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ckpit" sheetId="1" state="visible" r:id="rId1"/>
    <sheet name="Szenarien" sheetId="2" state="visible" r:id="rId2"/>
    <sheet name="Artikel" sheetId="3" state="visible" r:id="rId3"/>
    <sheet name="Parameter" sheetId="4" state="visible" r:id="rId4"/>
    <sheet name="Neue Artikel" sheetId="5" state="visible" r:id="rId5"/>
    <sheet name="Gebinde-Kategorie" sheetId="6" state="visible" r:id="rId6"/>
    <sheet name="Anleitung" sheetId="7" state="visible" r:id="rId7"/>
  </sheets>
  <definedNames>
    <definedName name="A_IST">Artikel!$G$7:$G$1570</definedName>
    <definedName name="A_VERB">Artikel!$I$7:$I$1570</definedName>
    <definedName name="A_MBLG">Artikel!$BV$7:$BV$1570</definedName>
    <definedName name="A_MPG_E">Artikel!$BN$7:$BN$1570</definedName>
    <definedName name="A_GAREA">Artikel!$Q$7:$Q$1570</definedName>
    <definedName name="A_LOSE">Artikel!$BO$7:$BO$1570</definedName>
    <definedName name="A_LA">Artikel!$BP$7:$BP$1570</definedName>
    <definedName name="A_LUO">Artikel!$BS$7:$BS$1570</definedName>
    <definedName name="A_FINF">Artikel!$BT$7:$BT$1570</definedName>
    <definedName name="A_FINV">Artikel!$BU$7:$BU$1570</definedName>
    <definedName name="A_LIFT">Artikel!$BQ$7:$BQ$1570</definedName>
    <definedName name="A_PREIS">Artikel!$F$7:$F$1570</definedName>
    <definedName name="A_ISTN">Artikel!$BW$7:$BW$1570</definedName>
    <definedName name="A_FINN">Artikel!$BX$7:$BX$1570</definedName>
    <definedName name="_xlnm.Print_Area" localSheetId="0">'Cockpit'!$A$1:$S$70</definedName>
    <definedName name="_xlnm.Print_Area" localSheetId="1">'Szenarien'!$A$1:$P$45</definedName>
    <definedName name="_xlnm._FilterDatabase" localSheetId="2" hidden="1">'Artikel'!$A$6:$BE$1570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#,##0.0"/>
    <numFmt numFmtId="166" formatCode="yyyy-mm-dd h:mm:ss"/>
    <numFmt numFmtId="167" formatCode="DD.MM.YYYY"/>
    <numFmt numFmtId="168" formatCode="0.0"/>
    <numFmt numFmtId="169" formatCode="0.0000"/>
    <numFmt numFmtId="170" formatCode="#,##0;-#,##0"/>
    <numFmt numFmtId="171" formatCode="#,##0.0;-#,##0.0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b val="1"/>
      <color rgb="00595959"/>
      <sz val="10"/>
    </font>
    <font>
      <name val="Arial"/>
      <sz val="9"/>
    </font>
    <font>
      <name val="Arial"/>
      <b val="1"/>
      <color rgb="001F3864"/>
      <sz val="16"/>
    </font>
    <font>
      <name val="Arial"/>
      <b val="1"/>
      <color rgb="00C00000"/>
      <sz val="11"/>
    </font>
    <font>
      <name val="Arial"/>
      <b val="1"/>
      <color rgb="00FFFFFF"/>
      <sz val="12"/>
    </font>
    <font>
      <name val="Arial"/>
      <i val="1"/>
      <color rgb="00808080"/>
      <sz val="10"/>
    </font>
    <font>
      <name val="Arial"/>
      <b val="1"/>
      <color rgb="00000000"/>
      <sz val="12"/>
    </font>
    <font>
      <name val="Arial"/>
      <b val="1"/>
      <color rgb="00000000"/>
      <sz val="20"/>
    </font>
    <font>
      <name val="Arial"/>
      <b val="1"/>
      <color rgb="00C55A11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A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3" borderId="1" pivotButton="0" quotePrefix="0" xfId="0"/>
    <xf numFmtId="168" fontId="4" fillId="3" borderId="1" applyAlignment="1" pivotButton="0" quotePrefix="0" xfId="0">
      <alignment horizontal="center" vertical="center"/>
    </xf>
    <xf numFmtId="0" fontId="1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5" fontId="5" fillId="0" borderId="1" pivotButton="0" quotePrefix="0" xfId="0"/>
    <xf numFmtId="1" fontId="5" fillId="0" borderId="1" pivotButton="0" quotePrefix="0" xfId="0"/>
    <xf numFmtId="9" fontId="4" fillId="0" borderId="1" pivotButton="0" quotePrefix="0" xfId="0"/>
    <xf numFmtId="0" fontId="4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6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9" fontId="5" fillId="0" borderId="1" pivotButton="0" quotePrefix="0" xfId="0"/>
    <xf numFmtId="9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5" fillId="2" borderId="1" applyAlignment="1" pivotButton="0" quotePrefix="0" xfId="0">
      <alignment horizontal="center" vertical="center"/>
    </xf>
    <xf numFmtId="9" fontId="5" fillId="2" borderId="1" pivotButton="0" quotePrefix="0" xfId="0"/>
    <xf numFmtId="9" fontId="4" fillId="2" borderId="1" pivotButton="0" quotePrefix="0" xfId="0"/>
    <xf numFmtId="0" fontId="4" fillId="2" borderId="1" applyAlignment="1" pivotButton="0" quotePrefix="0" xfId="0">
      <alignment horizontal="center" vertical="center"/>
    </xf>
    <xf numFmtId="165" fontId="5" fillId="2" borderId="1" pivotButton="0" quotePrefix="0" xfId="0"/>
    <xf numFmtId="3" fontId="5" fillId="2" borderId="1" pivotButton="0" quotePrefix="0" xfId="0"/>
    <xf numFmtId="170" fontId="5" fillId="2" borderId="1" pivotButton="0" quotePrefix="0" xfId="0"/>
    <xf numFmtId="171" fontId="5" fillId="2" borderId="1" pivotButton="0" quotePrefix="0" xfId="0"/>
    <xf numFmtId="168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5" fillId="0" borderId="1" pivotButton="0" quotePrefix="0" xfId="0"/>
    <xf numFmtId="170" fontId="5" fillId="0" borderId="1" pivotButton="0" quotePrefix="0" xfId="0"/>
    <xf numFmtId="171" fontId="5" fillId="0" borderId="1" pivotButton="0" quotePrefix="0" xfId="0"/>
    <xf numFmtId="0" fontId="3" fillId="0" borderId="0" pivotButton="0" quotePrefix="0" xfId="0"/>
    <xf numFmtId="0" fontId="17" fillId="0" borderId="0" pivotButton="0" quotePrefix="0" xfId="0"/>
    <xf numFmtId="168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9" fillId="0" borderId="0" pivotButton="0" quotePrefix="0" xfId="0"/>
    <xf numFmtId="4" fontId="9" fillId="0" borderId="0" pivotButton="0" quotePrefix="0" xfId="0"/>
    <xf numFmtId="3" fontId="9" fillId="0" borderId="0" pivotButton="0" quotePrefix="0" xfId="0"/>
    <xf numFmtId="165" fontId="9" fillId="0" borderId="0" pivotButton="0" quotePrefix="0" xfId="0"/>
    <xf numFmtId="2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4" fontId="9" fillId="3" borderId="0" pivotButton="0" quotePrefix="0" xfId="0"/>
    <xf numFmtId="0" fontId="9" fillId="3" borderId="0" pivotButton="0" quotePrefix="0" xfId="0"/>
    <xf numFmtId="168" fontId="9" fillId="3" borderId="0" pivotButton="0" quotePrefix="0" xfId="0"/>
    <xf numFmtId="3" fontId="9" fillId="3" borderId="0" pivotButton="0" quotePrefix="0" xfId="0"/>
    <xf numFmtId="164" fontId="9" fillId="0" borderId="0" pivotButton="0" quotePrefix="0" xfId="0"/>
    <xf numFmtId="9" fontId="9" fillId="0" borderId="0" pivotButton="0" quotePrefix="0" xfId="0"/>
    <xf numFmtId="168" fontId="9" fillId="0" borderId="0" pivotButton="0" quotePrefix="0" xfId="0"/>
    <xf numFmtId="0" fontId="5" fillId="3" borderId="1" pivotButton="0" quotePrefix="0" xfId="0"/>
    <xf numFmtId="1" fontId="5" fillId="3" borderId="1" pivotButton="0" quotePrefix="0" xfId="0"/>
    <xf numFmtId="3" fontId="5" fillId="3" borderId="1" pivotButton="0" quotePrefix="0" xfId="0"/>
    <xf numFmtId="164" fontId="5" fillId="0" borderId="1" pivotButton="0" quotePrefix="0" xfId="0"/>
    <xf numFmtId="9" fontId="5" fillId="3" borderId="1" pivotButton="0" quotePrefix="0" xfId="0"/>
    <xf numFmtId="4" fontId="5" fillId="0" borderId="0" pivotButton="0" quotePrefix="0" xfId="0"/>
    <xf numFmtId="167" fontId="5" fillId="3" borderId="1" pivotButton="0" quotePrefix="0" xfId="0"/>
    <xf numFmtId="168" fontId="5" fillId="3" borderId="1" pivotButton="0" quotePrefix="0" xfId="0"/>
    <xf numFmtId="0" fontId="5" fillId="3" borderId="1" applyAlignment="1" pivotButton="0" quotePrefix="0" xfId="0">
      <alignment horizontal="center" vertical="center"/>
    </xf>
    <xf numFmtId="164" fontId="5" fillId="3" borderId="1" pivotButton="0" quotePrefix="0" xfId="0"/>
    <xf numFmtId="169" fontId="5" fillId="0" borderId="1" pivotButton="0" quotePrefix="0" xfId="0"/>
    <xf numFmtId="0" fontId="1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6">
    <dxf>
      <font>
        <color rgb="00808080"/>
      </font>
      <fill>
        <patternFill patternType="solid">
          <fgColor rgb="00D9D9D9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Auslastung je Lift – 3 Ansichten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'Cockpit'!C40</f>
            </strRef>
          </tx>
          <spPr>
            <a:ln>
              <a:prstDash val="solid"/>
            </a:ln>
          </spPr>
          <cat>
            <numRef>
              <f>'Cockpit'!$B$41:$B$45</f>
            </numRef>
          </cat>
          <val>
            <numRef>
              <f>'Cockpit'!$C$41:$C$45</f>
            </numRef>
          </val>
        </ser>
        <ser>
          <idx val="1"/>
          <order val="1"/>
          <tx>
            <strRef>
              <f>'Cockpit'!D40</f>
            </strRef>
          </tx>
          <spPr>
            <a:ln>
              <a:prstDash val="solid"/>
            </a:ln>
          </spPr>
          <cat>
            <numRef>
              <f>'Cockpit'!$B$41:$B$45</f>
            </numRef>
          </cat>
          <val>
            <numRef>
              <f>'Cockpit'!$D$41:$D$45</f>
            </numRef>
          </val>
        </ser>
        <ser>
          <idx val="2"/>
          <order val="2"/>
          <tx>
            <strRef>
              <f>'Cockpit'!E40</f>
            </strRef>
          </tx>
          <spPr>
            <a:ln>
              <a:prstDash val="solid"/>
            </a:ln>
          </spPr>
          <cat>
            <numRef>
              <f>'Cockpit'!$B$41:$B$45</f>
            </numRef>
          </cat>
          <val>
            <numRef>
              <f>'Cockpit'!$E$41:$E$45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'Cockpit'!F40</f>
            </strRef>
          </tx>
          <spPr>
            <a:ln w="28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'Cockpit'!$F$41:$F$45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Auslastung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Auslastung Total % je Ziel-LU</a:t>
            </a:r>
          </a:p>
        </rich>
      </tx>
    </title>
    <plotArea>
      <lineChart>
        <grouping val="standard"/>
        <ser>
          <idx val="0"/>
          <order val="0"/>
          <tx>
            <strRef>
              <f>'Szenarien'!B29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'Szenarien'!$B$30:$B$37</f>
            </numRef>
          </val>
        </ser>
        <ser>
          <idx val="1"/>
          <order val="1"/>
          <tx>
            <strRef>
              <f>'Szenarien'!C29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'Szenarien'!$C$30:$C$37</f>
            </numRef>
          </val>
        </ser>
        <ser>
          <idx val="2"/>
          <order val="2"/>
          <tx>
            <strRef>
              <f>'Szenarien'!D29</f>
            </strRef>
          </tx>
          <spPr>
            <a:ln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'Szenarien'!$D$30:$D$37</f>
            </numRef>
          </val>
        </ser>
        <ser>
          <idx val="3"/>
          <order val="3"/>
          <tx>
            <strRef>
              <f>'Szenarien'!E29</f>
            </strRef>
          </tx>
          <spPr>
            <a:ln>
              <a:solidFill>
                <a:srgbClr val="80808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'Szenarien'!$A$30:$A$37</f>
            </numRef>
          </cat>
          <val>
            <numRef>
              <f>'Szenarien'!$E$30:$E$37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Ziel-LU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Auslastung 3 Lifte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R45"/>
  <sheetViews>
    <sheetView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3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3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B1" s="1" t="inlineStr">
        <is>
          <t>Cockpit – Lagerlift-Belegung &amp; MAX-Bestand nach Lagerumschlag</t>
        </is>
      </c>
    </row>
    <row r="2">
      <c r="B2" s="2">
        <f>"Verbrauchsbasis: "&amp;TEXT(MONTH(Parameter!B15),"00")&amp;"."&amp;YEAR(Parameter!B15)&amp;" – "&amp;TEXT(MONTH(Parameter!B16),"00")&amp;"."&amp;YEAR(Parameter!B16)&amp;"   ·   Ist-Bestand: "&amp;Parameter!B20&amp;"   ·   Kapazität "&amp;TEXT(Parameter!K8,"0")&amp;" m² / "&amp;Parameter!E8&amp;" Tablare"</f>
        <v/>
      </c>
    </row>
    <row r="3">
      <c r="B3" s="3" t="inlineStr">
        <is>
          <t>Gelbe Felder = Regler. Auslastung: grün &lt; 85 %, orange 85–100 %, rot &gt; 100 %.</t>
        </is>
      </c>
    </row>
    <row r="4">
      <c r="B4" s="4" t="inlineStr">
        <is>
          <t>Ansicht 1</t>
        </is>
      </c>
      <c r="H4" s="4" t="inlineStr">
        <is>
          <t>Ansicht 2</t>
        </is>
      </c>
      <c r="N4" s="4" t="inlineStr">
        <is>
          <t>Ansicht 3</t>
        </is>
      </c>
    </row>
    <row r="5">
      <c r="B5" s="5" t="inlineStr">
        <is>
          <t>Variante</t>
        </is>
      </c>
      <c r="C5" s="6" t="inlineStr">
        <is>
          <t>A – Ist-Bestand</t>
        </is>
      </c>
      <c r="H5" s="5" t="inlineStr">
        <is>
          <t>Variante</t>
        </is>
      </c>
      <c r="I5" s="6" t="inlineStr">
        <is>
          <t>C – Ziel-LU oder Ist</t>
        </is>
      </c>
      <c r="N5" s="5" t="inlineStr">
        <is>
          <t>Variante</t>
        </is>
      </c>
      <c r="O5" s="6" t="inlineStr">
        <is>
          <t>C – Ziel-LU oder Ist</t>
        </is>
      </c>
    </row>
    <row r="6">
      <c r="B6" s="5" t="inlineStr">
        <is>
          <t>Ziel-LU</t>
        </is>
      </c>
      <c r="C6" s="7" t="n">
        <v>2</v>
      </c>
      <c r="D6" s="8" t="inlineStr">
        <is>
          <t>(bei A ohne Wirkung)</t>
        </is>
      </c>
      <c r="H6" s="5" t="inlineStr">
        <is>
          <t>Ziel-LU</t>
        </is>
      </c>
      <c r="I6" s="7" t="n">
        <v>2</v>
      </c>
      <c r="J6" s="8" t="inlineStr">
        <is>
          <t>(bei A ohne Wirkung)</t>
        </is>
      </c>
      <c r="N6" s="5" t="inlineStr">
        <is>
          <t>Ziel-LU</t>
        </is>
      </c>
      <c r="O6" s="7" t="n">
        <v>3</v>
      </c>
      <c r="P6" s="8" t="inlineStr">
        <is>
          <t>(bei A ohne Wirkung)</t>
        </is>
      </c>
    </row>
    <row r="8">
      <c r="B8" s="9" t="inlineStr">
        <is>
          <t>Bereich</t>
        </is>
      </c>
      <c r="C8" s="9" t="inlineStr">
        <is>
          <t>belegt m²</t>
        </is>
      </c>
      <c r="D8" s="9" t="inlineStr">
        <is>
          <t>belegte Tablare</t>
        </is>
      </c>
      <c r="E8" s="9" t="inlineStr">
        <is>
          <t>Kapazität m²</t>
        </is>
      </c>
      <c r="F8" s="9" t="inlineStr">
        <is>
          <t>Auslastung</t>
        </is>
      </c>
      <c r="H8" s="9" t="inlineStr">
        <is>
          <t>Bereich</t>
        </is>
      </c>
      <c r="I8" s="9" t="inlineStr">
        <is>
          <t>belegt m²</t>
        </is>
      </c>
      <c r="J8" s="9" t="inlineStr">
        <is>
          <t>belegte Tablare</t>
        </is>
      </c>
      <c r="K8" s="9" t="inlineStr">
        <is>
          <t>Kapazität m²</t>
        </is>
      </c>
      <c r="L8" s="9" t="inlineStr">
        <is>
          <t>Auslastung</t>
        </is>
      </c>
      <c r="N8" s="9" t="inlineStr">
        <is>
          <t>Bereich</t>
        </is>
      </c>
      <c r="O8" s="9" t="inlineStr">
        <is>
          <t>belegt m²</t>
        </is>
      </c>
      <c r="P8" s="9" t="inlineStr">
        <is>
          <t>belegte Tablare</t>
        </is>
      </c>
      <c r="Q8" s="9" t="inlineStr">
        <is>
          <t>Kapazität m²</t>
        </is>
      </c>
      <c r="R8" s="9" t="inlineStr">
        <is>
          <t>Auslastung</t>
        </is>
      </c>
    </row>
    <row r="9">
      <c r="B9" s="10" t="inlineStr">
        <is>
          <t>Lift 1 – Schwer</t>
        </is>
      </c>
      <c r="C9" s="11">
        <f>SUMIFS(Artikel!$AC$7:$AC$1570,Artikel!$BQ$7:$BQ$1570,1)</f>
        <v/>
      </c>
      <c r="D9" s="12">
        <f>ROUNDUP(C9/Parameter!$J$5,0)</f>
        <v/>
      </c>
      <c r="E9" s="11">
        <f>Parameter!$K$5</f>
        <v/>
      </c>
      <c r="F9" s="13">
        <f>IF(E9&gt;0,C9/E9,0)</f>
        <v/>
      </c>
      <c r="H9" s="10" t="inlineStr">
        <is>
          <t>Lift 1 – Schwer</t>
        </is>
      </c>
      <c r="I9" s="11">
        <f>SUMIFS(Artikel!$AK$7:$AK$1570,Artikel!$BQ$7:$BQ$1570,1)</f>
        <v/>
      </c>
      <c r="J9" s="12">
        <f>ROUNDUP(I9/Parameter!$J$5,0)</f>
        <v/>
      </c>
      <c r="K9" s="11">
        <f>Parameter!$K$5</f>
        <v/>
      </c>
      <c r="L9" s="13">
        <f>IF(K9&gt;0,I9/K9,0)</f>
        <v/>
      </c>
      <c r="N9" s="10" t="inlineStr">
        <is>
          <t>Lift 1 – Schwer</t>
        </is>
      </c>
      <c r="O9" s="11">
        <f>SUMIFS(Artikel!$AS$7:$AS$1570,Artikel!$BQ$7:$BQ$1570,1)</f>
        <v/>
      </c>
      <c r="P9" s="12">
        <f>ROUNDUP(O9/Parameter!$J$5,0)</f>
        <v/>
      </c>
      <c r="Q9" s="11">
        <f>Parameter!$K$5</f>
        <v/>
      </c>
      <c r="R9" s="13">
        <f>IF(Q9&gt;0,O9/Q9,0)</f>
        <v/>
      </c>
    </row>
    <row r="10">
      <c r="B10" s="10" t="inlineStr">
        <is>
          <t>Lift 2 – Mittel</t>
        </is>
      </c>
      <c r="C10" s="11">
        <f>SUMIFS(Artikel!$AC$7:$AC$1570,Artikel!$BQ$7:$BQ$1570,2)</f>
        <v/>
      </c>
      <c r="D10" s="12">
        <f>ROUNDUP(C10/Parameter!$J$6,0)</f>
        <v/>
      </c>
      <c r="E10" s="11">
        <f>Parameter!$K$6</f>
        <v/>
      </c>
      <c r="F10" s="13">
        <f>IF(E10&gt;0,C10/E10,0)</f>
        <v/>
      </c>
      <c r="H10" s="10" t="inlineStr">
        <is>
          <t>Lift 2 – Mittel</t>
        </is>
      </c>
      <c r="I10" s="11">
        <f>SUMIFS(Artikel!$AK$7:$AK$1570,Artikel!$BQ$7:$BQ$1570,2)</f>
        <v/>
      </c>
      <c r="J10" s="12">
        <f>ROUNDUP(I10/Parameter!$J$6,0)</f>
        <v/>
      </c>
      <c r="K10" s="11">
        <f>Parameter!$K$6</f>
        <v/>
      </c>
      <c r="L10" s="13">
        <f>IF(K10&gt;0,I10/K10,0)</f>
        <v/>
      </c>
      <c r="N10" s="10" t="inlineStr">
        <is>
          <t>Lift 2 – Mittel</t>
        </is>
      </c>
      <c r="O10" s="11">
        <f>SUMIFS(Artikel!$AS$7:$AS$1570,Artikel!$BQ$7:$BQ$1570,2)</f>
        <v/>
      </c>
      <c r="P10" s="12">
        <f>ROUNDUP(O10/Parameter!$J$6,0)</f>
        <v/>
      </c>
      <c r="Q10" s="11">
        <f>Parameter!$K$6</f>
        <v/>
      </c>
      <c r="R10" s="13">
        <f>IF(Q10&gt;0,O10/Q10,0)</f>
        <v/>
      </c>
    </row>
    <row r="11">
      <c r="B11" s="10" t="inlineStr">
        <is>
          <t>Lift 3 – Klein</t>
        </is>
      </c>
      <c r="C11" s="11">
        <f>SUMIFS(Artikel!$AC$7:$AC$1570,Artikel!$BQ$7:$BQ$1570,3)</f>
        <v/>
      </c>
      <c r="D11" s="12">
        <f>ROUNDUP(C11/Parameter!$J$7,0)</f>
        <v/>
      </c>
      <c r="E11" s="11">
        <f>Parameter!$K$7</f>
        <v/>
      </c>
      <c r="F11" s="13">
        <f>IF(E11&gt;0,C11/E11,0)</f>
        <v/>
      </c>
      <c r="H11" s="10" t="inlineStr">
        <is>
          <t>Lift 3 – Klein</t>
        </is>
      </c>
      <c r="I11" s="11">
        <f>SUMIFS(Artikel!$AK$7:$AK$1570,Artikel!$BQ$7:$BQ$1570,3)</f>
        <v/>
      </c>
      <c r="J11" s="12">
        <f>ROUNDUP(I11/Parameter!$J$7,0)</f>
        <v/>
      </c>
      <c r="K11" s="11">
        <f>Parameter!$K$7</f>
        <v/>
      </c>
      <c r="L11" s="13">
        <f>IF(K11&gt;0,I11/K11,0)</f>
        <v/>
      </c>
      <c r="N11" s="10" t="inlineStr">
        <is>
          <t>Lift 3 – Klein</t>
        </is>
      </c>
      <c r="O11" s="11">
        <f>SUMIFS(Artikel!$AS$7:$AS$1570,Artikel!$BQ$7:$BQ$1570,3)</f>
        <v/>
      </c>
      <c r="P11" s="12">
        <f>ROUNDUP(O11/Parameter!$J$7,0)</f>
        <v/>
      </c>
      <c r="Q11" s="11">
        <f>Parameter!$K$7</f>
        <v/>
      </c>
      <c r="R11" s="13">
        <f>IF(Q11&gt;0,O11/Q11,0)</f>
        <v/>
      </c>
    </row>
    <row r="12">
      <c r="B12" s="14" t="inlineStr">
        <is>
          <t>Lift 2 + 3 gemeinsam (KTL/PAL)</t>
        </is>
      </c>
      <c r="C12" s="15">
        <f>C10+C11</f>
        <v/>
      </c>
      <c r="D12" s="16">
        <f>ROUNDUP(C12/Parameter!$J$6,0)</f>
        <v/>
      </c>
      <c r="E12" s="15">
        <f>E10+E11</f>
        <v/>
      </c>
      <c r="F12" s="13">
        <f>IF(E12&gt;0,C12/E12,0)</f>
        <v/>
      </c>
      <c r="H12" s="14" t="inlineStr">
        <is>
          <t>Lift 2 + 3 gemeinsam (KTL/PAL)</t>
        </is>
      </c>
      <c r="I12" s="15">
        <f>I10+I11</f>
        <v/>
      </c>
      <c r="J12" s="16">
        <f>ROUNDUP(I12/Parameter!$J$6,0)</f>
        <v/>
      </c>
      <c r="K12" s="15">
        <f>K10+K11</f>
        <v/>
      </c>
      <c r="L12" s="13">
        <f>IF(K12&gt;0,I12/K12,0)</f>
        <v/>
      </c>
      <c r="N12" s="14" t="inlineStr">
        <is>
          <t>Lift 2 + 3 gemeinsam (KTL/PAL)</t>
        </is>
      </c>
      <c r="O12" s="15">
        <f>O10+O11</f>
        <v/>
      </c>
      <c r="P12" s="16">
        <f>ROUNDUP(O12/Parameter!$J$6,0)</f>
        <v/>
      </c>
      <c r="Q12" s="15">
        <f>Q10+Q11</f>
        <v/>
      </c>
      <c r="R12" s="13">
        <f>IF(Q12&gt;0,O12/Q12,0)</f>
        <v/>
      </c>
    </row>
    <row r="13">
      <c r="B13" s="14" t="inlineStr">
        <is>
          <t>Total 3 Lifte</t>
        </is>
      </c>
      <c r="C13" s="15">
        <f>C9+C12</f>
        <v/>
      </c>
      <c r="D13" s="16">
        <f>D9+D10+D11</f>
        <v/>
      </c>
      <c r="E13" s="15">
        <f>E9+E12</f>
        <v/>
      </c>
      <c r="F13" s="13">
        <f>IF(E13&gt;0,C13/E13,0)</f>
        <v/>
      </c>
      <c r="H13" s="14" t="inlineStr">
        <is>
          <t>Total 3 Lifte</t>
        </is>
      </c>
      <c r="I13" s="15">
        <f>I9+I12</f>
        <v/>
      </c>
      <c r="J13" s="16">
        <f>J9+J10+J11</f>
        <v/>
      </c>
      <c r="K13" s="15">
        <f>K9+K12</f>
        <v/>
      </c>
      <c r="L13" s="13">
        <f>IF(K13&gt;0,I13/K13,0)</f>
        <v/>
      </c>
      <c r="N13" s="14" t="inlineStr">
        <is>
          <t>Total 3 Lifte</t>
        </is>
      </c>
      <c r="O13" s="15">
        <f>O9+O12</f>
        <v/>
      </c>
      <c r="P13" s="16">
        <f>P9+P10+P11</f>
        <v/>
      </c>
      <c r="Q13" s="15">
        <f>Q9+Q12</f>
        <v/>
      </c>
      <c r="R13" s="13">
        <f>IF(Q13&gt;0,O13/Q13,0)</f>
        <v/>
      </c>
    </row>
    <row r="14">
      <c r="B14" s="17" t="inlineStr">
        <is>
          <t>Nicht im Lift (andere Hauptlager)</t>
        </is>
      </c>
      <c r="C14" s="18">
        <f>SUMIFS(Artikel!$AC$7:$AC$1570,Artikel!$BR$7:$BR$1570,"-")</f>
        <v/>
      </c>
      <c r="H14" s="17" t="inlineStr">
        <is>
          <t>Nicht im Lift (andere Hauptlager)</t>
        </is>
      </c>
      <c r="I14" s="18">
        <f>SUMIFS(Artikel!$AK$7:$AK$1570,Artikel!$BR$7:$BR$1570,"-")</f>
        <v/>
      </c>
      <c r="N14" s="17" t="inlineStr">
        <is>
          <t>Nicht im Lift (andere Hauptlager)</t>
        </is>
      </c>
      <c r="O14" s="18">
        <f>SUMIFS(Artikel!$AS$7:$AS$1570,Artikel!$BR$7:$BR$1570,"-")</f>
        <v/>
      </c>
    </row>
    <row r="15">
      <c r="B15" s="17" t="inlineStr">
        <is>
          <t>Manuell «Aussen» zugeteilt</t>
        </is>
      </c>
      <c r="C15" s="18">
        <f>SUMIFS(Artikel!$AC$7:$AC$1570,Artikel!$BR$7:$BR$1570,"Aussen")</f>
        <v/>
      </c>
      <c r="H15" s="17" t="inlineStr">
        <is>
          <t>Manuell «Aussen» zugeteilt</t>
        </is>
      </c>
      <c r="I15" s="18">
        <f>SUMIFS(Artikel!$AK$7:$AK$1570,Artikel!$BR$7:$BR$1570,"Aussen")</f>
        <v/>
      </c>
      <c r="N15" s="17" t="inlineStr">
        <is>
          <t>Manuell «Aussen» zugeteilt</t>
        </is>
      </c>
      <c r="O15" s="18">
        <f>SUMIFS(Artikel!$AS$7:$AS$1570,Artikel!$BR$7:$BR$1570,"Aussen")</f>
        <v/>
      </c>
    </row>
    <row r="17" ht="22" customHeight="1">
      <c r="B17" s="19" t="inlineStr">
        <is>
          <t>Passt alles in die 3 Lifte?</t>
        </is>
      </c>
      <c r="E17" s="20">
        <f>IF(AND(C9&lt;=E9,C12&lt;=E12),"JA","NEIN")</f>
        <v/>
      </c>
      <c r="H17" s="19" t="inlineStr">
        <is>
          <t>Passt alles in die 3 Lifte?</t>
        </is>
      </c>
      <c r="K17" s="20">
        <f>IF(AND(I9&lt;=K9,I12&lt;=K12),"JA","NEIN")</f>
        <v/>
      </c>
      <c r="N17" s="19" t="inlineStr">
        <is>
          <t>Passt alles in die 3 Lifte?</t>
        </is>
      </c>
      <c r="Q17" s="20">
        <f>IF(AND(O9&lt;=Q9,O12&lt;=Q12),"JA","NEIN")</f>
        <v/>
      </c>
    </row>
    <row r="18" ht="22" customHeight="1">
      <c r="B18" s="21" t="inlineStr">
        <is>
          <t>Lift 1 (schwer, separat)</t>
        </is>
      </c>
      <c r="D18" s="22">
        <f>IF(C9&lt;=E9,"JA","NEIN")</f>
        <v/>
      </c>
      <c r="H18" s="21" t="inlineStr">
        <is>
          <t>Lift 1 (schwer, separat)</t>
        </is>
      </c>
      <c r="J18" s="22">
        <f>IF(I9&lt;=K9,"JA","NEIN")</f>
        <v/>
      </c>
      <c r="N18" s="21" t="inlineStr">
        <is>
          <t>Lift 1 (schwer, separat)</t>
        </is>
      </c>
      <c r="P18" s="22">
        <f>IF(O9&lt;=Q9,"JA","NEIN")</f>
        <v/>
      </c>
    </row>
    <row r="19">
      <c r="B19" s="21" t="inlineStr">
        <is>
          <t>Lift 2 + 3 gemeinsam</t>
        </is>
      </c>
      <c r="D19" s="22">
        <f>IF(C12&lt;=E12,"JA","NEIN")</f>
        <v/>
      </c>
      <c r="H19" s="21" t="inlineStr">
        <is>
          <t>Lift 2 + 3 gemeinsam</t>
        </is>
      </c>
      <c r="J19" s="22">
        <f>IF(I12&lt;=K12,"JA","NEIN")</f>
        <v/>
      </c>
      <c r="N19" s="21" t="inlineStr">
        <is>
          <t>Lift 2 + 3 gemeinsam</t>
        </is>
      </c>
      <c r="P19" s="22">
        <f>IF(O12&lt;=Q12,"JA","NEIN")</f>
        <v/>
      </c>
    </row>
    <row r="20">
      <c r="B20" s="23">
        <f>IF(OR(AND(C10&gt;E10,C11&lt;E11),AND(C11&gt;E11,C10&lt;E10)),"Ausgleich Lift 2 ↔ 3 möglich: "&amp;ROUNDUP(MIN(MAX(C10-E10,C11-E11),MAX(E10-C10,E11-C11))/Parameter!$J$6,0)&amp;" Tablare","")</f>
        <v/>
      </c>
      <c r="H20" s="23">
        <f>IF(OR(AND(I10&gt;K10,I11&lt;K11),AND(I11&gt;K11,I10&lt;K10)),"Ausgleich Lift 2 ↔ 3 möglich: "&amp;ROUNDUP(MIN(MAX(I10-K10,I11-K11),MAX(K10-I10,K11-I11))/Parameter!$J$6,0)&amp;" Tablare","")</f>
        <v/>
      </c>
      <c r="N20" s="23">
        <f>IF(OR(AND(O10&gt;Q10,O11&lt;Q11),AND(O11&gt;Q11,O10&lt;Q10)),"Ausgleich Lift 2 ↔ 3 möglich: "&amp;ROUNDUP(MIN(MAX(O10-Q10,O11-Q11),MAX(Q10-O10,Q11-O11))/Parameter!$J$6,0)&amp;" Tablare","")</f>
        <v/>
      </c>
    </row>
    <row r="22">
      <c r="B22" s="5" t="inlineStr">
        <is>
          <t>Aussenlager nötig m²</t>
        </is>
      </c>
      <c r="D22" s="24">
        <f>MAX(0,C9-E9)+MAX(0,C12-E12)+C15</f>
        <v/>
      </c>
      <c r="H22" s="5" t="inlineStr">
        <is>
          <t>Aussenlager nötig m²</t>
        </is>
      </c>
      <c r="J22" s="24">
        <f>MAX(0,I9-K9)+MAX(0,I12-K12)+I15</f>
        <v/>
      </c>
      <c r="N22" s="5" t="inlineStr">
        <is>
          <t>Aussenlager nötig m²</t>
        </is>
      </c>
      <c r="P22" s="24">
        <f>MAX(0,O9-Q9)+MAX(0,O12-Q12)+O15</f>
        <v/>
      </c>
    </row>
    <row r="23">
      <c r="B23" s="21" t="inlineStr">
        <is>
          <t>Artikel im Aussenlager (ganz/teilweise)</t>
        </is>
      </c>
      <c r="D23" s="25">
        <f>COUNTIF(Artikel!$AY$7:$AY$1570,"Aussenlager")+COUNTIF(Artikel!$AY$7:$AY$1570,"teilweise")</f>
        <v/>
      </c>
      <c r="H23" s="21" t="inlineStr">
        <is>
          <t>Artikel im Aussenlager (ganz/teilweise)</t>
        </is>
      </c>
      <c r="J23" s="25">
        <f>COUNTIF(Artikel!$AZ$7:$AZ$1570,"Aussenlager")+COUNTIF(Artikel!$AZ$7:$AZ$1570,"teilweise")</f>
        <v/>
      </c>
      <c r="N23" s="21" t="inlineStr">
        <is>
          <t>Artikel im Aussenlager (ganz/teilweise)</t>
        </is>
      </c>
      <c r="P23" s="25">
        <f>COUNTIF(Artikel!$BA$7:$BA$1570,"Aussenlager")+COUNTIF(Artikel!$BA$7:$BA$1570,"teilweise")</f>
        <v/>
      </c>
    </row>
    <row r="25">
      <c r="B25" s="5" t="inlineStr">
        <is>
          <t>Lagerwert CHF gesamt</t>
        </is>
      </c>
      <c r="D25" s="26">
        <f>SUM(Artikel!$AD$7:$AD$1570)</f>
        <v/>
      </c>
      <c r="H25" s="5" t="inlineStr">
        <is>
          <t>Lagerwert CHF gesamt</t>
        </is>
      </c>
      <c r="J25" s="26">
        <f>SUM(Artikel!$AL$7:$AL$1570)</f>
        <v/>
      </c>
      <c r="N25" s="5" t="inlineStr">
        <is>
          <t>Lagerwert CHF gesamt</t>
        </is>
      </c>
      <c r="P25" s="26">
        <f>SUM(Artikel!$AT$7:$AT$1570)</f>
        <v/>
      </c>
    </row>
    <row r="26">
      <c r="B26" s="21" t="inlineStr">
        <is>
          <t xml:space="preserve">   davon in den Liften</t>
        </is>
      </c>
      <c r="D26" s="27">
        <f>SUMPRODUCT(Artikel!$AD$7:$AD$1570,Artikel!$AH$7:$AH$1570)</f>
        <v/>
      </c>
      <c r="H26" s="21" t="inlineStr">
        <is>
          <t xml:space="preserve">   davon in den Liften</t>
        </is>
      </c>
      <c r="J26" s="27">
        <f>SUMPRODUCT(Artikel!$AL$7:$AL$1570,Artikel!$AP$7:$AP$1570)</f>
        <v/>
      </c>
      <c r="N26" s="21" t="inlineStr">
        <is>
          <t xml:space="preserve">   davon in den Liften</t>
        </is>
      </c>
      <c r="P26" s="27">
        <f>SUMPRODUCT(Artikel!$AT$7:$AT$1570,Artikel!$AX$7:$AX$1570)</f>
        <v/>
      </c>
    </row>
    <row r="27">
      <c r="B27" s="21" t="inlineStr">
        <is>
          <t xml:space="preserve">   davon im Aussenlager</t>
        </is>
      </c>
      <c r="D27" s="27">
        <f>SUMIFS(Artikel!$AD$7:$AD$1570,Artikel!$BR$7:$BR$1570,"L1")+SUMIFS(Artikel!$AD$7:$AD$1570,Artikel!$BR$7:$BR$1570,"L23")-D26+SUMIFS(Artikel!$AD$7:$AD$1570,Artikel!$BR$7:$BR$1570,"Aussen")</f>
        <v/>
      </c>
      <c r="H27" s="21" t="inlineStr">
        <is>
          <t xml:space="preserve">   davon im Aussenlager</t>
        </is>
      </c>
      <c r="J27" s="27">
        <f>SUMIFS(Artikel!$AL$7:$AL$1570,Artikel!$BR$7:$BR$1570,"L1")+SUMIFS(Artikel!$AL$7:$AL$1570,Artikel!$BR$7:$BR$1570,"L23")-J26+SUMIFS(Artikel!$AL$7:$AL$1570,Artikel!$BR$7:$BR$1570,"Aussen")</f>
        <v/>
      </c>
      <c r="N27" s="21" t="inlineStr">
        <is>
          <t xml:space="preserve">   davon im Aussenlager</t>
        </is>
      </c>
      <c r="P27" s="27">
        <f>SUMIFS(Artikel!$AT$7:$AT$1570,Artikel!$BR$7:$BR$1570,"L1")+SUMIFS(Artikel!$AT$7:$AT$1570,Artikel!$BR$7:$BR$1570,"L23")-P26+SUMIFS(Artikel!$AT$7:$AT$1570,Artikel!$BR$7:$BR$1570,"Aussen")</f>
        <v/>
      </c>
    </row>
    <row r="28">
      <c r="B28" s="21" t="inlineStr">
        <is>
          <t xml:space="preserve">   davon nicht im Lift (andere Lager)</t>
        </is>
      </c>
      <c r="D28" s="27">
        <f>SUMIFS(Artikel!$AD$7:$AD$1570,Artikel!$BR$7:$BR$1570,"-")</f>
        <v/>
      </c>
      <c r="H28" s="21" t="inlineStr">
        <is>
          <t xml:space="preserve">   davon nicht im Lift (andere Lager)</t>
        </is>
      </c>
      <c r="J28" s="27">
        <f>SUMIFS(Artikel!$AL$7:$AL$1570,Artikel!$BR$7:$BR$1570,"-")</f>
        <v/>
      </c>
      <c r="N28" s="21" t="inlineStr">
        <is>
          <t xml:space="preserve">   davon nicht im Lift (andere Lager)</t>
        </is>
      </c>
      <c r="P28" s="27">
        <f>SUMIFS(Artikel!$AT$7:$AT$1570,Artikel!$BR$7:$BR$1570,"-")</f>
        <v/>
      </c>
    </row>
    <row r="30">
      <c r="B30" s="5" t="inlineStr">
        <is>
          <t>Artikel mit Überbestand (Ist &gt; MAX B)</t>
        </is>
      </c>
      <c r="D30" s="25">
        <f>SUMPRODUCT((Artikel!$G$7:$G$1570&gt;Artikel!$AE$7:$AE$1570)*1)</f>
        <v/>
      </c>
      <c r="E30" s="8" t="inlineStr">
        <is>
          <t>(LU dieser Ansicht)</t>
        </is>
      </c>
      <c r="H30" s="5" t="inlineStr">
        <is>
          <t>Artikel mit Überbestand (Ist &gt; MAX B)</t>
        </is>
      </c>
      <c r="J30" s="25">
        <f>SUMPRODUCT((Artikel!$G$7:$G$1570&gt;Artikel!$AM$7:$AM$1570)*1)</f>
        <v/>
      </c>
      <c r="K30" s="8" t="inlineStr">
        <is>
          <t>(LU dieser Ansicht)</t>
        </is>
      </c>
      <c r="N30" s="5" t="inlineStr">
        <is>
          <t>Artikel mit Überbestand (Ist &gt; MAX B)</t>
        </is>
      </c>
      <c r="P30" s="25">
        <f>SUMPRODUCT((Artikel!$G$7:$G$1570&gt;Artikel!$AU$7:$AU$1570)*1)</f>
        <v/>
      </c>
      <c r="Q30" s="8" t="inlineStr">
        <is>
          <t>(LU dieser Ansicht)</t>
        </is>
      </c>
    </row>
    <row r="31">
      <c r="B31" s="21" t="inlineStr">
        <is>
          <t>Überbestandswert CHF</t>
        </is>
      </c>
      <c r="D31" s="27">
        <f>SUMPRODUCT((Artikel!$G$7:$G$1570&gt;Artikel!$AE$7:$AE$1570)*(Artikel!$G$7:$G$1570-Artikel!$AE$7:$AE$1570)*Artikel!$F$7:$F$1570)</f>
        <v/>
      </c>
      <c r="H31" s="21" t="inlineStr">
        <is>
          <t>Überbestandswert CHF</t>
        </is>
      </c>
      <c r="J31" s="27">
        <f>SUMPRODUCT((Artikel!$G$7:$G$1570&gt;Artikel!$AM$7:$AM$1570)*(Artikel!$G$7:$G$1570-Artikel!$AM$7:$AM$1570)*Artikel!$F$7:$F$1570)</f>
        <v/>
      </c>
      <c r="N31" s="21" t="inlineStr">
        <is>
          <t>Überbestandswert CHF</t>
        </is>
      </c>
      <c r="P31" s="27">
        <f>SUMPRODUCT((Artikel!$G$7:$G$1570&gt;Artikel!$AU$7:$AU$1570)*(Artikel!$G$7:$G$1570-Artikel!$AU$7:$AU$1570)*Artikel!$F$7:$F$1570)</f>
        <v/>
      </c>
    </row>
    <row r="33">
      <c r="B33" s="9" t="inlineStr">
        <is>
          <t>Fläche je Lift</t>
        </is>
      </c>
      <c r="C33" s="9" t="inlineStr">
        <is>
          <t>Gebinde m²</t>
        </is>
      </c>
      <c r="D33" s="9" t="inlineStr">
        <is>
          <t>lose m² (geschätzt)</t>
        </is>
      </c>
      <c r="E33" s="9" t="inlineStr">
        <is>
          <t>Anteil lose</t>
        </is>
      </c>
      <c r="H33" s="9" t="inlineStr">
        <is>
          <t>Fläche je Lift</t>
        </is>
      </c>
      <c r="I33" s="9" t="inlineStr">
        <is>
          <t>Gebinde m²</t>
        </is>
      </c>
      <c r="J33" s="9" t="inlineStr">
        <is>
          <t>lose m² (geschätzt)</t>
        </is>
      </c>
      <c r="K33" s="9" t="inlineStr">
        <is>
          <t>Anteil lose</t>
        </is>
      </c>
      <c r="N33" s="9" t="inlineStr">
        <is>
          <t>Fläche je Lift</t>
        </is>
      </c>
      <c r="O33" s="9" t="inlineStr">
        <is>
          <t>Gebinde m²</t>
        </is>
      </c>
      <c r="P33" s="9" t="inlineStr">
        <is>
          <t>lose m² (geschätzt)</t>
        </is>
      </c>
      <c r="Q33" s="9" t="inlineStr">
        <is>
          <t>Anteil lose</t>
        </is>
      </c>
    </row>
    <row r="34">
      <c r="B34" s="10" t="inlineStr">
        <is>
          <t>Lift 1 – Schwer</t>
        </is>
      </c>
      <c r="C34" s="11">
        <f>SUMIFS(Artikel!$AC$7:$AC$1570,Artikel!$BQ$7:$BQ$1570,1,Artikel!$BO$7:$BO$1570,0)</f>
        <v/>
      </c>
      <c r="D34" s="11">
        <f>SUMIFS(Artikel!$AC$7:$AC$1570,Artikel!$BQ$7:$BQ$1570,1,Artikel!$BO$7:$BO$1570,1)</f>
        <v/>
      </c>
      <c r="E34" s="28">
        <f>IF(C34+D34&gt;0,D34/(C34+D34),0)</f>
        <v/>
      </c>
      <c r="H34" s="10" t="inlineStr">
        <is>
          <t>Lift 1 – Schwer</t>
        </is>
      </c>
      <c r="I34" s="11">
        <f>SUMIFS(Artikel!$AK$7:$AK$1570,Artikel!$BQ$7:$BQ$1570,1,Artikel!$BO$7:$BO$1570,0)</f>
        <v/>
      </c>
      <c r="J34" s="11">
        <f>SUMIFS(Artikel!$AK$7:$AK$1570,Artikel!$BQ$7:$BQ$1570,1,Artikel!$BO$7:$BO$1570,1)</f>
        <v/>
      </c>
      <c r="K34" s="28">
        <f>IF(I34+J34&gt;0,J34/(I34+J34),0)</f>
        <v/>
      </c>
      <c r="N34" s="10" t="inlineStr">
        <is>
          <t>Lift 1 – Schwer</t>
        </is>
      </c>
      <c r="O34" s="11">
        <f>SUMIFS(Artikel!$AS$7:$AS$1570,Artikel!$BQ$7:$BQ$1570,1,Artikel!$BO$7:$BO$1570,0)</f>
        <v/>
      </c>
      <c r="P34" s="11">
        <f>SUMIFS(Artikel!$AS$7:$AS$1570,Artikel!$BQ$7:$BQ$1570,1,Artikel!$BO$7:$BO$1570,1)</f>
        <v/>
      </c>
      <c r="Q34" s="28">
        <f>IF(O34+P34&gt;0,P34/(O34+P34),0)</f>
        <v/>
      </c>
    </row>
    <row r="35">
      <c r="B35" s="10" t="inlineStr">
        <is>
          <t>Lift 2 – Mittel</t>
        </is>
      </c>
      <c r="C35" s="11">
        <f>SUMIFS(Artikel!$AC$7:$AC$1570,Artikel!$BQ$7:$BQ$1570,2,Artikel!$BO$7:$BO$1570,0)</f>
        <v/>
      </c>
      <c r="D35" s="11">
        <f>SUMIFS(Artikel!$AC$7:$AC$1570,Artikel!$BQ$7:$BQ$1570,2,Artikel!$BO$7:$BO$1570,1)</f>
        <v/>
      </c>
      <c r="E35" s="28">
        <f>IF(C35+D35&gt;0,D35/(C35+D35),0)</f>
        <v/>
      </c>
      <c r="H35" s="10" t="inlineStr">
        <is>
          <t>Lift 2 – Mittel</t>
        </is>
      </c>
      <c r="I35" s="11">
        <f>SUMIFS(Artikel!$AK$7:$AK$1570,Artikel!$BQ$7:$BQ$1570,2,Artikel!$BO$7:$BO$1570,0)</f>
        <v/>
      </c>
      <c r="J35" s="11">
        <f>SUMIFS(Artikel!$AK$7:$AK$1570,Artikel!$BQ$7:$BQ$1570,2,Artikel!$BO$7:$BO$1570,1)</f>
        <v/>
      </c>
      <c r="K35" s="28">
        <f>IF(I35+J35&gt;0,J35/(I35+J35),0)</f>
        <v/>
      </c>
      <c r="N35" s="10" t="inlineStr">
        <is>
          <t>Lift 2 – Mittel</t>
        </is>
      </c>
      <c r="O35" s="11">
        <f>SUMIFS(Artikel!$AS$7:$AS$1570,Artikel!$BQ$7:$BQ$1570,2,Artikel!$BO$7:$BO$1570,0)</f>
        <v/>
      </c>
      <c r="P35" s="11">
        <f>SUMIFS(Artikel!$AS$7:$AS$1570,Artikel!$BQ$7:$BQ$1570,2,Artikel!$BO$7:$BO$1570,1)</f>
        <v/>
      </c>
      <c r="Q35" s="28">
        <f>IF(O35+P35&gt;0,P35/(O35+P35),0)</f>
        <v/>
      </c>
    </row>
    <row r="36">
      <c r="B36" s="10" t="inlineStr">
        <is>
          <t>Lift 3 – Klein</t>
        </is>
      </c>
      <c r="C36" s="11">
        <f>SUMIFS(Artikel!$AC$7:$AC$1570,Artikel!$BQ$7:$BQ$1570,3,Artikel!$BO$7:$BO$1570,0)</f>
        <v/>
      </c>
      <c r="D36" s="11">
        <f>SUMIFS(Artikel!$AC$7:$AC$1570,Artikel!$BQ$7:$BQ$1570,3,Artikel!$BO$7:$BO$1570,1)</f>
        <v/>
      </c>
      <c r="E36" s="28">
        <f>IF(C36+D36&gt;0,D36/(C36+D36),0)</f>
        <v/>
      </c>
      <c r="H36" s="10" t="inlineStr">
        <is>
          <t>Lift 3 – Klein</t>
        </is>
      </c>
      <c r="I36" s="11">
        <f>SUMIFS(Artikel!$AK$7:$AK$1570,Artikel!$BQ$7:$BQ$1570,3,Artikel!$BO$7:$BO$1570,0)</f>
        <v/>
      </c>
      <c r="J36" s="11">
        <f>SUMIFS(Artikel!$AK$7:$AK$1570,Artikel!$BQ$7:$BQ$1570,3,Artikel!$BO$7:$BO$1570,1)</f>
        <v/>
      </c>
      <c r="K36" s="28">
        <f>IF(I36+J36&gt;0,J36/(I36+J36),0)</f>
        <v/>
      </c>
      <c r="N36" s="10" t="inlineStr">
        <is>
          <t>Lift 3 – Klein</t>
        </is>
      </c>
      <c r="O36" s="11">
        <f>SUMIFS(Artikel!$AS$7:$AS$1570,Artikel!$BQ$7:$BQ$1570,3,Artikel!$BO$7:$BO$1570,0)</f>
        <v/>
      </c>
      <c r="P36" s="11">
        <f>SUMIFS(Artikel!$AS$7:$AS$1570,Artikel!$BQ$7:$BQ$1570,3,Artikel!$BO$7:$BO$1570,1)</f>
        <v/>
      </c>
      <c r="Q36" s="28">
        <f>IF(O36+P36&gt;0,P36/(O36+P36),0)</f>
        <v/>
      </c>
    </row>
    <row r="37">
      <c r="B37" s="14" t="inlineStr">
        <is>
          <t>Total</t>
        </is>
      </c>
      <c r="C37" s="15">
        <f>SUM(C34:C36)</f>
        <v/>
      </c>
      <c r="D37" s="15">
        <f>SUM(D34:D36)</f>
        <v/>
      </c>
      <c r="E37" s="13">
        <f>IF(C37+D37&gt;0,D37/(C37+D37),0)</f>
        <v/>
      </c>
      <c r="H37" s="14" t="inlineStr">
        <is>
          <t>Total</t>
        </is>
      </c>
      <c r="I37" s="15">
        <f>SUM(I34:I36)</f>
        <v/>
      </c>
      <c r="J37" s="15">
        <f>SUM(J34:J36)</f>
        <v/>
      </c>
      <c r="K37" s="13">
        <f>IF(I37+J37&gt;0,J37/(I37+J37),0)</f>
        <v/>
      </c>
      <c r="N37" s="14" t="inlineStr">
        <is>
          <t>Total</t>
        </is>
      </c>
      <c r="O37" s="15">
        <f>SUM(O34:O36)</f>
        <v/>
      </c>
      <c r="P37" s="15">
        <f>SUM(P34:P36)</f>
        <v/>
      </c>
      <c r="Q37" s="13">
        <f>IF(O37+P37&gt;0,P37/(O37+P37),0)</f>
        <v/>
      </c>
    </row>
    <row r="40">
      <c r="B40" s="5" t="inlineStr">
        <is>
          <t>Diagrammdaten (Auslastung %)</t>
        </is>
      </c>
      <c r="C40" s="5">
        <f>"A1: "&amp;LEFT(C5,1)&amp;IF(LEFT(C5,1)="A",""," LU "&amp;C6)</f>
        <v/>
      </c>
      <c r="D40" s="5">
        <f>"A2: "&amp;LEFT(I5,1)&amp;IF(LEFT(I5,1)="A",""," LU "&amp;I6)</f>
        <v/>
      </c>
      <c r="E40" s="5">
        <f>"A3: "&amp;LEFT(O5,1)&amp;IF(LEFT(O5,1)="A",""," LU "&amp;O6)</f>
        <v/>
      </c>
      <c r="F40" s="5" t="inlineStr">
        <is>
          <t>100 %</t>
        </is>
      </c>
    </row>
    <row r="41">
      <c r="B41" s="21" t="inlineStr">
        <is>
          <t>Lift 1</t>
        </is>
      </c>
      <c r="C41" s="29">
        <f>F9</f>
        <v/>
      </c>
      <c r="D41" s="29">
        <f>L9</f>
        <v/>
      </c>
      <c r="E41" s="29">
        <f>R9</f>
        <v/>
      </c>
      <c r="F41" s="29" t="n">
        <v>1</v>
      </c>
    </row>
    <row r="42">
      <c r="B42" s="21" t="inlineStr">
        <is>
          <t>Lift 2</t>
        </is>
      </c>
      <c r="C42" s="29">
        <f>F10</f>
        <v/>
      </c>
      <c r="D42" s="29">
        <f>L10</f>
        <v/>
      </c>
      <c r="E42" s="29">
        <f>R10</f>
        <v/>
      </c>
      <c r="F42" s="29" t="n">
        <v>1</v>
      </c>
    </row>
    <row r="43">
      <c r="B43" s="21" t="inlineStr">
        <is>
          <t>Lift 3</t>
        </is>
      </c>
      <c r="C43" s="29">
        <f>F11</f>
        <v/>
      </c>
      <c r="D43" s="29">
        <f>L11</f>
        <v/>
      </c>
      <c r="E43" s="29">
        <f>R11</f>
        <v/>
      </c>
      <c r="F43" s="29" t="n">
        <v>1</v>
      </c>
    </row>
    <row r="44">
      <c r="B44" s="21" t="inlineStr">
        <is>
          <t>Lift 2+3</t>
        </is>
      </c>
      <c r="C44" s="29">
        <f>F12</f>
        <v/>
      </c>
      <c r="D44" s="29">
        <f>L12</f>
        <v/>
      </c>
      <c r="E44" s="29">
        <f>R12</f>
        <v/>
      </c>
      <c r="F44" s="29" t="n">
        <v>1</v>
      </c>
    </row>
    <row r="45">
      <c r="B45" s="21" t="inlineStr">
        <is>
          <t>Total</t>
        </is>
      </c>
      <c r="C45" s="29">
        <f>F13</f>
        <v/>
      </c>
      <c r="D45" s="29">
        <f>L13</f>
        <v/>
      </c>
      <c r="E45" s="29">
        <f>R13</f>
        <v/>
      </c>
      <c r="F45" s="29" t="n">
        <v>1</v>
      </c>
    </row>
  </sheetData>
  <mergeCells count="12">
    <mergeCell ref="B4:F4"/>
    <mergeCell ref="K17:L18"/>
    <mergeCell ref="N4:R4"/>
    <mergeCell ref="N20:R20"/>
    <mergeCell ref="B20:F20"/>
    <mergeCell ref="H20:L20"/>
    <mergeCell ref="Q17:R18"/>
    <mergeCell ref="O5:R5"/>
    <mergeCell ref="C5:F5"/>
    <mergeCell ref="H4:L4"/>
    <mergeCell ref="E17:F18"/>
    <mergeCell ref="I5:L5"/>
  </mergeCells>
  <conditionalFormatting sqref="C6">
    <cfRule type="expression" priority="1" dxfId="0">
      <formula>LEFT($C$5,1)="A"</formula>
    </cfRule>
  </conditionalFormatting>
  <conditionalFormatting sqref="F9:F13">
    <cfRule type="dataBar" priority="2">
      <dataBar showValue="1">
        <cfvo type="num" val="0"/>
        <cfvo type="num" val="1.5"/>
        <color rgb="005B9BD5"/>
      </dataBar>
    </cfRule>
    <cfRule type="cellIs" priority="3" operator="greaterThan" dxfId="1">
      <formula>Parameter!$B$12</formula>
    </cfRule>
    <cfRule type="cellIs" priority="4" operator="greaterThanOrEqual" dxfId="2">
      <formula>Parameter!$B$11</formula>
    </cfRule>
    <cfRule type="cellIs" priority="5" operator="lessThan" dxfId="3">
      <formula>Parameter!$B$11</formula>
    </cfRule>
  </conditionalFormatting>
  <conditionalFormatting sqref="E17">
    <cfRule type="cellIs" priority="6" operator="equal" dxfId="4">
      <formula>"JA"</formula>
    </cfRule>
    <cfRule type="cellIs" priority="7" operator="equal" dxfId="5">
      <formula>"NEIN"</formula>
    </cfRule>
  </conditionalFormatting>
  <conditionalFormatting sqref="D18">
    <cfRule type="cellIs" priority="8" operator="equal" dxfId="4">
      <formula>"JA"</formula>
    </cfRule>
    <cfRule type="cellIs" priority="9" operator="equal" dxfId="5">
      <formula>"NEIN"</formula>
    </cfRule>
  </conditionalFormatting>
  <conditionalFormatting sqref="D19">
    <cfRule type="cellIs" priority="10" operator="equal" dxfId="4">
      <formula>"JA"</formula>
    </cfRule>
    <cfRule type="cellIs" priority="11" operator="equal" dxfId="5">
      <formula>"NEIN"</formula>
    </cfRule>
  </conditionalFormatting>
  <conditionalFormatting sqref="I6">
    <cfRule type="expression" priority="12" dxfId="0">
      <formula>LEFT($I$5,1)="A"</formula>
    </cfRule>
  </conditionalFormatting>
  <conditionalFormatting sqref="L9:L13">
    <cfRule type="dataBar" priority="13">
      <dataBar showValue="1">
        <cfvo type="num" val="0"/>
        <cfvo type="num" val="1.5"/>
        <color rgb="005B9BD5"/>
      </dataBar>
    </cfRule>
    <cfRule type="cellIs" priority="14" operator="greaterThan" dxfId="1">
      <formula>Parameter!$B$12</formula>
    </cfRule>
    <cfRule type="cellIs" priority="15" operator="greaterThanOrEqual" dxfId="2">
      <formula>Parameter!$B$11</formula>
    </cfRule>
    <cfRule type="cellIs" priority="16" operator="lessThan" dxfId="3">
      <formula>Parameter!$B$11</formula>
    </cfRule>
  </conditionalFormatting>
  <conditionalFormatting sqref="K17">
    <cfRule type="cellIs" priority="17" operator="equal" dxfId="4">
      <formula>"JA"</formula>
    </cfRule>
    <cfRule type="cellIs" priority="18" operator="equal" dxfId="5">
      <formula>"NEIN"</formula>
    </cfRule>
  </conditionalFormatting>
  <conditionalFormatting sqref="J18">
    <cfRule type="cellIs" priority="19" operator="equal" dxfId="4">
      <formula>"JA"</formula>
    </cfRule>
    <cfRule type="cellIs" priority="20" operator="equal" dxfId="5">
      <formula>"NEIN"</formula>
    </cfRule>
  </conditionalFormatting>
  <conditionalFormatting sqref="J19">
    <cfRule type="cellIs" priority="21" operator="equal" dxfId="4">
      <formula>"JA"</formula>
    </cfRule>
    <cfRule type="cellIs" priority="22" operator="equal" dxfId="5">
      <formula>"NEIN"</formula>
    </cfRule>
  </conditionalFormatting>
  <conditionalFormatting sqref="O6">
    <cfRule type="expression" priority="23" dxfId="0">
      <formula>LEFT($O$5,1)="A"</formula>
    </cfRule>
  </conditionalFormatting>
  <conditionalFormatting sqref="R9:R13">
    <cfRule type="dataBar" priority="24">
      <dataBar showValue="1">
        <cfvo type="num" val="0"/>
        <cfvo type="num" val="1.5"/>
        <color rgb="005B9BD5"/>
      </dataBar>
    </cfRule>
    <cfRule type="cellIs" priority="25" operator="greaterThan" dxfId="1">
      <formula>Parameter!$B$12</formula>
    </cfRule>
    <cfRule type="cellIs" priority="26" operator="greaterThanOrEqual" dxfId="2">
      <formula>Parameter!$B$11</formula>
    </cfRule>
    <cfRule type="cellIs" priority="27" operator="lessThan" dxfId="3">
      <formula>Parameter!$B$11</formula>
    </cfRule>
  </conditionalFormatting>
  <conditionalFormatting sqref="Q17">
    <cfRule type="cellIs" priority="28" operator="equal" dxfId="4">
      <formula>"JA"</formula>
    </cfRule>
    <cfRule type="cellIs" priority="29" operator="equal" dxfId="5">
      <formula>"NEIN"</formula>
    </cfRule>
  </conditionalFormatting>
  <conditionalFormatting sqref="P18">
    <cfRule type="cellIs" priority="30" operator="equal" dxfId="4">
      <formula>"JA"</formula>
    </cfRule>
    <cfRule type="cellIs" priority="31" operator="equal" dxfId="5">
      <formula>"NEIN"</formula>
    </cfRule>
  </conditionalFormatting>
  <conditionalFormatting sqref="P19">
    <cfRule type="cellIs" priority="32" operator="equal" dxfId="4">
      <formula>"JA"</formula>
    </cfRule>
    <cfRule type="cellIs" priority="33" operator="equal" dxfId="5">
      <formula>"NEIN"</formula>
    </cfRule>
  </conditionalFormatting>
  <dataValidations count="2">
    <dataValidation sqref="C5 I5 O5" showDropDown="0" showInputMessage="0" showErrorMessage="0" allowBlank="0" type="list">
      <formula1>Parameter!$D$23:$D$25</formula1>
    </dataValidation>
    <dataValidation sqref="C6 I6 O6" showDropDown="0" showInputMessage="0" showErrorMessage="0" allowBlank="0" type="list">
      <formula1>Parameter!$A$23:$A$30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37"/>
  <sheetViews>
    <sheetView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10" customWidth="1" min="6" max="6"/>
    <col width="9" customWidth="1" min="7" max="7"/>
    <col width="9" customWidth="1" min="8" max="8"/>
    <col width="11" customWidth="1" min="9" max="9"/>
    <col width="13" customWidth="1" min="10" max="10"/>
    <col width="12" customWidth="1" min="11" max="11"/>
    <col width="11" customWidth="1" min="12" max="12"/>
    <col width="10" customWidth="1" min="13" max="13"/>
    <col width="10" customWidth="1" min="14" max="14"/>
    <col width="10" customWidth="1" min="15" max="15"/>
    <col width="11" customWidth="1" min="16" max="16"/>
  </cols>
  <sheetData>
    <row r="1">
      <c r="A1" s="30" t="inlineStr">
        <is>
          <t>Szenarien – alle LU-Werte auf einen Blick</t>
        </is>
      </c>
    </row>
    <row r="2">
      <c r="A2" s="31" t="inlineStr">
        <is>
          <t>Berechnung direkt über das Blatt «Artikel» (SUMPRODUCT). Berücksichtigt Lift-Zuordnung, Gebinde-Anpassungen, Ziel-LU je Artikel und MAX final. LU-Werte aus Parameter A23:A30.</t>
        </is>
      </c>
    </row>
    <row r="4" ht="30" customHeight="1">
      <c r="A4" s="9" t="inlineStr">
        <is>
          <t>Variante</t>
        </is>
      </c>
      <c r="B4" s="9" t="inlineStr">
        <is>
          <t>Ziel-LU</t>
        </is>
      </c>
      <c r="C4" s="9" t="inlineStr">
        <is>
          <t>Lift 1 %</t>
        </is>
      </c>
      <c r="D4" s="9" t="inlineStr">
        <is>
          <t>Lift 2 %</t>
        </is>
      </c>
      <c r="E4" s="9" t="inlineStr">
        <is>
          <t>Lift 3 %</t>
        </is>
      </c>
      <c r="F4" s="9" t="inlineStr">
        <is>
          <t>Lift 2+3 %</t>
        </is>
      </c>
      <c r="G4" s="9" t="inlineStr">
        <is>
          <t>Total %</t>
        </is>
      </c>
      <c r="H4" s="9" t="inlineStr">
        <is>
          <t>Passt alles?</t>
        </is>
      </c>
      <c r="I4" s="9" t="inlineStr">
        <is>
          <t>Aussenlager m²</t>
        </is>
      </c>
      <c r="J4" s="9" t="inlineStr">
        <is>
          <t>Lagerwert CHF</t>
        </is>
      </c>
      <c r="K4" s="9" t="inlineStr">
        <is>
          <t>Δ zum Ist CHF</t>
        </is>
      </c>
      <c r="L4" s="9" t="inlineStr">
        <is>
          <t>Δ zum Ist m²</t>
        </is>
      </c>
      <c r="M4" s="9" t="inlineStr">
        <is>
          <t>Lift 1 m²</t>
        </is>
      </c>
      <c r="N4" s="9" t="inlineStr">
        <is>
          <t>Lift 2 m²</t>
        </is>
      </c>
      <c r="O4" s="9" t="inlineStr">
        <is>
          <t>Lift 3 m²</t>
        </is>
      </c>
      <c r="P4" s="9" t="inlineStr">
        <is>
          <t>Aussen manuell m²</t>
        </is>
      </c>
    </row>
    <row r="5">
      <c r="A5" s="32" t="inlineStr">
        <is>
          <t>Ist-Bestand</t>
        </is>
      </c>
      <c r="B5" s="33" t="inlineStr">
        <is>
          <t>–</t>
        </is>
      </c>
      <c r="C5" s="34">
        <f>M5/Parameter!$K$5</f>
        <v/>
      </c>
      <c r="D5" s="34">
        <f>N5/Parameter!$K$6</f>
        <v/>
      </c>
      <c r="E5" s="34">
        <f>O5/Parameter!$K$7</f>
        <v/>
      </c>
      <c r="F5" s="35">
        <f>(N5+O5)/(Parameter!$K$6+Parameter!$K$7)</f>
        <v/>
      </c>
      <c r="G5" s="35">
        <f>(M5+N5+O5)/Parameter!$K$8</f>
        <v/>
      </c>
      <c r="H5" s="36">
        <f>IF(AND(M5&lt;=Parameter!$K$5,N5+O5&lt;=Parameter!$K$6+Parameter!$K$7),"JA","NEIN")</f>
        <v/>
      </c>
      <c r="I5" s="37">
        <f>MAX(0,M5-Parameter!$K$5)+MAX(0,N5+O5-Parameter!$K$6-Parameter!$K$7)+P5</f>
        <v/>
      </c>
      <c r="J5" s="38">
        <f>SUMPRODUCT(A_IST*A_PREIS)</f>
        <v/>
      </c>
      <c r="K5" s="39">
        <f>J5-$J$5</f>
        <v/>
      </c>
      <c r="L5" s="40">
        <f>(M5+N5+O5+P5)-($M$5+$N$5+$O$5+$P$5)</f>
        <v/>
      </c>
      <c r="M5" s="11">
        <f>SUMPRODUCT((A_LIFT=1)*((1-A_LOSE)*A_ISTN*A_GAREA+A_LOSE*(A_IST&gt;0)*A_LA*(1+(A_IST&gt;0)*(A_IST&gt;A_IST)*(A_IST/(A_IST+(A_IST=0))-1))))</f>
        <v/>
      </c>
      <c r="N5" s="11">
        <f>SUMPRODUCT((A_LIFT=2)*((1-A_LOSE)*A_ISTN*A_GAREA+A_LOSE*(A_IST&gt;0)*A_LA*(1+(A_IST&gt;0)*(A_IST&gt;A_IST)*(A_IST/(A_IST+(A_IST=0))-1))))</f>
        <v/>
      </c>
      <c r="O5" s="11">
        <f>SUMPRODUCT((A_LIFT=3)*((1-A_LOSE)*A_ISTN*A_GAREA+A_LOSE*(A_IST&gt;0)*A_LA*(1+(A_IST&gt;0)*(A_IST&gt;A_IST)*(A_IST/(A_IST+(A_IST=0))-1))))</f>
        <v/>
      </c>
      <c r="P5" s="11">
        <f>SUMPRODUCT((A_LIFT="Aussen")*((1-A_LOSE)*A_ISTN*A_GAREA+A_LOSE*(A_IST&gt;0)*A_LA*(1+(A_IST&gt;0)*(A_IST&gt;A_IST)*(A_IST/(A_IST+(A_IST=0))-1))))</f>
        <v/>
      </c>
    </row>
    <row r="6">
      <c r="A6" s="10" t="inlineStr">
        <is>
          <t>B – Ziel-LU</t>
        </is>
      </c>
      <c r="B6" s="41">
        <f>Parameter!$A$23</f>
        <v/>
      </c>
      <c r="C6" s="28">
        <f>M6/Parameter!$K$5</f>
        <v/>
      </c>
      <c r="D6" s="28">
        <f>N6/Parameter!$K$6</f>
        <v/>
      </c>
      <c r="E6" s="28">
        <f>O6/Parameter!$K$7</f>
        <v/>
      </c>
      <c r="F6" s="13">
        <f>(N6+O6)/(Parameter!$K$6+Parameter!$K$7)</f>
        <v/>
      </c>
      <c r="G6" s="13">
        <f>(M6+N6+O6)/Parameter!$K$8</f>
        <v/>
      </c>
      <c r="H6" s="42">
        <f>IF(AND(M6&lt;=Parameter!$K$5,N6+O6&lt;=Parameter!$K$6+Parameter!$K$7),"JA","NEIN")</f>
        <v/>
      </c>
      <c r="I6" s="11">
        <f>MAX(0,M6-Parameter!$K$5)+MAX(0,N6+O6-Parameter!$K$6-Parameter!$K$7)+P6</f>
        <v/>
      </c>
      <c r="J6" s="43">
        <f>SUMPRODUCT((A_FINF*A_FINV+(1-A_FINF)*ROUNDUP((A_VERB/(A_LUO+(A_LUO=0)*$B6)+(A_MBLG&gt;A_VERB/(A_LUO+(A_LUO=0)*$B6))*(A_MBLG-A_VERB/(A_LUO+(A_LUO=0)*$B6)))/A_MPG_E,0)*A_MPG_E)*A_PREIS)</f>
        <v/>
      </c>
      <c r="K6" s="44">
        <f>J6-$J$5</f>
        <v/>
      </c>
      <c r="L6" s="45">
        <f>(M6+N6+O6+P6)-($M$5+$N$5+$O$5+$P$5)</f>
        <v/>
      </c>
      <c r="M6" s="11">
        <f>SUMPRODUCT((A_LIFT=1)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</f>
        <v/>
      </c>
      <c r="N6" s="11">
        <f>SUMPRODUCT((A_LIFT=2)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</f>
        <v/>
      </c>
      <c r="O6" s="11">
        <f>SUMPRODUCT((A_LIFT=3)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</f>
        <v/>
      </c>
      <c r="P6" s="11">
        <f>SUMPRODUCT((A_LIFT="Aussen"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</f>
        <v/>
      </c>
    </row>
    <row r="7">
      <c r="A7" s="10" t="inlineStr">
        <is>
          <t>B – Ziel-LU</t>
        </is>
      </c>
      <c r="B7" s="41">
        <f>Parameter!$A$24</f>
        <v/>
      </c>
      <c r="C7" s="28">
        <f>M7/Parameter!$K$5</f>
        <v/>
      </c>
      <c r="D7" s="28">
        <f>N7/Parameter!$K$6</f>
        <v/>
      </c>
      <c r="E7" s="28">
        <f>O7/Parameter!$K$7</f>
        <v/>
      </c>
      <c r="F7" s="13">
        <f>(N7+O7)/(Parameter!$K$6+Parameter!$K$7)</f>
        <v/>
      </c>
      <c r="G7" s="13">
        <f>(M7+N7+O7)/Parameter!$K$8</f>
        <v/>
      </c>
      <c r="H7" s="42">
        <f>IF(AND(M7&lt;=Parameter!$K$5,N7+O7&lt;=Parameter!$K$6+Parameter!$K$7),"JA","NEIN")</f>
        <v/>
      </c>
      <c r="I7" s="11">
        <f>MAX(0,M7-Parameter!$K$5)+MAX(0,N7+O7-Parameter!$K$6-Parameter!$K$7)+P7</f>
        <v/>
      </c>
      <c r="J7" s="43">
        <f>SUMPRODUCT((A_FINF*A_FINV+(1-A_FINF)*ROUNDUP((A_VERB/(A_LUO+(A_LUO=0)*$B7)+(A_MBLG&gt;A_VERB/(A_LUO+(A_LUO=0)*$B7))*(A_MBLG-A_VERB/(A_LUO+(A_LUO=0)*$B7)))/A_MPG_E,0)*A_MPG_E)*A_PREIS)</f>
        <v/>
      </c>
      <c r="K7" s="44">
        <f>J7-$J$5</f>
        <v/>
      </c>
      <c r="L7" s="45">
        <f>(M7+N7+O7+P7)-($M$5+$N$5+$O$5+$P$5)</f>
        <v/>
      </c>
      <c r="M7" s="11">
        <f>SUMPRODUCT((A_LIFT=1)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</f>
        <v/>
      </c>
      <c r="N7" s="11">
        <f>SUMPRODUCT((A_LIFT=2)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</f>
        <v/>
      </c>
      <c r="O7" s="11">
        <f>SUMPRODUCT((A_LIFT=3)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</f>
        <v/>
      </c>
      <c r="P7" s="11">
        <f>SUMPRODUCT((A_LIFT="Aussen"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</f>
        <v/>
      </c>
    </row>
    <row r="8">
      <c r="A8" s="10" t="inlineStr">
        <is>
          <t>B – Ziel-LU</t>
        </is>
      </c>
      <c r="B8" s="41">
        <f>Parameter!$A$25</f>
        <v/>
      </c>
      <c r="C8" s="28">
        <f>M8/Parameter!$K$5</f>
        <v/>
      </c>
      <c r="D8" s="28">
        <f>N8/Parameter!$K$6</f>
        <v/>
      </c>
      <c r="E8" s="28">
        <f>O8/Parameter!$K$7</f>
        <v/>
      </c>
      <c r="F8" s="13">
        <f>(N8+O8)/(Parameter!$K$6+Parameter!$K$7)</f>
        <v/>
      </c>
      <c r="G8" s="13">
        <f>(M8+N8+O8)/Parameter!$K$8</f>
        <v/>
      </c>
      <c r="H8" s="42">
        <f>IF(AND(M8&lt;=Parameter!$K$5,N8+O8&lt;=Parameter!$K$6+Parameter!$K$7),"JA","NEIN")</f>
        <v/>
      </c>
      <c r="I8" s="11">
        <f>MAX(0,M8-Parameter!$K$5)+MAX(0,N8+O8-Parameter!$K$6-Parameter!$K$7)+P8</f>
        <v/>
      </c>
      <c r="J8" s="43">
        <f>SUMPRODUCT((A_FINF*A_FINV+(1-A_FINF)*ROUNDUP((A_VERB/(A_LUO+(A_LUO=0)*$B8)+(A_MBLG&gt;A_VERB/(A_LUO+(A_LUO=0)*$B8))*(A_MBLG-A_VERB/(A_LUO+(A_LUO=0)*$B8)))/A_MPG_E,0)*A_MPG_E)*A_PREIS)</f>
        <v/>
      </c>
      <c r="K8" s="44">
        <f>J8-$J$5</f>
        <v/>
      </c>
      <c r="L8" s="45">
        <f>(M8+N8+O8+P8)-($M$5+$N$5+$O$5+$P$5)</f>
        <v/>
      </c>
      <c r="M8" s="11">
        <f>SUMPRODUCT((A_LIFT=1)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</f>
        <v/>
      </c>
      <c r="N8" s="11">
        <f>SUMPRODUCT((A_LIFT=2)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</f>
        <v/>
      </c>
      <c r="O8" s="11">
        <f>SUMPRODUCT((A_LIFT=3)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</f>
        <v/>
      </c>
      <c r="P8" s="11">
        <f>SUMPRODUCT((A_LIFT="Aussen"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</f>
        <v/>
      </c>
    </row>
    <row r="9">
      <c r="A9" s="10" t="inlineStr">
        <is>
          <t>B – Ziel-LU</t>
        </is>
      </c>
      <c r="B9" s="41">
        <f>Parameter!$A$26</f>
        <v/>
      </c>
      <c r="C9" s="28">
        <f>M9/Parameter!$K$5</f>
        <v/>
      </c>
      <c r="D9" s="28">
        <f>N9/Parameter!$K$6</f>
        <v/>
      </c>
      <c r="E9" s="28">
        <f>O9/Parameter!$K$7</f>
        <v/>
      </c>
      <c r="F9" s="13">
        <f>(N9+O9)/(Parameter!$K$6+Parameter!$K$7)</f>
        <v/>
      </c>
      <c r="G9" s="13">
        <f>(M9+N9+O9)/Parameter!$K$8</f>
        <v/>
      </c>
      <c r="H9" s="42">
        <f>IF(AND(M9&lt;=Parameter!$K$5,N9+O9&lt;=Parameter!$K$6+Parameter!$K$7),"JA","NEIN")</f>
        <v/>
      </c>
      <c r="I9" s="11">
        <f>MAX(0,M9-Parameter!$K$5)+MAX(0,N9+O9-Parameter!$K$6-Parameter!$K$7)+P9</f>
        <v/>
      </c>
      <c r="J9" s="43">
        <f>SUMPRODUCT((A_FINF*A_FINV+(1-A_FINF)*ROUNDUP((A_VERB/(A_LUO+(A_LUO=0)*$B9)+(A_MBLG&gt;A_VERB/(A_LUO+(A_LUO=0)*$B9))*(A_MBLG-A_VERB/(A_LUO+(A_LUO=0)*$B9)))/A_MPG_E,0)*A_MPG_E)*A_PREIS)</f>
        <v/>
      </c>
      <c r="K9" s="44">
        <f>J9-$J$5</f>
        <v/>
      </c>
      <c r="L9" s="45">
        <f>(M9+N9+O9+P9)-($M$5+$N$5+$O$5+$P$5)</f>
        <v/>
      </c>
      <c r="M9" s="11">
        <f>SUMPRODUCT((A_LIFT=1)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</f>
        <v/>
      </c>
      <c r="N9" s="11">
        <f>SUMPRODUCT((A_LIFT=2)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</f>
        <v/>
      </c>
      <c r="O9" s="11">
        <f>SUMPRODUCT((A_LIFT=3)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</f>
        <v/>
      </c>
      <c r="P9" s="11">
        <f>SUMPRODUCT((A_LIFT="Aussen"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</f>
        <v/>
      </c>
    </row>
    <row r="10">
      <c r="A10" s="10" t="inlineStr">
        <is>
          <t>B – Ziel-LU</t>
        </is>
      </c>
      <c r="B10" s="41">
        <f>Parameter!$A$27</f>
        <v/>
      </c>
      <c r="C10" s="28">
        <f>M10/Parameter!$K$5</f>
        <v/>
      </c>
      <c r="D10" s="28">
        <f>N10/Parameter!$K$6</f>
        <v/>
      </c>
      <c r="E10" s="28">
        <f>O10/Parameter!$K$7</f>
        <v/>
      </c>
      <c r="F10" s="13">
        <f>(N10+O10)/(Parameter!$K$6+Parameter!$K$7)</f>
        <v/>
      </c>
      <c r="G10" s="13">
        <f>(M10+N10+O10)/Parameter!$K$8</f>
        <v/>
      </c>
      <c r="H10" s="42">
        <f>IF(AND(M10&lt;=Parameter!$K$5,N10+O10&lt;=Parameter!$K$6+Parameter!$K$7),"JA","NEIN")</f>
        <v/>
      </c>
      <c r="I10" s="11">
        <f>MAX(0,M10-Parameter!$K$5)+MAX(0,N10+O10-Parameter!$K$6-Parameter!$K$7)+P10</f>
        <v/>
      </c>
      <c r="J10" s="43">
        <f>SUMPRODUCT((A_FINF*A_FINV+(1-A_FINF)*ROUNDUP((A_VERB/(A_LUO+(A_LUO=0)*$B10)+(A_MBLG&gt;A_VERB/(A_LUO+(A_LUO=0)*$B10))*(A_MBLG-A_VERB/(A_LUO+(A_LUO=0)*$B10)))/A_MPG_E,0)*A_MPG_E)*A_PREIS)</f>
        <v/>
      </c>
      <c r="K10" s="44">
        <f>J10-$J$5</f>
        <v/>
      </c>
      <c r="L10" s="45">
        <f>(M10+N10+O10+P10)-($M$5+$N$5+$O$5+$P$5)</f>
        <v/>
      </c>
      <c r="M10" s="11">
        <f>SUMPRODUCT((A_LIFT=1)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</f>
        <v/>
      </c>
      <c r="N10" s="11">
        <f>SUMPRODUCT((A_LIFT=2)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</f>
        <v/>
      </c>
      <c r="O10" s="11">
        <f>SUMPRODUCT((A_LIFT=3)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</f>
        <v/>
      </c>
      <c r="P10" s="11">
        <f>SUMPRODUCT((A_LIFT="Aussen"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</f>
        <v/>
      </c>
    </row>
    <row r="11">
      <c r="A11" s="10" t="inlineStr">
        <is>
          <t>B – Ziel-LU</t>
        </is>
      </c>
      <c r="B11" s="41">
        <f>Parameter!$A$28</f>
        <v/>
      </c>
      <c r="C11" s="28">
        <f>M11/Parameter!$K$5</f>
        <v/>
      </c>
      <c r="D11" s="28">
        <f>N11/Parameter!$K$6</f>
        <v/>
      </c>
      <c r="E11" s="28">
        <f>O11/Parameter!$K$7</f>
        <v/>
      </c>
      <c r="F11" s="13">
        <f>(N11+O11)/(Parameter!$K$6+Parameter!$K$7)</f>
        <v/>
      </c>
      <c r="G11" s="13">
        <f>(M11+N11+O11)/Parameter!$K$8</f>
        <v/>
      </c>
      <c r="H11" s="42">
        <f>IF(AND(M11&lt;=Parameter!$K$5,N11+O11&lt;=Parameter!$K$6+Parameter!$K$7),"JA","NEIN")</f>
        <v/>
      </c>
      <c r="I11" s="11">
        <f>MAX(0,M11-Parameter!$K$5)+MAX(0,N11+O11-Parameter!$K$6-Parameter!$K$7)+P11</f>
        <v/>
      </c>
      <c r="J11" s="43">
        <f>SUMPRODUCT((A_FINF*A_FINV+(1-A_FINF)*ROUNDUP((A_VERB/(A_LUO+(A_LUO=0)*$B11)+(A_MBLG&gt;A_VERB/(A_LUO+(A_LUO=0)*$B11))*(A_MBLG-A_VERB/(A_LUO+(A_LUO=0)*$B11)))/A_MPG_E,0)*A_MPG_E)*A_PREIS)</f>
        <v/>
      </c>
      <c r="K11" s="44">
        <f>J11-$J$5</f>
        <v/>
      </c>
      <c r="L11" s="45">
        <f>(M11+N11+O11+P11)-($M$5+$N$5+$O$5+$P$5)</f>
        <v/>
      </c>
      <c r="M11" s="11">
        <f>SUMPRODUCT((A_LIFT=1)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</f>
        <v/>
      </c>
      <c r="N11" s="11">
        <f>SUMPRODUCT((A_LIFT=2)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</f>
        <v/>
      </c>
      <c r="O11" s="11">
        <f>SUMPRODUCT((A_LIFT=3)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</f>
        <v/>
      </c>
      <c r="P11" s="11">
        <f>SUMPRODUCT((A_LIFT="Aussen"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</f>
        <v/>
      </c>
    </row>
    <row r="12">
      <c r="A12" s="10" t="inlineStr">
        <is>
          <t>B – Ziel-LU</t>
        </is>
      </c>
      <c r="B12" s="41">
        <f>Parameter!$A$29</f>
        <v/>
      </c>
      <c r="C12" s="28">
        <f>M12/Parameter!$K$5</f>
        <v/>
      </c>
      <c r="D12" s="28">
        <f>N12/Parameter!$K$6</f>
        <v/>
      </c>
      <c r="E12" s="28">
        <f>O12/Parameter!$K$7</f>
        <v/>
      </c>
      <c r="F12" s="13">
        <f>(N12+O12)/(Parameter!$K$6+Parameter!$K$7)</f>
        <v/>
      </c>
      <c r="G12" s="13">
        <f>(M12+N12+O12)/Parameter!$K$8</f>
        <v/>
      </c>
      <c r="H12" s="42">
        <f>IF(AND(M12&lt;=Parameter!$K$5,N12+O12&lt;=Parameter!$K$6+Parameter!$K$7),"JA","NEIN")</f>
        <v/>
      </c>
      <c r="I12" s="11">
        <f>MAX(0,M12-Parameter!$K$5)+MAX(0,N12+O12-Parameter!$K$6-Parameter!$K$7)+P12</f>
        <v/>
      </c>
      <c r="J12" s="43">
        <f>SUMPRODUCT((A_FINF*A_FINV+(1-A_FINF)*ROUNDUP((A_VERB/(A_LUO+(A_LUO=0)*$B12)+(A_MBLG&gt;A_VERB/(A_LUO+(A_LUO=0)*$B12))*(A_MBLG-A_VERB/(A_LUO+(A_LUO=0)*$B12)))/A_MPG_E,0)*A_MPG_E)*A_PREIS)</f>
        <v/>
      </c>
      <c r="K12" s="44">
        <f>J12-$J$5</f>
        <v/>
      </c>
      <c r="L12" s="45">
        <f>(M12+N12+O12+P12)-($M$5+$N$5+$O$5+$P$5)</f>
        <v/>
      </c>
      <c r="M12" s="11">
        <f>SUMPRODUCT((A_LIFT=1)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</f>
        <v/>
      </c>
      <c r="N12" s="11">
        <f>SUMPRODUCT((A_LIFT=2)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</f>
        <v/>
      </c>
      <c r="O12" s="11">
        <f>SUMPRODUCT((A_LIFT=3)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</f>
        <v/>
      </c>
      <c r="P12" s="11">
        <f>SUMPRODUCT((A_LIFT="Aussen"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</f>
        <v/>
      </c>
    </row>
    <row r="13">
      <c r="A13" s="10" t="inlineStr">
        <is>
          <t>B – Ziel-LU</t>
        </is>
      </c>
      <c r="B13" s="41">
        <f>Parameter!$A$30</f>
        <v/>
      </c>
      <c r="C13" s="28">
        <f>M13/Parameter!$K$5</f>
        <v/>
      </c>
      <c r="D13" s="28">
        <f>N13/Parameter!$K$6</f>
        <v/>
      </c>
      <c r="E13" s="28">
        <f>O13/Parameter!$K$7</f>
        <v/>
      </c>
      <c r="F13" s="13">
        <f>(N13+O13)/(Parameter!$K$6+Parameter!$K$7)</f>
        <v/>
      </c>
      <c r="G13" s="13">
        <f>(M13+N13+O13)/Parameter!$K$8</f>
        <v/>
      </c>
      <c r="H13" s="42">
        <f>IF(AND(M13&lt;=Parameter!$K$5,N13+O13&lt;=Parameter!$K$6+Parameter!$K$7),"JA","NEIN")</f>
        <v/>
      </c>
      <c r="I13" s="11">
        <f>MAX(0,M13-Parameter!$K$5)+MAX(0,N13+O13-Parameter!$K$6-Parameter!$K$7)+P13</f>
        <v/>
      </c>
      <c r="J13" s="43">
        <f>SUMPRODUCT((A_FINF*A_FINV+(1-A_FINF)*ROUNDUP((A_VERB/(A_LUO+(A_LUO=0)*$B13)+(A_MBLG&gt;A_VERB/(A_LUO+(A_LUO=0)*$B13))*(A_MBLG-A_VERB/(A_LUO+(A_LUO=0)*$B13)))/A_MPG_E,0)*A_MPG_E)*A_PREIS)</f>
        <v/>
      </c>
      <c r="K13" s="44">
        <f>J13-$J$5</f>
        <v/>
      </c>
      <c r="L13" s="45">
        <f>(M13+N13+O13+P13)-($M$5+$N$5+$O$5+$P$5)</f>
        <v/>
      </c>
      <c r="M13" s="11">
        <f>SUMPRODUCT((A_LIFT=1)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</f>
        <v/>
      </c>
      <c r="N13" s="11">
        <f>SUMPRODUCT((A_LIFT=2)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</f>
        <v/>
      </c>
      <c r="O13" s="11">
        <f>SUMPRODUCT((A_LIFT=3)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</f>
        <v/>
      </c>
      <c r="P13" s="11">
        <f>SUMPRODUCT((A_LIFT="Aussen"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</f>
        <v/>
      </c>
    </row>
    <row r="14">
      <c r="A14" s="10" t="inlineStr">
        <is>
          <t>C – Ziel-LU oder Ist</t>
        </is>
      </c>
      <c r="B14" s="41">
        <f>Parameter!$A$23</f>
        <v/>
      </c>
      <c r="C14" s="28">
        <f>M14/Parameter!$K$5</f>
        <v/>
      </c>
      <c r="D14" s="28">
        <f>N14/Parameter!$K$6</f>
        <v/>
      </c>
      <c r="E14" s="28">
        <f>O14/Parameter!$K$7</f>
        <v/>
      </c>
      <c r="F14" s="13">
        <f>(N14+O14)/(Parameter!$K$6+Parameter!$K$7)</f>
        <v/>
      </c>
      <c r="G14" s="13">
        <f>(M14+N14+O14)/Parameter!$K$8</f>
        <v/>
      </c>
      <c r="H14" s="42">
        <f>IF(AND(M14&lt;=Parameter!$K$5,N14+O14&lt;=Parameter!$K$6+Parameter!$K$7),"JA","NEIN")</f>
        <v/>
      </c>
      <c r="I14" s="11">
        <f>MAX(0,M14-Parameter!$K$5)+MAX(0,N14+O14-Parameter!$K$6-Parameter!$K$7)+P14</f>
        <v/>
      </c>
      <c r="J14" s="43">
        <f>SUMPRODUCT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*A_PREIS)</f>
        <v/>
      </c>
      <c r="K14" s="44">
        <f>J14-$J$5</f>
        <v/>
      </c>
      <c r="L14" s="45">
        <f>(M14+N14+O14+P14)-($M$5+$N$5+$O$5+$P$5)</f>
        <v/>
      </c>
      <c r="M14" s="11">
        <f>SUMPRODUCT((A_LIFT=1)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</f>
        <v/>
      </c>
      <c r="N14" s="11">
        <f>SUMPRODUCT((A_LIFT=2)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</f>
        <v/>
      </c>
      <c r="O14" s="11">
        <f>SUMPRODUCT((A_LIFT=3)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</f>
        <v/>
      </c>
      <c r="P14" s="11">
        <f>SUMPRODUCT((A_LIFT="Aussen"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</f>
        <v/>
      </c>
    </row>
    <row r="15">
      <c r="A15" s="10" t="inlineStr">
        <is>
          <t>C – Ziel-LU oder Ist</t>
        </is>
      </c>
      <c r="B15" s="41">
        <f>Parameter!$A$24</f>
        <v/>
      </c>
      <c r="C15" s="28">
        <f>M15/Parameter!$K$5</f>
        <v/>
      </c>
      <c r="D15" s="28">
        <f>N15/Parameter!$K$6</f>
        <v/>
      </c>
      <c r="E15" s="28">
        <f>O15/Parameter!$K$7</f>
        <v/>
      </c>
      <c r="F15" s="13">
        <f>(N15+O15)/(Parameter!$K$6+Parameter!$K$7)</f>
        <v/>
      </c>
      <c r="G15" s="13">
        <f>(M15+N15+O15)/Parameter!$K$8</f>
        <v/>
      </c>
      <c r="H15" s="42">
        <f>IF(AND(M15&lt;=Parameter!$K$5,N15+O15&lt;=Parameter!$K$6+Parameter!$K$7),"JA","NEIN")</f>
        <v/>
      </c>
      <c r="I15" s="11">
        <f>MAX(0,M15-Parameter!$K$5)+MAX(0,N15+O15-Parameter!$K$6-Parameter!$K$7)+P15</f>
        <v/>
      </c>
      <c r="J15" s="43">
        <f>SUMPRODUCT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*A_PREIS)</f>
        <v/>
      </c>
      <c r="K15" s="44">
        <f>J15-$J$5</f>
        <v/>
      </c>
      <c r="L15" s="45">
        <f>(M15+N15+O15+P15)-($M$5+$N$5+$O$5+$P$5)</f>
        <v/>
      </c>
      <c r="M15" s="11">
        <f>SUMPRODUCT((A_LIFT=1)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</f>
        <v/>
      </c>
      <c r="N15" s="11">
        <f>SUMPRODUCT((A_LIFT=2)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</f>
        <v/>
      </c>
      <c r="O15" s="11">
        <f>SUMPRODUCT((A_LIFT=3)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</f>
        <v/>
      </c>
      <c r="P15" s="11">
        <f>SUMPRODUCT((A_LIFT="Aussen"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</f>
        <v/>
      </c>
    </row>
    <row r="16">
      <c r="A16" s="10" t="inlineStr">
        <is>
          <t>C – Ziel-LU oder Ist</t>
        </is>
      </c>
      <c r="B16" s="41">
        <f>Parameter!$A$25</f>
        <v/>
      </c>
      <c r="C16" s="28">
        <f>M16/Parameter!$K$5</f>
        <v/>
      </c>
      <c r="D16" s="28">
        <f>N16/Parameter!$K$6</f>
        <v/>
      </c>
      <c r="E16" s="28">
        <f>O16/Parameter!$K$7</f>
        <v/>
      </c>
      <c r="F16" s="13">
        <f>(N16+O16)/(Parameter!$K$6+Parameter!$K$7)</f>
        <v/>
      </c>
      <c r="G16" s="13">
        <f>(M16+N16+O16)/Parameter!$K$8</f>
        <v/>
      </c>
      <c r="H16" s="42">
        <f>IF(AND(M16&lt;=Parameter!$K$5,N16+O16&lt;=Parameter!$K$6+Parameter!$K$7),"JA","NEIN")</f>
        <v/>
      </c>
      <c r="I16" s="11">
        <f>MAX(0,M16-Parameter!$K$5)+MAX(0,N16+O16-Parameter!$K$6-Parameter!$K$7)+P16</f>
        <v/>
      </c>
      <c r="J16" s="43">
        <f>SUMPRODUCT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*A_PREIS)</f>
        <v/>
      </c>
      <c r="K16" s="44">
        <f>J16-$J$5</f>
        <v/>
      </c>
      <c r="L16" s="45">
        <f>(M16+N16+O16+P16)-($M$5+$N$5+$O$5+$P$5)</f>
        <v/>
      </c>
      <c r="M16" s="11">
        <f>SUMPRODUCT((A_LIFT=1)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</f>
        <v/>
      </c>
      <c r="N16" s="11">
        <f>SUMPRODUCT((A_LIFT=2)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</f>
        <v/>
      </c>
      <c r="O16" s="11">
        <f>SUMPRODUCT((A_LIFT=3)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</f>
        <v/>
      </c>
      <c r="P16" s="11">
        <f>SUMPRODUCT((A_LIFT="Aussen"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</f>
        <v/>
      </c>
    </row>
    <row r="17">
      <c r="A17" s="10" t="inlineStr">
        <is>
          <t>C – Ziel-LU oder Ist</t>
        </is>
      </c>
      <c r="B17" s="41">
        <f>Parameter!$A$26</f>
        <v/>
      </c>
      <c r="C17" s="28">
        <f>M17/Parameter!$K$5</f>
        <v/>
      </c>
      <c r="D17" s="28">
        <f>N17/Parameter!$K$6</f>
        <v/>
      </c>
      <c r="E17" s="28">
        <f>O17/Parameter!$K$7</f>
        <v/>
      </c>
      <c r="F17" s="13">
        <f>(N17+O17)/(Parameter!$K$6+Parameter!$K$7)</f>
        <v/>
      </c>
      <c r="G17" s="13">
        <f>(M17+N17+O17)/Parameter!$K$8</f>
        <v/>
      </c>
      <c r="H17" s="42">
        <f>IF(AND(M17&lt;=Parameter!$K$5,N17+O17&lt;=Parameter!$K$6+Parameter!$K$7),"JA","NEIN")</f>
        <v/>
      </c>
      <c r="I17" s="11">
        <f>MAX(0,M17-Parameter!$K$5)+MAX(0,N17+O17-Parameter!$K$6-Parameter!$K$7)+P17</f>
        <v/>
      </c>
      <c r="J17" s="43">
        <f>SUMPRODUCT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*A_PREIS)</f>
        <v/>
      </c>
      <c r="K17" s="44">
        <f>J17-$J$5</f>
        <v/>
      </c>
      <c r="L17" s="45">
        <f>(M17+N17+O17+P17)-($M$5+$N$5+$O$5+$P$5)</f>
        <v/>
      </c>
      <c r="M17" s="11">
        <f>SUMPRODUCT((A_LIFT=1)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</f>
        <v/>
      </c>
      <c r="N17" s="11">
        <f>SUMPRODUCT((A_LIFT=2)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</f>
        <v/>
      </c>
      <c r="O17" s="11">
        <f>SUMPRODUCT((A_LIFT=3)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</f>
        <v/>
      </c>
      <c r="P17" s="11">
        <f>SUMPRODUCT((A_LIFT="Aussen"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</f>
        <v/>
      </c>
    </row>
    <row r="18">
      <c r="A18" s="10" t="inlineStr">
        <is>
          <t>C – Ziel-LU oder Ist</t>
        </is>
      </c>
      <c r="B18" s="41">
        <f>Parameter!$A$27</f>
        <v/>
      </c>
      <c r="C18" s="28">
        <f>M18/Parameter!$K$5</f>
        <v/>
      </c>
      <c r="D18" s="28">
        <f>N18/Parameter!$K$6</f>
        <v/>
      </c>
      <c r="E18" s="28">
        <f>O18/Parameter!$K$7</f>
        <v/>
      </c>
      <c r="F18" s="13">
        <f>(N18+O18)/(Parameter!$K$6+Parameter!$K$7)</f>
        <v/>
      </c>
      <c r="G18" s="13">
        <f>(M18+N18+O18)/Parameter!$K$8</f>
        <v/>
      </c>
      <c r="H18" s="42">
        <f>IF(AND(M18&lt;=Parameter!$K$5,N18+O18&lt;=Parameter!$K$6+Parameter!$K$7),"JA","NEIN")</f>
        <v/>
      </c>
      <c r="I18" s="11">
        <f>MAX(0,M18-Parameter!$K$5)+MAX(0,N18+O18-Parameter!$K$6-Parameter!$K$7)+P18</f>
        <v/>
      </c>
      <c r="J18" s="43">
        <f>SUMPRODUCT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*A_PREIS)</f>
        <v/>
      </c>
      <c r="K18" s="44">
        <f>J18-$J$5</f>
        <v/>
      </c>
      <c r="L18" s="45">
        <f>(M18+N18+O18+P18)-($M$5+$N$5+$O$5+$P$5)</f>
        <v/>
      </c>
      <c r="M18" s="11">
        <f>SUMPRODUCT((A_LIFT=1)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</f>
        <v/>
      </c>
      <c r="N18" s="11">
        <f>SUMPRODUCT((A_LIFT=2)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</f>
        <v/>
      </c>
      <c r="O18" s="11">
        <f>SUMPRODUCT((A_LIFT=3)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</f>
        <v/>
      </c>
      <c r="P18" s="11">
        <f>SUMPRODUCT((A_LIFT="Aussen"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</f>
        <v/>
      </c>
    </row>
    <row r="19">
      <c r="A19" s="10" t="inlineStr">
        <is>
          <t>C – Ziel-LU oder Ist</t>
        </is>
      </c>
      <c r="B19" s="41">
        <f>Parameter!$A$28</f>
        <v/>
      </c>
      <c r="C19" s="28">
        <f>M19/Parameter!$K$5</f>
        <v/>
      </c>
      <c r="D19" s="28">
        <f>N19/Parameter!$K$6</f>
        <v/>
      </c>
      <c r="E19" s="28">
        <f>O19/Parameter!$K$7</f>
        <v/>
      </c>
      <c r="F19" s="13">
        <f>(N19+O19)/(Parameter!$K$6+Parameter!$K$7)</f>
        <v/>
      </c>
      <c r="G19" s="13">
        <f>(M19+N19+O19)/Parameter!$K$8</f>
        <v/>
      </c>
      <c r="H19" s="42">
        <f>IF(AND(M19&lt;=Parameter!$K$5,N19+O19&lt;=Parameter!$K$6+Parameter!$K$7),"JA","NEIN")</f>
        <v/>
      </c>
      <c r="I19" s="11">
        <f>MAX(0,M19-Parameter!$K$5)+MAX(0,N19+O19-Parameter!$K$6-Parameter!$K$7)+P19</f>
        <v/>
      </c>
      <c r="J19" s="43">
        <f>SUMPRODUCT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*A_PREIS)</f>
        <v/>
      </c>
      <c r="K19" s="44">
        <f>J19-$J$5</f>
        <v/>
      </c>
      <c r="L19" s="45">
        <f>(M19+N19+O19+P19)-($M$5+$N$5+$O$5+$P$5)</f>
        <v/>
      </c>
      <c r="M19" s="11">
        <f>SUMPRODUCT((A_LIFT=1)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</f>
        <v/>
      </c>
      <c r="N19" s="11">
        <f>SUMPRODUCT((A_LIFT=2)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</f>
        <v/>
      </c>
      <c r="O19" s="11">
        <f>SUMPRODUCT((A_LIFT=3)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</f>
        <v/>
      </c>
      <c r="P19" s="11">
        <f>SUMPRODUCT((A_LIFT="Aussen"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</f>
        <v/>
      </c>
    </row>
    <row r="20">
      <c r="A20" s="10" t="inlineStr">
        <is>
          <t>C – Ziel-LU oder Ist</t>
        </is>
      </c>
      <c r="B20" s="41">
        <f>Parameter!$A$29</f>
        <v/>
      </c>
      <c r="C20" s="28">
        <f>M20/Parameter!$K$5</f>
        <v/>
      </c>
      <c r="D20" s="28">
        <f>N20/Parameter!$K$6</f>
        <v/>
      </c>
      <c r="E20" s="28">
        <f>O20/Parameter!$K$7</f>
        <v/>
      </c>
      <c r="F20" s="13">
        <f>(N20+O20)/(Parameter!$K$6+Parameter!$K$7)</f>
        <v/>
      </c>
      <c r="G20" s="13">
        <f>(M20+N20+O20)/Parameter!$K$8</f>
        <v/>
      </c>
      <c r="H20" s="42">
        <f>IF(AND(M20&lt;=Parameter!$K$5,N20+O20&lt;=Parameter!$K$6+Parameter!$K$7),"JA","NEIN")</f>
        <v/>
      </c>
      <c r="I20" s="11">
        <f>MAX(0,M20-Parameter!$K$5)+MAX(0,N20+O20-Parameter!$K$6-Parameter!$K$7)+P20</f>
        <v/>
      </c>
      <c r="J20" s="43">
        <f>SUMPRODUCT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*A_PREIS)</f>
        <v/>
      </c>
      <c r="K20" s="44">
        <f>J20-$J$5</f>
        <v/>
      </c>
      <c r="L20" s="45">
        <f>(M20+N20+O20+P20)-($M$5+$N$5+$O$5+$P$5)</f>
        <v/>
      </c>
      <c r="M20" s="11">
        <f>SUMPRODUCT((A_LIFT=1)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</f>
        <v/>
      </c>
      <c r="N20" s="11">
        <f>SUMPRODUCT((A_LIFT=2)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</f>
        <v/>
      </c>
      <c r="O20" s="11">
        <f>SUMPRODUCT((A_LIFT=3)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</f>
        <v/>
      </c>
      <c r="P20" s="11">
        <f>SUMPRODUCT((A_LIFT="Aussen"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</f>
        <v/>
      </c>
    </row>
    <row r="21">
      <c r="A21" s="10" t="inlineStr">
        <is>
          <t>C – Ziel-LU oder Ist</t>
        </is>
      </c>
      <c r="B21" s="41">
        <f>Parameter!$A$30</f>
        <v/>
      </c>
      <c r="C21" s="28">
        <f>M21/Parameter!$K$5</f>
        <v/>
      </c>
      <c r="D21" s="28">
        <f>N21/Parameter!$K$6</f>
        <v/>
      </c>
      <c r="E21" s="28">
        <f>O21/Parameter!$K$7</f>
        <v/>
      </c>
      <c r="F21" s="13">
        <f>(N21+O21)/(Parameter!$K$6+Parameter!$K$7)</f>
        <v/>
      </c>
      <c r="G21" s="13">
        <f>(M21+N21+O21)/Parameter!$K$8</f>
        <v/>
      </c>
      <c r="H21" s="42">
        <f>IF(AND(M21&lt;=Parameter!$K$5,N21+O21&lt;=Parameter!$K$6+Parameter!$K$7),"JA","NEIN")</f>
        <v/>
      </c>
      <c r="I21" s="11">
        <f>MAX(0,M21-Parameter!$K$5)+MAX(0,N21+O21-Parameter!$K$6-Parameter!$K$7)+P21</f>
        <v/>
      </c>
      <c r="J21" s="43">
        <f>SUMPRODUCT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*A_PREIS)</f>
        <v/>
      </c>
      <c r="K21" s="44">
        <f>J21-$J$5</f>
        <v/>
      </c>
      <c r="L21" s="45">
        <f>(M21+N21+O21+P21)-($M$5+$N$5+$O$5+$P$5)</f>
        <v/>
      </c>
      <c r="M21" s="11">
        <f>SUMPRODUCT((A_LIFT=1)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</f>
        <v/>
      </c>
      <c r="N21" s="11">
        <f>SUMPRODUCT((A_LIFT=2)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</f>
        <v/>
      </c>
      <c r="O21" s="11">
        <f>SUMPRODUCT((A_LIFT=3)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</f>
        <v/>
      </c>
      <c r="P21" s="11">
        <f>SUMPRODUCT((A_LIFT="Aussen"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</f>
        <v/>
      </c>
    </row>
    <row r="23">
      <c r="A23" s="46" t="inlineStr">
        <is>
          <t>Ab welchem LU passt alles in die Lifte?</t>
        </is>
      </c>
    </row>
    <row r="24">
      <c r="A24" s="21" t="inlineStr">
        <is>
          <t>Variante B (nach Abbau Überbestand):</t>
        </is>
      </c>
      <c r="E24" s="47">
        <f>IFERROR("ab LU "&amp;INDEX(B6:B13,MATCH("JA",H6:H13,0)),"bei keinem LU der Liste")</f>
        <v/>
      </c>
    </row>
    <row r="25">
      <c r="A25" s="21" t="inlineStr">
        <is>
          <t>Variante C (Überbestand bleibt):</t>
        </is>
      </c>
      <c r="E25" s="47">
        <f>IFERROR("ab LU "&amp;INDEX(B14:B21,MATCH("JA",H14:H21,0)),"bei keinem LU der Liste")</f>
        <v/>
      </c>
    </row>
    <row r="26">
      <c r="A26" s="8" t="inlineStr">
        <is>
          <t>(Annahme: LU-Liste aufsteigend sortiert. Ist-Bestand: siehe Zeile 5.)</t>
        </is>
      </c>
    </row>
    <row r="28">
      <c r="A28" s="5" t="inlineStr">
        <is>
          <t>Diagrammdaten</t>
        </is>
      </c>
    </row>
    <row r="29">
      <c r="A29" s="5" t="inlineStr">
        <is>
          <t>Ziel-LU</t>
        </is>
      </c>
      <c r="B29" s="5" t="inlineStr">
        <is>
          <t>B – Total %</t>
        </is>
      </c>
      <c r="C29" s="5" t="inlineStr">
        <is>
          <t>C – Total %</t>
        </is>
      </c>
      <c r="D29" s="5" t="inlineStr">
        <is>
          <t>100 %</t>
        </is>
      </c>
      <c r="E29" s="5" t="inlineStr">
        <is>
          <t>Ist – Total %</t>
        </is>
      </c>
    </row>
    <row r="30">
      <c r="A30" s="48">
        <f>B6</f>
        <v/>
      </c>
      <c r="B30" s="29">
        <f>G6</f>
        <v/>
      </c>
      <c r="C30" s="29">
        <f>G14</f>
        <v/>
      </c>
      <c r="D30" s="29" t="n">
        <v>1</v>
      </c>
      <c r="E30" s="29">
        <f>$G$5</f>
        <v/>
      </c>
    </row>
    <row r="31">
      <c r="A31" s="48">
        <f>B7</f>
        <v/>
      </c>
      <c r="B31" s="29">
        <f>G7</f>
        <v/>
      </c>
      <c r="C31" s="29">
        <f>G15</f>
        <v/>
      </c>
      <c r="D31" s="29" t="n">
        <v>1</v>
      </c>
      <c r="E31" s="29">
        <f>$G$5</f>
        <v/>
      </c>
    </row>
    <row r="32">
      <c r="A32" s="48">
        <f>B8</f>
        <v/>
      </c>
      <c r="B32" s="29">
        <f>G8</f>
        <v/>
      </c>
      <c r="C32" s="29">
        <f>G16</f>
        <v/>
      </c>
      <c r="D32" s="29" t="n">
        <v>1</v>
      </c>
      <c r="E32" s="29">
        <f>$G$5</f>
        <v/>
      </c>
    </row>
    <row r="33">
      <c r="A33" s="48">
        <f>B9</f>
        <v/>
      </c>
      <c r="B33" s="29">
        <f>G9</f>
        <v/>
      </c>
      <c r="C33" s="29">
        <f>G17</f>
        <v/>
      </c>
      <c r="D33" s="29" t="n">
        <v>1</v>
      </c>
      <c r="E33" s="29">
        <f>$G$5</f>
        <v/>
      </c>
    </row>
    <row r="34">
      <c r="A34" s="48">
        <f>B10</f>
        <v/>
      </c>
      <c r="B34" s="29">
        <f>G10</f>
        <v/>
      </c>
      <c r="C34" s="29">
        <f>G18</f>
        <v/>
      </c>
      <c r="D34" s="29" t="n">
        <v>1</v>
      </c>
      <c r="E34" s="29">
        <f>$G$5</f>
        <v/>
      </c>
    </row>
    <row r="35">
      <c r="A35" s="48">
        <f>B11</f>
        <v/>
      </c>
      <c r="B35" s="29">
        <f>G11</f>
        <v/>
      </c>
      <c r="C35" s="29">
        <f>G19</f>
        <v/>
      </c>
      <c r="D35" s="29" t="n">
        <v>1</v>
      </c>
      <c r="E35" s="29">
        <f>$G$5</f>
        <v/>
      </c>
    </row>
    <row r="36">
      <c r="A36" s="48">
        <f>B12</f>
        <v/>
      </c>
      <c r="B36" s="29">
        <f>G12</f>
        <v/>
      </c>
      <c r="C36" s="29">
        <f>G20</f>
        <v/>
      </c>
      <c r="D36" s="29" t="n">
        <v>1</v>
      </c>
      <c r="E36" s="29">
        <f>$G$5</f>
        <v/>
      </c>
    </row>
    <row r="37">
      <c r="A37" s="48">
        <f>B13</f>
        <v/>
      </c>
      <c r="B37" s="29">
        <f>G13</f>
        <v/>
      </c>
      <c r="C37" s="29">
        <f>G21</f>
        <v/>
      </c>
      <c r="D37" s="29" t="n">
        <v>1</v>
      </c>
      <c r="E37" s="29">
        <f>$G$5</f>
        <v/>
      </c>
    </row>
  </sheetData>
  <conditionalFormatting sqref="C5:G21">
    <cfRule type="cellIs" priority="1" operator="greaterThan" dxfId="1">
      <formula>Parameter!$B$12</formula>
    </cfRule>
    <cfRule type="cellIs" priority="2" operator="greaterThanOrEqual" dxfId="2">
      <formula>Parameter!$B$11</formula>
    </cfRule>
    <cfRule type="cellIs" priority="3" operator="lessThan" dxfId="3">
      <formula>Parameter!$B$11</formula>
    </cfRule>
  </conditionalFormatting>
  <conditionalFormatting sqref="H5:H21">
    <cfRule type="cellIs" priority="4" operator="equal" dxfId="3">
      <formula>"JA"</formula>
    </cfRule>
    <cfRule type="cellIs" priority="5" operator="equal" dxfId="1">
      <formula>"NEIN"</formula>
    </cfRule>
  </conditionalFormatting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0"/>
    <pageSetUpPr/>
  </sheetPr>
  <dimension ref="A1:BZ157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6" customWidth="1" min="3" max="3"/>
    <col width="9" customWidth="1" min="4" max="4"/>
    <col width="5" customWidth="1" min="5" max="5"/>
    <col width="9" customWidth="1" min="6" max="6"/>
    <col width="9" customWidth="1" min="7" max="7"/>
    <col width="11" customWidth="1" min="8" max="8"/>
    <col width="10" customWidth="1" min="9" max="9"/>
    <col width="9" customWidth="1" min="10" max="10"/>
    <col width="7" customWidth="1" min="11" max="11"/>
    <col width="9" customWidth="1" min="12" max="12"/>
    <col width="9" customWidth="1" min="13" max="13"/>
    <col width="7" customWidth="1" min="14" max="14"/>
    <col width="9" customWidth="1" min="15" max="15"/>
    <col width="8" customWidth="1" min="16" max="16"/>
    <col width="9" customWidth="1" min="17" max="17"/>
    <col width="10" customWidth="1" min="18" max="18"/>
    <col width="9" customWidth="1" min="19" max="19"/>
    <col width="9" customWidth="1" min="20" max="20"/>
    <col width="7" customWidth="1" min="21" max="21"/>
    <col width="7" customWidth="1" min="22" max="22"/>
    <col width="7" customWidth="1" min="23" max="23"/>
    <col width="10" customWidth="1" min="24" max="24"/>
    <col width="10" customWidth="1" min="25" max="25"/>
    <col width="9" customWidth="1" min="26" max="26"/>
    <col outlineLevel="1" width="9" customWidth="1" min="27" max="30"/>
    <col hidden="1" outlineLevel="2" width="8" customWidth="1" min="31" max="34"/>
    <col outlineLevel="1" width="9" customWidth="1" min="35" max="38"/>
    <col hidden="1" outlineLevel="2" width="8" customWidth="1" min="39" max="42"/>
    <col outlineLevel="1" width="9" customWidth="1" min="43" max="46"/>
    <col hidden="1" outlineLevel="2" width="8" customWidth="1" min="47" max="50"/>
    <col width="11" customWidth="1" min="51" max="51"/>
    <col width="11" customWidth="1" min="52" max="52"/>
    <col width="11" customWidth="1" min="53" max="53"/>
    <col width="45" customWidth="1" min="54" max="54"/>
    <col width="30" customWidth="1" min="55" max="55"/>
    <col width="30" customWidth="1" min="56" max="56"/>
    <col width="30" customWidth="1" min="57" max="57"/>
    <col hidden="1" outlineLevel="1" width="9" customWidth="1" min="58" max="78"/>
  </cols>
  <sheetData>
    <row r="1">
      <c r="A1" s="30" t="inlineStr">
        <is>
          <t>Artikel – eine Zeile pro Artikel</t>
        </is>
      </c>
    </row>
    <row r="2">
      <c r="A2" s="31" t="inlineStr">
        <is>
          <t>Gelb = Eingabe (leer lassen = Vorschlag gilt). Weiss = Formel. Spalten A1–A3 = Cockpit-Ansichten 1–3 (Gruppen mit + / – auf- und zuklappen). Ganz rechts: Hilfsspalten.</t>
        </is>
      </c>
    </row>
    <row r="3">
      <c r="A3" s="3" t="inlineStr">
        <is>
          <t>Datenstand: Kennzahlen-Auszug (Kennzahlen_Lager_Auszug.xlsx), Gebinde aus Artikelstamm_mit_Verbrauch_und_Gebinde_Umschlag_2_20260520.xlsx. Erzeugt 01.10.2026.</t>
        </is>
      </c>
    </row>
    <row r="5">
      <c r="AA5" s="49">
        <f>"Ansicht 1: "&amp;Cockpit!$C$5&amp;IF(LEFT(Cockpit!$C$5,1)="A",""," / LU "&amp;Cockpit!$C$6)</f>
        <v/>
      </c>
      <c r="AI5" s="49">
        <f>"Ansicht 2: "&amp;Cockpit!$I$5&amp;IF(LEFT(Cockpit!$I$5,1)="A",""," / LU "&amp;Cockpit!$I$6)</f>
        <v/>
      </c>
      <c r="AQ5" s="49">
        <f>"Ansicht 3: "&amp;Cockpit!$O$5&amp;IF(LEFT(Cockpit!$O$5,1)="A",""," / LU "&amp;Cockpit!$O$6)</f>
        <v/>
      </c>
      <c r="BF5" s="50" t="inlineStr">
        <is>
          <t>Hilfsspalten (nicht ändern)</t>
        </is>
      </c>
    </row>
    <row r="6" ht="54" customHeight="1">
      <c r="A6" s="51" t="inlineStr">
        <is>
          <t>Artikelnummer</t>
        </is>
      </c>
      <c r="B6" s="51" t="inlineStr">
        <is>
          <t>Bezeichnung</t>
        </is>
      </c>
      <c r="C6" s="51" t="inlineStr">
        <is>
          <t>Status</t>
        </is>
      </c>
      <c r="D6" s="51" t="inlineStr">
        <is>
          <t>Hauptlager</t>
        </is>
      </c>
      <c r="E6" s="51" t="inlineStr">
        <is>
          <t>ABC</t>
        </is>
      </c>
      <c r="F6" s="51" t="inlineStr">
        <is>
          <t>Preis CHF</t>
        </is>
      </c>
      <c r="G6" s="51" t="inlineStr">
        <is>
          <t>Ist-Bestand</t>
        </is>
      </c>
      <c r="H6" s="51" t="inlineStr">
        <is>
          <t>Ist-Wert CHF</t>
        </is>
      </c>
      <c r="I6" s="51" t="inlineStr">
        <is>
          <t>Verbrauch 12 Monate</t>
        </is>
      </c>
      <c r="J6" s="51" t="inlineStr">
        <is>
          <t>Ø-Bestand</t>
        </is>
      </c>
      <c r="K6" s="51" t="inlineStr">
        <is>
          <t>IST-LU</t>
        </is>
      </c>
      <c r="L6" s="51" t="inlineStr">
        <is>
          <t>Mindestbestand (MB)</t>
        </is>
      </c>
      <c r="M6" s="51" t="inlineStr">
        <is>
          <t>Losgrösse (LG)</t>
        </is>
      </c>
      <c r="N6" s="51" t="inlineStr">
        <is>
          <t>WBZ Tage</t>
        </is>
      </c>
      <c r="O6" s="51" t="inlineStr">
        <is>
          <t>Gebindekategorie</t>
        </is>
      </c>
      <c r="P6" s="51" t="inlineStr">
        <is>
          <t>Menge pro Gebinde</t>
        </is>
      </c>
      <c r="Q6" s="51" t="inlineStr">
        <is>
          <t>Grundfläche Gebinde m²</t>
        </is>
      </c>
      <c r="R6" s="52" t="inlineStr">
        <is>
          <t>Fläche lose m² (ganzer Bestand)</t>
        </is>
      </c>
      <c r="S6" s="52" t="inlineStr">
        <is>
          <t>Gebindekategorie neu</t>
        </is>
      </c>
      <c r="T6" s="52" t="inlineStr">
        <is>
          <t>Menge pro Gebinde neu</t>
        </is>
      </c>
      <c r="U6" s="51" t="inlineStr">
        <is>
          <t>Lift Vorschlag</t>
        </is>
      </c>
      <c r="V6" s="52" t="inlineStr">
        <is>
          <t>Lift manuell</t>
        </is>
      </c>
      <c r="W6" s="52" t="inlineStr">
        <is>
          <t>Ziel-LU Artikel</t>
        </is>
      </c>
      <c r="X6" s="51" t="inlineStr">
        <is>
          <t>MAX Variante B (Ansicht 2)</t>
        </is>
      </c>
      <c r="Y6" s="51" t="inlineStr">
        <is>
          <t>MAX Variante C (Ansicht 2)</t>
        </is>
      </c>
      <c r="Z6" s="52" t="inlineStr">
        <is>
          <t>MAX final</t>
        </is>
      </c>
      <c r="AA6" s="51" t="inlineStr">
        <is>
          <t>A1 Menge</t>
        </is>
      </c>
      <c r="AB6" s="51" t="inlineStr">
        <is>
          <t>A1 Anzahl Gebinde</t>
        </is>
      </c>
      <c r="AC6" s="51" t="inlineStr">
        <is>
          <t>A1 Fläche m²</t>
        </is>
      </c>
      <c r="AD6" s="51" t="inlineStr">
        <is>
          <t>A1 Wert CHF</t>
        </is>
      </c>
      <c r="AE6" s="51" t="inlineStr">
        <is>
          <t>A1 MAX B (Hilfe)</t>
        </is>
      </c>
      <c r="AF6" s="51" t="inlineStr">
        <is>
          <t>A1 Priorität Verbr./m² (Hilfe)</t>
        </is>
      </c>
      <c r="AG6" s="51" t="inlineStr">
        <is>
          <t>A1 Fläche kumuliert (Hilfe)</t>
        </is>
      </c>
      <c r="AH6" s="51" t="inlineStr">
        <is>
          <t>A1 Anteil im Lift (Hilfe)</t>
        </is>
      </c>
      <c r="AI6" s="51" t="inlineStr">
        <is>
          <t>A2 Menge</t>
        </is>
      </c>
      <c r="AJ6" s="51" t="inlineStr">
        <is>
          <t>A2 Anzahl Gebinde</t>
        </is>
      </c>
      <c r="AK6" s="51" t="inlineStr">
        <is>
          <t>A2 Fläche m²</t>
        </is>
      </c>
      <c r="AL6" s="51" t="inlineStr">
        <is>
          <t>A2 Wert CHF</t>
        </is>
      </c>
      <c r="AM6" s="51" t="inlineStr">
        <is>
          <t>A2 MAX B (Hilfe)</t>
        </is>
      </c>
      <c r="AN6" s="51" t="inlineStr">
        <is>
          <t>A2 Priorität Verbr./m² (Hilfe)</t>
        </is>
      </c>
      <c r="AO6" s="51" t="inlineStr">
        <is>
          <t>A2 Fläche kumuliert (Hilfe)</t>
        </is>
      </c>
      <c r="AP6" s="51" t="inlineStr">
        <is>
          <t>A2 Anteil im Lift (Hilfe)</t>
        </is>
      </c>
      <c r="AQ6" s="51" t="inlineStr">
        <is>
          <t>A3 Menge</t>
        </is>
      </c>
      <c r="AR6" s="51" t="inlineStr">
        <is>
          <t>A3 Anzahl Gebinde</t>
        </is>
      </c>
      <c r="AS6" s="51" t="inlineStr">
        <is>
          <t>A3 Fläche m²</t>
        </is>
      </c>
      <c r="AT6" s="51" t="inlineStr">
        <is>
          <t>A3 Wert CHF</t>
        </is>
      </c>
      <c r="AU6" s="51" t="inlineStr">
        <is>
          <t>A3 MAX B (Hilfe)</t>
        </is>
      </c>
      <c r="AV6" s="51" t="inlineStr">
        <is>
          <t>A3 Priorität Verbr./m² (Hilfe)</t>
        </is>
      </c>
      <c r="AW6" s="51" t="inlineStr">
        <is>
          <t>A3 Fläche kumuliert (Hilfe)</t>
        </is>
      </c>
      <c r="AX6" s="51" t="inlineStr">
        <is>
          <t>A3 Anteil im Lift (Hilfe)</t>
        </is>
      </c>
      <c r="AY6" s="51" t="inlineStr">
        <is>
          <t>Lagerort Ansicht 1</t>
        </is>
      </c>
      <c r="AZ6" s="51" t="inlineStr">
        <is>
          <t>Lagerort Ansicht 2</t>
        </is>
      </c>
      <c r="BA6" s="51" t="inlineStr">
        <is>
          <t>Lagerort Ansicht 3</t>
        </is>
      </c>
      <c r="BB6" s="51" t="inlineStr">
        <is>
          <t>Hinweise</t>
        </is>
      </c>
      <c r="BC6" s="51" t="inlineStr">
        <is>
          <t>Ursache (Kennzahlen)</t>
        </is>
      </c>
      <c r="BD6" s="51" t="inlineStr">
        <is>
          <t>Aktion (Kennzahlen)</t>
        </is>
      </c>
      <c r="BE6" s="52" t="inlineStr">
        <is>
          <t>Kommentar Diskussion</t>
        </is>
      </c>
      <c r="BF6" s="51" t="inlineStr">
        <is>
          <t>Export Bestandsmenge (G)</t>
        </is>
      </c>
      <c r="BG6" s="51" t="inlineStr">
        <is>
          <t>Export Jahresanfang 2025 (T)</t>
        </is>
      </c>
      <c r="BH6" s="51" t="inlineStr">
        <is>
          <t>Export Bestandswert (H)</t>
        </is>
      </c>
      <c r="BI6" s="51" t="inlineStr">
        <is>
          <t>Verbrauch Export (Zeitraum)</t>
        </is>
      </c>
      <c r="BJ6" s="51" t="inlineStr">
        <is>
          <t>Bemerkungen Artikelstamm</t>
        </is>
      </c>
      <c r="BK6" s="51" t="inlineStr">
        <is>
          <t>Neu (1/0)</t>
        </is>
      </c>
      <c r="BL6" s="51" t="inlineStr">
        <is>
          <t>Zeile</t>
        </is>
      </c>
      <c r="BM6" s="51" t="inlineStr">
        <is>
          <t>Gebinde wirksam</t>
        </is>
      </c>
      <c r="BN6" s="51" t="inlineStr">
        <is>
          <t>Menge/Gebinde wirksam</t>
        </is>
      </c>
      <c r="BO6" s="51" t="inlineStr">
        <is>
          <t>Lose (1/0)</t>
        </is>
      </c>
      <c r="BP6" s="51" t="inlineStr">
        <is>
          <t>Fläche lose wirksam m²</t>
        </is>
      </c>
      <c r="BQ6" s="51" t="inlineStr">
        <is>
          <t>Lift wirksam</t>
        </is>
      </c>
      <c r="BR6" s="51" t="inlineStr">
        <is>
          <t>Liftgruppe</t>
        </is>
      </c>
      <c r="BS6" s="51" t="inlineStr">
        <is>
          <t>Ziel-LU Artikel (0=keiner)</t>
        </is>
      </c>
      <c r="BT6" s="51" t="inlineStr">
        <is>
          <t>MAX final gesetzt</t>
        </is>
      </c>
      <c r="BU6" s="51" t="inlineStr">
        <is>
          <t>MAX final Wert</t>
        </is>
      </c>
      <c r="BV6" s="51" t="inlineStr">
        <is>
          <t>MB + LG</t>
        </is>
      </c>
      <c r="BW6" s="51" t="inlineStr">
        <is>
          <t>Gebinde bei Ist</t>
        </is>
      </c>
      <c r="BX6" s="51" t="inlineStr">
        <is>
          <t>Gebinde bei MAX final</t>
        </is>
      </c>
      <c r="BY6" s="51" t="inlineStr">
        <is>
          <t>Gebindehöhe cm</t>
        </is>
      </c>
      <c r="BZ6" s="51" t="inlineStr">
        <is>
          <t>max. Ladehöhe Lift mm</t>
        </is>
      </c>
    </row>
    <row r="7">
      <c r="A7" s="53" t="inlineStr">
        <is>
          <t>101749</t>
        </is>
      </c>
      <c r="B7" s="53" t="inlineStr">
        <is>
          <t>Austrittsdüse</t>
        </is>
      </c>
      <c r="C7" s="53" t="inlineStr">
        <is>
          <t>F</t>
        </is>
      </c>
      <c r="D7" s="53" t="inlineStr">
        <is>
          <t>LIFT1</t>
        </is>
      </c>
      <c r="E7" s="53" t="inlineStr">
        <is>
          <t>A</t>
        </is>
      </c>
      <c r="F7" s="54" t="n">
        <v>3724.72</v>
      </c>
      <c r="G7" s="55">
        <f>MAX(0,IF(Parameter!$B$20="Jahresanfang 2025 + Export",BG7+BF7,BF7))</f>
        <v/>
      </c>
      <c r="H7" s="55">
        <f>G7*F7</f>
        <v/>
      </c>
      <c r="I7" s="55">
        <f>BI7*Parameter!$B$18</f>
        <v/>
      </c>
      <c r="J7" s="56" t="n">
        <v>12.5</v>
      </c>
      <c r="K7" s="57" t="n">
        <v>0.5600000000000001</v>
      </c>
      <c r="L7" s="55" t="n">
        <v>2</v>
      </c>
      <c r="M7" s="55" t="n">
        <v>5</v>
      </c>
      <c r="N7" s="58" t="n">
        <v>28</v>
      </c>
      <c r="O7" s="53" t="inlineStr">
        <is>
          <t>LOSE</t>
        </is>
      </c>
      <c r="P7" s="55" t="n"/>
      <c r="Q7" s="59">
        <f>IF(BO7=1,0,IFERROR(VLOOKUP(BM7,'Gebinde-Kategorie'!$A$5:$G$45,6,0)+0,0))</f>
        <v/>
      </c>
      <c r="R7" s="60" t="n"/>
      <c r="S7" s="61" t="n"/>
      <c r="T7" s="61" t="n"/>
      <c r="U7" s="53">
        <f>IF(A7="","",IF(IFERROR(VLOOKUP(D7,Parameter!$A$35:$C$64,2,0),"Nein")="2+3",IF(ISNUMBER(SEARCH("grosser Artikel",BJ7)),2,IFERROR(VLOOKUP(BM7,Parameter!$F$35:$G$64,2,0),2)),IF(OR(IFERROR(VLOOKUP(D7,Parameter!$A$35:$C$64,2,0),"Nein")="Nein",IFERROR(VLOOKUP(D7,Parameter!$A$35:$C$64,2,0),"Nein")=""),"-",VLOOKUP(D7,Parameter!$A$35:$C$64,2,0))))</f>
        <v/>
      </c>
      <c r="V7" s="61" t="n"/>
      <c r="W7" s="62" t="n"/>
      <c r="X7" s="55">
        <f>AM7</f>
        <v/>
      </c>
      <c r="Y7" s="55">
        <f>MAX(AM7,G7)</f>
        <v/>
      </c>
      <c r="Z7" s="63" t="n"/>
      <c r="AA7" s="55">
        <f>IF(LEFT(Cockpit!$C$5,1)="A",G7,IF(BT7=1,BU7,IF(LEFT(Cockpit!$C$5,1)="B",AE7,MAX(AE7,G7))))</f>
        <v/>
      </c>
      <c r="AB7" s="55">
        <f>IF(BO7=1,0,ROUNDUP(AA7/BN7,0))</f>
        <v/>
      </c>
      <c r="AC7" s="64">
        <f>IF(BO7=1,IF(AA7&lt;=0,0,BP7*MAX(1,IF(G7&gt;0,AA7/G7,1))),AB7*Q7)</f>
        <v/>
      </c>
      <c r="AD7" s="55">
        <f>AA7*F7</f>
        <v/>
      </c>
      <c r="AE7" s="55">
        <f>ROUNDUP(MAX(I7/IF(BS7&gt;0,BS7,MAX(0.1,N(Cockpit!$C$6))),BV7)/BN7,0)*BN7</f>
        <v/>
      </c>
      <c r="AF7" s="56">
        <f>IF(AC7&gt;0,I7/AC7,-1)</f>
        <v/>
      </c>
      <c r="AG7" s="56">
        <f>IF(AND(OR(BR7="L1",BR7="L23"),AC7&gt;0),SUMIFS($AC$7:$AC$1570,$BR$7:$BR$1570,BR7,$AF$7:$AF$1570,"&gt;"&amp;AF7)+SUMIFS($AC$7:$AC$1570,$BR$7:$BR$1570,BR7,$AF$7:$AF$1570,AF7,$BL$7:$BL$1570,"&lt;="&amp;BL7),"")</f>
        <v/>
      </c>
      <c r="AH7" s="65">
        <f>IF(AG7="",0,MAX(0,MIN(1,(IF(BR7="L1",Parameter!$K$5,Parameter!$K$6+Parameter!$K$7)-(AG7-AC7))/AC7)))</f>
        <v/>
      </c>
      <c r="AI7" s="55">
        <f>IF(LEFT(Cockpit!$I$5,1)="A",G7,IF(BT7=1,BU7,IF(LEFT(Cockpit!$I$5,1)="B",AM7,MAX(AM7,G7))))</f>
        <v/>
      </c>
      <c r="AJ7" s="55">
        <f>IF(BO7=1,0,ROUNDUP(AI7/BN7,0))</f>
        <v/>
      </c>
      <c r="AK7" s="64">
        <f>IF(BO7=1,IF(AI7&lt;=0,0,BP7*MAX(1,IF(G7&gt;0,AI7/G7,1))),AJ7*Q7)</f>
        <v/>
      </c>
      <c r="AL7" s="55">
        <f>AI7*F7</f>
        <v/>
      </c>
      <c r="AM7" s="55">
        <f>ROUNDUP(MAX(I7/IF(BS7&gt;0,BS7,MAX(0.1,N(Cockpit!$I$6))),BV7)/BN7,0)*BN7</f>
        <v/>
      </c>
      <c r="AN7" s="56">
        <f>IF(AK7&gt;0,I7/AK7,-1)</f>
        <v/>
      </c>
      <c r="AO7" s="56">
        <f>IF(AND(OR(BR7="L1",BR7="L23"),AK7&gt;0),SUMIFS($AK$7:$AK$1570,$BR$7:$BR$1570,BR7,$AN$7:$AN$1570,"&gt;"&amp;AN7)+SUMIFS($AK$7:$AK$1570,$BR$7:$BR$1570,BR7,$AN$7:$AN$1570,AN7,$BL$7:$BL$1570,"&lt;="&amp;BL7),"")</f>
        <v/>
      </c>
      <c r="AP7" s="65">
        <f>IF(AO7="",0,MAX(0,MIN(1,(IF(BR7="L1",Parameter!$K$5,Parameter!$K$6+Parameter!$K$7)-(AO7-AK7))/AK7)))</f>
        <v/>
      </c>
      <c r="AQ7" s="55">
        <f>IF(LEFT(Cockpit!$O$5,1)="A",G7,IF(BT7=1,BU7,IF(LEFT(Cockpit!$O$5,1)="B",AU7,MAX(AU7,G7))))</f>
        <v/>
      </c>
      <c r="AR7" s="55">
        <f>IF(BO7=1,0,ROUNDUP(AQ7/BN7,0))</f>
        <v/>
      </c>
      <c r="AS7" s="64">
        <f>IF(BO7=1,IF(AQ7&lt;=0,0,BP7*MAX(1,IF(G7&gt;0,AQ7/G7,1))),AR7*Q7)</f>
        <v/>
      </c>
      <c r="AT7" s="55">
        <f>AQ7*F7</f>
        <v/>
      </c>
      <c r="AU7" s="55">
        <f>ROUNDUP(MAX(I7/IF(BS7&gt;0,BS7,MAX(0.1,N(Cockpit!$O$6))),BV7)/BN7,0)*BN7</f>
        <v/>
      </c>
      <c r="AV7" s="56">
        <f>IF(AS7&gt;0,I7/AS7,-1)</f>
        <v/>
      </c>
      <c r="AW7" s="56">
        <f>IF(AND(OR(BR7="L1",BR7="L23"),AS7&gt;0),SUMIFS($AS$7:$AS$1570,$BR$7:$BR$1570,BR7,$AV$7:$AV$1570,"&gt;"&amp;AV7)+SUMIFS($AS$7:$AS$1570,$BR$7:$BR$1570,BR7,$AV$7:$AV$1570,AV7,$BL$7:$BL$1570,"&lt;="&amp;BL7),"")</f>
        <v/>
      </c>
      <c r="AX7" s="65">
        <f>IF(AW7="",0,MAX(0,MIN(1,(IF(BR7="L1",Parameter!$K$5,Parameter!$K$6+Parameter!$K$7)-(AW7-AS7))/AS7)))</f>
        <v/>
      </c>
      <c r="AY7" s="53">
        <f>IF(AC7&lt;=0,"",IF(BR7="Aussen","Aussenlager",IF(BR7="-","Nicht im Lift",IF(AH7&gt;=1,"Lift",IF(AH7&lt;=0,"Aussenlager","teilweise")))))</f>
        <v/>
      </c>
      <c r="AZ7" s="53">
        <f>IF(AK7&lt;=0,"",IF(BR7="Aussen","Aussenlager",IF(BR7="-","Nicht im Lift",IF(AP7&gt;=1,"Lift",IF(AP7&lt;=0,"Aussenlager","teilweise")))))</f>
        <v/>
      </c>
      <c r="BA7" s="53">
        <f>IF(AS7&lt;=0,"",IF(BR7="Aussen","Aussenlager",IF(BR7="-","Nicht im Lift",IF(AX7&gt;=1,"Lift",IF(AX7&lt;=0,"Aussenlager","teilweise")))))</f>
        <v/>
      </c>
      <c r="BB7" s="53">
        <f>IF(A7="","",IF(BK7=1,"Neu; ","")&amp;IF(AND(BK7=0,BF7&lt;0),"negativer Bestand (Export "&amp;BF7&amp;"); ","")&amp;IF(I7&lt;=0,"Kein Verbrauch; ","")&amp;IF(BO7=1,"Lose – Fläche geschätzt; ","")&amp;IF(G7&gt;AM7,"Überbestand "&amp;ROUND(G7-AM7,0)&amp;" Stk / CHF "&amp;ROUND((G7-AM7)*F7,0)&amp;"; ","")&amp;IF(AND(BT7=1,BU7&lt;BV7),"MAX &lt; MB+LG; ","")&amp;IF(AND(BZ7&gt;0,BY7*10&gt;BZ7),"zu hoch für Tablar; ","")&amp;IF(AND(BK7=0,OR(BT7=1,V7&lt;&gt;"",S7&lt;&gt;"",T7&lt;&gt;"",W7&lt;&gt;"")),"manuell übersteuert; ","")&amp;IF(AND(BO7=0,Q7=0),"Gebinde unbekannt; ","")&amp;IF(AND(BO7=0,N(T7)&lt;=0,N(P7)&lt;=0),"Menge pro Gebinde fehlt (Ist = 1 Gebinde); ","")&amp;BJ7)</f>
        <v/>
      </c>
      <c r="BC7" s="53" t="inlineStr">
        <is>
          <t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      </is>
      </c>
      <c r="BD7" s="53" t="inlineStr">
        <is>
          <t>Weitere Umarbeit möglich? 101411 - möglich, falls ja wie Nachbestellung verhindern? Auslaufartikel + Info in Artikel mit Alternativartikel?</t>
        </is>
      </c>
      <c r="BE7" s="61" t="n"/>
      <c r="BF7" s="55" t="n">
        <v>20</v>
      </c>
      <c r="BG7" s="55" t="n">
        <v>7</v>
      </c>
      <c r="BH7" s="54" t="n">
        <v>75034.94</v>
      </c>
      <c r="BI7" s="55" t="n">
        <v>7</v>
      </c>
      <c r="BJ7" s="53" t="inlineStr"/>
      <c r="BK7" s="58" t="n">
        <v>0</v>
      </c>
      <c r="BL7" s="58" t="n">
        <v>7</v>
      </c>
      <c r="BM7" s="53">
        <f>IF(S7&lt;&gt;"",UPPER(TRIM(S7)),IF(O7="","LOSE",O7))</f>
        <v/>
      </c>
      <c r="BN7" s="55">
        <f>IF(BM7="LOSE",1,IF(N(T7)&gt;0,T7,IF(N(P7)&gt;0,P7,MAX(1,G7))))</f>
        <v/>
      </c>
      <c r="BO7" s="58">
        <f>IF(BM7="LOSE",1,0)</f>
        <v/>
      </c>
      <c r="BP7" s="64">
        <f>IF(BO7=0,0,IF(N(R7)&gt;0,R7,IFERROR(VLOOKUP(D7,Parameter!$A$35:$C$64,3,0)+0,0)))</f>
        <v/>
      </c>
      <c r="BQ7" s="53">
        <f>IF(V7&lt;&gt;"",V7,U7)</f>
        <v/>
      </c>
      <c r="BR7" s="53">
        <f>IF(BQ7=1,"L1",IF(OR(BQ7=2,BQ7=3),"L23",IF(BQ7="Aussen","Aussen","-")))</f>
        <v/>
      </c>
      <c r="BS7" s="66">
        <f>IF(N(W7)&gt;0,W7,0)</f>
        <v/>
      </c>
      <c r="BT7" s="58">
        <f>IF(ISNUMBER(Z7),1,0)</f>
        <v/>
      </c>
      <c r="BU7" s="55">
        <f>N(Z7)</f>
        <v/>
      </c>
      <c r="BV7" s="55">
        <f>N(L7)+N(M7)</f>
        <v/>
      </c>
      <c r="BW7" s="55">
        <f>ROUNDUP(G7/BN7,0)</f>
        <v/>
      </c>
      <c r="BX7" s="55">
        <f>ROUNDUP(BU7/BN7,0)</f>
        <v/>
      </c>
      <c r="BY7" s="58">
        <f>IF(BO7=1,0,IFERROR(VLOOKUP(BM7,'Gebinde-Kategorie'!$A$5:$G$45,5,0)+0,0))</f>
        <v/>
      </c>
      <c r="BZ7" s="58">
        <f>IFERROR(IF(OR(BQ7=1,BQ7=2,BQ7=3),N(INDEX(Parameter!$I$5:$I$7,BQ7)),0),0)</f>
        <v/>
      </c>
    </row>
    <row r="8">
      <c r="A8" s="53" t="inlineStr">
        <is>
          <t>110390</t>
        </is>
      </c>
      <c r="B8" s="53" t="inlineStr">
        <is>
          <t>Elektro-Set - Aufrüstung SPC800 V3.0.0</t>
        </is>
      </c>
      <c r="C8" s="53" t="inlineStr">
        <is>
          <t>A</t>
        </is>
      </c>
      <c r="D8" s="53" t="inlineStr">
        <is>
          <t>PAL</t>
        </is>
      </c>
      <c r="E8" s="53" t="inlineStr">
        <is>
          <t>A</t>
        </is>
      </c>
      <c r="F8" s="54" t="n">
        <v>718.84</v>
      </c>
      <c r="G8" s="55">
        <f>MAX(0,IF(Parameter!$B$20="Jahresanfang 2025 + Export",BG8+BF8,BF8))</f>
        <v/>
      </c>
      <c r="H8" s="55">
        <f>G8*F8</f>
        <v/>
      </c>
      <c r="I8" s="55">
        <f>BI8*Parameter!$B$18</f>
        <v/>
      </c>
      <c r="J8" s="56" t="n">
        <v>74</v>
      </c>
      <c r="K8" s="57" t="n">
        <v>0.02702702702702703</v>
      </c>
      <c r="L8" s="55" t="n">
        <v>0</v>
      </c>
      <c r="M8" s="55" t="n">
        <v>1</v>
      </c>
      <c r="N8" s="58" t="n">
        <v>14</v>
      </c>
      <c r="O8" s="53" t="inlineStr">
        <is>
          <t>S71</t>
        </is>
      </c>
      <c r="P8" s="55" t="n">
        <v>14</v>
      </c>
      <c r="Q8" s="59">
        <f>IF(BO8=1,0,IFERROR(VLOOKUP(BM8,'Gebinde-Kategorie'!$A$5:$G$45,6,0)+0,0))</f>
        <v/>
      </c>
      <c r="R8" s="60" t="n"/>
      <c r="S8" s="61" t="n"/>
      <c r="T8" s="61" t="n"/>
      <c r="U8" s="53">
        <f>IF(A8="","",IF(IFERROR(VLOOKUP(D8,Parameter!$A$35:$C$64,2,0),"Nein")="2+3",IF(ISNUMBER(SEARCH("grosser Artikel",BJ8)),2,IFERROR(VLOOKUP(BM8,Parameter!$F$35:$G$64,2,0),2)),IF(OR(IFERROR(VLOOKUP(D8,Parameter!$A$35:$C$64,2,0),"Nein")="Nein",IFERROR(VLOOKUP(D8,Parameter!$A$35:$C$64,2,0),"Nein")=""),"-",VLOOKUP(D8,Parameter!$A$35:$C$64,2,0))))</f>
        <v/>
      </c>
      <c r="V8" s="61" t="n"/>
      <c r="W8" s="62" t="n"/>
      <c r="X8" s="55">
        <f>AM8</f>
        <v/>
      </c>
      <c r="Y8" s="55">
        <f>MAX(AM8,G8)</f>
        <v/>
      </c>
      <c r="Z8" s="63" t="n"/>
      <c r="AA8" s="55">
        <f>IF(LEFT(Cockpit!$C$5,1)="A",G8,IF(BT8=1,BU8,IF(LEFT(Cockpit!$C$5,1)="B",AE8,MAX(AE8,G8))))</f>
        <v/>
      </c>
      <c r="AB8" s="55">
        <f>IF(BO8=1,0,ROUNDUP(AA8/BN8,0))</f>
        <v/>
      </c>
      <c r="AC8" s="64">
        <f>IF(BO8=1,IF(AA8&lt;=0,0,BP8*MAX(1,IF(G8&gt;0,AA8/G8,1))),AB8*Q8)</f>
        <v/>
      </c>
      <c r="AD8" s="55">
        <f>AA8*F8</f>
        <v/>
      </c>
      <c r="AE8" s="55">
        <f>ROUNDUP(MAX(I8/IF(BS8&gt;0,BS8,MAX(0.1,N(Cockpit!$C$6))),BV8)/BN8,0)*BN8</f>
        <v/>
      </c>
      <c r="AF8" s="56">
        <f>IF(AC8&gt;0,I8/AC8,-1)</f>
        <v/>
      </c>
      <c r="AG8" s="56">
        <f>IF(AND(OR(BR8="L1",BR8="L23"),AC8&gt;0),SUMIFS($AC$7:$AC$1570,$BR$7:$BR$1570,BR8,$AF$7:$AF$1570,"&gt;"&amp;AF8)+SUMIFS($AC$7:$AC$1570,$BR$7:$BR$1570,BR8,$AF$7:$AF$1570,AF8,$BL$7:$BL$1570,"&lt;="&amp;BL8),"")</f>
        <v/>
      </c>
      <c r="AH8" s="65">
        <f>IF(AG8="",0,MAX(0,MIN(1,(IF(BR8="L1",Parameter!$K$5,Parameter!$K$6+Parameter!$K$7)-(AG8-AC8))/AC8)))</f>
        <v/>
      </c>
      <c r="AI8" s="55">
        <f>IF(LEFT(Cockpit!$I$5,1)="A",G8,IF(BT8=1,BU8,IF(LEFT(Cockpit!$I$5,1)="B",AM8,MAX(AM8,G8))))</f>
        <v/>
      </c>
      <c r="AJ8" s="55">
        <f>IF(BO8=1,0,ROUNDUP(AI8/BN8,0))</f>
        <v/>
      </c>
      <c r="AK8" s="64">
        <f>IF(BO8=1,IF(AI8&lt;=0,0,BP8*MAX(1,IF(G8&gt;0,AI8/G8,1))),AJ8*Q8)</f>
        <v/>
      </c>
      <c r="AL8" s="55">
        <f>AI8*F8</f>
        <v/>
      </c>
      <c r="AM8" s="55">
        <f>ROUNDUP(MAX(I8/IF(BS8&gt;0,BS8,MAX(0.1,N(Cockpit!$I$6))),BV8)/BN8,0)*BN8</f>
        <v/>
      </c>
      <c r="AN8" s="56">
        <f>IF(AK8&gt;0,I8/AK8,-1)</f>
        <v/>
      </c>
      <c r="AO8" s="56">
        <f>IF(AND(OR(BR8="L1",BR8="L23"),AK8&gt;0),SUMIFS($AK$7:$AK$1570,$BR$7:$BR$1570,BR8,$AN$7:$AN$1570,"&gt;"&amp;AN8)+SUMIFS($AK$7:$AK$1570,$BR$7:$BR$1570,BR8,$AN$7:$AN$1570,AN8,$BL$7:$BL$1570,"&lt;="&amp;BL8),"")</f>
        <v/>
      </c>
      <c r="AP8" s="65">
        <f>IF(AO8="",0,MAX(0,MIN(1,(IF(BR8="L1",Parameter!$K$5,Parameter!$K$6+Parameter!$K$7)-(AO8-AK8))/AK8)))</f>
        <v/>
      </c>
      <c r="AQ8" s="55">
        <f>IF(LEFT(Cockpit!$O$5,1)="A",G8,IF(BT8=1,BU8,IF(LEFT(Cockpit!$O$5,1)="B",AU8,MAX(AU8,G8))))</f>
        <v/>
      </c>
      <c r="AR8" s="55">
        <f>IF(BO8=1,0,ROUNDUP(AQ8/BN8,0))</f>
        <v/>
      </c>
      <c r="AS8" s="64">
        <f>IF(BO8=1,IF(AQ8&lt;=0,0,BP8*MAX(1,IF(G8&gt;0,AQ8/G8,1))),AR8*Q8)</f>
        <v/>
      </c>
      <c r="AT8" s="55">
        <f>AQ8*F8</f>
        <v/>
      </c>
      <c r="AU8" s="55">
        <f>ROUNDUP(MAX(I8/IF(BS8&gt;0,BS8,MAX(0.1,N(Cockpit!$O$6))),BV8)/BN8,0)*BN8</f>
        <v/>
      </c>
      <c r="AV8" s="56">
        <f>IF(AS8&gt;0,I8/AS8,-1)</f>
        <v/>
      </c>
      <c r="AW8" s="56">
        <f>IF(AND(OR(BR8="L1",BR8="L23"),AS8&gt;0),SUMIFS($AS$7:$AS$1570,$BR$7:$BR$1570,BR8,$AV$7:$AV$1570,"&gt;"&amp;AV8)+SUMIFS($AS$7:$AS$1570,$BR$7:$BR$1570,BR8,$AV$7:$AV$1570,AV8,$BL$7:$BL$1570,"&lt;="&amp;BL8),"")</f>
        <v/>
      </c>
      <c r="AX8" s="65">
        <f>IF(AW8="",0,MAX(0,MIN(1,(IF(BR8="L1",Parameter!$K$5,Parameter!$K$6+Parameter!$K$7)-(AW8-AS8))/AS8)))</f>
        <v/>
      </c>
      <c r="AY8" s="53">
        <f>IF(AC8&lt;=0,"",IF(BR8="Aussen","Aussenlager",IF(BR8="-","Nicht im Lift",IF(AH8&gt;=1,"Lift",IF(AH8&lt;=0,"Aussenlager","teilweise")))))</f>
        <v/>
      </c>
      <c r="AZ8" s="53">
        <f>IF(AK8&lt;=0,"",IF(BR8="Aussen","Aussenlager",IF(BR8="-","Nicht im Lift",IF(AP8&gt;=1,"Lift",IF(AP8&lt;=0,"Aussenlager","teilweise")))))</f>
        <v/>
      </c>
      <c r="BA8" s="53">
        <f>IF(AS8&lt;=0,"",IF(BR8="Aussen","Aussenlager",IF(BR8="-","Nicht im Lift",IF(AX8&gt;=1,"Lift",IF(AX8&lt;=0,"Aussenlager","teilweise")))))</f>
        <v/>
      </c>
      <c r="BB8" s="53">
        <f>IF(A8="","",IF(BK8=1,"Neu; ","")&amp;IF(AND(BK8=0,BF8&lt;0),"negativer Bestand (Export "&amp;BF8&amp;"); ","")&amp;IF(I8&lt;=0,"Kein Verbrauch; ","")&amp;IF(BO8=1,"Lose – Fläche geschätzt; ","")&amp;IF(G8&gt;AM8,"Überbestand "&amp;ROUND(G8-AM8,0)&amp;" Stk / CHF "&amp;ROUND((G8-AM8)*F8,0)&amp;"; ","")&amp;IF(AND(BT8=1,BU8&lt;BV8),"MAX &lt; MB+LG; ","")&amp;IF(AND(BZ8&gt;0,BY8*10&gt;BZ8),"zu hoch für Tablar; ","")&amp;IF(AND(BK8=0,OR(BT8=1,V8&lt;&gt;"",S8&lt;&gt;"",T8&lt;&gt;"",W8&lt;&gt;"")),"manuell übersteuert; ","")&amp;IF(AND(BO8=0,Q8=0),"Gebinde unbekannt; ","")&amp;IF(AND(BO8=0,N(T8)&lt;=0,N(P8)&lt;=0),"Menge pro Gebinde fehlt (Ist = 1 Gebinde); ","")&amp;BJ8)</f>
        <v/>
      </c>
      <c r="BC8" s="53" t="inlineStr">
        <is>
          <t>Bedarf durch Upgrade auf V3.2 - Vorproduktion</t>
        </is>
      </c>
      <c r="BD8" s="53" t="inlineStr">
        <is>
          <t>Abklären, wann diese gebraucht werden</t>
        </is>
      </c>
      <c r="BE8" s="61" t="n"/>
      <c r="BF8" s="55" t="n">
        <v>94</v>
      </c>
      <c r="BG8" s="55" t="n">
        <v>0</v>
      </c>
      <c r="BH8" s="54" t="n">
        <v>67570.96000000001</v>
      </c>
      <c r="BI8" s="55" t="n">
        <v>2</v>
      </c>
      <c r="BJ8" s="53" t="inlineStr"/>
      <c r="BK8" s="58" t="n">
        <v>0</v>
      </c>
      <c r="BL8" s="58" t="n">
        <v>8</v>
      </c>
      <c r="BM8" s="53">
        <f>IF(S8&lt;&gt;"",UPPER(TRIM(S8)),IF(O8="","LOSE",O8))</f>
        <v/>
      </c>
      <c r="BN8" s="55">
        <f>IF(BM8="LOSE",1,IF(N(T8)&gt;0,T8,IF(N(P8)&gt;0,P8,MAX(1,G8))))</f>
        <v/>
      </c>
      <c r="BO8" s="58">
        <f>IF(BM8="LOSE",1,0)</f>
        <v/>
      </c>
      <c r="BP8" s="64">
        <f>IF(BO8=0,0,IF(N(R8)&gt;0,R8,IFERROR(VLOOKUP(D8,Parameter!$A$35:$C$64,3,0)+0,0)))</f>
        <v/>
      </c>
      <c r="BQ8" s="53">
        <f>IF(V8&lt;&gt;"",V8,U8)</f>
        <v/>
      </c>
      <c r="BR8" s="53">
        <f>IF(BQ8=1,"L1",IF(OR(BQ8=2,BQ8=3),"L23",IF(BQ8="Aussen","Aussen","-")))</f>
        <v/>
      </c>
      <c r="BS8" s="66">
        <f>IF(N(W8)&gt;0,W8,0)</f>
        <v/>
      </c>
      <c r="BT8" s="58">
        <f>IF(ISNUMBER(Z8),1,0)</f>
        <v/>
      </c>
      <c r="BU8" s="55">
        <f>N(Z8)</f>
        <v/>
      </c>
      <c r="BV8" s="55">
        <f>N(L8)+N(M8)</f>
        <v/>
      </c>
      <c r="BW8" s="55">
        <f>ROUNDUP(G8/BN8,0)</f>
        <v/>
      </c>
      <c r="BX8" s="55">
        <f>ROUNDUP(BU8/BN8,0)</f>
        <v/>
      </c>
      <c r="BY8" s="58">
        <f>IF(BO8=1,0,IFERROR(VLOOKUP(BM8,'Gebinde-Kategorie'!$A$5:$G$45,5,0)+0,0))</f>
        <v/>
      </c>
      <c r="BZ8" s="58">
        <f>IFERROR(IF(OR(BQ8=1,BQ8=2,BQ8=3),N(INDEX(Parameter!$I$5:$I$7,BQ8)),0),0)</f>
        <v/>
      </c>
    </row>
    <row r="9">
      <c r="A9" s="53" t="inlineStr">
        <is>
          <t>111326</t>
        </is>
      </c>
      <c r="B9" s="53" t="inlineStr">
        <is>
          <t>Luftblock BASE/SUB Spezial</t>
        </is>
      </c>
      <c r="C9" s="53" t="inlineStr">
        <is>
          <t>F</t>
        </is>
      </c>
      <c r="D9" s="53" t="inlineStr">
        <is>
          <t>PAL</t>
        </is>
      </c>
      <c r="E9" s="53" t="inlineStr">
        <is>
          <t>A</t>
        </is>
      </c>
      <c r="F9" s="54" t="n">
        <v>1980</v>
      </c>
      <c r="G9" s="55">
        <f>MAX(0,IF(Parameter!$B$20="Jahresanfang 2025 + Export",BG9+BF9,BF9))</f>
        <v/>
      </c>
      <c r="H9" s="55">
        <f>G9*F9</f>
        <v/>
      </c>
      <c r="I9" s="55">
        <f>BI9*Parameter!$B$18</f>
        <v/>
      </c>
      <c r="J9" s="56" t="n">
        <v>0.5</v>
      </c>
      <c r="K9" s="57" t="n">
        <v>22</v>
      </c>
      <c r="L9" s="55" t="n">
        <v>2</v>
      </c>
      <c r="M9" s="55" t="n">
        <v>5</v>
      </c>
      <c r="N9" s="58" t="n">
        <v>80</v>
      </c>
      <c r="O9" s="53" t="inlineStr">
        <is>
          <t>LOSE</t>
        </is>
      </c>
      <c r="P9" s="55" t="n"/>
      <c r="Q9" s="59">
        <f>IF(BO9=1,0,IFERROR(VLOOKUP(BM9,'Gebinde-Kategorie'!$A$5:$G$45,6,0)+0,0))</f>
        <v/>
      </c>
      <c r="R9" s="60" t="n"/>
      <c r="S9" s="61" t="n"/>
      <c r="T9" s="61" t="n"/>
      <c r="U9" s="53">
        <f>IF(A9="","",IF(IFERROR(VLOOKUP(D9,Parameter!$A$35:$C$64,2,0),"Nein")="2+3",IF(ISNUMBER(SEARCH("grosser Artikel",BJ9)),2,IFERROR(VLOOKUP(BM9,Parameter!$F$35:$G$64,2,0),2)),IF(OR(IFERROR(VLOOKUP(D9,Parameter!$A$35:$C$64,2,0),"Nein")="Nein",IFERROR(VLOOKUP(D9,Parameter!$A$35:$C$64,2,0),"Nein")=""),"-",VLOOKUP(D9,Parameter!$A$35:$C$64,2,0))))</f>
        <v/>
      </c>
      <c r="V9" s="61" t="n"/>
      <c r="W9" s="62" t="n"/>
      <c r="X9" s="55">
        <f>AM9</f>
        <v/>
      </c>
      <c r="Y9" s="55">
        <f>MAX(AM9,G9)</f>
        <v/>
      </c>
      <c r="Z9" s="63" t="n"/>
      <c r="AA9" s="55">
        <f>IF(LEFT(Cockpit!$C$5,1)="A",G9,IF(BT9=1,BU9,IF(LEFT(Cockpit!$C$5,1)="B",AE9,MAX(AE9,G9))))</f>
        <v/>
      </c>
      <c r="AB9" s="55">
        <f>IF(BO9=1,0,ROUNDUP(AA9/BN9,0))</f>
        <v/>
      </c>
      <c r="AC9" s="64">
        <f>IF(BO9=1,IF(AA9&lt;=0,0,BP9*MAX(1,IF(G9&gt;0,AA9/G9,1))),AB9*Q9)</f>
        <v/>
      </c>
      <c r="AD9" s="55">
        <f>AA9*F9</f>
        <v/>
      </c>
      <c r="AE9" s="55">
        <f>ROUNDUP(MAX(I9/IF(BS9&gt;0,BS9,MAX(0.1,N(Cockpit!$C$6))),BV9)/BN9,0)*BN9</f>
        <v/>
      </c>
      <c r="AF9" s="56">
        <f>IF(AC9&gt;0,I9/AC9,-1)</f>
        <v/>
      </c>
      <c r="AG9" s="56">
        <f>IF(AND(OR(BR9="L1",BR9="L23"),AC9&gt;0),SUMIFS($AC$7:$AC$1570,$BR$7:$BR$1570,BR9,$AF$7:$AF$1570,"&gt;"&amp;AF9)+SUMIFS($AC$7:$AC$1570,$BR$7:$BR$1570,BR9,$AF$7:$AF$1570,AF9,$BL$7:$BL$1570,"&lt;="&amp;BL9),"")</f>
        <v/>
      </c>
      <c r="AH9" s="65">
        <f>IF(AG9="",0,MAX(0,MIN(1,(IF(BR9="L1",Parameter!$K$5,Parameter!$K$6+Parameter!$K$7)-(AG9-AC9))/AC9)))</f>
        <v/>
      </c>
      <c r="AI9" s="55">
        <f>IF(LEFT(Cockpit!$I$5,1)="A",G9,IF(BT9=1,BU9,IF(LEFT(Cockpit!$I$5,1)="B",AM9,MAX(AM9,G9))))</f>
        <v/>
      </c>
      <c r="AJ9" s="55">
        <f>IF(BO9=1,0,ROUNDUP(AI9/BN9,0))</f>
        <v/>
      </c>
      <c r="AK9" s="64">
        <f>IF(BO9=1,IF(AI9&lt;=0,0,BP9*MAX(1,IF(G9&gt;0,AI9/G9,1))),AJ9*Q9)</f>
        <v/>
      </c>
      <c r="AL9" s="55">
        <f>AI9*F9</f>
        <v/>
      </c>
      <c r="AM9" s="55">
        <f>ROUNDUP(MAX(I9/IF(BS9&gt;0,BS9,MAX(0.1,N(Cockpit!$I$6))),BV9)/BN9,0)*BN9</f>
        <v/>
      </c>
      <c r="AN9" s="56">
        <f>IF(AK9&gt;0,I9/AK9,-1)</f>
        <v/>
      </c>
      <c r="AO9" s="56">
        <f>IF(AND(OR(BR9="L1",BR9="L23"),AK9&gt;0),SUMIFS($AK$7:$AK$1570,$BR$7:$BR$1570,BR9,$AN$7:$AN$1570,"&gt;"&amp;AN9)+SUMIFS($AK$7:$AK$1570,$BR$7:$BR$1570,BR9,$AN$7:$AN$1570,AN9,$BL$7:$BL$1570,"&lt;="&amp;BL9),"")</f>
        <v/>
      </c>
      <c r="AP9" s="65">
        <f>IF(AO9="",0,MAX(0,MIN(1,(IF(BR9="L1",Parameter!$K$5,Parameter!$K$6+Parameter!$K$7)-(AO9-AK9))/AK9)))</f>
        <v/>
      </c>
      <c r="AQ9" s="55">
        <f>IF(LEFT(Cockpit!$O$5,1)="A",G9,IF(BT9=1,BU9,IF(LEFT(Cockpit!$O$5,1)="B",AU9,MAX(AU9,G9))))</f>
        <v/>
      </c>
      <c r="AR9" s="55">
        <f>IF(BO9=1,0,ROUNDUP(AQ9/BN9,0))</f>
        <v/>
      </c>
      <c r="AS9" s="64">
        <f>IF(BO9=1,IF(AQ9&lt;=0,0,BP9*MAX(1,IF(G9&gt;0,AQ9/G9,1))),AR9*Q9)</f>
        <v/>
      </c>
      <c r="AT9" s="55">
        <f>AQ9*F9</f>
        <v/>
      </c>
      <c r="AU9" s="55">
        <f>ROUNDUP(MAX(I9/IF(BS9&gt;0,BS9,MAX(0.1,N(Cockpit!$O$6))),BV9)/BN9,0)*BN9</f>
        <v/>
      </c>
      <c r="AV9" s="56">
        <f>IF(AS9&gt;0,I9/AS9,-1)</f>
        <v/>
      </c>
      <c r="AW9" s="56">
        <f>IF(AND(OR(BR9="L1",BR9="L23"),AS9&gt;0),SUMIFS($AS$7:$AS$1570,$BR$7:$BR$1570,BR9,$AV$7:$AV$1570,"&gt;"&amp;AV9)+SUMIFS($AS$7:$AS$1570,$BR$7:$BR$1570,BR9,$AV$7:$AV$1570,AV9,$BL$7:$BL$1570,"&lt;="&amp;BL9),"")</f>
        <v/>
      </c>
      <c r="AX9" s="65">
        <f>IF(AW9="",0,MAX(0,MIN(1,(IF(BR9="L1",Parameter!$K$5,Parameter!$K$6+Parameter!$K$7)-(AW9-AS9))/AS9)))</f>
        <v/>
      </c>
      <c r="AY9" s="53">
        <f>IF(AC9&lt;=0,"",IF(BR9="Aussen","Aussenlager",IF(BR9="-","Nicht im Lift",IF(AH9&gt;=1,"Lift",IF(AH9&lt;=0,"Aussenlager","teilweise")))))</f>
        <v/>
      </c>
      <c r="AZ9" s="53">
        <f>IF(AK9&lt;=0,"",IF(BR9="Aussen","Aussenlager",IF(BR9="-","Nicht im Lift",IF(AP9&gt;=1,"Lift",IF(AP9&lt;=0,"Aussenlager","teilweise")))))</f>
        <v/>
      </c>
      <c r="BA9" s="53">
        <f>IF(AS9&lt;=0,"",IF(BR9="Aussen","Aussenlager",IF(BR9="-","Nicht im Lift",IF(AX9&gt;=1,"Lift",IF(AX9&lt;=0,"Aussenlager","teilweise")))))</f>
        <v/>
      </c>
      <c r="BB9" s="53">
        <f>IF(A9="","",IF(BK9=1,"Neu; ","")&amp;IF(AND(BK9=0,BF9&lt;0),"negativer Bestand (Export "&amp;BF9&amp;"); ","")&amp;IF(I9&lt;=0,"Kein Verbrauch; ","")&amp;IF(BO9=1,"Lose – Fläche geschätzt; ","")&amp;IF(G9&gt;AM9,"Überbestand "&amp;ROUND(G9-AM9,0)&amp;" Stk / CHF "&amp;ROUND((G9-AM9)*F9,0)&amp;"; ","")&amp;IF(AND(BT9=1,BU9&lt;BV9),"MAX &lt; MB+LG; ","")&amp;IF(AND(BZ9&gt;0,BY9*10&gt;BZ9),"zu hoch für Tablar; ","")&amp;IF(AND(BK9=0,OR(BT9=1,V9&lt;&gt;"",S9&lt;&gt;"",T9&lt;&gt;"",W9&lt;&gt;"")),"manuell übersteuert; ","")&amp;IF(AND(BO9=0,Q9=0),"Gebinde unbekannt; ","")&amp;IF(AND(BO9=0,N(T9)&lt;=0,N(P9)&lt;=0),"Menge pro Gebinde fehlt (Ist = 1 Gebinde); ","")&amp;BJ9)</f>
        <v/>
      </c>
      <c r="BC9" s="53" t="n"/>
      <c r="BD9" s="53" t="n"/>
      <c r="BE9" s="61" t="n"/>
      <c r="BF9" s="55" t="n">
        <v>32</v>
      </c>
      <c r="BG9" s="55" t="n">
        <v>0</v>
      </c>
      <c r="BH9" s="54" t="n">
        <v>63360</v>
      </c>
      <c r="BI9" s="55" t="n">
        <v>11</v>
      </c>
      <c r="BJ9" s="53" t="inlineStr"/>
      <c r="BK9" s="58" t="n">
        <v>0</v>
      </c>
      <c r="BL9" s="58" t="n">
        <v>9</v>
      </c>
      <c r="BM9" s="53">
        <f>IF(S9&lt;&gt;"",UPPER(TRIM(S9)),IF(O9="","LOSE",O9))</f>
        <v/>
      </c>
      <c r="BN9" s="55">
        <f>IF(BM9="LOSE",1,IF(N(T9)&gt;0,T9,IF(N(P9)&gt;0,P9,MAX(1,G9))))</f>
        <v/>
      </c>
      <c r="BO9" s="58">
        <f>IF(BM9="LOSE",1,0)</f>
        <v/>
      </c>
      <c r="BP9" s="64">
        <f>IF(BO9=0,0,IF(N(R9)&gt;0,R9,IFERROR(VLOOKUP(D9,Parameter!$A$35:$C$64,3,0)+0,0)))</f>
        <v/>
      </c>
      <c r="BQ9" s="53">
        <f>IF(V9&lt;&gt;"",V9,U9)</f>
        <v/>
      </c>
      <c r="BR9" s="53">
        <f>IF(BQ9=1,"L1",IF(OR(BQ9=2,BQ9=3),"L23",IF(BQ9="Aussen","Aussen","-")))</f>
        <v/>
      </c>
      <c r="BS9" s="66">
        <f>IF(N(W9)&gt;0,W9,0)</f>
        <v/>
      </c>
      <c r="BT9" s="58">
        <f>IF(ISNUMBER(Z9),1,0)</f>
        <v/>
      </c>
      <c r="BU9" s="55">
        <f>N(Z9)</f>
        <v/>
      </c>
      <c r="BV9" s="55">
        <f>N(L9)+N(M9)</f>
        <v/>
      </c>
      <c r="BW9" s="55">
        <f>ROUNDUP(G9/BN9,0)</f>
        <v/>
      </c>
      <c r="BX9" s="55">
        <f>ROUNDUP(BU9/BN9,0)</f>
        <v/>
      </c>
      <c r="BY9" s="58">
        <f>IF(BO9=1,0,IFERROR(VLOOKUP(BM9,'Gebinde-Kategorie'!$A$5:$G$45,5,0)+0,0))</f>
        <v/>
      </c>
      <c r="BZ9" s="58">
        <f>IFERROR(IF(OR(BQ9=1,BQ9=2,BQ9=3),N(INDEX(Parameter!$I$5:$I$7,BQ9)),0),0)</f>
        <v/>
      </c>
    </row>
    <row r="10">
      <c r="A10" s="53" t="inlineStr">
        <is>
          <t>110337</t>
        </is>
      </c>
      <c r="B10" s="53" t="inlineStr">
        <is>
          <t>Ventilpanel SPGr BASE komplett</t>
        </is>
      </c>
      <c r="C10" s="53" t="inlineStr">
        <is>
          <t>F</t>
        </is>
      </c>
      <c r="D10" s="53" t="inlineStr">
        <is>
          <t>PAL</t>
        </is>
      </c>
      <c r="E10" s="53" t="inlineStr">
        <is>
          <t>A</t>
        </is>
      </c>
      <c r="F10" s="54" t="n">
        <v>5151.64</v>
      </c>
      <c r="G10" s="55">
        <f>MAX(0,IF(Parameter!$B$20="Jahresanfang 2025 + Export",BG10+BF10,BF10))</f>
        <v/>
      </c>
      <c r="H10" s="55">
        <f>G10*F10</f>
        <v/>
      </c>
      <c r="I10" s="55">
        <f>BI10*Parameter!$B$18</f>
        <v/>
      </c>
      <c r="J10" s="56" t="n">
        <v>12</v>
      </c>
      <c r="K10" s="57" t="n">
        <v>1.666666666666667</v>
      </c>
      <c r="L10" s="55" t="n">
        <v>5</v>
      </c>
      <c r="M10" s="55" t="n">
        <v>5</v>
      </c>
      <c r="N10" s="58" t="n">
        <v>28</v>
      </c>
      <c r="O10" s="53" t="inlineStr">
        <is>
          <t>LOSE</t>
        </is>
      </c>
      <c r="P10" s="55" t="n"/>
      <c r="Q10" s="59">
        <f>IF(BO10=1,0,IFERROR(VLOOKUP(BM10,'Gebinde-Kategorie'!$A$5:$G$45,6,0)+0,0))</f>
        <v/>
      </c>
      <c r="R10" s="60" t="n"/>
      <c r="S10" s="61" t="n"/>
      <c r="T10" s="61" t="n"/>
      <c r="U10" s="53">
        <f>IF(A10="","",IF(IFERROR(VLOOKUP(D10,Parameter!$A$35:$C$64,2,0),"Nein")="2+3",IF(ISNUMBER(SEARCH("grosser Artikel",BJ10)),2,IFERROR(VLOOKUP(BM10,Parameter!$F$35:$G$64,2,0),2)),IF(OR(IFERROR(VLOOKUP(D10,Parameter!$A$35:$C$64,2,0),"Nein")="Nein",IFERROR(VLOOKUP(D10,Parameter!$A$35:$C$64,2,0),"Nein")=""),"-",VLOOKUP(D10,Parameter!$A$35:$C$64,2,0))))</f>
        <v/>
      </c>
      <c r="V10" s="61" t="n"/>
      <c r="W10" s="62" t="n"/>
      <c r="X10" s="55">
        <f>AM10</f>
        <v/>
      </c>
      <c r="Y10" s="55">
        <f>MAX(AM10,G10)</f>
        <v/>
      </c>
      <c r="Z10" s="63" t="n"/>
      <c r="AA10" s="55">
        <f>IF(LEFT(Cockpit!$C$5,1)="A",G10,IF(BT10=1,BU10,IF(LEFT(Cockpit!$C$5,1)="B",AE10,MAX(AE10,G10))))</f>
        <v/>
      </c>
      <c r="AB10" s="55">
        <f>IF(BO10=1,0,ROUNDUP(AA10/BN10,0))</f>
        <v/>
      </c>
      <c r="AC10" s="64">
        <f>IF(BO10=1,IF(AA10&lt;=0,0,BP10*MAX(1,IF(G10&gt;0,AA10/G10,1))),AB10*Q10)</f>
        <v/>
      </c>
      <c r="AD10" s="55">
        <f>AA10*F10</f>
        <v/>
      </c>
      <c r="AE10" s="55">
        <f>ROUNDUP(MAX(I10/IF(BS10&gt;0,BS10,MAX(0.1,N(Cockpit!$C$6))),BV10)/BN10,0)*BN10</f>
        <v/>
      </c>
      <c r="AF10" s="56">
        <f>IF(AC10&gt;0,I10/AC10,-1)</f>
        <v/>
      </c>
      <c r="AG10" s="56">
        <f>IF(AND(OR(BR10="L1",BR10="L23"),AC10&gt;0),SUMIFS($AC$7:$AC$1570,$BR$7:$BR$1570,BR10,$AF$7:$AF$1570,"&gt;"&amp;AF10)+SUMIFS($AC$7:$AC$1570,$BR$7:$BR$1570,BR10,$AF$7:$AF$1570,AF10,$BL$7:$BL$1570,"&lt;="&amp;BL10),"")</f>
        <v/>
      </c>
      <c r="AH10" s="65">
        <f>IF(AG10="",0,MAX(0,MIN(1,(IF(BR10="L1",Parameter!$K$5,Parameter!$K$6+Parameter!$K$7)-(AG10-AC10))/AC10)))</f>
        <v/>
      </c>
      <c r="AI10" s="55">
        <f>IF(LEFT(Cockpit!$I$5,1)="A",G10,IF(BT10=1,BU10,IF(LEFT(Cockpit!$I$5,1)="B",AM10,MAX(AM10,G10))))</f>
        <v/>
      </c>
      <c r="AJ10" s="55">
        <f>IF(BO10=1,0,ROUNDUP(AI10/BN10,0))</f>
        <v/>
      </c>
      <c r="AK10" s="64">
        <f>IF(BO10=1,IF(AI10&lt;=0,0,BP10*MAX(1,IF(G10&gt;0,AI10/G10,1))),AJ10*Q10)</f>
        <v/>
      </c>
      <c r="AL10" s="55">
        <f>AI10*F10</f>
        <v/>
      </c>
      <c r="AM10" s="55">
        <f>ROUNDUP(MAX(I10/IF(BS10&gt;0,BS10,MAX(0.1,N(Cockpit!$I$6))),BV10)/BN10,0)*BN10</f>
        <v/>
      </c>
      <c r="AN10" s="56">
        <f>IF(AK10&gt;0,I10/AK10,-1)</f>
        <v/>
      </c>
      <c r="AO10" s="56">
        <f>IF(AND(OR(BR10="L1",BR10="L23"),AK10&gt;0),SUMIFS($AK$7:$AK$1570,$BR$7:$BR$1570,BR10,$AN$7:$AN$1570,"&gt;"&amp;AN10)+SUMIFS($AK$7:$AK$1570,$BR$7:$BR$1570,BR10,$AN$7:$AN$1570,AN10,$BL$7:$BL$1570,"&lt;="&amp;BL10),"")</f>
        <v/>
      </c>
      <c r="AP10" s="65">
        <f>IF(AO10="",0,MAX(0,MIN(1,(IF(BR10="L1",Parameter!$K$5,Parameter!$K$6+Parameter!$K$7)-(AO10-AK10))/AK10)))</f>
        <v/>
      </c>
      <c r="AQ10" s="55">
        <f>IF(LEFT(Cockpit!$O$5,1)="A",G10,IF(BT10=1,BU10,IF(LEFT(Cockpit!$O$5,1)="B",AU10,MAX(AU10,G10))))</f>
        <v/>
      </c>
      <c r="AR10" s="55">
        <f>IF(BO10=1,0,ROUNDUP(AQ10/BN10,0))</f>
        <v/>
      </c>
      <c r="AS10" s="64">
        <f>IF(BO10=1,IF(AQ10&lt;=0,0,BP10*MAX(1,IF(G10&gt;0,AQ10/G10,1))),AR10*Q10)</f>
        <v/>
      </c>
      <c r="AT10" s="55">
        <f>AQ10*F10</f>
        <v/>
      </c>
      <c r="AU10" s="55">
        <f>ROUNDUP(MAX(I10/IF(BS10&gt;0,BS10,MAX(0.1,N(Cockpit!$O$6))),BV10)/BN10,0)*BN10</f>
        <v/>
      </c>
      <c r="AV10" s="56">
        <f>IF(AS10&gt;0,I10/AS10,-1)</f>
        <v/>
      </c>
      <c r="AW10" s="56">
        <f>IF(AND(OR(BR10="L1",BR10="L23"),AS10&gt;0),SUMIFS($AS$7:$AS$1570,$BR$7:$BR$1570,BR10,$AV$7:$AV$1570,"&gt;"&amp;AV10)+SUMIFS($AS$7:$AS$1570,$BR$7:$BR$1570,BR10,$AV$7:$AV$1570,AV10,$BL$7:$BL$1570,"&lt;="&amp;BL10),"")</f>
        <v/>
      </c>
      <c r="AX10" s="65">
        <f>IF(AW10="",0,MAX(0,MIN(1,(IF(BR10="L1",Parameter!$K$5,Parameter!$K$6+Parameter!$K$7)-(AW10-AS10))/AS10)))</f>
        <v/>
      </c>
      <c r="AY10" s="53">
        <f>IF(AC10&lt;=0,"",IF(BR10="Aussen","Aussenlager",IF(BR10="-","Nicht im Lift",IF(AH10&gt;=1,"Lift",IF(AH10&lt;=0,"Aussenlager","teilweise")))))</f>
        <v/>
      </c>
      <c r="AZ10" s="53">
        <f>IF(AK10&lt;=0,"",IF(BR10="Aussen","Aussenlager",IF(BR10="-","Nicht im Lift",IF(AP10&gt;=1,"Lift",IF(AP10&lt;=0,"Aussenlager","teilweise")))))</f>
        <v/>
      </c>
      <c r="BA10" s="53">
        <f>IF(AS10&lt;=0,"",IF(BR10="Aussen","Aussenlager",IF(BR10="-","Nicht im Lift",IF(AX10&gt;=1,"Lift",IF(AX10&lt;=0,"Aussenlager","teilweise")))))</f>
        <v/>
      </c>
      <c r="BB10" s="53">
        <f>IF(A10="","",IF(BK10=1,"Neu; ","")&amp;IF(AND(BK10=0,BF10&lt;0),"negativer Bestand (Export "&amp;BF10&amp;"); ","")&amp;IF(I10&lt;=0,"Kein Verbrauch; ","")&amp;IF(BO10=1,"Lose – Fläche geschätzt; ","")&amp;IF(G10&gt;AM10,"Überbestand "&amp;ROUND(G10-AM10,0)&amp;" Stk / CHF "&amp;ROUND((G10-AM10)*F10,0)&amp;"; ","")&amp;IF(AND(BT10=1,BU10&lt;BV10),"MAX &lt; MB+LG; ","")&amp;IF(AND(BZ10&gt;0,BY10*10&gt;BZ10),"zu hoch für Tablar; ","")&amp;IF(AND(BK10=0,OR(BT10=1,V10&lt;&gt;"",S10&lt;&gt;"",T10&lt;&gt;"",W10&lt;&gt;"")),"manuell übersteuert; ","")&amp;IF(AND(BO10=0,Q10=0),"Gebinde unbekannt; ","")&amp;IF(AND(BO10=0,N(T10)&lt;=0,N(P10)&lt;=0),"Menge pro Gebinde fehlt (Ist = 1 Gebinde); ","")&amp;BJ10)</f>
        <v/>
      </c>
      <c r="BC10" s="53" t="n"/>
      <c r="BD10" s="53" t="n"/>
      <c r="BE10" s="61" t="n"/>
      <c r="BF10" s="55" t="n">
        <v>11</v>
      </c>
      <c r="BG10" s="55" t="n">
        <v>0</v>
      </c>
      <c r="BH10" s="54" t="n">
        <v>56668.06999999998</v>
      </c>
      <c r="BI10" s="55" t="n">
        <v>20</v>
      </c>
      <c r="BJ10" s="53" t="inlineStr"/>
      <c r="BK10" s="58" t="n">
        <v>0</v>
      </c>
      <c r="BL10" s="58" t="n">
        <v>10</v>
      </c>
      <c r="BM10" s="53">
        <f>IF(S10&lt;&gt;"",UPPER(TRIM(S10)),IF(O10="","LOSE",O10))</f>
        <v/>
      </c>
      <c r="BN10" s="55">
        <f>IF(BM10="LOSE",1,IF(N(T10)&gt;0,T10,IF(N(P10)&gt;0,P10,MAX(1,G10))))</f>
        <v/>
      </c>
      <c r="BO10" s="58">
        <f>IF(BM10="LOSE",1,0)</f>
        <v/>
      </c>
      <c r="BP10" s="64">
        <f>IF(BO10=0,0,IF(N(R10)&gt;0,R10,IFERROR(VLOOKUP(D10,Parameter!$A$35:$C$64,3,0)+0,0)))</f>
        <v/>
      </c>
      <c r="BQ10" s="53">
        <f>IF(V10&lt;&gt;"",V10,U10)</f>
        <v/>
      </c>
      <c r="BR10" s="53">
        <f>IF(BQ10=1,"L1",IF(OR(BQ10=2,BQ10=3),"L23",IF(BQ10="Aussen","Aussen","-")))</f>
        <v/>
      </c>
      <c r="BS10" s="66">
        <f>IF(N(W10)&gt;0,W10,0)</f>
        <v/>
      </c>
      <c r="BT10" s="58">
        <f>IF(ISNUMBER(Z10),1,0)</f>
        <v/>
      </c>
      <c r="BU10" s="55">
        <f>N(Z10)</f>
        <v/>
      </c>
      <c r="BV10" s="55">
        <f>N(L10)+N(M10)</f>
        <v/>
      </c>
      <c r="BW10" s="55">
        <f>ROUNDUP(G10/BN10,0)</f>
        <v/>
      </c>
      <c r="BX10" s="55">
        <f>ROUNDUP(BU10/BN10,0)</f>
        <v/>
      </c>
      <c r="BY10" s="58">
        <f>IF(BO10=1,0,IFERROR(VLOOKUP(BM10,'Gebinde-Kategorie'!$A$5:$G$45,5,0)+0,0))</f>
        <v/>
      </c>
      <c r="BZ10" s="58">
        <f>IFERROR(IF(OR(BQ10=1,BQ10=2,BQ10=3),N(INDEX(Parameter!$I$5:$I$7,BQ10)),0),0)</f>
        <v/>
      </c>
    </row>
    <row r="11">
      <c r="A11" s="53" t="inlineStr">
        <is>
          <t>005086</t>
        </is>
      </c>
      <c r="B11" s="53" t="inlineStr">
        <is>
          <t>SPS Grundgerät EG101</t>
        </is>
      </c>
      <c r="C11" s="53" t="inlineStr">
        <is>
          <t>F</t>
        </is>
      </c>
      <c r="D11" s="53" t="inlineStr">
        <is>
          <t>KTL</t>
        </is>
      </c>
      <c r="E11" s="53" t="inlineStr">
        <is>
          <t>A</t>
        </is>
      </c>
      <c r="F11" s="54" t="n">
        <v>308.41</v>
      </c>
      <c r="G11" s="55">
        <f>MAX(0,IF(Parameter!$B$20="Jahresanfang 2025 + Export",BG11+BF11,BF11))</f>
        <v/>
      </c>
      <c r="H11" s="55">
        <f>G11*F11</f>
        <v/>
      </c>
      <c r="I11" s="55">
        <f>BI11*Parameter!$B$18</f>
        <v/>
      </c>
      <c r="J11" s="56" t="n">
        <v>6</v>
      </c>
      <c r="K11" s="57" t="n">
        <v>0.1666666666666667</v>
      </c>
      <c r="L11" s="55" t="n">
        <v>0</v>
      </c>
      <c r="M11" s="55" t="n">
        <v>1</v>
      </c>
      <c r="N11" s="58" t="n">
        <v>14</v>
      </c>
      <c r="O11" s="53" t="inlineStr">
        <is>
          <t>S61</t>
        </is>
      </c>
      <c r="P11" s="55" t="n">
        <v>6</v>
      </c>
      <c r="Q11" s="59">
        <f>IF(BO11=1,0,IFERROR(VLOOKUP(BM11,'Gebinde-Kategorie'!$A$5:$G$45,6,0)+0,0))</f>
        <v/>
      </c>
      <c r="R11" s="60" t="n"/>
      <c r="S11" s="61" t="n"/>
      <c r="T11" s="61" t="n"/>
      <c r="U11" s="53">
        <f>IF(A11="","",IF(IFERROR(VLOOKUP(D11,Parameter!$A$35:$C$64,2,0),"Nein")="2+3",IF(ISNUMBER(SEARCH("grosser Artikel",BJ11)),2,IFERROR(VLOOKUP(BM11,Parameter!$F$35:$G$64,2,0),2)),IF(OR(IFERROR(VLOOKUP(D11,Parameter!$A$35:$C$64,2,0),"Nein")="Nein",IFERROR(VLOOKUP(D11,Parameter!$A$35:$C$64,2,0),"Nein")=""),"-",VLOOKUP(D11,Parameter!$A$35:$C$64,2,0))))</f>
        <v/>
      </c>
      <c r="V11" s="61" t="n"/>
      <c r="W11" s="62" t="n"/>
      <c r="X11" s="55">
        <f>AM11</f>
        <v/>
      </c>
      <c r="Y11" s="55">
        <f>MAX(AM11,G11)</f>
        <v/>
      </c>
      <c r="Z11" s="63" t="n"/>
      <c r="AA11" s="55">
        <f>IF(LEFT(Cockpit!$C$5,1)="A",G11,IF(BT11=1,BU11,IF(LEFT(Cockpit!$C$5,1)="B",AE11,MAX(AE11,G11))))</f>
        <v/>
      </c>
      <c r="AB11" s="55">
        <f>IF(BO11=1,0,ROUNDUP(AA11/BN11,0))</f>
        <v/>
      </c>
      <c r="AC11" s="64">
        <f>IF(BO11=1,IF(AA11&lt;=0,0,BP11*MAX(1,IF(G11&gt;0,AA11/G11,1))),AB11*Q11)</f>
        <v/>
      </c>
      <c r="AD11" s="55">
        <f>AA11*F11</f>
        <v/>
      </c>
      <c r="AE11" s="55">
        <f>ROUNDUP(MAX(I11/IF(BS11&gt;0,BS11,MAX(0.1,N(Cockpit!$C$6))),BV11)/BN11,0)*BN11</f>
        <v/>
      </c>
      <c r="AF11" s="56">
        <f>IF(AC11&gt;0,I11/AC11,-1)</f>
        <v/>
      </c>
      <c r="AG11" s="56">
        <f>IF(AND(OR(BR11="L1",BR11="L23"),AC11&gt;0),SUMIFS($AC$7:$AC$1570,$BR$7:$BR$1570,BR11,$AF$7:$AF$1570,"&gt;"&amp;AF11)+SUMIFS($AC$7:$AC$1570,$BR$7:$BR$1570,BR11,$AF$7:$AF$1570,AF11,$BL$7:$BL$1570,"&lt;="&amp;BL11),"")</f>
        <v/>
      </c>
      <c r="AH11" s="65">
        <f>IF(AG11="",0,MAX(0,MIN(1,(IF(BR11="L1",Parameter!$K$5,Parameter!$K$6+Parameter!$K$7)-(AG11-AC11))/AC11)))</f>
        <v/>
      </c>
      <c r="AI11" s="55">
        <f>IF(LEFT(Cockpit!$I$5,1)="A",G11,IF(BT11=1,BU11,IF(LEFT(Cockpit!$I$5,1)="B",AM11,MAX(AM11,G11))))</f>
        <v/>
      </c>
      <c r="AJ11" s="55">
        <f>IF(BO11=1,0,ROUNDUP(AI11/BN11,0))</f>
        <v/>
      </c>
      <c r="AK11" s="64">
        <f>IF(BO11=1,IF(AI11&lt;=0,0,BP11*MAX(1,IF(G11&gt;0,AI11/G11,1))),AJ11*Q11)</f>
        <v/>
      </c>
      <c r="AL11" s="55">
        <f>AI11*F11</f>
        <v/>
      </c>
      <c r="AM11" s="55">
        <f>ROUNDUP(MAX(I11/IF(BS11&gt;0,BS11,MAX(0.1,N(Cockpit!$I$6))),BV11)/BN11,0)*BN11</f>
        <v/>
      </c>
      <c r="AN11" s="56">
        <f>IF(AK11&gt;0,I11/AK11,-1)</f>
        <v/>
      </c>
      <c r="AO11" s="56">
        <f>IF(AND(OR(BR11="L1",BR11="L23"),AK11&gt;0),SUMIFS($AK$7:$AK$1570,$BR$7:$BR$1570,BR11,$AN$7:$AN$1570,"&gt;"&amp;AN11)+SUMIFS($AK$7:$AK$1570,$BR$7:$BR$1570,BR11,$AN$7:$AN$1570,AN11,$BL$7:$BL$1570,"&lt;="&amp;BL11),"")</f>
        <v/>
      </c>
      <c r="AP11" s="65">
        <f>IF(AO11="",0,MAX(0,MIN(1,(IF(BR11="L1",Parameter!$K$5,Parameter!$K$6+Parameter!$K$7)-(AO11-AK11))/AK11)))</f>
        <v/>
      </c>
      <c r="AQ11" s="55">
        <f>IF(LEFT(Cockpit!$O$5,1)="A",G11,IF(BT11=1,BU11,IF(LEFT(Cockpit!$O$5,1)="B",AU11,MAX(AU11,G11))))</f>
        <v/>
      </c>
      <c r="AR11" s="55">
        <f>IF(BO11=1,0,ROUNDUP(AQ11/BN11,0))</f>
        <v/>
      </c>
      <c r="AS11" s="64">
        <f>IF(BO11=1,IF(AQ11&lt;=0,0,BP11*MAX(1,IF(G11&gt;0,AQ11/G11,1))),AR11*Q11)</f>
        <v/>
      </c>
      <c r="AT11" s="55">
        <f>AQ11*F11</f>
        <v/>
      </c>
      <c r="AU11" s="55">
        <f>ROUNDUP(MAX(I11/IF(BS11&gt;0,BS11,MAX(0.1,N(Cockpit!$O$6))),BV11)/BN11,0)*BN11</f>
        <v/>
      </c>
      <c r="AV11" s="56">
        <f>IF(AS11&gt;0,I11/AS11,-1)</f>
        <v/>
      </c>
      <c r="AW11" s="56">
        <f>IF(AND(OR(BR11="L1",BR11="L23"),AS11&gt;0),SUMIFS($AS$7:$AS$1570,$BR$7:$BR$1570,BR11,$AV$7:$AV$1570,"&gt;"&amp;AV11)+SUMIFS($AS$7:$AS$1570,$BR$7:$BR$1570,BR11,$AV$7:$AV$1570,AV11,$BL$7:$BL$1570,"&lt;="&amp;BL11),"")</f>
        <v/>
      </c>
      <c r="AX11" s="65">
        <f>IF(AW11="",0,MAX(0,MIN(1,(IF(BR11="L1",Parameter!$K$5,Parameter!$K$6+Parameter!$K$7)-(AW11-AS11))/AS11)))</f>
        <v/>
      </c>
      <c r="AY11" s="53">
        <f>IF(AC11&lt;=0,"",IF(BR11="Aussen","Aussenlager",IF(BR11="-","Nicht im Lift",IF(AH11&gt;=1,"Lift",IF(AH11&lt;=0,"Aussenlager","teilweise")))))</f>
        <v/>
      </c>
      <c r="AZ11" s="53">
        <f>IF(AK11&lt;=0,"",IF(BR11="Aussen","Aussenlager",IF(BR11="-","Nicht im Lift",IF(AP11&gt;=1,"Lift",IF(AP11&lt;=0,"Aussenlager","teilweise")))))</f>
        <v/>
      </c>
      <c r="BA11" s="53">
        <f>IF(AS11&lt;=0,"",IF(BR11="Aussen","Aussenlager",IF(BR11="-","Nicht im Lift",IF(AX11&gt;=1,"Lift",IF(AX11&lt;=0,"Aussenlager","teilweise")))))</f>
        <v/>
      </c>
      <c r="BB11" s="53">
        <f>IF(A11="","",IF(BK11=1,"Neu; ","")&amp;IF(AND(BK11=0,BF11&lt;0),"negativer Bestand (Export "&amp;BF11&amp;"); ","")&amp;IF(I11&lt;=0,"Kein Verbrauch; ","")&amp;IF(BO11=1,"Lose – Fläche geschätzt; ","")&amp;IF(G11&gt;AM11,"Überbestand "&amp;ROUND(G11-AM11,0)&amp;" Stk / CHF "&amp;ROUND((G11-AM11)*F11,0)&amp;"; ","")&amp;IF(AND(BT11=1,BU11&lt;BV11),"MAX &lt; MB+LG; ","")&amp;IF(AND(BZ11&gt;0,BY11*10&gt;BZ11),"zu hoch für Tablar; ","")&amp;IF(AND(BK11=0,OR(BT11=1,V11&lt;&gt;"",S11&lt;&gt;"",T11&lt;&gt;"",W11&lt;&gt;"")),"manuell übersteuert; ","")&amp;IF(AND(BO11=0,Q11=0),"Gebinde unbekannt; ","")&amp;IF(AND(BO11=0,N(T11)&lt;=0,N(P11)&lt;=0),"Menge pro Gebinde fehlt (Ist = 1 Gebinde); ","")&amp;BJ11)</f>
        <v/>
      </c>
      <c r="BC11" s="53" t="n"/>
      <c r="BD11" s="53" t="n"/>
      <c r="BE11" s="61" t="n"/>
      <c r="BF11" s="55" t="n">
        <v>167</v>
      </c>
      <c r="BG11" s="55" t="n">
        <v>7</v>
      </c>
      <c r="BH11" s="54" t="n">
        <v>51492.00999999999</v>
      </c>
      <c r="BI11" s="55" t="n">
        <v>1</v>
      </c>
      <c r="BJ11" s="53" t="inlineStr"/>
      <c r="BK11" s="58" t="n">
        <v>0</v>
      </c>
      <c r="BL11" s="58" t="n">
        <v>11</v>
      </c>
      <c r="BM11" s="53">
        <f>IF(S11&lt;&gt;"",UPPER(TRIM(S11)),IF(O11="","LOSE",O11))</f>
        <v/>
      </c>
      <c r="BN11" s="55">
        <f>IF(BM11="LOSE",1,IF(N(T11)&gt;0,T11,IF(N(P11)&gt;0,P11,MAX(1,G11))))</f>
        <v/>
      </c>
      <c r="BO11" s="58">
        <f>IF(BM11="LOSE",1,0)</f>
        <v/>
      </c>
      <c r="BP11" s="64">
        <f>IF(BO11=0,0,IF(N(R11)&gt;0,R11,IFERROR(VLOOKUP(D11,Parameter!$A$35:$C$64,3,0)+0,0)))</f>
        <v/>
      </c>
      <c r="BQ11" s="53">
        <f>IF(V11&lt;&gt;"",V11,U11)</f>
        <v/>
      </c>
      <c r="BR11" s="53">
        <f>IF(BQ11=1,"L1",IF(OR(BQ11=2,BQ11=3),"L23",IF(BQ11="Aussen","Aussen","-")))</f>
        <v/>
      </c>
      <c r="BS11" s="66">
        <f>IF(N(W11)&gt;0,W11,0)</f>
        <v/>
      </c>
      <c r="BT11" s="58">
        <f>IF(ISNUMBER(Z11),1,0)</f>
        <v/>
      </c>
      <c r="BU11" s="55">
        <f>N(Z11)</f>
        <v/>
      </c>
      <c r="BV11" s="55">
        <f>N(L11)+N(M11)</f>
        <v/>
      </c>
      <c r="BW11" s="55">
        <f>ROUNDUP(G11/BN11,0)</f>
        <v/>
      </c>
      <c r="BX11" s="55">
        <f>ROUNDUP(BU11/BN11,0)</f>
        <v/>
      </c>
      <c r="BY11" s="58">
        <f>IF(BO11=1,0,IFERROR(VLOOKUP(BM11,'Gebinde-Kategorie'!$A$5:$G$45,5,0)+0,0))</f>
        <v/>
      </c>
      <c r="BZ11" s="58">
        <f>IFERROR(IF(OR(BQ11=1,BQ11=2,BQ11=3),N(INDEX(Parameter!$I$5:$I$7,BQ11)),0),0)</f>
        <v/>
      </c>
    </row>
    <row r="12">
      <c r="A12" s="53" t="inlineStr">
        <is>
          <t>106185_MAT</t>
        </is>
      </c>
      <c r="B12" s="53" t="inlineStr">
        <is>
          <t>Rohmaterial zu 106185</t>
        </is>
      </c>
      <c r="C12" s="53" t="inlineStr">
        <is>
          <t>F</t>
        </is>
      </c>
      <c r="D12" s="53" t="inlineStr">
        <is>
          <t>PAL</t>
        </is>
      </c>
      <c r="E12" s="53" t="inlineStr">
        <is>
          <t>A</t>
        </is>
      </c>
      <c r="F12" s="54" t="n">
        <v>2228.65</v>
      </c>
      <c r="G12" s="55">
        <f>MAX(0,IF(Parameter!$B$20="Jahresanfang 2025 + Export",BG12+BF12,BF12))</f>
        <v/>
      </c>
      <c r="H12" s="55">
        <f>G12*F12</f>
        <v/>
      </c>
      <c r="I12" s="55">
        <f>BI12*Parameter!$B$18</f>
        <v/>
      </c>
      <c r="J12" s="56" t="n">
        <v>0</v>
      </c>
      <c r="K12" s="57" t="n">
        <v>0</v>
      </c>
      <c r="L12" s="55" t="n">
        <v>0</v>
      </c>
      <c r="M12" s="55" t="n">
        <v>1</v>
      </c>
      <c r="N12" s="58" t="n">
        <v>9999</v>
      </c>
      <c r="O12" s="53" t="inlineStr">
        <is>
          <t>LOSE</t>
        </is>
      </c>
      <c r="P12" s="55" t="n"/>
      <c r="Q12" s="59">
        <f>IF(BO12=1,0,IFERROR(VLOOKUP(BM12,'Gebinde-Kategorie'!$A$5:$G$45,6,0)+0,0))</f>
        <v/>
      </c>
      <c r="R12" s="60" t="n"/>
      <c r="S12" s="61" t="n"/>
      <c r="T12" s="61" t="n"/>
      <c r="U12" s="53">
        <f>IF(A12="","",IF(IFERROR(VLOOKUP(D12,Parameter!$A$35:$C$64,2,0),"Nein")="2+3",IF(ISNUMBER(SEARCH("grosser Artikel",BJ12)),2,IFERROR(VLOOKUP(BM12,Parameter!$F$35:$G$64,2,0),2)),IF(OR(IFERROR(VLOOKUP(D12,Parameter!$A$35:$C$64,2,0),"Nein")="Nein",IFERROR(VLOOKUP(D12,Parameter!$A$35:$C$64,2,0),"Nein")=""),"-",VLOOKUP(D12,Parameter!$A$35:$C$64,2,0))))</f>
        <v/>
      </c>
      <c r="V12" s="61" t="n"/>
      <c r="W12" s="62" t="n"/>
      <c r="X12" s="55">
        <f>AM12</f>
        <v/>
      </c>
      <c r="Y12" s="55">
        <f>MAX(AM12,G12)</f>
        <v/>
      </c>
      <c r="Z12" s="63" t="n"/>
      <c r="AA12" s="55">
        <f>IF(LEFT(Cockpit!$C$5,1)="A",G12,IF(BT12=1,BU12,IF(LEFT(Cockpit!$C$5,1)="B",AE12,MAX(AE12,G12))))</f>
        <v/>
      </c>
      <c r="AB12" s="55">
        <f>IF(BO12=1,0,ROUNDUP(AA12/BN12,0))</f>
        <v/>
      </c>
      <c r="AC12" s="64">
        <f>IF(BO12=1,IF(AA12&lt;=0,0,BP12*MAX(1,IF(G12&gt;0,AA12/G12,1))),AB12*Q12)</f>
        <v/>
      </c>
      <c r="AD12" s="55">
        <f>AA12*F12</f>
        <v/>
      </c>
      <c r="AE12" s="55">
        <f>ROUNDUP(MAX(I12/IF(BS12&gt;0,BS12,MAX(0.1,N(Cockpit!$C$6))),BV12)/BN12,0)*BN12</f>
        <v/>
      </c>
      <c r="AF12" s="56">
        <f>IF(AC12&gt;0,I12/AC12,-1)</f>
        <v/>
      </c>
      <c r="AG12" s="56">
        <f>IF(AND(OR(BR12="L1",BR12="L23"),AC12&gt;0),SUMIFS($AC$7:$AC$1570,$BR$7:$BR$1570,BR12,$AF$7:$AF$1570,"&gt;"&amp;AF12)+SUMIFS($AC$7:$AC$1570,$BR$7:$BR$1570,BR12,$AF$7:$AF$1570,AF12,$BL$7:$BL$1570,"&lt;="&amp;BL12),"")</f>
        <v/>
      </c>
      <c r="AH12" s="65">
        <f>IF(AG12="",0,MAX(0,MIN(1,(IF(BR12="L1",Parameter!$K$5,Parameter!$K$6+Parameter!$K$7)-(AG12-AC12))/AC12)))</f>
        <v/>
      </c>
      <c r="AI12" s="55">
        <f>IF(LEFT(Cockpit!$I$5,1)="A",G12,IF(BT12=1,BU12,IF(LEFT(Cockpit!$I$5,1)="B",AM12,MAX(AM12,G12))))</f>
        <v/>
      </c>
      <c r="AJ12" s="55">
        <f>IF(BO12=1,0,ROUNDUP(AI12/BN12,0))</f>
        <v/>
      </c>
      <c r="AK12" s="64">
        <f>IF(BO12=1,IF(AI12&lt;=0,0,BP12*MAX(1,IF(G12&gt;0,AI12/G12,1))),AJ12*Q12)</f>
        <v/>
      </c>
      <c r="AL12" s="55">
        <f>AI12*F12</f>
        <v/>
      </c>
      <c r="AM12" s="55">
        <f>ROUNDUP(MAX(I12/IF(BS12&gt;0,BS12,MAX(0.1,N(Cockpit!$I$6))),BV12)/BN12,0)*BN12</f>
        <v/>
      </c>
      <c r="AN12" s="56">
        <f>IF(AK12&gt;0,I12/AK12,-1)</f>
        <v/>
      </c>
      <c r="AO12" s="56">
        <f>IF(AND(OR(BR12="L1",BR12="L23"),AK12&gt;0),SUMIFS($AK$7:$AK$1570,$BR$7:$BR$1570,BR12,$AN$7:$AN$1570,"&gt;"&amp;AN12)+SUMIFS($AK$7:$AK$1570,$BR$7:$BR$1570,BR12,$AN$7:$AN$1570,AN12,$BL$7:$BL$1570,"&lt;="&amp;BL12),"")</f>
        <v/>
      </c>
      <c r="AP12" s="65">
        <f>IF(AO12="",0,MAX(0,MIN(1,(IF(BR12="L1",Parameter!$K$5,Parameter!$K$6+Parameter!$K$7)-(AO12-AK12))/AK12)))</f>
        <v/>
      </c>
      <c r="AQ12" s="55">
        <f>IF(LEFT(Cockpit!$O$5,1)="A",G12,IF(BT12=1,BU12,IF(LEFT(Cockpit!$O$5,1)="B",AU12,MAX(AU12,G12))))</f>
        <v/>
      </c>
      <c r="AR12" s="55">
        <f>IF(BO12=1,0,ROUNDUP(AQ12/BN12,0))</f>
        <v/>
      </c>
      <c r="AS12" s="64">
        <f>IF(BO12=1,IF(AQ12&lt;=0,0,BP12*MAX(1,IF(G12&gt;0,AQ12/G12,1))),AR12*Q12)</f>
        <v/>
      </c>
      <c r="AT12" s="55">
        <f>AQ12*F12</f>
        <v/>
      </c>
      <c r="AU12" s="55">
        <f>ROUNDUP(MAX(I12/IF(BS12&gt;0,BS12,MAX(0.1,N(Cockpit!$O$6))),BV12)/BN12,0)*BN12</f>
        <v/>
      </c>
      <c r="AV12" s="56">
        <f>IF(AS12&gt;0,I12/AS12,-1)</f>
        <v/>
      </c>
      <c r="AW12" s="56">
        <f>IF(AND(OR(BR12="L1",BR12="L23"),AS12&gt;0),SUMIFS($AS$7:$AS$1570,$BR$7:$BR$1570,BR12,$AV$7:$AV$1570,"&gt;"&amp;AV12)+SUMIFS($AS$7:$AS$1570,$BR$7:$BR$1570,BR12,$AV$7:$AV$1570,AV12,$BL$7:$BL$1570,"&lt;="&amp;BL12),"")</f>
        <v/>
      </c>
      <c r="AX12" s="65">
        <f>IF(AW12="",0,MAX(0,MIN(1,(IF(BR12="L1",Parameter!$K$5,Parameter!$K$6+Parameter!$K$7)-(AW12-AS12))/AS12)))</f>
        <v/>
      </c>
      <c r="AY12" s="53">
        <f>IF(AC12&lt;=0,"",IF(BR12="Aussen","Aussenlager",IF(BR12="-","Nicht im Lift",IF(AH12&gt;=1,"Lift",IF(AH12&lt;=0,"Aussenlager","teilweise")))))</f>
        <v/>
      </c>
      <c r="AZ12" s="53">
        <f>IF(AK12&lt;=0,"",IF(BR12="Aussen","Aussenlager",IF(BR12="-","Nicht im Lift",IF(AP12&gt;=1,"Lift",IF(AP12&lt;=0,"Aussenlager","teilweise")))))</f>
        <v/>
      </c>
      <c r="BA12" s="53">
        <f>IF(AS12&lt;=0,"",IF(BR12="Aussen","Aussenlager",IF(BR12="-","Nicht im Lift",IF(AX12&gt;=1,"Lift",IF(AX12&lt;=0,"Aussenlager","teilweise")))))</f>
        <v/>
      </c>
      <c r="BB12" s="53">
        <f>IF(A12="","",IF(BK12=1,"Neu; ","")&amp;IF(AND(BK12=0,BF12&lt;0),"negativer Bestand (Export "&amp;BF12&amp;"); ","")&amp;IF(I12&lt;=0,"Kein Verbrauch; ","")&amp;IF(BO12=1,"Lose – Fläche geschätzt; ","")&amp;IF(G12&gt;AM12,"Überbestand "&amp;ROUND(G12-AM12,0)&amp;" Stk / CHF "&amp;ROUND((G12-AM12)*F12,0)&amp;"; ","")&amp;IF(AND(BT12=1,BU12&lt;BV12),"MAX &lt; MB+LG; ","")&amp;IF(AND(BZ12&gt;0,BY12*10&gt;BZ12),"zu hoch für Tablar; ","")&amp;IF(AND(BK12=0,OR(BT12=1,V12&lt;&gt;"",S12&lt;&gt;"",T12&lt;&gt;"",W12&lt;&gt;"")),"manuell übersteuert; ","")&amp;IF(AND(BO12=0,Q12=0),"Gebinde unbekannt; ","")&amp;IF(AND(BO12=0,N(T12)&lt;=0,N(P12)&lt;=0),"Menge pro Gebinde fehlt (Ist = 1 Gebinde); ","")&amp;BJ12)</f>
        <v/>
      </c>
      <c r="BC12" s="53" t="n"/>
      <c r="BD12" s="53" t="n"/>
      <c r="BE12" s="61" t="n"/>
      <c r="BF12" s="55" t="n">
        <v>22.99999999999999</v>
      </c>
      <c r="BG12" s="55" t="n">
        <v>0</v>
      </c>
      <c r="BH12" s="54" t="n">
        <v>51258.95</v>
      </c>
      <c r="BI12" s="55" t="n">
        <v>0</v>
      </c>
      <c r="BJ12" s="53" t="inlineStr"/>
      <c r="BK12" s="58" t="n">
        <v>0</v>
      </c>
      <c r="BL12" s="58" t="n">
        <v>12</v>
      </c>
      <c r="BM12" s="53">
        <f>IF(S12&lt;&gt;"",UPPER(TRIM(S12)),IF(O12="","LOSE",O12))</f>
        <v/>
      </c>
      <c r="BN12" s="55">
        <f>IF(BM12="LOSE",1,IF(N(T12)&gt;0,T12,IF(N(P12)&gt;0,P12,MAX(1,G12))))</f>
        <v/>
      </c>
      <c r="BO12" s="58">
        <f>IF(BM12="LOSE",1,0)</f>
        <v/>
      </c>
      <c r="BP12" s="64">
        <f>IF(BO12=0,0,IF(N(R12)&gt;0,R12,IFERROR(VLOOKUP(D12,Parameter!$A$35:$C$64,3,0)+0,0)))</f>
        <v/>
      </c>
      <c r="BQ12" s="53">
        <f>IF(V12&lt;&gt;"",V12,U12)</f>
        <v/>
      </c>
      <c r="BR12" s="53">
        <f>IF(BQ12=1,"L1",IF(OR(BQ12=2,BQ12=3),"L23",IF(BQ12="Aussen","Aussen","-")))</f>
        <v/>
      </c>
      <c r="BS12" s="66">
        <f>IF(N(W12)&gt;0,W12,0)</f>
        <v/>
      </c>
      <c r="BT12" s="58">
        <f>IF(ISNUMBER(Z12),1,0)</f>
        <v/>
      </c>
      <c r="BU12" s="55">
        <f>N(Z12)</f>
        <v/>
      </c>
      <c r="BV12" s="55">
        <f>N(L12)+N(M12)</f>
        <v/>
      </c>
      <c r="BW12" s="55">
        <f>ROUNDUP(G12/BN12,0)</f>
        <v/>
      </c>
      <c r="BX12" s="55">
        <f>ROUNDUP(BU12/BN12,0)</f>
        <v/>
      </c>
      <c r="BY12" s="58">
        <f>IF(BO12=1,0,IFERROR(VLOOKUP(BM12,'Gebinde-Kategorie'!$A$5:$G$45,5,0)+0,0))</f>
        <v/>
      </c>
      <c r="BZ12" s="58">
        <f>IFERROR(IF(OR(BQ12=1,BQ12=2,BQ12=3),N(INDEX(Parameter!$I$5:$I$7,BQ12)),0),0)</f>
        <v/>
      </c>
    </row>
    <row r="13">
      <c r="A13" s="53" t="inlineStr">
        <is>
          <t>101411</t>
        </is>
      </c>
      <c r="B13" s="53" t="inlineStr">
        <is>
          <t>Austrittsdüse</t>
        </is>
      </c>
      <c r="C13" s="53" t="inlineStr">
        <is>
          <t>F</t>
        </is>
      </c>
      <c r="D13" s="53" t="inlineStr">
        <is>
          <t>LIFT1</t>
        </is>
      </c>
      <c r="E13" s="53" t="inlineStr">
        <is>
          <t>A</t>
        </is>
      </c>
      <c r="F13" s="54" t="n">
        <v>4008.68</v>
      </c>
      <c r="G13" s="55">
        <f>MAX(0,IF(Parameter!$B$20="Jahresanfang 2025 + Export",BG13+BF13,BF13))</f>
        <v/>
      </c>
      <c r="H13" s="55">
        <f>G13*F13</f>
        <v/>
      </c>
      <c r="I13" s="55">
        <f>BI13*Parameter!$B$18</f>
        <v/>
      </c>
      <c r="J13" s="56" t="n">
        <v>2.5</v>
      </c>
      <c r="K13" s="57" t="n">
        <v>12.4</v>
      </c>
      <c r="L13" s="55" t="n">
        <v>2</v>
      </c>
      <c r="M13" s="55" t="n">
        <v>10</v>
      </c>
      <c r="N13" s="58" t="n">
        <v>21</v>
      </c>
      <c r="O13" s="53" t="inlineStr">
        <is>
          <t>LOSE</t>
        </is>
      </c>
      <c r="P13" s="55" t="n"/>
      <c r="Q13" s="59">
        <f>IF(BO13=1,0,IFERROR(VLOOKUP(BM13,'Gebinde-Kategorie'!$A$5:$G$45,6,0)+0,0))</f>
        <v/>
      </c>
      <c r="R13" s="60" t="n"/>
      <c r="S13" s="61" t="n"/>
      <c r="T13" s="61" t="n"/>
      <c r="U13" s="53">
        <f>IF(A13="","",IF(IFERROR(VLOOKUP(D13,Parameter!$A$35:$C$64,2,0),"Nein")="2+3",IF(ISNUMBER(SEARCH("grosser Artikel",BJ13)),2,IFERROR(VLOOKUP(BM13,Parameter!$F$35:$G$64,2,0),2)),IF(OR(IFERROR(VLOOKUP(D13,Parameter!$A$35:$C$64,2,0),"Nein")="Nein",IFERROR(VLOOKUP(D13,Parameter!$A$35:$C$64,2,0),"Nein")=""),"-",VLOOKUP(D13,Parameter!$A$35:$C$64,2,0))))</f>
        <v/>
      </c>
      <c r="V13" s="61" t="n"/>
      <c r="W13" s="62" t="n"/>
      <c r="X13" s="55">
        <f>AM13</f>
        <v/>
      </c>
      <c r="Y13" s="55">
        <f>MAX(AM13,G13)</f>
        <v/>
      </c>
      <c r="Z13" s="63" t="n"/>
      <c r="AA13" s="55">
        <f>IF(LEFT(Cockpit!$C$5,1)="A",G13,IF(BT13=1,BU13,IF(LEFT(Cockpit!$C$5,1)="B",AE13,MAX(AE13,G13))))</f>
        <v/>
      </c>
      <c r="AB13" s="55">
        <f>IF(BO13=1,0,ROUNDUP(AA13/BN13,0))</f>
        <v/>
      </c>
      <c r="AC13" s="64">
        <f>IF(BO13=1,IF(AA13&lt;=0,0,BP13*MAX(1,IF(G13&gt;0,AA13/G13,1))),AB13*Q13)</f>
        <v/>
      </c>
      <c r="AD13" s="55">
        <f>AA13*F13</f>
        <v/>
      </c>
      <c r="AE13" s="55">
        <f>ROUNDUP(MAX(I13/IF(BS13&gt;0,BS13,MAX(0.1,N(Cockpit!$C$6))),BV13)/BN13,0)*BN13</f>
        <v/>
      </c>
      <c r="AF13" s="56">
        <f>IF(AC13&gt;0,I13/AC13,-1)</f>
        <v/>
      </c>
      <c r="AG13" s="56">
        <f>IF(AND(OR(BR13="L1",BR13="L23"),AC13&gt;0),SUMIFS($AC$7:$AC$1570,$BR$7:$BR$1570,BR13,$AF$7:$AF$1570,"&gt;"&amp;AF13)+SUMIFS($AC$7:$AC$1570,$BR$7:$BR$1570,BR13,$AF$7:$AF$1570,AF13,$BL$7:$BL$1570,"&lt;="&amp;BL13),"")</f>
        <v/>
      </c>
      <c r="AH13" s="65">
        <f>IF(AG13="",0,MAX(0,MIN(1,(IF(BR13="L1",Parameter!$K$5,Parameter!$K$6+Parameter!$K$7)-(AG13-AC13))/AC13)))</f>
        <v/>
      </c>
      <c r="AI13" s="55">
        <f>IF(LEFT(Cockpit!$I$5,1)="A",G13,IF(BT13=1,BU13,IF(LEFT(Cockpit!$I$5,1)="B",AM13,MAX(AM13,G13))))</f>
        <v/>
      </c>
      <c r="AJ13" s="55">
        <f>IF(BO13=1,0,ROUNDUP(AI13/BN13,0))</f>
        <v/>
      </c>
      <c r="AK13" s="64">
        <f>IF(BO13=1,IF(AI13&lt;=0,0,BP13*MAX(1,IF(G13&gt;0,AI13/G13,1))),AJ13*Q13)</f>
        <v/>
      </c>
      <c r="AL13" s="55">
        <f>AI13*F13</f>
        <v/>
      </c>
      <c r="AM13" s="55">
        <f>ROUNDUP(MAX(I13/IF(BS13&gt;0,BS13,MAX(0.1,N(Cockpit!$I$6))),BV13)/BN13,0)*BN13</f>
        <v/>
      </c>
      <c r="AN13" s="56">
        <f>IF(AK13&gt;0,I13/AK13,-1)</f>
        <v/>
      </c>
      <c r="AO13" s="56">
        <f>IF(AND(OR(BR13="L1",BR13="L23"),AK13&gt;0),SUMIFS($AK$7:$AK$1570,$BR$7:$BR$1570,BR13,$AN$7:$AN$1570,"&gt;"&amp;AN13)+SUMIFS($AK$7:$AK$1570,$BR$7:$BR$1570,BR13,$AN$7:$AN$1570,AN13,$BL$7:$BL$1570,"&lt;="&amp;BL13),"")</f>
        <v/>
      </c>
      <c r="AP13" s="65">
        <f>IF(AO13="",0,MAX(0,MIN(1,(IF(BR13="L1",Parameter!$K$5,Parameter!$K$6+Parameter!$K$7)-(AO13-AK13))/AK13)))</f>
        <v/>
      </c>
      <c r="AQ13" s="55">
        <f>IF(LEFT(Cockpit!$O$5,1)="A",G13,IF(BT13=1,BU13,IF(LEFT(Cockpit!$O$5,1)="B",AU13,MAX(AU13,G13))))</f>
        <v/>
      </c>
      <c r="AR13" s="55">
        <f>IF(BO13=1,0,ROUNDUP(AQ13/BN13,0))</f>
        <v/>
      </c>
      <c r="AS13" s="64">
        <f>IF(BO13=1,IF(AQ13&lt;=0,0,BP13*MAX(1,IF(G13&gt;0,AQ13/G13,1))),AR13*Q13)</f>
        <v/>
      </c>
      <c r="AT13" s="55">
        <f>AQ13*F13</f>
        <v/>
      </c>
      <c r="AU13" s="55">
        <f>ROUNDUP(MAX(I13/IF(BS13&gt;0,BS13,MAX(0.1,N(Cockpit!$O$6))),BV13)/BN13,0)*BN13</f>
        <v/>
      </c>
      <c r="AV13" s="56">
        <f>IF(AS13&gt;0,I13/AS13,-1)</f>
        <v/>
      </c>
      <c r="AW13" s="56">
        <f>IF(AND(OR(BR13="L1",BR13="L23"),AS13&gt;0),SUMIFS($AS$7:$AS$1570,$BR$7:$BR$1570,BR13,$AV$7:$AV$1570,"&gt;"&amp;AV13)+SUMIFS($AS$7:$AS$1570,$BR$7:$BR$1570,BR13,$AV$7:$AV$1570,AV13,$BL$7:$BL$1570,"&lt;="&amp;BL13),"")</f>
        <v/>
      </c>
      <c r="AX13" s="65">
        <f>IF(AW13="",0,MAX(0,MIN(1,(IF(BR13="L1",Parameter!$K$5,Parameter!$K$6+Parameter!$K$7)-(AW13-AS13))/AS13)))</f>
        <v/>
      </c>
      <c r="AY13" s="53">
        <f>IF(AC13&lt;=0,"",IF(BR13="Aussen","Aussenlager",IF(BR13="-","Nicht im Lift",IF(AH13&gt;=1,"Lift",IF(AH13&lt;=0,"Aussenlager","teilweise")))))</f>
        <v/>
      </c>
      <c r="AZ13" s="53">
        <f>IF(AK13&lt;=0,"",IF(BR13="Aussen","Aussenlager",IF(BR13="-","Nicht im Lift",IF(AP13&gt;=1,"Lift",IF(AP13&lt;=0,"Aussenlager","teilweise")))))</f>
        <v/>
      </c>
      <c r="BA13" s="53">
        <f>IF(AS13&lt;=0,"",IF(BR13="Aussen","Aussenlager",IF(BR13="-","Nicht im Lift",IF(AX13&gt;=1,"Lift",IF(AX13&lt;=0,"Aussenlager","teilweise")))))</f>
        <v/>
      </c>
      <c r="BB13" s="53">
        <f>IF(A13="","",IF(BK13=1,"Neu; ","")&amp;IF(AND(BK13=0,BF13&lt;0),"negativer Bestand (Export "&amp;BF13&amp;"); ","")&amp;IF(I13&lt;=0,"Kein Verbrauch; ","")&amp;IF(BO13=1,"Lose – Fläche geschätzt; ","")&amp;IF(G13&gt;AM13,"Überbestand "&amp;ROUND(G13-AM13,0)&amp;" Stk / CHF "&amp;ROUND((G13-AM13)*F13,0)&amp;"; ","")&amp;IF(AND(BT13=1,BU13&lt;BV13),"MAX &lt; MB+LG; ","")&amp;IF(AND(BZ13&gt;0,BY13*10&gt;BZ13),"zu hoch für Tablar; ","")&amp;IF(AND(BK13=0,OR(BT13=1,V13&lt;&gt;"",S13&lt;&gt;"",T13&lt;&gt;"",W13&lt;&gt;"")),"manuell übersteuert; ","")&amp;IF(AND(BO13=0,Q13=0),"Gebinde unbekannt; ","")&amp;IF(AND(BO13=0,N(T13)&lt;=0,N(P13)&lt;=0),"Menge pro Gebinde fehlt (Ist = 1 Gebinde); ","")&amp;BJ13)</f>
        <v/>
      </c>
      <c r="BC13" s="53" t="n"/>
      <c r="BD13" s="53" t="n"/>
      <c r="BE13" s="61" t="n"/>
      <c r="BF13" s="55" t="n">
        <v>12</v>
      </c>
      <c r="BG13" s="55" t="n">
        <v>3</v>
      </c>
      <c r="BH13" s="54" t="n">
        <v>49636.91999999995</v>
      </c>
      <c r="BI13" s="55" t="n">
        <v>31</v>
      </c>
      <c r="BJ13" s="53" t="inlineStr"/>
      <c r="BK13" s="58" t="n">
        <v>0</v>
      </c>
      <c r="BL13" s="58" t="n">
        <v>13</v>
      </c>
      <c r="BM13" s="53">
        <f>IF(S13&lt;&gt;"",UPPER(TRIM(S13)),IF(O13="","LOSE",O13))</f>
        <v/>
      </c>
      <c r="BN13" s="55">
        <f>IF(BM13="LOSE",1,IF(N(T13)&gt;0,T13,IF(N(P13)&gt;0,P13,MAX(1,G13))))</f>
        <v/>
      </c>
      <c r="BO13" s="58">
        <f>IF(BM13="LOSE",1,0)</f>
        <v/>
      </c>
      <c r="BP13" s="64">
        <f>IF(BO13=0,0,IF(N(R13)&gt;0,R13,IFERROR(VLOOKUP(D13,Parameter!$A$35:$C$64,3,0)+0,0)))</f>
        <v/>
      </c>
      <c r="BQ13" s="53">
        <f>IF(V13&lt;&gt;"",V13,U13)</f>
        <v/>
      </c>
      <c r="BR13" s="53">
        <f>IF(BQ13=1,"L1",IF(OR(BQ13=2,BQ13=3),"L23",IF(BQ13="Aussen","Aussen","-")))</f>
        <v/>
      </c>
      <c r="BS13" s="66">
        <f>IF(N(W13)&gt;0,W13,0)</f>
        <v/>
      </c>
      <c r="BT13" s="58">
        <f>IF(ISNUMBER(Z13),1,0)</f>
        <v/>
      </c>
      <c r="BU13" s="55">
        <f>N(Z13)</f>
        <v/>
      </c>
      <c r="BV13" s="55">
        <f>N(L13)+N(M13)</f>
        <v/>
      </c>
      <c r="BW13" s="55">
        <f>ROUNDUP(G13/BN13,0)</f>
        <v/>
      </c>
      <c r="BX13" s="55">
        <f>ROUNDUP(BU13/BN13,0)</f>
        <v/>
      </c>
      <c r="BY13" s="58">
        <f>IF(BO13=1,0,IFERROR(VLOOKUP(BM13,'Gebinde-Kategorie'!$A$5:$G$45,5,0)+0,0))</f>
        <v/>
      </c>
      <c r="BZ13" s="58">
        <f>IFERROR(IF(OR(BQ13=1,BQ13=2,BQ13=3),N(INDEX(Parameter!$I$5:$I$7,BQ13)),0),0)</f>
        <v/>
      </c>
    </row>
    <row r="14">
      <c r="A14" s="53" t="inlineStr">
        <is>
          <t>106184_MAT</t>
        </is>
      </c>
      <c r="B14" s="53" t="inlineStr">
        <is>
          <t>Rohmaterial zu 106184</t>
        </is>
      </c>
      <c r="C14" s="53" t="inlineStr">
        <is>
          <t>F</t>
        </is>
      </c>
      <c r="D14" s="53" t="inlineStr">
        <is>
          <t>PAL</t>
        </is>
      </c>
      <c r="E14" s="53" t="inlineStr">
        <is>
          <t>A</t>
        </is>
      </c>
      <c r="F14" s="54" t="n">
        <v>1751.08</v>
      </c>
      <c r="G14" s="55">
        <f>MAX(0,IF(Parameter!$B$20="Jahresanfang 2025 + Export",BG14+BF14,BF14))</f>
        <v/>
      </c>
      <c r="H14" s="55">
        <f>G14*F14</f>
        <v/>
      </c>
      <c r="I14" s="55">
        <f>BI14*Parameter!$B$18</f>
        <v/>
      </c>
      <c r="J14" s="56" t="n">
        <v>0</v>
      </c>
      <c r="K14" s="57" t="n">
        <v>0</v>
      </c>
      <c r="L14" s="55" t="n">
        <v>0</v>
      </c>
      <c r="M14" s="55" t="n">
        <v>1</v>
      </c>
      <c r="N14" s="58" t="n">
        <v>9999</v>
      </c>
      <c r="O14" s="53" t="inlineStr">
        <is>
          <t>LOSE</t>
        </is>
      </c>
      <c r="P14" s="55" t="n"/>
      <c r="Q14" s="59">
        <f>IF(BO14=1,0,IFERROR(VLOOKUP(BM14,'Gebinde-Kategorie'!$A$5:$G$45,6,0)+0,0))</f>
        <v/>
      </c>
      <c r="R14" s="60" t="n"/>
      <c r="S14" s="61" t="n"/>
      <c r="T14" s="61" t="n"/>
      <c r="U14" s="53">
        <f>IF(A14="","",IF(IFERROR(VLOOKUP(D14,Parameter!$A$35:$C$64,2,0),"Nein")="2+3",IF(ISNUMBER(SEARCH("grosser Artikel",BJ14)),2,IFERROR(VLOOKUP(BM14,Parameter!$F$35:$G$64,2,0),2)),IF(OR(IFERROR(VLOOKUP(D14,Parameter!$A$35:$C$64,2,0),"Nein")="Nein",IFERROR(VLOOKUP(D14,Parameter!$A$35:$C$64,2,0),"Nein")=""),"-",VLOOKUP(D14,Parameter!$A$35:$C$64,2,0))))</f>
        <v/>
      </c>
      <c r="V14" s="61" t="n"/>
      <c r="W14" s="62" t="n"/>
      <c r="X14" s="55">
        <f>AM14</f>
        <v/>
      </c>
      <c r="Y14" s="55">
        <f>MAX(AM14,G14)</f>
        <v/>
      </c>
      <c r="Z14" s="63" t="n"/>
      <c r="AA14" s="55">
        <f>IF(LEFT(Cockpit!$C$5,1)="A",G14,IF(BT14=1,BU14,IF(LEFT(Cockpit!$C$5,1)="B",AE14,MAX(AE14,G14))))</f>
        <v/>
      </c>
      <c r="AB14" s="55">
        <f>IF(BO14=1,0,ROUNDUP(AA14/BN14,0))</f>
        <v/>
      </c>
      <c r="AC14" s="64">
        <f>IF(BO14=1,IF(AA14&lt;=0,0,BP14*MAX(1,IF(G14&gt;0,AA14/G14,1))),AB14*Q14)</f>
        <v/>
      </c>
      <c r="AD14" s="55">
        <f>AA14*F14</f>
        <v/>
      </c>
      <c r="AE14" s="55">
        <f>ROUNDUP(MAX(I14/IF(BS14&gt;0,BS14,MAX(0.1,N(Cockpit!$C$6))),BV14)/BN14,0)*BN14</f>
        <v/>
      </c>
      <c r="AF14" s="56">
        <f>IF(AC14&gt;0,I14/AC14,-1)</f>
        <v/>
      </c>
      <c r="AG14" s="56">
        <f>IF(AND(OR(BR14="L1",BR14="L23"),AC14&gt;0),SUMIFS($AC$7:$AC$1570,$BR$7:$BR$1570,BR14,$AF$7:$AF$1570,"&gt;"&amp;AF14)+SUMIFS($AC$7:$AC$1570,$BR$7:$BR$1570,BR14,$AF$7:$AF$1570,AF14,$BL$7:$BL$1570,"&lt;="&amp;BL14),"")</f>
        <v/>
      </c>
      <c r="AH14" s="65">
        <f>IF(AG14="",0,MAX(0,MIN(1,(IF(BR14="L1",Parameter!$K$5,Parameter!$K$6+Parameter!$K$7)-(AG14-AC14))/AC14)))</f>
        <v/>
      </c>
      <c r="AI14" s="55">
        <f>IF(LEFT(Cockpit!$I$5,1)="A",G14,IF(BT14=1,BU14,IF(LEFT(Cockpit!$I$5,1)="B",AM14,MAX(AM14,G14))))</f>
        <v/>
      </c>
      <c r="AJ14" s="55">
        <f>IF(BO14=1,0,ROUNDUP(AI14/BN14,0))</f>
        <v/>
      </c>
      <c r="AK14" s="64">
        <f>IF(BO14=1,IF(AI14&lt;=0,0,BP14*MAX(1,IF(G14&gt;0,AI14/G14,1))),AJ14*Q14)</f>
        <v/>
      </c>
      <c r="AL14" s="55">
        <f>AI14*F14</f>
        <v/>
      </c>
      <c r="AM14" s="55">
        <f>ROUNDUP(MAX(I14/IF(BS14&gt;0,BS14,MAX(0.1,N(Cockpit!$I$6))),BV14)/BN14,0)*BN14</f>
        <v/>
      </c>
      <c r="AN14" s="56">
        <f>IF(AK14&gt;0,I14/AK14,-1)</f>
        <v/>
      </c>
      <c r="AO14" s="56">
        <f>IF(AND(OR(BR14="L1",BR14="L23"),AK14&gt;0),SUMIFS($AK$7:$AK$1570,$BR$7:$BR$1570,BR14,$AN$7:$AN$1570,"&gt;"&amp;AN14)+SUMIFS($AK$7:$AK$1570,$BR$7:$BR$1570,BR14,$AN$7:$AN$1570,AN14,$BL$7:$BL$1570,"&lt;="&amp;BL14),"")</f>
        <v/>
      </c>
      <c r="AP14" s="65">
        <f>IF(AO14="",0,MAX(0,MIN(1,(IF(BR14="L1",Parameter!$K$5,Parameter!$K$6+Parameter!$K$7)-(AO14-AK14))/AK14)))</f>
        <v/>
      </c>
      <c r="AQ14" s="55">
        <f>IF(LEFT(Cockpit!$O$5,1)="A",G14,IF(BT14=1,BU14,IF(LEFT(Cockpit!$O$5,1)="B",AU14,MAX(AU14,G14))))</f>
        <v/>
      </c>
      <c r="AR14" s="55">
        <f>IF(BO14=1,0,ROUNDUP(AQ14/BN14,0))</f>
        <v/>
      </c>
      <c r="AS14" s="64">
        <f>IF(BO14=1,IF(AQ14&lt;=0,0,BP14*MAX(1,IF(G14&gt;0,AQ14/G14,1))),AR14*Q14)</f>
        <v/>
      </c>
      <c r="AT14" s="55">
        <f>AQ14*F14</f>
        <v/>
      </c>
      <c r="AU14" s="55">
        <f>ROUNDUP(MAX(I14/IF(BS14&gt;0,BS14,MAX(0.1,N(Cockpit!$O$6))),BV14)/BN14,0)*BN14</f>
        <v/>
      </c>
      <c r="AV14" s="56">
        <f>IF(AS14&gt;0,I14/AS14,-1)</f>
        <v/>
      </c>
      <c r="AW14" s="56">
        <f>IF(AND(OR(BR14="L1",BR14="L23"),AS14&gt;0),SUMIFS($AS$7:$AS$1570,$BR$7:$BR$1570,BR14,$AV$7:$AV$1570,"&gt;"&amp;AV14)+SUMIFS($AS$7:$AS$1570,$BR$7:$BR$1570,BR14,$AV$7:$AV$1570,AV14,$BL$7:$BL$1570,"&lt;="&amp;BL14),"")</f>
        <v/>
      </c>
      <c r="AX14" s="65">
        <f>IF(AW14="",0,MAX(0,MIN(1,(IF(BR14="L1",Parameter!$K$5,Parameter!$K$6+Parameter!$K$7)-(AW14-AS14))/AS14)))</f>
        <v/>
      </c>
      <c r="AY14" s="53">
        <f>IF(AC14&lt;=0,"",IF(BR14="Aussen","Aussenlager",IF(BR14="-","Nicht im Lift",IF(AH14&gt;=1,"Lift",IF(AH14&lt;=0,"Aussenlager","teilweise")))))</f>
        <v/>
      </c>
      <c r="AZ14" s="53">
        <f>IF(AK14&lt;=0,"",IF(BR14="Aussen","Aussenlager",IF(BR14="-","Nicht im Lift",IF(AP14&gt;=1,"Lift",IF(AP14&lt;=0,"Aussenlager","teilweise")))))</f>
        <v/>
      </c>
      <c r="BA14" s="53">
        <f>IF(AS14&lt;=0,"",IF(BR14="Aussen","Aussenlager",IF(BR14="-","Nicht im Lift",IF(AX14&gt;=1,"Lift",IF(AX14&lt;=0,"Aussenlager","teilweise")))))</f>
        <v/>
      </c>
      <c r="BB14" s="53">
        <f>IF(A14="","",IF(BK14=1,"Neu; ","")&amp;IF(AND(BK14=0,BF14&lt;0),"negativer Bestand (Export "&amp;BF14&amp;"); ","")&amp;IF(I14&lt;=0,"Kein Verbrauch; ","")&amp;IF(BO14=1,"Lose – Fläche geschätzt; ","")&amp;IF(G14&gt;AM14,"Überbestand "&amp;ROUND(G14-AM14,0)&amp;" Stk / CHF "&amp;ROUND((G14-AM14)*F14,0)&amp;"; ","")&amp;IF(AND(BT14=1,BU14&lt;BV14),"MAX &lt; MB+LG; ","")&amp;IF(AND(BZ14&gt;0,BY14*10&gt;BZ14),"zu hoch für Tablar; ","")&amp;IF(AND(BK14=0,OR(BT14=1,V14&lt;&gt;"",S14&lt;&gt;"",T14&lt;&gt;"",W14&lt;&gt;"")),"manuell übersteuert; ","")&amp;IF(AND(BO14=0,Q14=0),"Gebinde unbekannt; ","")&amp;IF(AND(BO14=0,N(T14)&lt;=0,N(P14)&lt;=0),"Menge pro Gebinde fehlt (Ist = 1 Gebinde); ","")&amp;BJ14)</f>
        <v/>
      </c>
      <c r="BC14" s="53" t="inlineStr">
        <is>
          <t>Bedarf Niederurnen 8 Stk. + FC Bedarf war höher + WBZ 70 Tage, führten zu Bestellungen, Bedarf hat sich verschoben, Bestellungen wurden nicht angepasst.</t>
        </is>
      </c>
      <c r="BD14" s="53" t="inlineStr">
        <is>
          <t>Umarbeit möglich?</t>
        </is>
      </c>
      <c r="BE14" s="61" t="n"/>
      <c r="BF14" s="55" t="n">
        <v>23</v>
      </c>
      <c r="BG14" s="55" t="n">
        <v>0</v>
      </c>
      <c r="BH14" s="54" t="n">
        <v>40274.84</v>
      </c>
      <c r="BI14" s="55" t="n">
        <v>0</v>
      </c>
      <c r="BJ14" s="53" t="inlineStr"/>
      <c r="BK14" s="58" t="n">
        <v>0</v>
      </c>
      <c r="BL14" s="58" t="n">
        <v>14</v>
      </c>
      <c r="BM14" s="53">
        <f>IF(S14&lt;&gt;"",UPPER(TRIM(S14)),IF(O14="","LOSE",O14))</f>
        <v/>
      </c>
      <c r="BN14" s="55">
        <f>IF(BM14="LOSE",1,IF(N(T14)&gt;0,T14,IF(N(P14)&gt;0,P14,MAX(1,G14))))</f>
        <v/>
      </c>
      <c r="BO14" s="58">
        <f>IF(BM14="LOSE",1,0)</f>
        <v/>
      </c>
      <c r="BP14" s="64">
        <f>IF(BO14=0,0,IF(N(R14)&gt;0,R14,IFERROR(VLOOKUP(D14,Parameter!$A$35:$C$64,3,0)+0,0)))</f>
        <v/>
      </c>
      <c r="BQ14" s="53">
        <f>IF(V14&lt;&gt;"",V14,U14)</f>
        <v/>
      </c>
      <c r="BR14" s="53">
        <f>IF(BQ14=1,"L1",IF(OR(BQ14=2,BQ14=3),"L23",IF(BQ14="Aussen","Aussen","-")))</f>
        <v/>
      </c>
      <c r="BS14" s="66">
        <f>IF(N(W14)&gt;0,W14,0)</f>
        <v/>
      </c>
      <c r="BT14" s="58">
        <f>IF(ISNUMBER(Z14),1,0)</f>
        <v/>
      </c>
      <c r="BU14" s="55">
        <f>N(Z14)</f>
        <v/>
      </c>
      <c r="BV14" s="55">
        <f>N(L14)+N(M14)</f>
        <v/>
      </c>
      <c r="BW14" s="55">
        <f>ROUNDUP(G14/BN14,0)</f>
        <v/>
      </c>
      <c r="BX14" s="55">
        <f>ROUNDUP(BU14/BN14,0)</f>
        <v/>
      </c>
      <c r="BY14" s="58">
        <f>IF(BO14=1,0,IFERROR(VLOOKUP(BM14,'Gebinde-Kategorie'!$A$5:$G$45,5,0)+0,0))</f>
        <v/>
      </c>
      <c r="BZ14" s="58">
        <f>IFERROR(IF(OR(BQ14=1,BQ14=2,BQ14=3),N(INDEX(Parameter!$I$5:$I$7,BQ14)),0),0)</f>
        <v/>
      </c>
    </row>
    <row r="15">
      <c r="A15" s="53" t="inlineStr">
        <is>
          <t>110338</t>
        </is>
      </c>
      <c r="B15" s="53" t="inlineStr">
        <is>
          <t>Ventilpanel SPGr SUB komplett</t>
        </is>
      </c>
      <c r="C15" s="53" t="inlineStr">
        <is>
          <t>F</t>
        </is>
      </c>
      <c r="D15" s="53" t="inlineStr">
        <is>
          <t>PAL</t>
        </is>
      </c>
      <c r="E15" s="53" t="inlineStr">
        <is>
          <t>A</t>
        </is>
      </c>
      <c r="F15" s="54" t="n">
        <v>5356</v>
      </c>
      <c r="G15" s="55">
        <f>MAX(0,IF(Parameter!$B$20="Jahresanfang 2025 + Export",BG15+BF15,BF15))</f>
        <v/>
      </c>
      <c r="H15" s="55">
        <f>G15*F15</f>
        <v/>
      </c>
      <c r="I15" s="55">
        <f>BI15*Parameter!$B$18</f>
        <v/>
      </c>
      <c r="J15" s="56" t="n">
        <v>0.5</v>
      </c>
      <c r="K15" s="57" t="n">
        <v>46</v>
      </c>
      <c r="L15" s="55" t="n">
        <v>6</v>
      </c>
      <c r="M15" s="55" t="n">
        <v>5</v>
      </c>
      <c r="N15" s="58" t="n">
        <v>100</v>
      </c>
      <c r="O15" s="53" t="inlineStr">
        <is>
          <t>LOSE</t>
        </is>
      </c>
      <c r="P15" s="55" t="n"/>
      <c r="Q15" s="59">
        <f>IF(BO15=1,0,IFERROR(VLOOKUP(BM15,'Gebinde-Kategorie'!$A$5:$G$45,6,0)+0,0))</f>
        <v/>
      </c>
      <c r="R15" s="60" t="n"/>
      <c r="S15" s="61" t="n"/>
      <c r="T15" s="61" t="n"/>
      <c r="U15" s="53">
        <f>IF(A15="","",IF(IFERROR(VLOOKUP(D15,Parameter!$A$35:$C$64,2,0),"Nein")="2+3",IF(ISNUMBER(SEARCH("grosser Artikel",BJ15)),2,IFERROR(VLOOKUP(BM15,Parameter!$F$35:$G$64,2,0),2)),IF(OR(IFERROR(VLOOKUP(D15,Parameter!$A$35:$C$64,2,0),"Nein")="Nein",IFERROR(VLOOKUP(D15,Parameter!$A$35:$C$64,2,0),"Nein")=""),"-",VLOOKUP(D15,Parameter!$A$35:$C$64,2,0))))</f>
        <v/>
      </c>
      <c r="V15" s="61" t="n"/>
      <c r="W15" s="62" t="n"/>
      <c r="X15" s="55">
        <f>AM15</f>
        <v/>
      </c>
      <c r="Y15" s="55">
        <f>MAX(AM15,G15)</f>
        <v/>
      </c>
      <c r="Z15" s="63" t="n"/>
      <c r="AA15" s="55">
        <f>IF(LEFT(Cockpit!$C$5,1)="A",G15,IF(BT15=1,BU15,IF(LEFT(Cockpit!$C$5,1)="B",AE15,MAX(AE15,G15))))</f>
        <v/>
      </c>
      <c r="AB15" s="55">
        <f>IF(BO15=1,0,ROUNDUP(AA15/BN15,0))</f>
        <v/>
      </c>
      <c r="AC15" s="64">
        <f>IF(BO15=1,IF(AA15&lt;=0,0,BP15*MAX(1,IF(G15&gt;0,AA15/G15,1))),AB15*Q15)</f>
        <v/>
      </c>
      <c r="AD15" s="55">
        <f>AA15*F15</f>
        <v/>
      </c>
      <c r="AE15" s="55">
        <f>ROUNDUP(MAX(I15/IF(BS15&gt;0,BS15,MAX(0.1,N(Cockpit!$C$6))),BV15)/BN15,0)*BN15</f>
        <v/>
      </c>
      <c r="AF15" s="56">
        <f>IF(AC15&gt;0,I15/AC15,-1)</f>
        <v/>
      </c>
      <c r="AG15" s="56">
        <f>IF(AND(OR(BR15="L1",BR15="L23"),AC15&gt;0),SUMIFS($AC$7:$AC$1570,$BR$7:$BR$1570,BR15,$AF$7:$AF$1570,"&gt;"&amp;AF15)+SUMIFS($AC$7:$AC$1570,$BR$7:$BR$1570,BR15,$AF$7:$AF$1570,AF15,$BL$7:$BL$1570,"&lt;="&amp;BL15),"")</f>
        <v/>
      </c>
      <c r="AH15" s="65">
        <f>IF(AG15="",0,MAX(0,MIN(1,(IF(BR15="L1",Parameter!$K$5,Parameter!$K$6+Parameter!$K$7)-(AG15-AC15))/AC15)))</f>
        <v/>
      </c>
      <c r="AI15" s="55">
        <f>IF(LEFT(Cockpit!$I$5,1)="A",G15,IF(BT15=1,BU15,IF(LEFT(Cockpit!$I$5,1)="B",AM15,MAX(AM15,G15))))</f>
        <v/>
      </c>
      <c r="AJ15" s="55">
        <f>IF(BO15=1,0,ROUNDUP(AI15/BN15,0))</f>
        <v/>
      </c>
      <c r="AK15" s="64">
        <f>IF(BO15=1,IF(AI15&lt;=0,0,BP15*MAX(1,IF(G15&gt;0,AI15/G15,1))),AJ15*Q15)</f>
        <v/>
      </c>
      <c r="AL15" s="55">
        <f>AI15*F15</f>
        <v/>
      </c>
      <c r="AM15" s="55">
        <f>ROUNDUP(MAX(I15/IF(BS15&gt;0,BS15,MAX(0.1,N(Cockpit!$I$6))),BV15)/BN15,0)*BN15</f>
        <v/>
      </c>
      <c r="AN15" s="56">
        <f>IF(AK15&gt;0,I15/AK15,-1)</f>
        <v/>
      </c>
      <c r="AO15" s="56">
        <f>IF(AND(OR(BR15="L1",BR15="L23"),AK15&gt;0),SUMIFS($AK$7:$AK$1570,$BR$7:$BR$1570,BR15,$AN$7:$AN$1570,"&gt;"&amp;AN15)+SUMIFS($AK$7:$AK$1570,$BR$7:$BR$1570,BR15,$AN$7:$AN$1570,AN15,$BL$7:$BL$1570,"&lt;="&amp;BL15),"")</f>
        <v/>
      </c>
      <c r="AP15" s="65">
        <f>IF(AO15="",0,MAX(0,MIN(1,(IF(BR15="L1",Parameter!$K$5,Parameter!$K$6+Parameter!$K$7)-(AO15-AK15))/AK15)))</f>
        <v/>
      </c>
      <c r="AQ15" s="55">
        <f>IF(LEFT(Cockpit!$O$5,1)="A",G15,IF(BT15=1,BU15,IF(LEFT(Cockpit!$O$5,1)="B",AU15,MAX(AU15,G15))))</f>
        <v/>
      </c>
      <c r="AR15" s="55">
        <f>IF(BO15=1,0,ROUNDUP(AQ15/BN15,0))</f>
        <v/>
      </c>
      <c r="AS15" s="64">
        <f>IF(BO15=1,IF(AQ15&lt;=0,0,BP15*MAX(1,IF(G15&gt;0,AQ15/G15,1))),AR15*Q15)</f>
        <v/>
      </c>
      <c r="AT15" s="55">
        <f>AQ15*F15</f>
        <v/>
      </c>
      <c r="AU15" s="55">
        <f>ROUNDUP(MAX(I15/IF(BS15&gt;0,BS15,MAX(0.1,N(Cockpit!$O$6))),BV15)/BN15,0)*BN15</f>
        <v/>
      </c>
      <c r="AV15" s="56">
        <f>IF(AS15&gt;0,I15/AS15,-1)</f>
        <v/>
      </c>
      <c r="AW15" s="56">
        <f>IF(AND(OR(BR15="L1",BR15="L23"),AS15&gt;0),SUMIFS($AS$7:$AS$1570,$BR$7:$BR$1570,BR15,$AV$7:$AV$1570,"&gt;"&amp;AV15)+SUMIFS($AS$7:$AS$1570,$BR$7:$BR$1570,BR15,$AV$7:$AV$1570,AV15,$BL$7:$BL$1570,"&lt;="&amp;BL15),"")</f>
        <v/>
      </c>
      <c r="AX15" s="65">
        <f>IF(AW15="",0,MAX(0,MIN(1,(IF(BR15="L1",Parameter!$K$5,Parameter!$K$6+Parameter!$K$7)-(AW15-AS15))/AS15)))</f>
        <v/>
      </c>
      <c r="AY15" s="53">
        <f>IF(AC15&lt;=0,"",IF(BR15="Aussen","Aussenlager",IF(BR15="-","Nicht im Lift",IF(AH15&gt;=1,"Lift",IF(AH15&lt;=0,"Aussenlager","teilweise")))))</f>
        <v/>
      </c>
      <c r="AZ15" s="53">
        <f>IF(AK15&lt;=0,"",IF(BR15="Aussen","Aussenlager",IF(BR15="-","Nicht im Lift",IF(AP15&gt;=1,"Lift",IF(AP15&lt;=0,"Aussenlager","teilweise")))))</f>
        <v/>
      </c>
      <c r="BA15" s="53">
        <f>IF(AS15&lt;=0,"",IF(BR15="Aussen","Aussenlager",IF(BR15="-","Nicht im Lift",IF(AX15&gt;=1,"Lift",IF(AX15&lt;=0,"Aussenlager","teilweise")))))</f>
        <v/>
      </c>
      <c r="BB15" s="53">
        <f>IF(A15="","",IF(BK15=1,"Neu; ","")&amp;IF(AND(BK15=0,BF15&lt;0),"negativer Bestand (Export "&amp;BF15&amp;"); ","")&amp;IF(I15&lt;=0,"Kein Verbrauch; ","")&amp;IF(BO15=1,"Lose – Fläche geschätzt; ","")&amp;IF(G15&gt;AM15,"Überbestand "&amp;ROUND(G15-AM15,0)&amp;" Stk / CHF "&amp;ROUND((G15-AM15)*F15,0)&amp;"; ","")&amp;IF(AND(BT15=1,BU15&lt;BV15),"MAX &lt; MB+LG; ","")&amp;IF(AND(BZ15&gt;0,BY15*10&gt;BZ15),"zu hoch für Tablar; ","")&amp;IF(AND(BK15=0,OR(BT15=1,V15&lt;&gt;"",S15&lt;&gt;"",T15&lt;&gt;"",W15&lt;&gt;"")),"manuell übersteuert; ","")&amp;IF(AND(BO15=0,Q15=0),"Gebinde unbekannt; ","")&amp;IF(AND(BO15=0,N(T15)&lt;=0,N(P15)&lt;=0),"Menge pro Gebinde fehlt (Ist = 1 Gebinde); ","")&amp;BJ15)</f>
        <v/>
      </c>
      <c r="BC15" s="53" t="n"/>
      <c r="BD15" s="53" t="n"/>
      <c r="BE15" s="61" t="n"/>
      <c r="BF15" s="55" t="n">
        <v>6</v>
      </c>
      <c r="BG15" s="55" t="n">
        <v>0</v>
      </c>
      <c r="BH15" s="54" t="n">
        <v>32136.00000000001</v>
      </c>
      <c r="BI15" s="55" t="n">
        <v>23</v>
      </c>
      <c r="BJ15" s="53" t="inlineStr"/>
      <c r="BK15" s="58" t="n">
        <v>0</v>
      </c>
      <c r="BL15" s="58" t="n">
        <v>15</v>
      </c>
      <c r="BM15" s="53">
        <f>IF(S15&lt;&gt;"",UPPER(TRIM(S15)),IF(O15="","LOSE",O15))</f>
        <v/>
      </c>
      <c r="BN15" s="55">
        <f>IF(BM15="LOSE",1,IF(N(T15)&gt;0,T15,IF(N(P15)&gt;0,P15,MAX(1,G15))))</f>
        <v/>
      </c>
      <c r="BO15" s="58">
        <f>IF(BM15="LOSE",1,0)</f>
        <v/>
      </c>
      <c r="BP15" s="64">
        <f>IF(BO15=0,0,IF(N(R15)&gt;0,R15,IFERROR(VLOOKUP(D15,Parameter!$A$35:$C$64,3,0)+0,0)))</f>
        <v/>
      </c>
      <c r="BQ15" s="53">
        <f>IF(V15&lt;&gt;"",V15,U15)</f>
        <v/>
      </c>
      <c r="BR15" s="53">
        <f>IF(BQ15=1,"L1",IF(OR(BQ15=2,BQ15=3),"L23",IF(BQ15="Aussen","Aussen","-")))</f>
        <v/>
      </c>
      <c r="BS15" s="66">
        <f>IF(N(W15)&gt;0,W15,0)</f>
        <v/>
      </c>
      <c r="BT15" s="58">
        <f>IF(ISNUMBER(Z15),1,0)</f>
        <v/>
      </c>
      <c r="BU15" s="55">
        <f>N(Z15)</f>
        <v/>
      </c>
      <c r="BV15" s="55">
        <f>N(L15)+N(M15)</f>
        <v/>
      </c>
      <c r="BW15" s="55">
        <f>ROUNDUP(G15/BN15,0)</f>
        <v/>
      </c>
      <c r="BX15" s="55">
        <f>ROUNDUP(BU15/BN15,0)</f>
        <v/>
      </c>
      <c r="BY15" s="58">
        <f>IF(BO15=1,0,IFERROR(VLOOKUP(BM15,'Gebinde-Kategorie'!$A$5:$G$45,5,0)+0,0))</f>
        <v/>
      </c>
      <c r="BZ15" s="58">
        <f>IFERROR(IF(OR(BQ15=1,BQ15=2,BQ15=3),N(INDEX(Parameter!$I$5:$I$7,BQ15)),0),0)</f>
        <v/>
      </c>
    </row>
    <row r="16">
      <c r="A16" s="53" t="inlineStr">
        <is>
          <t>104232</t>
        </is>
      </c>
      <c r="B16" s="53" t="inlineStr">
        <is>
          <t>Ventilpanel komplett</t>
        </is>
      </c>
      <c r="C16" s="53" t="inlineStr">
        <is>
          <t>F</t>
        </is>
      </c>
      <c r="D16" s="53" t="inlineStr">
        <is>
          <t>PAL</t>
        </is>
      </c>
      <c r="E16" s="53" t="inlineStr">
        <is>
          <t>A</t>
        </is>
      </c>
      <c r="F16" s="54" t="n">
        <v>4269.47</v>
      </c>
      <c r="G16" s="55">
        <f>MAX(0,IF(Parameter!$B$20="Jahresanfang 2025 + Export",BG16+BF16,BF16))</f>
        <v/>
      </c>
      <c r="H16" s="55">
        <f>G16*F16</f>
        <v/>
      </c>
      <c r="I16" s="55">
        <f>BI16*Parameter!$B$18</f>
        <v/>
      </c>
      <c r="J16" s="56" t="n">
        <v>8</v>
      </c>
      <c r="K16" s="57" t="n">
        <v>10.125</v>
      </c>
      <c r="L16" s="55" t="n">
        <v>12</v>
      </c>
      <c r="M16" s="55" t="n">
        <v>5</v>
      </c>
      <c r="N16" s="58" t="n">
        <v>56</v>
      </c>
      <c r="O16" s="53" t="inlineStr">
        <is>
          <t>LOSE</t>
        </is>
      </c>
      <c r="P16" s="55" t="n"/>
      <c r="Q16" s="59">
        <f>IF(BO16=1,0,IFERROR(VLOOKUP(BM16,'Gebinde-Kategorie'!$A$5:$G$45,6,0)+0,0))</f>
        <v/>
      </c>
      <c r="R16" s="60" t="n"/>
      <c r="S16" s="61" t="n"/>
      <c r="T16" s="61" t="n"/>
      <c r="U16" s="53">
        <f>IF(A16="","",IF(IFERROR(VLOOKUP(D16,Parameter!$A$35:$C$64,2,0),"Nein")="2+3",IF(ISNUMBER(SEARCH("grosser Artikel",BJ16)),2,IFERROR(VLOOKUP(BM16,Parameter!$F$35:$G$64,2,0),2)),IF(OR(IFERROR(VLOOKUP(D16,Parameter!$A$35:$C$64,2,0),"Nein")="Nein",IFERROR(VLOOKUP(D16,Parameter!$A$35:$C$64,2,0),"Nein")=""),"-",VLOOKUP(D16,Parameter!$A$35:$C$64,2,0))))</f>
        <v/>
      </c>
      <c r="V16" s="61" t="n"/>
      <c r="W16" s="62" t="n"/>
      <c r="X16" s="55">
        <f>AM16</f>
        <v/>
      </c>
      <c r="Y16" s="55">
        <f>MAX(AM16,G16)</f>
        <v/>
      </c>
      <c r="Z16" s="63" t="n"/>
      <c r="AA16" s="55">
        <f>IF(LEFT(Cockpit!$C$5,1)="A",G16,IF(BT16=1,BU16,IF(LEFT(Cockpit!$C$5,1)="B",AE16,MAX(AE16,G16))))</f>
        <v/>
      </c>
      <c r="AB16" s="55">
        <f>IF(BO16=1,0,ROUNDUP(AA16/BN16,0))</f>
        <v/>
      </c>
      <c r="AC16" s="64">
        <f>IF(BO16=1,IF(AA16&lt;=0,0,BP16*MAX(1,IF(G16&gt;0,AA16/G16,1))),AB16*Q16)</f>
        <v/>
      </c>
      <c r="AD16" s="55">
        <f>AA16*F16</f>
        <v/>
      </c>
      <c r="AE16" s="55">
        <f>ROUNDUP(MAX(I16/IF(BS16&gt;0,BS16,MAX(0.1,N(Cockpit!$C$6))),BV16)/BN16,0)*BN16</f>
        <v/>
      </c>
      <c r="AF16" s="56">
        <f>IF(AC16&gt;0,I16/AC16,-1)</f>
        <v/>
      </c>
      <c r="AG16" s="56">
        <f>IF(AND(OR(BR16="L1",BR16="L23"),AC16&gt;0),SUMIFS($AC$7:$AC$1570,$BR$7:$BR$1570,BR16,$AF$7:$AF$1570,"&gt;"&amp;AF16)+SUMIFS($AC$7:$AC$1570,$BR$7:$BR$1570,BR16,$AF$7:$AF$1570,AF16,$BL$7:$BL$1570,"&lt;="&amp;BL16),"")</f>
        <v/>
      </c>
      <c r="AH16" s="65">
        <f>IF(AG16="",0,MAX(0,MIN(1,(IF(BR16="L1",Parameter!$K$5,Parameter!$K$6+Parameter!$K$7)-(AG16-AC16))/AC16)))</f>
        <v/>
      </c>
      <c r="AI16" s="55">
        <f>IF(LEFT(Cockpit!$I$5,1)="A",G16,IF(BT16=1,BU16,IF(LEFT(Cockpit!$I$5,1)="B",AM16,MAX(AM16,G16))))</f>
        <v/>
      </c>
      <c r="AJ16" s="55">
        <f>IF(BO16=1,0,ROUNDUP(AI16/BN16,0))</f>
        <v/>
      </c>
      <c r="AK16" s="64">
        <f>IF(BO16=1,IF(AI16&lt;=0,0,BP16*MAX(1,IF(G16&gt;0,AI16/G16,1))),AJ16*Q16)</f>
        <v/>
      </c>
      <c r="AL16" s="55">
        <f>AI16*F16</f>
        <v/>
      </c>
      <c r="AM16" s="55">
        <f>ROUNDUP(MAX(I16/IF(BS16&gt;0,BS16,MAX(0.1,N(Cockpit!$I$6))),BV16)/BN16,0)*BN16</f>
        <v/>
      </c>
      <c r="AN16" s="56">
        <f>IF(AK16&gt;0,I16/AK16,-1)</f>
        <v/>
      </c>
      <c r="AO16" s="56">
        <f>IF(AND(OR(BR16="L1",BR16="L23"),AK16&gt;0),SUMIFS($AK$7:$AK$1570,$BR$7:$BR$1570,BR16,$AN$7:$AN$1570,"&gt;"&amp;AN16)+SUMIFS($AK$7:$AK$1570,$BR$7:$BR$1570,BR16,$AN$7:$AN$1570,AN16,$BL$7:$BL$1570,"&lt;="&amp;BL16),"")</f>
        <v/>
      </c>
      <c r="AP16" s="65">
        <f>IF(AO16="",0,MAX(0,MIN(1,(IF(BR16="L1",Parameter!$K$5,Parameter!$K$6+Parameter!$K$7)-(AO16-AK16))/AK16)))</f>
        <v/>
      </c>
      <c r="AQ16" s="55">
        <f>IF(LEFT(Cockpit!$O$5,1)="A",G16,IF(BT16=1,BU16,IF(LEFT(Cockpit!$O$5,1)="B",AU16,MAX(AU16,G16))))</f>
        <v/>
      </c>
      <c r="AR16" s="55">
        <f>IF(BO16=1,0,ROUNDUP(AQ16/BN16,0))</f>
        <v/>
      </c>
      <c r="AS16" s="64">
        <f>IF(BO16=1,IF(AQ16&lt;=0,0,BP16*MAX(1,IF(G16&gt;0,AQ16/G16,1))),AR16*Q16)</f>
        <v/>
      </c>
      <c r="AT16" s="55">
        <f>AQ16*F16</f>
        <v/>
      </c>
      <c r="AU16" s="55">
        <f>ROUNDUP(MAX(I16/IF(BS16&gt;0,BS16,MAX(0.1,N(Cockpit!$O$6))),BV16)/BN16,0)*BN16</f>
        <v/>
      </c>
      <c r="AV16" s="56">
        <f>IF(AS16&gt;0,I16/AS16,-1)</f>
        <v/>
      </c>
      <c r="AW16" s="56">
        <f>IF(AND(OR(BR16="L1",BR16="L23"),AS16&gt;0),SUMIFS($AS$7:$AS$1570,$BR$7:$BR$1570,BR16,$AV$7:$AV$1570,"&gt;"&amp;AV16)+SUMIFS($AS$7:$AS$1570,$BR$7:$BR$1570,BR16,$AV$7:$AV$1570,AV16,$BL$7:$BL$1570,"&lt;="&amp;BL16),"")</f>
        <v/>
      </c>
      <c r="AX16" s="65">
        <f>IF(AW16="",0,MAX(0,MIN(1,(IF(BR16="L1",Parameter!$K$5,Parameter!$K$6+Parameter!$K$7)-(AW16-AS16))/AS16)))</f>
        <v/>
      </c>
      <c r="AY16" s="53">
        <f>IF(AC16&lt;=0,"",IF(BR16="Aussen","Aussenlager",IF(BR16="-","Nicht im Lift",IF(AH16&gt;=1,"Lift",IF(AH16&lt;=0,"Aussenlager","teilweise")))))</f>
        <v/>
      </c>
      <c r="AZ16" s="53">
        <f>IF(AK16&lt;=0,"",IF(BR16="Aussen","Aussenlager",IF(BR16="-","Nicht im Lift",IF(AP16&gt;=1,"Lift",IF(AP16&lt;=0,"Aussenlager","teilweise")))))</f>
        <v/>
      </c>
      <c r="BA16" s="53">
        <f>IF(AS16&lt;=0,"",IF(BR16="Aussen","Aussenlager",IF(BR16="-","Nicht im Lift",IF(AX16&gt;=1,"Lift",IF(AX16&lt;=0,"Aussenlager","teilweise")))))</f>
        <v/>
      </c>
      <c r="BB16" s="53">
        <f>IF(A16="","",IF(BK16=1,"Neu; ","")&amp;IF(AND(BK16=0,BF16&lt;0),"negativer Bestand (Export "&amp;BF16&amp;"); ","")&amp;IF(I16&lt;=0,"Kein Verbrauch; ","")&amp;IF(BO16=1,"Lose – Fläche geschätzt; ","")&amp;IF(G16&gt;AM16,"Überbestand "&amp;ROUND(G16-AM16,0)&amp;" Stk / CHF "&amp;ROUND((G16-AM16)*F16,0)&amp;"; ","")&amp;IF(AND(BT16=1,BU16&lt;BV16),"MAX &lt; MB+LG; ","")&amp;IF(AND(BZ16&gt;0,BY16*10&gt;BZ16),"zu hoch für Tablar; ","")&amp;IF(AND(BK16=0,OR(BT16=1,V16&lt;&gt;"",S16&lt;&gt;"",T16&lt;&gt;"",W16&lt;&gt;"")),"manuell übersteuert; ","")&amp;IF(AND(BO16=0,Q16=0),"Gebinde unbekannt; ","")&amp;IF(AND(BO16=0,N(T16)&lt;=0,N(P16)&lt;=0),"Menge pro Gebinde fehlt (Ist = 1 Gebinde); ","")&amp;BJ16)</f>
        <v/>
      </c>
      <c r="BC16" s="53" t="n"/>
      <c r="BD16" s="53" t="n"/>
      <c r="BE16" s="61" t="n"/>
      <c r="BF16" s="55" t="n">
        <v>8</v>
      </c>
      <c r="BG16" s="55" t="n">
        <v>10</v>
      </c>
      <c r="BH16" s="54" t="n">
        <v>31710.47000000005</v>
      </c>
      <c r="BI16" s="55" t="n">
        <v>81</v>
      </c>
      <c r="BJ16" s="53" t="inlineStr"/>
      <c r="BK16" s="58" t="n">
        <v>0</v>
      </c>
      <c r="BL16" s="58" t="n">
        <v>16</v>
      </c>
      <c r="BM16" s="53">
        <f>IF(S16&lt;&gt;"",UPPER(TRIM(S16)),IF(O16="","LOSE",O16))</f>
        <v/>
      </c>
      <c r="BN16" s="55">
        <f>IF(BM16="LOSE",1,IF(N(T16)&gt;0,T16,IF(N(P16)&gt;0,P16,MAX(1,G16))))</f>
        <v/>
      </c>
      <c r="BO16" s="58">
        <f>IF(BM16="LOSE",1,0)</f>
        <v/>
      </c>
      <c r="BP16" s="64">
        <f>IF(BO16=0,0,IF(N(R16)&gt;0,R16,IFERROR(VLOOKUP(D16,Parameter!$A$35:$C$64,3,0)+0,0)))</f>
        <v/>
      </c>
      <c r="BQ16" s="53">
        <f>IF(V16&lt;&gt;"",V16,U16)</f>
        <v/>
      </c>
      <c r="BR16" s="53">
        <f>IF(BQ16=1,"L1",IF(OR(BQ16=2,BQ16=3),"L23",IF(BQ16="Aussen","Aussen","-")))</f>
        <v/>
      </c>
      <c r="BS16" s="66">
        <f>IF(N(W16)&gt;0,W16,0)</f>
        <v/>
      </c>
      <c r="BT16" s="58">
        <f>IF(ISNUMBER(Z16),1,0)</f>
        <v/>
      </c>
      <c r="BU16" s="55">
        <f>N(Z16)</f>
        <v/>
      </c>
      <c r="BV16" s="55">
        <f>N(L16)+N(M16)</f>
        <v/>
      </c>
      <c r="BW16" s="55">
        <f>ROUNDUP(G16/BN16,0)</f>
        <v/>
      </c>
      <c r="BX16" s="55">
        <f>ROUNDUP(BU16/BN16,0)</f>
        <v/>
      </c>
      <c r="BY16" s="58">
        <f>IF(BO16=1,0,IFERROR(VLOOKUP(BM16,'Gebinde-Kategorie'!$A$5:$G$45,5,0)+0,0))</f>
        <v/>
      </c>
      <c r="BZ16" s="58">
        <f>IFERROR(IF(OR(BQ16=1,BQ16=2,BQ16=3),N(INDEX(Parameter!$I$5:$I$7,BQ16)),0),0)</f>
        <v/>
      </c>
    </row>
    <row r="17">
      <c r="A17" s="53" t="inlineStr">
        <is>
          <t>105315_MAT</t>
        </is>
      </c>
      <c r="B17" s="53" t="inlineStr">
        <is>
          <t>Rohmaterial zu 105315</t>
        </is>
      </c>
      <c r="C17" s="53" t="inlineStr">
        <is>
          <t>F</t>
        </is>
      </c>
      <c r="D17" s="53" t="inlineStr">
        <is>
          <t>PAL</t>
        </is>
      </c>
      <c r="E17" s="53" t="inlineStr">
        <is>
          <t>B</t>
        </is>
      </c>
      <c r="F17" s="54" t="n">
        <v>399.17</v>
      </c>
      <c r="G17" s="55">
        <f>MAX(0,IF(Parameter!$B$20="Jahresanfang 2025 + Export",BG17+BF17,BF17))</f>
        <v/>
      </c>
      <c r="H17" s="55">
        <f>G17*F17</f>
        <v/>
      </c>
      <c r="I17" s="55">
        <f>BI17*Parameter!$B$18</f>
        <v/>
      </c>
      <c r="J17" s="56" t="n">
        <v>0</v>
      </c>
      <c r="K17" s="57" t="n">
        <v>0</v>
      </c>
      <c r="L17" s="55" t="n">
        <v>0</v>
      </c>
      <c r="M17" s="55" t="n">
        <v>1</v>
      </c>
      <c r="N17" s="58" t="n">
        <v>9999</v>
      </c>
      <c r="O17" s="53" t="inlineStr">
        <is>
          <t>LOSE</t>
        </is>
      </c>
      <c r="P17" s="55" t="n"/>
      <c r="Q17" s="59">
        <f>IF(BO17=1,0,IFERROR(VLOOKUP(BM17,'Gebinde-Kategorie'!$A$5:$G$45,6,0)+0,0))</f>
        <v/>
      </c>
      <c r="R17" s="60" t="n"/>
      <c r="S17" s="61" t="n"/>
      <c r="T17" s="61" t="n"/>
      <c r="U17" s="53">
        <f>IF(A17="","",IF(IFERROR(VLOOKUP(D17,Parameter!$A$35:$C$64,2,0),"Nein")="2+3",IF(ISNUMBER(SEARCH("grosser Artikel",BJ17)),2,IFERROR(VLOOKUP(BM17,Parameter!$F$35:$G$64,2,0),2)),IF(OR(IFERROR(VLOOKUP(D17,Parameter!$A$35:$C$64,2,0),"Nein")="Nein",IFERROR(VLOOKUP(D17,Parameter!$A$35:$C$64,2,0),"Nein")=""),"-",VLOOKUP(D17,Parameter!$A$35:$C$64,2,0))))</f>
        <v/>
      </c>
      <c r="V17" s="61" t="n"/>
      <c r="W17" s="62" t="n"/>
      <c r="X17" s="55">
        <f>AM17</f>
        <v/>
      </c>
      <c r="Y17" s="55">
        <f>MAX(AM17,G17)</f>
        <v/>
      </c>
      <c r="Z17" s="63" t="n"/>
      <c r="AA17" s="55">
        <f>IF(LEFT(Cockpit!$C$5,1)="A",G17,IF(BT17=1,BU17,IF(LEFT(Cockpit!$C$5,1)="B",AE17,MAX(AE17,G17))))</f>
        <v/>
      </c>
      <c r="AB17" s="55">
        <f>IF(BO17=1,0,ROUNDUP(AA17/BN17,0))</f>
        <v/>
      </c>
      <c r="AC17" s="64">
        <f>IF(BO17=1,IF(AA17&lt;=0,0,BP17*MAX(1,IF(G17&gt;0,AA17/G17,1))),AB17*Q17)</f>
        <v/>
      </c>
      <c r="AD17" s="55">
        <f>AA17*F17</f>
        <v/>
      </c>
      <c r="AE17" s="55">
        <f>ROUNDUP(MAX(I17/IF(BS17&gt;0,BS17,MAX(0.1,N(Cockpit!$C$6))),BV17)/BN17,0)*BN17</f>
        <v/>
      </c>
      <c r="AF17" s="56">
        <f>IF(AC17&gt;0,I17/AC17,-1)</f>
        <v/>
      </c>
      <c r="AG17" s="56">
        <f>IF(AND(OR(BR17="L1",BR17="L23"),AC17&gt;0),SUMIFS($AC$7:$AC$1570,$BR$7:$BR$1570,BR17,$AF$7:$AF$1570,"&gt;"&amp;AF17)+SUMIFS($AC$7:$AC$1570,$BR$7:$BR$1570,BR17,$AF$7:$AF$1570,AF17,$BL$7:$BL$1570,"&lt;="&amp;BL17),"")</f>
        <v/>
      </c>
      <c r="AH17" s="65">
        <f>IF(AG17="",0,MAX(0,MIN(1,(IF(BR17="L1",Parameter!$K$5,Parameter!$K$6+Parameter!$K$7)-(AG17-AC17))/AC17)))</f>
        <v/>
      </c>
      <c r="AI17" s="55">
        <f>IF(LEFT(Cockpit!$I$5,1)="A",G17,IF(BT17=1,BU17,IF(LEFT(Cockpit!$I$5,1)="B",AM17,MAX(AM17,G17))))</f>
        <v/>
      </c>
      <c r="AJ17" s="55">
        <f>IF(BO17=1,0,ROUNDUP(AI17/BN17,0))</f>
        <v/>
      </c>
      <c r="AK17" s="64">
        <f>IF(BO17=1,IF(AI17&lt;=0,0,BP17*MAX(1,IF(G17&gt;0,AI17/G17,1))),AJ17*Q17)</f>
        <v/>
      </c>
      <c r="AL17" s="55">
        <f>AI17*F17</f>
        <v/>
      </c>
      <c r="AM17" s="55">
        <f>ROUNDUP(MAX(I17/IF(BS17&gt;0,BS17,MAX(0.1,N(Cockpit!$I$6))),BV17)/BN17,0)*BN17</f>
        <v/>
      </c>
      <c r="AN17" s="56">
        <f>IF(AK17&gt;0,I17/AK17,-1)</f>
        <v/>
      </c>
      <c r="AO17" s="56">
        <f>IF(AND(OR(BR17="L1",BR17="L23"),AK17&gt;0),SUMIFS($AK$7:$AK$1570,$BR$7:$BR$1570,BR17,$AN$7:$AN$1570,"&gt;"&amp;AN17)+SUMIFS($AK$7:$AK$1570,$BR$7:$BR$1570,BR17,$AN$7:$AN$1570,AN17,$BL$7:$BL$1570,"&lt;="&amp;BL17),"")</f>
        <v/>
      </c>
      <c r="AP17" s="65">
        <f>IF(AO17="",0,MAX(0,MIN(1,(IF(BR17="L1",Parameter!$K$5,Parameter!$K$6+Parameter!$K$7)-(AO17-AK17))/AK17)))</f>
        <v/>
      </c>
      <c r="AQ17" s="55">
        <f>IF(LEFT(Cockpit!$O$5,1)="A",G17,IF(BT17=1,BU17,IF(LEFT(Cockpit!$O$5,1)="B",AU17,MAX(AU17,G17))))</f>
        <v/>
      </c>
      <c r="AR17" s="55">
        <f>IF(BO17=1,0,ROUNDUP(AQ17/BN17,0))</f>
        <v/>
      </c>
      <c r="AS17" s="64">
        <f>IF(BO17=1,IF(AQ17&lt;=0,0,BP17*MAX(1,IF(G17&gt;0,AQ17/G17,1))),AR17*Q17)</f>
        <v/>
      </c>
      <c r="AT17" s="55">
        <f>AQ17*F17</f>
        <v/>
      </c>
      <c r="AU17" s="55">
        <f>ROUNDUP(MAX(I17/IF(BS17&gt;0,BS17,MAX(0.1,N(Cockpit!$O$6))),BV17)/BN17,0)*BN17</f>
        <v/>
      </c>
      <c r="AV17" s="56">
        <f>IF(AS17&gt;0,I17/AS17,-1)</f>
        <v/>
      </c>
      <c r="AW17" s="56">
        <f>IF(AND(OR(BR17="L1",BR17="L23"),AS17&gt;0),SUMIFS($AS$7:$AS$1570,$BR$7:$BR$1570,BR17,$AV$7:$AV$1570,"&gt;"&amp;AV17)+SUMIFS($AS$7:$AS$1570,$BR$7:$BR$1570,BR17,$AV$7:$AV$1570,AV17,$BL$7:$BL$1570,"&lt;="&amp;BL17),"")</f>
        <v/>
      </c>
      <c r="AX17" s="65">
        <f>IF(AW17="",0,MAX(0,MIN(1,(IF(BR17="L1",Parameter!$K$5,Parameter!$K$6+Parameter!$K$7)-(AW17-AS17))/AS17)))</f>
        <v/>
      </c>
      <c r="AY17" s="53">
        <f>IF(AC17&lt;=0,"",IF(BR17="Aussen","Aussenlager",IF(BR17="-","Nicht im Lift",IF(AH17&gt;=1,"Lift",IF(AH17&lt;=0,"Aussenlager","teilweise")))))</f>
        <v/>
      </c>
      <c r="AZ17" s="53">
        <f>IF(AK17&lt;=0,"",IF(BR17="Aussen","Aussenlager",IF(BR17="-","Nicht im Lift",IF(AP17&gt;=1,"Lift",IF(AP17&lt;=0,"Aussenlager","teilweise")))))</f>
        <v/>
      </c>
      <c r="BA17" s="53">
        <f>IF(AS17&lt;=0,"",IF(BR17="Aussen","Aussenlager",IF(BR17="-","Nicht im Lift",IF(AX17&gt;=1,"Lift",IF(AX17&lt;=0,"Aussenlager","teilweise")))))</f>
        <v/>
      </c>
      <c r="BB17" s="53">
        <f>IF(A17="","",IF(BK17=1,"Neu; ","")&amp;IF(AND(BK17=0,BF17&lt;0),"negativer Bestand (Export "&amp;BF17&amp;"); ","")&amp;IF(I17&lt;=0,"Kein Verbrauch; ","")&amp;IF(BO17=1,"Lose – Fläche geschätzt; ","")&amp;IF(G17&gt;AM17,"Überbestand "&amp;ROUND(G17-AM17,0)&amp;" Stk / CHF "&amp;ROUND((G17-AM17)*F17,0)&amp;"; ","")&amp;IF(AND(BT17=1,BU17&lt;BV17),"MAX &lt; MB+LG; ","")&amp;IF(AND(BZ17&gt;0,BY17*10&gt;BZ17),"zu hoch für Tablar; ","")&amp;IF(AND(BK17=0,OR(BT17=1,V17&lt;&gt;"",S17&lt;&gt;"",T17&lt;&gt;"",W17&lt;&gt;"")),"manuell übersteuert; ","")&amp;IF(AND(BO17=0,Q17=0),"Gebinde unbekannt; ","")&amp;IF(AND(BO17=0,N(T17)&lt;=0,N(P17)&lt;=0),"Menge pro Gebinde fehlt (Ist = 1 Gebinde); ","")&amp;BJ17)</f>
        <v/>
      </c>
      <c r="BC17" s="53" t="n"/>
      <c r="BD17" s="53" t="n"/>
      <c r="BE17" s="61" t="n"/>
      <c r="BF17" s="55" t="n">
        <v>75</v>
      </c>
      <c r="BG17" s="55" t="n">
        <v>0</v>
      </c>
      <c r="BH17" s="54" t="n">
        <v>29937.75</v>
      </c>
      <c r="BI17" s="55" t="n">
        <v>0</v>
      </c>
      <c r="BJ17" s="53" t="inlineStr"/>
      <c r="BK17" s="58" t="n">
        <v>0</v>
      </c>
      <c r="BL17" s="58" t="n">
        <v>17</v>
      </c>
      <c r="BM17" s="53">
        <f>IF(S17&lt;&gt;"",UPPER(TRIM(S17)),IF(O17="","LOSE",O17))</f>
        <v/>
      </c>
      <c r="BN17" s="55">
        <f>IF(BM17="LOSE",1,IF(N(T17)&gt;0,T17,IF(N(P17)&gt;0,P17,MAX(1,G17))))</f>
        <v/>
      </c>
      <c r="BO17" s="58">
        <f>IF(BM17="LOSE",1,0)</f>
        <v/>
      </c>
      <c r="BP17" s="64">
        <f>IF(BO17=0,0,IF(N(R17)&gt;0,R17,IFERROR(VLOOKUP(D17,Parameter!$A$35:$C$64,3,0)+0,0)))</f>
        <v/>
      </c>
      <c r="BQ17" s="53">
        <f>IF(V17&lt;&gt;"",V17,U17)</f>
        <v/>
      </c>
      <c r="BR17" s="53">
        <f>IF(BQ17=1,"L1",IF(OR(BQ17=2,BQ17=3),"L23",IF(BQ17="Aussen","Aussen","-")))</f>
        <v/>
      </c>
      <c r="BS17" s="66">
        <f>IF(N(W17)&gt;0,W17,0)</f>
        <v/>
      </c>
      <c r="BT17" s="58">
        <f>IF(ISNUMBER(Z17),1,0)</f>
        <v/>
      </c>
      <c r="BU17" s="55">
        <f>N(Z17)</f>
        <v/>
      </c>
      <c r="BV17" s="55">
        <f>N(L17)+N(M17)</f>
        <v/>
      </c>
      <c r="BW17" s="55">
        <f>ROUNDUP(G17/BN17,0)</f>
        <v/>
      </c>
      <c r="BX17" s="55">
        <f>ROUNDUP(BU17/BN17,0)</f>
        <v/>
      </c>
      <c r="BY17" s="58">
        <f>IF(BO17=1,0,IFERROR(VLOOKUP(BM17,'Gebinde-Kategorie'!$A$5:$G$45,5,0)+0,0))</f>
        <v/>
      </c>
      <c r="BZ17" s="58">
        <f>IFERROR(IF(OR(BQ17=1,BQ17=2,BQ17=3),N(INDEX(Parameter!$I$5:$I$7,BQ17)),0),0)</f>
        <v/>
      </c>
    </row>
    <row r="18">
      <c r="A18" s="53" t="inlineStr">
        <is>
          <t>107309</t>
        </is>
      </c>
      <c r="B18" s="53" t="inlineStr">
        <is>
          <t>Verbrennungszylinder EG10</t>
        </is>
      </c>
      <c r="C18" s="53" t="inlineStr">
        <is>
          <t>F</t>
        </is>
      </c>
      <c r="D18" s="53" t="inlineStr">
        <is>
          <t>PAL</t>
        </is>
      </c>
      <c r="E18" s="53" t="inlineStr">
        <is>
          <t>B</t>
        </is>
      </c>
      <c r="F18" s="54" t="n">
        <v>1120.91</v>
      </c>
      <c r="G18" s="55">
        <f>MAX(0,IF(Parameter!$B$20="Jahresanfang 2025 + Export",BG18+BF18,BF18))</f>
        <v/>
      </c>
      <c r="H18" s="55">
        <f>G18*F18</f>
        <v/>
      </c>
      <c r="I18" s="55">
        <f>BI18*Parameter!$B$18</f>
        <v/>
      </c>
      <c r="J18" s="56" t="n">
        <v>9.5</v>
      </c>
      <c r="K18" s="57" t="n">
        <v>2.631578947368421</v>
      </c>
      <c r="L18" s="55" t="n">
        <v>10</v>
      </c>
      <c r="M18" s="55" t="n">
        <v>10</v>
      </c>
      <c r="N18" s="58" t="n">
        <v>126</v>
      </c>
      <c r="O18" s="53" t="inlineStr">
        <is>
          <t>S71</t>
        </is>
      </c>
      <c r="P18" s="55" t="n">
        <v>8</v>
      </c>
      <c r="Q18" s="59">
        <f>IF(BO18=1,0,IFERROR(VLOOKUP(BM18,'Gebinde-Kategorie'!$A$5:$G$45,6,0)+0,0))</f>
        <v/>
      </c>
      <c r="R18" s="60" t="n"/>
      <c r="S18" s="61" t="n"/>
      <c r="T18" s="61" t="n"/>
      <c r="U18" s="53">
        <f>IF(A18="","",IF(IFERROR(VLOOKUP(D18,Parameter!$A$35:$C$64,2,0),"Nein")="2+3",IF(ISNUMBER(SEARCH("grosser Artikel",BJ18)),2,IFERROR(VLOOKUP(BM18,Parameter!$F$35:$G$64,2,0),2)),IF(OR(IFERROR(VLOOKUP(D18,Parameter!$A$35:$C$64,2,0),"Nein")="Nein",IFERROR(VLOOKUP(D18,Parameter!$A$35:$C$64,2,0),"Nein")=""),"-",VLOOKUP(D18,Parameter!$A$35:$C$64,2,0))))</f>
        <v/>
      </c>
      <c r="V18" s="61" t="n"/>
      <c r="W18" s="62" t="n"/>
      <c r="X18" s="55">
        <f>AM18</f>
        <v/>
      </c>
      <c r="Y18" s="55">
        <f>MAX(AM18,G18)</f>
        <v/>
      </c>
      <c r="Z18" s="63" t="n"/>
      <c r="AA18" s="55">
        <f>IF(LEFT(Cockpit!$C$5,1)="A",G18,IF(BT18=1,BU18,IF(LEFT(Cockpit!$C$5,1)="B",AE18,MAX(AE18,G18))))</f>
        <v/>
      </c>
      <c r="AB18" s="55">
        <f>IF(BO18=1,0,ROUNDUP(AA18/BN18,0))</f>
        <v/>
      </c>
      <c r="AC18" s="64">
        <f>IF(BO18=1,IF(AA18&lt;=0,0,BP18*MAX(1,IF(G18&gt;0,AA18/G18,1))),AB18*Q18)</f>
        <v/>
      </c>
      <c r="AD18" s="55">
        <f>AA18*F18</f>
        <v/>
      </c>
      <c r="AE18" s="55">
        <f>ROUNDUP(MAX(I18/IF(BS18&gt;0,BS18,MAX(0.1,N(Cockpit!$C$6))),BV18)/BN18,0)*BN18</f>
        <v/>
      </c>
      <c r="AF18" s="56">
        <f>IF(AC18&gt;0,I18/AC18,-1)</f>
        <v/>
      </c>
      <c r="AG18" s="56">
        <f>IF(AND(OR(BR18="L1",BR18="L23"),AC18&gt;0),SUMIFS($AC$7:$AC$1570,$BR$7:$BR$1570,BR18,$AF$7:$AF$1570,"&gt;"&amp;AF18)+SUMIFS($AC$7:$AC$1570,$BR$7:$BR$1570,BR18,$AF$7:$AF$1570,AF18,$BL$7:$BL$1570,"&lt;="&amp;BL18),"")</f>
        <v/>
      </c>
      <c r="AH18" s="65">
        <f>IF(AG18="",0,MAX(0,MIN(1,(IF(BR18="L1",Parameter!$K$5,Parameter!$K$6+Parameter!$K$7)-(AG18-AC18))/AC18)))</f>
        <v/>
      </c>
      <c r="AI18" s="55">
        <f>IF(LEFT(Cockpit!$I$5,1)="A",G18,IF(BT18=1,BU18,IF(LEFT(Cockpit!$I$5,1)="B",AM18,MAX(AM18,G18))))</f>
        <v/>
      </c>
      <c r="AJ18" s="55">
        <f>IF(BO18=1,0,ROUNDUP(AI18/BN18,0))</f>
        <v/>
      </c>
      <c r="AK18" s="64">
        <f>IF(BO18=1,IF(AI18&lt;=0,0,BP18*MAX(1,IF(G18&gt;0,AI18/G18,1))),AJ18*Q18)</f>
        <v/>
      </c>
      <c r="AL18" s="55">
        <f>AI18*F18</f>
        <v/>
      </c>
      <c r="AM18" s="55">
        <f>ROUNDUP(MAX(I18/IF(BS18&gt;0,BS18,MAX(0.1,N(Cockpit!$I$6))),BV18)/BN18,0)*BN18</f>
        <v/>
      </c>
      <c r="AN18" s="56">
        <f>IF(AK18&gt;0,I18/AK18,-1)</f>
        <v/>
      </c>
      <c r="AO18" s="56">
        <f>IF(AND(OR(BR18="L1",BR18="L23"),AK18&gt;0),SUMIFS($AK$7:$AK$1570,$BR$7:$BR$1570,BR18,$AN$7:$AN$1570,"&gt;"&amp;AN18)+SUMIFS($AK$7:$AK$1570,$BR$7:$BR$1570,BR18,$AN$7:$AN$1570,AN18,$BL$7:$BL$1570,"&lt;="&amp;BL18),"")</f>
        <v/>
      </c>
      <c r="AP18" s="65">
        <f>IF(AO18="",0,MAX(0,MIN(1,(IF(BR18="L1",Parameter!$K$5,Parameter!$K$6+Parameter!$K$7)-(AO18-AK18))/AK18)))</f>
        <v/>
      </c>
      <c r="AQ18" s="55">
        <f>IF(LEFT(Cockpit!$O$5,1)="A",G18,IF(BT18=1,BU18,IF(LEFT(Cockpit!$O$5,1)="B",AU18,MAX(AU18,G18))))</f>
        <v/>
      </c>
      <c r="AR18" s="55">
        <f>IF(BO18=1,0,ROUNDUP(AQ18/BN18,0))</f>
        <v/>
      </c>
      <c r="AS18" s="64">
        <f>IF(BO18=1,IF(AQ18&lt;=0,0,BP18*MAX(1,IF(G18&gt;0,AQ18/G18,1))),AR18*Q18)</f>
        <v/>
      </c>
      <c r="AT18" s="55">
        <f>AQ18*F18</f>
        <v/>
      </c>
      <c r="AU18" s="55">
        <f>ROUNDUP(MAX(I18/IF(BS18&gt;0,BS18,MAX(0.1,N(Cockpit!$O$6))),BV18)/BN18,0)*BN18</f>
        <v/>
      </c>
      <c r="AV18" s="56">
        <f>IF(AS18&gt;0,I18/AS18,-1)</f>
        <v/>
      </c>
      <c r="AW18" s="56">
        <f>IF(AND(OR(BR18="L1",BR18="L23"),AS18&gt;0),SUMIFS($AS$7:$AS$1570,$BR$7:$BR$1570,BR18,$AV$7:$AV$1570,"&gt;"&amp;AV18)+SUMIFS($AS$7:$AS$1570,$BR$7:$BR$1570,BR18,$AV$7:$AV$1570,AV18,$BL$7:$BL$1570,"&lt;="&amp;BL18),"")</f>
        <v/>
      </c>
      <c r="AX18" s="65">
        <f>IF(AW18="",0,MAX(0,MIN(1,(IF(BR18="L1",Parameter!$K$5,Parameter!$K$6+Parameter!$K$7)-(AW18-AS18))/AS18)))</f>
        <v/>
      </c>
      <c r="AY18" s="53">
        <f>IF(AC18&lt;=0,"",IF(BR18="Aussen","Aussenlager",IF(BR18="-","Nicht im Lift",IF(AH18&gt;=1,"Lift",IF(AH18&lt;=0,"Aussenlager","teilweise")))))</f>
        <v/>
      </c>
      <c r="AZ18" s="53">
        <f>IF(AK18&lt;=0,"",IF(BR18="Aussen","Aussenlager",IF(BR18="-","Nicht im Lift",IF(AP18&gt;=1,"Lift",IF(AP18&lt;=0,"Aussenlager","teilweise")))))</f>
        <v/>
      </c>
      <c r="BA18" s="53">
        <f>IF(AS18&lt;=0,"",IF(BR18="Aussen","Aussenlager",IF(BR18="-","Nicht im Lift",IF(AX18&gt;=1,"Lift",IF(AX18&lt;=0,"Aussenlager","teilweise")))))</f>
        <v/>
      </c>
      <c r="BB18" s="53">
        <f>IF(A18="","",IF(BK18=1,"Neu; ","")&amp;IF(AND(BK18=0,BF18&lt;0),"negativer Bestand (Export "&amp;BF18&amp;"); ","")&amp;IF(I18&lt;=0,"Kein Verbrauch; ","")&amp;IF(BO18=1,"Lose – Fläche geschätzt; ","")&amp;IF(G18&gt;AM18,"Überbestand "&amp;ROUND(G18-AM18,0)&amp;" Stk / CHF "&amp;ROUND((G18-AM18)*F18,0)&amp;"; ","")&amp;IF(AND(BT18=1,BU18&lt;BV18),"MAX &lt; MB+LG; ","")&amp;IF(AND(BZ18&gt;0,BY18*10&gt;BZ18),"zu hoch für Tablar; ","")&amp;IF(AND(BK18=0,OR(BT18=1,V18&lt;&gt;"",S18&lt;&gt;"",T18&lt;&gt;"",W18&lt;&gt;"")),"manuell übersteuert; ","")&amp;IF(AND(BO18=0,Q18=0),"Gebinde unbekannt; ","")&amp;IF(AND(BO18=0,N(T18)&lt;=0,N(P18)&lt;=0),"Menge pro Gebinde fehlt (Ist = 1 Gebinde); ","")&amp;BJ18)</f>
        <v/>
      </c>
      <c r="BC18" s="53" t="n"/>
      <c r="BD18" s="53" t="n"/>
      <c r="BE18" s="61" t="n"/>
      <c r="BF18" s="55" t="n">
        <v>16</v>
      </c>
      <c r="BG18" s="55" t="n">
        <v>10</v>
      </c>
      <c r="BH18" s="54" t="n">
        <v>21618.66</v>
      </c>
      <c r="BI18" s="55" t="n">
        <v>25</v>
      </c>
      <c r="BJ18" s="53" t="inlineStr"/>
      <c r="BK18" s="58" t="n">
        <v>0</v>
      </c>
      <c r="BL18" s="58" t="n">
        <v>18</v>
      </c>
      <c r="BM18" s="53">
        <f>IF(S18&lt;&gt;"",UPPER(TRIM(S18)),IF(O18="","LOSE",O18))</f>
        <v/>
      </c>
      <c r="BN18" s="55">
        <f>IF(BM18="LOSE",1,IF(N(T18)&gt;0,T18,IF(N(P18)&gt;0,P18,MAX(1,G18))))</f>
        <v/>
      </c>
      <c r="BO18" s="58">
        <f>IF(BM18="LOSE",1,0)</f>
        <v/>
      </c>
      <c r="BP18" s="64">
        <f>IF(BO18=0,0,IF(N(R18)&gt;0,R18,IFERROR(VLOOKUP(D18,Parameter!$A$35:$C$64,3,0)+0,0)))</f>
        <v/>
      </c>
      <c r="BQ18" s="53">
        <f>IF(V18&lt;&gt;"",V18,U18)</f>
        <v/>
      </c>
      <c r="BR18" s="53">
        <f>IF(BQ18=1,"L1",IF(OR(BQ18=2,BQ18=3),"L23",IF(BQ18="Aussen","Aussen","-")))</f>
        <v/>
      </c>
      <c r="BS18" s="66">
        <f>IF(N(W18)&gt;0,W18,0)</f>
        <v/>
      </c>
      <c r="BT18" s="58">
        <f>IF(ISNUMBER(Z18),1,0)</f>
        <v/>
      </c>
      <c r="BU18" s="55">
        <f>N(Z18)</f>
        <v/>
      </c>
      <c r="BV18" s="55">
        <f>N(L18)+N(M18)</f>
        <v/>
      </c>
      <c r="BW18" s="55">
        <f>ROUNDUP(G18/BN18,0)</f>
        <v/>
      </c>
      <c r="BX18" s="55">
        <f>ROUNDUP(BU18/BN18,0)</f>
        <v/>
      </c>
      <c r="BY18" s="58">
        <f>IF(BO18=1,0,IFERROR(VLOOKUP(BM18,'Gebinde-Kategorie'!$A$5:$G$45,5,0)+0,0))</f>
        <v/>
      </c>
      <c r="BZ18" s="58">
        <f>IFERROR(IF(OR(BQ18=1,BQ18=2,BQ18=3),N(INDEX(Parameter!$I$5:$I$7,BQ18)),0),0)</f>
        <v/>
      </c>
    </row>
    <row r="19">
      <c r="A19" s="53" t="inlineStr">
        <is>
          <t>110339</t>
        </is>
      </c>
      <c r="B19" s="53" t="inlineStr">
        <is>
          <t>Ventilpanel SPGr SUB komplett</t>
        </is>
      </c>
      <c r="C19" s="53" t="inlineStr">
        <is>
          <t>F</t>
        </is>
      </c>
      <c r="D19" s="53" t="inlineStr">
        <is>
          <t>PAL</t>
        </is>
      </c>
      <c r="E19" s="53" t="inlineStr">
        <is>
          <t>B</t>
        </is>
      </c>
      <c r="F19" s="54" t="n">
        <v>4740.37</v>
      </c>
      <c r="G19" s="55">
        <f>MAX(0,IF(Parameter!$B$20="Jahresanfang 2025 + Export",BG19+BF19,BF19))</f>
        <v/>
      </c>
      <c r="H19" s="55">
        <f>G19*F19</f>
        <v/>
      </c>
      <c r="I19" s="55">
        <f>BI19*Parameter!$B$18</f>
        <v/>
      </c>
      <c r="J19" s="56" t="n">
        <v>13</v>
      </c>
      <c r="K19" s="57" t="n">
        <v>3.076923076923077</v>
      </c>
      <c r="L19" s="55" t="n">
        <v>5</v>
      </c>
      <c r="M19" s="55" t="n">
        <v>1</v>
      </c>
      <c r="N19" s="58" t="n">
        <v>28</v>
      </c>
      <c r="O19" s="53" t="inlineStr">
        <is>
          <t>LOSE</t>
        </is>
      </c>
      <c r="P19" s="55" t="n"/>
      <c r="Q19" s="59">
        <f>IF(BO19=1,0,IFERROR(VLOOKUP(BM19,'Gebinde-Kategorie'!$A$5:$G$45,6,0)+0,0))</f>
        <v/>
      </c>
      <c r="R19" s="60" t="n"/>
      <c r="S19" s="61" t="n"/>
      <c r="T19" s="61" t="n"/>
      <c r="U19" s="53">
        <f>IF(A19="","",IF(IFERROR(VLOOKUP(D19,Parameter!$A$35:$C$64,2,0),"Nein")="2+3",IF(ISNUMBER(SEARCH("grosser Artikel",BJ19)),2,IFERROR(VLOOKUP(BM19,Parameter!$F$35:$G$64,2,0),2)),IF(OR(IFERROR(VLOOKUP(D19,Parameter!$A$35:$C$64,2,0),"Nein")="Nein",IFERROR(VLOOKUP(D19,Parameter!$A$35:$C$64,2,0),"Nein")=""),"-",VLOOKUP(D19,Parameter!$A$35:$C$64,2,0))))</f>
        <v/>
      </c>
      <c r="V19" s="61" t="n"/>
      <c r="W19" s="62" t="n"/>
      <c r="X19" s="55">
        <f>AM19</f>
        <v/>
      </c>
      <c r="Y19" s="55">
        <f>MAX(AM19,G19)</f>
        <v/>
      </c>
      <c r="Z19" s="63" t="n"/>
      <c r="AA19" s="55">
        <f>IF(LEFT(Cockpit!$C$5,1)="A",G19,IF(BT19=1,BU19,IF(LEFT(Cockpit!$C$5,1)="B",AE19,MAX(AE19,G19))))</f>
        <v/>
      </c>
      <c r="AB19" s="55">
        <f>IF(BO19=1,0,ROUNDUP(AA19/BN19,0))</f>
        <v/>
      </c>
      <c r="AC19" s="64">
        <f>IF(BO19=1,IF(AA19&lt;=0,0,BP19*MAX(1,IF(G19&gt;0,AA19/G19,1))),AB19*Q19)</f>
        <v/>
      </c>
      <c r="AD19" s="55">
        <f>AA19*F19</f>
        <v/>
      </c>
      <c r="AE19" s="55">
        <f>ROUNDUP(MAX(I19/IF(BS19&gt;0,BS19,MAX(0.1,N(Cockpit!$C$6))),BV19)/BN19,0)*BN19</f>
        <v/>
      </c>
      <c r="AF19" s="56">
        <f>IF(AC19&gt;0,I19/AC19,-1)</f>
        <v/>
      </c>
      <c r="AG19" s="56">
        <f>IF(AND(OR(BR19="L1",BR19="L23"),AC19&gt;0),SUMIFS($AC$7:$AC$1570,$BR$7:$BR$1570,BR19,$AF$7:$AF$1570,"&gt;"&amp;AF19)+SUMIFS($AC$7:$AC$1570,$BR$7:$BR$1570,BR19,$AF$7:$AF$1570,AF19,$BL$7:$BL$1570,"&lt;="&amp;BL19),"")</f>
        <v/>
      </c>
      <c r="AH19" s="65">
        <f>IF(AG19="",0,MAX(0,MIN(1,(IF(BR19="L1",Parameter!$K$5,Parameter!$K$6+Parameter!$K$7)-(AG19-AC19))/AC19)))</f>
        <v/>
      </c>
      <c r="AI19" s="55">
        <f>IF(LEFT(Cockpit!$I$5,1)="A",G19,IF(BT19=1,BU19,IF(LEFT(Cockpit!$I$5,1)="B",AM19,MAX(AM19,G19))))</f>
        <v/>
      </c>
      <c r="AJ19" s="55">
        <f>IF(BO19=1,0,ROUNDUP(AI19/BN19,0))</f>
        <v/>
      </c>
      <c r="AK19" s="64">
        <f>IF(BO19=1,IF(AI19&lt;=0,0,BP19*MAX(1,IF(G19&gt;0,AI19/G19,1))),AJ19*Q19)</f>
        <v/>
      </c>
      <c r="AL19" s="55">
        <f>AI19*F19</f>
        <v/>
      </c>
      <c r="AM19" s="55">
        <f>ROUNDUP(MAX(I19/IF(BS19&gt;0,BS19,MAX(0.1,N(Cockpit!$I$6))),BV19)/BN19,0)*BN19</f>
        <v/>
      </c>
      <c r="AN19" s="56">
        <f>IF(AK19&gt;0,I19/AK19,-1)</f>
        <v/>
      </c>
      <c r="AO19" s="56">
        <f>IF(AND(OR(BR19="L1",BR19="L23"),AK19&gt;0),SUMIFS($AK$7:$AK$1570,$BR$7:$BR$1570,BR19,$AN$7:$AN$1570,"&gt;"&amp;AN19)+SUMIFS($AK$7:$AK$1570,$BR$7:$BR$1570,BR19,$AN$7:$AN$1570,AN19,$BL$7:$BL$1570,"&lt;="&amp;BL19),"")</f>
        <v/>
      </c>
      <c r="AP19" s="65">
        <f>IF(AO19="",0,MAX(0,MIN(1,(IF(BR19="L1",Parameter!$K$5,Parameter!$K$6+Parameter!$K$7)-(AO19-AK19))/AK19)))</f>
        <v/>
      </c>
      <c r="AQ19" s="55">
        <f>IF(LEFT(Cockpit!$O$5,1)="A",G19,IF(BT19=1,BU19,IF(LEFT(Cockpit!$O$5,1)="B",AU19,MAX(AU19,G19))))</f>
        <v/>
      </c>
      <c r="AR19" s="55">
        <f>IF(BO19=1,0,ROUNDUP(AQ19/BN19,0))</f>
        <v/>
      </c>
      <c r="AS19" s="64">
        <f>IF(BO19=1,IF(AQ19&lt;=0,0,BP19*MAX(1,IF(G19&gt;0,AQ19/G19,1))),AR19*Q19)</f>
        <v/>
      </c>
      <c r="AT19" s="55">
        <f>AQ19*F19</f>
        <v/>
      </c>
      <c r="AU19" s="55">
        <f>ROUNDUP(MAX(I19/IF(BS19&gt;0,BS19,MAX(0.1,N(Cockpit!$O$6))),BV19)/BN19,0)*BN19</f>
        <v/>
      </c>
      <c r="AV19" s="56">
        <f>IF(AS19&gt;0,I19/AS19,-1)</f>
        <v/>
      </c>
      <c r="AW19" s="56">
        <f>IF(AND(OR(BR19="L1",BR19="L23"),AS19&gt;0),SUMIFS($AS$7:$AS$1570,$BR$7:$BR$1570,BR19,$AV$7:$AV$1570,"&gt;"&amp;AV19)+SUMIFS($AS$7:$AS$1570,$BR$7:$BR$1570,BR19,$AV$7:$AV$1570,AV19,$BL$7:$BL$1570,"&lt;="&amp;BL19),"")</f>
        <v/>
      </c>
      <c r="AX19" s="65">
        <f>IF(AW19="",0,MAX(0,MIN(1,(IF(BR19="L1",Parameter!$K$5,Parameter!$K$6+Parameter!$K$7)-(AW19-AS19))/AS19)))</f>
        <v/>
      </c>
      <c r="AY19" s="53">
        <f>IF(AC19&lt;=0,"",IF(BR19="Aussen","Aussenlager",IF(BR19="-","Nicht im Lift",IF(AH19&gt;=1,"Lift",IF(AH19&lt;=0,"Aussenlager","teilweise")))))</f>
        <v/>
      </c>
      <c r="AZ19" s="53">
        <f>IF(AK19&lt;=0,"",IF(BR19="Aussen","Aussenlager",IF(BR19="-","Nicht im Lift",IF(AP19&gt;=1,"Lift",IF(AP19&lt;=0,"Aussenlager","teilweise")))))</f>
        <v/>
      </c>
      <c r="BA19" s="53">
        <f>IF(AS19&lt;=0,"",IF(BR19="Aussen","Aussenlager",IF(BR19="-","Nicht im Lift",IF(AX19&gt;=1,"Lift",IF(AX19&lt;=0,"Aussenlager","teilweise")))))</f>
        <v/>
      </c>
      <c r="BB19" s="53">
        <f>IF(A19="","",IF(BK19=1,"Neu; ","")&amp;IF(AND(BK19=0,BF19&lt;0),"negativer Bestand (Export "&amp;BF19&amp;"); ","")&amp;IF(I19&lt;=0,"Kein Verbrauch; ","")&amp;IF(BO19=1,"Lose – Fläche geschätzt; ","")&amp;IF(G19&gt;AM19,"Überbestand "&amp;ROUND(G19-AM19,0)&amp;" Stk / CHF "&amp;ROUND((G19-AM19)*F19,0)&amp;"; ","")&amp;IF(AND(BT19=1,BU19&lt;BV19),"MAX &lt; MB+LG; ","")&amp;IF(AND(BZ19&gt;0,BY19*10&gt;BZ19),"zu hoch für Tablar; ","")&amp;IF(AND(BK19=0,OR(BT19=1,V19&lt;&gt;"",S19&lt;&gt;"",T19&lt;&gt;"",W19&lt;&gt;"")),"manuell übersteuert; ","")&amp;IF(AND(BO19=0,Q19=0),"Gebinde unbekannt; ","")&amp;IF(AND(BO19=0,N(T19)&lt;=0,N(P19)&lt;=0),"Menge pro Gebinde fehlt (Ist = 1 Gebinde); ","")&amp;BJ19)</f>
        <v/>
      </c>
      <c r="BC19" s="53" t="n"/>
      <c r="BD19" s="53" t="n"/>
      <c r="BE19" s="61" t="n"/>
      <c r="BF19" s="55" t="n">
        <v>4</v>
      </c>
      <c r="BG19" s="55" t="n">
        <v>0</v>
      </c>
      <c r="BH19" s="54" t="n">
        <v>18961.47999999994</v>
      </c>
      <c r="BI19" s="55" t="n">
        <v>40</v>
      </c>
      <c r="BJ19" s="53" t="inlineStr"/>
      <c r="BK19" s="58" t="n">
        <v>0</v>
      </c>
      <c r="BL19" s="58" t="n">
        <v>19</v>
      </c>
      <c r="BM19" s="53">
        <f>IF(S19&lt;&gt;"",UPPER(TRIM(S19)),IF(O19="","LOSE",O19))</f>
        <v/>
      </c>
      <c r="BN19" s="55">
        <f>IF(BM19="LOSE",1,IF(N(T19)&gt;0,T19,IF(N(P19)&gt;0,P19,MAX(1,G19))))</f>
        <v/>
      </c>
      <c r="BO19" s="58">
        <f>IF(BM19="LOSE",1,0)</f>
        <v/>
      </c>
      <c r="BP19" s="64">
        <f>IF(BO19=0,0,IF(N(R19)&gt;0,R19,IFERROR(VLOOKUP(D19,Parameter!$A$35:$C$64,3,0)+0,0)))</f>
        <v/>
      </c>
      <c r="BQ19" s="53">
        <f>IF(V19&lt;&gt;"",V19,U19)</f>
        <v/>
      </c>
      <c r="BR19" s="53">
        <f>IF(BQ19=1,"L1",IF(OR(BQ19=2,BQ19=3),"L23",IF(BQ19="Aussen","Aussen","-")))</f>
        <v/>
      </c>
      <c r="BS19" s="66">
        <f>IF(N(W19)&gt;0,W19,0)</f>
        <v/>
      </c>
      <c r="BT19" s="58">
        <f>IF(ISNUMBER(Z19),1,0)</f>
        <v/>
      </c>
      <c r="BU19" s="55">
        <f>N(Z19)</f>
        <v/>
      </c>
      <c r="BV19" s="55">
        <f>N(L19)+N(M19)</f>
        <v/>
      </c>
      <c r="BW19" s="55">
        <f>ROUNDUP(G19/BN19,0)</f>
        <v/>
      </c>
      <c r="BX19" s="55">
        <f>ROUNDUP(BU19/BN19,0)</f>
        <v/>
      </c>
      <c r="BY19" s="58">
        <f>IF(BO19=1,0,IFERROR(VLOOKUP(BM19,'Gebinde-Kategorie'!$A$5:$G$45,5,0)+0,0))</f>
        <v/>
      </c>
      <c r="BZ19" s="58">
        <f>IFERROR(IF(OR(BQ19=1,BQ19=2,BQ19=3),N(INDEX(Parameter!$I$5:$I$7,BQ19)),0),0)</f>
        <v/>
      </c>
    </row>
    <row r="20">
      <c r="A20" s="53" t="inlineStr">
        <is>
          <t>107829</t>
        </is>
      </c>
      <c r="B20" s="53" t="inlineStr">
        <is>
          <t>Austrittsdüse SPGr16</t>
        </is>
      </c>
      <c r="C20" s="53" t="inlineStr">
        <is>
          <t>F</t>
        </is>
      </c>
      <c r="D20" s="53" t="inlineStr">
        <is>
          <t>LIFT1</t>
        </is>
      </c>
      <c r="E20" s="53" t="inlineStr">
        <is>
          <t>B</t>
        </is>
      </c>
      <c r="F20" s="54" t="n">
        <v>3611.62</v>
      </c>
      <c r="G20" s="55">
        <f>MAX(0,IF(Parameter!$B$20="Jahresanfang 2025 + Export",BG20+BF20,BF20))</f>
        <v/>
      </c>
      <c r="H20" s="55">
        <f>G20*F20</f>
        <v/>
      </c>
      <c r="I20" s="55">
        <f>BI20*Parameter!$B$18</f>
        <v/>
      </c>
      <c r="J20" s="56" t="n">
        <v>6.5</v>
      </c>
      <c r="K20" s="57" t="n">
        <v>3.230769230769231</v>
      </c>
      <c r="L20" s="55" t="n">
        <v>1</v>
      </c>
      <c r="M20" s="55" t="n">
        <v>5</v>
      </c>
      <c r="N20" s="58" t="n">
        <v>21</v>
      </c>
      <c r="O20" s="53" t="inlineStr">
        <is>
          <t>LOSE</t>
        </is>
      </c>
      <c r="P20" s="55" t="n"/>
      <c r="Q20" s="59">
        <f>IF(BO20=1,0,IFERROR(VLOOKUP(BM20,'Gebinde-Kategorie'!$A$5:$G$45,6,0)+0,0))</f>
        <v/>
      </c>
      <c r="R20" s="60" t="n"/>
      <c r="S20" s="61" t="n"/>
      <c r="T20" s="61" t="n"/>
      <c r="U20" s="53">
        <f>IF(A20="","",IF(IFERROR(VLOOKUP(D20,Parameter!$A$35:$C$64,2,0),"Nein")="2+3",IF(ISNUMBER(SEARCH("grosser Artikel",BJ20)),2,IFERROR(VLOOKUP(BM20,Parameter!$F$35:$G$64,2,0),2)),IF(OR(IFERROR(VLOOKUP(D20,Parameter!$A$35:$C$64,2,0),"Nein")="Nein",IFERROR(VLOOKUP(D20,Parameter!$A$35:$C$64,2,0),"Nein")=""),"-",VLOOKUP(D20,Parameter!$A$35:$C$64,2,0))))</f>
        <v/>
      </c>
      <c r="V20" s="61" t="n"/>
      <c r="W20" s="62" t="n"/>
      <c r="X20" s="55">
        <f>AM20</f>
        <v/>
      </c>
      <c r="Y20" s="55">
        <f>MAX(AM20,G20)</f>
        <v/>
      </c>
      <c r="Z20" s="63" t="n"/>
      <c r="AA20" s="55">
        <f>IF(LEFT(Cockpit!$C$5,1)="A",G20,IF(BT20=1,BU20,IF(LEFT(Cockpit!$C$5,1)="B",AE20,MAX(AE20,G20))))</f>
        <v/>
      </c>
      <c r="AB20" s="55">
        <f>IF(BO20=1,0,ROUNDUP(AA20/BN20,0))</f>
        <v/>
      </c>
      <c r="AC20" s="64">
        <f>IF(BO20=1,IF(AA20&lt;=0,0,BP20*MAX(1,IF(G20&gt;0,AA20/G20,1))),AB20*Q20)</f>
        <v/>
      </c>
      <c r="AD20" s="55">
        <f>AA20*F20</f>
        <v/>
      </c>
      <c r="AE20" s="55">
        <f>ROUNDUP(MAX(I20/IF(BS20&gt;0,BS20,MAX(0.1,N(Cockpit!$C$6))),BV20)/BN20,0)*BN20</f>
        <v/>
      </c>
      <c r="AF20" s="56">
        <f>IF(AC20&gt;0,I20/AC20,-1)</f>
        <v/>
      </c>
      <c r="AG20" s="56">
        <f>IF(AND(OR(BR20="L1",BR20="L23"),AC20&gt;0),SUMIFS($AC$7:$AC$1570,$BR$7:$BR$1570,BR20,$AF$7:$AF$1570,"&gt;"&amp;AF20)+SUMIFS($AC$7:$AC$1570,$BR$7:$BR$1570,BR20,$AF$7:$AF$1570,AF20,$BL$7:$BL$1570,"&lt;="&amp;BL20),"")</f>
        <v/>
      </c>
      <c r="AH20" s="65">
        <f>IF(AG20="",0,MAX(0,MIN(1,(IF(BR20="L1",Parameter!$K$5,Parameter!$K$6+Parameter!$K$7)-(AG20-AC20))/AC20)))</f>
        <v/>
      </c>
      <c r="AI20" s="55">
        <f>IF(LEFT(Cockpit!$I$5,1)="A",G20,IF(BT20=1,BU20,IF(LEFT(Cockpit!$I$5,1)="B",AM20,MAX(AM20,G20))))</f>
        <v/>
      </c>
      <c r="AJ20" s="55">
        <f>IF(BO20=1,0,ROUNDUP(AI20/BN20,0))</f>
        <v/>
      </c>
      <c r="AK20" s="64">
        <f>IF(BO20=1,IF(AI20&lt;=0,0,BP20*MAX(1,IF(G20&gt;0,AI20/G20,1))),AJ20*Q20)</f>
        <v/>
      </c>
      <c r="AL20" s="55">
        <f>AI20*F20</f>
        <v/>
      </c>
      <c r="AM20" s="55">
        <f>ROUNDUP(MAX(I20/IF(BS20&gt;0,BS20,MAX(0.1,N(Cockpit!$I$6))),BV20)/BN20,0)*BN20</f>
        <v/>
      </c>
      <c r="AN20" s="56">
        <f>IF(AK20&gt;0,I20/AK20,-1)</f>
        <v/>
      </c>
      <c r="AO20" s="56">
        <f>IF(AND(OR(BR20="L1",BR20="L23"),AK20&gt;0),SUMIFS($AK$7:$AK$1570,$BR$7:$BR$1570,BR20,$AN$7:$AN$1570,"&gt;"&amp;AN20)+SUMIFS($AK$7:$AK$1570,$BR$7:$BR$1570,BR20,$AN$7:$AN$1570,AN20,$BL$7:$BL$1570,"&lt;="&amp;BL20),"")</f>
        <v/>
      </c>
      <c r="AP20" s="65">
        <f>IF(AO20="",0,MAX(0,MIN(1,(IF(BR20="L1",Parameter!$K$5,Parameter!$K$6+Parameter!$K$7)-(AO20-AK20))/AK20)))</f>
        <v/>
      </c>
      <c r="AQ20" s="55">
        <f>IF(LEFT(Cockpit!$O$5,1)="A",G20,IF(BT20=1,BU20,IF(LEFT(Cockpit!$O$5,1)="B",AU20,MAX(AU20,G20))))</f>
        <v/>
      </c>
      <c r="AR20" s="55">
        <f>IF(BO20=1,0,ROUNDUP(AQ20/BN20,0))</f>
        <v/>
      </c>
      <c r="AS20" s="64">
        <f>IF(BO20=1,IF(AQ20&lt;=0,0,BP20*MAX(1,IF(G20&gt;0,AQ20/G20,1))),AR20*Q20)</f>
        <v/>
      </c>
      <c r="AT20" s="55">
        <f>AQ20*F20</f>
        <v/>
      </c>
      <c r="AU20" s="55">
        <f>ROUNDUP(MAX(I20/IF(BS20&gt;0,BS20,MAX(0.1,N(Cockpit!$O$6))),BV20)/BN20,0)*BN20</f>
        <v/>
      </c>
      <c r="AV20" s="56">
        <f>IF(AS20&gt;0,I20/AS20,-1)</f>
        <v/>
      </c>
      <c r="AW20" s="56">
        <f>IF(AND(OR(BR20="L1",BR20="L23"),AS20&gt;0),SUMIFS($AS$7:$AS$1570,$BR$7:$BR$1570,BR20,$AV$7:$AV$1570,"&gt;"&amp;AV20)+SUMIFS($AS$7:$AS$1570,$BR$7:$BR$1570,BR20,$AV$7:$AV$1570,AV20,$BL$7:$BL$1570,"&lt;="&amp;BL20),"")</f>
        <v/>
      </c>
      <c r="AX20" s="65">
        <f>IF(AW20="",0,MAX(0,MIN(1,(IF(BR20="L1",Parameter!$K$5,Parameter!$K$6+Parameter!$K$7)-(AW20-AS20))/AS20)))</f>
        <v/>
      </c>
      <c r="AY20" s="53">
        <f>IF(AC20&lt;=0,"",IF(BR20="Aussen","Aussenlager",IF(BR20="-","Nicht im Lift",IF(AH20&gt;=1,"Lift",IF(AH20&lt;=0,"Aussenlager","teilweise")))))</f>
        <v/>
      </c>
      <c r="AZ20" s="53">
        <f>IF(AK20&lt;=0,"",IF(BR20="Aussen","Aussenlager",IF(BR20="-","Nicht im Lift",IF(AP20&gt;=1,"Lift",IF(AP20&lt;=0,"Aussenlager","teilweise")))))</f>
        <v/>
      </c>
      <c r="BA20" s="53">
        <f>IF(AS20&lt;=0,"",IF(BR20="Aussen","Aussenlager",IF(BR20="-","Nicht im Lift",IF(AX20&gt;=1,"Lift",IF(AX20&lt;=0,"Aussenlager","teilweise")))))</f>
        <v/>
      </c>
      <c r="BB20" s="53">
        <f>IF(A20="","",IF(BK20=1,"Neu; ","")&amp;IF(AND(BK20=0,BF20&lt;0),"negativer Bestand (Export "&amp;BF20&amp;"); ","")&amp;IF(I20&lt;=0,"Kein Verbrauch; ","")&amp;IF(BO20=1,"Lose – Fläche geschätzt; ","")&amp;IF(G20&gt;AM20,"Überbestand "&amp;ROUND(G20-AM20,0)&amp;" Stk / CHF "&amp;ROUND((G20-AM20)*F20,0)&amp;"; ","")&amp;IF(AND(BT20=1,BU20&lt;BV20),"MAX &lt; MB+LG; ","")&amp;IF(AND(BZ20&gt;0,BY20*10&gt;BZ20),"zu hoch für Tablar; ","")&amp;IF(AND(BK20=0,OR(BT20=1,V20&lt;&gt;"",S20&lt;&gt;"",T20&lt;&gt;"",W20&lt;&gt;"")),"manuell übersteuert; ","")&amp;IF(AND(BO20=0,Q20=0),"Gebinde unbekannt; ","")&amp;IF(AND(BO20=0,N(T20)&lt;=0,N(P20)&lt;=0),"Menge pro Gebinde fehlt (Ist = 1 Gebinde); ","")&amp;BJ20)</f>
        <v/>
      </c>
      <c r="BC20" s="53" t="n"/>
      <c r="BD20" s="53" t="n"/>
      <c r="BE20" s="61" t="n"/>
      <c r="BF20" s="55" t="n">
        <v>5</v>
      </c>
      <c r="BG20" s="55" t="n">
        <v>6</v>
      </c>
      <c r="BH20" s="54" t="n">
        <v>18957.62000000002</v>
      </c>
      <c r="BI20" s="55" t="n">
        <v>21</v>
      </c>
      <c r="BJ20" s="53" t="inlineStr"/>
      <c r="BK20" s="58" t="n">
        <v>0</v>
      </c>
      <c r="BL20" s="58" t="n">
        <v>20</v>
      </c>
      <c r="BM20" s="53">
        <f>IF(S20&lt;&gt;"",UPPER(TRIM(S20)),IF(O20="","LOSE",O20))</f>
        <v/>
      </c>
      <c r="BN20" s="55">
        <f>IF(BM20="LOSE",1,IF(N(T20)&gt;0,T20,IF(N(P20)&gt;0,P20,MAX(1,G20))))</f>
        <v/>
      </c>
      <c r="BO20" s="58">
        <f>IF(BM20="LOSE",1,0)</f>
        <v/>
      </c>
      <c r="BP20" s="64">
        <f>IF(BO20=0,0,IF(N(R20)&gt;0,R20,IFERROR(VLOOKUP(D20,Parameter!$A$35:$C$64,3,0)+0,0)))</f>
        <v/>
      </c>
      <c r="BQ20" s="53">
        <f>IF(V20&lt;&gt;"",V20,U20)</f>
        <v/>
      </c>
      <c r="BR20" s="53">
        <f>IF(BQ20=1,"L1",IF(OR(BQ20=2,BQ20=3),"L23",IF(BQ20="Aussen","Aussen","-")))</f>
        <v/>
      </c>
      <c r="BS20" s="66">
        <f>IF(N(W20)&gt;0,W20,0)</f>
        <v/>
      </c>
      <c r="BT20" s="58">
        <f>IF(ISNUMBER(Z20),1,0)</f>
        <v/>
      </c>
      <c r="BU20" s="55">
        <f>N(Z20)</f>
        <v/>
      </c>
      <c r="BV20" s="55">
        <f>N(L20)+N(M20)</f>
        <v/>
      </c>
      <c r="BW20" s="55">
        <f>ROUNDUP(G20/BN20,0)</f>
        <v/>
      </c>
      <c r="BX20" s="55">
        <f>ROUNDUP(BU20/BN20,0)</f>
        <v/>
      </c>
      <c r="BY20" s="58">
        <f>IF(BO20=1,0,IFERROR(VLOOKUP(BM20,'Gebinde-Kategorie'!$A$5:$G$45,5,0)+0,0))</f>
        <v/>
      </c>
      <c r="BZ20" s="58">
        <f>IFERROR(IF(OR(BQ20=1,BQ20=2,BQ20=3),N(INDEX(Parameter!$I$5:$I$7,BQ20)),0),0)</f>
        <v/>
      </c>
    </row>
    <row r="21">
      <c r="A21" s="53" t="inlineStr">
        <is>
          <t>100389</t>
        </is>
      </c>
      <c r="B21" s="53" t="inlineStr">
        <is>
          <t>Mischgehäuse</t>
        </is>
      </c>
      <c r="C21" s="53" t="inlineStr">
        <is>
          <t>F</t>
        </is>
      </c>
      <c r="D21" s="53" t="inlineStr">
        <is>
          <t>PAL</t>
        </is>
      </c>
      <c r="E21" s="53" t="inlineStr">
        <is>
          <t>B</t>
        </is>
      </c>
      <c r="F21" s="54" t="n">
        <v>1647.88</v>
      </c>
      <c r="G21" s="55">
        <f>MAX(0,IF(Parameter!$B$20="Jahresanfang 2025 + Export",BG21+BF21,BF21))</f>
        <v/>
      </c>
      <c r="H21" s="55">
        <f>G21*F21</f>
        <v/>
      </c>
      <c r="I21" s="55">
        <f>BI21*Parameter!$B$18</f>
        <v/>
      </c>
      <c r="J21" s="56" t="n">
        <v>24.5</v>
      </c>
      <c r="K21" s="57" t="n">
        <v>3.877551020408163</v>
      </c>
      <c r="L21" s="55" t="n">
        <v>5</v>
      </c>
      <c r="M21" s="55" t="n">
        <v>15</v>
      </c>
      <c r="N21" s="58" t="n">
        <v>21</v>
      </c>
      <c r="O21" s="53" t="inlineStr">
        <is>
          <t>S71</t>
        </is>
      </c>
      <c r="P21" s="55" t="n">
        <v>12</v>
      </c>
      <c r="Q21" s="59">
        <f>IF(BO21=1,0,IFERROR(VLOOKUP(BM21,'Gebinde-Kategorie'!$A$5:$G$45,6,0)+0,0))</f>
        <v/>
      </c>
      <c r="R21" s="60" t="n"/>
      <c r="S21" s="61" t="n"/>
      <c r="T21" s="61" t="n"/>
      <c r="U21" s="53">
        <f>IF(A21="","",IF(IFERROR(VLOOKUP(D21,Parameter!$A$35:$C$64,2,0),"Nein")="2+3",IF(ISNUMBER(SEARCH("grosser Artikel",BJ21)),2,IFERROR(VLOOKUP(BM21,Parameter!$F$35:$G$64,2,0),2)),IF(OR(IFERROR(VLOOKUP(D21,Parameter!$A$35:$C$64,2,0),"Nein")="Nein",IFERROR(VLOOKUP(D21,Parameter!$A$35:$C$64,2,0),"Nein")=""),"-",VLOOKUP(D21,Parameter!$A$35:$C$64,2,0))))</f>
        <v/>
      </c>
      <c r="V21" s="61" t="n"/>
      <c r="W21" s="62" t="n"/>
      <c r="X21" s="55">
        <f>AM21</f>
        <v/>
      </c>
      <c r="Y21" s="55">
        <f>MAX(AM21,G21)</f>
        <v/>
      </c>
      <c r="Z21" s="63" t="n"/>
      <c r="AA21" s="55">
        <f>IF(LEFT(Cockpit!$C$5,1)="A",G21,IF(BT21=1,BU21,IF(LEFT(Cockpit!$C$5,1)="B",AE21,MAX(AE21,G21))))</f>
        <v/>
      </c>
      <c r="AB21" s="55">
        <f>IF(BO21=1,0,ROUNDUP(AA21/BN21,0))</f>
        <v/>
      </c>
      <c r="AC21" s="64">
        <f>IF(BO21=1,IF(AA21&lt;=0,0,BP21*MAX(1,IF(G21&gt;0,AA21/G21,1))),AB21*Q21)</f>
        <v/>
      </c>
      <c r="AD21" s="55">
        <f>AA21*F21</f>
        <v/>
      </c>
      <c r="AE21" s="55">
        <f>ROUNDUP(MAX(I21/IF(BS21&gt;0,BS21,MAX(0.1,N(Cockpit!$C$6))),BV21)/BN21,0)*BN21</f>
        <v/>
      </c>
      <c r="AF21" s="56">
        <f>IF(AC21&gt;0,I21/AC21,-1)</f>
        <v/>
      </c>
      <c r="AG21" s="56">
        <f>IF(AND(OR(BR21="L1",BR21="L23"),AC21&gt;0),SUMIFS($AC$7:$AC$1570,$BR$7:$BR$1570,BR21,$AF$7:$AF$1570,"&gt;"&amp;AF21)+SUMIFS($AC$7:$AC$1570,$BR$7:$BR$1570,BR21,$AF$7:$AF$1570,AF21,$BL$7:$BL$1570,"&lt;="&amp;BL21),"")</f>
        <v/>
      </c>
      <c r="AH21" s="65">
        <f>IF(AG21="",0,MAX(0,MIN(1,(IF(BR21="L1",Parameter!$K$5,Parameter!$K$6+Parameter!$K$7)-(AG21-AC21))/AC21)))</f>
        <v/>
      </c>
      <c r="AI21" s="55">
        <f>IF(LEFT(Cockpit!$I$5,1)="A",G21,IF(BT21=1,BU21,IF(LEFT(Cockpit!$I$5,1)="B",AM21,MAX(AM21,G21))))</f>
        <v/>
      </c>
      <c r="AJ21" s="55">
        <f>IF(BO21=1,0,ROUNDUP(AI21/BN21,0))</f>
        <v/>
      </c>
      <c r="AK21" s="64">
        <f>IF(BO21=1,IF(AI21&lt;=0,0,BP21*MAX(1,IF(G21&gt;0,AI21/G21,1))),AJ21*Q21)</f>
        <v/>
      </c>
      <c r="AL21" s="55">
        <f>AI21*F21</f>
        <v/>
      </c>
      <c r="AM21" s="55">
        <f>ROUNDUP(MAX(I21/IF(BS21&gt;0,BS21,MAX(0.1,N(Cockpit!$I$6))),BV21)/BN21,0)*BN21</f>
        <v/>
      </c>
      <c r="AN21" s="56">
        <f>IF(AK21&gt;0,I21/AK21,-1)</f>
        <v/>
      </c>
      <c r="AO21" s="56">
        <f>IF(AND(OR(BR21="L1",BR21="L23"),AK21&gt;0),SUMIFS($AK$7:$AK$1570,$BR$7:$BR$1570,BR21,$AN$7:$AN$1570,"&gt;"&amp;AN21)+SUMIFS($AK$7:$AK$1570,$BR$7:$BR$1570,BR21,$AN$7:$AN$1570,AN21,$BL$7:$BL$1570,"&lt;="&amp;BL21),"")</f>
        <v/>
      </c>
      <c r="AP21" s="65">
        <f>IF(AO21="",0,MAX(0,MIN(1,(IF(BR21="L1",Parameter!$K$5,Parameter!$K$6+Parameter!$K$7)-(AO21-AK21))/AK21)))</f>
        <v/>
      </c>
      <c r="AQ21" s="55">
        <f>IF(LEFT(Cockpit!$O$5,1)="A",G21,IF(BT21=1,BU21,IF(LEFT(Cockpit!$O$5,1)="B",AU21,MAX(AU21,G21))))</f>
        <v/>
      </c>
      <c r="AR21" s="55">
        <f>IF(BO21=1,0,ROUNDUP(AQ21/BN21,0))</f>
        <v/>
      </c>
      <c r="AS21" s="64">
        <f>IF(BO21=1,IF(AQ21&lt;=0,0,BP21*MAX(1,IF(G21&gt;0,AQ21/G21,1))),AR21*Q21)</f>
        <v/>
      </c>
      <c r="AT21" s="55">
        <f>AQ21*F21</f>
        <v/>
      </c>
      <c r="AU21" s="55">
        <f>ROUNDUP(MAX(I21/IF(BS21&gt;0,BS21,MAX(0.1,N(Cockpit!$O$6))),BV21)/BN21,0)*BN21</f>
        <v/>
      </c>
      <c r="AV21" s="56">
        <f>IF(AS21&gt;0,I21/AS21,-1)</f>
        <v/>
      </c>
      <c r="AW21" s="56">
        <f>IF(AND(OR(BR21="L1",BR21="L23"),AS21&gt;0),SUMIFS($AS$7:$AS$1570,$BR$7:$BR$1570,BR21,$AV$7:$AV$1570,"&gt;"&amp;AV21)+SUMIFS($AS$7:$AS$1570,$BR$7:$BR$1570,BR21,$AV$7:$AV$1570,AV21,$BL$7:$BL$1570,"&lt;="&amp;BL21),"")</f>
        <v/>
      </c>
      <c r="AX21" s="65">
        <f>IF(AW21="",0,MAX(0,MIN(1,(IF(BR21="L1",Parameter!$K$5,Parameter!$K$6+Parameter!$K$7)-(AW21-AS21))/AS21)))</f>
        <v/>
      </c>
      <c r="AY21" s="53">
        <f>IF(AC21&lt;=0,"",IF(BR21="Aussen","Aussenlager",IF(BR21="-","Nicht im Lift",IF(AH21&gt;=1,"Lift",IF(AH21&lt;=0,"Aussenlager","teilweise")))))</f>
        <v/>
      </c>
      <c r="AZ21" s="53">
        <f>IF(AK21&lt;=0,"",IF(BR21="Aussen","Aussenlager",IF(BR21="-","Nicht im Lift",IF(AP21&gt;=1,"Lift",IF(AP21&lt;=0,"Aussenlager","teilweise")))))</f>
        <v/>
      </c>
      <c r="BA21" s="53">
        <f>IF(AS21&lt;=0,"",IF(BR21="Aussen","Aussenlager",IF(BR21="-","Nicht im Lift",IF(AX21&gt;=1,"Lift",IF(AX21&lt;=0,"Aussenlager","teilweise")))))</f>
        <v/>
      </c>
      <c r="BB21" s="53">
        <f>IF(A21="","",IF(BK21=1,"Neu; ","")&amp;IF(AND(BK21=0,BF21&lt;0),"negativer Bestand (Export "&amp;BF21&amp;"); ","")&amp;IF(I21&lt;=0,"Kein Verbrauch; ","")&amp;IF(BO21=1,"Lose – Fläche geschätzt; ","")&amp;IF(G21&gt;AM21,"Überbestand "&amp;ROUND(G21-AM21,0)&amp;" Stk / CHF "&amp;ROUND((G21-AM21)*F21,0)&amp;"; ","")&amp;IF(AND(BT21=1,BU21&lt;BV21),"MAX &lt; MB+LG; ","")&amp;IF(AND(BZ21&gt;0,BY21*10&gt;BZ21),"zu hoch für Tablar; ","")&amp;IF(AND(BK21=0,OR(BT21=1,V21&lt;&gt;"",S21&lt;&gt;"",T21&lt;&gt;"",W21&lt;&gt;"")),"manuell übersteuert; ","")&amp;IF(AND(BO21=0,Q21=0),"Gebinde unbekannt; ","")&amp;IF(AND(BO21=0,N(T21)&lt;=0,N(P21)&lt;=0),"Menge pro Gebinde fehlt (Ist = 1 Gebinde); ","")&amp;BJ21)</f>
        <v/>
      </c>
      <c r="BC21" s="53" t="n"/>
      <c r="BD21" s="53" t="n"/>
      <c r="BE21" s="61" t="n"/>
      <c r="BF21" s="55" t="n">
        <v>12</v>
      </c>
      <c r="BG21" s="55" t="n">
        <v>11</v>
      </c>
      <c r="BH21" s="54" t="n">
        <v>17892.56000000003</v>
      </c>
      <c r="BI21" s="55" t="n">
        <v>95</v>
      </c>
      <c r="BJ21" s="53" t="inlineStr"/>
      <c r="BK21" s="58" t="n">
        <v>0</v>
      </c>
      <c r="BL21" s="58" t="n">
        <v>21</v>
      </c>
      <c r="BM21" s="53">
        <f>IF(S21&lt;&gt;"",UPPER(TRIM(S21)),IF(O21="","LOSE",O21))</f>
        <v/>
      </c>
      <c r="BN21" s="55">
        <f>IF(BM21="LOSE",1,IF(N(T21)&gt;0,T21,IF(N(P21)&gt;0,P21,MAX(1,G21))))</f>
        <v/>
      </c>
      <c r="BO21" s="58">
        <f>IF(BM21="LOSE",1,0)</f>
        <v/>
      </c>
      <c r="BP21" s="64">
        <f>IF(BO21=0,0,IF(N(R21)&gt;0,R21,IFERROR(VLOOKUP(D21,Parameter!$A$35:$C$64,3,0)+0,0)))</f>
        <v/>
      </c>
      <c r="BQ21" s="53">
        <f>IF(V21&lt;&gt;"",V21,U21)</f>
        <v/>
      </c>
      <c r="BR21" s="53">
        <f>IF(BQ21=1,"L1",IF(OR(BQ21=2,BQ21=3),"L23",IF(BQ21="Aussen","Aussen","-")))</f>
        <v/>
      </c>
      <c r="BS21" s="66">
        <f>IF(N(W21)&gt;0,W21,0)</f>
        <v/>
      </c>
      <c r="BT21" s="58">
        <f>IF(ISNUMBER(Z21),1,0)</f>
        <v/>
      </c>
      <c r="BU21" s="55">
        <f>N(Z21)</f>
        <v/>
      </c>
      <c r="BV21" s="55">
        <f>N(L21)+N(M21)</f>
        <v/>
      </c>
      <c r="BW21" s="55">
        <f>ROUNDUP(G21/BN21,0)</f>
        <v/>
      </c>
      <c r="BX21" s="55">
        <f>ROUNDUP(BU21/BN21,0)</f>
        <v/>
      </c>
      <c r="BY21" s="58">
        <f>IF(BO21=1,0,IFERROR(VLOOKUP(BM21,'Gebinde-Kategorie'!$A$5:$G$45,5,0)+0,0))</f>
        <v/>
      </c>
      <c r="BZ21" s="58">
        <f>IFERROR(IF(OR(BQ21=1,BQ21=2,BQ21=3),N(INDEX(Parameter!$I$5:$I$7,BQ21)),0),0)</f>
        <v/>
      </c>
    </row>
    <row r="22">
      <c r="A22" s="53" t="inlineStr">
        <is>
          <t>106177</t>
        </is>
      </c>
      <c r="B22" s="53" t="inlineStr">
        <is>
          <t>Kolbengehäuse SPGr10</t>
        </is>
      </c>
      <c r="C22" s="53" t="inlineStr">
        <is>
          <t>F</t>
        </is>
      </c>
      <c r="D22" s="53" t="inlineStr">
        <is>
          <t>LIFT1</t>
        </is>
      </c>
      <c r="E22" s="53" t="inlineStr">
        <is>
          <t>B</t>
        </is>
      </c>
      <c r="F22" s="54" t="n">
        <v>2587.56</v>
      </c>
      <c r="G22" s="55">
        <f>MAX(0,IF(Parameter!$B$20="Jahresanfang 2025 + Export",BG22+BF22,BF22))</f>
        <v/>
      </c>
      <c r="H22" s="55">
        <f>G22*F22</f>
        <v/>
      </c>
      <c r="I22" s="55">
        <f>BI22*Parameter!$B$18</f>
        <v/>
      </c>
      <c r="J22" s="56" t="n">
        <v>9.5</v>
      </c>
      <c r="K22" s="57" t="n">
        <v>3.052631578947369</v>
      </c>
      <c r="L22" s="55" t="n">
        <v>3</v>
      </c>
      <c r="M22" s="55" t="n">
        <v>10</v>
      </c>
      <c r="N22" s="58" t="n">
        <v>21</v>
      </c>
      <c r="O22" s="53" t="inlineStr">
        <is>
          <t>LOSE</t>
        </is>
      </c>
      <c r="P22" s="55" t="n"/>
      <c r="Q22" s="59">
        <f>IF(BO22=1,0,IFERROR(VLOOKUP(BM22,'Gebinde-Kategorie'!$A$5:$G$45,6,0)+0,0))</f>
        <v/>
      </c>
      <c r="R22" s="60" t="n"/>
      <c r="S22" s="61" t="n"/>
      <c r="T22" s="61" t="n"/>
      <c r="U22" s="53">
        <f>IF(A22="","",IF(IFERROR(VLOOKUP(D22,Parameter!$A$35:$C$64,2,0),"Nein")="2+3",IF(ISNUMBER(SEARCH("grosser Artikel",BJ22)),2,IFERROR(VLOOKUP(BM22,Parameter!$F$35:$G$64,2,0),2)),IF(OR(IFERROR(VLOOKUP(D22,Parameter!$A$35:$C$64,2,0),"Nein")="Nein",IFERROR(VLOOKUP(D22,Parameter!$A$35:$C$64,2,0),"Nein")=""),"-",VLOOKUP(D22,Parameter!$A$35:$C$64,2,0))))</f>
        <v/>
      </c>
      <c r="V22" s="61" t="n"/>
      <c r="W22" s="62" t="n"/>
      <c r="X22" s="55">
        <f>AM22</f>
        <v/>
      </c>
      <c r="Y22" s="55">
        <f>MAX(AM22,G22)</f>
        <v/>
      </c>
      <c r="Z22" s="63" t="n"/>
      <c r="AA22" s="55">
        <f>IF(LEFT(Cockpit!$C$5,1)="A",G22,IF(BT22=1,BU22,IF(LEFT(Cockpit!$C$5,1)="B",AE22,MAX(AE22,G22))))</f>
        <v/>
      </c>
      <c r="AB22" s="55">
        <f>IF(BO22=1,0,ROUNDUP(AA22/BN22,0))</f>
        <v/>
      </c>
      <c r="AC22" s="64">
        <f>IF(BO22=1,IF(AA22&lt;=0,0,BP22*MAX(1,IF(G22&gt;0,AA22/G22,1))),AB22*Q22)</f>
        <v/>
      </c>
      <c r="AD22" s="55">
        <f>AA22*F22</f>
        <v/>
      </c>
      <c r="AE22" s="55">
        <f>ROUNDUP(MAX(I22/IF(BS22&gt;0,BS22,MAX(0.1,N(Cockpit!$C$6))),BV22)/BN22,0)*BN22</f>
        <v/>
      </c>
      <c r="AF22" s="56">
        <f>IF(AC22&gt;0,I22/AC22,-1)</f>
        <v/>
      </c>
      <c r="AG22" s="56">
        <f>IF(AND(OR(BR22="L1",BR22="L23"),AC22&gt;0),SUMIFS($AC$7:$AC$1570,$BR$7:$BR$1570,BR22,$AF$7:$AF$1570,"&gt;"&amp;AF22)+SUMIFS($AC$7:$AC$1570,$BR$7:$BR$1570,BR22,$AF$7:$AF$1570,AF22,$BL$7:$BL$1570,"&lt;="&amp;BL22),"")</f>
        <v/>
      </c>
      <c r="AH22" s="65">
        <f>IF(AG22="",0,MAX(0,MIN(1,(IF(BR22="L1",Parameter!$K$5,Parameter!$K$6+Parameter!$K$7)-(AG22-AC22))/AC22)))</f>
        <v/>
      </c>
      <c r="AI22" s="55">
        <f>IF(LEFT(Cockpit!$I$5,1)="A",G22,IF(BT22=1,BU22,IF(LEFT(Cockpit!$I$5,1)="B",AM22,MAX(AM22,G22))))</f>
        <v/>
      </c>
      <c r="AJ22" s="55">
        <f>IF(BO22=1,0,ROUNDUP(AI22/BN22,0))</f>
        <v/>
      </c>
      <c r="AK22" s="64">
        <f>IF(BO22=1,IF(AI22&lt;=0,0,BP22*MAX(1,IF(G22&gt;0,AI22/G22,1))),AJ22*Q22)</f>
        <v/>
      </c>
      <c r="AL22" s="55">
        <f>AI22*F22</f>
        <v/>
      </c>
      <c r="AM22" s="55">
        <f>ROUNDUP(MAX(I22/IF(BS22&gt;0,BS22,MAX(0.1,N(Cockpit!$I$6))),BV22)/BN22,0)*BN22</f>
        <v/>
      </c>
      <c r="AN22" s="56">
        <f>IF(AK22&gt;0,I22/AK22,-1)</f>
        <v/>
      </c>
      <c r="AO22" s="56">
        <f>IF(AND(OR(BR22="L1",BR22="L23"),AK22&gt;0),SUMIFS($AK$7:$AK$1570,$BR$7:$BR$1570,BR22,$AN$7:$AN$1570,"&gt;"&amp;AN22)+SUMIFS($AK$7:$AK$1570,$BR$7:$BR$1570,BR22,$AN$7:$AN$1570,AN22,$BL$7:$BL$1570,"&lt;="&amp;BL22),"")</f>
        <v/>
      </c>
      <c r="AP22" s="65">
        <f>IF(AO22="",0,MAX(0,MIN(1,(IF(BR22="L1",Parameter!$K$5,Parameter!$K$6+Parameter!$K$7)-(AO22-AK22))/AK22)))</f>
        <v/>
      </c>
      <c r="AQ22" s="55">
        <f>IF(LEFT(Cockpit!$O$5,1)="A",G22,IF(BT22=1,BU22,IF(LEFT(Cockpit!$O$5,1)="B",AU22,MAX(AU22,G22))))</f>
        <v/>
      </c>
      <c r="AR22" s="55">
        <f>IF(BO22=1,0,ROUNDUP(AQ22/BN22,0))</f>
        <v/>
      </c>
      <c r="AS22" s="64">
        <f>IF(BO22=1,IF(AQ22&lt;=0,0,BP22*MAX(1,IF(G22&gt;0,AQ22/G22,1))),AR22*Q22)</f>
        <v/>
      </c>
      <c r="AT22" s="55">
        <f>AQ22*F22</f>
        <v/>
      </c>
      <c r="AU22" s="55">
        <f>ROUNDUP(MAX(I22/IF(BS22&gt;0,BS22,MAX(0.1,N(Cockpit!$O$6))),BV22)/BN22,0)*BN22</f>
        <v/>
      </c>
      <c r="AV22" s="56">
        <f>IF(AS22&gt;0,I22/AS22,-1)</f>
        <v/>
      </c>
      <c r="AW22" s="56">
        <f>IF(AND(OR(BR22="L1",BR22="L23"),AS22&gt;0),SUMIFS($AS$7:$AS$1570,$BR$7:$BR$1570,BR22,$AV$7:$AV$1570,"&gt;"&amp;AV22)+SUMIFS($AS$7:$AS$1570,$BR$7:$BR$1570,BR22,$AV$7:$AV$1570,AV22,$BL$7:$BL$1570,"&lt;="&amp;BL22),"")</f>
        <v/>
      </c>
      <c r="AX22" s="65">
        <f>IF(AW22="",0,MAX(0,MIN(1,(IF(BR22="L1",Parameter!$K$5,Parameter!$K$6+Parameter!$K$7)-(AW22-AS22))/AS22)))</f>
        <v/>
      </c>
      <c r="AY22" s="53">
        <f>IF(AC22&lt;=0,"",IF(BR22="Aussen","Aussenlager",IF(BR22="-","Nicht im Lift",IF(AH22&gt;=1,"Lift",IF(AH22&lt;=0,"Aussenlager","teilweise")))))</f>
        <v/>
      </c>
      <c r="AZ22" s="53">
        <f>IF(AK22&lt;=0,"",IF(BR22="Aussen","Aussenlager",IF(BR22="-","Nicht im Lift",IF(AP22&gt;=1,"Lift",IF(AP22&lt;=0,"Aussenlager","teilweise")))))</f>
        <v/>
      </c>
      <c r="BA22" s="53">
        <f>IF(AS22&lt;=0,"",IF(BR22="Aussen","Aussenlager",IF(BR22="-","Nicht im Lift",IF(AX22&gt;=1,"Lift",IF(AX22&lt;=0,"Aussenlager","teilweise")))))</f>
        <v/>
      </c>
      <c r="BB22" s="53">
        <f>IF(A22="","",IF(BK22=1,"Neu; ","")&amp;IF(AND(BK22=0,BF22&lt;0),"negativer Bestand (Export "&amp;BF22&amp;"); ","")&amp;IF(I22&lt;=0,"Kein Verbrauch; ","")&amp;IF(BO22=1,"Lose – Fläche geschätzt; ","")&amp;IF(G22&gt;AM22,"Überbestand "&amp;ROUND(G22-AM22,0)&amp;" Stk / CHF "&amp;ROUND((G22-AM22)*F22,0)&amp;"; ","")&amp;IF(AND(BT22=1,BU22&lt;BV22),"MAX &lt; MB+LG; ","")&amp;IF(AND(BZ22&gt;0,BY22*10&gt;BZ22),"zu hoch für Tablar; ","")&amp;IF(AND(BK22=0,OR(BT22=1,V22&lt;&gt;"",S22&lt;&gt;"",T22&lt;&gt;"",W22&lt;&gt;"")),"manuell übersteuert; ","")&amp;IF(AND(BO22=0,Q22=0),"Gebinde unbekannt; ","")&amp;IF(AND(BO22=0,N(T22)&lt;=0,N(P22)&lt;=0),"Menge pro Gebinde fehlt (Ist = 1 Gebinde); ","")&amp;BJ22)</f>
        <v/>
      </c>
      <c r="BC22" s="53" t="inlineStr">
        <is>
          <t>?</t>
        </is>
      </c>
      <c r="BD22" s="53" t="n"/>
      <c r="BE22" s="61" t="n"/>
      <c r="BF22" s="55" t="n">
        <v>7</v>
      </c>
      <c r="BG22" s="55" t="n">
        <v>3</v>
      </c>
      <c r="BH22" s="54" t="n">
        <v>17583.75999999997</v>
      </c>
      <c r="BI22" s="55" t="n">
        <v>29</v>
      </c>
      <c r="BJ22" s="53" t="inlineStr"/>
      <c r="BK22" s="58" t="n">
        <v>0</v>
      </c>
      <c r="BL22" s="58" t="n">
        <v>22</v>
      </c>
      <c r="BM22" s="53">
        <f>IF(S22&lt;&gt;"",UPPER(TRIM(S22)),IF(O22="","LOSE",O22))</f>
        <v/>
      </c>
      <c r="BN22" s="55">
        <f>IF(BM22="LOSE",1,IF(N(T22)&gt;0,T22,IF(N(P22)&gt;0,P22,MAX(1,G22))))</f>
        <v/>
      </c>
      <c r="BO22" s="58">
        <f>IF(BM22="LOSE",1,0)</f>
        <v/>
      </c>
      <c r="BP22" s="64">
        <f>IF(BO22=0,0,IF(N(R22)&gt;0,R22,IFERROR(VLOOKUP(D22,Parameter!$A$35:$C$64,3,0)+0,0)))</f>
        <v/>
      </c>
      <c r="BQ22" s="53">
        <f>IF(V22&lt;&gt;"",V22,U22)</f>
        <v/>
      </c>
      <c r="BR22" s="53">
        <f>IF(BQ22=1,"L1",IF(OR(BQ22=2,BQ22=3),"L23",IF(BQ22="Aussen","Aussen","-")))</f>
        <v/>
      </c>
      <c r="BS22" s="66">
        <f>IF(N(W22)&gt;0,W22,0)</f>
        <v/>
      </c>
      <c r="BT22" s="58">
        <f>IF(ISNUMBER(Z22),1,0)</f>
        <v/>
      </c>
      <c r="BU22" s="55">
        <f>N(Z22)</f>
        <v/>
      </c>
      <c r="BV22" s="55">
        <f>N(L22)+N(M22)</f>
        <v/>
      </c>
      <c r="BW22" s="55">
        <f>ROUNDUP(G22/BN22,0)</f>
        <v/>
      </c>
      <c r="BX22" s="55">
        <f>ROUNDUP(BU22/BN22,0)</f>
        <v/>
      </c>
      <c r="BY22" s="58">
        <f>IF(BO22=1,0,IFERROR(VLOOKUP(BM22,'Gebinde-Kategorie'!$A$5:$G$45,5,0)+0,0))</f>
        <v/>
      </c>
      <c r="BZ22" s="58">
        <f>IFERROR(IF(OR(BQ22=1,BQ22=2,BQ22=3),N(INDEX(Parameter!$I$5:$I$7,BQ22)),0),0)</f>
        <v/>
      </c>
    </row>
    <row r="23">
      <c r="A23" s="53" t="inlineStr">
        <is>
          <t>106099</t>
        </is>
      </c>
      <c r="B23" s="53" t="inlineStr">
        <is>
          <t>Druckleitungsgehäuse SPGr</t>
        </is>
      </c>
      <c r="C23" s="53" t="inlineStr">
        <is>
          <t>F</t>
        </is>
      </c>
      <c r="D23" s="53" t="inlineStr">
        <is>
          <t>PAL</t>
        </is>
      </c>
      <c r="E23" s="53" t="inlineStr">
        <is>
          <t>B</t>
        </is>
      </c>
      <c r="F23" s="54" t="n">
        <v>211.01</v>
      </c>
      <c r="G23" s="55">
        <f>MAX(0,IF(Parameter!$B$20="Jahresanfang 2025 + Export",BG23+BF23,BF23))</f>
        <v/>
      </c>
      <c r="H23" s="55">
        <f>G23*F23</f>
        <v/>
      </c>
      <c r="I23" s="55">
        <f>BI23*Parameter!$B$18</f>
        <v/>
      </c>
      <c r="J23" s="56" t="n">
        <v>52.5</v>
      </c>
      <c r="K23" s="57" t="n">
        <v>6.419047619047619</v>
      </c>
      <c r="L23" s="55" t="n">
        <v>19</v>
      </c>
      <c r="M23" s="55" t="n">
        <v>60</v>
      </c>
      <c r="N23" s="58" t="n">
        <v>21</v>
      </c>
      <c r="O23" s="53" t="inlineStr">
        <is>
          <t>S61</t>
        </is>
      </c>
      <c r="P23" s="55" t="n">
        <v>42</v>
      </c>
      <c r="Q23" s="59">
        <f>IF(BO23=1,0,IFERROR(VLOOKUP(BM23,'Gebinde-Kategorie'!$A$5:$G$45,6,0)+0,0))</f>
        <v/>
      </c>
      <c r="R23" s="60" t="n"/>
      <c r="S23" s="61" t="n"/>
      <c r="T23" s="61" t="n"/>
      <c r="U23" s="53">
        <f>IF(A23="","",IF(IFERROR(VLOOKUP(D23,Parameter!$A$35:$C$64,2,0),"Nein")="2+3",IF(ISNUMBER(SEARCH("grosser Artikel",BJ23)),2,IFERROR(VLOOKUP(BM23,Parameter!$F$35:$G$64,2,0),2)),IF(OR(IFERROR(VLOOKUP(D23,Parameter!$A$35:$C$64,2,0),"Nein")="Nein",IFERROR(VLOOKUP(D23,Parameter!$A$35:$C$64,2,0),"Nein")=""),"-",VLOOKUP(D23,Parameter!$A$35:$C$64,2,0))))</f>
        <v/>
      </c>
      <c r="V23" s="61" t="n"/>
      <c r="W23" s="62" t="n"/>
      <c r="X23" s="55">
        <f>AM23</f>
        <v/>
      </c>
      <c r="Y23" s="55">
        <f>MAX(AM23,G23)</f>
        <v/>
      </c>
      <c r="Z23" s="63" t="n"/>
      <c r="AA23" s="55">
        <f>IF(LEFT(Cockpit!$C$5,1)="A",G23,IF(BT23=1,BU23,IF(LEFT(Cockpit!$C$5,1)="B",AE23,MAX(AE23,G23))))</f>
        <v/>
      </c>
      <c r="AB23" s="55">
        <f>IF(BO23=1,0,ROUNDUP(AA23/BN23,0))</f>
        <v/>
      </c>
      <c r="AC23" s="64">
        <f>IF(BO23=1,IF(AA23&lt;=0,0,BP23*MAX(1,IF(G23&gt;0,AA23/G23,1))),AB23*Q23)</f>
        <v/>
      </c>
      <c r="AD23" s="55">
        <f>AA23*F23</f>
        <v/>
      </c>
      <c r="AE23" s="55">
        <f>ROUNDUP(MAX(I23/IF(BS23&gt;0,BS23,MAX(0.1,N(Cockpit!$C$6))),BV23)/BN23,0)*BN23</f>
        <v/>
      </c>
      <c r="AF23" s="56">
        <f>IF(AC23&gt;0,I23/AC23,-1)</f>
        <v/>
      </c>
      <c r="AG23" s="56">
        <f>IF(AND(OR(BR23="L1",BR23="L23"),AC23&gt;0),SUMIFS($AC$7:$AC$1570,$BR$7:$BR$1570,BR23,$AF$7:$AF$1570,"&gt;"&amp;AF23)+SUMIFS($AC$7:$AC$1570,$BR$7:$BR$1570,BR23,$AF$7:$AF$1570,AF23,$BL$7:$BL$1570,"&lt;="&amp;BL23),"")</f>
        <v/>
      </c>
      <c r="AH23" s="65">
        <f>IF(AG23="",0,MAX(0,MIN(1,(IF(BR23="L1",Parameter!$K$5,Parameter!$K$6+Parameter!$K$7)-(AG23-AC23))/AC23)))</f>
        <v/>
      </c>
      <c r="AI23" s="55">
        <f>IF(LEFT(Cockpit!$I$5,1)="A",G23,IF(BT23=1,BU23,IF(LEFT(Cockpit!$I$5,1)="B",AM23,MAX(AM23,G23))))</f>
        <v/>
      </c>
      <c r="AJ23" s="55">
        <f>IF(BO23=1,0,ROUNDUP(AI23/BN23,0))</f>
        <v/>
      </c>
      <c r="AK23" s="64">
        <f>IF(BO23=1,IF(AI23&lt;=0,0,BP23*MAX(1,IF(G23&gt;0,AI23/G23,1))),AJ23*Q23)</f>
        <v/>
      </c>
      <c r="AL23" s="55">
        <f>AI23*F23</f>
        <v/>
      </c>
      <c r="AM23" s="55">
        <f>ROUNDUP(MAX(I23/IF(BS23&gt;0,BS23,MAX(0.1,N(Cockpit!$I$6))),BV23)/BN23,0)*BN23</f>
        <v/>
      </c>
      <c r="AN23" s="56">
        <f>IF(AK23&gt;0,I23/AK23,-1)</f>
        <v/>
      </c>
      <c r="AO23" s="56">
        <f>IF(AND(OR(BR23="L1",BR23="L23"),AK23&gt;0),SUMIFS($AK$7:$AK$1570,$BR$7:$BR$1570,BR23,$AN$7:$AN$1570,"&gt;"&amp;AN23)+SUMIFS($AK$7:$AK$1570,$BR$7:$BR$1570,BR23,$AN$7:$AN$1570,AN23,$BL$7:$BL$1570,"&lt;="&amp;BL23),"")</f>
        <v/>
      </c>
      <c r="AP23" s="65">
        <f>IF(AO23="",0,MAX(0,MIN(1,(IF(BR23="L1",Parameter!$K$5,Parameter!$K$6+Parameter!$K$7)-(AO23-AK23))/AK23)))</f>
        <v/>
      </c>
      <c r="AQ23" s="55">
        <f>IF(LEFT(Cockpit!$O$5,1)="A",G23,IF(BT23=1,BU23,IF(LEFT(Cockpit!$O$5,1)="B",AU23,MAX(AU23,G23))))</f>
        <v/>
      </c>
      <c r="AR23" s="55">
        <f>IF(BO23=1,0,ROUNDUP(AQ23/BN23,0))</f>
        <v/>
      </c>
      <c r="AS23" s="64">
        <f>IF(BO23=1,IF(AQ23&lt;=0,0,BP23*MAX(1,IF(G23&gt;0,AQ23/G23,1))),AR23*Q23)</f>
        <v/>
      </c>
      <c r="AT23" s="55">
        <f>AQ23*F23</f>
        <v/>
      </c>
      <c r="AU23" s="55">
        <f>ROUNDUP(MAX(I23/IF(BS23&gt;0,BS23,MAX(0.1,N(Cockpit!$O$6))),BV23)/BN23,0)*BN23</f>
        <v/>
      </c>
      <c r="AV23" s="56">
        <f>IF(AS23&gt;0,I23/AS23,-1)</f>
        <v/>
      </c>
      <c r="AW23" s="56">
        <f>IF(AND(OR(BR23="L1",BR23="L23"),AS23&gt;0),SUMIFS($AS$7:$AS$1570,$BR$7:$BR$1570,BR23,$AV$7:$AV$1570,"&gt;"&amp;AV23)+SUMIFS($AS$7:$AS$1570,$BR$7:$BR$1570,BR23,$AV$7:$AV$1570,AV23,$BL$7:$BL$1570,"&lt;="&amp;BL23),"")</f>
        <v/>
      </c>
      <c r="AX23" s="65">
        <f>IF(AW23="",0,MAX(0,MIN(1,(IF(BR23="L1",Parameter!$K$5,Parameter!$K$6+Parameter!$K$7)-(AW23-AS23))/AS23)))</f>
        <v/>
      </c>
      <c r="AY23" s="53">
        <f>IF(AC23&lt;=0,"",IF(BR23="Aussen","Aussenlager",IF(BR23="-","Nicht im Lift",IF(AH23&gt;=1,"Lift",IF(AH23&lt;=0,"Aussenlager","teilweise")))))</f>
        <v/>
      </c>
      <c r="AZ23" s="53">
        <f>IF(AK23&lt;=0,"",IF(BR23="Aussen","Aussenlager",IF(BR23="-","Nicht im Lift",IF(AP23&gt;=1,"Lift",IF(AP23&lt;=0,"Aussenlager","teilweise")))))</f>
        <v/>
      </c>
      <c r="BA23" s="53">
        <f>IF(AS23&lt;=0,"",IF(BR23="Aussen","Aussenlager",IF(BR23="-","Nicht im Lift",IF(AX23&gt;=1,"Lift",IF(AX23&lt;=0,"Aussenlager","teilweise")))))</f>
        <v/>
      </c>
      <c r="BB23" s="53">
        <f>IF(A23="","",IF(BK23=1,"Neu; ","")&amp;IF(AND(BK23=0,BF23&lt;0),"negativer Bestand (Export "&amp;BF23&amp;"); ","")&amp;IF(I23&lt;=0,"Kein Verbrauch; ","")&amp;IF(BO23=1,"Lose – Fläche geschätzt; ","")&amp;IF(G23&gt;AM23,"Überbestand "&amp;ROUND(G23-AM23,0)&amp;" Stk / CHF "&amp;ROUND((G23-AM23)*F23,0)&amp;"; ","")&amp;IF(AND(BT23=1,BU23&lt;BV23),"MAX &lt; MB+LG; ","")&amp;IF(AND(BZ23&gt;0,BY23*10&gt;BZ23),"zu hoch für Tablar; ","")&amp;IF(AND(BK23=0,OR(BT23=1,V23&lt;&gt;"",S23&lt;&gt;"",T23&lt;&gt;"",W23&lt;&gt;"")),"manuell übersteuert; ","")&amp;IF(AND(BO23=0,Q23=0),"Gebinde unbekannt; ","")&amp;IF(AND(BO23=0,N(T23)&lt;=0,N(P23)&lt;=0),"Menge pro Gebinde fehlt (Ist = 1 Gebinde); ","")&amp;BJ23)</f>
        <v/>
      </c>
      <c r="BC23" s="53" t="inlineStr">
        <is>
          <t>Twin</t>
        </is>
      </c>
      <c r="BD23" s="53" t="inlineStr">
        <is>
          <t>Reduzieren / Mit PM/SV anschauen?</t>
        </is>
      </c>
      <c r="BE23" s="61" t="n"/>
      <c r="BF23" s="55" t="n">
        <v>90</v>
      </c>
      <c r="BG23" s="55" t="n">
        <v>41</v>
      </c>
      <c r="BH23" s="54" t="n">
        <v>17462.83000000001</v>
      </c>
      <c r="BI23" s="55" t="n">
        <v>337</v>
      </c>
      <c r="BJ23" s="53" t="inlineStr"/>
      <c r="BK23" s="58" t="n">
        <v>0</v>
      </c>
      <c r="BL23" s="58" t="n">
        <v>23</v>
      </c>
      <c r="BM23" s="53">
        <f>IF(S23&lt;&gt;"",UPPER(TRIM(S23)),IF(O23="","LOSE",O23))</f>
        <v/>
      </c>
      <c r="BN23" s="55">
        <f>IF(BM23="LOSE",1,IF(N(T23)&gt;0,T23,IF(N(P23)&gt;0,P23,MAX(1,G23))))</f>
        <v/>
      </c>
      <c r="BO23" s="58">
        <f>IF(BM23="LOSE",1,0)</f>
        <v/>
      </c>
      <c r="BP23" s="64">
        <f>IF(BO23=0,0,IF(N(R23)&gt;0,R23,IFERROR(VLOOKUP(D23,Parameter!$A$35:$C$64,3,0)+0,0)))</f>
        <v/>
      </c>
      <c r="BQ23" s="53">
        <f>IF(V23&lt;&gt;"",V23,U23)</f>
        <v/>
      </c>
      <c r="BR23" s="53">
        <f>IF(BQ23=1,"L1",IF(OR(BQ23=2,BQ23=3),"L23",IF(BQ23="Aussen","Aussen","-")))</f>
        <v/>
      </c>
      <c r="BS23" s="66">
        <f>IF(N(W23)&gt;0,W23,0)</f>
        <v/>
      </c>
      <c r="BT23" s="58">
        <f>IF(ISNUMBER(Z23),1,0)</f>
        <v/>
      </c>
      <c r="BU23" s="55">
        <f>N(Z23)</f>
        <v/>
      </c>
      <c r="BV23" s="55">
        <f>N(L23)+N(M23)</f>
        <v/>
      </c>
      <c r="BW23" s="55">
        <f>ROUNDUP(G23/BN23,0)</f>
        <v/>
      </c>
      <c r="BX23" s="55">
        <f>ROUNDUP(BU23/BN23,0)</f>
        <v/>
      </c>
      <c r="BY23" s="58">
        <f>IF(BO23=1,0,IFERROR(VLOOKUP(BM23,'Gebinde-Kategorie'!$A$5:$G$45,5,0)+0,0))</f>
        <v/>
      </c>
      <c r="BZ23" s="58">
        <f>IFERROR(IF(OR(BQ23=1,BQ23=2,BQ23=3),N(INDEX(Parameter!$I$5:$I$7,BQ23)),0),0)</f>
        <v/>
      </c>
    </row>
    <row r="24">
      <c r="A24" s="53" t="inlineStr">
        <is>
          <t>109088_MAT</t>
        </is>
      </c>
      <c r="B24" s="53" t="inlineStr">
        <is>
          <t>Rohmaterial zu 109088</t>
        </is>
      </c>
      <c r="C24" s="53" t="inlineStr">
        <is>
          <t>F</t>
        </is>
      </c>
      <c r="D24" s="53" t="inlineStr">
        <is>
          <t>PAL</t>
        </is>
      </c>
      <c r="E24" s="53" t="inlineStr">
        <is>
          <t>C</t>
        </is>
      </c>
      <c r="F24" s="54" t="n">
        <v>146.39</v>
      </c>
      <c r="G24" s="55">
        <f>MAX(0,IF(Parameter!$B$20="Jahresanfang 2025 + Export",BG24+BF24,BF24))</f>
        <v/>
      </c>
      <c r="H24" s="55">
        <f>G24*F24</f>
        <v/>
      </c>
      <c r="I24" s="55">
        <f>BI24*Parameter!$B$18</f>
        <v/>
      </c>
      <c r="J24" s="56" t="n">
        <v>19.5</v>
      </c>
      <c r="K24" s="57" t="n">
        <v>0</v>
      </c>
      <c r="L24" s="55" t="n">
        <v>0</v>
      </c>
      <c r="M24" s="55" t="n">
        <v>1</v>
      </c>
      <c r="N24" s="58" t="n">
        <v>0</v>
      </c>
      <c r="O24" s="53" t="inlineStr">
        <is>
          <t>LOSE</t>
        </is>
      </c>
      <c r="P24" s="55" t="n"/>
      <c r="Q24" s="59">
        <f>IF(BO24=1,0,IFERROR(VLOOKUP(BM24,'Gebinde-Kategorie'!$A$5:$G$45,6,0)+0,0))</f>
        <v/>
      </c>
      <c r="R24" s="60" t="n"/>
      <c r="S24" s="61" t="n"/>
      <c r="T24" s="61" t="n"/>
      <c r="U24" s="53">
        <f>IF(A24="","",IF(IFERROR(VLOOKUP(D24,Parameter!$A$35:$C$64,2,0),"Nein")="2+3",IF(ISNUMBER(SEARCH("grosser Artikel",BJ24)),2,IFERROR(VLOOKUP(BM24,Parameter!$F$35:$G$64,2,0),2)),IF(OR(IFERROR(VLOOKUP(D24,Parameter!$A$35:$C$64,2,0),"Nein")="Nein",IFERROR(VLOOKUP(D24,Parameter!$A$35:$C$64,2,0),"Nein")=""),"-",VLOOKUP(D24,Parameter!$A$35:$C$64,2,0))))</f>
        <v/>
      </c>
      <c r="V24" s="61" t="n"/>
      <c r="W24" s="62" t="n"/>
      <c r="X24" s="55">
        <f>AM24</f>
        <v/>
      </c>
      <c r="Y24" s="55">
        <f>MAX(AM24,G24)</f>
        <v/>
      </c>
      <c r="Z24" s="63" t="n"/>
      <c r="AA24" s="55">
        <f>IF(LEFT(Cockpit!$C$5,1)="A",G24,IF(BT24=1,BU24,IF(LEFT(Cockpit!$C$5,1)="B",AE24,MAX(AE24,G24))))</f>
        <v/>
      </c>
      <c r="AB24" s="55">
        <f>IF(BO24=1,0,ROUNDUP(AA24/BN24,0))</f>
        <v/>
      </c>
      <c r="AC24" s="64">
        <f>IF(BO24=1,IF(AA24&lt;=0,0,BP24*MAX(1,IF(G24&gt;0,AA24/G24,1))),AB24*Q24)</f>
        <v/>
      </c>
      <c r="AD24" s="55">
        <f>AA24*F24</f>
        <v/>
      </c>
      <c r="AE24" s="55">
        <f>ROUNDUP(MAX(I24/IF(BS24&gt;0,BS24,MAX(0.1,N(Cockpit!$C$6))),BV24)/BN24,0)*BN24</f>
        <v/>
      </c>
      <c r="AF24" s="56">
        <f>IF(AC24&gt;0,I24/AC24,-1)</f>
        <v/>
      </c>
      <c r="AG24" s="56">
        <f>IF(AND(OR(BR24="L1",BR24="L23"),AC24&gt;0),SUMIFS($AC$7:$AC$1570,$BR$7:$BR$1570,BR24,$AF$7:$AF$1570,"&gt;"&amp;AF24)+SUMIFS($AC$7:$AC$1570,$BR$7:$BR$1570,BR24,$AF$7:$AF$1570,AF24,$BL$7:$BL$1570,"&lt;="&amp;BL24),"")</f>
        <v/>
      </c>
      <c r="AH24" s="65">
        <f>IF(AG24="",0,MAX(0,MIN(1,(IF(BR24="L1",Parameter!$K$5,Parameter!$K$6+Parameter!$K$7)-(AG24-AC24))/AC24)))</f>
        <v/>
      </c>
      <c r="AI24" s="55">
        <f>IF(LEFT(Cockpit!$I$5,1)="A",G24,IF(BT24=1,BU24,IF(LEFT(Cockpit!$I$5,1)="B",AM24,MAX(AM24,G24))))</f>
        <v/>
      </c>
      <c r="AJ24" s="55">
        <f>IF(BO24=1,0,ROUNDUP(AI24/BN24,0))</f>
        <v/>
      </c>
      <c r="AK24" s="64">
        <f>IF(BO24=1,IF(AI24&lt;=0,0,BP24*MAX(1,IF(G24&gt;0,AI24/G24,1))),AJ24*Q24)</f>
        <v/>
      </c>
      <c r="AL24" s="55">
        <f>AI24*F24</f>
        <v/>
      </c>
      <c r="AM24" s="55">
        <f>ROUNDUP(MAX(I24/IF(BS24&gt;0,BS24,MAX(0.1,N(Cockpit!$I$6))),BV24)/BN24,0)*BN24</f>
        <v/>
      </c>
      <c r="AN24" s="56">
        <f>IF(AK24&gt;0,I24/AK24,-1)</f>
        <v/>
      </c>
      <c r="AO24" s="56">
        <f>IF(AND(OR(BR24="L1",BR24="L23"),AK24&gt;0),SUMIFS($AK$7:$AK$1570,$BR$7:$BR$1570,BR24,$AN$7:$AN$1570,"&gt;"&amp;AN24)+SUMIFS($AK$7:$AK$1570,$BR$7:$BR$1570,BR24,$AN$7:$AN$1570,AN24,$BL$7:$BL$1570,"&lt;="&amp;BL24),"")</f>
        <v/>
      </c>
      <c r="AP24" s="65">
        <f>IF(AO24="",0,MAX(0,MIN(1,(IF(BR24="L1",Parameter!$K$5,Parameter!$K$6+Parameter!$K$7)-(AO24-AK24))/AK24)))</f>
        <v/>
      </c>
      <c r="AQ24" s="55">
        <f>IF(LEFT(Cockpit!$O$5,1)="A",G24,IF(BT24=1,BU24,IF(LEFT(Cockpit!$O$5,1)="B",AU24,MAX(AU24,G24))))</f>
        <v/>
      </c>
      <c r="AR24" s="55">
        <f>IF(BO24=1,0,ROUNDUP(AQ24/BN24,0))</f>
        <v/>
      </c>
      <c r="AS24" s="64">
        <f>IF(BO24=1,IF(AQ24&lt;=0,0,BP24*MAX(1,IF(G24&gt;0,AQ24/G24,1))),AR24*Q24)</f>
        <v/>
      </c>
      <c r="AT24" s="55">
        <f>AQ24*F24</f>
        <v/>
      </c>
      <c r="AU24" s="55">
        <f>ROUNDUP(MAX(I24/IF(BS24&gt;0,BS24,MAX(0.1,N(Cockpit!$O$6))),BV24)/BN24,0)*BN24</f>
        <v/>
      </c>
      <c r="AV24" s="56">
        <f>IF(AS24&gt;0,I24/AS24,-1)</f>
        <v/>
      </c>
      <c r="AW24" s="56">
        <f>IF(AND(OR(BR24="L1",BR24="L23"),AS24&gt;0),SUMIFS($AS$7:$AS$1570,$BR$7:$BR$1570,BR24,$AV$7:$AV$1570,"&gt;"&amp;AV24)+SUMIFS($AS$7:$AS$1570,$BR$7:$BR$1570,BR24,$AV$7:$AV$1570,AV24,$BL$7:$BL$1570,"&lt;="&amp;BL24),"")</f>
        <v/>
      </c>
      <c r="AX24" s="65">
        <f>IF(AW24="",0,MAX(0,MIN(1,(IF(BR24="L1",Parameter!$K$5,Parameter!$K$6+Parameter!$K$7)-(AW24-AS24))/AS24)))</f>
        <v/>
      </c>
      <c r="AY24" s="53">
        <f>IF(AC24&lt;=0,"",IF(BR24="Aussen","Aussenlager",IF(BR24="-","Nicht im Lift",IF(AH24&gt;=1,"Lift",IF(AH24&lt;=0,"Aussenlager","teilweise")))))</f>
        <v/>
      </c>
      <c r="AZ24" s="53">
        <f>IF(AK24&lt;=0,"",IF(BR24="Aussen","Aussenlager",IF(BR24="-","Nicht im Lift",IF(AP24&gt;=1,"Lift",IF(AP24&lt;=0,"Aussenlager","teilweise")))))</f>
        <v/>
      </c>
      <c r="BA24" s="53">
        <f>IF(AS24&lt;=0,"",IF(BR24="Aussen","Aussenlager",IF(BR24="-","Nicht im Lift",IF(AX24&gt;=1,"Lift",IF(AX24&lt;=0,"Aussenlager","teilweise")))))</f>
        <v/>
      </c>
      <c r="BB24" s="53">
        <f>IF(A24="","",IF(BK24=1,"Neu; ","")&amp;IF(AND(BK24=0,BF24&lt;0),"negativer Bestand (Export "&amp;BF24&amp;"); ","")&amp;IF(I24&lt;=0,"Kein Verbrauch; ","")&amp;IF(BO24=1,"Lose – Fläche geschätzt; ","")&amp;IF(G24&gt;AM24,"Überbestand "&amp;ROUND(G24-AM24,0)&amp;" Stk / CHF "&amp;ROUND((G24-AM24)*F24,0)&amp;"; ","")&amp;IF(AND(BT24=1,BU24&lt;BV24),"MAX &lt; MB+LG; ","")&amp;IF(AND(BZ24&gt;0,BY24*10&gt;BZ24),"zu hoch für Tablar; ","")&amp;IF(AND(BK24=0,OR(BT24=1,V24&lt;&gt;"",S24&lt;&gt;"",T24&lt;&gt;"",W24&lt;&gt;"")),"manuell übersteuert; ","")&amp;IF(AND(BO24=0,Q24=0),"Gebinde unbekannt; ","")&amp;IF(AND(BO24=0,N(T24)&lt;=0,N(P24)&lt;=0),"Menge pro Gebinde fehlt (Ist = 1 Gebinde); ","")&amp;BJ24)</f>
        <v/>
      </c>
      <c r="BC24" s="53" t="n"/>
      <c r="BD24" s="53" t="n"/>
      <c r="BE24" s="61" t="n"/>
      <c r="BF24" s="55" t="n">
        <v>114</v>
      </c>
      <c r="BG24" s="55" t="n">
        <v>0</v>
      </c>
      <c r="BH24" s="54" t="n">
        <v>16688.46</v>
      </c>
      <c r="BI24" s="55" t="n">
        <v>0</v>
      </c>
      <c r="BJ24" s="53" t="inlineStr"/>
      <c r="BK24" s="58" t="n">
        <v>0</v>
      </c>
      <c r="BL24" s="58" t="n">
        <v>24</v>
      </c>
      <c r="BM24" s="53">
        <f>IF(S24&lt;&gt;"",UPPER(TRIM(S24)),IF(O24="","LOSE",O24))</f>
        <v/>
      </c>
      <c r="BN24" s="55">
        <f>IF(BM24="LOSE",1,IF(N(T24)&gt;0,T24,IF(N(P24)&gt;0,P24,MAX(1,G24))))</f>
        <v/>
      </c>
      <c r="BO24" s="58">
        <f>IF(BM24="LOSE",1,0)</f>
        <v/>
      </c>
      <c r="BP24" s="64">
        <f>IF(BO24=0,0,IF(N(R24)&gt;0,R24,IFERROR(VLOOKUP(D24,Parameter!$A$35:$C$64,3,0)+0,0)))</f>
        <v/>
      </c>
      <c r="BQ24" s="53">
        <f>IF(V24&lt;&gt;"",V24,U24)</f>
        <v/>
      </c>
      <c r="BR24" s="53">
        <f>IF(BQ24=1,"L1",IF(OR(BQ24=2,BQ24=3),"L23",IF(BQ24="Aussen","Aussen","-")))</f>
        <v/>
      </c>
      <c r="BS24" s="66">
        <f>IF(N(W24)&gt;0,W24,0)</f>
        <v/>
      </c>
      <c r="BT24" s="58">
        <f>IF(ISNUMBER(Z24),1,0)</f>
        <v/>
      </c>
      <c r="BU24" s="55">
        <f>N(Z24)</f>
        <v/>
      </c>
      <c r="BV24" s="55">
        <f>N(L24)+N(M24)</f>
        <v/>
      </c>
      <c r="BW24" s="55">
        <f>ROUNDUP(G24/BN24,0)</f>
        <v/>
      </c>
      <c r="BX24" s="55">
        <f>ROUNDUP(BU24/BN24,0)</f>
        <v/>
      </c>
      <c r="BY24" s="58">
        <f>IF(BO24=1,0,IFERROR(VLOOKUP(BM24,'Gebinde-Kategorie'!$A$5:$G$45,5,0)+0,0))</f>
        <v/>
      </c>
      <c r="BZ24" s="58">
        <f>IFERROR(IF(OR(BQ24=1,BQ24=2,BQ24=3),N(INDEX(Parameter!$I$5:$I$7,BQ24)),0),0)</f>
        <v/>
      </c>
    </row>
    <row r="25">
      <c r="A25" s="53" t="inlineStr">
        <is>
          <t>106184</t>
        </is>
      </c>
      <c r="B25" s="53" t="inlineStr">
        <is>
          <t>Ventilsitzgehäuse SPGr16</t>
        </is>
      </c>
      <c r="C25" s="53" t="inlineStr">
        <is>
          <t>F</t>
        </is>
      </c>
      <c r="D25" s="53" t="inlineStr">
        <is>
          <t>LIFT1</t>
        </is>
      </c>
      <c r="E25" s="53" t="inlineStr">
        <is>
          <t>C</t>
        </is>
      </c>
      <c r="F25" s="54" t="n">
        <v>3268.12</v>
      </c>
      <c r="G25" s="55">
        <f>MAX(0,IF(Parameter!$B$20="Jahresanfang 2025 + Export",BG25+BF25,BF25))</f>
        <v/>
      </c>
      <c r="H25" s="55">
        <f>G25*F25</f>
        <v/>
      </c>
      <c r="I25" s="55">
        <f>BI25*Parameter!$B$18</f>
        <v/>
      </c>
      <c r="J25" s="56" t="n">
        <v>5.5</v>
      </c>
      <c r="K25" s="57" t="n">
        <v>4.363636363636363</v>
      </c>
      <c r="L25" s="55" t="n">
        <v>3</v>
      </c>
      <c r="M25" s="55" t="n">
        <v>6</v>
      </c>
      <c r="N25" s="58" t="n">
        <v>49</v>
      </c>
      <c r="O25" s="53" t="inlineStr">
        <is>
          <t>LOSE</t>
        </is>
      </c>
      <c r="P25" s="55" t="n"/>
      <c r="Q25" s="59">
        <f>IF(BO25=1,0,IFERROR(VLOOKUP(BM25,'Gebinde-Kategorie'!$A$5:$G$45,6,0)+0,0))</f>
        <v/>
      </c>
      <c r="R25" s="60" t="n"/>
      <c r="S25" s="61" t="n"/>
      <c r="T25" s="61" t="n"/>
      <c r="U25" s="53">
        <f>IF(A25="","",IF(IFERROR(VLOOKUP(D25,Parameter!$A$35:$C$64,2,0),"Nein")="2+3",IF(ISNUMBER(SEARCH("grosser Artikel",BJ25)),2,IFERROR(VLOOKUP(BM25,Parameter!$F$35:$G$64,2,0),2)),IF(OR(IFERROR(VLOOKUP(D25,Parameter!$A$35:$C$64,2,0),"Nein")="Nein",IFERROR(VLOOKUP(D25,Parameter!$A$35:$C$64,2,0),"Nein")=""),"-",VLOOKUP(D25,Parameter!$A$35:$C$64,2,0))))</f>
        <v/>
      </c>
      <c r="V25" s="61" t="n"/>
      <c r="W25" s="62" t="n"/>
      <c r="X25" s="55">
        <f>AM25</f>
        <v/>
      </c>
      <c r="Y25" s="55">
        <f>MAX(AM25,G25)</f>
        <v/>
      </c>
      <c r="Z25" s="63" t="n"/>
      <c r="AA25" s="55">
        <f>IF(LEFT(Cockpit!$C$5,1)="A",G25,IF(BT25=1,BU25,IF(LEFT(Cockpit!$C$5,1)="B",AE25,MAX(AE25,G25))))</f>
        <v/>
      </c>
      <c r="AB25" s="55">
        <f>IF(BO25=1,0,ROUNDUP(AA25/BN25,0))</f>
        <v/>
      </c>
      <c r="AC25" s="64">
        <f>IF(BO25=1,IF(AA25&lt;=0,0,BP25*MAX(1,IF(G25&gt;0,AA25/G25,1))),AB25*Q25)</f>
        <v/>
      </c>
      <c r="AD25" s="55">
        <f>AA25*F25</f>
        <v/>
      </c>
      <c r="AE25" s="55">
        <f>ROUNDUP(MAX(I25/IF(BS25&gt;0,BS25,MAX(0.1,N(Cockpit!$C$6))),BV25)/BN25,0)*BN25</f>
        <v/>
      </c>
      <c r="AF25" s="56">
        <f>IF(AC25&gt;0,I25/AC25,-1)</f>
        <v/>
      </c>
      <c r="AG25" s="56">
        <f>IF(AND(OR(BR25="L1",BR25="L23"),AC25&gt;0),SUMIFS($AC$7:$AC$1570,$BR$7:$BR$1570,BR25,$AF$7:$AF$1570,"&gt;"&amp;AF25)+SUMIFS($AC$7:$AC$1570,$BR$7:$BR$1570,BR25,$AF$7:$AF$1570,AF25,$BL$7:$BL$1570,"&lt;="&amp;BL25),"")</f>
        <v/>
      </c>
      <c r="AH25" s="65">
        <f>IF(AG25="",0,MAX(0,MIN(1,(IF(BR25="L1",Parameter!$K$5,Parameter!$K$6+Parameter!$K$7)-(AG25-AC25))/AC25)))</f>
        <v/>
      </c>
      <c r="AI25" s="55">
        <f>IF(LEFT(Cockpit!$I$5,1)="A",G25,IF(BT25=1,BU25,IF(LEFT(Cockpit!$I$5,1)="B",AM25,MAX(AM25,G25))))</f>
        <v/>
      </c>
      <c r="AJ25" s="55">
        <f>IF(BO25=1,0,ROUNDUP(AI25/BN25,0))</f>
        <v/>
      </c>
      <c r="AK25" s="64">
        <f>IF(BO25=1,IF(AI25&lt;=0,0,BP25*MAX(1,IF(G25&gt;0,AI25/G25,1))),AJ25*Q25)</f>
        <v/>
      </c>
      <c r="AL25" s="55">
        <f>AI25*F25</f>
        <v/>
      </c>
      <c r="AM25" s="55">
        <f>ROUNDUP(MAX(I25/IF(BS25&gt;0,BS25,MAX(0.1,N(Cockpit!$I$6))),BV25)/BN25,0)*BN25</f>
        <v/>
      </c>
      <c r="AN25" s="56">
        <f>IF(AK25&gt;0,I25/AK25,-1)</f>
        <v/>
      </c>
      <c r="AO25" s="56">
        <f>IF(AND(OR(BR25="L1",BR25="L23"),AK25&gt;0),SUMIFS($AK$7:$AK$1570,$BR$7:$BR$1570,BR25,$AN$7:$AN$1570,"&gt;"&amp;AN25)+SUMIFS($AK$7:$AK$1570,$BR$7:$BR$1570,BR25,$AN$7:$AN$1570,AN25,$BL$7:$BL$1570,"&lt;="&amp;BL25),"")</f>
        <v/>
      </c>
      <c r="AP25" s="65">
        <f>IF(AO25="",0,MAX(0,MIN(1,(IF(BR25="L1",Parameter!$K$5,Parameter!$K$6+Parameter!$K$7)-(AO25-AK25))/AK25)))</f>
        <v/>
      </c>
      <c r="AQ25" s="55">
        <f>IF(LEFT(Cockpit!$O$5,1)="A",G25,IF(BT25=1,BU25,IF(LEFT(Cockpit!$O$5,1)="B",AU25,MAX(AU25,G25))))</f>
        <v/>
      </c>
      <c r="AR25" s="55">
        <f>IF(BO25=1,0,ROUNDUP(AQ25/BN25,0))</f>
        <v/>
      </c>
      <c r="AS25" s="64">
        <f>IF(BO25=1,IF(AQ25&lt;=0,0,BP25*MAX(1,IF(G25&gt;0,AQ25/G25,1))),AR25*Q25)</f>
        <v/>
      </c>
      <c r="AT25" s="55">
        <f>AQ25*F25</f>
        <v/>
      </c>
      <c r="AU25" s="55">
        <f>ROUNDUP(MAX(I25/IF(BS25&gt;0,BS25,MAX(0.1,N(Cockpit!$O$6))),BV25)/BN25,0)*BN25</f>
        <v/>
      </c>
      <c r="AV25" s="56">
        <f>IF(AS25&gt;0,I25/AS25,-1)</f>
        <v/>
      </c>
      <c r="AW25" s="56">
        <f>IF(AND(OR(BR25="L1",BR25="L23"),AS25&gt;0),SUMIFS($AS$7:$AS$1570,$BR$7:$BR$1570,BR25,$AV$7:$AV$1570,"&gt;"&amp;AV25)+SUMIFS($AS$7:$AS$1570,$BR$7:$BR$1570,BR25,$AV$7:$AV$1570,AV25,$BL$7:$BL$1570,"&lt;="&amp;BL25),"")</f>
        <v/>
      </c>
      <c r="AX25" s="65">
        <f>IF(AW25="",0,MAX(0,MIN(1,(IF(BR25="L1",Parameter!$K$5,Parameter!$K$6+Parameter!$K$7)-(AW25-AS25))/AS25)))</f>
        <v/>
      </c>
      <c r="AY25" s="53">
        <f>IF(AC25&lt;=0,"",IF(BR25="Aussen","Aussenlager",IF(BR25="-","Nicht im Lift",IF(AH25&gt;=1,"Lift",IF(AH25&lt;=0,"Aussenlager","teilweise")))))</f>
        <v/>
      </c>
      <c r="AZ25" s="53">
        <f>IF(AK25&lt;=0,"",IF(BR25="Aussen","Aussenlager",IF(BR25="-","Nicht im Lift",IF(AP25&gt;=1,"Lift",IF(AP25&lt;=0,"Aussenlager","teilweise")))))</f>
        <v/>
      </c>
      <c r="BA25" s="53">
        <f>IF(AS25&lt;=0,"",IF(BR25="Aussen","Aussenlager",IF(BR25="-","Nicht im Lift",IF(AX25&gt;=1,"Lift",IF(AX25&lt;=0,"Aussenlager","teilweise")))))</f>
        <v/>
      </c>
      <c r="BB25" s="53">
        <f>IF(A25="","",IF(BK25=1,"Neu; ","")&amp;IF(AND(BK25=0,BF25&lt;0),"negativer Bestand (Export "&amp;BF25&amp;"); ","")&amp;IF(I25&lt;=0,"Kein Verbrauch; ","")&amp;IF(BO25=1,"Lose – Fläche geschätzt; ","")&amp;IF(G25&gt;AM25,"Überbestand "&amp;ROUND(G25-AM25,0)&amp;" Stk / CHF "&amp;ROUND((G25-AM25)*F25,0)&amp;"; ","")&amp;IF(AND(BT25=1,BU25&lt;BV25),"MAX &lt; MB+LG; ","")&amp;IF(AND(BZ25&gt;0,BY25*10&gt;BZ25),"zu hoch für Tablar; ","")&amp;IF(AND(BK25=0,OR(BT25=1,V25&lt;&gt;"",S25&lt;&gt;"",T25&lt;&gt;"",W25&lt;&gt;"")),"manuell übersteuert; ","")&amp;IF(AND(BO25=0,Q25=0),"Gebinde unbekannt; ","")&amp;IF(AND(BO25=0,N(T25)&lt;=0,N(P25)&lt;=0),"Menge pro Gebinde fehlt (Ist = 1 Gebinde); ","")&amp;BJ25)</f>
        <v/>
      </c>
      <c r="BC25" s="53" t="n"/>
      <c r="BD25" s="53" t="n"/>
      <c r="BE25" s="61" t="n"/>
      <c r="BF25" s="55" t="n">
        <v>5</v>
      </c>
      <c r="BG25" s="55" t="n">
        <v>0</v>
      </c>
      <c r="BH25" s="54" t="n">
        <v>16340.60000000003</v>
      </c>
      <c r="BI25" s="55" t="n">
        <v>24</v>
      </c>
      <c r="BJ25" s="53" t="inlineStr"/>
      <c r="BK25" s="58" t="n">
        <v>0</v>
      </c>
      <c r="BL25" s="58" t="n">
        <v>25</v>
      </c>
      <c r="BM25" s="53">
        <f>IF(S25&lt;&gt;"",UPPER(TRIM(S25)),IF(O25="","LOSE",O25))</f>
        <v/>
      </c>
      <c r="BN25" s="55">
        <f>IF(BM25="LOSE",1,IF(N(T25)&gt;0,T25,IF(N(P25)&gt;0,P25,MAX(1,G25))))</f>
        <v/>
      </c>
      <c r="BO25" s="58">
        <f>IF(BM25="LOSE",1,0)</f>
        <v/>
      </c>
      <c r="BP25" s="64">
        <f>IF(BO25=0,0,IF(N(R25)&gt;0,R25,IFERROR(VLOOKUP(D25,Parameter!$A$35:$C$64,3,0)+0,0)))</f>
        <v/>
      </c>
      <c r="BQ25" s="53">
        <f>IF(V25&lt;&gt;"",V25,U25)</f>
        <v/>
      </c>
      <c r="BR25" s="53">
        <f>IF(BQ25=1,"L1",IF(OR(BQ25=2,BQ25=3),"L23",IF(BQ25="Aussen","Aussen","-")))</f>
        <v/>
      </c>
      <c r="BS25" s="66">
        <f>IF(N(W25)&gt;0,W25,0)</f>
        <v/>
      </c>
      <c r="BT25" s="58">
        <f>IF(ISNUMBER(Z25),1,0)</f>
        <v/>
      </c>
      <c r="BU25" s="55">
        <f>N(Z25)</f>
        <v/>
      </c>
      <c r="BV25" s="55">
        <f>N(L25)+N(M25)</f>
        <v/>
      </c>
      <c r="BW25" s="55">
        <f>ROUNDUP(G25/BN25,0)</f>
        <v/>
      </c>
      <c r="BX25" s="55">
        <f>ROUNDUP(BU25/BN25,0)</f>
        <v/>
      </c>
      <c r="BY25" s="58">
        <f>IF(BO25=1,0,IFERROR(VLOOKUP(BM25,'Gebinde-Kategorie'!$A$5:$G$45,5,0)+0,0))</f>
        <v/>
      </c>
      <c r="BZ25" s="58">
        <f>IFERROR(IF(OR(BQ25=1,BQ25=2,BQ25=3),N(INDEX(Parameter!$I$5:$I$7,BQ25)),0),0)</f>
        <v/>
      </c>
    </row>
    <row r="26">
      <c r="A26" s="53" t="inlineStr">
        <is>
          <t>108126</t>
        </is>
      </c>
      <c r="B26" s="53" t="inlineStr">
        <is>
          <t>Hochtemperatur-Hydraulikschlauch</t>
        </is>
      </c>
      <c r="C26" s="53" t="inlineStr">
        <is>
          <t>F</t>
        </is>
      </c>
      <c r="D26" s="53" t="inlineStr">
        <is>
          <t>PAL</t>
        </is>
      </c>
      <c r="E26" s="53" t="inlineStr">
        <is>
          <t>C</t>
        </is>
      </c>
      <c r="F26" s="54" t="n">
        <v>120.44</v>
      </c>
      <c r="G26" s="55">
        <f>MAX(0,IF(Parameter!$B$20="Jahresanfang 2025 + Export",BG26+BF26,BF26))</f>
        <v/>
      </c>
      <c r="H26" s="55">
        <f>G26*F26</f>
        <v/>
      </c>
      <c r="I26" s="55">
        <f>BI26*Parameter!$B$18</f>
        <v/>
      </c>
      <c r="J26" s="56" t="n">
        <v>32.5</v>
      </c>
      <c r="K26" s="57" t="n">
        <v>1.907692307692308</v>
      </c>
      <c r="L26" s="55" t="n">
        <v>4</v>
      </c>
      <c r="M26" s="55" t="n">
        <v>35</v>
      </c>
      <c r="N26" s="58" t="n">
        <v>21</v>
      </c>
      <c r="O26" s="53" t="inlineStr">
        <is>
          <t>S81</t>
        </is>
      </c>
      <c r="P26" s="55" t="n">
        <v>31</v>
      </c>
      <c r="Q26" s="59">
        <f>IF(BO26=1,0,IFERROR(VLOOKUP(BM26,'Gebinde-Kategorie'!$A$5:$G$45,6,0)+0,0))</f>
        <v/>
      </c>
      <c r="R26" s="60" t="n"/>
      <c r="S26" s="61" t="n"/>
      <c r="T26" s="61" t="n"/>
      <c r="U26" s="53">
        <f>IF(A26="","",IF(IFERROR(VLOOKUP(D26,Parameter!$A$35:$C$64,2,0),"Nein")="2+3",IF(ISNUMBER(SEARCH("grosser Artikel",BJ26)),2,IFERROR(VLOOKUP(BM26,Parameter!$F$35:$G$64,2,0),2)),IF(OR(IFERROR(VLOOKUP(D26,Parameter!$A$35:$C$64,2,0),"Nein")="Nein",IFERROR(VLOOKUP(D26,Parameter!$A$35:$C$64,2,0),"Nein")=""),"-",VLOOKUP(D26,Parameter!$A$35:$C$64,2,0))))</f>
        <v/>
      </c>
      <c r="V26" s="61" t="n"/>
      <c r="W26" s="62" t="n"/>
      <c r="X26" s="55">
        <f>AM26</f>
        <v/>
      </c>
      <c r="Y26" s="55">
        <f>MAX(AM26,G26)</f>
        <v/>
      </c>
      <c r="Z26" s="63" t="n"/>
      <c r="AA26" s="55">
        <f>IF(LEFT(Cockpit!$C$5,1)="A",G26,IF(BT26=1,BU26,IF(LEFT(Cockpit!$C$5,1)="B",AE26,MAX(AE26,G26))))</f>
        <v/>
      </c>
      <c r="AB26" s="55">
        <f>IF(BO26=1,0,ROUNDUP(AA26/BN26,0))</f>
        <v/>
      </c>
      <c r="AC26" s="64">
        <f>IF(BO26=1,IF(AA26&lt;=0,0,BP26*MAX(1,IF(G26&gt;0,AA26/G26,1))),AB26*Q26)</f>
        <v/>
      </c>
      <c r="AD26" s="55">
        <f>AA26*F26</f>
        <v/>
      </c>
      <c r="AE26" s="55">
        <f>ROUNDUP(MAX(I26/IF(BS26&gt;0,BS26,MAX(0.1,N(Cockpit!$C$6))),BV26)/BN26,0)*BN26</f>
        <v/>
      </c>
      <c r="AF26" s="56">
        <f>IF(AC26&gt;0,I26/AC26,-1)</f>
        <v/>
      </c>
      <c r="AG26" s="56">
        <f>IF(AND(OR(BR26="L1",BR26="L23"),AC26&gt;0),SUMIFS($AC$7:$AC$1570,$BR$7:$BR$1570,BR26,$AF$7:$AF$1570,"&gt;"&amp;AF26)+SUMIFS($AC$7:$AC$1570,$BR$7:$BR$1570,BR26,$AF$7:$AF$1570,AF26,$BL$7:$BL$1570,"&lt;="&amp;BL26),"")</f>
        <v/>
      </c>
      <c r="AH26" s="65">
        <f>IF(AG26="",0,MAX(0,MIN(1,(IF(BR26="L1",Parameter!$K$5,Parameter!$K$6+Parameter!$K$7)-(AG26-AC26))/AC26)))</f>
        <v/>
      </c>
      <c r="AI26" s="55">
        <f>IF(LEFT(Cockpit!$I$5,1)="A",G26,IF(BT26=1,BU26,IF(LEFT(Cockpit!$I$5,1)="B",AM26,MAX(AM26,G26))))</f>
        <v/>
      </c>
      <c r="AJ26" s="55">
        <f>IF(BO26=1,0,ROUNDUP(AI26/BN26,0))</f>
        <v/>
      </c>
      <c r="AK26" s="64">
        <f>IF(BO26=1,IF(AI26&lt;=0,0,BP26*MAX(1,IF(G26&gt;0,AI26/G26,1))),AJ26*Q26)</f>
        <v/>
      </c>
      <c r="AL26" s="55">
        <f>AI26*F26</f>
        <v/>
      </c>
      <c r="AM26" s="55">
        <f>ROUNDUP(MAX(I26/IF(BS26&gt;0,BS26,MAX(0.1,N(Cockpit!$I$6))),BV26)/BN26,0)*BN26</f>
        <v/>
      </c>
      <c r="AN26" s="56">
        <f>IF(AK26&gt;0,I26/AK26,-1)</f>
        <v/>
      </c>
      <c r="AO26" s="56">
        <f>IF(AND(OR(BR26="L1",BR26="L23"),AK26&gt;0),SUMIFS($AK$7:$AK$1570,$BR$7:$BR$1570,BR26,$AN$7:$AN$1570,"&gt;"&amp;AN26)+SUMIFS($AK$7:$AK$1570,$BR$7:$BR$1570,BR26,$AN$7:$AN$1570,AN26,$BL$7:$BL$1570,"&lt;="&amp;BL26),"")</f>
        <v/>
      </c>
      <c r="AP26" s="65">
        <f>IF(AO26="",0,MAX(0,MIN(1,(IF(BR26="L1",Parameter!$K$5,Parameter!$K$6+Parameter!$K$7)-(AO26-AK26))/AK26)))</f>
        <v/>
      </c>
      <c r="AQ26" s="55">
        <f>IF(LEFT(Cockpit!$O$5,1)="A",G26,IF(BT26=1,BU26,IF(LEFT(Cockpit!$O$5,1)="B",AU26,MAX(AU26,G26))))</f>
        <v/>
      </c>
      <c r="AR26" s="55">
        <f>IF(BO26=1,0,ROUNDUP(AQ26/BN26,0))</f>
        <v/>
      </c>
      <c r="AS26" s="64">
        <f>IF(BO26=1,IF(AQ26&lt;=0,0,BP26*MAX(1,IF(G26&gt;0,AQ26/G26,1))),AR26*Q26)</f>
        <v/>
      </c>
      <c r="AT26" s="55">
        <f>AQ26*F26</f>
        <v/>
      </c>
      <c r="AU26" s="55">
        <f>ROUNDUP(MAX(I26/IF(BS26&gt;0,BS26,MAX(0.1,N(Cockpit!$O$6))),BV26)/BN26,0)*BN26</f>
        <v/>
      </c>
      <c r="AV26" s="56">
        <f>IF(AS26&gt;0,I26/AS26,-1)</f>
        <v/>
      </c>
      <c r="AW26" s="56">
        <f>IF(AND(OR(BR26="L1",BR26="L23"),AS26&gt;0),SUMIFS($AS$7:$AS$1570,$BR$7:$BR$1570,BR26,$AV$7:$AV$1570,"&gt;"&amp;AV26)+SUMIFS($AS$7:$AS$1570,$BR$7:$BR$1570,BR26,$AV$7:$AV$1570,AV26,$BL$7:$BL$1570,"&lt;="&amp;BL26),"")</f>
        <v/>
      </c>
      <c r="AX26" s="65">
        <f>IF(AW26="",0,MAX(0,MIN(1,(IF(BR26="L1",Parameter!$K$5,Parameter!$K$6+Parameter!$K$7)-(AW26-AS26))/AS26)))</f>
        <v/>
      </c>
      <c r="AY26" s="53">
        <f>IF(AC26&lt;=0,"",IF(BR26="Aussen","Aussenlager",IF(BR26="-","Nicht im Lift",IF(AH26&gt;=1,"Lift",IF(AH26&lt;=0,"Aussenlager","teilweise")))))</f>
        <v/>
      </c>
      <c r="AZ26" s="53">
        <f>IF(AK26&lt;=0,"",IF(BR26="Aussen","Aussenlager",IF(BR26="-","Nicht im Lift",IF(AP26&gt;=1,"Lift",IF(AP26&lt;=0,"Aussenlager","teilweise")))))</f>
        <v/>
      </c>
      <c r="BA26" s="53">
        <f>IF(AS26&lt;=0,"",IF(BR26="Aussen","Aussenlager",IF(BR26="-","Nicht im Lift",IF(AX26&gt;=1,"Lift",IF(AX26&lt;=0,"Aussenlager","teilweise")))))</f>
        <v/>
      </c>
      <c r="BB26" s="53">
        <f>IF(A26="","",IF(BK26=1,"Neu; ","")&amp;IF(AND(BK26=0,BF26&lt;0),"negativer Bestand (Export "&amp;BF26&amp;"); ","")&amp;IF(I26&lt;=0,"Kein Verbrauch; ","")&amp;IF(BO26=1,"Lose – Fläche geschätzt; ","")&amp;IF(G26&gt;AM26,"Überbestand "&amp;ROUND(G26-AM26,0)&amp;" Stk / CHF "&amp;ROUND((G26-AM26)*F26,0)&amp;"; ","")&amp;IF(AND(BT26=1,BU26&lt;BV26),"MAX &lt; MB+LG; ","")&amp;IF(AND(BZ26&gt;0,BY26*10&gt;BZ26),"zu hoch für Tablar; ","")&amp;IF(AND(BK26=0,OR(BT26=1,V26&lt;&gt;"",S26&lt;&gt;"",T26&lt;&gt;"",W26&lt;&gt;"")),"manuell übersteuert; ","")&amp;IF(AND(BO26=0,Q26=0),"Gebinde unbekannt; ","")&amp;IF(AND(BO26=0,N(T26)&lt;=0,N(P26)&lt;=0),"Menge pro Gebinde fehlt (Ist = 1 Gebinde); ","")&amp;BJ26)</f>
        <v/>
      </c>
      <c r="BC26" s="53" t="inlineStr">
        <is>
          <t>?</t>
        </is>
      </c>
      <c r="BD26" s="53" t="n"/>
      <c r="BE26" s="61" t="n"/>
      <c r="BF26" s="55" t="n">
        <v>137</v>
      </c>
      <c r="BG26" s="55" t="n">
        <v>30</v>
      </c>
      <c r="BH26" s="54" t="n">
        <v>15460.05999999999</v>
      </c>
      <c r="BI26" s="55" t="n">
        <v>62</v>
      </c>
      <c r="BJ26" s="53" t="inlineStr"/>
      <c r="BK26" s="58" t="n">
        <v>0</v>
      </c>
      <c r="BL26" s="58" t="n">
        <v>26</v>
      </c>
      <c r="BM26" s="53">
        <f>IF(S26&lt;&gt;"",UPPER(TRIM(S26)),IF(O26="","LOSE",O26))</f>
        <v/>
      </c>
      <c r="BN26" s="55">
        <f>IF(BM26="LOSE",1,IF(N(T26)&gt;0,T26,IF(N(P26)&gt;0,P26,MAX(1,G26))))</f>
        <v/>
      </c>
      <c r="BO26" s="58">
        <f>IF(BM26="LOSE",1,0)</f>
        <v/>
      </c>
      <c r="BP26" s="64">
        <f>IF(BO26=0,0,IF(N(R26)&gt;0,R26,IFERROR(VLOOKUP(D26,Parameter!$A$35:$C$64,3,0)+0,0)))</f>
        <v/>
      </c>
      <c r="BQ26" s="53">
        <f>IF(V26&lt;&gt;"",V26,U26)</f>
        <v/>
      </c>
      <c r="BR26" s="53">
        <f>IF(BQ26=1,"L1",IF(OR(BQ26=2,BQ26=3),"L23",IF(BQ26="Aussen","Aussen","-")))</f>
        <v/>
      </c>
      <c r="BS26" s="66">
        <f>IF(N(W26)&gt;0,W26,0)</f>
        <v/>
      </c>
      <c r="BT26" s="58">
        <f>IF(ISNUMBER(Z26),1,0)</f>
        <v/>
      </c>
      <c r="BU26" s="55">
        <f>N(Z26)</f>
        <v/>
      </c>
      <c r="BV26" s="55">
        <f>N(L26)+N(M26)</f>
        <v/>
      </c>
      <c r="BW26" s="55">
        <f>ROUNDUP(G26/BN26,0)</f>
        <v/>
      </c>
      <c r="BX26" s="55">
        <f>ROUNDUP(BU26/BN26,0)</f>
        <v/>
      </c>
      <c r="BY26" s="58">
        <f>IF(BO26=1,0,IFERROR(VLOOKUP(BM26,'Gebinde-Kategorie'!$A$5:$G$45,5,0)+0,0))</f>
        <v/>
      </c>
      <c r="BZ26" s="58">
        <f>IFERROR(IF(OR(BQ26=1,BQ26=2,BQ26=3),N(INDEX(Parameter!$I$5:$I$7,BQ26)),0),0)</f>
        <v/>
      </c>
    </row>
    <row r="27">
      <c r="A27" s="53" t="inlineStr">
        <is>
          <t>105838</t>
        </is>
      </c>
      <c r="B27" s="53" t="inlineStr">
        <is>
          <t>Dämpfer</t>
        </is>
      </c>
      <c r="C27" s="53" t="inlineStr">
        <is>
          <t>F</t>
        </is>
      </c>
      <c r="D27" s="53" t="inlineStr">
        <is>
          <t>KTL</t>
        </is>
      </c>
      <c r="E27" s="53" t="inlineStr">
        <is>
          <t>C</t>
        </is>
      </c>
      <c r="F27" s="54" t="n">
        <v>177.9</v>
      </c>
      <c r="G27" s="55">
        <f>MAX(0,IF(Parameter!$B$20="Jahresanfang 2025 + Export",BG27+BF27,BF27))</f>
        <v/>
      </c>
      <c r="H27" s="55">
        <f>G27*F27</f>
        <v/>
      </c>
      <c r="I27" s="55">
        <f>BI27*Parameter!$B$18</f>
        <v/>
      </c>
      <c r="J27" s="56" t="n">
        <v>80.5</v>
      </c>
      <c r="K27" s="57" t="n">
        <v>4.981366459627329</v>
      </c>
      <c r="L27" s="55" t="n">
        <v>23</v>
      </c>
      <c r="M27" s="55" t="n">
        <v>100</v>
      </c>
      <c r="N27" s="58" t="n">
        <v>21</v>
      </c>
      <c r="O27" s="53" t="inlineStr">
        <is>
          <t>S63</t>
        </is>
      </c>
      <c r="P27" s="55" t="n">
        <v>204</v>
      </c>
      <c r="Q27" s="59">
        <f>IF(BO27=1,0,IFERROR(VLOOKUP(BM27,'Gebinde-Kategorie'!$A$5:$G$45,6,0)+0,0))</f>
        <v/>
      </c>
      <c r="R27" s="60" t="n"/>
      <c r="S27" s="61" t="n"/>
      <c r="T27" s="61" t="n"/>
      <c r="U27" s="53">
        <f>IF(A27="","",IF(IFERROR(VLOOKUP(D27,Parameter!$A$35:$C$64,2,0),"Nein")="2+3",IF(ISNUMBER(SEARCH("grosser Artikel",BJ27)),2,IFERROR(VLOOKUP(BM27,Parameter!$F$35:$G$64,2,0),2)),IF(OR(IFERROR(VLOOKUP(D27,Parameter!$A$35:$C$64,2,0),"Nein")="Nein",IFERROR(VLOOKUP(D27,Parameter!$A$35:$C$64,2,0),"Nein")=""),"-",VLOOKUP(D27,Parameter!$A$35:$C$64,2,0))))</f>
        <v/>
      </c>
      <c r="V27" s="61" t="n"/>
      <c r="W27" s="62" t="n"/>
      <c r="X27" s="55">
        <f>AM27</f>
        <v/>
      </c>
      <c r="Y27" s="55">
        <f>MAX(AM27,G27)</f>
        <v/>
      </c>
      <c r="Z27" s="63" t="n"/>
      <c r="AA27" s="55">
        <f>IF(LEFT(Cockpit!$C$5,1)="A",G27,IF(BT27=1,BU27,IF(LEFT(Cockpit!$C$5,1)="B",AE27,MAX(AE27,G27))))</f>
        <v/>
      </c>
      <c r="AB27" s="55">
        <f>IF(BO27=1,0,ROUNDUP(AA27/BN27,0))</f>
        <v/>
      </c>
      <c r="AC27" s="64">
        <f>IF(BO27=1,IF(AA27&lt;=0,0,BP27*MAX(1,IF(G27&gt;0,AA27/G27,1))),AB27*Q27)</f>
        <v/>
      </c>
      <c r="AD27" s="55">
        <f>AA27*F27</f>
        <v/>
      </c>
      <c r="AE27" s="55">
        <f>ROUNDUP(MAX(I27/IF(BS27&gt;0,BS27,MAX(0.1,N(Cockpit!$C$6))),BV27)/BN27,0)*BN27</f>
        <v/>
      </c>
      <c r="AF27" s="56">
        <f>IF(AC27&gt;0,I27/AC27,-1)</f>
        <v/>
      </c>
      <c r="AG27" s="56">
        <f>IF(AND(OR(BR27="L1",BR27="L23"),AC27&gt;0),SUMIFS($AC$7:$AC$1570,$BR$7:$BR$1570,BR27,$AF$7:$AF$1570,"&gt;"&amp;AF27)+SUMIFS($AC$7:$AC$1570,$BR$7:$BR$1570,BR27,$AF$7:$AF$1570,AF27,$BL$7:$BL$1570,"&lt;="&amp;BL27),"")</f>
        <v/>
      </c>
      <c r="AH27" s="65">
        <f>IF(AG27="",0,MAX(0,MIN(1,(IF(BR27="L1",Parameter!$K$5,Parameter!$K$6+Parameter!$K$7)-(AG27-AC27))/AC27)))</f>
        <v/>
      </c>
      <c r="AI27" s="55">
        <f>IF(LEFT(Cockpit!$I$5,1)="A",G27,IF(BT27=1,BU27,IF(LEFT(Cockpit!$I$5,1)="B",AM27,MAX(AM27,G27))))</f>
        <v/>
      </c>
      <c r="AJ27" s="55">
        <f>IF(BO27=1,0,ROUNDUP(AI27/BN27,0))</f>
        <v/>
      </c>
      <c r="AK27" s="64">
        <f>IF(BO27=1,IF(AI27&lt;=0,0,BP27*MAX(1,IF(G27&gt;0,AI27/G27,1))),AJ27*Q27)</f>
        <v/>
      </c>
      <c r="AL27" s="55">
        <f>AI27*F27</f>
        <v/>
      </c>
      <c r="AM27" s="55">
        <f>ROUNDUP(MAX(I27/IF(BS27&gt;0,BS27,MAX(0.1,N(Cockpit!$I$6))),BV27)/BN27,0)*BN27</f>
        <v/>
      </c>
      <c r="AN27" s="56">
        <f>IF(AK27&gt;0,I27/AK27,-1)</f>
        <v/>
      </c>
      <c r="AO27" s="56">
        <f>IF(AND(OR(BR27="L1",BR27="L23"),AK27&gt;0),SUMIFS($AK$7:$AK$1570,$BR$7:$BR$1570,BR27,$AN$7:$AN$1570,"&gt;"&amp;AN27)+SUMIFS($AK$7:$AK$1570,$BR$7:$BR$1570,BR27,$AN$7:$AN$1570,AN27,$BL$7:$BL$1570,"&lt;="&amp;BL27),"")</f>
        <v/>
      </c>
      <c r="AP27" s="65">
        <f>IF(AO27="",0,MAX(0,MIN(1,(IF(BR27="L1",Parameter!$K$5,Parameter!$K$6+Parameter!$K$7)-(AO27-AK27))/AK27)))</f>
        <v/>
      </c>
      <c r="AQ27" s="55">
        <f>IF(LEFT(Cockpit!$O$5,1)="A",G27,IF(BT27=1,BU27,IF(LEFT(Cockpit!$O$5,1)="B",AU27,MAX(AU27,G27))))</f>
        <v/>
      </c>
      <c r="AR27" s="55">
        <f>IF(BO27=1,0,ROUNDUP(AQ27/BN27,0))</f>
        <v/>
      </c>
      <c r="AS27" s="64">
        <f>IF(BO27=1,IF(AQ27&lt;=0,0,BP27*MAX(1,IF(G27&gt;0,AQ27/G27,1))),AR27*Q27)</f>
        <v/>
      </c>
      <c r="AT27" s="55">
        <f>AQ27*F27</f>
        <v/>
      </c>
      <c r="AU27" s="55">
        <f>ROUNDUP(MAX(I27/IF(BS27&gt;0,BS27,MAX(0.1,N(Cockpit!$O$6))),BV27)/BN27,0)*BN27</f>
        <v/>
      </c>
      <c r="AV27" s="56">
        <f>IF(AS27&gt;0,I27/AS27,-1)</f>
        <v/>
      </c>
      <c r="AW27" s="56">
        <f>IF(AND(OR(BR27="L1",BR27="L23"),AS27&gt;0),SUMIFS($AS$7:$AS$1570,$BR$7:$BR$1570,BR27,$AV$7:$AV$1570,"&gt;"&amp;AV27)+SUMIFS($AS$7:$AS$1570,$BR$7:$BR$1570,BR27,$AV$7:$AV$1570,AV27,$BL$7:$BL$1570,"&lt;="&amp;BL27),"")</f>
        <v/>
      </c>
      <c r="AX27" s="65">
        <f>IF(AW27="",0,MAX(0,MIN(1,(IF(BR27="L1",Parameter!$K$5,Parameter!$K$6+Parameter!$K$7)-(AW27-AS27))/AS27)))</f>
        <v/>
      </c>
      <c r="AY27" s="53">
        <f>IF(AC27&lt;=0,"",IF(BR27="Aussen","Aussenlager",IF(BR27="-","Nicht im Lift",IF(AH27&gt;=1,"Lift",IF(AH27&lt;=0,"Aussenlager","teilweise")))))</f>
        <v/>
      </c>
      <c r="AZ27" s="53">
        <f>IF(AK27&lt;=0,"",IF(BR27="Aussen","Aussenlager",IF(BR27="-","Nicht im Lift",IF(AP27&gt;=1,"Lift",IF(AP27&lt;=0,"Aussenlager","teilweise")))))</f>
        <v/>
      </c>
      <c r="BA27" s="53">
        <f>IF(AS27&lt;=0,"",IF(BR27="Aussen","Aussenlager",IF(BR27="-","Nicht im Lift",IF(AX27&gt;=1,"Lift",IF(AX27&lt;=0,"Aussenlager","teilweise")))))</f>
        <v/>
      </c>
      <c r="BB27" s="53">
        <f>IF(A27="","",IF(BK27=1,"Neu; ","")&amp;IF(AND(BK27=0,BF27&lt;0),"negativer Bestand (Export "&amp;BF27&amp;"); ","")&amp;IF(I27&lt;=0,"Kein Verbrauch; ","")&amp;IF(BO27=1,"Lose – Fläche geschätzt; ","")&amp;IF(G27&gt;AM27,"Überbestand "&amp;ROUND(G27-AM27,0)&amp;" Stk / CHF "&amp;ROUND((G27-AM27)*F27,0)&amp;"; ","")&amp;IF(AND(BT27=1,BU27&lt;BV27),"MAX &lt; MB+LG; ","")&amp;IF(AND(BZ27&gt;0,BY27*10&gt;BZ27),"zu hoch für Tablar; ","")&amp;IF(AND(BK27=0,OR(BT27=1,V27&lt;&gt;"",S27&lt;&gt;"",T27&lt;&gt;"",W27&lt;&gt;"")),"manuell übersteuert; ","")&amp;IF(AND(BO27=0,Q27=0),"Gebinde unbekannt; ","")&amp;IF(AND(BO27=0,N(T27)&lt;=0,N(P27)&lt;=0),"Menge pro Gebinde fehlt (Ist = 1 Gebinde); ","")&amp;BJ27)</f>
        <v/>
      </c>
      <c r="BC27" s="53" t="inlineStr">
        <is>
          <t>Angebote wurden spät neu terminiert, dadurch ergab sich ein Verbrauch innerhalb der WBZ - daher wurden weitere bestellt</t>
        </is>
      </c>
      <c r="BD27" s="53" t="n"/>
      <c r="BE27" s="61" t="n"/>
      <c r="BF27" s="55" t="n">
        <v>84</v>
      </c>
      <c r="BG27" s="55" t="n">
        <v>31</v>
      </c>
      <c r="BH27" s="54" t="n">
        <v>14939.18000000001</v>
      </c>
      <c r="BI27" s="55" t="n">
        <v>401</v>
      </c>
      <c r="BJ27" s="53" t="inlineStr"/>
      <c r="BK27" s="58" t="n">
        <v>0</v>
      </c>
      <c r="BL27" s="58" t="n">
        <v>27</v>
      </c>
      <c r="BM27" s="53">
        <f>IF(S27&lt;&gt;"",UPPER(TRIM(S27)),IF(O27="","LOSE",O27))</f>
        <v/>
      </c>
      <c r="BN27" s="55">
        <f>IF(BM27="LOSE",1,IF(N(T27)&gt;0,T27,IF(N(P27)&gt;0,P27,MAX(1,G27))))</f>
        <v/>
      </c>
      <c r="BO27" s="58">
        <f>IF(BM27="LOSE",1,0)</f>
        <v/>
      </c>
      <c r="BP27" s="64">
        <f>IF(BO27=0,0,IF(N(R27)&gt;0,R27,IFERROR(VLOOKUP(D27,Parameter!$A$35:$C$64,3,0)+0,0)))</f>
        <v/>
      </c>
      <c r="BQ27" s="53">
        <f>IF(V27&lt;&gt;"",V27,U27)</f>
        <v/>
      </c>
      <c r="BR27" s="53">
        <f>IF(BQ27=1,"L1",IF(OR(BQ27=2,BQ27=3),"L23",IF(BQ27="Aussen","Aussen","-")))</f>
        <v/>
      </c>
      <c r="BS27" s="66">
        <f>IF(N(W27)&gt;0,W27,0)</f>
        <v/>
      </c>
      <c r="BT27" s="58">
        <f>IF(ISNUMBER(Z27),1,0)</f>
        <v/>
      </c>
      <c r="BU27" s="55">
        <f>N(Z27)</f>
        <v/>
      </c>
      <c r="BV27" s="55">
        <f>N(L27)+N(M27)</f>
        <v/>
      </c>
      <c r="BW27" s="55">
        <f>ROUNDUP(G27/BN27,0)</f>
        <v/>
      </c>
      <c r="BX27" s="55">
        <f>ROUNDUP(BU27/BN27,0)</f>
        <v/>
      </c>
      <c r="BY27" s="58">
        <f>IF(BO27=1,0,IFERROR(VLOOKUP(BM27,'Gebinde-Kategorie'!$A$5:$G$45,5,0)+0,0))</f>
        <v/>
      </c>
      <c r="BZ27" s="58">
        <f>IFERROR(IF(OR(BQ27=1,BQ27=2,BQ27=3),N(INDEX(Parameter!$I$5:$I$7,BQ27)),0),0)</f>
        <v/>
      </c>
    </row>
    <row r="28">
      <c r="A28" s="53" t="inlineStr">
        <is>
          <t>106821</t>
        </is>
      </c>
      <c r="B28" s="53" t="inlineStr">
        <is>
          <t>Transfer Gehäuse SPGr komplett</t>
        </is>
      </c>
      <c r="C28" s="53" t="inlineStr">
        <is>
          <t>F</t>
        </is>
      </c>
      <c r="D28" s="53" t="inlineStr">
        <is>
          <t>PAL</t>
        </is>
      </c>
      <c r="E28" s="53" t="inlineStr">
        <is>
          <t>C</t>
        </is>
      </c>
      <c r="F28" s="54" t="n">
        <v>400.55</v>
      </c>
      <c r="G28" s="55">
        <f>MAX(0,IF(Parameter!$B$20="Jahresanfang 2025 + Export",BG28+BF28,BF28))</f>
        <v/>
      </c>
      <c r="H28" s="55">
        <f>G28*F28</f>
        <v/>
      </c>
      <c r="I28" s="55">
        <f>BI28*Parameter!$B$18</f>
        <v/>
      </c>
      <c r="J28" s="56" t="n">
        <v>24.5</v>
      </c>
      <c r="K28" s="57" t="n">
        <v>11.26530612244898</v>
      </c>
      <c r="L28" s="55" t="n">
        <v>21</v>
      </c>
      <c r="M28" s="55" t="n">
        <v>35</v>
      </c>
      <c r="N28" s="58" t="n">
        <v>28</v>
      </c>
      <c r="O28" s="53" t="inlineStr">
        <is>
          <t>LOSE</t>
        </is>
      </c>
      <c r="P28" s="55" t="n"/>
      <c r="Q28" s="59">
        <f>IF(BO28=1,0,IFERROR(VLOOKUP(BM28,'Gebinde-Kategorie'!$A$5:$G$45,6,0)+0,0))</f>
        <v/>
      </c>
      <c r="R28" s="60" t="n"/>
      <c r="S28" s="61" t="n"/>
      <c r="T28" s="61" t="n"/>
      <c r="U28" s="53">
        <f>IF(A28="","",IF(IFERROR(VLOOKUP(D28,Parameter!$A$35:$C$64,2,0),"Nein")="2+3",IF(ISNUMBER(SEARCH("grosser Artikel",BJ28)),2,IFERROR(VLOOKUP(BM28,Parameter!$F$35:$G$64,2,0),2)),IF(OR(IFERROR(VLOOKUP(D28,Parameter!$A$35:$C$64,2,0),"Nein")="Nein",IFERROR(VLOOKUP(D28,Parameter!$A$35:$C$64,2,0),"Nein")=""),"-",VLOOKUP(D28,Parameter!$A$35:$C$64,2,0))))</f>
        <v/>
      </c>
      <c r="V28" s="61" t="n"/>
      <c r="W28" s="62" t="n"/>
      <c r="X28" s="55">
        <f>AM28</f>
        <v/>
      </c>
      <c r="Y28" s="55">
        <f>MAX(AM28,G28)</f>
        <v/>
      </c>
      <c r="Z28" s="63" t="n"/>
      <c r="AA28" s="55">
        <f>IF(LEFT(Cockpit!$C$5,1)="A",G28,IF(BT28=1,BU28,IF(LEFT(Cockpit!$C$5,1)="B",AE28,MAX(AE28,G28))))</f>
        <v/>
      </c>
      <c r="AB28" s="55">
        <f>IF(BO28=1,0,ROUNDUP(AA28/BN28,0))</f>
        <v/>
      </c>
      <c r="AC28" s="64">
        <f>IF(BO28=1,IF(AA28&lt;=0,0,BP28*MAX(1,IF(G28&gt;0,AA28/G28,1))),AB28*Q28)</f>
        <v/>
      </c>
      <c r="AD28" s="55">
        <f>AA28*F28</f>
        <v/>
      </c>
      <c r="AE28" s="55">
        <f>ROUNDUP(MAX(I28/IF(BS28&gt;0,BS28,MAX(0.1,N(Cockpit!$C$6))),BV28)/BN28,0)*BN28</f>
        <v/>
      </c>
      <c r="AF28" s="56">
        <f>IF(AC28&gt;0,I28/AC28,-1)</f>
        <v/>
      </c>
      <c r="AG28" s="56">
        <f>IF(AND(OR(BR28="L1",BR28="L23"),AC28&gt;0),SUMIFS($AC$7:$AC$1570,$BR$7:$BR$1570,BR28,$AF$7:$AF$1570,"&gt;"&amp;AF28)+SUMIFS($AC$7:$AC$1570,$BR$7:$BR$1570,BR28,$AF$7:$AF$1570,AF28,$BL$7:$BL$1570,"&lt;="&amp;BL28),"")</f>
        <v/>
      </c>
      <c r="AH28" s="65">
        <f>IF(AG28="",0,MAX(0,MIN(1,(IF(BR28="L1",Parameter!$K$5,Parameter!$K$6+Parameter!$K$7)-(AG28-AC28))/AC28)))</f>
        <v/>
      </c>
      <c r="AI28" s="55">
        <f>IF(LEFT(Cockpit!$I$5,1)="A",G28,IF(BT28=1,BU28,IF(LEFT(Cockpit!$I$5,1)="B",AM28,MAX(AM28,G28))))</f>
        <v/>
      </c>
      <c r="AJ28" s="55">
        <f>IF(BO28=1,0,ROUNDUP(AI28/BN28,0))</f>
        <v/>
      </c>
      <c r="AK28" s="64">
        <f>IF(BO28=1,IF(AI28&lt;=0,0,BP28*MAX(1,IF(G28&gt;0,AI28/G28,1))),AJ28*Q28)</f>
        <v/>
      </c>
      <c r="AL28" s="55">
        <f>AI28*F28</f>
        <v/>
      </c>
      <c r="AM28" s="55">
        <f>ROUNDUP(MAX(I28/IF(BS28&gt;0,BS28,MAX(0.1,N(Cockpit!$I$6))),BV28)/BN28,0)*BN28</f>
        <v/>
      </c>
      <c r="AN28" s="56">
        <f>IF(AK28&gt;0,I28/AK28,-1)</f>
        <v/>
      </c>
      <c r="AO28" s="56">
        <f>IF(AND(OR(BR28="L1",BR28="L23"),AK28&gt;0),SUMIFS($AK$7:$AK$1570,$BR$7:$BR$1570,BR28,$AN$7:$AN$1570,"&gt;"&amp;AN28)+SUMIFS($AK$7:$AK$1570,$BR$7:$BR$1570,BR28,$AN$7:$AN$1570,AN28,$BL$7:$BL$1570,"&lt;="&amp;BL28),"")</f>
        <v/>
      </c>
      <c r="AP28" s="65">
        <f>IF(AO28="",0,MAX(0,MIN(1,(IF(BR28="L1",Parameter!$K$5,Parameter!$K$6+Parameter!$K$7)-(AO28-AK28))/AK28)))</f>
        <v/>
      </c>
      <c r="AQ28" s="55">
        <f>IF(LEFT(Cockpit!$O$5,1)="A",G28,IF(BT28=1,BU28,IF(LEFT(Cockpit!$O$5,1)="B",AU28,MAX(AU28,G28))))</f>
        <v/>
      </c>
      <c r="AR28" s="55">
        <f>IF(BO28=1,0,ROUNDUP(AQ28/BN28,0))</f>
        <v/>
      </c>
      <c r="AS28" s="64">
        <f>IF(BO28=1,IF(AQ28&lt;=0,0,BP28*MAX(1,IF(G28&gt;0,AQ28/G28,1))),AR28*Q28)</f>
        <v/>
      </c>
      <c r="AT28" s="55">
        <f>AQ28*F28</f>
        <v/>
      </c>
      <c r="AU28" s="55">
        <f>ROUNDUP(MAX(I28/IF(BS28&gt;0,BS28,MAX(0.1,N(Cockpit!$O$6))),BV28)/BN28,0)*BN28</f>
        <v/>
      </c>
      <c r="AV28" s="56">
        <f>IF(AS28&gt;0,I28/AS28,-1)</f>
        <v/>
      </c>
      <c r="AW28" s="56">
        <f>IF(AND(OR(BR28="L1",BR28="L23"),AS28&gt;0),SUMIFS($AS$7:$AS$1570,$BR$7:$BR$1570,BR28,$AV$7:$AV$1570,"&gt;"&amp;AV28)+SUMIFS($AS$7:$AS$1570,$BR$7:$BR$1570,BR28,$AV$7:$AV$1570,AV28,$BL$7:$BL$1570,"&lt;="&amp;BL28),"")</f>
        <v/>
      </c>
      <c r="AX28" s="65">
        <f>IF(AW28="",0,MAX(0,MIN(1,(IF(BR28="L1",Parameter!$K$5,Parameter!$K$6+Parameter!$K$7)-(AW28-AS28))/AS28)))</f>
        <v/>
      </c>
      <c r="AY28" s="53">
        <f>IF(AC28&lt;=0,"",IF(BR28="Aussen","Aussenlager",IF(BR28="-","Nicht im Lift",IF(AH28&gt;=1,"Lift",IF(AH28&lt;=0,"Aussenlager","teilweise")))))</f>
        <v/>
      </c>
      <c r="AZ28" s="53">
        <f>IF(AK28&lt;=0,"",IF(BR28="Aussen","Aussenlager",IF(BR28="-","Nicht im Lift",IF(AP28&gt;=1,"Lift",IF(AP28&lt;=0,"Aussenlager","teilweise")))))</f>
        <v/>
      </c>
      <c r="BA28" s="53">
        <f>IF(AS28&lt;=0,"",IF(BR28="Aussen","Aussenlager",IF(BR28="-","Nicht im Lift",IF(AX28&gt;=1,"Lift",IF(AX28&lt;=0,"Aussenlager","teilweise")))))</f>
        <v/>
      </c>
      <c r="BB28" s="53">
        <f>IF(A28="","",IF(BK28=1,"Neu; ","")&amp;IF(AND(BK28=0,BF28&lt;0),"negativer Bestand (Export "&amp;BF28&amp;"); ","")&amp;IF(I28&lt;=0,"Kein Verbrauch; ","")&amp;IF(BO28=1,"Lose – Fläche geschätzt; ","")&amp;IF(G28&gt;AM28,"Überbestand "&amp;ROUND(G28-AM28,0)&amp;" Stk / CHF "&amp;ROUND((G28-AM28)*F28,0)&amp;"; ","")&amp;IF(AND(BT28=1,BU28&lt;BV28),"MAX &lt; MB+LG; ","")&amp;IF(AND(BZ28&gt;0,BY28*10&gt;BZ28),"zu hoch für Tablar; ","")&amp;IF(AND(BK28=0,OR(BT28=1,V28&lt;&gt;"",S28&lt;&gt;"",T28&lt;&gt;"",W28&lt;&gt;"")),"manuell übersteuert; ","")&amp;IF(AND(BO28=0,Q28=0),"Gebinde unbekannt; ","")&amp;IF(AND(BO28=0,N(T28)&lt;=0,N(P28)&lt;=0),"Menge pro Gebinde fehlt (Ist = 1 Gebinde); ","")&amp;BJ28)</f>
        <v/>
      </c>
      <c r="BC28" s="53" t="n"/>
      <c r="BD28" s="53" t="n"/>
      <c r="BE28" s="61" t="n"/>
      <c r="BF28" s="55" t="n">
        <v>35</v>
      </c>
      <c r="BG28" s="55" t="n">
        <v>6</v>
      </c>
      <c r="BH28" s="54" t="n">
        <v>13842.61</v>
      </c>
      <c r="BI28" s="55" t="n">
        <v>276</v>
      </c>
      <c r="BJ28" s="53" t="inlineStr">
        <is>
          <t>nicht im KTL vorhanden</t>
        </is>
      </c>
      <c r="BK28" s="58" t="n">
        <v>0</v>
      </c>
      <c r="BL28" s="58" t="n">
        <v>28</v>
      </c>
      <c r="BM28" s="53">
        <f>IF(S28&lt;&gt;"",UPPER(TRIM(S28)),IF(O28="","LOSE",O28))</f>
        <v/>
      </c>
      <c r="BN28" s="55">
        <f>IF(BM28="LOSE",1,IF(N(T28)&gt;0,T28,IF(N(P28)&gt;0,P28,MAX(1,G28))))</f>
        <v/>
      </c>
      <c r="BO28" s="58">
        <f>IF(BM28="LOSE",1,0)</f>
        <v/>
      </c>
      <c r="BP28" s="64">
        <f>IF(BO28=0,0,IF(N(R28)&gt;0,R28,IFERROR(VLOOKUP(D28,Parameter!$A$35:$C$64,3,0)+0,0)))</f>
        <v/>
      </c>
      <c r="BQ28" s="53">
        <f>IF(V28&lt;&gt;"",V28,U28)</f>
        <v/>
      </c>
      <c r="BR28" s="53">
        <f>IF(BQ28=1,"L1",IF(OR(BQ28=2,BQ28=3),"L23",IF(BQ28="Aussen","Aussen","-")))</f>
        <v/>
      </c>
      <c r="BS28" s="66">
        <f>IF(N(W28)&gt;0,W28,0)</f>
        <v/>
      </c>
      <c r="BT28" s="58">
        <f>IF(ISNUMBER(Z28),1,0)</f>
        <v/>
      </c>
      <c r="BU28" s="55">
        <f>N(Z28)</f>
        <v/>
      </c>
      <c r="BV28" s="55">
        <f>N(L28)+N(M28)</f>
        <v/>
      </c>
      <c r="BW28" s="55">
        <f>ROUNDUP(G28/BN28,0)</f>
        <v/>
      </c>
      <c r="BX28" s="55">
        <f>ROUNDUP(BU28/BN28,0)</f>
        <v/>
      </c>
      <c r="BY28" s="58">
        <f>IF(BO28=1,0,IFERROR(VLOOKUP(BM28,'Gebinde-Kategorie'!$A$5:$G$45,5,0)+0,0))</f>
        <v/>
      </c>
      <c r="BZ28" s="58">
        <f>IFERROR(IF(OR(BQ28=1,BQ28=2,BQ28=3),N(INDEX(Parameter!$I$5:$I$7,BQ28)),0),0)</f>
        <v/>
      </c>
    </row>
    <row r="29">
      <c r="A29" s="53" t="inlineStr">
        <is>
          <t>106446</t>
        </is>
      </c>
      <c r="B29" s="53" t="inlineStr">
        <is>
          <t>Proportionalventil komplett</t>
        </is>
      </c>
      <c r="C29" s="53" t="inlineStr">
        <is>
          <t>F</t>
        </is>
      </c>
      <c r="D29" s="53" t="inlineStr">
        <is>
          <t>KTL</t>
        </is>
      </c>
      <c r="E29" s="53" t="inlineStr">
        <is>
          <t>C</t>
        </is>
      </c>
      <c r="F29" s="54" t="n">
        <v>1048.6</v>
      </c>
      <c r="G29" s="55">
        <f>MAX(0,IF(Parameter!$B$20="Jahresanfang 2025 + Export",BG29+BF29,BF29))</f>
        <v/>
      </c>
      <c r="H29" s="55">
        <f>G29*F29</f>
        <v/>
      </c>
      <c r="I29" s="55">
        <f>BI29*Parameter!$B$18</f>
        <v/>
      </c>
      <c r="J29" s="56" t="n">
        <v>1.5</v>
      </c>
      <c r="K29" s="57" t="n">
        <v>15.33333333333333</v>
      </c>
      <c r="L29" s="55" t="n">
        <v>6</v>
      </c>
      <c r="M29" s="55" t="n">
        <v>5</v>
      </c>
      <c r="N29" s="58" t="n">
        <v>100</v>
      </c>
      <c r="O29" s="53" t="inlineStr">
        <is>
          <t>S52</t>
        </is>
      </c>
      <c r="P29" s="55" t="n">
        <v>20</v>
      </c>
      <c r="Q29" s="59">
        <f>IF(BO29=1,0,IFERROR(VLOOKUP(BM29,'Gebinde-Kategorie'!$A$5:$G$45,6,0)+0,0))</f>
        <v/>
      </c>
      <c r="R29" s="60" t="n"/>
      <c r="S29" s="61" t="n"/>
      <c r="T29" s="61" t="n"/>
      <c r="U29" s="53">
        <f>IF(A29="","",IF(IFERROR(VLOOKUP(D29,Parameter!$A$35:$C$64,2,0),"Nein")="2+3",IF(ISNUMBER(SEARCH("grosser Artikel",BJ29)),2,IFERROR(VLOOKUP(BM29,Parameter!$F$35:$G$64,2,0),2)),IF(OR(IFERROR(VLOOKUP(D29,Parameter!$A$35:$C$64,2,0),"Nein")="Nein",IFERROR(VLOOKUP(D29,Parameter!$A$35:$C$64,2,0),"Nein")=""),"-",VLOOKUP(D29,Parameter!$A$35:$C$64,2,0))))</f>
        <v/>
      </c>
      <c r="V29" s="61" t="n"/>
      <c r="W29" s="62" t="n"/>
      <c r="X29" s="55">
        <f>AM29</f>
        <v/>
      </c>
      <c r="Y29" s="55">
        <f>MAX(AM29,G29)</f>
        <v/>
      </c>
      <c r="Z29" s="63" t="n"/>
      <c r="AA29" s="55">
        <f>IF(LEFT(Cockpit!$C$5,1)="A",G29,IF(BT29=1,BU29,IF(LEFT(Cockpit!$C$5,1)="B",AE29,MAX(AE29,G29))))</f>
        <v/>
      </c>
      <c r="AB29" s="55">
        <f>IF(BO29=1,0,ROUNDUP(AA29/BN29,0))</f>
        <v/>
      </c>
      <c r="AC29" s="64">
        <f>IF(BO29=1,IF(AA29&lt;=0,0,BP29*MAX(1,IF(G29&gt;0,AA29/G29,1))),AB29*Q29)</f>
        <v/>
      </c>
      <c r="AD29" s="55">
        <f>AA29*F29</f>
        <v/>
      </c>
      <c r="AE29" s="55">
        <f>ROUNDUP(MAX(I29/IF(BS29&gt;0,BS29,MAX(0.1,N(Cockpit!$C$6))),BV29)/BN29,0)*BN29</f>
        <v/>
      </c>
      <c r="AF29" s="56">
        <f>IF(AC29&gt;0,I29/AC29,-1)</f>
        <v/>
      </c>
      <c r="AG29" s="56">
        <f>IF(AND(OR(BR29="L1",BR29="L23"),AC29&gt;0),SUMIFS($AC$7:$AC$1570,$BR$7:$BR$1570,BR29,$AF$7:$AF$1570,"&gt;"&amp;AF29)+SUMIFS($AC$7:$AC$1570,$BR$7:$BR$1570,BR29,$AF$7:$AF$1570,AF29,$BL$7:$BL$1570,"&lt;="&amp;BL29),"")</f>
        <v/>
      </c>
      <c r="AH29" s="65">
        <f>IF(AG29="",0,MAX(0,MIN(1,(IF(BR29="L1",Parameter!$K$5,Parameter!$K$6+Parameter!$K$7)-(AG29-AC29))/AC29)))</f>
        <v/>
      </c>
      <c r="AI29" s="55">
        <f>IF(LEFT(Cockpit!$I$5,1)="A",G29,IF(BT29=1,BU29,IF(LEFT(Cockpit!$I$5,1)="B",AM29,MAX(AM29,G29))))</f>
        <v/>
      </c>
      <c r="AJ29" s="55">
        <f>IF(BO29=1,0,ROUNDUP(AI29/BN29,0))</f>
        <v/>
      </c>
      <c r="AK29" s="64">
        <f>IF(BO29=1,IF(AI29&lt;=0,0,BP29*MAX(1,IF(G29&gt;0,AI29/G29,1))),AJ29*Q29)</f>
        <v/>
      </c>
      <c r="AL29" s="55">
        <f>AI29*F29</f>
        <v/>
      </c>
      <c r="AM29" s="55">
        <f>ROUNDUP(MAX(I29/IF(BS29&gt;0,BS29,MAX(0.1,N(Cockpit!$I$6))),BV29)/BN29,0)*BN29</f>
        <v/>
      </c>
      <c r="AN29" s="56">
        <f>IF(AK29&gt;0,I29/AK29,-1)</f>
        <v/>
      </c>
      <c r="AO29" s="56">
        <f>IF(AND(OR(BR29="L1",BR29="L23"),AK29&gt;0),SUMIFS($AK$7:$AK$1570,$BR$7:$BR$1570,BR29,$AN$7:$AN$1570,"&gt;"&amp;AN29)+SUMIFS($AK$7:$AK$1570,$BR$7:$BR$1570,BR29,$AN$7:$AN$1570,AN29,$BL$7:$BL$1570,"&lt;="&amp;BL29),"")</f>
        <v/>
      </c>
      <c r="AP29" s="65">
        <f>IF(AO29="",0,MAX(0,MIN(1,(IF(BR29="L1",Parameter!$K$5,Parameter!$K$6+Parameter!$K$7)-(AO29-AK29))/AK29)))</f>
        <v/>
      </c>
      <c r="AQ29" s="55">
        <f>IF(LEFT(Cockpit!$O$5,1)="A",G29,IF(BT29=1,BU29,IF(LEFT(Cockpit!$O$5,1)="B",AU29,MAX(AU29,G29))))</f>
        <v/>
      </c>
      <c r="AR29" s="55">
        <f>IF(BO29=1,0,ROUNDUP(AQ29/BN29,0))</f>
        <v/>
      </c>
      <c r="AS29" s="64">
        <f>IF(BO29=1,IF(AQ29&lt;=0,0,BP29*MAX(1,IF(G29&gt;0,AQ29/G29,1))),AR29*Q29)</f>
        <v/>
      </c>
      <c r="AT29" s="55">
        <f>AQ29*F29</f>
        <v/>
      </c>
      <c r="AU29" s="55">
        <f>ROUNDUP(MAX(I29/IF(BS29&gt;0,BS29,MAX(0.1,N(Cockpit!$O$6))),BV29)/BN29,0)*BN29</f>
        <v/>
      </c>
      <c r="AV29" s="56">
        <f>IF(AS29&gt;0,I29/AS29,-1)</f>
        <v/>
      </c>
      <c r="AW29" s="56">
        <f>IF(AND(OR(BR29="L1",BR29="L23"),AS29&gt;0),SUMIFS($AS$7:$AS$1570,$BR$7:$BR$1570,BR29,$AV$7:$AV$1570,"&gt;"&amp;AV29)+SUMIFS($AS$7:$AS$1570,$BR$7:$BR$1570,BR29,$AV$7:$AV$1570,AV29,$BL$7:$BL$1570,"&lt;="&amp;BL29),"")</f>
        <v/>
      </c>
      <c r="AX29" s="65">
        <f>IF(AW29="",0,MAX(0,MIN(1,(IF(BR29="L1",Parameter!$K$5,Parameter!$K$6+Parameter!$K$7)-(AW29-AS29))/AS29)))</f>
        <v/>
      </c>
      <c r="AY29" s="53">
        <f>IF(AC29&lt;=0,"",IF(BR29="Aussen","Aussenlager",IF(BR29="-","Nicht im Lift",IF(AH29&gt;=1,"Lift",IF(AH29&lt;=0,"Aussenlager","teilweise")))))</f>
        <v/>
      </c>
      <c r="AZ29" s="53">
        <f>IF(AK29&lt;=0,"",IF(BR29="Aussen","Aussenlager",IF(BR29="-","Nicht im Lift",IF(AP29&gt;=1,"Lift",IF(AP29&lt;=0,"Aussenlager","teilweise")))))</f>
        <v/>
      </c>
      <c r="BA29" s="53">
        <f>IF(AS29&lt;=0,"",IF(BR29="Aussen","Aussenlager",IF(BR29="-","Nicht im Lift",IF(AX29&gt;=1,"Lift",IF(AX29&lt;=0,"Aussenlager","teilweise")))))</f>
        <v/>
      </c>
      <c r="BB29" s="53">
        <f>IF(A29="","",IF(BK29=1,"Neu; ","")&amp;IF(AND(BK29=0,BF29&lt;0),"negativer Bestand (Export "&amp;BF29&amp;"); ","")&amp;IF(I29&lt;=0,"Kein Verbrauch; ","")&amp;IF(BO29=1,"Lose – Fläche geschätzt; ","")&amp;IF(G29&gt;AM29,"Überbestand "&amp;ROUND(G29-AM29,0)&amp;" Stk / CHF "&amp;ROUND((G29-AM29)*F29,0)&amp;"; ","")&amp;IF(AND(BT29=1,BU29&lt;BV29),"MAX &lt; MB+LG; ","")&amp;IF(AND(BZ29&gt;0,BY29*10&gt;BZ29),"zu hoch für Tablar; ","")&amp;IF(AND(BK29=0,OR(BT29=1,V29&lt;&gt;"",S29&lt;&gt;"",T29&lt;&gt;"",W29&lt;&gt;"")),"manuell übersteuert; ","")&amp;IF(AND(BO29=0,Q29=0),"Gebinde unbekannt; ","")&amp;IF(AND(BO29=0,N(T29)&lt;=0,N(P29)&lt;=0),"Menge pro Gebinde fehlt (Ist = 1 Gebinde); ","")&amp;BJ29)</f>
        <v/>
      </c>
      <c r="BC29" s="53" t="inlineStr">
        <is>
          <t>Auslaufartikel - letzte Entnahme 2022</t>
        </is>
      </c>
      <c r="BD29" s="53" t="inlineStr">
        <is>
          <t>Umarbeit / Verschrotten? - Betsand bei Schmobi wurde bereits verschrottet</t>
        </is>
      </c>
      <c r="BE29" s="61" t="n"/>
      <c r="BF29" s="55" t="n">
        <v>11</v>
      </c>
      <c r="BG29" s="55" t="n">
        <v>1</v>
      </c>
      <c r="BH29" s="54" t="n">
        <v>12583.19</v>
      </c>
      <c r="BI29" s="55" t="n">
        <v>23</v>
      </c>
      <c r="BJ29" s="53" t="inlineStr"/>
      <c r="BK29" s="58" t="n">
        <v>0</v>
      </c>
      <c r="BL29" s="58" t="n">
        <v>29</v>
      </c>
      <c r="BM29" s="53">
        <f>IF(S29&lt;&gt;"",UPPER(TRIM(S29)),IF(O29="","LOSE",O29))</f>
        <v/>
      </c>
      <c r="BN29" s="55">
        <f>IF(BM29="LOSE",1,IF(N(T29)&gt;0,T29,IF(N(P29)&gt;0,P29,MAX(1,G29))))</f>
        <v/>
      </c>
      <c r="BO29" s="58">
        <f>IF(BM29="LOSE",1,0)</f>
        <v/>
      </c>
      <c r="BP29" s="64">
        <f>IF(BO29=0,0,IF(N(R29)&gt;0,R29,IFERROR(VLOOKUP(D29,Parameter!$A$35:$C$64,3,0)+0,0)))</f>
        <v/>
      </c>
      <c r="BQ29" s="53">
        <f>IF(V29&lt;&gt;"",V29,U29)</f>
        <v/>
      </c>
      <c r="BR29" s="53">
        <f>IF(BQ29=1,"L1",IF(OR(BQ29=2,BQ29=3),"L23",IF(BQ29="Aussen","Aussen","-")))</f>
        <v/>
      </c>
      <c r="BS29" s="66">
        <f>IF(N(W29)&gt;0,W29,0)</f>
        <v/>
      </c>
      <c r="BT29" s="58">
        <f>IF(ISNUMBER(Z29),1,0)</f>
        <v/>
      </c>
      <c r="BU29" s="55">
        <f>N(Z29)</f>
        <v/>
      </c>
      <c r="BV29" s="55">
        <f>N(L29)+N(M29)</f>
        <v/>
      </c>
      <c r="BW29" s="55">
        <f>ROUNDUP(G29/BN29,0)</f>
        <v/>
      </c>
      <c r="BX29" s="55">
        <f>ROUNDUP(BU29/BN29,0)</f>
        <v/>
      </c>
      <c r="BY29" s="58">
        <f>IF(BO29=1,0,IFERROR(VLOOKUP(BM29,'Gebinde-Kategorie'!$A$5:$G$45,5,0)+0,0))</f>
        <v/>
      </c>
      <c r="BZ29" s="58">
        <f>IFERROR(IF(OR(BQ29=1,BQ29=2,BQ29=3),N(INDEX(Parameter!$I$5:$I$7,BQ29)),0),0)</f>
        <v/>
      </c>
    </row>
    <row r="30">
      <c r="A30" s="53" t="inlineStr">
        <is>
          <t>106098</t>
        </is>
      </c>
      <c r="B30" s="53" t="inlineStr">
        <is>
          <t>Druckleitungsblock SPGr</t>
        </is>
      </c>
      <c r="C30" s="53" t="inlineStr">
        <is>
          <t>F</t>
        </is>
      </c>
      <c r="D30" s="53" t="inlineStr">
        <is>
          <t>PAL</t>
        </is>
      </c>
      <c r="E30" s="53" t="inlineStr">
        <is>
          <t>C</t>
        </is>
      </c>
      <c r="F30" s="54" t="n">
        <v>306.57</v>
      </c>
      <c r="G30" s="55">
        <f>MAX(0,IF(Parameter!$B$20="Jahresanfang 2025 + Export",BG30+BF30,BF30))</f>
        <v/>
      </c>
      <c r="H30" s="55">
        <f>G30*F30</f>
        <v/>
      </c>
      <c r="I30" s="55">
        <f>BI30*Parameter!$B$18</f>
        <v/>
      </c>
      <c r="J30" s="56" t="n">
        <v>25</v>
      </c>
      <c r="K30" s="57" t="n">
        <v>11.88</v>
      </c>
      <c r="L30" s="55" t="n">
        <v>23</v>
      </c>
      <c r="M30" s="55" t="n">
        <v>45</v>
      </c>
      <c r="N30" s="58" t="n">
        <v>28</v>
      </c>
      <c r="O30" s="53" t="inlineStr">
        <is>
          <t>S63</t>
        </is>
      </c>
      <c r="P30" s="55" t="n">
        <v>34</v>
      </c>
      <c r="Q30" s="59">
        <f>IF(BO30=1,0,IFERROR(VLOOKUP(BM30,'Gebinde-Kategorie'!$A$5:$G$45,6,0)+0,0))</f>
        <v/>
      </c>
      <c r="R30" s="60" t="n"/>
      <c r="S30" s="61" t="n"/>
      <c r="T30" s="61" t="n"/>
      <c r="U30" s="53">
        <f>IF(A30="","",IF(IFERROR(VLOOKUP(D30,Parameter!$A$35:$C$64,2,0),"Nein")="2+3",IF(ISNUMBER(SEARCH("grosser Artikel",BJ30)),2,IFERROR(VLOOKUP(BM30,Parameter!$F$35:$G$64,2,0),2)),IF(OR(IFERROR(VLOOKUP(D30,Parameter!$A$35:$C$64,2,0),"Nein")="Nein",IFERROR(VLOOKUP(D30,Parameter!$A$35:$C$64,2,0),"Nein")=""),"-",VLOOKUP(D30,Parameter!$A$35:$C$64,2,0))))</f>
        <v/>
      </c>
      <c r="V30" s="61" t="n"/>
      <c r="W30" s="62" t="n"/>
      <c r="X30" s="55">
        <f>AM30</f>
        <v/>
      </c>
      <c r="Y30" s="55">
        <f>MAX(AM30,G30)</f>
        <v/>
      </c>
      <c r="Z30" s="63" t="n"/>
      <c r="AA30" s="55">
        <f>IF(LEFT(Cockpit!$C$5,1)="A",G30,IF(BT30=1,BU30,IF(LEFT(Cockpit!$C$5,1)="B",AE30,MAX(AE30,G30))))</f>
        <v/>
      </c>
      <c r="AB30" s="55">
        <f>IF(BO30=1,0,ROUNDUP(AA30/BN30,0))</f>
        <v/>
      </c>
      <c r="AC30" s="64">
        <f>IF(BO30=1,IF(AA30&lt;=0,0,BP30*MAX(1,IF(G30&gt;0,AA30/G30,1))),AB30*Q30)</f>
        <v/>
      </c>
      <c r="AD30" s="55">
        <f>AA30*F30</f>
        <v/>
      </c>
      <c r="AE30" s="55">
        <f>ROUNDUP(MAX(I30/IF(BS30&gt;0,BS30,MAX(0.1,N(Cockpit!$C$6))),BV30)/BN30,0)*BN30</f>
        <v/>
      </c>
      <c r="AF30" s="56">
        <f>IF(AC30&gt;0,I30/AC30,-1)</f>
        <v/>
      </c>
      <c r="AG30" s="56">
        <f>IF(AND(OR(BR30="L1",BR30="L23"),AC30&gt;0),SUMIFS($AC$7:$AC$1570,$BR$7:$BR$1570,BR30,$AF$7:$AF$1570,"&gt;"&amp;AF30)+SUMIFS($AC$7:$AC$1570,$BR$7:$BR$1570,BR30,$AF$7:$AF$1570,AF30,$BL$7:$BL$1570,"&lt;="&amp;BL30),"")</f>
        <v/>
      </c>
      <c r="AH30" s="65">
        <f>IF(AG30="",0,MAX(0,MIN(1,(IF(BR30="L1",Parameter!$K$5,Parameter!$K$6+Parameter!$K$7)-(AG30-AC30))/AC30)))</f>
        <v/>
      </c>
      <c r="AI30" s="55">
        <f>IF(LEFT(Cockpit!$I$5,1)="A",G30,IF(BT30=1,BU30,IF(LEFT(Cockpit!$I$5,1)="B",AM30,MAX(AM30,G30))))</f>
        <v/>
      </c>
      <c r="AJ30" s="55">
        <f>IF(BO30=1,0,ROUNDUP(AI30/BN30,0))</f>
        <v/>
      </c>
      <c r="AK30" s="64">
        <f>IF(BO30=1,IF(AI30&lt;=0,0,BP30*MAX(1,IF(G30&gt;0,AI30/G30,1))),AJ30*Q30)</f>
        <v/>
      </c>
      <c r="AL30" s="55">
        <f>AI30*F30</f>
        <v/>
      </c>
      <c r="AM30" s="55">
        <f>ROUNDUP(MAX(I30/IF(BS30&gt;0,BS30,MAX(0.1,N(Cockpit!$I$6))),BV30)/BN30,0)*BN30</f>
        <v/>
      </c>
      <c r="AN30" s="56">
        <f>IF(AK30&gt;0,I30/AK30,-1)</f>
        <v/>
      </c>
      <c r="AO30" s="56">
        <f>IF(AND(OR(BR30="L1",BR30="L23"),AK30&gt;0),SUMIFS($AK$7:$AK$1570,$BR$7:$BR$1570,BR30,$AN$7:$AN$1570,"&gt;"&amp;AN30)+SUMIFS($AK$7:$AK$1570,$BR$7:$BR$1570,BR30,$AN$7:$AN$1570,AN30,$BL$7:$BL$1570,"&lt;="&amp;BL30),"")</f>
        <v/>
      </c>
      <c r="AP30" s="65">
        <f>IF(AO30="",0,MAX(0,MIN(1,(IF(BR30="L1",Parameter!$K$5,Parameter!$K$6+Parameter!$K$7)-(AO30-AK30))/AK30)))</f>
        <v/>
      </c>
      <c r="AQ30" s="55">
        <f>IF(LEFT(Cockpit!$O$5,1)="A",G30,IF(BT30=1,BU30,IF(LEFT(Cockpit!$O$5,1)="B",AU30,MAX(AU30,G30))))</f>
        <v/>
      </c>
      <c r="AR30" s="55">
        <f>IF(BO30=1,0,ROUNDUP(AQ30/BN30,0))</f>
        <v/>
      </c>
      <c r="AS30" s="64">
        <f>IF(BO30=1,IF(AQ30&lt;=0,0,BP30*MAX(1,IF(G30&gt;0,AQ30/G30,1))),AR30*Q30)</f>
        <v/>
      </c>
      <c r="AT30" s="55">
        <f>AQ30*F30</f>
        <v/>
      </c>
      <c r="AU30" s="55">
        <f>ROUNDUP(MAX(I30/IF(BS30&gt;0,BS30,MAX(0.1,N(Cockpit!$O$6))),BV30)/BN30,0)*BN30</f>
        <v/>
      </c>
      <c r="AV30" s="56">
        <f>IF(AS30&gt;0,I30/AS30,-1)</f>
        <v/>
      </c>
      <c r="AW30" s="56">
        <f>IF(AND(OR(BR30="L1",BR30="L23"),AS30&gt;0),SUMIFS($AS$7:$AS$1570,$BR$7:$BR$1570,BR30,$AV$7:$AV$1570,"&gt;"&amp;AV30)+SUMIFS($AS$7:$AS$1570,$BR$7:$BR$1570,BR30,$AV$7:$AV$1570,AV30,$BL$7:$BL$1570,"&lt;="&amp;BL30),"")</f>
        <v/>
      </c>
      <c r="AX30" s="65">
        <f>IF(AW30="",0,MAX(0,MIN(1,(IF(BR30="L1",Parameter!$K$5,Parameter!$K$6+Parameter!$K$7)-(AW30-AS30))/AS30)))</f>
        <v/>
      </c>
      <c r="AY30" s="53">
        <f>IF(AC30&lt;=0,"",IF(BR30="Aussen","Aussenlager",IF(BR30="-","Nicht im Lift",IF(AH30&gt;=1,"Lift",IF(AH30&lt;=0,"Aussenlager","teilweise")))))</f>
        <v/>
      </c>
      <c r="AZ30" s="53">
        <f>IF(AK30&lt;=0,"",IF(BR30="Aussen","Aussenlager",IF(BR30="-","Nicht im Lift",IF(AP30&gt;=1,"Lift",IF(AP30&lt;=0,"Aussenlager","teilweise")))))</f>
        <v/>
      </c>
      <c r="BA30" s="53">
        <f>IF(AS30&lt;=0,"",IF(BR30="Aussen","Aussenlager",IF(BR30="-","Nicht im Lift",IF(AX30&gt;=1,"Lift",IF(AX30&lt;=0,"Aussenlager","teilweise")))))</f>
        <v/>
      </c>
      <c r="BB30" s="53">
        <f>IF(A30="","",IF(BK30=1,"Neu; ","")&amp;IF(AND(BK30=0,BF30&lt;0),"negativer Bestand (Export "&amp;BF30&amp;"); ","")&amp;IF(I30&lt;=0,"Kein Verbrauch; ","")&amp;IF(BO30=1,"Lose – Fläche geschätzt; ","")&amp;IF(G30&gt;AM30,"Überbestand "&amp;ROUND(G30-AM30,0)&amp;" Stk / CHF "&amp;ROUND((G30-AM30)*F30,0)&amp;"; ","")&amp;IF(AND(BT30=1,BU30&lt;BV30),"MAX &lt; MB+LG; ","")&amp;IF(AND(BZ30&gt;0,BY30*10&gt;BZ30),"zu hoch für Tablar; ","")&amp;IF(AND(BK30=0,OR(BT30=1,V30&lt;&gt;"",S30&lt;&gt;"",T30&lt;&gt;"",W30&lt;&gt;"")),"manuell übersteuert; ","")&amp;IF(AND(BO30=0,Q30=0),"Gebinde unbekannt; ","")&amp;IF(AND(BO30=0,N(T30)&lt;=0,N(P30)&lt;=0),"Menge pro Gebinde fehlt (Ist = 1 Gebinde); ","")&amp;BJ30)</f>
        <v/>
      </c>
      <c r="BC30" s="53" t="inlineStr">
        <is>
          <t>Bedarf durch Angebote getriggert, MB 5 zu dem zeitpunkt und Losgrösse 8 mit hoher WBZ -&gt; Auslaufteil</t>
        </is>
      </c>
      <c r="BD30" s="53" t="inlineStr">
        <is>
          <t>Retourverkauf an Lieferant?</t>
        </is>
      </c>
      <c r="BE30" s="61" t="n"/>
      <c r="BF30" s="55" t="n">
        <v>41</v>
      </c>
      <c r="BG30" s="55" t="n">
        <v>4</v>
      </c>
      <c r="BH30" s="54" t="n">
        <v>12491.90999999996</v>
      </c>
      <c r="BI30" s="55" t="n">
        <v>297</v>
      </c>
      <c r="BJ30" s="53" t="inlineStr"/>
      <c r="BK30" s="58" t="n">
        <v>0</v>
      </c>
      <c r="BL30" s="58" t="n">
        <v>30</v>
      </c>
      <c r="BM30" s="53">
        <f>IF(S30&lt;&gt;"",UPPER(TRIM(S30)),IF(O30="","LOSE",O30))</f>
        <v/>
      </c>
      <c r="BN30" s="55">
        <f>IF(BM30="LOSE",1,IF(N(T30)&gt;0,T30,IF(N(P30)&gt;0,P30,MAX(1,G30))))</f>
        <v/>
      </c>
      <c r="BO30" s="58">
        <f>IF(BM30="LOSE",1,0)</f>
        <v/>
      </c>
      <c r="BP30" s="64">
        <f>IF(BO30=0,0,IF(N(R30)&gt;0,R30,IFERROR(VLOOKUP(D30,Parameter!$A$35:$C$64,3,0)+0,0)))</f>
        <v/>
      </c>
      <c r="BQ30" s="53">
        <f>IF(V30&lt;&gt;"",V30,U30)</f>
        <v/>
      </c>
      <c r="BR30" s="53">
        <f>IF(BQ30=1,"L1",IF(OR(BQ30=2,BQ30=3),"L23",IF(BQ30="Aussen","Aussen","-")))</f>
        <v/>
      </c>
      <c r="BS30" s="66">
        <f>IF(N(W30)&gt;0,W30,0)</f>
        <v/>
      </c>
      <c r="BT30" s="58">
        <f>IF(ISNUMBER(Z30),1,0)</f>
        <v/>
      </c>
      <c r="BU30" s="55">
        <f>N(Z30)</f>
        <v/>
      </c>
      <c r="BV30" s="55">
        <f>N(L30)+N(M30)</f>
        <v/>
      </c>
      <c r="BW30" s="55">
        <f>ROUNDUP(G30/BN30,0)</f>
        <v/>
      </c>
      <c r="BX30" s="55">
        <f>ROUNDUP(BU30/BN30,0)</f>
        <v/>
      </c>
      <c r="BY30" s="58">
        <f>IF(BO30=1,0,IFERROR(VLOOKUP(BM30,'Gebinde-Kategorie'!$A$5:$G$45,5,0)+0,0))</f>
        <v/>
      </c>
      <c r="BZ30" s="58">
        <f>IFERROR(IF(OR(BQ30=1,BQ30=2,BQ30=3),N(INDEX(Parameter!$I$5:$I$7,BQ30)),0),0)</f>
        <v/>
      </c>
    </row>
    <row r="31">
      <c r="A31" s="53" t="inlineStr">
        <is>
          <t>106185</t>
        </is>
      </c>
      <c r="B31" s="53" t="inlineStr">
        <is>
          <t>Kolbengehäuse SPGr16</t>
        </is>
      </c>
      <c r="C31" s="53" t="inlineStr">
        <is>
          <t>F</t>
        </is>
      </c>
      <c r="D31" s="53" t="inlineStr">
        <is>
          <t>LIFT1</t>
        </is>
      </c>
      <c r="E31" s="53" t="inlineStr">
        <is>
          <t>C</t>
        </is>
      </c>
      <c r="F31" s="54" t="n">
        <v>4074.91</v>
      </c>
      <c r="G31" s="55">
        <f>MAX(0,IF(Parameter!$B$20="Jahresanfang 2025 + Export",BG31+BF31,BF31))</f>
        <v/>
      </c>
      <c r="H31" s="55">
        <f>G31*F31</f>
        <v/>
      </c>
      <c r="I31" s="55">
        <f>BI31*Parameter!$B$18</f>
        <v/>
      </c>
      <c r="J31" s="56" t="n">
        <v>6.5</v>
      </c>
      <c r="K31" s="57" t="n">
        <v>3.692307692307693</v>
      </c>
      <c r="L31" s="55" t="n">
        <v>3</v>
      </c>
      <c r="M31" s="55" t="n">
        <v>6</v>
      </c>
      <c r="N31" s="58" t="n">
        <v>49</v>
      </c>
      <c r="O31" s="53" t="inlineStr">
        <is>
          <t>LOSE</t>
        </is>
      </c>
      <c r="P31" s="55" t="n"/>
      <c r="Q31" s="59">
        <f>IF(BO31=1,0,IFERROR(VLOOKUP(BM31,'Gebinde-Kategorie'!$A$5:$G$45,6,0)+0,0))</f>
        <v/>
      </c>
      <c r="R31" s="60" t="n"/>
      <c r="S31" s="61" t="n"/>
      <c r="T31" s="61" t="n"/>
      <c r="U31" s="53">
        <f>IF(A31="","",IF(IFERROR(VLOOKUP(D31,Parameter!$A$35:$C$64,2,0),"Nein")="2+3",IF(ISNUMBER(SEARCH("grosser Artikel",BJ31)),2,IFERROR(VLOOKUP(BM31,Parameter!$F$35:$G$64,2,0),2)),IF(OR(IFERROR(VLOOKUP(D31,Parameter!$A$35:$C$64,2,0),"Nein")="Nein",IFERROR(VLOOKUP(D31,Parameter!$A$35:$C$64,2,0),"Nein")=""),"-",VLOOKUP(D31,Parameter!$A$35:$C$64,2,0))))</f>
        <v/>
      </c>
      <c r="V31" s="61" t="n"/>
      <c r="W31" s="62" t="n"/>
      <c r="X31" s="55">
        <f>AM31</f>
        <v/>
      </c>
      <c r="Y31" s="55">
        <f>MAX(AM31,G31)</f>
        <v/>
      </c>
      <c r="Z31" s="63" t="n"/>
      <c r="AA31" s="55">
        <f>IF(LEFT(Cockpit!$C$5,1)="A",G31,IF(BT31=1,BU31,IF(LEFT(Cockpit!$C$5,1)="B",AE31,MAX(AE31,G31))))</f>
        <v/>
      </c>
      <c r="AB31" s="55">
        <f>IF(BO31=1,0,ROUNDUP(AA31/BN31,0))</f>
        <v/>
      </c>
      <c r="AC31" s="64">
        <f>IF(BO31=1,IF(AA31&lt;=0,0,BP31*MAX(1,IF(G31&gt;0,AA31/G31,1))),AB31*Q31)</f>
        <v/>
      </c>
      <c r="AD31" s="55">
        <f>AA31*F31</f>
        <v/>
      </c>
      <c r="AE31" s="55">
        <f>ROUNDUP(MAX(I31/IF(BS31&gt;0,BS31,MAX(0.1,N(Cockpit!$C$6))),BV31)/BN31,0)*BN31</f>
        <v/>
      </c>
      <c r="AF31" s="56">
        <f>IF(AC31&gt;0,I31/AC31,-1)</f>
        <v/>
      </c>
      <c r="AG31" s="56">
        <f>IF(AND(OR(BR31="L1",BR31="L23"),AC31&gt;0),SUMIFS($AC$7:$AC$1570,$BR$7:$BR$1570,BR31,$AF$7:$AF$1570,"&gt;"&amp;AF31)+SUMIFS($AC$7:$AC$1570,$BR$7:$BR$1570,BR31,$AF$7:$AF$1570,AF31,$BL$7:$BL$1570,"&lt;="&amp;BL31),"")</f>
        <v/>
      </c>
      <c r="AH31" s="65">
        <f>IF(AG31="",0,MAX(0,MIN(1,(IF(BR31="L1",Parameter!$K$5,Parameter!$K$6+Parameter!$K$7)-(AG31-AC31))/AC31)))</f>
        <v/>
      </c>
      <c r="AI31" s="55">
        <f>IF(LEFT(Cockpit!$I$5,1)="A",G31,IF(BT31=1,BU31,IF(LEFT(Cockpit!$I$5,1)="B",AM31,MAX(AM31,G31))))</f>
        <v/>
      </c>
      <c r="AJ31" s="55">
        <f>IF(BO31=1,0,ROUNDUP(AI31/BN31,0))</f>
        <v/>
      </c>
      <c r="AK31" s="64">
        <f>IF(BO31=1,IF(AI31&lt;=0,0,BP31*MAX(1,IF(G31&gt;0,AI31/G31,1))),AJ31*Q31)</f>
        <v/>
      </c>
      <c r="AL31" s="55">
        <f>AI31*F31</f>
        <v/>
      </c>
      <c r="AM31" s="55">
        <f>ROUNDUP(MAX(I31/IF(BS31&gt;0,BS31,MAX(0.1,N(Cockpit!$I$6))),BV31)/BN31,0)*BN31</f>
        <v/>
      </c>
      <c r="AN31" s="56">
        <f>IF(AK31&gt;0,I31/AK31,-1)</f>
        <v/>
      </c>
      <c r="AO31" s="56">
        <f>IF(AND(OR(BR31="L1",BR31="L23"),AK31&gt;0),SUMIFS($AK$7:$AK$1570,$BR$7:$BR$1570,BR31,$AN$7:$AN$1570,"&gt;"&amp;AN31)+SUMIFS($AK$7:$AK$1570,$BR$7:$BR$1570,BR31,$AN$7:$AN$1570,AN31,$BL$7:$BL$1570,"&lt;="&amp;BL31),"")</f>
        <v/>
      </c>
      <c r="AP31" s="65">
        <f>IF(AO31="",0,MAX(0,MIN(1,(IF(BR31="L1",Parameter!$K$5,Parameter!$K$6+Parameter!$K$7)-(AO31-AK31))/AK31)))</f>
        <v/>
      </c>
      <c r="AQ31" s="55">
        <f>IF(LEFT(Cockpit!$O$5,1)="A",G31,IF(BT31=1,BU31,IF(LEFT(Cockpit!$O$5,1)="B",AU31,MAX(AU31,G31))))</f>
        <v/>
      </c>
      <c r="AR31" s="55">
        <f>IF(BO31=1,0,ROUNDUP(AQ31/BN31,0))</f>
        <v/>
      </c>
      <c r="AS31" s="64">
        <f>IF(BO31=1,IF(AQ31&lt;=0,0,BP31*MAX(1,IF(G31&gt;0,AQ31/G31,1))),AR31*Q31)</f>
        <v/>
      </c>
      <c r="AT31" s="55">
        <f>AQ31*F31</f>
        <v/>
      </c>
      <c r="AU31" s="55">
        <f>ROUNDUP(MAX(I31/IF(BS31&gt;0,BS31,MAX(0.1,N(Cockpit!$O$6))),BV31)/BN31,0)*BN31</f>
        <v/>
      </c>
      <c r="AV31" s="56">
        <f>IF(AS31&gt;0,I31/AS31,-1)</f>
        <v/>
      </c>
      <c r="AW31" s="56">
        <f>IF(AND(OR(BR31="L1",BR31="L23"),AS31&gt;0),SUMIFS($AS$7:$AS$1570,$BR$7:$BR$1570,BR31,$AV$7:$AV$1570,"&gt;"&amp;AV31)+SUMIFS($AS$7:$AS$1570,$BR$7:$BR$1570,BR31,$AV$7:$AV$1570,AV31,$BL$7:$BL$1570,"&lt;="&amp;BL31),"")</f>
        <v/>
      </c>
      <c r="AX31" s="65">
        <f>IF(AW31="",0,MAX(0,MIN(1,(IF(BR31="L1",Parameter!$K$5,Parameter!$K$6+Parameter!$K$7)-(AW31-AS31))/AS31)))</f>
        <v/>
      </c>
      <c r="AY31" s="53">
        <f>IF(AC31&lt;=0,"",IF(BR31="Aussen","Aussenlager",IF(BR31="-","Nicht im Lift",IF(AH31&gt;=1,"Lift",IF(AH31&lt;=0,"Aussenlager","teilweise")))))</f>
        <v/>
      </c>
      <c r="AZ31" s="53">
        <f>IF(AK31&lt;=0,"",IF(BR31="Aussen","Aussenlager",IF(BR31="-","Nicht im Lift",IF(AP31&gt;=1,"Lift",IF(AP31&lt;=0,"Aussenlager","teilweise")))))</f>
        <v/>
      </c>
      <c r="BA31" s="53">
        <f>IF(AS31&lt;=0,"",IF(BR31="Aussen","Aussenlager",IF(BR31="-","Nicht im Lift",IF(AX31&gt;=1,"Lift",IF(AX31&lt;=0,"Aussenlager","teilweise")))))</f>
        <v/>
      </c>
      <c r="BB31" s="53">
        <f>IF(A31="","",IF(BK31=1,"Neu; ","")&amp;IF(AND(BK31=0,BF31&lt;0),"negativer Bestand (Export "&amp;BF31&amp;"); ","")&amp;IF(I31&lt;=0,"Kein Verbrauch; ","")&amp;IF(BO31=1,"Lose – Fläche geschätzt; ","")&amp;IF(G31&gt;AM31,"Überbestand "&amp;ROUND(G31-AM31,0)&amp;" Stk / CHF "&amp;ROUND((G31-AM31)*F31,0)&amp;"; ","")&amp;IF(AND(BT31=1,BU31&lt;BV31),"MAX &lt; MB+LG; ","")&amp;IF(AND(BZ31&gt;0,BY31*10&gt;BZ31),"zu hoch für Tablar; ","")&amp;IF(AND(BK31=0,OR(BT31=1,V31&lt;&gt;"",S31&lt;&gt;"",T31&lt;&gt;"",W31&lt;&gt;"")),"manuell übersteuert; ","")&amp;IF(AND(BO31=0,Q31=0),"Gebinde unbekannt; ","")&amp;IF(AND(BO31=0,N(T31)&lt;=0,N(P31)&lt;=0),"Menge pro Gebinde fehlt (Ist = 1 Gebinde); ","")&amp;BJ31)</f>
        <v/>
      </c>
      <c r="BC31" s="53" t="inlineStr">
        <is>
          <t>Letzter Zugang W20000056 2022</t>
        </is>
      </c>
      <c r="BD31" s="53" t="inlineStr">
        <is>
          <t>Rückverkauf/Umbau auf anderes VP?</t>
        </is>
      </c>
      <c r="BE31" s="61" t="n"/>
      <c r="BF31" s="55" t="n">
        <v>3</v>
      </c>
      <c r="BG31" s="55" t="n">
        <v>7</v>
      </c>
      <c r="BH31" s="54" t="n">
        <v>12035.70999999999</v>
      </c>
      <c r="BI31" s="55" t="n">
        <v>24</v>
      </c>
      <c r="BJ31" s="53" t="inlineStr"/>
      <c r="BK31" s="58" t="n">
        <v>0</v>
      </c>
      <c r="BL31" s="58" t="n">
        <v>31</v>
      </c>
      <c r="BM31" s="53">
        <f>IF(S31&lt;&gt;"",UPPER(TRIM(S31)),IF(O31="","LOSE",O31))</f>
        <v/>
      </c>
      <c r="BN31" s="55">
        <f>IF(BM31="LOSE",1,IF(N(T31)&gt;0,T31,IF(N(P31)&gt;0,P31,MAX(1,G31))))</f>
        <v/>
      </c>
      <c r="BO31" s="58">
        <f>IF(BM31="LOSE",1,0)</f>
        <v/>
      </c>
      <c r="BP31" s="64">
        <f>IF(BO31=0,0,IF(N(R31)&gt;0,R31,IFERROR(VLOOKUP(D31,Parameter!$A$35:$C$64,3,0)+0,0)))</f>
        <v/>
      </c>
      <c r="BQ31" s="53">
        <f>IF(V31&lt;&gt;"",V31,U31)</f>
        <v/>
      </c>
      <c r="BR31" s="53">
        <f>IF(BQ31=1,"L1",IF(OR(BQ31=2,BQ31=3),"L23",IF(BQ31="Aussen","Aussen","-")))</f>
        <v/>
      </c>
      <c r="BS31" s="66">
        <f>IF(N(W31)&gt;0,W31,0)</f>
        <v/>
      </c>
      <c r="BT31" s="58">
        <f>IF(ISNUMBER(Z31),1,0)</f>
        <v/>
      </c>
      <c r="BU31" s="55">
        <f>N(Z31)</f>
        <v/>
      </c>
      <c r="BV31" s="55">
        <f>N(L31)+N(M31)</f>
        <v/>
      </c>
      <c r="BW31" s="55">
        <f>ROUNDUP(G31/BN31,0)</f>
        <v/>
      </c>
      <c r="BX31" s="55">
        <f>ROUNDUP(BU31/BN31,0)</f>
        <v/>
      </c>
      <c r="BY31" s="58">
        <f>IF(BO31=1,0,IFERROR(VLOOKUP(BM31,'Gebinde-Kategorie'!$A$5:$G$45,5,0)+0,0))</f>
        <v/>
      </c>
      <c r="BZ31" s="58">
        <f>IFERROR(IF(OR(BQ31=1,BQ31=2,BQ31=3),N(INDEX(Parameter!$I$5:$I$7,BQ31)),0),0)</f>
        <v/>
      </c>
    </row>
    <row r="32">
      <c r="A32" s="53" t="inlineStr">
        <is>
          <t>110978</t>
        </is>
      </c>
      <c r="B32" s="53" t="inlineStr">
        <is>
          <t>Austrittsdüsenschauglas komplett</t>
        </is>
      </c>
      <c r="C32" s="53" t="inlineStr">
        <is>
          <t>F</t>
        </is>
      </c>
      <c r="D32" s="53" t="inlineStr">
        <is>
          <t>PAL</t>
        </is>
      </c>
      <c r="E32" s="53" t="inlineStr">
        <is>
          <t>C</t>
        </is>
      </c>
      <c r="F32" s="54" t="n">
        <v>2801</v>
      </c>
      <c r="G32" s="55">
        <f>MAX(0,IF(Parameter!$B$20="Jahresanfang 2025 + Export",BG32+BF32,BF32))</f>
        <v/>
      </c>
      <c r="H32" s="55">
        <f>G32*F32</f>
        <v/>
      </c>
      <c r="I32" s="55">
        <f>BI32*Parameter!$B$18</f>
        <v/>
      </c>
      <c r="J32" s="56" t="n">
        <v>0.5</v>
      </c>
      <c r="K32" s="57" t="n">
        <v>0</v>
      </c>
      <c r="L32" s="55" t="n">
        <v>0</v>
      </c>
      <c r="M32" s="55" t="n">
        <v>1</v>
      </c>
      <c r="N32" s="58" t="n">
        <v>56</v>
      </c>
      <c r="O32" s="53" t="inlineStr">
        <is>
          <t>LOSE</t>
        </is>
      </c>
      <c r="P32" s="55" t="n"/>
      <c r="Q32" s="59">
        <f>IF(BO32=1,0,IFERROR(VLOOKUP(BM32,'Gebinde-Kategorie'!$A$5:$G$45,6,0)+0,0))</f>
        <v/>
      </c>
      <c r="R32" s="60" t="n"/>
      <c r="S32" s="61" t="n"/>
      <c r="T32" s="61" t="n"/>
      <c r="U32" s="53">
        <f>IF(A32="","",IF(IFERROR(VLOOKUP(D32,Parameter!$A$35:$C$64,2,0),"Nein")="2+3",IF(ISNUMBER(SEARCH("grosser Artikel",BJ32)),2,IFERROR(VLOOKUP(BM32,Parameter!$F$35:$G$64,2,0),2)),IF(OR(IFERROR(VLOOKUP(D32,Parameter!$A$35:$C$64,2,0),"Nein")="Nein",IFERROR(VLOOKUP(D32,Parameter!$A$35:$C$64,2,0),"Nein")=""),"-",VLOOKUP(D32,Parameter!$A$35:$C$64,2,0))))</f>
        <v/>
      </c>
      <c r="V32" s="61" t="n"/>
      <c r="W32" s="62" t="n"/>
      <c r="X32" s="55">
        <f>AM32</f>
        <v/>
      </c>
      <c r="Y32" s="55">
        <f>MAX(AM32,G32)</f>
        <v/>
      </c>
      <c r="Z32" s="63" t="n"/>
      <c r="AA32" s="55">
        <f>IF(LEFT(Cockpit!$C$5,1)="A",G32,IF(BT32=1,BU32,IF(LEFT(Cockpit!$C$5,1)="B",AE32,MAX(AE32,G32))))</f>
        <v/>
      </c>
      <c r="AB32" s="55">
        <f>IF(BO32=1,0,ROUNDUP(AA32/BN32,0))</f>
        <v/>
      </c>
      <c r="AC32" s="64">
        <f>IF(BO32=1,IF(AA32&lt;=0,0,BP32*MAX(1,IF(G32&gt;0,AA32/G32,1))),AB32*Q32)</f>
        <v/>
      </c>
      <c r="AD32" s="55">
        <f>AA32*F32</f>
        <v/>
      </c>
      <c r="AE32" s="55">
        <f>ROUNDUP(MAX(I32/IF(BS32&gt;0,BS32,MAX(0.1,N(Cockpit!$C$6))),BV32)/BN32,0)*BN32</f>
        <v/>
      </c>
      <c r="AF32" s="56">
        <f>IF(AC32&gt;0,I32/AC32,-1)</f>
        <v/>
      </c>
      <c r="AG32" s="56">
        <f>IF(AND(OR(BR32="L1",BR32="L23"),AC32&gt;0),SUMIFS($AC$7:$AC$1570,$BR$7:$BR$1570,BR32,$AF$7:$AF$1570,"&gt;"&amp;AF32)+SUMIFS($AC$7:$AC$1570,$BR$7:$BR$1570,BR32,$AF$7:$AF$1570,AF32,$BL$7:$BL$1570,"&lt;="&amp;BL32),"")</f>
        <v/>
      </c>
      <c r="AH32" s="65">
        <f>IF(AG32="",0,MAX(0,MIN(1,(IF(BR32="L1",Parameter!$K$5,Parameter!$K$6+Parameter!$K$7)-(AG32-AC32))/AC32)))</f>
        <v/>
      </c>
      <c r="AI32" s="55">
        <f>IF(LEFT(Cockpit!$I$5,1)="A",G32,IF(BT32=1,BU32,IF(LEFT(Cockpit!$I$5,1)="B",AM32,MAX(AM32,G32))))</f>
        <v/>
      </c>
      <c r="AJ32" s="55">
        <f>IF(BO32=1,0,ROUNDUP(AI32/BN32,0))</f>
        <v/>
      </c>
      <c r="AK32" s="64">
        <f>IF(BO32=1,IF(AI32&lt;=0,0,BP32*MAX(1,IF(G32&gt;0,AI32/G32,1))),AJ32*Q32)</f>
        <v/>
      </c>
      <c r="AL32" s="55">
        <f>AI32*F32</f>
        <v/>
      </c>
      <c r="AM32" s="55">
        <f>ROUNDUP(MAX(I32/IF(BS32&gt;0,BS32,MAX(0.1,N(Cockpit!$I$6))),BV32)/BN32,0)*BN32</f>
        <v/>
      </c>
      <c r="AN32" s="56">
        <f>IF(AK32&gt;0,I32/AK32,-1)</f>
        <v/>
      </c>
      <c r="AO32" s="56">
        <f>IF(AND(OR(BR32="L1",BR32="L23"),AK32&gt;0),SUMIFS($AK$7:$AK$1570,$BR$7:$BR$1570,BR32,$AN$7:$AN$1570,"&gt;"&amp;AN32)+SUMIFS($AK$7:$AK$1570,$BR$7:$BR$1570,BR32,$AN$7:$AN$1570,AN32,$BL$7:$BL$1570,"&lt;="&amp;BL32),"")</f>
        <v/>
      </c>
      <c r="AP32" s="65">
        <f>IF(AO32="",0,MAX(0,MIN(1,(IF(BR32="L1",Parameter!$K$5,Parameter!$K$6+Parameter!$K$7)-(AO32-AK32))/AK32)))</f>
        <v/>
      </c>
      <c r="AQ32" s="55">
        <f>IF(LEFT(Cockpit!$O$5,1)="A",G32,IF(BT32=1,BU32,IF(LEFT(Cockpit!$O$5,1)="B",AU32,MAX(AU32,G32))))</f>
        <v/>
      </c>
      <c r="AR32" s="55">
        <f>IF(BO32=1,0,ROUNDUP(AQ32/BN32,0))</f>
        <v/>
      </c>
      <c r="AS32" s="64">
        <f>IF(BO32=1,IF(AQ32&lt;=0,0,BP32*MAX(1,IF(G32&gt;0,AQ32/G32,1))),AR32*Q32)</f>
        <v/>
      </c>
      <c r="AT32" s="55">
        <f>AQ32*F32</f>
        <v/>
      </c>
      <c r="AU32" s="55">
        <f>ROUNDUP(MAX(I32/IF(BS32&gt;0,BS32,MAX(0.1,N(Cockpit!$O$6))),BV32)/BN32,0)*BN32</f>
        <v/>
      </c>
      <c r="AV32" s="56">
        <f>IF(AS32&gt;0,I32/AS32,-1)</f>
        <v/>
      </c>
      <c r="AW32" s="56">
        <f>IF(AND(OR(BR32="L1",BR32="L23"),AS32&gt;0),SUMIFS($AS$7:$AS$1570,$BR$7:$BR$1570,BR32,$AV$7:$AV$1570,"&gt;"&amp;AV32)+SUMIFS($AS$7:$AS$1570,$BR$7:$BR$1570,BR32,$AV$7:$AV$1570,AV32,$BL$7:$BL$1570,"&lt;="&amp;BL32),"")</f>
        <v/>
      </c>
      <c r="AX32" s="65">
        <f>IF(AW32="",0,MAX(0,MIN(1,(IF(BR32="L1",Parameter!$K$5,Parameter!$K$6+Parameter!$K$7)-(AW32-AS32))/AS32)))</f>
        <v/>
      </c>
      <c r="AY32" s="53">
        <f>IF(AC32&lt;=0,"",IF(BR32="Aussen","Aussenlager",IF(BR32="-","Nicht im Lift",IF(AH32&gt;=1,"Lift",IF(AH32&lt;=0,"Aussenlager","teilweise")))))</f>
        <v/>
      </c>
      <c r="AZ32" s="53">
        <f>IF(AK32&lt;=0,"",IF(BR32="Aussen","Aussenlager",IF(BR32="-","Nicht im Lift",IF(AP32&gt;=1,"Lift",IF(AP32&lt;=0,"Aussenlager","teilweise")))))</f>
        <v/>
      </c>
      <c r="BA32" s="53">
        <f>IF(AS32&lt;=0,"",IF(BR32="Aussen","Aussenlager",IF(BR32="-","Nicht im Lift",IF(AX32&gt;=1,"Lift",IF(AX32&lt;=0,"Aussenlager","teilweise")))))</f>
        <v/>
      </c>
      <c r="BB32" s="53">
        <f>IF(A32="","",IF(BK32=1,"Neu; ","")&amp;IF(AND(BK32=0,BF32&lt;0),"negativer Bestand (Export "&amp;BF32&amp;"); ","")&amp;IF(I32&lt;=0,"Kein Verbrauch; ","")&amp;IF(BO32=1,"Lose – Fläche geschätzt; ","")&amp;IF(G32&gt;AM32,"Überbestand "&amp;ROUND(G32-AM32,0)&amp;" Stk / CHF "&amp;ROUND((G32-AM32)*F32,0)&amp;"; ","")&amp;IF(AND(BT32=1,BU32&lt;BV32),"MAX &lt; MB+LG; ","")&amp;IF(AND(BZ32&gt;0,BY32*10&gt;BZ32),"zu hoch für Tablar; ","")&amp;IF(AND(BK32=0,OR(BT32=1,V32&lt;&gt;"",S32&lt;&gt;"",T32&lt;&gt;"",W32&lt;&gt;"")),"manuell übersteuert; ","")&amp;IF(AND(BO32=0,Q32=0),"Gebinde unbekannt; ","")&amp;IF(AND(BO32=0,N(T32)&lt;=0,N(P32)&lt;=0),"Menge pro Gebinde fehlt (Ist = 1 Gebinde); ","")&amp;BJ32)</f>
        <v/>
      </c>
      <c r="BC32" s="53" t="inlineStr">
        <is>
          <t>MB war auf 35 Stk. + Losgrösse 35 Stk. Letzter WE 07/2025 + Feldaustausch war vorgesehen und ist daraufhin nicht zustande gekommen (Zeitfestigkeit)</t>
        </is>
      </c>
      <c r="BD32" s="53" t="inlineStr">
        <is>
          <t>Keine</t>
        </is>
      </c>
      <c r="BE32" s="61" t="n"/>
      <c r="BF32" s="55" t="n">
        <v>4</v>
      </c>
      <c r="BG32" s="55" t="n">
        <v>0</v>
      </c>
      <c r="BH32" s="54" t="n">
        <v>11204</v>
      </c>
      <c r="BI32" s="55" t="n">
        <v>0</v>
      </c>
      <c r="BJ32" s="53" t="inlineStr"/>
      <c r="BK32" s="58" t="n">
        <v>0</v>
      </c>
      <c r="BL32" s="58" t="n">
        <v>32</v>
      </c>
      <c r="BM32" s="53">
        <f>IF(S32&lt;&gt;"",UPPER(TRIM(S32)),IF(O32="","LOSE",O32))</f>
        <v/>
      </c>
      <c r="BN32" s="55">
        <f>IF(BM32="LOSE",1,IF(N(T32)&gt;0,T32,IF(N(P32)&gt;0,P32,MAX(1,G32))))</f>
        <v/>
      </c>
      <c r="BO32" s="58">
        <f>IF(BM32="LOSE",1,0)</f>
        <v/>
      </c>
      <c r="BP32" s="64">
        <f>IF(BO32=0,0,IF(N(R32)&gt;0,R32,IFERROR(VLOOKUP(D32,Parameter!$A$35:$C$64,3,0)+0,0)))</f>
        <v/>
      </c>
      <c r="BQ32" s="53">
        <f>IF(V32&lt;&gt;"",V32,U32)</f>
        <v/>
      </c>
      <c r="BR32" s="53">
        <f>IF(BQ32=1,"L1",IF(OR(BQ32=2,BQ32=3),"L23",IF(BQ32="Aussen","Aussen","-")))</f>
        <v/>
      </c>
      <c r="BS32" s="66">
        <f>IF(N(W32)&gt;0,W32,0)</f>
        <v/>
      </c>
      <c r="BT32" s="58">
        <f>IF(ISNUMBER(Z32),1,0)</f>
        <v/>
      </c>
      <c r="BU32" s="55">
        <f>N(Z32)</f>
        <v/>
      </c>
      <c r="BV32" s="55">
        <f>N(L32)+N(M32)</f>
        <v/>
      </c>
      <c r="BW32" s="55">
        <f>ROUNDUP(G32/BN32,0)</f>
        <v/>
      </c>
      <c r="BX32" s="55">
        <f>ROUNDUP(BU32/BN32,0)</f>
        <v/>
      </c>
      <c r="BY32" s="58">
        <f>IF(BO32=1,0,IFERROR(VLOOKUP(BM32,'Gebinde-Kategorie'!$A$5:$G$45,5,0)+0,0))</f>
        <v/>
      </c>
      <c r="BZ32" s="58">
        <f>IFERROR(IF(OR(BQ32=1,BQ32=2,BQ32=3),N(INDEX(Parameter!$I$5:$I$7,BQ32)),0),0)</f>
        <v/>
      </c>
    </row>
    <row r="33">
      <c r="A33" s="53" t="inlineStr">
        <is>
          <t>111495</t>
        </is>
      </c>
      <c r="B33" s="53" t="inlineStr">
        <is>
          <t>Verpackung Service Kit 7k, SPGr10</t>
        </is>
      </c>
      <c r="C33" s="53" t="inlineStr">
        <is>
          <t>F</t>
        </is>
      </c>
      <c r="D33" s="53" t="inlineStr">
        <is>
          <t>PAL</t>
        </is>
      </c>
      <c r="E33" s="53" t="inlineStr">
        <is>
          <t>C</t>
        </is>
      </c>
      <c r="F33" s="54" t="n">
        <v>256.88</v>
      </c>
      <c r="G33" s="55">
        <f>MAX(0,IF(Parameter!$B$20="Jahresanfang 2025 + Export",BG33+BF33,BF33))</f>
        <v/>
      </c>
      <c r="H33" s="55">
        <f>G33*F33</f>
        <v/>
      </c>
      <c r="I33" s="55">
        <f>BI33*Parameter!$B$18</f>
        <v/>
      </c>
      <c r="J33" s="56" t="n">
        <v>0</v>
      </c>
      <c r="K33" s="57" t="n">
        <v>0</v>
      </c>
      <c r="L33" s="55" t="n">
        <v>12</v>
      </c>
      <c r="M33" s="55" t="n">
        <v>48</v>
      </c>
      <c r="N33" s="58" t="n">
        <v>28</v>
      </c>
      <c r="O33" s="53" t="inlineStr">
        <is>
          <t>LOSE</t>
        </is>
      </c>
      <c r="P33" s="55" t="n"/>
      <c r="Q33" s="59">
        <f>IF(BO33=1,0,IFERROR(VLOOKUP(BM33,'Gebinde-Kategorie'!$A$5:$G$45,6,0)+0,0))</f>
        <v/>
      </c>
      <c r="R33" s="60" t="n"/>
      <c r="S33" s="61" t="n"/>
      <c r="T33" s="61" t="n"/>
      <c r="U33" s="53">
        <f>IF(A33="","",IF(IFERROR(VLOOKUP(D33,Parameter!$A$35:$C$64,2,0),"Nein")="2+3",IF(ISNUMBER(SEARCH("grosser Artikel",BJ33)),2,IFERROR(VLOOKUP(BM33,Parameter!$F$35:$G$64,2,0),2)),IF(OR(IFERROR(VLOOKUP(D33,Parameter!$A$35:$C$64,2,0),"Nein")="Nein",IFERROR(VLOOKUP(D33,Parameter!$A$35:$C$64,2,0),"Nein")=""),"-",VLOOKUP(D33,Parameter!$A$35:$C$64,2,0))))</f>
        <v/>
      </c>
      <c r="V33" s="61" t="n"/>
      <c r="W33" s="62" t="n"/>
      <c r="X33" s="55">
        <f>AM33</f>
        <v/>
      </c>
      <c r="Y33" s="55">
        <f>MAX(AM33,G33)</f>
        <v/>
      </c>
      <c r="Z33" s="63" t="n"/>
      <c r="AA33" s="55">
        <f>IF(LEFT(Cockpit!$C$5,1)="A",G33,IF(BT33=1,BU33,IF(LEFT(Cockpit!$C$5,1)="B",AE33,MAX(AE33,G33))))</f>
        <v/>
      </c>
      <c r="AB33" s="55">
        <f>IF(BO33=1,0,ROUNDUP(AA33/BN33,0))</f>
        <v/>
      </c>
      <c r="AC33" s="64">
        <f>IF(BO33=1,IF(AA33&lt;=0,0,BP33*MAX(1,IF(G33&gt;0,AA33/G33,1))),AB33*Q33)</f>
        <v/>
      </c>
      <c r="AD33" s="55">
        <f>AA33*F33</f>
        <v/>
      </c>
      <c r="AE33" s="55">
        <f>ROUNDUP(MAX(I33/IF(BS33&gt;0,BS33,MAX(0.1,N(Cockpit!$C$6))),BV33)/BN33,0)*BN33</f>
        <v/>
      </c>
      <c r="AF33" s="56">
        <f>IF(AC33&gt;0,I33/AC33,-1)</f>
        <v/>
      </c>
      <c r="AG33" s="56">
        <f>IF(AND(OR(BR33="L1",BR33="L23"),AC33&gt;0),SUMIFS($AC$7:$AC$1570,$BR$7:$BR$1570,BR33,$AF$7:$AF$1570,"&gt;"&amp;AF33)+SUMIFS($AC$7:$AC$1570,$BR$7:$BR$1570,BR33,$AF$7:$AF$1570,AF33,$BL$7:$BL$1570,"&lt;="&amp;BL33),"")</f>
        <v/>
      </c>
      <c r="AH33" s="65">
        <f>IF(AG33="",0,MAX(0,MIN(1,(IF(BR33="L1",Parameter!$K$5,Parameter!$K$6+Parameter!$K$7)-(AG33-AC33))/AC33)))</f>
        <v/>
      </c>
      <c r="AI33" s="55">
        <f>IF(LEFT(Cockpit!$I$5,1)="A",G33,IF(BT33=1,BU33,IF(LEFT(Cockpit!$I$5,1)="B",AM33,MAX(AM33,G33))))</f>
        <v/>
      </c>
      <c r="AJ33" s="55">
        <f>IF(BO33=1,0,ROUNDUP(AI33/BN33,0))</f>
        <v/>
      </c>
      <c r="AK33" s="64">
        <f>IF(BO33=1,IF(AI33&lt;=0,0,BP33*MAX(1,IF(G33&gt;0,AI33/G33,1))),AJ33*Q33)</f>
        <v/>
      </c>
      <c r="AL33" s="55">
        <f>AI33*F33</f>
        <v/>
      </c>
      <c r="AM33" s="55">
        <f>ROUNDUP(MAX(I33/IF(BS33&gt;0,BS33,MAX(0.1,N(Cockpit!$I$6))),BV33)/BN33,0)*BN33</f>
        <v/>
      </c>
      <c r="AN33" s="56">
        <f>IF(AK33&gt;0,I33/AK33,-1)</f>
        <v/>
      </c>
      <c r="AO33" s="56">
        <f>IF(AND(OR(BR33="L1",BR33="L23"),AK33&gt;0),SUMIFS($AK$7:$AK$1570,$BR$7:$BR$1570,BR33,$AN$7:$AN$1570,"&gt;"&amp;AN33)+SUMIFS($AK$7:$AK$1570,$BR$7:$BR$1570,BR33,$AN$7:$AN$1570,AN33,$BL$7:$BL$1570,"&lt;="&amp;BL33),"")</f>
        <v/>
      </c>
      <c r="AP33" s="65">
        <f>IF(AO33="",0,MAX(0,MIN(1,(IF(BR33="L1",Parameter!$K$5,Parameter!$K$6+Parameter!$K$7)-(AO33-AK33))/AK33)))</f>
        <v/>
      </c>
      <c r="AQ33" s="55">
        <f>IF(LEFT(Cockpit!$O$5,1)="A",G33,IF(BT33=1,BU33,IF(LEFT(Cockpit!$O$5,1)="B",AU33,MAX(AU33,G33))))</f>
        <v/>
      </c>
      <c r="AR33" s="55">
        <f>IF(BO33=1,0,ROUNDUP(AQ33/BN33,0))</f>
        <v/>
      </c>
      <c r="AS33" s="64">
        <f>IF(BO33=1,IF(AQ33&lt;=0,0,BP33*MAX(1,IF(G33&gt;0,AQ33/G33,1))),AR33*Q33)</f>
        <v/>
      </c>
      <c r="AT33" s="55">
        <f>AQ33*F33</f>
        <v/>
      </c>
      <c r="AU33" s="55">
        <f>ROUNDUP(MAX(I33/IF(BS33&gt;0,BS33,MAX(0.1,N(Cockpit!$O$6))),BV33)/BN33,0)*BN33</f>
        <v/>
      </c>
      <c r="AV33" s="56">
        <f>IF(AS33&gt;0,I33/AS33,-1)</f>
        <v/>
      </c>
      <c r="AW33" s="56">
        <f>IF(AND(OR(BR33="L1",BR33="L23"),AS33&gt;0),SUMIFS($AS$7:$AS$1570,$BR$7:$BR$1570,BR33,$AV$7:$AV$1570,"&gt;"&amp;AV33)+SUMIFS($AS$7:$AS$1570,$BR$7:$BR$1570,BR33,$AV$7:$AV$1570,AV33,$BL$7:$BL$1570,"&lt;="&amp;BL33),"")</f>
        <v/>
      </c>
      <c r="AX33" s="65">
        <f>IF(AW33="",0,MAX(0,MIN(1,(IF(BR33="L1",Parameter!$K$5,Parameter!$K$6+Parameter!$K$7)-(AW33-AS33))/AS33)))</f>
        <v/>
      </c>
      <c r="AY33" s="53">
        <f>IF(AC33&lt;=0,"",IF(BR33="Aussen","Aussenlager",IF(BR33="-","Nicht im Lift",IF(AH33&gt;=1,"Lift",IF(AH33&lt;=0,"Aussenlager","teilweise")))))</f>
        <v/>
      </c>
      <c r="AZ33" s="53">
        <f>IF(AK33&lt;=0,"",IF(BR33="Aussen","Aussenlager",IF(BR33="-","Nicht im Lift",IF(AP33&gt;=1,"Lift",IF(AP33&lt;=0,"Aussenlager","teilweise")))))</f>
        <v/>
      </c>
      <c r="BA33" s="53">
        <f>IF(AS33&lt;=0,"",IF(BR33="Aussen","Aussenlager",IF(BR33="-","Nicht im Lift",IF(AX33&gt;=1,"Lift",IF(AX33&lt;=0,"Aussenlager","teilweise")))))</f>
        <v/>
      </c>
      <c r="BB33" s="53">
        <f>IF(A33="","",IF(BK33=1,"Neu; ","")&amp;IF(AND(BK33=0,BF33&lt;0),"negativer Bestand (Export "&amp;BF33&amp;"); ","")&amp;IF(I33&lt;=0,"Kein Verbrauch; ","")&amp;IF(BO33=1,"Lose – Fläche geschätzt; ","")&amp;IF(G33&gt;AM33,"Überbestand "&amp;ROUND(G33-AM33,0)&amp;" Stk / CHF "&amp;ROUND((G33-AM33)*F33,0)&amp;"; ","")&amp;IF(AND(BT33=1,BU33&lt;BV33),"MAX &lt; MB+LG; ","")&amp;IF(AND(BZ33&gt;0,BY33*10&gt;BZ33),"zu hoch für Tablar; ","")&amp;IF(AND(BK33=0,OR(BT33=1,V33&lt;&gt;"",S33&lt;&gt;"",T33&lt;&gt;"",W33&lt;&gt;"")),"manuell übersteuert; ","")&amp;IF(AND(BO33=0,Q33=0),"Gebinde unbekannt; ","")&amp;IF(AND(BO33=0,N(T33)&lt;=0,N(P33)&lt;=0),"Menge pro Gebinde fehlt (Ist = 1 Gebinde); ","")&amp;BJ33)</f>
        <v/>
      </c>
      <c r="BC33" s="53" t="inlineStr">
        <is>
          <t>Bedarf durch Angebote getrieben, welche verschoben wurden WBZ ist zu lang - Verbraucht bis ca Ende 2026</t>
        </is>
      </c>
      <c r="BD33" s="53" t="inlineStr">
        <is>
          <t>Keine</t>
        </is>
      </c>
      <c r="BE33" s="61" t="n"/>
      <c r="BF33" s="55" t="n">
        <v>43</v>
      </c>
      <c r="BG33" s="55" t="n">
        <v>0</v>
      </c>
      <c r="BH33" s="54" t="n">
        <v>11045.84</v>
      </c>
      <c r="BI33" s="55" t="n">
        <v>0</v>
      </c>
      <c r="BJ33" s="53" t="inlineStr"/>
      <c r="BK33" s="58" t="n">
        <v>0</v>
      </c>
      <c r="BL33" s="58" t="n">
        <v>33</v>
      </c>
      <c r="BM33" s="53">
        <f>IF(S33&lt;&gt;"",UPPER(TRIM(S33)),IF(O33="","LOSE",O33))</f>
        <v/>
      </c>
      <c r="BN33" s="55">
        <f>IF(BM33="LOSE",1,IF(N(T33)&gt;0,T33,IF(N(P33)&gt;0,P33,MAX(1,G33))))</f>
        <v/>
      </c>
      <c r="BO33" s="58">
        <f>IF(BM33="LOSE",1,0)</f>
        <v/>
      </c>
      <c r="BP33" s="64">
        <f>IF(BO33=0,0,IF(N(R33)&gt;0,R33,IFERROR(VLOOKUP(D33,Parameter!$A$35:$C$64,3,0)+0,0)))</f>
        <v/>
      </c>
      <c r="BQ33" s="53">
        <f>IF(V33&lt;&gt;"",V33,U33)</f>
        <v/>
      </c>
      <c r="BR33" s="53">
        <f>IF(BQ33=1,"L1",IF(OR(BQ33=2,BQ33=3),"L23",IF(BQ33="Aussen","Aussen","-")))</f>
        <v/>
      </c>
      <c r="BS33" s="66">
        <f>IF(N(W33)&gt;0,W33,0)</f>
        <v/>
      </c>
      <c r="BT33" s="58">
        <f>IF(ISNUMBER(Z33),1,0)</f>
        <v/>
      </c>
      <c r="BU33" s="55">
        <f>N(Z33)</f>
        <v/>
      </c>
      <c r="BV33" s="55">
        <f>N(L33)+N(M33)</f>
        <v/>
      </c>
      <c r="BW33" s="55">
        <f>ROUNDUP(G33/BN33,0)</f>
        <v/>
      </c>
      <c r="BX33" s="55">
        <f>ROUNDUP(BU33/BN33,0)</f>
        <v/>
      </c>
      <c r="BY33" s="58">
        <f>IF(BO33=1,0,IFERROR(VLOOKUP(BM33,'Gebinde-Kategorie'!$A$5:$G$45,5,0)+0,0))</f>
        <v/>
      </c>
      <c r="BZ33" s="58">
        <f>IFERROR(IF(OR(BQ33=1,BQ33=2,BQ33=3),N(INDEX(Parameter!$I$5:$I$7,BQ33)),0),0)</f>
        <v/>
      </c>
    </row>
    <row r="34">
      <c r="A34" s="53" t="inlineStr">
        <is>
          <t>109651</t>
        </is>
      </c>
      <c r="B34" s="53" t="inlineStr">
        <is>
          <t>Austrittsdüse SPGr16</t>
        </is>
      </c>
      <c r="C34" s="53" t="inlineStr">
        <is>
          <t>F</t>
        </is>
      </c>
      <c r="D34" s="53" t="inlineStr">
        <is>
          <t>PAL</t>
        </is>
      </c>
      <c r="E34" s="53" t="inlineStr">
        <is>
          <t>C</t>
        </is>
      </c>
      <c r="F34" s="54" t="n">
        <v>3576.83</v>
      </c>
      <c r="G34" s="55">
        <f>MAX(0,IF(Parameter!$B$20="Jahresanfang 2025 + Export",BG34+BF34,BF34))</f>
        <v/>
      </c>
      <c r="H34" s="55">
        <f>G34*F34</f>
        <v/>
      </c>
      <c r="I34" s="55">
        <f>BI34*Parameter!$B$18</f>
        <v/>
      </c>
      <c r="J34" s="56" t="n">
        <v>4.5</v>
      </c>
      <c r="K34" s="57" t="n">
        <v>0.4444444444444444</v>
      </c>
      <c r="L34" s="55" t="n">
        <v>2</v>
      </c>
      <c r="M34" s="55" t="n">
        <v>5</v>
      </c>
      <c r="N34" s="58" t="n">
        <v>84</v>
      </c>
      <c r="O34" s="53" t="inlineStr">
        <is>
          <t>LOSE</t>
        </is>
      </c>
      <c r="P34" s="55" t="n"/>
      <c r="Q34" s="59">
        <f>IF(BO34=1,0,IFERROR(VLOOKUP(BM34,'Gebinde-Kategorie'!$A$5:$G$45,6,0)+0,0))</f>
        <v/>
      </c>
      <c r="R34" s="60" t="n"/>
      <c r="S34" s="61" t="n"/>
      <c r="T34" s="61" t="n"/>
      <c r="U34" s="53">
        <f>IF(A34="","",IF(IFERROR(VLOOKUP(D34,Parameter!$A$35:$C$64,2,0),"Nein")="2+3",IF(ISNUMBER(SEARCH("grosser Artikel",BJ34)),2,IFERROR(VLOOKUP(BM34,Parameter!$F$35:$G$64,2,0),2)),IF(OR(IFERROR(VLOOKUP(D34,Parameter!$A$35:$C$64,2,0),"Nein")="Nein",IFERROR(VLOOKUP(D34,Parameter!$A$35:$C$64,2,0),"Nein")=""),"-",VLOOKUP(D34,Parameter!$A$35:$C$64,2,0))))</f>
        <v/>
      </c>
      <c r="V34" s="61" t="n"/>
      <c r="W34" s="62" t="n"/>
      <c r="X34" s="55">
        <f>AM34</f>
        <v/>
      </c>
      <c r="Y34" s="55">
        <f>MAX(AM34,G34)</f>
        <v/>
      </c>
      <c r="Z34" s="63" t="n"/>
      <c r="AA34" s="55">
        <f>IF(LEFT(Cockpit!$C$5,1)="A",G34,IF(BT34=1,BU34,IF(LEFT(Cockpit!$C$5,1)="B",AE34,MAX(AE34,G34))))</f>
        <v/>
      </c>
      <c r="AB34" s="55">
        <f>IF(BO34=1,0,ROUNDUP(AA34/BN34,0))</f>
        <v/>
      </c>
      <c r="AC34" s="64">
        <f>IF(BO34=1,IF(AA34&lt;=0,0,BP34*MAX(1,IF(G34&gt;0,AA34/G34,1))),AB34*Q34)</f>
        <v/>
      </c>
      <c r="AD34" s="55">
        <f>AA34*F34</f>
        <v/>
      </c>
      <c r="AE34" s="55">
        <f>ROUNDUP(MAX(I34/IF(BS34&gt;0,BS34,MAX(0.1,N(Cockpit!$C$6))),BV34)/BN34,0)*BN34</f>
        <v/>
      </c>
      <c r="AF34" s="56">
        <f>IF(AC34&gt;0,I34/AC34,-1)</f>
        <v/>
      </c>
      <c r="AG34" s="56">
        <f>IF(AND(OR(BR34="L1",BR34="L23"),AC34&gt;0),SUMIFS($AC$7:$AC$1570,$BR$7:$BR$1570,BR34,$AF$7:$AF$1570,"&gt;"&amp;AF34)+SUMIFS($AC$7:$AC$1570,$BR$7:$BR$1570,BR34,$AF$7:$AF$1570,AF34,$BL$7:$BL$1570,"&lt;="&amp;BL34),"")</f>
        <v/>
      </c>
      <c r="AH34" s="65">
        <f>IF(AG34="",0,MAX(0,MIN(1,(IF(BR34="L1",Parameter!$K$5,Parameter!$K$6+Parameter!$K$7)-(AG34-AC34))/AC34)))</f>
        <v/>
      </c>
      <c r="AI34" s="55">
        <f>IF(LEFT(Cockpit!$I$5,1)="A",G34,IF(BT34=1,BU34,IF(LEFT(Cockpit!$I$5,1)="B",AM34,MAX(AM34,G34))))</f>
        <v/>
      </c>
      <c r="AJ34" s="55">
        <f>IF(BO34=1,0,ROUNDUP(AI34/BN34,0))</f>
        <v/>
      </c>
      <c r="AK34" s="64">
        <f>IF(BO34=1,IF(AI34&lt;=0,0,BP34*MAX(1,IF(G34&gt;0,AI34/G34,1))),AJ34*Q34)</f>
        <v/>
      </c>
      <c r="AL34" s="55">
        <f>AI34*F34</f>
        <v/>
      </c>
      <c r="AM34" s="55">
        <f>ROUNDUP(MAX(I34/IF(BS34&gt;0,BS34,MAX(0.1,N(Cockpit!$I$6))),BV34)/BN34,0)*BN34</f>
        <v/>
      </c>
      <c r="AN34" s="56">
        <f>IF(AK34&gt;0,I34/AK34,-1)</f>
        <v/>
      </c>
      <c r="AO34" s="56">
        <f>IF(AND(OR(BR34="L1",BR34="L23"),AK34&gt;0),SUMIFS($AK$7:$AK$1570,$BR$7:$BR$1570,BR34,$AN$7:$AN$1570,"&gt;"&amp;AN34)+SUMIFS($AK$7:$AK$1570,$BR$7:$BR$1570,BR34,$AN$7:$AN$1570,AN34,$BL$7:$BL$1570,"&lt;="&amp;BL34),"")</f>
        <v/>
      </c>
      <c r="AP34" s="65">
        <f>IF(AO34="",0,MAX(0,MIN(1,(IF(BR34="L1",Parameter!$K$5,Parameter!$K$6+Parameter!$K$7)-(AO34-AK34))/AK34)))</f>
        <v/>
      </c>
      <c r="AQ34" s="55">
        <f>IF(LEFT(Cockpit!$O$5,1)="A",G34,IF(BT34=1,BU34,IF(LEFT(Cockpit!$O$5,1)="B",AU34,MAX(AU34,G34))))</f>
        <v/>
      </c>
      <c r="AR34" s="55">
        <f>IF(BO34=1,0,ROUNDUP(AQ34/BN34,0))</f>
        <v/>
      </c>
      <c r="AS34" s="64">
        <f>IF(BO34=1,IF(AQ34&lt;=0,0,BP34*MAX(1,IF(G34&gt;0,AQ34/G34,1))),AR34*Q34)</f>
        <v/>
      </c>
      <c r="AT34" s="55">
        <f>AQ34*F34</f>
        <v/>
      </c>
      <c r="AU34" s="55">
        <f>ROUNDUP(MAX(I34/IF(BS34&gt;0,BS34,MAX(0.1,N(Cockpit!$O$6))),BV34)/BN34,0)*BN34</f>
        <v/>
      </c>
      <c r="AV34" s="56">
        <f>IF(AS34&gt;0,I34/AS34,-1)</f>
        <v/>
      </c>
      <c r="AW34" s="56">
        <f>IF(AND(OR(BR34="L1",BR34="L23"),AS34&gt;0),SUMIFS($AS$7:$AS$1570,$BR$7:$BR$1570,BR34,$AV$7:$AV$1570,"&gt;"&amp;AV34)+SUMIFS($AS$7:$AS$1570,$BR$7:$BR$1570,BR34,$AV$7:$AV$1570,AV34,$BL$7:$BL$1570,"&lt;="&amp;BL34),"")</f>
        <v/>
      </c>
      <c r="AX34" s="65">
        <f>IF(AW34="",0,MAX(0,MIN(1,(IF(BR34="L1",Parameter!$K$5,Parameter!$K$6+Parameter!$K$7)-(AW34-AS34))/AS34)))</f>
        <v/>
      </c>
      <c r="AY34" s="53">
        <f>IF(AC34&lt;=0,"",IF(BR34="Aussen","Aussenlager",IF(BR34="-","Nicht im Lift",IF(AH34&gt;=1,"Lift",IF(AH34&lt;=0,"Aussenlager","teilweise")))))</f>
        <v/>
      </c>
      <c r="AZ34" s="53">
        <f>IF(AK34&lt;=0,"",IF(BR34="Aussen","Aussenlager",IF(BR34="-","Nicht im Lift",IF(AP34&gt;=1,"Lift",IF(AP34&lt;=0,"Aussenlager","teilweise")))))</f>
        <v/>
      </c>
      <c r="BA34" s="53">
        <f>IF(AS34&lt;=0,"",IF(BR34="Aussen","Aussenlager",IF(BR34="-","Nicht im Lift",IF(AX34&gt;=1,"Lift",IF(AX34&lt;=0,"Aussenlager","teilweise")))))</f>
        <v/>
      </c>
      <c r="BB34" s="53">
        <f>IF(A34="","",IF(BK34=1,"Neu; ","")&amp;IF(AND(BK34=0,BF34&lt;0),"negativer Bestand (Export "&amp;BF34&amp;"); ","")&amp;IF(I34&lt;=0,"Kein Verbrauch; ","")&amp;IF(BO34=1,"Lose – Fläche geschätzt; ","")&amp;IF(G34&gt;AM34,"Überbestand "&amp;ROUND(G34-AM34,0)&amp;" Stk / CHF "&amp;ROUND((G34-AM34)*F34,0)&amp;"; ","")&amp;IF(AND(BT34=1,BU34&lt;BV34),"MAX &lt; MB+LG; ","")&amp;IF(AND(BZ34&gt;0,BY34*10&gt;BZ34),"zu hoch für Tablar; ","")&amp;IF(AND(BK34=0,OR(BT34=1,V34&lt;&gt;"",S34&lt;&gt;"",T34&lt;&gt;"",W34&lt;&gt;"")),"manuell übersteuert; ","")&amp;IF(AND(BO34=0,Q34=0),"Gebinde unbekannt; ","")&amp;IF(AND(BO34=0,N(T34)&lt;=0,N(P34)&lt;=0),"Menge pro Gebinde fehlt (Ist = 1 Gebinde); ","")&amp;BJ34)</f>
        <v/>
      </c>
      <c r="BC34" s="53" t="n"/>
      <c r="BD34" s="53" t="n"/>
      <c r="BE34" s="61" t="n"/>
      <c r="BF34" s="55" t="n">
        <v>3</v>
      </c>
      <c r="BG34" s="55" t="n">
        <v>3</v>
      </c>
      <c r="BH34" s="54" t="n">
        <v>10844.04</v>
      </c>
      <c r="BI34" s="55" t="n">
        <v>2</v>
      </c>
      <c r="BJ34" s="53" t="inlineStr"/>
      <c r="BK34" s="58" t="n">
        <v>0</v>
      </c>
      <c r="BL34" s="58" t="n">
        <v>34</v>
      </c>
      <c r="BM34" s="53">
        <f>IF(S34&lt;&gt;"",UPPER(TRIM(S34)),IF(O34="","LOSE",O34))</f>
        <v/>
      </c>
      <c r="BN34" s="55">
        <f>IF(BM34="LOSE",1,IF(N(T34)&gt;0,T34,IF(N(P34)&gt;0,P34,MAX(1,G34))))</f>
        <v/>
      </c>
      <c r="BO34" s="58">
        <f>IF(BM34="LOSE",1,0)</f>
        <v/>
      </c>
      <c r="BP34" s="64">
        <f>IF(BO34=0,0,IF(N(R34)&gt;0,R34,IFERROR(VLOOKUP(D34,Parameter!$A$35:$C$64,3,0)+0,0)))</f>
        <v/>
      </c>
      <c r="BQ34" s="53">
        <f>IF(V34&lt;&gt;"",V34,U34)</f>
        <v/>
      </c>
      <c r="BR34" s="53">
        <f>IF(BQ34=1,"L1",IF(OR(BQ34=2,BQ34=3),"L23",IF(BQ34="Aussen","Aussen","-")))</f>
        <v/>
      </c>
      <c r="BS34" s="66">
        <f>IF(N(W34)&gt;0,W34,0)</f>
        <v/>
      </c>
      <c r="BT34" s="58">
        <f>IF(ISNUMBER(Z34),1,0)</f>
        <v/>
      </c>
      <c r="BU34" s="55">
        <f>N(Z34)</f>
        <v/>
      </c>
      <c r="BV34" s="55">
        <f>N(L34)+N(M34)</f>
        <v/>
      </c>
      <c r="BW34" s="55">
        <f>ROUNDUP(G34/BN34,0)</f>
        <v/>
      </c>
      <c r="BX34" s="55">
        <f>ROUNDUP(BU34/BN34,0)</f>
        <v/>
      </c>
      <c r="BY34" s="58">
        <f>IF(BO34=1,0,IFERROR(VLOOKUP(BM34,'Gebinde-Kategorie'!$A$5:$G$45,5,0)+0,0))</f>
        <v/>
      </c>
      <c r="BZ34" s="58">
        <f>IFERROR(IF(OR(BQ34=1,BQ34=2,BQ34=3),N(INDEX(Parameter!$I$5:$I$7,BQ34)),0),0)</f>
        <v/>
      </c>
    </row>
    <row r="35">
      <c r="A35" s="53" t="inlineStr">
        <is>
          <t>105961</t>
        </is>
      </c>
      <c r="B35" s="53" t="inlineStr">
        <is>
          <t>Konstanthänger</t>
        </is>
      </c>
      <c r="C35" s="53" t="inlineStr">
        <is>
          <t>F</t>
        </is>
      </c>
      <c r="D35" s="53" t="inlineStr">
        <is>
          <t>LIFT1</t>
        </is>
      </c>
      <c r="E35" s="53" t="inlineStr">
        <is>
          <t>C</t>
        </is>
      </c>
      <c r="F35" s="54" t="n">
        <v>1373.75</v>
      </c>
      <c r="G35" s="55">
        <f>MAX(0,IF(Parameter!$B$20="Jahresanfang 2025 + Export",BG35+BF35,BF35))</f>
        <v/>
      </c>
      <c r="H35" s="55">
        <f>G35*F35</f>
        <v/>
      </c>
      <c r="I35" s="55">
        <f>BI35*Parameter!$B$18</f>
        <v/>
      </c>
      <c r="J35" s="56" t="n">
        <v>26</v>
      </c>
      <c r="K35" s="57" t="n">
        <v>0.6538461538461539</v>
      </c>
      <c r="L35" s="55" t="n">
        <v>4</v>
      </c>
      <c r="M35" s="55" t="n">
        <v>5</v>
      </c>
      <c r="N35" s="58" t="n">
        <v>70</v>
      </c>
      <c r="O35" s="53" t="inlineStr">
        <is>
          <t>LOSE</t>
        </is>
      </c>
      <c r="P35" s="55" t="n"/>
      <c r="Q35" s="59">
        <f>IF(BO35=1,0,IFERROR(VLOOKUP(BM35,'Gebinde-Kategorie'!$A$5:$G$45,6,0)+0,0))</f>
        <v/>
      </c>
      <c r="R35" s="60" t="n"/>
      <c r="S35" s="61" t="n"/>
      <c r="T35" s="61" t="n"/>
      <c r="U35" s="53">
        <f>IF(A35="","",IF(IFERROR(VLOOKUP(D35,Parameter!$A$35:$C$64,2,0),"Nein")="2+3",IF(ISNUMBER(SEARCH("grosser Artikel",BJ35)),2,IFERROR(VLOOKUP(BM35,Parameter!$F$35:$G$64,2,0),2)),IF(OR(IFERROR(VLOOKUP(D35,Parameter!$A$35:$C$64,2,0),"Nein")="Nein",IFERROR(VLOOKUP(D35,Parameter!$A$35:$C$64,2,0),"Nein")=""),"-",VLOOKUP(D35,Parameter!$A$35:$C$64,2,0))))</f>
        <v/>
      </c>
      <c r="V35" s="61" t="n"/>
      <c r="W35" s="62" t="n"/>
      <c r="X35" s="55">
        <f>AM35</f>
        <v/>
      </c>
      <c r="Y35" s="55">
        <f>MAX(AM35,G35)</f>
        <v/>
      </c>
      <c r="Z35" s="63" t="n"/>
      <c r="AA35" s="55">
        <f>IF(LEFT(Cockpit!$C$5,1)="A",G35,IF(BT35=1,BU35,IF(LEFT(Cockpit!$C$5,1)="B",AE35,MAX(AE35,G35))))</f>
        <v/>
      </c>
      <c r="AB35" s="55">
        <f>IF(BO35=1,0,ROUNDUP(AA35/BN35,0))</f>
        <v/>
      </c>
      <c r="AC35" s="64">
        <f>IF(BO35=1,IF(AA35&lt;=0,0,BP35*MAX(1,IF(G35&gt;0,AA35/G35,1))),AB35*Q35)</f>
        <v/>
      </c>
      <c r="AD35" s="55">
        <f>AA35*F35</f>
        <v/>
      </c>
      <c r="AE35" s="55">
        <f>ROUNDUP(MAX(I35/IF(BS35&gt;0,BS35,MAX(0.1,N(Cockpit!$C$6))),BV35)/BN35,0)*BN35</f>
        <v/>
      </c>
      <c r="AF35" s="56">
        <f>IF(AC35&gt;0,I35/AC35,-1)</f>
        <v/>
      </c>
      <c r="AG35" s="56">
        <f>IF(AND(OR(BR35="L1",BR35="L23"),AC35&gt;0),SUMIFS($AC$7:$AC$1570,$BR$7:$BR$1570,BR35,$AF$7:$AF$1570,"&gt;"&amp;AF35)+SUMIFS($AC$7:$AC$1570,$BR$7:$BR$1570,BR35,$AF$7:$AF$1570,AF35,$BL$7:$BL$1570,"&lt;="&amp;BL35),"")</f>
        <v/>
      </c>
      <c r="AH35" s="65">
        <f>IF(AG35="",0,MAX(0,MIN(1,(IF(BR35="L1",Parameter!$K$5,Parameter!$K$6+Parameter!$K$7)-(AG35-AC35))/AC35)))</f>
        <v/>
      </c>
      <c r="AI35" s="55">
        <f>IF(LEFT(Cockpit!$I$5,1)="A",G35,IF(BT35=1,BU35,IF(LEFT(Cockpit!$I$5,1)="B",AM35,MAX(AM35,G35))))</f>
        <v/>
      </c>
      <c r="AJ35" s="55">
        <f>IF(BO35=1,0,ROUNDUP(AI35/BN35,0))</f>
        <v/>
      </c>
      <c r="AK35" s="64">
        <f>IF(BO35=1,IF(AI35&lt;=0,0,BP35*MAX(1,IF(G35&gt;0,AI35/G35,1))),AJ35*Q35)</f>
        <v/>
      </c>
      <c r="AL35" s="55">
        <f>AI35*F35</f>
        <v/>
      </c>
      <c r="AM35" s="55">
        <f>ROUNDUP(MAX(I35/IF(BS35&gt;0,BS35,MAX(0.1,N(Cockpit!$I$6))),BV35)/BN35,0)*BN35</f>
        <v/>
      </c>
      <c r="AN35" s="56">
        <f>IF(AK35&gt;0,I35/AK35,-1)</f>
        <v/>
      </c>
      <c r="AO35" s="56">
        <f>IF(AND(OR(BR35="L1",BR35="L23"),AK35&gt;0),SUMIFS($AK$7:$AK$1570,$BR$7:$BR$1570,BR35,$AN$7:$AN$1570,"&gt;"&amp;AN35)+SUMIFS($AK$7:$AK$1570,$BR$7:$BR$1570,BR35,$AN$7:$AN$1570,AN35,$BL$7:$BL$1570,"&lt;="&amp;BL35),"")</f>
        <v/>
      </c>
      <c r="AP35" s="65">
        <f>IF(AO35="",0,MAX(0,MIN(1,(IF(BR35="L1",Parameter!$K$5,Parameter!$K$6+Parameter!$K$7)-(AO35-AK35))/AK35)))</f>
        <v/>
      </c>
      <c r="AQ35" s="55">
        <f>IF(LEFT(Cockpit!$O$5,1)="A",G35,IF(BT35=1,BU35,IF(LEFT(Cockpit!$O$5,1)="B",AU35,MAX(AU35,G35))))</f>
        <v/>
      </c>
      <c r="AR35" s="55">
        <f>IF(BO35=1,0,ROUNDUP(AQ35/BN35,0))</f>
        <v/>
      </c>
      <c r="AS35" s="64">
        <f>IF(BO35=1,IF(AQ35&lt;=0,0,BP35*MAX(1,IF(G35&gt;0,AQ35/G35,1))),AR35*Q35)</f>
        <v/>
      </c>
      <c r="AT35" s="55">
        <f>AQ35*F35</f>
        <v/>
      </c>
      <c r="AU35" s="55">
        <f>ROUNDUP(MAX(I35/IF(BS35&gt;0,BS35,MAX(0.1,N(Cockpit!$O$6))),BV35)/BN35,0)*BN35</f>
        <v/>
      </c>
      <c r="AV35" s="56">
        <f>IF(AS35&gt;0,I35/AS35,-1)</f>
        <v/>
      </c>
      <c r="AW35" s="56">
        <f>IF(AND(OR(BR35="L1",BR35="L23"),AS35&gt;0),SUMIFS($AS$7:$AS$1570,$BR$7:$BR$1570,BR35,$AV$7:$AV$1570,"&gt;"&amp;AV35)+SUMIFS($AS$7:$AS$1570,$BR$7:$BR$1570,BR35,$AV$7:$AV$1570,AV35,$BL$7:$BL$1570,"&lt;="&amp;BL35),"")</f>
        <v/>
      </c>
      <c r="AX35" s="65">
        <f>IF(AW35="",0,MAX(0,MIN(1,(IF(BR35="L1",Parameter!$K$5,Parameter!$K$6+Parameter!$K$7)-(AW35-AS35))/AS35)))</f>
        <v/>
      </c>
      <c r="AY35" s="53">
        <f>IF(AC35&lt;=0,"",IF(BR35="Aussen","Aussenlager",IF(BR35="-","Nicht im Lift",IF(AH35&gt;=1,"Lift",IF(AH35&lt;=0,"Aussenlager","teilweise")))))</f>
        <v/>
      </c>
      <c r="AZ35" s="53">
        <f>IF(AK35&lt;=0,"",IF(BR35="Aussen","Aussenlager",IF(BR35="-","Nicht im Lift",IF(AP35&gt;=1,"Lift",IF(AP35&lt;=0,"Aussenlager","teilweise")))))</f>
        <v/>
      </c>
      <c r="BA35" s="53">
        <f>IF(AS35&lt;=0,"",IF(BR35="Aussen","Aussenlager",IF(BR35="-","Nicht im Lift",IF(AX35&gt;=1,"Lift",IF(AX35&lt;=0,"Aussenlager","teilweise")))))</f>
        <v/>
      </c>
      <c r="BB35" s="53">
        <f>IF(A35="","",IF(BK35=1,"Neu; ","")&amp;IF(AND(BK35=0,BF35&lt;0),"negativer Bestand (Export "&amp;BF35&amp;"); ","")&amp;IF(I35&lt;=0,"Kein Verbrauch; ","")&amp;IF(BO35=1,"Lose – Fläche geschätzt; ","")&amp;IF(G35&gt;AM35,"Überbestand "&amp;ROUND(G35-AM35,0)&amp;" Stk / CHF "&amp;ROUND((G35-AM35)*F35,0)&amp;"; ","")&amp;IF(AND(BT35=1,BU35&lt;BV35),"MAX &lt; MB+LG; ","")&amp;IF(AND(BZ35&gt;0,BY35*10&gt;BZ35),"zu hoch für Tablar; ","")&amp;IF(AND(BK35=0,OR(BT35=1,V35&lt;&gt;"",S35&lt;&gt;"",T35&lt;&gt;"",W35&lt;&gt;"")),"manuell übersteuert; ","")&amp;IF(AND(BO35=0,Q35=0),"Gebinde unbekannt; ","")&amp;IF(AND(BO35=0,N(T35)&lt;=0,N(P35)&lt;=0),"Menge pro Gebinde fehlt (Ist = 1 Gebinde); ","")&amp;BJ35)</f>
        <v/>
      </c>
      <c r="BC35" s="53" t="inlineStr">
        <is>
          <t>MB von 2 hat Bedarf ausgelöst, allerdings wurden 5 geliefert, anstatt den MB mit 1 Stk. aufzufüllen? Losgrösse angepasst? -&gt; Aufgrund voin Preis wurden 5 bestellt</t>
        </is>
      </c>
      <c r="BD35" s="53" t="inlineStr">
        <is>
          <t>Festhalten ob kleinere Mengen für teurer eingekauft werden sollen, oder ob Mehr und besserer Preis attraktiver ist -&gt; 1 Stk. 5500 und bei 5 3500 CHF / Stk.</t>
        </is>
      </c>
      <c r="BE35" s="61" t="n"/>
      <c r="BF35" s="55" t="n">
        <v>7</v>
      </c>
      <c r="BG35" s="55" t="n">
        <v>18</v>
      </c>
      <c r="BH35" s="54" t="n">
        <v>10801.00999999999</v>
      </c>
      <c r="BI35" s="55" t="n">
        <v>17</v>
      </c>
      <c r="BJ35" s="53" t="inlineStr"/>
      <c r="BK35" s="58" t="n">
        <v>0</v>
      </c>
      <c r="BL35" s="58" t="n">
        <v>35</v>
      </c>
      <c r="BM35" s="53">
        <f>IF(S35&lt;&gt;"",UPPER(TRIM(S35)),IF(O35="","LOSE",O35))</f>
        <v/>
      </c>
      <c r="BN35" s="55">
        <f>IF(BM35="LOSE",1,IF(N(T35)&gt;0,T35,IF(N(P35)&gt;0,P35,MAX(1,G35))))</f>
        <v/>
      </c>
      <c r="BO35" s="58">
        <f>IF(BM35="LOSE",1,0)</f>
        <v/>
      </c>
      <c r="BP35" s="64">
        <f>IF(BO35=0,0,IF(N(R35)&gt;0,R35,IFERROR(VLOOKUP(D35,Parameter!$A$35:$C$64,3,0)+0,0)))</f>
        <v/>
      </c>
      <c r="BQ35" s="53">
        <f>IF(V35&lt;&gt;"",V35,U35)</f>
        <v/>
      </c>
      <c r="BR35" s="53">
        <f>IF(BQ35=1,"L1",IF(OR(BQ35=2,BQ35=3),"L23",IF(BQ35="Aussen","Aussen","-")))</f>
        <v/>
      </c>
      <c r="BS35" s="66">
        <f>IF(N(W35)&gt;0,W35,0)</f>
        <v/>
      </c>
      <c r="BT35" s="58">
        <f>IF(ISNUMBER(Z35),1,0)</f>
        <v/>
      </c>
      <c r="BU35" s="55">
        <f>N(Z35)</f>
        <v/>
      </c>
      <c r="BV35" s="55">
        <f>N(L35)+N(M35)</f>
        <v/>
      </c>
      <c r="BW35" s="55">
        <f>ROUNDUP(G35/BN35,0)</f>
        <v/>
      </c>
      <c r="BX35" s="55">
        <f>ROUNDUP(BU35/BN35,0)</f>
        <v/>
      </c>
      <c r="BY35" s="58">
        <f>IF(BO35=1,0,IFERROR(VLOOKUP(BM35,'Gebinde-Kategorie'!$A$5:$G$45,5,0)+0,0))</f>
        <v/>
      </c>
      <c r="BZ35" s="58">
        <f>IFERROR(IF(OR(BQ35=1,BQ35=2,BQ35=3),N(INDEX(Parameter!$I$5:$I$7,BQ35)),0),0)</f>
        <v/>
      </c>
    </row>
    <row r="36">
      <c r="A36" s="53" t="inlineStr">
        <is>
          <t>110336</t>
        </is>
      </c>
      <c r="B36" s="53" t="inlineStr">
        <is>
          <t>Ventilpanel SPGr BASE komplett</t>
        </is>
      </c>
      <c r="C36" s="53" t="inlineStr">
        <is>
          <t>F</t>
        </is>
      </c>
      <c r="D36" s="53" t="inlineStr">
        <is>
          <t>PAL</t>
        </is>
      </c>
      <c r="E36" s="53" t="inlineStr">
        <is>
          <t>C</t>
        </is>
      </c>
      <c r="F36" s="54" t="n">
        <v>5350.29</v>
      </c>
      <c r="G36" s="55">
        <f>MAX(0,IF(Parameter!$B$20="Jahresanfang 2025 + Export",BG36+BF36,BF36))</f>
        <v/>
      </c>
      <c r="H36" s="55">
        <f>G36*F36</f>
        <v/>
      </c>
      <c r="I36" s="55">
        <f>BI36*Parameter!$B$18</f>
        <v/>
      </c>
      <c r="J36" s="56" t="n">
        <v>1</v>
      </c>
      <c r="K36" s="57" t="n">
        <v>6</v>
      </c>
      <c r="L36" s="55" t="n">
        <v>1</v>
      </c>
      <c r="M36" s="55" t="n">
        <v>1</v>
      </c>
      <c r="N36" s="58" t="n">
        <v>100</v>
      </c>
      <c r="O36" s="53" t="inlineStr">
        <is>
          <t>LOSE</t>
        </is>
      </c>
      <c r="P36" s="55" t="n"/>
      <c r="Q36" s="59">
        <f>IF(BO36=1,0,IFERROR(VLOOKUP(BM36,'Gebinde-Kategorie'!$A$5:$G$45,6,0)+0,0))</f>
        <v/>
      </c>
      <c r="R36" s="60" t="n"/>
      <c r="S36" s="61" t="n"/>
      <c r="T36" s="61" t="n"/>
      <c r="U36" s="53">
        <f>IF(A36="","",IF(IFERROR(VLOOKUP(D36,Parameter!$A$35:$C$64,2,0),"Nein")="2+3",IF(ISNUMBER(SEARCH("grosser Artikel",BJ36)),2,IFERROR(VLOOKUP(BM36,Parameter!$F$35:$G$64,2,0),2)),IF(OR(IFERROR(VLOOKUP(D36,Parameter!$A$35:$C$64,2,0),"Nein")="Nein",IFERROR(VLOOKUP(D36,Parameter!$A$35:$C$64,2,0),"Nein")=""),"-",VLOOKUP(D36,Parameter!$A$35:$C$64,2,0))))</f>
        <v/>
      </c>
      <c r="V36" s="61" t="n"/>
      <c r="W36" s="62" t="n"/>
      <c r="X36" s="55">
        <f>AM36</f>
        <v/>
      </c>
      <c r="Y36" s="55">
        <f>MAX(AM36,G36)</f>
        <v/>
      </c>
      <c r="Z36" s="63" t="n"/>
      <c r="AA36" s="55">
        <f>IF(LEFT(Cockpit!$C$5,1)="A",G36,IF(BT36=1,BU36,IF(LEFT(Cockpit!$C$5,1)="B",AE36,MAX(AE36,G36))))</f>
        <v/>
      </c>
      <c r="AB36" s="55">
        <f>IF(BO36=1,0,ROUNDUP(AA36/BN36,0))</f>
        <v/>
      </c>
      <c r="AC36" s="64">
        <f>IF(BO36=1,IF(AA36&lt;=0,0,BP36*MAX(1,IF(G36&gt;0,AA36/G36,1))),AB36*Q36)</f>
        <v/>
      </c>
      <c r="AD36" s="55">
        <f>AA36*F36</f>
        <v/>
      </c>
      <c r="AE36" s="55">
        <f>ROUNDUP(MAX(I36/IF(BS36&gt;0,BS36,MAX(0.1,N(Cockpit!$C$6))),BV36)/BN36,0)*BN36</f>
        <v/>
      </c>
      <c r="AF36" s="56">
        <f>IF(AC36&gt;0,I36/AC36,-1)</f>
        <v/>
      </c>
      <c r="AG36" s="56">
        <f>IF(AND(OR(BR36="L1",BR36="L23"),AC36&gt;0),SUMIFS($AC$7:$AC$1570,$BR$7:$BR$1570,BR36,$AF$7:$AF$1570,"&gt;"&amp;AF36)+SUMIFS($AC$7:$AC$1570,$BR$7:$BR$1570,BR36,$AF$7:$AF$1570,AF36,$BL$7:$BL$1570,"&lt;="&amp;BL36),"")</f>
        <v/>
      </c>
      <c r="AH36" s="65">
        <f>IF(AG36="",0,MAX(0,MIN(1,(IF(BR36="L1",Parameter!$K$5,Parameter!$K$6+Parameter!$K$7)-(AG36-AC36))/AC36)))</f>
        <v/>
      </c>
      <c r="AI36" s="55">
        <f>IF(LEFT(Cockpit!$I$5,1)="A",G36,IF(BT36=1,BU36,IF(LEFT(Cockpit!$I$5,1)="B",AM36,MAX(AM36,G36))))</f>
        <v/>
      </c>
      <c r="AJ36" s="55">
        <f>IF(BO36=1,0,ROUNDUP(AI36/BN36,0))</f>
        <v/>
      </c>
      <c r="AK36" s="64">
        <f>IF(BO36=1,IF(AI36&lt;=0,0,BP36*MAX(1,IF(G36&gt;0,AI36/G36,1))),AJ36*Q36)</f>
        <v/>
      </c>
      <c r="AL36" s="55">
        <f>AI36*F36</f>
        <v/>
      </c>
      <c r="AM36" s="55">
        <f>ROUNDUP(MAX(I36/IF(BS36&gt;0,BS36,MAX(0.1,N(Cockpit!$I$6))),BV36)/BN36,0)*BN36</f>
        <v/>
      </c>
      <c r="AN36" s="56">
        <f>IF(AK36&gt;0,I36/AK36,-1)</f>
        <v/>
      </c>
      <c r="AO36" s="56">
        <f>IF(AND(OR(BR36="L1",BR36="L23"),AK36&gt;0),SUMIFS($AK$7:$AK$1570,$BR$7:$BR$1570,BR36,$AN$7:$AN$1570,"&gt;"&amp;AN36)+SUMIFS($AK$7:$AK$1570,$BR$7:$BR$1570,BR36,$AN$7:$AN$1570,AN36,$BL$7:$BL$1570,"&lt;="&amp;BL36),"")</f>
        <v/>
      </c>
      <c r="AP36" s="65">
        <f>IF(AO36="",0,MAX(0,MIN(1,(IF(BR36="L1",Parameter!$K$5,Parameter!$K$6+Parameter!$K$7)-(AO36-AK36))/AK36)))</f>
        <v/>
      </c>
      <c r="AQ36" s="55">
        <f>IF(LEFT(Cockpit!$O$5,1)="A",G36,IF(BT36=1,BU36,IF(LEFT(Cockpit!$O$5,1)="B",AU36,MAX(AU36,G36))))</f>
        <v/>
      </c>
      <c r="AR36" s="55">
        <f>IF(BO36=1,0,ROUNDUP(AQ36/BN36,0))</f>
        <v/>
      </c>
      <c r="AS36" s="64">
        <f>IF(BO36=1,IF(AQ36&lt;=0,0,BP36*MAX(1,IF(G36&gt;0,AQ36/G36,1))),AR36*Q36)</f>
        <v/>
      </c>
      <c r="AT36" s="55">
        <f>AQ36*F36</f>
        <v/>
      </c>
      <c r="AU36" s="55">
        <f>ROUNDUP(MAX(I36/IF(BS36&gt;0,BS36,MAX(0.1,N(Cockpit!$O$6))),BV36)/BN36,0)*BN36</f>
        <v/>
      </c>
      <c r="AV36" s="56">
        <f>IF(AS36&gt;0,I36/AS36,-1)</f>
        <v/>
      </c>
      <c r="AW36" s="56">
        <f>IF(AND(OR(BR36="L1",BR36="L23"),AS36&gt;0),SUMIFS($AS$7:$AS$1570,$BR$7:$BR$1570,BR36,$AV$7:$AV$1570,"&gt;"&amp;AV36)+SUMIFS($AS$7:$AS$1570,$BR$7:$BR$1570,BR36,$AV$7:$AV$1570,AV36,$BL$7:$BL$1570,"&lt;="&amp;BL36),"")</f>
        <v/>
      </c>
      <c r="AX36" s="65">
        <f>IF(AW36="",0,MAX(0,MIN(1,(IF(BR36="L1",Parameter!$K$5,Parameter!$K$6+Parameter!$K$7)-(AW36-AS36))/AS36)))</f>
        <v/>
      </c>
      <c r="AY36" s="53">
        <f>IF(AC36&lt;=0,"",IF(BR36="Aussen","Aussenlager",IF(BR36="-","Nicht im Lift",IF(AH36&gt;=1,"Lift",IF(AH36&lt;=0,"Aussenlager","teilweise")))))</f>
        <v/>
      </c>
      <c r="AZ36" s="53">
        <f>IF(AK36&lt;=0,"",IF(BR36="Aussen","Aussenlager",IF(BR36="-","Nicht im Lift",IF(AP36&gt;=1,"Lift",IF(AP36&lt;=0,"Aussenlager","teilweise")))))</f>
        <v/>
      </c>
      <c r="BA36" s="53">
        <f>IF(AS36&lt;=0,"",IF(BR36="Aussen","Aussenlager",IF(BR36="-","Nicht im Lift",IF(AX36&gt;=1,"Lift",IF(AX36&lt;=0,"Aussenlager","teilweise")))))</f>
        <v/>
      </c>
      <c r="BB36" s="53">
        <f>IF(A36="","",IF(BK36=1,"Neu; ","")&amp;IF(AND(BK36=0,BF36&lt;0),"negativer Bestand (Export "&amp;BF36&amp;"); ","")&amp;IF(I36&lt;=0,"Kein Verbrauch; ","")&amp;IF(BO36=1,"Lose – Fläche geschätzt; ","")&amp;IF(G36&gt;AM36,"Überbestand "&amp;ROUND(G36-AM36,0)&amp;" Stk / CHF "&amp;ROUND((G36-AM36)*F36,0)&amp;"; ","")&amp;IF(AND(BT36=1,BU36&lt;BV36),"MAX &lt; MB+LG; ","")&amp;IF(AND(BZ36&gt;0,BY36*10&gt;BZ36),"zu hoch für Tablar; ","")&amp;IF(AND(BK36=0,OR(BT36=1,V36&lt;&gt;"",S36&lt;&gt;"",T36&lt;&gt;"",W36&lt;&gt;"")),"manuell übersteuert; ","")&amp;IF(AND(BO36=0,Q36=0),"Gebinde unbekannt; ","")&amp;IF(AND(BO36=0,N(T36)&lt;=0,N(P36)&lt;=0),"Menge pro Gebinde fehlt (Ist = 1 Gebinde); ","")&amp;BJ36)</f>
        <v/>
      </c>
      <c r="BC36" s="53" t="n"/>
      <c r="BD36" s="53" t="n"/>
      <c r="BE36" s="61" t="n"/>
      <c r="BF36" s="55" t="n">
        <v>2</v>
      </c>
      <c r="BG36" s="55" t="n">
        <v>0</v>
      </c>
      <c r="BH36" s="54" t="n">
        <v>10700.58</v>
      </c>
      <c r="BI36" s="55" t="n">
        <v>6</v>
      </c>
      <c r="BJ36" s="53" t="inlineStr"/>
      <c r="BK36" s="58" t="n">
        <v>0</v>
      </c>
      <c r="BL36" s="58" t="n">
        <v>36</v>
      </c>
      <c r="BM36" s="53">
        <f>IF(S36&lt;&gt;"",UPPER(TRIM(S36)),IF(O36="","LOSE",O36))</f>
        <v/>
      </c>
      <c r="BN36" s="55">
        <f>IF(BM36="LOSE",1,IF(N(T36)&gt;0,T36,IF(N(P36)&gt;0,P36,MAX(1,G36))))</f>
        <v/>
      </c>
      <c r="BO36" s="58">
        <f>IF(BM36="LOSE",1,0)</f>
        <v/>
      </c>
      <c r="BP36" s="64">
        <f>IF(BO36=0,0,IF(N(R36)&gt;0,R36,IFERROR(VLOOKUP(D36,Parameter!$A$35:$C$64,3,0)+0,0)))</f>
        <v/>
      </c>
      <c r="BQ36" s="53">
        <f>IF(V36&lt;&gt;"",V36,U36)</f>
        <v/>
      </c>
      <c r="BR36" s="53">
        <f>IF(BQ36=1,"L1",IF(OR(BQ36=2,BQ36=3),"L23",IF(BQ36="Aussen","Aussen","-")))</f>
        <v/>
      </c>
      <c r="BS36" s="66">
        <f>IF(N(W36)&gt;0,W36,0)</f>
        <v/>
      </c>
      <c r="BT36" s="58">
        <f>IF(ISNUMBER(Z36),1,0)</f>
        <v/>
      </c>
      <c r="BU36" s="55">
        <f>N(Z36)</f>
        <v/>
      </c>
      <c r="BV36" s="55">
        <f>N(L36)+N(M36)</f>
        <v/>
      </c>
      <c r="BW36" s="55">
        <f>ROUNDUP(G36/BN36,0)</f>
        <v/>
      </c>
      <c r="BX36" s="55">
        <f>ROUNDUP(BU36/BN36,0)</f>
        <v/>
      </c>
      <c r="BY36" s="58">
        <f>IF(BO36=1,0,IFERROR(VLOOKUP(BM36,'Gebinde-Kategorie'!$A$5:$G$45,5,0)+0,0))</f>
        <v/>
      </c>
      <c r="BZ36" s="58">
        <f>IFERROR(IF(OR(BQ36=1,BQ36=2,BQ36=3),N(INDEX(Parameter!$I$5:$I$7,BQ36)),0),0)</f>
        <v/>
      </c>
    </row>
    <row r="37">
      <c r="A37" s="53" t="inlineStr">
        <is>
          <t>107867</t>
        </is>
      </c>
      <c r="B37" s="53" t="inlineStr">
        <is>
          <t>Ventilsitz SPGr16</t>
        </is>
      </c>
      <c r="C37" s="53" t="inlineStr">
        <is>
          <t>F</t>
        </is>
      </c>
      <c r="D37" s="53" t="inlineStr">
        <is>
          <t>PAL</t>
        </is>
      </c>
      <c r="E37" s="53" t="inlineStr">
        <is>
          <t>C</t>
        </is>
      </c>
      <c r="F37" s="54" t="n">
        <v>225.19</v>
      </c>
      <c r="G37" s="55">
        <f>MAX(0,IF(Parameter!$B$20="Jahresanfang 2025 + Export",BG37+BF37,BF37))</f>
        <v/>
      </c>
      <c r="H37" s="55">
        <f>G37*F37</f>
        <v/>
      </c>
      <c r="I37" s="55">
        <f>BI37*Parameter!$B$18</f>
        <v/>
      </c>
      <c r="J37" s="56" t="n">
        <v>24</v>
      </c>
      <c r="K37" s="57" t="n">
        <v>5.458333333333333</v>
      </c>
      <c r="L37" s="55" t="n">
        <v>12</v>
      </c>
      <c r="M37" s="55" t="n">
        <v>35</v>
      </c>
      <c r="N37" s="58" t="n">
        <v>84</v>
      </c>
      <c r="O37" s="53" t="inlineStr">
        <is>
          <t>S72</t>
        </is>
      </c>
      <c r="P37" s="55" t="n">
        <v>61</v>
      </c>
      <c r="Q37" s="59">
        <f>IF(BO37=1,0,IFERROR(VLOOKUP(BM37,'Gebinde-Kategorie'!$A$5:$G$45,6,0)+0,0))</f>
        <v/>
      </c>
      <c r="R37" s="60" t="n"/>
      <c r="S37" s="61" t="n"/>
      <c r="T37" s="61" t="n"/>
      <c r="U37" s="53">
        <f>IF(A37="","",IF(IFERROR(VLOOKUP(D37,Parameter!$A$35:$C$64,2,0),"Nein")="2+3",IF(ISNUMBER(SEARCH("grosser Artikel",BJ37)),2,IFERROR(VLOOKUP(BM37,Parameter!$F$35:$G$64,2,0),2)),IF(OR(IFERROR(VLOOKUP(D37,Parameter!$A$35:$C$64,2,0),"Nein")="Nein",IFERROR(VLOOKUP(D37,Parameter!$A$35:$C$64,2,0),"Nein")=""),"-",VLOOKUP(D37,Parameter!$A$35:$C$64,2,0))))</f>
        <v/>
      </c>
      <c r="V37" s="61" t="n"/>
      <c r="W37" s="62" t="n"/>
      <c r="X37" s="55">
        <f>AM37</f>
        <v/>
      </c>
      <c r="Y37" s="55">
        <f>MAX(AM37,G37)</f>
        <v/>
      </c>
      <c r="Z37" s="63" t="n"/>
      <c r="AA37" s="55">
        <f>IF(LEFT(Cockpit!$C$5,1)="A",G37,IF(BT37=1,BU37,IF(LEFT(Cockpit!$C$5,1)="B",AE37,MAX(AE37,G37))))</f>
        <v/>
      </c>
      <c r="AB37" s="55">
        <f>IF(BO37=1,0,ROUNDUP(AA37/BN37,0))</f>
        <v/>
      </c>
      <c r="AC37" s="64">
        <f>IF(BO37=1,IF(AA37&lt;=0,0,BP37*MAX(1,IF(G37&gt;0,AA37/G37,1))),AB37*Q37)</f>
        <v/>
      </c>
      <c r="AD37" s="55">
        <f>AA37*F37</f>
        <v/>
      </c>
      <c r="AE37" s="55">
        <f>ROUNDUP(MAX(I37/IF(BS37&gt;0,BS37,MAX(0.1,N(Cockpit!$C$6))),BV37)/BN37,0)*BN37</f>
        <v/>
      </c>
      <c r="AF37" s="56">
        <f>IF(AC37&gt;0,I37/AC37,-1)</f>
        <v/>
      </c>
      <c r="AG37" s="56">
        <f>IF(AND(OR(BR37="L1",BR37="L23"),AC37&gt;0),SUMIFS($AC$7:$AC$1570,$BR$7:$BR$1570,BR37,$AF$7:$AF$1570,"&gt;"&amp;AF37)+SUMIFS($AC$7:$AC$1570,$BR$7:$BR$1570,BR37,$AF$7:$AF$1570,AF37,$BL$7:$BL$1570,"&lt;="&amp;BL37),"")</f>
        <v/>
      </c>
      <c r="AH37" s="65">
        <f>IF(AG37="",0,MAX(0,MIN(1,(IF(BR37="L1",Parameter!$K$5,Parameter!$K$6+Parameter!$K$7)-(AG37-AC37))/AC37)))</f>
        <v/>
      </c>
      <c r="AI37" s="55">
        <f>IF(LEFT(Cockpit!$I$5,1)="A",G37,IF(BT37=1,BU37,IF(LEFT(Cockpit!$I$5,1)="B",AM37,MAX(AM37,G37))))</f>
        <v/>
      </c>
      <c r="AJ37" s="55">
        <f>IF(BO37=1,0,ROUNDUP(AI37/BN37,0))</f>
        <v/>
      </c>
      <c r="AK37" s="64">
        <f>IF(BO37=1,IF(AI37&lt;=0,0,BP37*MAX(1,IF(G37&gt;0,AI37/G37,1))),AJ37*Q37)</f>
        <v/>
      </c>
      <c r="AL37" s="55">
        <f>AI37*F37</f>
        <v/>
      </c>
      <c r="AM37" s="55">
        <f>ROUNDUP(MAX(I37/IF(BS37&gt;0,BS37,MAX(0.1,N(Cockpit!$I$6))),BV37)/BN37,0)*BN37</f>
        <v/>
      </c>
      <c r="AN37" s="56">
        <f>IF(AK37&gt;0,I37/AK37,-1)</f>
        <v/>
      </c>
      <c r="AO37" s="56">
        <f>IF(AND(OR(BR37="L1",BR37="L23"),AK37&gt;0),SUMIFS($AK$7:$AK$1570,$BR$7:$BR$1570,BR37,$AN$7:$AN$1570,"&gt;"&amp;AN37)+SUMIFS($AK$7:$AK$1570,$BR$7:$BR$1570,BR37,$AN$7:$AN$1570,AN37,$BL$7:$BL$1570,"&lt;="&amp;BL37),"")</f>
        <v/>
      </c>
      <c r="AP37" s="65">
        <f>IF(AO37="",0,MAX(0,MIN(1,(IF(BR37="L1",Parameter!$K$5,Parameter!$K$6+Parameter!$K$7)-(AO37-AK37))/AK37)))</f>
        <v/>
      </c>
      <c r="AQ37" s="55">
        <f>IF(LEFT(Cockpit!$O$5,1)="A",G37,IF(BT37=1,BU37,IF(LEFT(Cockpit!$O$5,1)="B",AU37,MAX(AU37,G37))))</f>
        <v/>
      </c>
      <c r="AR37" s="55">
        <f>IF(BO37=1,0,ROUNDUP(AQ37/BN37,0))</f>
        <v/>
      </c>
      <c r="AS37" s="64">
        <f>IF(BO37=1,IF(AQ37&lt;=0,0,BP37*MAX(1,IF(G37&gt;0,AQ37/G37,1))),AR37*Q37)</f>
        <v/>
      </c>
      <c r="AT37" s="55">
        <f>AQ37*F37</f>
        <v/>
      </c>
      <c r="AU37" s="55">
        <f>ROUNDUP(MAX(I37/IF(BS37&gt;0,BS37,MAX(0.1,N(Cockpit!$O$6))),BV37)/BN37,0)*BN37</f>
        <v/>
      </c>
      <c r="AV37" s="56">
        <f>IF(AS37&gt;0,I37/AS37,-1)</f>
        <v/>
      </c>
      <c r="AW37" s="56">
        <f>IF(AND(OR(BR37="L1",BR37="L23"),AS37&gt;0),SUMIFS($AS$7:$AS$1570,$BR$7:$BR$1570,BR37,$AV$7:$AV$1570,"&gt;"&amp;AV37)+SUMIFS($AS$7:$AS$1570,$BR$7:$BR$1570,BR37,$AV$7:$AV$1570,AV37,$BL$7:$BL$1570,"&lt;="&amp;BL37),"")</f>
        <v/>
      </c>
      <c r="AX37" s="65">
        <f>IF(AW37="",0,MAX(0,MIN(1,(IF(BR37="L1",Parameter!$K$5,Parameter!$K$6+Parameter!$K$7)-(AW37-AS37))/AS37)))</f>
        <v/>
      </c>
      <c r="AY37" s="53">
        <f>IF(AC37&lt;=0,"",IF(BR37="Aussen","Aussenlager",IF(BR37="-","Nicht im Lift",IF(AH37&gt;=1,"Lift",IF(AH37&lt;=0,"Aussenlager","teilweise")))))</f>
        <v/>
      </c>
      <c r="AZ37" s="53">
        <f>IF(AK37&lt;=0,"",IF(BR37="Aussen","Aussenlager",IF(BR37="-","Nicht im Lift",IF(AP37&gt;=1,"Lift",IF(AP37&lt;=0,"Aussenlager","teilweise")))))</f>
        <v/>
      </c>
      <c r="BA37" s="53">
        <f>IF(AS37&lt;=0,"",IF(BR37="Aussen","Aussenlager",IF(BR37="-","Nicht im Lift",IF(AX37&gt;=1,"Lift",IF(AX37&lt;=0,"Aussenlager","teilweise")))))</f>
        <v/>
      </c>
      <c r="BB37" s="53">
        <f>IF(A37="","",IF(BK37=1,"Neu; ","")&amp;IF(AND(BK37=0,BF37&lt;0),"negativer Bestand (Export "&amp;BF37&amp;"); ","")&amp;IF(I37&lt;=0,"Kein Verbrauch; ","")&amp;IF(BO37=1,"Lose – Fläche geschätzt; ","")&amp;IF(G37&gt;AM37,"Überbestand "&amp;ROUND(G37-AM37,0)&amp;" Stk / CHF "&amp;ROUND((G37-AM37)*F37,0)&amp;"; ","")&amp;IF(AND(BT37=1,BU37&lt;BV37),"MAX &lt; MB+LG; ","")&amp;IF(AND(BZ37&gt;0,BY37*10&gt;BZ37),"zu hoch für Tablar; ","")&amp;IF(AND(BK37=0,OR(BT37=1,V37&lt;&gt;"",S37&lt;&gt;"",T37&lt;&gt;"",W37&lt;&gt;"")),"manuell übersteuert; ","")&amp;IF(AND(BO37=0,Q37=0),"Gebinde unbekannt; ","")&amp;IF(AND(BO37=0,N(T37)&lt;=0,N(P37)&lt;=0),"Menge pro Gebinde fehlt (Ist = 1 Gebinde); ","")&amp;BJ37)</f>
        <v/>
      </c>
      <c r="BC37" s="53" t="inlineStr">
        <is>
          <t>Wurdne in 2024 zu grösserer Menge Beschafft, seither kein WE</t>
        </is>
      </c>
      <c r="BD37" s="53" t="n"/>
      <c r="BE37" s="61" t="n"/>
      <c r="BF37" s="55" t="n">
        <v>44</v>
      </c>
      <c r="BG37" s="55" t="n">
        <v>18</v>
      </c>
      <c r="BH37" s="54" t="n">
        <v>10677.67999999999</v>
      </c>
      <c r="BI37" s="55" t="n">
        <v>131</v>
      </c>
      <c r="BJ37" s="53" t="inlineStr">
        <is>
          <t>grosser Artikel &amp; nicht im KTL</t>
        </is>
      </c>
      <c r="BK37" s="58" t="n">
        <v>0</v>
      </c>
      <c r="BL37" s="58" t="n">
        <v>37</v>
      </c>
      <c r="BM37" s="53">
        <f>IF(S37&lt;&gt;"",UPPER(TRIM(S37)),IF(O37="","LOSE",O37))</f>
        <v/>
      </c>
      <c r="BN37" s="55">
        <f>IF(BM37="LOSE",1,IF(N(T37)&gt;0,T37,IF(N(P37)&gt;0,P37,MAX(1,G37))))</f>
        <v/>
      </c>
      <c r="BO37" s="58">
        <f>IF(BM37="LOSE",1,0)</f>
        <v/>
      </c>
      <c r="BP37" s="64">
        <f>IF(BO37=0,0,IF(N(R37)&gt;0,R37,IFERROR(VLOOKUP(D37,Parameter!$A$35:$C$64,3,0)+0,0)))</f>
        <v/>
      </c>
      <c r="BQ37" s="53">
        <f>IF(V37&lt;&gt;"",V37,U37)</f>
        <v/>
      </c>
      <c r="BR37" s="53">
        <f>IF(BQ37=1,"L1",IF(OR(BQ37=2,BQ37=3),"L23",IF(BQ37="Aussen","Aussen","-")))</f>
        <v/>
      </c>
      <c r="BS37" s="66">
        <f>IF(N(W37)&gt;0,W37,0)</f>
        <v/>
      </c>
      <c r="BT37" s="58">
        <f>IF(ISNUMBER(Z37),1,0)</f>
        <v/>
      </c>
      <c r="BU37" s="55">
        <f>N(Z37)</f>
        <v/>
      </c>
      <c r="BV37" s="55">
        <f>N(L37)+N(M37)</f>
        <v/>
      </c>
      <c r="BW37" s="55">
        <f>ROUNDUP(G37/BN37,0)</f>
        <v/>
      </c>
      <c r="BX37" s="55">
        <f>ROUNDUP(BU37/BN37,0)</f>
        <v/>
      </c>
      <c r="BY37" s="58">
        <f>IF(BO37=1,0,IFERROR(VLOOKUP(BM37,'Gebinde-Kategorie'!$A$5:$G$45,5,0)+0,0))</f>
        <v/>
      </c>
      <c r="BZ37" s="58">
        <f>IFERROR(IF(OR(BQ37=1,BQ37=2,BQ37=3),N(INDEX(Parameter!$I$5:$I$7,BQ37)),0),0)</f>
        <v/>
      </c>
    </row>
    <row r="38">
      <c r="A38" s="53" t="inlineStr">
        <is>
          <t>100049</t>
        </is>
      </c>
      <c r="B38" s="53" t="inlineStr">
        <is>
          <t>Dosierzylinder O2</t>
        </is>
      </c>
      <c r="C38" s="53" t="inlineStr">
        <is>
          <t>F</t>
        </is>
      </c>
      <c r="D38" s="53" t="inlineStr">
        <is>
          <t>PAL</t>
        </is>
      </c>
      <c r="E38" s="53" t="inlineStr">
        <is>
          <t>C</t>
        </is>
      </c>
      <c r="F38" s="54" t="n">
        <v>630.41</v>
      </c>
      <c r="G38" s="55">
        <f>MAX(0,IF(Parameter!$B$20="Jahresanfang 2025 + Export",BG38+BF38,BF38))</f>
        <v/>
      </c>
      <c r="H38" s="55">
        <f>G38*F38</f>
        <v/>
      </c>
      <c r="I38" s="55">
        <f>BI38*Parameter!$B$18</f>
        <v/>
      </c>
      <c r="J38" s="56" t="n">
        <v>13</v>
      </c>
      <c r="K38" s="57" t="n">
        <v>5.538461538461538</v>
      </c>
      <c r="L38" s="55" t="n">
        <v>4</v>
      </c>
      <c r="M38" s="55" t="n">
        <v>15</v>
      </c>
      <c r="N38" s="58" t="n">
        <v>21</v>
      </c>
      <c r="O38" s="53" t="inlineStr">
        <is>
          <t>S81</t>
        </is>
      </c>
      <c r="P38" s="55" t="n">
        <v>8</v>
      </c>
      <c r="Q38" s="59">
        <f>IF(BO38=1,0,IFERROR(VLOOKUP(BM38,'Gebinde-Kategorie'!$A$5:$G$45,6,0)+0,0))</f>
        <v/>
      </c>
      <c r="R38" s="60" t="n"/>
      <c r="S38" s="61" t="n"/>
      <c r="T38" s="61" t="n"/>
      <c r="U38" s="53">
        <f>IF(A38="","",IF(IFERROR(VLOOKUP(D38,Parameter!$A$35:$C$64,2,0),"Nein")="2+3",IF(ISNUMBER(SEARCH("grosser Artikel",BJ38)),2,IFERROR(VLOOKUP(BM38,Parameter!$F$35:$G$64,2,0),2)),IF(OR(IFERROR(VLOOKUP(D38,Parameter!$A$35:$C$64,2,0),"Nein")="Nein",IFERROR(VLOOKUP(D38,Parameter!$A$35:$C$64,2,0),"Nein")=""),"-",VLOOKUP(D38,Parameter!$A$35:$C$64,2,0))))</f>
        <v/>
      </c>
      <c r="V38" s="61" t="n"/>
      <c r="W38" s="62" t="n"/>
      <c r="X38" s="55">
        <f>AM38</f>
        <v/>
      </c>
      <c r="Y38" s="55">
        <f>MAX(AM38,G38)</f>
        <v/>
      </c>
      <c r="Z38" s="63" t="n"/>
      <c r="AA38" s="55">
        <f>IF(LEFT(Cockpit!$C$5,1)="A",G38,IF(BT38=1,BU38,IF(LEFT(Cockpit!$C$5,1)="B",AE38,MAX(AE38,G38))))</f>
        <v/>
      </c>
      <c r="AB38" s="55">
        <f>IF(BO38=1,0,ROUNDUP(AA38/BN38,0))</f>
        <v/>
      </c>
      <c r="AC38" s="64">
        <f>IF(BO38=1,IF(AA38&lt;=0,0,BP38*MAX(1,IF(G38&gt;0,AA38/G38,1))),AB38*Q38)</f>
        <v/>
      </c>
      <c r="AD38" s="55">
        <f>AA38*F38</f>
        <v/>
      </c>
      <c r="AE38" s="55">
        <f>ROUNDUP(MAX(I38/IF(BS38&gt;0,BS38,MAX(0.1,N(Cockpit!$C$6))),BV38)/BN38,0)*BN38</f>
        <v/>
      </c>
      <c r="AF38" s="56">
        <f>IF(AC38&gt;0,I38/AC38,-1)</f>
        <v/>
      </c>
      <c r="AG38" s="56">
        <f>IF(AND(OR(BR38="L1",BR38="L23"),AC38&gt;0),SUMIFS($AC$7:$AC$1570,$BR$7:$BR$1570,BR38,$AF$7:$AF$1570,"&gt;"&amp;AF38)+SUMIFS($AC$7:$AC$1570,$BR$7:$BR$1570,BR38,$AF$7:$AF$1570,AF38,$BL$7:$BL$1570,"&lt;="&amp;BL38),"")</f>
        <v/>
      </c>
      <c r="AH38" s="65">
        <f>IF(AG38="",0,MAX(0,MIN(1,(IF(BR38="L1",Parameter!$K$5,Parameter!$K$6+Parameter!$K$7)-(AG38-AC38))/AC38)))</f>
        <v/>
      </c>
      <c r="AI38" s="55">
        <f>IF(LEFT(Cockpit!$I$5,1)="A",G38,IF(BT38=1,BU38,IF(LEFT(Cockpit!$I$5,1)="B",AM38,MAX(AM38,G38))))</f>
        <v/>
      </c>
      <c r="AJ38" s="55">
        <f>IF(BO38=1,0,ROUNDUP(AI38/BN38,0))</f>
        <v/>
      </c>
      <c r="AK38" s="64">
        <f>IF(BO38=1,IF(AI38&lt;=0,0,BP38*MAX(1,IF(G38&gt;0,AI38/G38,1))),AJ38*Q38)</f>
        <v/>
      </c>
      <c r="AL38" s="55">
        <f>AI38*F38</f>
        <v/>
      </c>
      <c r="AM38" s="55">
        <f>ROUNDUP(MAX(I38/IF(BS38&gt;0,BS38,MAX(0.1,N(Cockpit!$I$6))),BV38)/BN38,0)*BN38</f>
        <v/>
      </c>
      <c r="AN38" s="56">
        <f>IF(AK38&gt;0,I38/AK38,-1)</f>
        <v/>
      </c>
      <c r="AO38" s="56">
        <f>IF(AND(OR(BR38="L1",BR38="L23"),AK38&gt;0),SUMIFS($AK$7:$AK$1570,$BR$7:$BR$1570,BR38,$AN$7:$AN$1570,"&gt;"&amp;AN38)+SUMIFS($AK$7:$AK$1570,$BR$7:$BR$1570,BR38,$AN$7:$AN$1570,AN38,$BL$7:$BL$1570,"&lt;="&amp;BL38),"")</f>
        <v/>
      </c>
      <c r="AP38" s="65">
        <f>IF(AO38="",0,MAX(0,MIN(1,(IF(BR38="L1",Parameter!$K$5,Parameter!$K$6+Parameter!$K$7)-(AO38-AK38))/AK38)))</f>
        <v/>
      </c>
      <c r="AQ38" s="55">
        <f>IF(LEFT(Cockpit!$O$5,1)="A",G38,IF(BT38=1,BU38,IF(LEFT(Cockpit!$O$5,1)="B",AU38,MAX(AU38,G38))))</f>
        <v/>
      </c>
      <c r="AR38" s="55">
        <f>IF(BO38=1,0,ROUNDUP(AQ38/BN38,0))</f>
        <v/>
      </c>
      <c r="AS38" s="64">
        <f>IF(BO38=1,IF(AQ38&lt;=0,0,BP38*MAX(1,IF(G38&gt;0,AQ38/G38,1))),AR38*Q38)</f>
        <v/>
      </c>
      <c r="AT38" s="55">
        <f>AQ38*F38</f>
        <v/>
      </c>
      <c r="AU38" s="55">
        <f>ROUNDUP(MAX(I38/IF(BS38&gt;0,BS38,MAX(0.1,N(Cockpit!$O$6))),BV38)/BN38,0)*BN38</f>
        <v/>
      </c>
      <c r="AV38" s="56">
        <f>IF(AS38&gt;0,I38/AS38,-1)</f>
        <v/>
      </c>
      <c r="AW38" s="56">
        <f>IF(AND(OR(BR38="L1",BR38="L23"),AS38&gt;0),SUMIFS($AS$7:$AS$1570,$BR$7:$BR$1570,BR38,$AV$7:$AV$1570,"&gt;"&amp;AV38)+SUMIFS($AS$7:$AS$1570,$BR$7:$BR$1570,BR38,$AV$7:$AV$1570,AV38,$BL$7:$BL$1570,"&lt;="&amp;BL38),"")</f>
        <v/>
      </c>
      <c r="AX38" s="65">
        <f>IF(AW38="",0,MAX(0,MIN(1,(IF(BR38="L1",Parameter!$K$5,Parameter!$K$6+Parameter!$K$7)-(AW38-AS38))/AS38)))</f>
        <v/>
      </c>
      <c r="AY38" s="53">
        <f>IF(AC38&lt;=0,"",IF(BR38="Aussen","Aussenlager",IF(BR38="-","Nicht im Lift",IF(AH38&gt;=1,"Lift",IF(AH38&lt;=0,"Aussenlager","teilweise")))))</f>
        <v/>
      </c>
      <c r="AZ38" s="53">
        <f>IF(AK38&lt;=0,"",IF(BR38="Aussen","Aussenlager",IF(BR38="-","Nicht im Lift",IF(AP38&gt;=1,"Lift",IF(AP38&lt;=0,"Aussenlager","teilweise")))))</f>
        <v/>
      </c>
      <c r="BA38" s="53">
        <f>IF(AS38&lt;=0,"",IF(BR38="Aussen","Aussenlager",IF(BR38="-","Nicht im Lift",IF(AX38&gt;=1,"Lift",IF(AX38&lt;=0,"Aussenlager","teilweise")))))</f>
        <v/>
      </c>
      <c r="BB38" s="53">
        <f>IF(A38="","",IF(BK38=1,"Neu; ","")&amp;IF(AND(BK38=0,BF38&lt;0),"negativer Bestand (Export "&amp;BF38&amp;"); ","")&amp;IF(I38&lt;=0,"Kein Verbrauch; ","")&amp;IF(BO38=1,"Lose – Fläche geschätzt; ","")&amp;IF(G38&gt;AM38,"Überbestand "&amp;ROUND(G38-AM38,0)&amp;" Stk / CHF "&amp;ROUND((G38-AM38)*F38,0)&amp;"; ","")&amp;IF(AND(BT38=1,BU38&lt;BV38),"MAX &lt; MB+LG; ","")&amp;IF(AND(BZ38&gt;0,BY38*10&gt;BZ38),"zu hoch für Tablar; ","")&amp;IF(AND(BK38=0,OR(BT38=1,V38&lt;&gt;"",S38&lt;&gt;"",T38&lt;&gt;"",W38&lt;&gt;"")),"manuell übersteuert; ","")&amp;IF(AND(BO38=0,Q38=0),"Gebinde unbekannt; ","")&amp;IF(AND(BO38=0,N(T38)&lt;=0,N(P38)&lt;=0),"Menge pro Gebinde fehlt (Ist = 1 Gebinde); ","")&amp;BJ38)</f>
        <v/>
      </c>
      <c r="BC38" s="53" t="n"/>
      <c r="BD38" s="53" t="n"/>
      <c r="BE38" s="61" t="n"/>
      <c r="BF38" s="55" t="n">
        <v>16</v>
      </c>
      <c r="BG38" s="55" t="n">
        <v>0</v>
      </c>
      <c r="BH38" s="54" t="n">
        <v>10086.58000000001</v>
      </c>
      <c r="BI38" s="55" t="n">
        <v>72</v>
      </c>
      <c r="BJ38" s="53" t="inlineStr"/>
      <c r="BK38" s="58" t="n">
        <v>0</v>
      </c>
      <c r="BL38" s="58" t="n">
        <v>38</v>
      </c>
      <c r="BM38" s="53">
        <f>IF(S38&lt;&gt;"",UPPER(TRIM(S38)),IF(O38="","LOSE",O38))</f>
        <v/>
      </c>
      <c r="BN38" s="55">
        <f>IF(BM38="LOSE",1,IF(N(T38)&gt;0,T38,IF(N(P38)&gt;0,P38,MAX(1,G38))))</f>
        <v/>
      </c>
      <c r="BO38" s="58">
        <f>IF(BM38="LOSE",1,0)</f>
        <v/>
      </c>
      <c r="BP38" s="64">
        <f>IF(BO38=0,0,IF(N(R38)&gt;0,R38,IFERROR(VLOOKUP(D38,Parameter!$A$35:$C$64,3,0)+0,0)))</f>
        <v/>
      </c>
      <c r="BQ38" s="53">
        <f>IF(V38&lt;&gt;"",V38,U38)</f>
        <v/>
      </c>
      <c r="BR38" s="53">
        <f>IF(BQ38=1,"L1",IF(OR(BQ38=2,BQ38=3),"L23",IF(BQ38="Aussen","Aussen","-")))</f>
        <v/>
      </c>
      <c r="BS38" s="66">
        <f>IF(N(W38)&gt;0,W38,0)</f>
        <v/>
      </c>
      <c r="BT38" s="58">
        <f>IF(ISNUMBER(Z38),1,0)</f>
        <v/>
      </c>
      <c r="BU38" s="55">
        <f>N(Z38)</f>
        <v/>
      </c>
      <c r="BV38" s="55">
        <f>N(L38)+N(M38)</f>
        <v/>
      </c>
      <c r="BW38" s="55">
        <f>ROUNDUP(G38/BN38,0)</f>
        <v/>
      </c>
      <c r="BX38" s="55">
        <f>ROUNDUP(BU38/BN38,0)</f>
        <v/>
      </c>
      <c r="BY38" s="58">
        <f>IF(BO38=1,0,IFERROR(VLOOKUP(BM38,'Gebinde-Kategorie'!$A$5:$G$45,5,0)+0,0))</f>
        <v/>
      </c>
      <c r="BZ38" s="58">
        <f>IFERROR(IF(OR(BQ38=1,BQ38=2,BQ38=3),N(INDEX(Parameter!$I$5:$I$7,BQ38)),0),0)</f>
        <v/>
      </c>
    </row>
    <row r="39">
      <c r="A39" s="53" t="inlineStr">
        <is>
          <t>108138</t>
        </is>
      </c>
      <c r="B39" s="53" t="inlineStr">
        <is>
          <t>Spülluftmodul komplett</t>
        </is>
      </c>
      <c r="C39" s="53" t="inlineStr">
        <is>
          <t>F</t>
        </is>
      </c>
      <c r="D39" s="53" t="inlineStr">
        <is>
          <t>PAL</t>
        </is>
      </c>
      <c r="E39" s="53" t="inlineStr">
        <is>
          <t>C</t>
        </is>
      </c>
      <c r="F39" s="54" t="n">
        <v>914.52</v>
      </c>
      <c r="G39" s="55">
        <f>MAX(0,IF(Parameter!$B$20="Jahresanfang 2025 + Export",BG39+BF39,BF39))</f>
        <v/>
      </c>
      <c r="H39" s="55">
        <f>G39*F39</f>
        <v/>
      </c>
      <c r="I39" s="55">
        <f>BI39*Parameter!$B$18</f>
        <v/>
      </c>
      <c r="J39" s="56" t="n">
        <v>4</v>
      </c>
      <c r="K39" s="57" t="n">
        <v>36.75</v>
      </c>
      <c r="L39" s="55" t="n">
        <v>11</v>
      </c>
      <c r="M39" s="55" t="n">
        <v>20</v>
      </c>
      <c r="N39" s="58" t="n">
        <v>28</v>
      </c>
      <c r="O39" s="53" t="inlineStr">
        <is>
          <t>LOSE</t>
        </is>
      </c>
      <c r="P39" s="55" t="n"/>
      <c r="Q39" s="59">
        <f>IF(BO39=1,0,IFERROR(VLOOKUP(BM39,'Gebinde-Kategorie'!$A$5:$G$45,6,0)+0,0))</f>
        <v/>
      </c>
      <c r="R39" s="60" t="n"/>
      <c r="S39" s="61" t="n"/>
      <c r="T39" s="61" t="n"/>
      <c r="U39" s="53">
        <f>IF(A39="","",IF(IFERROR(VLOOKUP(D39,Parameter!$A$35:$C$64,2,0),"Nein")="2+3",IF(ISNUMBER(SEARCH("grosser Artikel",BJ39)),2,IFERROR(VLOOKUP(BM39,Parameter!$F$35:$G$64,2,0),2)),IF(OR(IFERROR(VLOOKUP(D39,Parameter!$A$35:$C$64,2,0),"Nein")="Nein",IFERROR(VLOOKUP(D39,Parameter!$A$35:$C$64,2,0),"Nein")=""),"-",VLOOKUP(D39,Parameter!$A$35:$C$64,2,0))))</f>
        <v/>
      </c>
      <c r="V39" s="61" t="n"/>
      <c r="W39" s="62" t="n"/>
      <c r="X39" s="55">
        <f>AM39</f>
        <v/>
      </c>
      <c r="Y39" s="55">
        <f>MAX(AM39,G39)</f>
        <v/>
      </c>
      <c r="Z39" s="63" t="n"/>
      <c r="AA39" s="55">
        <f>IF(LEFT(Cockpit!$C$5,1)="A",G39,IF(BT39=1,BU39,IF(LEFT(Cockpit!$C$5,1)="B",AE39,MAX(AE39,G39))))</f>
        <v/>
      </c>
      <c r="AB39" s="55">
        <f>IF(BO39=1,0,ROUNDUP(AA39/BN39,0))</f>
        <v/>
      </c>
      <c r="AC39" s="64">
        <f>IF(BO39=1,IF(AA39&lt;=0,0,BP39*MAX(1,IF(G39&gt;0,AA39/G39,1))),AB39*Q39)</f>
        <v/>
      </c>
      <c r="AD39" s="55">
        <f>AA39*F39</f>
        <v/>
      </c>
      <c r="AE39" s="55">
        <f>ROUNDUP(MAX(I39/IF(BS39&gt;0,BS39,MAX(0.1,N(Cockpit!$C$6))),BV39)/BN39,0)*BN39</f>
        <v/>
      </c>
      <c r="AF39" s="56">
        <f>IF(AC39&gt;0,I39/AC39,-1)</f>
        <v/>
      </c>
      <c r="AG39" s="56">
        <f>IF(AND(OR(BR39="L1",BR39="L23"),AC39&gt;0),SUMIFS($AC$7:$AC$1570,$BR$7:$BR$1570,BR39,$AF$7:$AF$1570,"&gt;"&amp;AF39)+SUMIFS($AC$7:$AC$1570,$BR$7:$BR$1570,BR39,$AF$7:$AF$1570,AF39,$BL$7:$BL$1570,"&lt;="&amp;BL39),"")</f>
        <v/>
      </c>
      <c r="AH39" s="65">
        <f>IF(AG39="",0,MAX(0,MIN(1,(IF(BR39="L1",Parameter!$K$5,Parameter!$K$6+Parameter!$K$7)-(AG39-AC39))/AC39)))</f>
        <v/>
      </c>
      <c r="AI39" s="55">
        <f>IF(LEFT(Cockpit!$I$5,1)="A",G39,IF(BT39=1,BU39,IF(LEFT(Cockpit!$I$5,1)="B",AM39,MAX(AM39,G39))))</f>
        <v/>
      </c>
      <c r="AJ39" s="55">
        <f>IF(BO39=1,0,ROUNDUP(AI39/BN39,0))</f>
        <v/>
      </c>
      <c r="AK39" s="64">
        <f>IF(BO39=1,IF(AI39&lt;=0,0,BP39*MAX(1,IF(G39&gt;0,AI39/G39,1))),AJ39*Q39)</f>
        <v/>
      </c>
      <c r="AL39" s="55">
        <f>AI39*F39</f>
        <v/>
      </c>
      <c r="AM39" s="55">
        <f>ROUNDUP(MAX(I39/IF(BS39&gt;0,BS39,MAX(0.1,N(Cockpit!$I$6))),BV39)/BN39,0)*BN39</f>
        <v/>
      </c>
      <c r="AN39" s="56">
        <f>IF(AK39&gt;0,I39/AK39,-1)</f>
        <v/>
      </c>
      <c r="AO39" s="56">
        <f>IF(AND(OR(BR39="L1",BR39="L23"),AK39&gt;0),SUMIFS($AK$7:$AK$1570,$BR$7:$BR$1570,BR39,$AN$7:$AN$1570,"&gt;"&amp;AN39)+SUMIFS($AK$7:$AK$1570,$BR$7:$BR$1570,BR39,$AN$7:$AN$1570,AN39,$BL$7:$BL$1570,"&lt;="&amp;BL39),"")</f>
        <v/>
      </c>
      <c r="AP39" s="65">
        <f>IF(AO39="",0,MAX(0,MIN(1,(IF(BR39="L1",Parameter!$K$5,Parameter!$K$6+Parameter!$K$7)-(AO39-AK39))/AK39)))</f>
        <v/>
      </c>
      <c r="AQ39" s="55">
        <f>IF(LEFT(Cockpit!$O$5,1)="A",G39,IF(BT39=1,BU39,IF(LEFT(Cockpit!$O$5,1)="B",AU39,MAX(AU39,G39))))</f>
        <v/>
      </c>
      <c r="AR39" s="55">
        <f>IF(BO39=1,0,ROUNDUP(AQ39/BN39,0))</f>
        <v/>
      </c>
      <c r="AS39" s="64">
        <f>IF(BO39=1,IF(AQ39&lt;=0,0,BP39*MAX(1,IF(G39&gt;0,AQ39/G39,1))),AR39*Q39)</f>
        <v/>
      </c>
      <c r="AT39" s="55">
        <f>AQ39*F39</f>
        <v/>
      </c>
      <c r="AU39" s="55">
        <f>ROUNDUP(MAX(I39/IF(BS39&gt;0,BS39,MAX(0.1,N(Cockpit!$O$6))),BV39)/BN39,0)*BN39</f>
        <v/>
      </c>
      <c r="AV39" s="56">
        <f>IF(AS39&gt;0,I39/AS39,-1)</f>
        <v/>
      </c>
      <c r="AW39" s="56">
        <f>IF(AND(OR(BR39="L1",BR39="L23"),AS39&gt;0),SUMIFS($AS$7:$AS$1570,$BR$7:$BR$1570,BR39,$AV$7:$AV$1570,"&gt;"&amp;AV39)+SUMIFS($AS$7:$AS$1570,$BR$7:$BR$1570,BR39,$AV$7:$AV$1570,AV39,$BL$7:$BL$1570,"&lt;="&amp;BL39),"")</f>
        <v/>
      </c>
      <c r="AX39" s="65">
        <f>IF(AW39="",0,MAX(0,MIN(1,(IF(BR39="L1",Parameter!$K$5,Parameter!$K$6+Parameter!$K$7)-(AW39-AS39))/AS39)))</f>
        <v/>
      </c>
      <c r="AY39" s="53">
        <f>IF(AC39&lt;=0,"",IF(BR39="Aussen","Aussenlager",IF(BR39="-","Nicht im Lift",IF(AH39&gt;=1,"Lift",IF(AH39&lt;=0,"Aussenlager","teilweise")))))</f>
        <v/>
      </c>
      <c r="AZ39" s="53">
        <f>IF(AK39&lt;=0,"",IF(BR39="Aussen","Aussenlager",IF(BR39="-","Nicht im Lift",IF(AP39&gt;=1,"Lift",IF(AP39&lt;=0,"Aussenlager","teilweise")))))</f>
        <v/>
      </c>
      <c r="BA39" s="53">
        <f>IF(AS39&lt;=0,"",IF(BR39="Aussen","Aussenlager",IF(BR39="-","Nicht im Lift",IF(AX39&gt;=1,"Lift",IF(AX39&lt;=0,"Aussenlager","teilweise")))))</f>
        <v/>
      </c>
      <c r="BB39" s="53">
        <f>IF(A39="","",IF(BK39=1,"Neu; ","")&amp;IF(AND(BK39=0,BF39&lt;0),"negativer Bestand (Export "&amp;BF39&amp;"); ","")&amp;IF(I39&lt;=0,"Kein Verbrauch; ","")&amp;IF(BO39=1,"Lose – Fläche geschätzt; ","")&amp;IF(G39&gt;AM39,"Überbestand "&amp;ROUND(G39-AM39,0)&amp;" Stk / CHF "&amp;ROUND((G39-AM39)*F39,0)&amp;"; ","")&amp;IF(AND(BT39=1,BU39&lt;BV39),"MAX &lt; MB+LG; ","")&amp;IF(AND(BZ39&gt;0,BY39*10&gt;BZ39),"zu hoch für Tablar; ","")&amp;IF(AND(BK39=0,OR(BT39=1,V39&lt;&gt;"",S39&lt;&gt;"",T39&lt;&gt;"",W39&lt;&gt;"")),"manuell übersteuert; ","")&amp;IF(AND(BO39=0,Q39=0),"Gebinde unbekannt; ","")&amp;IF(AND(BO39=0,N(T39)&lt;=0,N(P39)&lt;=0),"Menge pro Gebinde fehlt (Ist = 1 Gebinde); ","")&amp;BJ39)</f>
        <v/>
      </c>
      <c r="BC39" s="53" t="inlineStr">
        <is>
          <t>Losgrösse 10, mit Hoher WBZ Anfang 2024 bestellt seither unberührt</t>
        </is>
      </c>
      <c r="BD39" s="53" t="inlineStr">
        <is>
          <t>Warum soi viel bestellt wurde muss rausgefunden werden?</t>
        </is>
      </c>
      <c r="BE39" s="61" t="n"/>
      <c r="BF39" s="55" t="n">
        <v>11</v>
      </c>
      <c r="BG39" s="55" t="n">
        <v>2</v>
      </c>
      <c r="BH39" s="54" t="n">
        <v>10019.94000000002</v>
      </c>
      <c r="BI39" s="55" t="n">
        <v>147</v>
      </c>
      <c r="BJ39" s="53" t="inlineStr"/>
      <c r="BK39" s="58" t="n">
        <v>0</v>
      </c>
      <c r="BL39" s="58" t="n">
        <v>39</v>
      </c>
      <c r="BM39" s="53">
        <f>IF(S39&lt;&gt;"",UPPER(TRIM(S39)),IF(O39="","LOSE",O39))</f>
        <v/>
      </c>
      <c r="BN39" s="55">
        <f>IF(BM39="LOSE",1,IF(N(T39)&gt;0,T39,IF(N(P39)&gt;0,P39,MAX(1,G39))))</f>
        <v/>
      </c>
      <c r="BO39" s="58">
        <f>IF(BM39="LOSE",1,0)</f>
        <v/>
      </c>
      <c r="BP39" s="64">
        <f>IF(BO39=0,0,IF(N(R39)&gt;0,R39,IFERROR(VLOOKUP(D39,Parameter!$A$35:$C$64,3,0)+0,0)))</f>
        <v/>
      </c>
      <c r="BQ39" s="53">
        <f>IF(V39&lt;&gt;"",V39,U39)</f>
        <v/>
      </c>
      <c r="BR39" s="53">
        <f>IF(BQ39=1,"L1",IF(OR(BQ39=2,BQ39=3),"L23",IF(BQ39="Aussen","Aussen","-")))</f>
        <v/>
      </c>
      <c r="BS39" s="66">
        <f>IF(N(W39)&gt;0,W39,0)</f>
        <v/>
      </c>
      <c r="BT39" s="58">
        <f>IF(ISNUMBER(Z39),1,0)</f>
        <v/>
      </c>
      <c r="BU39" s="55">
        <f>N(Z39)</f>
        <v/>
      </c>
      <c r="BV39" s="55">
        <f>N(L39)+N(M39)</f>
        <v/>
      </c>
      <c r="BW39" s="55">
        <f>ROUNDUP(G39/BN39,0)</f>
        <v/>
      </c>
      <c r="BX39" s="55">
        <f>ROUNDUP(BU39/BN39,0)</f>
        <v/>
      </c>
      <c r="BY39" s="58">
        <f>IF(BO39=1,0,IFERROR(VLOOKUP(BM39,'Gebinde-Kategorie'!$A$5:$G$45,5,0)+0,0))</f>
        <v/>
      </c>
      <c r="BZ39" s="58">
        <f>IFERROR(IF(OR(BQ39=1,BQ39=2,BQ39=3),N(INDEX(Parameter!$I$5:$I$7,BQ39)),0),0)</f>
        <v/>
      </c>
    </row>
    <row r="40">
      <c r="A40" s="53" t="inlineStr">
        <is>
          <t>111000</t>
        </is>
      </c>
      <c r="B40" s="53" t="inlineStr">
        <is>
          <t>Austrittsdüsenschauglas komplett</t>
        </is>
      </c>
      <c r="C40" s="53" t="inlineStr">
        <is>
          <t>F</t>
        </is>
      </c>
      <c r="D40" s="53" t="inlineStr">
        <is>
          <t>PAL</t>
        </is>
      </c>
      <c r="E40" s="53" t="inlineStr">
        <is>
          <t>C</t>
        </is>
      </c>
      <c r="F40" s="54" t="n">
        <v>3123</v>
      </c>
      <c r="G40" s="55">
        <f>MAX(0,IF(Parameter!$B$20="Jahresanfang 2025 + Export",BG40+BF40,BF40))</f>
        <v/>
      </c>
      <c r="H40" s="55">
        <f>G40*F40</f>
        <v/>
      </c>
      <c r="I40" s="55">
        <f>BI40*Parameter!$B$18</f>
        <v/>
      </c>
      <c r="J40" s="56" t="n">
        <v>0.5</v>
      </c>
      <c r="K40" s="57" t="n">
        <v>0</v>
      </c>
      <c r="L40" s="55" t="n">
        <v>0</v>
      </c>
      <c r="M40" s="55" t="n">
        <v>1</v>
      </c>
      <c r="N40" s="58" t="n">
        <v>56</v>
      </c>
      <c r="O40" s="53" t="inlineStr">
        <is>
          <t>LOSE</t>
        </is>
      </c>
      <c r="P40" s="55" t="n"/>
      <c r="Q40" s="59">
        <f>IF(BO40=1,0,IFERROR(VLOOKUP(BM40,'Gebinde-Kategorie'!$A$5:$G$45,6,0)+0,0))</f>
        <v/>
      </c>
      <c r="R40" s="60" t="n"/>
      <c r="S40" s="61" t="n"/>
      <c r="T40" s="61" t="n"/>
      <c r="U40" s="53">
        <f>IF(A40="","",IF(IFERROR(VLOOKUP(D40,Parameter!$A$35:$C$64,2,0),"Nein")="2+3",IF(ISNUMBER(SEARCH("grosser Artikel",BJ40)),2,IFERROR(VLOOKUP(BM40,Parameter!$F$35:$G$64,2,0),2)),IF(OR(IFERROR(VLOOKUP(D40,Parameter!$A$35:$C$64,2,0),"Nein")="Nein",IFERROR(VLOOKUP(D40,Parameter!$A$35:$C$64,2,0),"Nein")=""),"-",VLOOKUP(D40,Parameter!$A$35:$C$64,2,0))))</f>
        <v/>
      </c>
      <c r="V40" s="61" t="n"/>
      <c r="W40" s="62" t="n"/>
      <c r="X40" s="55">
        <f>AM40</f>
        <v/>
      </c>
      <c r="Y40" s="55">
        <f>MAX(AM40,G40)</f>
        <v/>
      </c>
      <c r="Z40" s="63" t="n"/>
      <c r="AA40" s="55">
        <f>IF(LEFT(Cockpit!$C$5,1)="A",G40,IF(BT40=1,BU40,IF(LEFT(Cockpit!$C$5,1)="B",AE40,MAX(AE40,G40))))</f>
        <v/>
      </c>
      <c r="AB40" s="55">
        <f>IF(BO40=1,0,ROUNDUP(AA40/BN40,0))</f>
        <v/>
      </c>
      <c r="AC40" s="64">
        <f>IF(BO40=1,IF(AA40&lt;=0,0,BP40*MAX(1,IF(G40&gt;0,AA40/G40,1))),AB40*Q40)</f>
        <v/>
      </c>
      <c r="AD40" s="55">
        <f>AA40*F40</f>
        <v/>
      </c>
      <c r="AE40" s="55">
        <f>ROUNDUP(MAX(I40/IF(BS40&gt;0,BS40,MAX(0.1,N(Cockpit!$C$6))),BV40)/BN40,0)*BN40</f>
        <v/>
      </c>
      <c r="AF40" s="56">
        <f>IF(AC40&gt;0,I40/AC40,-1)</f>
        <v/>
      </c>
      <c r="AG40" s="56">
        <f>IF(AND(OR(BR40="L1",BR40="L23"),AC40&gt;0),SUMIFS($AC$7:$AC$1570,$BR$7:$BR$1570,BR40,$AF$7:$AF$1570,"&gt;"&amp;AF40)+SUMIFS($AC$7:$AC$1570,$BR$7:$BR$1570,BR40,$AF$7:$AF$1570,AF40,$BL$7:$BL$1570,"&lt;="&amp;BL40),"")</f>
        <v/>
      </c>
      <c r="AH40" s="65">
        <f>IF(AG40="",0,MAX(0,MIN(1,(IF(BR40="L1",Parameter!$K$5,Parameter!$K$6+Parameter!$K$7)-(AG40-AC40))/AC40)))</f>
        <v/>
      </c>
      <c r="AI40" s="55">
        <f>IF(LEFT(Cockpit!$I$5,1)="A",G40,IF(BT40=1,BU40,IF(LEFT(Cockpit!$I$5,1)="B",AM40,MAX(AM40,G40))))</f>
        <v/>
      </c>
      <c r="AJ40" s="55">
        <f>IF(BO40=1,0,ROUNDUP(AI40/BN40,0))</f>
        <v/>
      </c>
      <c r="AK40" s="64">
        <f>IF(BO40=1,IF(AI40&lt;=0,0,BP40*MAX(1,IF(G40&gt;0,AI40/G40,1))),AJ40*Q40)</f>
        <v/>
      </c>
      <c r="AL40" s="55">
        <f>AI40*F40</f>
        <v/>
      </c>
      <c r="AM40" s="55">
        <f>ROUNDUP(MAX(I40/IF(BS40&gt;0,BS40,MAX(0.1,N(Cockpit!$I$6))),BV40)/BN40,0)*BN40</f>
        <v/>
      </c>
      <c r="AN40" s="56">
        <f>IF(AK40&gt;0,I40/AK40,-1)</f>
        <v/>
      </c>
      <c r="AO40" s="56">
        <f>IF(AND(OR(BR40="L1",BR40="L23"),AK40&gt;0),SUMIFS($AK$7:$AK$1570,$BR$7:$BR$1570,BR40,$AN$7:$AN$1570,"&gt;"&amp;AN40)+SUMIFS($AK$7:$AK$1570,$BR$7:$BR$1570,BR40,$AN$7:$AN$1570,AN40,$BL$7:$BL$1570,"&lt;="&amp;BL40),"")</f>
        <v/>
      </c>
      <c r="AP40" s="65">
        <f>IF(AO40="",0,MAX(0,MIN(1,(IF(BR40="L1",Parameter!$K$5,Parameter!$K$6+Parameter!$K$7)-(AO40-AK40))/AK40)))</f>
        <v/>
      </c>
      <c r="AQ40" s="55">
        <f>IF(LEFT(Cockpit!$O$5,1)="A",G40,IF(BT40=1,BU40,IF(LEFT(Cockpit!$O$5,1)="B",AU40,MAX(AU40,G40))))</f>
        <v/>
      </c>
      <c r="AR40" s="55">
        <f>IF(BO40=1,0,ROUNDUP(AQ40/BN40,0))</f>
        <v/>
      </c>
      <c r="AS40" s="64">
        <f>IF(BO40=1,IF(AQ40&lt;=0,0,BP40*MAX(1,IF(G40&gt;0,AQ40/G40,1))),AR40*Q40)</f>
        <v/>
      </c>
      <c r="AT40" s="55">
        <f>AQ40*F40</f>
        <v/>
      </c>
      <c r="AU40" s="55">
        <f>ROUNDUP(MAX(I40/IF(BS40&gt;0,BS40,MAX(0.1,N(Cockpit!$O$6))),BV40)/BN40,0)*BN40</f>
        <v/>
      </c>
      <c r="AV40" s="56">
        <f>IF(AS40&gt;0,I40/AS40,-1)</f>
        <v/>
      </c>
      <c r="AW40" s="56">
        <f>IF(AND(OR(BR40="L1",BR40="L23"),AS40&gt;0),SUMIFS($AS$7:$AS$1570,$BR$7:$BR$1570,BR40,$AV$7:$AV$1570,"&gt;"&amp;AV40)+SUMIFS($AS$7:$AS$1570,$BR$7:$BR$1570,BR40,$AV$7:$AV$1570,AV40,$BL$7:$BL$1570,"&lt;="&amp;BL40),"")</f>
        <v/>
      </c>
      <c r="AX40" s="65">
        <f>IF(AW40="",0,MAX(0,MIN(1,(IF(BR40="L1",Parameter!$K$5,Parameter!$K$6+Parameter!$K$7)-(AW40-AS40))/AS40)))</f>
        <v/>
      </c>
      <c r="AY40" s="53">
        <f>IF(AC40&lt;=0,"",IF(BR40="Aussen","Aussenlager",IF(BR40="-","Nicht im Lift",IF(AH40&gt;=1,"Lift",IF(AH40&lt;=0,"Aussenlager","teilweise")))))</f>
        <v/>
      </c>
      <c r="AZ40" s="53">
        <f>IF(AK40&lt;=0,"",IF(BR40="Aussen","Aussenlager",IF(BR40="-","Nicht im Lift",IF(AP40&gt;=1,"Lift",IF(AP40&lt;=0,"Aussenlager","teilweise")))))</f>
        <v/>
      </c>
      <c r="BA40" s="53">
        <f>IF(AS40&lt;=0,"",IF(BR40="Aussen","Aussenlager",IF(BR40="-","Nicht im Lift",IF(AX40&gt;=1,"Lift",IF(AX40&lt;=0,"Aussenlager","teilweise")))))</f>
        <v/>
      </c>
      <c r="BB40" s="53">
        <f>IF(A40="","",IF(BK40=1,"Neu; ","")&amp;IF(AND(BK40=0,BF40&lt;0),"negativer Bestand (Export "&amp;BF40&amp;"); ","")&amp;IF(I40&lt;=0,"Kein Verbrauch; ","")&amp;IF(BO40=1,"Lose – Fläche geschätzt; ","")&amp;IF(G40&gt;AM40,"Überbestand "&amp;ROUND(G40-AM40,0)&amp;" Stk / CHF "&amp;ROUND((G40-AM40)*F40,0)&amp;"; ","")&amp;IF(AND(BT40=1,BU40&lt;BV40),"MAX &lt; MB+LG; ","")&amp;IF(AND(BZ40&gt;0,BY40*10&gt;BZ40),"zu hoch für Tablar; ","")&amp;IF(AND(BK40=0,OR(BT40=1,V40&lt;&gt;"",S40&lt;&gt;"",T40&lt;&gt;"",W40&lt;&gt;"")),"manuell übersteuert; ","")&amp;IF(AND(BO40=0,Q40=0),"Gebinde unbekannt; ","")&amp;IF(AND(BO40=0,N(T40)&lt;=0,N(P40)&lt;=0),"Menge pro Gebinde fehlt (Ist = 1 Gebinde); ","")&amp;BJ40)</f>
        <v/>
      </c>
      <c r="BC40" s="53" t="n"/>
      <c r="BD40" s="53" t="n"/>
      <c r="BE40" s="61" t="n"/>
      <c r="BF40" s="55" t="n">
        <v>3</v>
      </c>
      <c r="BG40" s="55" t="n">
        <v>0</v>
      </c>
      <c r="BH40" s="54" t="n">
        <v>9369</v>
      </c>
      <c r="BI40" s="55" t="n">
        <v>0</v>
      </c>
      <c r="BJ40" s="53" t="inlineStr"/>
      <c r="BK40" s="58" t="n">
        <v>0</v>
      </c>
      <c r="BL40" s="58" t="n">
        <v>40</v>
      </c>
      <c r="BM40" s="53">
        <f>IF(S40&lt;&gt;"",UPPER(TRIM(S40)),IF(O40="","LOSE",O40))</f>
        <v/>
      </c>
      <c r="BN40" s="55">
        <f>IF(BM40="LOSE",1,IF(N(T40)&gt;0,T40,IF(N(P40)&gt;0,P40,MAX(1,G40))))</f>
        <v/>
      </c>
      <c r="BO40" s="58">
        <f>IF(BM40="LOSE",1,0)</f>
        <v/>
      </c>
      <c r="BP40" s="64">
        <f>IF(BO40=0,0,IF(N(R40)&gt;0,R40,IFERROR(VLOOKUP(D40,Parameter!$A$35:$C$64,3,0)+0,0)))</f>
        <v/>
      </c>
      <c r="BQ40" s="53">
        <f>IF(V40&lt;&gt;"",V40,U40)</f>
        <v/>
      </c>
      <c r="BR40" s="53">
        <f>IF(BQ40=1,"L1",IF(OR(BQ40=2,BQ40=3),"L23",IF(BQ40="Aussen","Aussen","-")))</f>
        <v/>
      </c>
      <c r="BS40" s="66">
        <f>IF(N(W40)&gt;0,W40,0)</f>
        <v/>
      </c>
      <c r="BT40" s="58">
        <f>IF(ISNUMBER(Z40),1,0)</f>
        <v/>
      </c>
      <c r="BU40" s="55">
        <f>N(Z40)</f>
        <v/>
      </c>
      <c r="BV40" s="55">
        <f>N(L40)+N(M40)</f>
        <v/>
      </c>
      <c r="BW40" s="55">
        <f>ROUNDUP(G40/BN40,0)</f>
        <v/>
      </c>
      <c r="BX40" s="55">
        <f>ROUNDUP(BU40/BN40,0)</f>
        <v/>
      </c>
      <c r="BY40" s="58">
        <f>IF(BO40=1,0,IFERROR(VLOOKUP(BM40,'Gebinde-Kategorie'!$A$5:$G$45,5,0)+0,0))</f>
        <v/>
      </c>
      <c r="BZ40" s="58">
        <f>IFERROR(IF(OR(BQ40=1,BQ40=2,BQ40=3),N(INDEX(Parameter!$I$5:$I$7,BQ40)),0),0)</f>
        <v/>
      </c>
    </row>
    <row r="41">
      <c r="A41" s="53" t="inlineStr">
        <is>
          <t>107420</t>
        </is>
      </c>
      <c r="B41" s="53" t="inlineStr">
        <is>
          <t>Horizontalwagen</t>
        </is>
      </c>
      <c r="C41" s="53" t="inlineStr">
        <is>
          <t>F</t>
        </is>
      </c>
      <c r="D41" s="53" t="inlineStr">
        <is>
          <t>PAL</t>
        </is>
      </c>
      <c r="E41" s="53" t="inlineStr">
        <is>
          <t>C</t>
        </is>
      </c>
      <c r="F41" s="54" t="n">
        <v>530</v>
      </c>
      <c r="G41" s="55">
        <f>MAX(0,IF(Parameter!$B$20="Jahresanfang 2025 + Export",BG41+BF41,BF41))</f>
        <v/>
      </c>
      <c r="H41" s="55">
        <f>G41*F41</f>
        <v/>
      </c>
      <c r="I41" s="55">
        <f>BI41*Parameter!$B$18</f>
        <v/>
      </c>
      <c r="J41" s="56" t="n">
        <v>9.5</v>
      </c>
      <c r="K41" s="57" t="n">
        <v>2.421052631578947</v>
      </c>
      <c r="L41" s="55" t="n">
        <v>5</v>
      </c>
      <c r="M41" s="55" t="n">
        <v>10</v>
      </c>
      <c r="N41" s="58" t="n">
        <v>70</v>
      </c>
      <c r="O41" s="53" t="inlineStr">
        <is>
          <t>S81</t>
        </is>
      </c>
      <c r="P41" s="55" t="n">
        <v>4</v>
      </c>
      <c r="Q41" s="59">
        <f>IF(BO41=1,0,IFERROR(VLOOKUP(BM41,'Gebinde-Kategorie'!$A$5:$G$45,6,0)+0,0))</f>
        <v/>
      </c>
      <c r="R41" s="60" t="n"/>
      <c r="S41" s="61" t="n"/>
      <c r="T41" s="61" t="n"/>
      <c r="U41" s="53">
        <f>IF(A41="","",IF(IFERROR(VLOOKUP(D41,Parameter!$A$35:$C$64,2,0),"Nein")="2+3",IF(ISNUMBER(SEARCH("grosser Artikel",BJ41)),2,IFERROR(VLOOKUP(BM41,Parameter!$F$35:$G$64,2,0),2)),IF(OR(IFERROR(VLOOKUP(D41,Parameter!$A$35:$C$64,2,0),"Nein")="Nein",IFERROR(VLOOKUP(D41,Parameter!$A$35:$C$64,2,0),"Nein")=""),"-",VLOOKUP(D41,Parameter!$A$35:$C$64,2,0))))</f>
        <v/>
      </c>
      <c r="V41" s="61" t="n"/>
      <c r="W41" s="62" t="n"/>
      <c r="X41" s="55">
        <f>AM41</f>
        <v/>
      </c>
      <c r="Y41" s="55">
        <f>MAX(AM41,G41)</f>
        <v/>
      </c>
      <c r="Z41" s="63" t="n"/>
      <c r="AA41" s="55">
        <f>IF(LEFT(Cockpit!$C$5,1)="A",G41,IF(BT41=1,BU41,IF(LEFT(Cockpit!$C$5,1)="B",AE41,MAX(AE41,G41))))</f>
        <v/>
      </c>
      <c r="AB41" s="55">
        <f>IF(BO41=1,0,ROUNDUP(AA41/BN41,0))</f>
        <v/>
      </c>
      <c r="AC41" s="64">
        <f>IF(BO41=1,IF(AA41&lt;=0,0,BP41*MAX(1,IF(G41&gt;0,AA41/G41,1))),AB41*Q41)</f>
        <v/>
      </c>
      <c r="AD41" s="55">
        <f>AA41*F41</f>
        <v/>
      </c>
      <c r="AE41" s="55">
        <f>ROUNDUP(MAX(I41/IF(BS41&gt;0,BS41,MAX(0.1,N(Cockpit!$C$6))),BV41)/BN41,0)*BN41</f>
        <v/>
      </c>
      <c r="AF41" s="56">
        <f>IF(AC41&gt;0,I41/AC41,-1)</f>
        <v/>
      </c>
      <c r="AG41" s="56">
        <f>IF(AND(OR(BR41="L1",BR41="L23"),AC41&gt;0),SUMIFS($AC$7:$AC$1570,$BR$7:$BR$1570,BR41,$AF$7:$AF$1570,"&gt;"&amp;AF41)+SUMIFS($AC$7:$AC$1570,$BR$7:$BR$1570,BR41,$AF$7:$AF$1570,AF41,$BL$7:$BL$1570,"&lt;="&amp;BL41),"")</f>
        <v/>
      </c>
      <c r="AH41" s="65">
        <f>IF(AG41="",0,MAX(0,MIN(1,(IF(BR41="L1",Parameter!$K$5,Parameter!$K$6+Parameter!$K$7)-(AG41-AC41))/AC41)))</f>
        <v/>
      </c>
      <c r="AI41" s="55">
        <f>IF(LEFT(Cockpit!$I$5,1)="A",G41,IF(BT41=1,BU41,IF(LEFT(Cockpit!$I$5,1)="B",AM41,MAX(AM41,G41))))</f>
        <v/>
      </c>
      <c r="AJ41" s="55">
        <f>IF(BO41=1,0,ROUNDUP(AI41/BN41,0))</f>
        <v/>
      </c>
      <c r="AK41" s="64">
        <f>IF(BO41=1,IF(AI41&lt;=0,0,BP41*MAX(1,IF(G41&gt;0,AI41/G41,1))),AJ41*Q41)</f>
        <v/>
      </c>
      <c r="AL41" s="55">
        <f>AI41*F41</f>
        <v/>
      </c>
      <c r="AM41" s="55">
        <f>ROUNDUP(MAX(I41/IF(BS41&gt;0,BS41,MAX(0.1,N(Cockpit!$I$6))),BV41)/BN41,0)*BN41</f>
        <v/>
      </c>
      <c r="AN41" s="56">
        <f>IF(AK41&gt;0,I41/AK41,-1)</f>
        <v/>
      </c>
      <c r="AO41" s="56">
        <f>IF(AND(OR(BR41="L1",BR41="L23"),AK41&gt;0),SUMIFS($AK$7:$AK$1570,$BR$7:$BR$1570,BR41,$AN$7:$AN$1570,"&gt;"&amp;AN41)+SUMIFS($AK$7:$AK$1570,$BR$7:$BR$1570,BR41,$AN$7:$AN$1570,AN41,$BL$7:$BL$1570,"&lt;="&amp;BL41),"")</f>
        <v/>
      </c>
      <c r="AP41" s="65">
        <f>IF(AO41="",0,MAX(0,MIN(1,(IF(BR41="L1",Parameter!$K$5,Parameter!$K$6+Parameter!$K$7)-(AO41-AK41))/AK41)))</f>
        <v/>
      </c>
      <c r="AQ41" s="55">
        <f>IF(LEFT(Cockpit!$O$5,1)="A",G41,IF(BT41=1,BU41,IF(LEFT(Cockpit!$O$5,1)="B",AU41,MAX(AU41,G41))))</f>
        <v/>
      </c>
      <c r="AR41" s="55">
        <f>IF(BO41=1,0,ROUNDUP(AQ41/BN41,0))</f>
        <v/>
      </c>
      <c r="AS41" s="64">
        <f>IF(BO41=1,IF(AQ41&lt;=0,0,BP41*MAX(1,IF(G41&gt;0,AQ41/G41,1))),AR41*Q41)</f>
        <v/>
      </c>
      <c r="AT41" s="55">
        <f>AQ41*F41</f>
        <v/>
      </c>
      <c r="AU41" s="55">
        <f>ROUNDUP(MAX(I41/IF(BS41&gt;0,BS41,MAX(0.1,N(Cockpit!$O$6))),BV41)/BN41,0)*BN41</f>
        <v/>
      </c>
      <c r="AV41" s="56">
        <f>IF(AS41&gt;0,I41/AS41,-1)</f>
        <v/>
      </c>
      <c r="AW41" s="56">
        <f>IF(AND(OR(BR41="L1",BR41="L23"),AS41&gt;0),SUMIFS($AS$7:$AS$1570,$BR$7:$BR$1570,BR41,$AV$7:$AV$1570,"&gt;"&amp;AV41)+SUMIFS($AS$7:$AS$1570,$BR$7:$BR$1570,BR41,$AV$7:$AV$1570,AV41,$BL$7:$BL$1570,"&lt;="&amp;BL41),"")</f>
        <v/>
      </c>
      <c r="AX41" s="65">
        <f>IF(AW41="",0,MAX(0,MIN(1,(IF(BR41="L1",Parameter!$K$5,Parameter!$K$6+Parameter!$K$7)-(AW41-AS41))/AS41)))</f>
        <v/>
      </c>
      <c r="AY41" s="53">
        <f>IF(AC41&lt;=0,"",IF(BR41="Aussen","Aussenlager",IF(BR41="-","Nicht im Lift",IF(AH41&gt;=1,"Lift",IF(AH41&lt;=0,"Aussenlager","teilweise")))))</f>
        <v/>
      </c>
      <c r="AZ41" s="53">
        <f>IF(AK41&lt;=0,"",IF(BR41="Aussen","Aussenlager",IF(BR41="-","Nicht im Lift",IF(AP41&gt;=1,"Lift",IF(AP41&lt;=0,"Aussenlager","teilweise")))))</f>
        <v/>
      </c>
      <c r="BA41" s="53">
        <f>IF(AS41&lt;=0,"",IF(BR41="Aussen","Aussenlager",IF(BR41="-","Nicht im Lift",IF(AX41&gt;=1,"Lift",IF(AX41&lt;=0,"Aussenlager","teilweise")))))</f>
        <v/>
      </c>
      <c r="BB41" s="53">
        <f>IF(A41="","",IF(BK41=1,"Neu; ","")&amp;IF(AND(BK41=0,BF41&lt;0),"negativer Bestand (Export "&amp;BF41&amp;"); ","")&amp;IF(I41&lt;=0,"Kein Verbrauch; ","")&amp;IF(BO41=1,"Lose – Fläche geschätzt; ","")&amp;IF(G41&gt;AM41,"Überbestand "&amp;ROUND(G41-AM41,0)&amp;" Stk / CHF "&amp;ROUND((G41-AM41)*F41,0)&amp;"; ","")&amp;IF(AND(BT41=1,BU41&lt;BV41),"MAX &lt; MB+LG; ","")&amp;IF(AND(BZ41&gt;0,BY41*10&gt;BZ41),"zu hoch für Tablar; ","")&amp;IF(AND(BK41=0,OR(BT41=1,V41&lt;&gt;"",S41&lt;&gt;"",T41&lt;&gt;"",W41&lt;&gt;"")),"manuell übersteuert; ","")&amp;IF(AND(BO41=0,Q41=0),"Gebinde unbekannt; ","")&amp;IF(AND(BO41=0,N(T41)&lt;=0,N(P41)&lt;=0),"Menge pro Gebinde fehlt (Ist = 1 Gebinde); ","")&amp;BJ41)</f>
        <v/>
      </c>
      <c r="BC41" s="53" t="inlineStr">
        <is>
          <t>Losgrösse 10 auf 20 Stk. + lange WBZ -&gt; MB war 15 Stk.</t>
        </is>
      </c>
      <c r="BD41" s="53" t="inlineStr">
        <is>
          <t>WBZ war nicht passend zum Rahmen?</t>
        </is>
      </c>
      <c r="BE41" s="61" t="n"/>
      <c r="BF41" s="55" t="n">
        <v>16</v>
      </c>
      <c r="BG41" s="55" t="n">
        <v>3</v>
      </c>
      <c r="BH41" s="54" t="n">
        <v>8480</v>
      </c>
      <c r="BI41" s="55" t="n">
        <v>23</v>
      </c>
      <c r="BJ41" s="53" t="inlineStr"/>
      <c r="BK41" s="58" t="n">
        <v>0</v>
      </c>
      <c r="BL41" s="58" t="n">
        <v>41</v>
      </c>
      <c r="BM41" s="53">
        <f>IF(S41&lt;&gt;"",UPPER(TRIM(S41)),IF(O41="","LOSE",O41))</f>
        <v/>
      </c>
      <c r="BN41" s="55">
        <f>IF(BM41="LOSE",1,IF(N(T41)&gt;0,T41,IF(N(P41)&gt;0,P41,MAX(1,G41))))</f>
        <v/>
      </c>
      <c r="BO41" s="58">
        <f>IF(BM41="LOSE",1,0)</f>
        <v/>
      </c>
      <c r="BP41" s="64">
        <f>IF(BO41=0,0,IF(N(R41)&gt;0,R41,IFERROR(VLOOKUP(D41,Parameter!$A$35:$C$64,3,0)+0,0)))</f>
        <v/>
      </c>
      <c r="BQ41" s="53">
        <f>IF(V41&lt;&gt;"",V41,U41)</f>
        <v/>
      </c>
      <c r="BR41" s="53">
        <f>IF(BQ41=1,"L1",IF(OR(BQ41=2,BQ41=3),"L23",IF(BQ41="Aussen","Aussen","-")))</f>
        <v/>
      </c>
      <c r="BS41" s="66">
        <f>IF(N(W41)&gt;0,W41,0)</f>
        <v/>
      </c>
      <c r="BT41" s="58">
        <f>IF(ISNUMBER(Z41),1,0)</f>
        <v/>
      </c>
      <c r="BU41" s="55">
        <f>N(Z41)</f>
        <v/>
      </c>
      <c r="BV41" s="55">
        <f>N(L41)+N(M41)</f>
        <v/>
      </c>
      <c r="BW41" s="55">
        <f>ROUNDUP(G41/BN41,0)</f>
        <v/>
      </c>
      <c r="BX41" s="55">
        <f>ROUNDUP(BU41/BN41,0)</f>
        <v/>
      </c>
      <c r="BY41" s="58">
        <f>IF(BO41=1,0,IFERROR(VLOOKUP(BM41,'Gebinde-Kategorie'!$A$5:$G$45,5,0)+0,0))</f>
        <v/>
      </c>
      <c r="BZ41" s="58">
        <f>IFERROR(IF(OR(BQ41=1,BQ41=2,BQ41=3),N(INDEX(Parameter!$I$5:$I$7,BQ41)),0),0)</f>
        <v/>
      </c>
    </row>
    <row r="42">
      <c r="A42" s="53" t="inlineStr">
        <is>
          <t>111885</t>
        </is>
      </c>
      <c r="B42" s="53" t="inlineStr">
        <is>
          <t>Magnetventil mit Spule</t>
        </is>
      </c>
      <c r="C42" s="53" t="inlineStr">
        <is>
          <t>F</t>
        </is>
      </c>
      <c r="D42" s="53" t="inlineStr">
        <is>
          <t>KTL</t>
        </is>
      </c>
      <c r="E42" s="53" t="inlineStr">
        <is>
          <t>C</t>
        </is>
      </c>
      <c r="F42" s="54" t="n">
        <v>1121.43</v>
      </c>
      <c r="G42" s="55">
        <f>MAX(0,IF(Parameter!$B$20="Jahresanfang 2025 + Export",BG42+BF42,BF42))</f>
        <v/>
      </c>
      <c r="H42" s="55">
        <f>G42*F42</f>
        <v/>
      </c>
      <c r="I42" s="55">
        <f>BI42*Parameter!$B$18</f>
        <v/>
      </c>
      <c r="J42" s="56" t="n">
        <v>0</v>
      </c>
      <c r="K42" s="57" t="n">
        <v>0</v>
      </c>
      <c r="L42" s="55" t="n">
        <v>0</v>
      </c>
      <c r="M42" s="55" t="n">
        <v>1</v>
      </c>
      <c r="N42" s="58" t="n">
        <v>9999</v>
      </c>
      <c r="O42" s="53" t="inlineStr">
        <is>
          <t>LOSE</t>
        </is>
      </c>
      <c r="P42" s="55" t="n"/>
      <c r="Q42" s="59">
        <f>IF(BO42=1,0,IFERROR(VLOOKUP(BM42,'Gebinde-Kategorie'!$A$5:$G$45,6,0)+0,0))</f>
        <v/>
      </c>
      <c r="R42" s="60" t="n"/>
      <c r="S42" s="61" t="n"/>
      <c r="T42" s="61" t="n"/>
      <c r="U42" s="53">
        <f>IF(A42="","",IF(IFERROR(VLOOKUP(D42,Parameter!$A$35:$C$64,2,0),"Nein")="2+3",IF(ISNUMBER(SEARCH("grosser Artikel",BJ42)),2,IFERROR(VLOOKUP(BM42,Parameter!$F$35:$G$64,2,0),2)),IF(OR(IFERROR(VLOOKUP(D42,Parameter!$A$35:$C$64,2,0),"Nein")="Nein",IFERROR(VLOOKUP(D42,Parameter!$A$35:$C$64,2,0),"Nein")=""),"-",VLOOKUP(D42,Parameter!$A$35:$C$64,2,0))))</f>
        <v/>
      </c>
      <c r="V42" s="61" t="n"/>
      <c r="W42" s="62" t="n"/>
      <c r="X42" s="55">
        <f>AM42</f>
        <v/>
      </c>
      <c r="Y42" s="55">
        <f>MAX(AM42,G42)</f>
        <v/>
      </c>
      <c r="Z42" s="63" t="n"/>
      <c r="AA42" s="55">
        <f>IF(LEFT(Cockpit!$C$5,1)="A",G42,IF(BT42=1,BU42,IF(LEFT(Cockpit!$C$5,1)="B",AE42,MAX(AE42,G42))))</f>
        <v/>
      </c>
      <c r="AB42" s="55">
        <f>IF(BO42=1,0,ROUNDUP(AA42/BN42,0))</f>
        <v/>
      </c>
      <c r="AC42" s="64">
        <f>IF(BO42=1,IF(AA42&lt;=0,0,BP42*MAX(1,IF(G42&gt;0,AA42/G42,1))),AB42*Q42)</f>
        <v/>
      </c>
      <c r="AD42" s="55">
        <f>AA42*F42</f>
        <v/>
      </c>
      <c r="AE42" s="55">
        <f>ROUNDUP(MAX(I42/IF(BS42&gt;0,BS42,MAX(0.1,N(Cockpit!$C$6))),BV42)/BN42,0)*BN42</f>
        <v/>
      </c>
      <c r="AF42" s="56">
        <f>IF(AC42&gt;0,I42/AC42,-1)</f>
        <v/>
      </c>
      <c r="AG42" s="56">
        <f>IF(AND(OR(BR42="L1",BR42="L23"),AC42&gt;0),SUMIFS($AC$7:$AC$1570,$BR$7:$BR$1570,BR42,$AF$7:$AF$1570,"&gt;"&amp;AF42)+SUMIFS($AC$7:$AC$1570,$BR$7:$BR$1570,BR42,$AF$7:$AF$1570,AF42,$BL$7:$BL$1570,"&lt;="&amp;BL42),"")</f>
        <v/>
      </c>
      <c r="AH42" s="65">
        <f>IF(AG42="",0,MAX(0,MIN(1,(IF(BR42="L1",Parameter!$K$5,Parameter!$K$6+Parameter!$K$7)-(AG42-AC42))/AC42)))</f>
        <v/>
      </c>
      <c r="AI42" s="55">
        <f>IF(LEFT(Cockpit!$I$5,1)="A",G42,IF(BT42=1,BU42,IF(LEFT(Cockpit!$I$5,1)="B",AM42,MAX(AM42,G42))))</f>
        <v/>
      </c>
      <c r="AJ42" s="55">
        <f>IF(BO42=1,0,ROUNDUP(AI42/BN42,0))</f>
        <v/>
      </c>
      <c r="AK42" s="64">
        <f>IF(BO42=1,IF(AI42&lt;=0,0,BP42*MAX(1,IF(G42&gt;0,AI42/G42,1))),AJ42*Q42)</f>
        <v/>
      </c>
      <c r="AL42" s="55">
        <f>AI42*F42</f>
        <v/>
      </c>
      <c r="AM42" s="55">
        <f>ROUNDUP(MAX(I42/IF(BS42&gt;0,BS42,MAX(0.1,N(Cockpit!$I$6))),BV42)/BN42,0)*BN42</f>
        <v/>
      </c>
      <c r="AN42" s="56">
        <f>IF(AK42&gt;0,I42/AK42,-1)</f>
        <v/>
      </c>
      <c r="AO42" s="56">
        <f>IF(AND(OR(BR42="L1",BR42="L23"),AK42&gt;0),SUMIFS($AK$7:$AK$1570,$BR$7:$BR$1570,BR42,$AN$7:$AN$1570,"&gt;"&amp;AN42)+SUMIFS($AK$7:$AK$1570,$BR$7:$BR$1570,BR42,$AN$7:$AN$1570,AN42,$BL$7:$BL$1570,"&lt;="&amp;BL42),"")</f>
        <v/>
      </c>
      <c r="AP42" s="65">
        <f>IF(AO42="",0,MAX(0,MIN(1,(IF(BR42="L1",Parameter!$K$5,Parameter!$K$6+Parameter!$K$7)-(AO42-AK42))/AK42)))</f>
        <v/>
      </c>
      <c r="AQ42" s="55">
        <f>IF(LEFT(Cockpit!$O$5,1)="A",G42,IF(BT42=1,BU42,IF(LEFT(Cockpit!$O$5,1)="B",AU42,MAX(AU42,G42))))</f>
        <v/>
      </c>
      <c r="AR42" s="55">
        <f>IF(BO42=1,0,ROUNDUP(AQ42/BN42,0))</f>
        <v/>
      </c>
      <c r="AS42" s="64">
        <f>IF(BO42=1,IF(AQ42&lt;=0,0,BP42*MAX(1,IF(G42&gt;0,AQ42/G42,1))),AR42*Q42)</f>
        <v/>
      </c>
      <c r="AT42" s="55">
        <f>AQ42*F42</f>
        <v/>
      </c>
      <c r="AU42" s="55">
        <f>ROUNDUP(MAX(I42/IF(BS42&gt;0,BS42,MAX(0.1,N(Cockpit!$O$6))),BV42)/BN42,0)*BN42</f>
        <v/>
      </c>
      <c r="AV42" s="56">
        <f>IF(AS42&gt;0,I42/AS42,-1)</f>
        <v/>
      </c>
      <c r="AW42" s="56">
        <f>IF(AND(OR(BR42="L1",BR42="L23"),AS42&gt;0),SUMIFS($AS$7:$AS$1570,$BR$7:$BR$1570,BR42,$AV$7:$AV$1570,"&gt;"&amp;AV42)+SUMIFS($AS$7:$AS$1570,$BR$7:$BR$1570,BR42,$AV$7:$AV$1570,AV42,$BL$7:$BL$1570,"&lt;="&amp;BL42),"")</f>
        <v/>
      </c>
      <c r="AX42" s="65">
        <f>IF(AW42="",0,MAX(0,MIN(1,(IF(BR42="L1",Parameter!$K$5,Parameter!$K$6+Parameter!$K$7)-(AW42-AS42))/AS42)))</f>
        <v/>
      </c>
      <c r="AY42" s="53">
        <f>IF(AC42&lt;=0,"",IF(BR42="Aussen","Aussenlager",IF(BR42="-","Nicht im Lift",IF(AH42&gt;=1,"Lift",IF(AH42&lt;=0,"Aussenlager","teilweise")))))</f>
        <v/>
      </c>
      <c r="AZ42" s="53">
        <f>IF(AK42&lt;=0,"",IF(BR42="Aussen","Aussenlager",IF(BR42="-","Nicht im Lift",IF(AP42&gt;=1,"Lift",IF(AP42&lt;=0,"Aussenlager","teilweise")))))</f>
        <v/>
      </c>
      <c r="BA42" s="53">
        <f>IF(AS42&lt;=0,"",IF(BR42="Aussen","Aussenlager",IF(BR42="-","Nicht im Lift",IF(AX42&gt;=1,"Lift",IF(AX42&lt;=0,"Aussenlager","teilweise")))))</f>
        <v/>
      </c>
      <c r="BB42" s="53">
        <f>IF(A42="","",IF(BK42=1,"Neu; ","")&amp;IF(AND(BK42=0,BF42&lt;0),"negativer Bestand (Export "&amp;BF42&amp;"); ","")&amp;IF(I42&lt;=0,"Kein Verbrauch; ","")&amp;IF(BO42=1,"Lose – Fläche geschätzt; ","")&amp;IF(G42&gt;AM42,"Überbestand "&amp;ROUND(G42-AM42,0)&amp;" Stk / CHF "&amp;ROUND((G42-AM42)*F42,0)&amp;"; ","")&amp;IF(AND(BT42=1,BU42&lt;BV42),"MAX &lt; MB+LG; ","")&amp;IF(AND(BZ42&gt;0,BY42*10&gt;BZ42),"zu hoch für Tablar; ","")&amp;IF(AND(BK42=0,OR(BT42=1,V42&lt;&gt;"",S42&lt;&gt;"",T42&lt;&gt;"",W42&lt;&gt;"")),"manuell übersteuert; ","")&amp;IF(AND(BO42=0,Q42=0),"Gebinde unbekannt; ","")&amp;IF(AND(BO42=0,N(T42)&lt;=0,N(P42)&lt;=0),"Menge pro Gebinde fehlt (Ist = 1 Gebinde); ","")&amp;BJ42)</f>
        <v/>
      </c>
      <c r="BC42" s="53" t="n"/>
      <c r="BD42" s="53" t="n"/>
      <c r="BE42" s="61" t="n"/>
      <c r="BF42" s="55" t="n">
        <v>7</v>
      </c>
      <c r="BG42" s="55" t="n">
        <v>0</v>
      </c>
      <c r="BH42" s="54" t="n">
        <v>7850</v>
      </c>
      <c r="BI42" s="55" t="n">
        <v>0</v>
      </c>
      <c r="BJ42" s="53" t="inlineStr"/>
      <c r="BK42" s="58" t="n">
        <v>0</v>
      </c>
      <c r="BL42" s="58" t="n">
        <v>42</v>
      </c>
      <c r="BM42" s="53">
        <f>IF(S42&lt;&gt;"",UPPER(TRIM(S42)),IF(O42="","LOSE",O42))</f>
        <v/>
      </c>
      <c r="BN42" s="55">
        <f>IF(BM42="LOSE",1,IF(N(T42)&gt;0,T42,IF(N(P42)&gt;0,P42,MAX(1,G42))))</f>
        <v/>
      </c>
      <c r="BO42" s="58">
        <f>IF(BM42="LOSE",1,0)</f>
        <v/>
      </c>
      <c r="BP42" s="64">
        <f>IF(BO42=0,0,IF(N(R42)&gt;0,R42,IFERROR(VLOOKUP(D42,Parameter!$A$35:$C$64,3,0)+0,0)))</f>
        <v/>
      </c>
      <c r="BQ42" s="53">
        <f>IF(V42&lt;&gt;"",V42,U42)</f>
        <v/>
      </c>
      <c r="BR42" s="53">
        <f>IF(BQ42=1,"L1",IF(OR(BQ42=2,BQ42=3),"L23",IF(BQ42="Aussen","Aussen","-")))</f>
        <v/>
      </c>
      <c r="BS42" s="66">
        <f>IF(N(W42)&gt;0,W42,0)</f>
        <v/>
      </c>
      <c r="BT42" s="58">
        <f>IF(ISNUMBER(Z42),1,0)</f>
        <v/>
      </c>
      <c r="BU42" s="55">
        <f>N(Z42)</f>
        <v/>
      </c>
      <c r="BV42" s="55">
        <f>N(L42)+N(M42)</f>
        <v/>
      </c>
      <c r="BW42" s="55">
        <f>ROUNDUP(G42/BN42,0)</f>
        <v/>
      </c>
      <c r="BX42" s="55">
        <f>ROUNDUP(BU42/BN42,0)</f>
        <v/>
      </c>
      <c r="BY42" s="58">
        <f>IF(BO42=1,0,IFERROR(VLOOKUP(BM42,'Gebinde-Kategorie'!$A$5:$G$45,5,0)+0,0))</f>
        <v/>
      </c>
      <c r="BZ42" s="58">
        <f>IFERROR(IF(OR(BQ42=1,BQ42=2,BQ42=3),N(INDEX(Parameter!$I$5:$I$7,BQ42)),0),0)</f>
        <v/>
      </c>
    </row>
    <row r="43">
      <c r="A43" s="53" t="inlineStr">
        <is>
          <t>111497</t>
        </is>
      </c>
      <c r="B43" s="53" t="inlineStr">
        <is>
          <t>Verpackung Service Kit 7k, SPGr16</t>
        </is>
      </c>
      <c r="C43" s="53" t="inlineStr">
        <is>
          <t>F</t>
        </is>
      </c>
      <c r="D43" s="53" t="inlineStr">
        <is>
          <t>PAL</t>
        </is>
      </c>
      <c r="E43" s="53" t="inlineStr">
        <is>
          <t>C</t>
        </is>
      </c>
      <c r="F43" s="54" t="n">
        <v>280.46</v>
      </c>
      <c r="G43" s="55">
        <f>MAX(0,IF(Parameter!$B$20="Jahresanfang 2025 + Export",BG43+BF43,BF43))</f>
        <v/>
      </c>
      <c r="H43" s="55">
        <f>G43*F43</f>
        <v/>
      </c>
      <c r="I43" s="55">
        <f>BI43*Parameter!$B$18</f>
        <v/>
      </c>
      <c r="J43" s="56" t="n">
        <v>0</v>
      </c>
      <c r="K43" s="57" t="n">
        <v>0</v>
      </c>
      <c r="L43" s="55" t="n">
        <v>6</v>
      </c>
      <c r="M43" s="55" t="n">
        <v>24</v>
      </c>
      <c r="N43" s="58" t="n">
        <v>28</v>
      </c>
      <c r="O43" s="53" t="inlineStr">
        <is>
          <t>LOSE</t>
        </is>
      </c>
      <c r="P43" s="55" t="n"/>
      <c r="Q43" s="59">
        <f>IF(BO43=1,0,IFERROR(VLOOKUP(BM43,'Gebinde-Kategorie'!$A$5:$G$45,6,0)+0,0))</f>
        <v/>
      </c>
      <c r="R43" s="60" t="n"/>
      <c r="S43" s="61" t="n"/>
      <c r="T43" s="61" t="n"/>
      <c r="U43" s="53">
        <f>IF(A43="","",IF(IFERROR(VLOOKUP(D43,Parameter!$A$35:$C$64,2,0),"Nein")="2+3",IF(ISNUMBER(SEARCH("grosser Artikel",BJ43)),2,IFERROR(VLOOKUP(BM43,Parameter!$F$35:$G$64,2,0),2)),IF(OR(IFERROR(VLOOKUP(D43,Parameter!$A$35:$C$64,2,0),"Nein")="Nein",IFERROR(VLOOKUP(D43,Parameter!$A$35:$C$64,2,0),"Nein")=""),"-",VLOOKUP(D43,Parameter!$A$35:$C$64,2,0))))</f>
        <v/>
      </c>
      <c r="V43" s="61" t="n"/>
      <c r="W43" s="62" t="n"/>
      <c r="X43" s="55">
        <f>AM43</f>
        <v/>
      </c>
      <c r="Y43" s="55">
        <f>MAX(AM43,G43)</f>
        <v/>
      </c>
      <c r="Z43" s="63" t="n"/>
      <c r="AA43" s="55">
        <f>IF(LEFT(Cockpit!$C$5,1)="A",G43,IF(BT43=1,BU43,IF(LEFT(Cockpit!$C$5,1)="B",AE43,MAX(AE43,G43))))</f>
        <v/>
      </c>
      <c r="AB43" s="55">
        <f>IF(BO43=1,0,ROUNDUP(AA43/BN43,0))</f>
        <v/>
      </c>
      <c r="AC43" s="64">
        <f>IF(BO43=1,IF(AA43&lt;=0,0,BP43*MAX(1,IF(G43&gt;0,AA43/G43,1))),AB43*Q43)</f>
        <v/>
      </c>
      <c r="AD43" s="55">
        <f>AA43*F43</f>
        <v/>
      </c>
      <c r="AE43" s="55">
        <f>ROUNDUP(MAX(I43/IF(BS43&gt;0,BS43,MAX(0.1,N(Cockpit!$C$6))),BV43)/BN43,0)*BN43</f>
        <v/>
      </c>
      <c r="AF43" s="56">
        <f>IF(AC43&gt;0,I43/AC43,-1)</f>
        <v/>
      </c>
      <c r="AG43" s="56">
        <f>IF(AND(OR(BR43="L1",BR43="L23"),AC43&gt;0),SUMIFS($AC$7:$AC$1570,$BR$7:$BR$1570,BR43,$AF$7:$AF$1570,"&gt;"&amp;AF43)+SUMIFS($AC$7:$AC$1570,$BR$7:$BR$1570,BR43,$AF$7:$AF$1570,AF43,$BL$7:$BL$1570,"&lt;="&amp;BL43),"")</f>
        <v/>
      </c>
      <c r="AH43" s="65">
        <f>IF(AG43="",0,MAX(0,MIN(1,(IF(BR43="L1",Parameter!$K$5,Parameter!$K$6+Parameter!$K$7)-(AG43-AC43))/AC43)))</f>
        <v/>
      </c>
      <c r="AI43" s="55">
        <f>IF(LEFT(Cockpit!$I$5,1)="A",G43,IF(BT43=1,BU43,IF(LEFT(Cockpit!$I$5,1)="B",AM43,MAX(AM43,G43))))</f>
        <v/>
      </c>
      <c r="AJ43" s="55">
        <f>IF(BO43=1,0,ROUNDUP(AI43/BN43,0))</f>
        <v/>
      </c>
      <c r="AK43" s="64">
        <f>IF(BO43=1,IF(AI43&lt;=0,0,BP43*MAX(1,IF(G43&gt;0,AI43/G43,1))),AJ43*Q43)</f>
        <v/>
      </c>
      <c r="AL43" s="55">
        <f>AI43*F43</f>
        <v/>
      </c>
      <c r="AM43" s="55">
        <f>ROUNDUP(MAX(I43/IF(BS43&gt;0,BS43,MAX(0.1,N(Cockpit!$I$6))),BV43)/BN43,0)*BN43</f>
        <v/>
      </c>
      <c r="AN43" s="56">
        <f>IF(AK43&gt;0,I43/AK43,-1)</f>
        <v/>
      </c>
      <c r="AO43" s="56">
        <f>IF(AND(OR(BR43="L1",BR43="L23"),AK43&gt;0),SUMIFS($AK$7:$AK$1570,$BR$7:$BR$1570,BR43,$AN$7:$AN$1570,"&gt;"&amp;AN43)+SUMIFS($AK$7:$AK$1570,$BR$7:$BR$1570,BR43,$AN$7:$AN$1570,AN43,$BL$7:$BL$1570,"&lt;="&amp;BL43),"")</f>
        <v/>
      </c>
      <c r="AP43" s="65">
        <f>IF(AO43="",0,MAX(0,MIN(1,(IF(BR43="L1",Parameter!$K$5,Parameter!$K$6+Parameter!$K$7)-(AO43-AK43))/AK43)))</f>
        <v/>
      </c>
      <c r="AQ43" s="55">
        <f>IF(LEFT(Cockpit!$O$5,1)="A",G43,IF(BT43=1,BU43,IF(LEFT(Cockpit!$O$5,1)="B",AU43,MAX(AU43,G43))))</f>
        <v/>
      </c>
      <c r="AR43" s="55">
        <f>IF(BO43=1,0,ROUNDUP(AQ43/BN43,0))</f>
        <v/>
      </c>
      <c r="AS43" s="64">
        <f>IF(BO43=1,IF(AQ43&lt;=0,0,BP43*MAX(1,IF(G43&gt;0,AQ43/G43,1))),AR43*Q43)</f>
        <v/>
      </c>
      <c r="AT43" s="55">
        <f>AQ43*F43</f>
        <v/>
      </c>
      <c r="AU43" s="55">
        <f>ROUNDUP(MAX(I43/IF(BS43&gt;0,BS43,MAX(0.1,N(Cockpit!$O$6))),BV43)/BN43,0)*BN43</f>
        <v/>
      </c>
      <c r="AV43" s="56">
        <f>IF(AS43&gt;0,I43/AS43,-1)</f>
        <v/>
      </c>
      <c r="AW43" s="56">
        <f>IF(AND(OR(BR43="L1",BR43="L23"),AS43&gt;0),SUMIFS($AS$7:$AS$1570,$BR$7:$BR$1570,BR43,$AV$7:$AV$1570,"&gt;"&amp;AV43)+SUMIFS($AS$7:$AS$1570,$BR$7:$BR$1570,BR43,$AV$7:$AV$1570,AV43,$BL$7:$BL$1570,"&lt;="&amp;BL43),"")</f>
        <v/>
      </c>
      <c r="AX43" s="65">
        <f>IF(AW43="",0,MAX(0,MIN(1,(IF(BR43="L1",Parameter!$K$5,Parameter!$K$6+Parameter!$K$7)-(AW43-AS43))/AS43)))</f>
        <v/>
      </c>
      <c r="AY43" s="53">
        <f>IF(AC43&lt;=0,"",IF(BR43="Aussen","Aussenlager",IF(BR43="-","Nicht im Lift",IF(AH43&gt;=1,"Lift",IF(AH43&lt;=0,"Aussenlager","teilweise")))))</f>
        <v/>
      </c>
      <c r="AZ43" s="53">
        <f>IF(AK43&lt;=0,"",IF(BR43="Aussen","Aussenlager",IF(BR43="-","Nicht im Lift",IF(AP43&gt;=1,"Lift",IF(AP43&lt;=0,"Aussenlager","teilweise")))))</f>
        <v/>
      </c>
      <c r="BA43" s="53">
        <f>IF(AS43&lt;=0,"",IF(BR43="Aussen","Aussenlager",IF(BR43="-","Nicht im Lift",IF(AX43&gt;=1,"Lift",IF(AX43&lt;=0,"Aussenlager","teilweise")))))</f>
        <v/>
      </c>
      <c r="BB43" s="53">
        <f>IF(A43="","",IF(BK43=1,"Neu; ","")&amp;IF(AND(BK43=0,BF43&lt;0),"negativer Bestand (Export "&amp;BF43&amp;"); ","")&amp;IF(I43&lt;=0,"Kein Verbrauch; ","")&amp;IF(BO43=1,"Lose – Fläche geschätzt; ","")&amp;IF(G43&gt;AM43,"Überbestand "&amp;ROUND(G43-AM43,0)&amp;" Stk / CHF "&amp;ROUND((G43-AM43)*F43,0)&amp;"; ","")&amp;IF(AND(BT43=1,BU43&lt;BV43),"MAX &lt; MB+LG; ","")&amp;IF(AND(BZ43&gt;0,BY43*10&gt;BZ43),"zu hoch für Tablar; ","")&amp;IF(AND(BK43=0,OR(BT43=1,V43&lt;&gt;"",S43&lt;&gt;"",T43&lt;&gt;"",W43&lt;&gt;"")),"manuell übersteuert; ","")&amp;IF(AND(BO43=0,Q43=0),"Gebinde unbekannt; ","")&amp;IF(AND(BO43=0,N(T43)&lt;=0,N(P43)&lt;=0),"Menge pro Gebinde fehlt (Ist = 1 Gebinde); ","")&amp;BJ43)</f>
        <v/>
      </c>
      <c r="BC43" s="53" t="inlineStr">
        <is>
          <t>Hoher Bedarf durch Angebote, welche verschoben wurden. Daher grosse Bestellungen getätigt</t>
        </is>
      </c>
      <c r="BD43" s="53" t="inlineStr">
        <is>
          <t>Retourverkaufen?</t>
        </is>
      </c>
      <c r="BE43" s="61" t="n"/>
      <c r="BF43" s="55" t="n">
        <v>27</v>
      </c>
      <c r="BG43" s="55" t="n">
        <v>0</v>
      </c>
      <c r="BH43" s="54" t="n">
        <v>7572.420000000002</v>
      </c>
      <c r="BI43" s="55" t="n">
        <v>0</v>
      </c>
      <c r="BJ43" s="53" t="inlineStr"/>
      <c r="BK43" s="58" t="n">
        <v>0</v>
      </c>
      <c r="BL43" s="58" t="n">
        <v>43</v>
      </c>
      <c r="BM43" s="53">
        <f>IF(S43&lt;&gt;"",UPPER(TRIM(S43)),IF(O43="","LOSE",O43))</f>
        <v/>
      </c>
      <c r="BN43" s="55">
        <f>IF(BM43="LOSE",1,IF(N(T43)&gt;0,T43,IF(N(P43)&gt;0,P43,MAX(1,G43))))</f>
        <v/>
      </c>
      <c r="BO43" s="58">
        <f>IF(BM43="LOSE",1,0)</f>
        <v/>
      </c>
      <c r="BP43" s="64">
        <f>IF(BO43=0,0,IF(N(R43)&gt;0,R43,IFERROR(VLOOKUP(D43,Parameter!$A$35:$C$64,3,0)+0,0)))</f>
        <v/>
      </c>
      <c r="BQ43" s="53">
        <f>IF(V43&lt;&gt;"",V43,U43)</f>
        <v/>
      </c>
      <c r="BR43" s="53">
        <f>IF(BQ43=1,"L1",IF(OR(BQ43=2,BQ43=3),"L23",IF(BQ43="Aussen","Aussen","-")))</f>
        <v/>
      </c>
      <c r="BS43" s="66">
        <f>IF(N(W43)&gt;0,W43,0)</f>
        <v/>
      </c>
      <c r="BT43" s="58">
        <f>IF(ISNUMBER(Z43),1,0)</f>
        <v/>
      </c>
      <c r="BU43" s="55">
        <f>N(Z43)</f>
        <v/>
      </c>
      <c r="BV43" s="55">
        <f>N(L43)+N(M43)</f>
        <v/>
      </c>
      <c r="BW43" s="55">
        <f>ROUNDUP(G43/BN43,0)</f>
        <v/>
      </c>
      <c r="BX43" s="55">
        <f>ROUNDUP(BU43/BN43,0)</f>
        <v/>
      </c>
      <c r="BY43" s="58">
        <f>IF(BO43=1,0,IFERROR(VLOOKUP(BM43,'Gebinde-Kategorie'!$A$5:$G$45,5,0)+0,0))</f>
        <v/>
      </c>
      <c r="BZ43" s="58">
        <f>IFERROR(IF(OR(BQ43=1,BQ43=2,BQ43=3),N(INDEX(Parameter!$I$5:$I$7,BQ43)),0),0)</f>
        <v/>
      </c>
    </row>
    <row r="44">
      <c r="A44" s="53" t="inlineStr">
        <is>
          <t>108135</t>
        </is>
      </c>
      <c r="B44" s="53" t="inlineStr">
        <is>
          <t>Kabel Spülluftmodul</t>
        </is>
      </c>
      <c r="C44" s="53" t="inlineStr">
        <is>
          <t>F</t>
        </is>
      </c>
      <c r="D44" s="53" t="inlineStr">
        <is>
          <t>PAL</t>
        </is>
      </c>
      <c r="E44" s="53" t="inlineStr">
        <is>
          <t>C</t>
        </is>
      </c>
      <c r="F44" s="54" t="n">
        <v>180.4</v>
      </c>
      <c r="G44" s="55">
        <f>MAX(0,IF(Parameter!$B$20="Jahresanfang 2025 + Export",BG44+BF44,BF44))</f>
        <v/>
      </c>
      <c r="H44" s="55">
        <f>G44*F44</f>
        <v/>
      </c>
      <c r="I44" s="55">
        <f>BI44*Parameter!$B$18</f>
        <v/>
      </c>
      <c r="J44" s="56" t="n">
        <v>44</v>
      </c>
      <c r="K44" s="57" t="n">
        <v>0.5681818181818182</v>
      </c>
      <c r="L44" s="55" t="n">
        <v>10</v>
      </c>
      <c r="M44" s="55" t="n">
        <v>20</v>
      </c>
      <c r="N44" s="58" t="n">
        <v>98</v>
      </c>
      <c r="O44" s="53" t="inlineStr">
        <is>
          <t>S72</t>
        </is>
      </c>
      <c r="P44" s="55" t="n">
        <v>24</v>
      </c>
      <c r="Q44" s="59">
        <f>IF(BO44=1,0,IFERROR(VLOOKUP(BM44,'Gebinde-Kategorie'!$A$5:$G$45,6,0)+0,0))</f>
        <v/>
      </c>
      <c r="R44" s="60" t="n"/>
      <c r="S44" s="61" t="n"/>
      <c r="T44" s="61" t="n"/>
      <c r="U44" s="53">
        <f>IF(A44="","",IF(IFERROR(VLOOKUP(D44,Parameter!$A$35:$C$64,2,0),"Nein")="2+3",IF(ISNUMBER(SEARCH("grosser Artikel",BJ44)),2,IFERROR(VLOOKUP(BM44,Parameter!$F$35:$G$64,2,0),2)),IF(OR(IFERROR(VLOOKUP(D44,Parameter!$A$35:$C$64,2,0),"Nein")="Nein",IFERROR(VLOOKUP(D44,Parameter!$A$35:$C$64,2,0),"Nein")=""),"-",VLOOKUP(D44,Parameter!$A$35:$C$64,2,0))))</f>
        <v/>
      </c>
      <c r="V44" s="61" t="n"/>
      <c r="W44" s="62" t="n"/>
      <c r="X44" s="55">
        <f>AM44</f>
        <v/>
      </c>
      <c r="Y44" s="55">
        <f>MAX(AM44,G44)</f>
        <v/>
      </c>
      <c r="Z44" s="63" t="n"/>
      <c r="AA44" s="55">
        <f>IF(LEFT(Cockpit!$C$5,1)="A",G44,IF(BT44=1,BU44,IF(LEFT(Cockpit!$C$5,1)="B",AE44,MAX(AE44,G44))))</f>
        <v/>
      </c>
      <c r="AB44" s="55">
        <f>IF(BO44=1,0,ROUNDUP(AA44/BN44,0))</f>
        <v/>
      </c>
      <c r="AC44" s="64">
        <f>IF(BO44=1,IF(AA44&lt;=0,0,BP44*MAX(1,IF(G44&gt;0,AA44/G44,1))),AB44*Q44)</f>
        <v/>
      </c>
      <c r="AD44" s="55">
        <f>AA44*F44</f>
        <v/>
      </c>
      <c r="AE44" s="55">
        <f>ROUNDUP(MAX(I44/IF(BS44&gt;0,BS44,MAX(0.1,N(Cockpit!$C$6))),BV44)/BN44,0)*BN44</f>
        <v/>
      </c>
      <c r="AF44" s="56">
        <f>IF(AC44&gt;0,I44/AC44,-1)</f>
        <v/>
      </c>
      <c r="AG44" s="56">
        <f>IF(AND(OR(BR44="L1",BR44="L23"),AC44&gt;0),SUMIFS($AC$7:$AC$1570,$BR$7:$BR$1570,BR44,$AF$7:$AF$1570,"&gt;"&amp;AF44)+SUMIFS($AC$7:$AC$1570,$BR$7:$BR$1570,BR44,$AF$7:$AF$1570,AF44,$BL$7:$BL$1570,"&lt;="&amp;BL44),"")</f>
        <v/>
      </c>
      <c r="AH44" s="65">
        <f>IF(AG44="",0,MAX(0,MIN(1,(IF(BR44="L1",Parameter!$K$5,Parameter!$K$6+Parameter!$K$7)-(AG44-AC44))/AC44)))</f>
        <v/>
      </c>
      <c r="AI44" s="55">
        <f>IF(LEFT(Cockpit!$I$5,1)="A",G44,IF(BT44=1,BU44,IF(LEFT(Cockpit!$I$5,1)="B",AM44,MAX(AM44,G44))))</f>
        <v/>
      </c>
      <c r="AJ44" s="55">
        <f>IF(BO44=1,0,ROUNDUP(AI44/BN44,0))</f>
        <v/>
      </c>
      <c r="AK44" s="64">
        <f>IF(BO44=1,IF(AI44&lt;=0,0,BP44*MAX(1,IF(G44&gt;0,AI44/G44,1))),AJ44*Q44)</f>
        <v/>
      </c>
      <c r="AL44" s="55">
        <f>AI44*F44</f>
        <v/>
      </c>
      <c r="AM44" s="55">
        <f>ROUNDUP(MAX(I44/IF(BS44&gt;0,BS44,MAX(0.1,N(Cockpit!$I$6))),BV44)/BN44,0)*BN44</f>
        <v/>
      </c>
      <c r="AN44" s="56">
        <f>IF(AK44&gt;0,I44/AK44,-1)</f>
        <v/>
      </c>
      <c r="AO44" s="56">
        <f>IF(AND(OR(BR44="L1",BR44="L23"),AK44&gt;0),SUMIFS($AK$7:$AK$1570,$BR$7:$BR$1570,BR44,$AN$7:$AN$1570,"&gt;"&amp;AN44)+SUMIFS($AK$7:$AK$1570,$BR$7:$BR$1570,BR44,$AN$7:$AN$1570,AN44,$BL$7:$BL$1570,"&lt;="&amp;BL44),"")</f>
        <v/>
      </c>
      <c r="AP44" s="65">
        <f>IF(AO44="",0,MAX(0,MIN(1,(IF(BR44="L1",Parameter!$K$5,Parameter!$K$6+Parameter!$K$7)-(AO44-AK44))/AK44)))</f>
        <v/>
      </c>
      <c r="AQ44" s="55">
        <f>IF(LEFT(Cockpit!$O$5,1)="A",G44,IF(BT44=1,BU44,IF(LEFT(Cockpit!$O$5,1)="B",AU44,MAX(AU44,G44))))</f>
        <v/>
      </c>
      <c r="AR44" s="55">
        <f>IF(BO44=1,0,ROUNDUP(AQ44/BN44,0))</f>
        <v/>
      </c>
      <c r="AS44" s="64">
        <f>IF(BO44=1,IF(AQ44&lt;=0,0,BP44*MAX(1,IF(G44&gt;0,AQ44/G44,1))),AR44*Q44)</f>
        <v/>
      </c>
      <c r="AT44" s="55">
        <f>AQ44*F44</f>
        <v/>
      </c>
      <c r="AU44" s="55">
        <f>ROUNDUP(MAX(I44/IF(BS44&gt;0,BS44,MAX(0.1,N(Cockpit!$O$6))),BV44)/BN44,0)*BN44</f>
        <v/>
      </c>
      <c r="AV44" s="56">
        <f>IF(AS44&gt;0,I44/AS44,-1)</f>
        <v/>
      </c>
      <c r="AW44" s="56">
        <f>IF(AND(OR(BR44="L1",BR44="L23"),AS44&gt;0),SUMIFS($AS$7:$AS$1570,$BR$7:$BR$1570,BR44,$AV$7:$AV$1570,"&gt;"&amp;AV44)+SUMIFS($AS$7:$AS$1570,$BR$7:$BR$1570,BR44,$AV$7:$AV$1570,AV44,$BL$7:$BL$1570,"&lt;="&amp;BL44),"")</f>
        <v/>
      </c>
      <c r="AX44" s="65">
        <f>IF(AW44="",0,MAX(0,MIN(1,(IF(BR44="L1",Parameter!$K$5,Parameter!$K$6+Parameter!$K$7)-(AW44-AS44))/AS44)))</f>
        <v/>
      </c>
      <c r="AY44" s="53">
        <f>IF(AC44&lt;=0,"",IF(BR44="Aussen","Aussenlager",IF(BR44="-","Nicht im Lift",IF(AH44&gt;=1,"Lift",IF(AH44&lt;=0,"Aussenlager","teilweise")))))</f>
        <v/>
      </c>
      <c r="AZ44" s="53">
        <f>IF(AK44&lt;=0,"",IF(BR44="Aussen","Aussenlager",IF(BR44="-","Nicht im Lift",IF(AP44&gt;=1,"Lift",IF(AP44&lt;=0,"Aussenlager","teilweise")))))</f>
        <v/>
      </c>
      <c r="BA44" s="53">
        <f>IF(AS44&lt;=0,"",IF(BR44="Aussen","Aussenlager",IF(BR44="-","Nicht im Lift",IF(AX44&gt;=1,"Lift",IF(AX44&lt;=0,"Aussenlager","teilweise")))))</f>
        <v/>
      </c>
      <c r="BB44" s="53">
        <f>IF(A44="","",IF(BK44=1,"Neu; ","")&amp;IF(AND(BK44=0,BF44&lt;0),"negativer Bestand (Export "&amp;BF44&amp;"); ","")&amp;IF(I44&lt;=0,"Kein Verbrauch; ","")&amp;IF(BO44=1,"Lose – Fläche geschätzt; ","")&amp;IF(G44&gt;AM44,"Überbestand "&amp;ROUND(G44-AM44,0)&amp;" Stk / CHF "&amp;ROUND((G44-AM44)*F44,0)&amp;"; ","")&amp;IF(AND(BT44=1,BU44&lt;BV44),"MAX &lt; MB+LG; ","")&amp;IF(AND(BZ44&gt;0,BY44*10&gt;BZ44),"zu hoch für Tablar; ","")&amp;IF(AND(BK44=0,OR(BT44=1,V44&lt;&gt;"",S44&lt;&gt;"",T44&lt;&gt;"",W44&lt;&gt;"")),"manuell übersteuert; ","")&amp;IF(AND(BO44=0,Q44=0),"Gebinde unbekannt; ","")&amp;IF(AND(BO44=0,N(T44)&lt;=0,N(P44)&lt;=0),"Menge pro Gebinde fehlt (Ist = 1 Gebinde); ","")&amp;BJ44)</f>
        <v/>
      </c>
      <c r="BC44" s="53" t="n"/>
      <c r="BD44" s="53" t="n"/>
      <c r="BE44" s="61" t="n"/>
      <c r="BF44" s="55" t="n">
        <v>43</v>
      </c>
      <c r="BG44" s="55" t="n">
        <v>55</v>
      </c>
      <c r="BH44" s="54" t="n">
        <v>7381.229999999995</v>
      </c>
      <c r="BI44" s="55" t="n">
        <v>25</v>
      </c>
      <c r="BJ44" s="53" t="inlineStr">
        <is>
          <t>grosser Artikel &amp; nicht im KTL</t>
        </is>
      </c>
      <c r="BK44" s="58" t="n">
        <v>0</v>
      </c>
      <c r="BL44" s="58" t="n">
        <v>44</v>
      </c>
      <c r="BM44" s="53">
        <f>IF(S44&lt;&gt;"",UPPER(TRIM(S44)),IF(O44="","LOSE",O44))</f>
        <v/>
      </c>
      <c r="BN44" s="55">
        <f>IF(BM44="LOSE",1,IF(N(T44)&gt;0,T44,IF(N(P44)&gt;0,P44,MAX(1,G44))))</f>
        <v/>
      </c>
      <c r="BO44" s="58">
        <f>IF(BM44="LOSE",1,0)</f>
        <v/>
      </c>
      <c r="BP44" s="64">
        <f>IF(BO44=0,0,IF(N(R44)&gt;0,R44,IFERROR(VLOOKUP(D44,Parameter!$A$35:$C$64,3,0)+0,0)))</f>
        <v/>
      </c>
      <c r="BQ44" s="53">
        <f>IF(V44&lt;&gt;"",V44,U44)</f>
        <v/>
      </c>
      <c r="BR44" s="53">
        <f>IF(BQ44=1,"L1",IF(OR(BQ44=2,BQ44=3),"L23",IF(BQ44="Aussen","Aussen","-")))</f>
        <v/>
      </c>
      <c r="BS44" s="66">
        <f>IF(N(W44)&gt;0,W44,0)</f>
        <v/>
      </c>
      <c r="BT44" s="58">
        <f>IF(ISNUMBER(Z44),1,0)</f>
        <v/>
      </c>
      <c r="BU44" s="55">
        <f>N(Z44)</f>
        <v/>
      </c>
      <c r="BV44" s="55">
        <f>N(L44)+N(M44)</f>
        <v/>
      </c>
      <c r="BW44" s="55">
        <f>ROUNDUP(G44/BN44,0)</f>
        <v/>
      </c>
      <c r="BX44" s="55">
        <f>ROUNDUP(BU44/BN44,0)</f>
        <v/>
      </c>
      <c r="BY44" s="58">
        <f>IF(BO44=1,0,IFERROR(VLOOKUP(BM44,'Gebinde-Kategorie'!$A$5:$G$45,5,0)+0,0))</f>
        <v/>
      </c>
      <c r="BZ44" s="58">
        <f>IFERROR(IF(OR(BQ44=1,BQ44=2,BQ44=3),N(INDEX(Parameter!$I$5:$I$7,BQ44)),0),0)</f>
        <v/>
      </c>
    </row>
    <row r="45">
      <c r="A45" s="53" t="inlineStr">
        <is>
          <t>100363</t>
        </is>
      </c>
      <c r="B45" s="53" t="inlineStr">
        <is>
          <t>Dosierzylinder CH4</t>
        </is>
      </c>
      <c r="C45" s="53" t="inlineStr">
        <is>
          <t>F</t>
        </is>
      </c>
      <c r="D45" s="53" t="inlineStr">
        <is>
          <t>PAL</t>
        </is>
      </c>
      <c r="E45" s="53" t="inlineStr">
        <is>
          <t>C</t>
        </is>
      </c>
      <c r="F45" s="54" t="n">
        <v>618.8</v>
      </c>
      <c r="G45" s="55">
        <f>MAX(0,IF(Parameter!$B$20="Jahresanfang 2025 + Export",BG45+BF45,BF45))</f>
        <v/>
      </c>
      <c r="H45" s="55">
        <f>G45*F45</f>
        <v/>
      </c>
      <c r="I45" s="55">
        <f>BI45*Parameter!$B$18</f>
        <v/>
      </c>
      <c r="J45" s="56" t="n">
        <v>13</v>
      </c>
      <c r="K45" s="57" t="n">
        <v>5.538461538461538</v>
      </c>
      <c r="L45" s="55" t="n">
        <v>4</v>
      </c>
      <c r="M45" s="55" t="n">
        <v>15</v>
      </c>
      <c r="N45" s="58" t="n">
        <v>21</v>
      </c>
      <c r="O45" s="53" t="inlineStr">
        <is>
          <t>S81</t>
        </is>
      </c>
      <c r="P45" s="55" t="n">
        <v>9</v>
      </c>
      <c r="Q45" s="59">
        <f>IF(BO45=1,0,IFERROR(VLOOKUP(BM45,'Gebinde-Kategorie'!$A$5:$G$45,6,0)+0,0))</f>
        <v/>
      </c>
      <c r="R45" s="60" t="n"/>
      <c r="S45" s="61" t="n"/>
      <c r="T45" s="61" t="n"/>
      <c r="U45" s="53">
        <f>IF(A45="","",IF(IFERROR(VLOOKUP(D45,Parameter!$A$35:$C$64,2,0),"Nein")="2+3",IF(ISNUMBER(SEARCH("grosser Artikel",BJ45)),2,IFERROR(VLOOKUP(BM45,Parameter!$F$35:$G$64,2,0),2)),IF(OR(IFERROR(VLOOKUP(D45,Parameter!$A$35:$C$64,2,0),"Nein")="Nein",IFERROR(VLOOKUP(D45,Parameter!$A$35:$C$64,2,0),"Nein")=""),"-",VLOOKUP(D45,Parameter!$A$35:$C$64,2,0))))</f>
        <v/>
      </c>
      <c r="V45" s="61" t="n"/>
      <c r="W45" s="62" t="n"/>
      <c r="X45" s="55">
        <f>AM45</f>
        <v/>
      </c>
      <c r="Y45" s="55">
        <f>MAX(AM45,G45)</f>
        <v/>
      </c>
      <c r="Z45" s="63" t="n"/>
      <c r="AA45" s="55">
        <f>IF(LEFT(Cockpit!$C$5,1)="A",G45,IF(BT45=1,BU45,IF(LEFT(Cockpit!$C$5,1)="B",AE45,MAX(AE45,G45))))</f>
        <v/>
      </c>
      <c r="AB45" s="55">
        <f>IF(BO45=1,0,ROUNDUP(AA45/BN45,0))</f>
        <v/>
      </c>
      <c r="AC45" s="64">
        <f>IF(BO45=1,IF(AA45&lt;=0,0,BP45*MAX(1,IF(G45&gt;0,AA45/G45,1))),AB45*Q45)</f>
        <v/>
      </c>
      <c r="AD45" s="55">
        <f>AA45*F45</f>
        <v/>
      </c>
      <c r="AE45" s="55">
        <f>ROUNDUP(MAX(I45/IF(BS45&gt;0,BS45,MAX(0.1,N(Cockpit!$C$6))),BV45)/BN45,0)*BN45</f>
        <v/>
      </c>
      <c r="AF45" s="56">
        <f>IF(AC45&gt;0,I45/AC45,-1)</f>
        <v/>
      </c>
      <c r="AG45" s="56">
        <f>IF(AND(OR(BR45="L1",BR45="L23"),AC45&gt;0),SUMIFS($AC$7:$AC$1570,$BR$7:$BR$1570,BR45,$AF$7:$AF$1570,"&gt;"&amp;AF45)+SUMIFS($AC$7:$AC$1570,$BR$7:$BR$1570,BR45,$AF$7:$AF$1570,AF45,$BL$7:$BL$1570,"&lt;="&amp;BL45),"")</f>
        <v/>
      </c>
      <c r="AH45" s="65">
        <f>IF(AG45="",0,MAX(0,MIN(1,(IF(BR45="L1",Parameter!$K$5,Parameter!$K$6+Parameter!$K$7)-(AG45-AC45))/AC45)))</f>
        <v/>
      </c>
      <c r="AI45" s="55">
        <f>IF(LEFT(Cockpit!$I$5,1)="A",G45,IF(BT45=1,BU45,IF(LEFT(Cockpit!$I$5,1)="B",AM45,MAX(AM45,G45))))</f>
        <v/>
      </c>
      <c r="AJ45" s="55">
        <f>IF(BO45=1,0,ROUNDUP(AI45/BN45,0))</f>
        <v/>
      </c>
      <c r="AK45" s="64">
        <f>IF(BO45=1,IF(AI45&lt;=0,0,BP45*MAX(1,IF(G45&gt;0,AI45/G45,1))),AJ45*Q45)</f>
        <v/>
      </c>
      <c r="AL45" s="55">
        <f>AI45*F45</f>
        <v/>
      </c>
      <c r="AM45" s="55">
        <f>ROUNDUP(MAX(I45/IF(BS45&gt;0,BS45,MAX(0.1,N(Cockpit!$I$6))),BV45)/BN45,0)*BN45</f>
        <v/>
      </c>
      <c r="AN45" s="56">
        <f>IF(AK45&gt;0,I45/AK45,-1)</f>
        <v/>
      </c>
      <c r="AO45" s="56">
        <f>IF(AND(OR(BR45="L1",BR45="L23"),AK45&gt;0),SUMIFS($AK$7:$AK$1570,$BR$7:$BR$1570,BR45,$AN$7:$AN$1570,"&gt;"&amp;AN45)+SUMIFS($AK$7:$AK$1570,$BR$7:$BR$1570,BR45,$AN$7:$AN$1570,AN45,$BL$7:$BL$1570,"&lt;="&amp;BL45),"")</f>
        <v/>
      </c>
      <c r="AP45" s="65">
        <f>IF(AO45="",0,MAX(0,MIN(1,(IF(BR45="L1",Parameter!$K$5,Parameter!$K$6+Parameter!$K$7)-(AO45-AK45))/AK45)))</f>
        <v/>
      </c>
      <c r="AQ45" s="55">
        <f>IF(LEFT(Cockpit!$O$5,1)="A",G45,IF(BT45=1,BU45,IF(LEFT(Cockpit!$O$5,1)="B",AU45,MAX(AU45,G45))))</f>
        <v/>
      </c>
      <c r="AR45" s="55">
        <f>IF(BO45=1,0,ROUNDUP(AQ45/BN45,0))</f>
        <v/>
      </c>
      <c r="AS45" s="64">
        <f>IF(BO45=1,IF(AQ45&lt;=0,0,BP45*MAX(1,IF(G45&gt;0,AQ45/G45,1))),AR45*Q45)</f>
        <v/>
      </c>
      <c r="AT45" s="55">
        <f>AQ45*F45</f>
        <v/>
      </c>
      <c r="AU45" s="55">
        <f>ROUNDUP(MAX(I45/IF(BS45&gt;0,BS45,MAX(0.1,N(Cockpit!$O$6))),BV45)/BN45,0)*BN45</f>
        <v/>
      </c>
      <c r="AV45" s="56">
        <f>IF(AS45&gt;0,I45/AS45,-1)</f>
        <v/>
      </c>
      <c r="AW45" s="56">
        <f>IF(AND(OR(BR45="L1",BR45="L23"),AS45&gt;0),SUMIFS($AS$7:$AS$1570,$BR$7:$BR$1570,BR45,$AV$7:$AV$1570,"&gt;"&amp;AV45)+SUMIFS($AS$7:$AS$1570,$BR$7:$BR$1570,BR45,$AV$7:$AV$1570,AV45,$BL$7:$BL$1570,"&lt;="&amp;BL45),"")</f>
        <v/>
      </c>
      <c r="AX45" s="65">
        <f>IF(AW45="",0,MAX(0,MIN(1,(IF(BR45="L1",Parameter!$K$5,Parameter!$K$6+Parameter!$K$7)-(AW45-AS45))/AS45)))</f>
        <v/>
      </c>
      <c r="AY45" s="53">
        <f>IF(AC45&lt;=0,"",IF(BR45="Aussen","Aussenlager",IF(BR45="-","Nicht im Lift",IF(AH45&gt;=1,"Lift",IF(AH45&lt;=0,"Aussenlager","teilweise")))))</f>
        <v/>
      </c>
      <c r="AZ45" s="53">
        <f>IF(AK45&lt;=0,"",IF(BR45="Aussen","Aussenlager",IF(BR45="-","Nicht im Lift",IF(AP45&gt;=1,"Lift",IF(AP45&lt;=0,"Aussenlager","teilweise")))))</f>
        <v/>
      </c>
      <c r="BA45" s="53">
        <f>IF(AS45&lt;=0,"",IF(BR45="Aussen","Aussenlager",IF(BR45="-","Nicht im Lift",IF(AX45&gt;=1,"Lift",IF(AX45&lt;=0,"Aussenlager","teilweise")))))</f>
        <v/>
      </c>
      <c r="BB45" s="53">
        <f>IF(A45="","",IF(BK45=1,"Neu; ","")&amp;IF(AND(BK45=0,BF45&lt;0),"negativer Bestand (Export "&amp;BF45&amp;"); ","")&amp;IF(I45&lt;=0,"Kein Verbrauch; ","")&amp;IF(BO45=1,"Lose – Fläche geschätzt; ","")&amp;IF(G45&gt;AM45,"Überbestand "&amp;ROUND(G45-AM45,0)&amp;" Stk / CHF "&amp;ROUND((G45-AM45)*F45,0)&amp;"; ","")&amp;IF(AND(BT45=1,BU45&lt;BV45),"MAX &lt; MB+LG; ","")&amp;IF(AND(BZ45&gt;0,BY45*10&gt;BZ45),"zu hoch für Tablar; ","")&amp;IF(AND(BK45=0,OR(BT45=1,V45&lt;&gt;"",S45&lt;&gt;"",T45&lt;&gt;"",W45&lt;&gt;"")),"manuell übersteuert; ","")&amp;IF(AND(BO45=0,Q45=0),"Gebinde unbekannt; ","")&amp;IF(AND(BO45=0,N(T45)&lt;=0,N(P45)&lt;=0),"Menge pro Gebinde fehlt (Ist = 1 Gebinde); ","")&amp;BJ45)</f>
        <v/>
      </c>
      <c r="BC45" s="53" t="n"/>
      <c r="BD45" s="53" t="n"/>
      <c r="BE45" s="61" t="n"/>
      <c r="BF45" s="55" t="n">
        <v>12</v>
      </c>
      <c r="BG45" s="55" t="n">
        <v>1</v>
      </c>
      <c r="BH45" s="54" t="n">
        <v>7364.519999999998</v>
      </c>
      <c r="BI45" s="55" t="n">
        <v>72</v>
      </c>
      <c r="BJ45" s="53" t="inlineStr"/>
      <c r="BK45" s="58" t="n">
        <v>0</v>
      </c>
      <c r="BL45" s="58" t="n">
        <v>45</v>
      </c>
      <c r="BM45" s="53">
        <f>IF(S45&lt;&gt;"",UPPER(TRIM(S45)),IF(O45="","LOSE",O45))</f>
        <v/>
      </c>
      <c r="BN45" s="55">
        <f>IF(BM45="LOSE",1,IF(N(T45)&gt;0,T45,IF(N(P45)&gt;0,P45,MAX(1,G45))))</f>
        <v/>
      </c>
      <c r="BO45" s="58">
        <f>IF(BM45="LOSE",1,0)</f>
        <v/>
      </c>
      <c r="BP45" s="64">
        <f>IF(BO45=0,0,IF(N(R45)&gt;0,R45,IFERROR(VLOOKUP(D45,Parameter!$A$35:$C$64,3,0)+0,0)))</f>
        <v/>
      </c>
      <c r="BQ45" s="53">
        <f>IF(V45&lt;&gt;"",V45,U45)</f>
        <v/>
      </c>
      <c r="BR45" s="53">
        <f>IF(BQ45=1,"L1",IF(OR(BQ45=2,BQ45=3),"L23",IF(BQ45="Aussen","Aussen","-")))</f>
        <v/>
      </c>
      <c r="BS45" s="66">
        <f>IF(N(W45)&gt;0,W45,0)</f>
        <v/>
      </c>
      <c r="BT45" s="58">
        <f>IF(ISNUMBER(Z45),1,0)</f>
        <v/>
      </c>
      <c r="BU45" s="55">
        <f>N(Z45)</f>
        <v/>
      </c>
      <c r="BV45" s="55">
        <f>N(L45)+N(M45)</f>
        <v/>
      </c>
      <c r="BW45" s="55">
        <f>ROUNDUP(G45/BN45,0)</f>
        <v/>
      </c>
      <c r="BX45" s="55">
        <f>ROUNDUP(BU45/BN45,0)</f>
        <v/>
      </c>
      <c r="BY45" s="58">
        <f>IF(BO45=1,0,IFERROR(VLOOKUP(BM45,'Gebinde-Kategorie'!$A$5:$G$45,5,0)+0,0))</f>
        <v/>
      </c>
      <c r="BZ45" s="58">
        <f>IFERROR(IF(OR(BQ45=1,BQ45=2,BQ45=3),N(INDEX(Parameter!$I$5:$I$7,BQ45)),0),0)</f>
        <v/>
      </c>
    </row>
    <row r="46">
      <c r="A46" s="53" t="inlineStr">
        <is>
          <t>111227</t>
        </is>
      </c>
      <c r="B46" s="53" t="inlineStr">
        <is>
          <t>Konstanthänger</t>
        </is>
      </c>
      <c r="C46" s="53" t="inlineStr">
        <is>
          <t>F</t>
        </is>
      </c>
      <c r="D46" s="53" t="inlineStr">
        <is>
          <t>PAL</t>
        </is>
      </c>
      <c r="E46" s="53" t="inlineStr">
        <is>
          <t>C</t>
        </is>
      </c>
      <c r="F46" s="54" t="n">
        <v>1426.78</v>
      </c>
      <c r="G46" s="55">
        <f>MAX(0,IF(Parameter!$B$20="Jahresanfang 2025 + Export",BG46+BF46,BF46))</f>
        <v/>
      </c>
      <c r="H46" s="55">
        <f>G46*F46</f>
        <v/>
      </c>
      <c r="I46" s="55">
        <f>BI46*Parameter!$B$18</f>
        <v/>
      </c>
      <c r="J46" s="56" t="n">
        <v>2</v>
      </c>
      <c r="K46" s="57" t="n">
        <v>0</v>
      </c>
      <c r="L46" s="55" t="n">
        <v>2</v>
      </c>
      <c r="M46" s="55" t="n">
        <v>2</v>
      </c>
      <c r="N46" s="58" t="n">
        <v>70</v>
      </c>
      <c r="O46" s="53" t="inlineStr">
        <is>
          <t>LOSE</t>
        </is>
      </c>
      <c r="P46" s="55" t="n"/>
      <c r="Q46" s="59">
        <f>IF(BO46=1,0,IFERROR(VLOOKUP(BM46,'Gebinde-Kategorie'!$A$5:$G$45,6,0)+0,0))</f>
        <v/>
      </c>
      <c r="R46" s="60" t="n"/>
      <c r="S46" s="61" t="n"/>
      <c r="T46" s="61" t="n"/>
      <c r="U46" s="53">
        <f>IF(A46="","",IF(IFERROR(VLOOKUP(D46,Parameter!$A$35:$C$64,2,0),"Nein")="2+3",IF(ISNUMBER(SEARCH("grosser Artikel",BJ46)),2,IFERROR(VLOOKUP(BM46,Parameter!$F$35:$G$64,2,0),2)),IF(OR(IFERROR(VLOOKUP(D46,Parameter!$A$35:$C$64,2,0),"Nein")="Nein",IFERROR(VLOOKUP(D46,Parameter!$A$35:$C$64,2,0),"Nein")=""),"-",VLOOKUP(D46,Parameter!$A$35:$C$64,2,0))))</f>
        <v/>
      </c>
      <c r="V46" s="61" t="n"/>
      <c r="W46" s="62" t="n"/>
      <c r="X46" s="55">
        <f>AM46</f>
        <v/>
      </c>
      <c r="Y46" s="55">
        <f>MAX(AM46,G46)</f>
        <v/>
      </c>
      <c r="Z46" s="63" t="n"/>
      <c r="AA46" s="55">
        <f>IF(LEFT(Cockpit!$C$5,1)="A",G46,IF(BT46=1,BU46,IF(LEFT(Cockpit!$C$5,1)="B",AE46,MAX(AE46,G46))))</f>
        <v/>
      </c>
      <c r="AB46" s="55">
        <f>IF(BO46=1,0,ROUNDUP(AA46/BN46,0))</f>
        <v/>
      </c>
      <c r="AC46" s="64">
        <f>IF(BO46=1,IF(AA46&lt;=0,0,BP46*MAX(1,IF(G46&gt;0,AA46/G46,1))),AB46*Q46)</f>
        <v/>
      </c>
      <c r="AD46" s="55">
        <f>AA46*F46</f>
        <v/>
      </c>
      <c r="AE46" s="55">
        <f>ROUNDUP(MAX(I46/IF(BS46&gt;0,BS46,MAX(0.1,N(Cockpit!$C$6))),BV46)/BN46,0)*BN46</f>
        <v/>
      </c>
      <c r="AF46" s="56">
        <f>IF(AC46&gt;0,I46/AC46,-1)</f>
        <v/>
      </c>
      <c r="AG46" s="56">
        <f>IF(AND(OR(BR46="L1",BR46="L23"),AC46&gt;0),SUMIFS($AC$7:$AC$1570,$BR$7:$BR$1570,BR46,$AF$7:$AF$1570,"&gt;"&amp;AF46)+SUMIFS($AC$7:$AC$1570,$BR$7:$BR$1570,BR46,$AF$7:$AF$1570,AF46,$BL$7:$BL$1570,"&lt;="&amp;BL46),"")</f>
        <v/>
      </c>
      <c r="AH46" s="65">
        <f>IF(AG46="",0,MAX(0,MIN(1,(IF(BR46="L1",Parameter!$K$5,Parameter!$K$6+Parameter!$K$7)-(AG46-AC46))/AC46)))</f>
        <v/>
      </c>
      <c r="AI46" s="55">
        <f>IF(LEFT(Cockpit!$I$5,1)="A",G46,IF(BT46=1,BU46,IF(LEFT(Cockpit!$I$5,1)="B",AM46,MAX(AM46,G46))))</f>
        <v/>
      </c>
      <c r="AJ46" s="55">
        <f>IF(BO46=1,0,ROUNDUP(AI46/BN46,0))</f>
        <v/>
      </c>
      <c r="AK46" s="64">
        <f>IF(BO46=1,IF(AI46&lt;=0,0,BP46*MAX(1,IF(G46&gt;0,AI46/G46,1))),AJ46*Q46)</f>
        <v/>
      </c>
      <c r="AL46" s="55">
        <f>AI46*F46</f>
        <v/>
      </c>
      <c r="AM46" s="55">
        <f>ROUNDUP(MAX(I46/IF(BS46&gt;0,BS46,MAX(0.1,N(Cockpit!$I$6))),BV46)/BN46,0)*BN46</f>
        <v/>
      </c>
      <c r="AN46" s="56">
        <f>IF(AK46&gt;0,I46/AK46,-1)</f>
        <v/>
      </c>
      <c r="AO46" s="56">
        <f>IF(AND(OR(BR46="L1",BR46="L23"),AK46&gt;0),SUMIFS($AK$7:$AK$1570,$BR$7:$BR$1570,BR46,$AN$7:$AN$1570,"&gt;"&amp;AN46)+SUMIFS($AK$7:$AK$1570,$BR$7:$BR$1570,BR46,$AN$7:$AN$1570,AN46,$BL$7:$BL$1570,"&lt;="&amp;BL46),"")</f>
        <v/>
      </c>
      <c r="AP46" s="65">
        <f>IF(AO46="",0,MAX(0,MIN(1,(IF(BR46="L1",Parameter!$K$5,Parameter!$K$6+Parameter!$K$7)-(AO46-AK46))/AK46)))</f>
        <v/>
      </c>
      <c r="AQ46" s="55">
        <f>IF(LEFT(Cockpit!$O$5,1)="A",G46,IF(BT46=1,BU46,IF(LEFT(Cockpit!$O$5,1)="B",AU46,MAX(AU46,G46))))</f>
        <v/>
      </c>
      <c r="AR46" s="55">
        <f>IF(BO46=1,0,ROUNDUP(AQ46/BN46,0))</f>
        <v/>
      </c>
      <c r="AS46" s="64">
        <f>IF(BO46=1,IF(AQ46&lt;=0,0,BP46*MAX(1,IF(G46&gt;0,AQ46/G46,1))),AR46*Q46)</f>
        <v/>
      </c>
      <c r="AT46" s="55">
        <f>AQ46*F46</f>
        <v/>
      </c>
      <c r="AU46" s="55">
        <f>ROUNDUP(MAX(I46/IF(BS46&gt;0,BS46,MAX(0.1,N(Cockpit!$O$6))),BV46)/BN46,0)*BN46</f>
        <v/>
      </c>
      <c r="AV46" s="56">
        <f>IF(AS46&gt;0,I46/AS46,-1)</f>
        <v/>
      </c>
      <c r="AW46" s="56">
        <f>IF(AND(OR(BR46="L1",BR46="L23"),AS46&gt;0),SUMIFS($AS$7:$AS$1570,$BR$7:$BR$1570,BR46,$AV$7:$AV$1570,"&gt;"&amp;AV46)+SUMIFS($AS$7:$AS$1570,$BR$7:$BR$1570,BR46,$AV$7:$AV$1570,AV46,$BL$7:$BL$1570,"&lt;="&amp;BL46),"")</f>
        <v/>
      </c>
      <c r="AX46" s="65">
        <f>IF(AW46="",0,MAX(0,MIN(1,(IF(BR46="L1",Parameter!$K$5,Parameter!$K$6+Parameter!$K$7)-(AW46-AS46))/AS46)))</f>
        <v/>
      </c>
      <c r="AY46" s="53">
        <f>IF(AC46&lt;=0,"",IF(BR46="Aussen","Aussenlager",IF(BR46="-","Nicht im Lift",IF(AH46&gt;=1,"Lift",IF(AH46&lt;=0,"Aussenlager","teilweise")))))</f>
        <v/>
      </c>
      <c r="AZ46" s="53">
        <f>IF(AK46&lt;=0,"",IF(BR46="Aussen","Aussenlager",IF(BR46="-","Nicht im Lift",IF(AP46&gt;=1,"Lift",IF(AP46&lt;=0,"Aussenlager","teilweise")))))</f>
        <v/>
      </c>
      <c r="BA46" s="53">
        <f>IF(AS46&lt;=0,"",IF(BR46="Aussen","Aussenlager",IF(BR46="-","Nicht im Lift",IF(AX46&gt;=1,"Lift",IF(AX46&lt;=0,"Aussenlager","teilweise")))))</f>
        <v/>
      </c>
      <c r="BB46" s="53">
        <f>IF(A46="","",IF(BK46=1,"Neu; ","")&amp;IF(AND(BK46=0,BF46&lt;0),"negativer Bestand (Export "&amp;BF46&amp;"); ","")&amp;IF(I46&lt;=0,"Kein Verbrauch; ","")&amp;IF(BO46=1,"Lose – Fläche geschätzt; ","")&amp;IF(G46&gt;AM46,"Überbestand "&amp;ROUND(G46-AM46,0)&amp;" Stk / CHF "&amp;ROUND((G46-AM46)*F46,0)&amp;"; ","")&amp;IF(AND(BT46=1,BU46&lt;BV46),"MAX &lt; MB+LG; ","")&amp;IF(AND(BZ46&gt;0,BY46*10&gt;BZ46),"zu hoch für Tablar; ","")&amp;IF(AND(BK46=0,OR(BT46=1,V46&lt;&gt;"",S46&lt;&gt;"",T46&lt;&gt;"",W46&lt;&gt;"")),"manuell übersteuert; ","")&amp;IF(AND(BO46=0,Q46=0),"Gebinde unbekannt; ","")&amp;IF(AND(BO46=0,N(T46)&lt;=0,N(P46)&lt;=0),"Menge pro Gebinde fehlt (Ist = 1 Gebinde); ","")&amp;BJ46)</f>
        <v/>
      </c>
      <c r="BC46" s="53" t="inlineStr">
        <is>
          <t>Sehr hohe WBZ, daher Bedarf wurde vermutlich Angepasst und nicht weiter verfolgt -&gt; Vielleichtmusste auch ein Rahmen abgenommen werden? Abgekündigt?</t>
        </is>
      </c>
      <c r="BD46" s="53" t="n"/>
      <c r="BE46" s="61" t="n"/>
      <c r="BF46" s="55" t="n">
        <v>5</v>
      </c>
      <c r="BG46" s="55" t="n">
        <v>0</v>
      </c>
      <c r="BH46" s="54" t="n">
        <v>7133.900000000001</v>
      </c>
      <c r="BI46" s="55" t="n">
        <v>0</v>
      </c>
      <c r="BJ46" s="53" t="inlineStr"/>
      <c r="BK46" s="58" t="n">
        <v>0</v>
      </c>
      <c r="BL46" s="58" t="n">
        <v>46</v>
      </c>
      <c r="BM46" s="53">
        <f>IF(S46&lt;&gt;"",UPPER(TRIM(S46)),IF(O46="","LOSE",O46))</f>
        <v/>
      </c>
      <c r="BN46" s="55">
        <f>IF(BM46="LOSE",1,IF(N(T46)&gt;0,T46,IF(N(P46)&gt;0,P46,MAX(1,G46))))</f>
        <v/>
      </c>
      <c r="BO46" s="58">
        <f>IF(BM46="LOSE",1,0)</f>
        <v/>
      </c>
      <c r="BP46" s="64">
        <f>IF(BO46=0,0,IF(N(R46)&gt;0,R46,IFERROR(VLOOKUP(D46,Parameter!$A$35:$C$64,3,0)+0,0)))</f>
        <v/>
      </c>
      <c r="BQ46" s="53">
        <f>IF(V46&lt;&gt;"",V46,U46)</f>
        <v/>
      </c>
      <c r="BR46" s="53">
        <f>IF(BQ46=1,"L1",IF(OR(BQ46=2,BQ46=3),"L23",IF(BQ46="Aussen","Aussen","-")))</f>
        <v/>
      </c>
      <c r="BS46" s="66">
        <f>IF(N(W46)&gt;0,W46,0)</f>
        <v/>
      </c>
      <c r="BT46" s="58">
        <f>IF(ISNUMBER(Z46),1,0)</f>
        <v/>
      </c>
      <c r="BU46" s="55">
        <f>N(Z46)</f>
        <v/>
      </c>
      <c r="BV46" s="55">
        <f>N(L46)+N(M46)</f>
        <v/>
      </c>
      <c r="BW46" s="55">
        <f>ROUNDUP(G46/BN46,0)</f>
        <v/>
      </c>
      <c r="BX46" s="55">
        <f>ROUNDUP(BU46/BN46,0)</f>
        <v/>
      </c>
      <c r="BY46" s="58">
        <f>IF(BO46=1,0,IFERROR(VLOOKUP(BM46,'Gebinde-Kategorie'!$A$5:$G$45,5,0)+0,0))</f>
        <v/>
      </c>
      <c r="BZ46" s="58">
        <f>IFERROR(IF(OR(BQ46=1,BQ46=2,BQ46=3),N(INDEX(Parameter!$I$5:$I$7,BQ46)),0),0)</f>
        <v/>
      </c>
    </row>
    <row r="47">
      <c r="A47" s="53" t="inlineStr">
        <is>
          <t>110334</t>
        </is>
      </c>
      <c r="B47" s="53" t="inlineStr">
        <is>
          <t>Luftblock BASE komplett</t>
        </is>
      </c>
      <c r="C47" s="53" t="inlineStr">
        <is>
          <t>F</t>
        </is>
      </c>
      <c r="D47" s="53" t="inlineStr">
        <is>
          <t>PAL</t>
        </is>
      </c>
      <c r="E47" s="53" t="inlineStr">
        <is>
          <t>C</t>
        </is>
      </c>
      <c r="F47" s="54" t="n">
        <v>2358</v>
      </c>
      <c r="G47" s="55">
        <f>MAX(0,IF(Parameter!$B$20="Jahresanfang 2025 + Export",BG47+BF47,BF47))</f>
        <v/>
      </c>
      <c r="H47" s="55">
        <f>G47*F47</f>
        <v/>
      </c>
      <c r="I47" s="55">
        <f>BI47*Parameter!$B$18</f>
        <v/>
      </c>
      <c r="J47" s="56" t="n">
        <v>1</v>
      </c>
      <c r="K47" s="57" t="n">
        <v>0</v>
      </c>
      <c r="L47" s="55" t="n">
        <v>0</v>
      </c>
      <c r="M47" s="55" t="n">
        <v>1</v>
      </c>
      <c r="N47" s="58" t="n">
        <v>120</v>
      </c>
      <c r="O47" s="53" t="inlineStr">
        <is>
          <t>LOSE</t>
        </is>
      </c>
      <c r="P47" s="55" t="n"/>
      <c r="Q47" s="59">
        <f>IF(BO47=1,0,IFERROR(VLOOKUP(BM47,'Gebinde-Kategorie'!$A$5:$G$45,6,0)+0,0))</f>
        <v/>
      </c>
      <c r="R47" s="60" t="n"/>
      <c r="S47" s="61" t="n"/>
      <c r="T47" s="61" t="n"/>
      <c r="U47" s="53">
        <f>IF(A47="","",IF(IFERROR(VLOOKUP(D47,Parameter!$A$35:$C$64,2,0),"Nein")="2+3",IF(ISNUMBER(SEARCH("grosser Artikel",BJ47)),2,IFERROR(VLOOKUP(BM47,Parameter!$F$35:$G$64,2,0),2)),IF(OR(IFERROR(VLOOKUP(D47,Parameter!$A$35:$C$64,2,0),"Nein")="Nein",IFERROR(VLOOKUP(D47,Parameter!$A$35:$C$64,2,0),"Nein")=""),"-",VLOOKUP(D47,Parameter!$A$35:$C$64,2,0))))</f>
        <v/>
      </c>
      <c r="V47" s="61" t="n"/>
      <c r="W47" s="62" t="n"/>
      <c r="X47" s="55">
        <f>AM47</f>
        <v/>
      </c>
      <c r="Y47" s="55">
        <f>MAX(AM47,G47)</f>
        <v/>
      </c>
      <c r="Z47" s="63" t="n"/>
      <c r="AA47" s="55">
        <f>IF(LEFT(Cockpit!$C$5,1)="A",G47,IF(BT47=1,BU47,IF(LEFT(Cockpit!$C$5,1)="B",AE47,MAX(AE47,G47))))</f>
        <v/>
      </c>
      <c r="AB47" s="55">
        <f>IF(BO47=1,0,ROUNDUP(AA47/BN47,0))</f>
        <v/>
      </c>
      <c r="AC47" s="64">
        <f>IF(BO47=1,IF(AA47&lt;=0,0,BP47*MAX(1,IF(G47&gt;0,AA47/G47,1))),AB47*Q47)</f>
        <v/>
      </c>
      <c r="AD47" s="55">
        <f>AA47*F47</f>
        <v/>
      </c>
      <c r="AE47" s="55">
        <f>ROUNDUP(MAX(I47/IF(BS47&gt;0,BS47,MAX(0.1,N(Cockpit!$C$6))),BV47)/BN47,0)*BN47</f>
        <v/>
      </c>
      <c r="AF47" s="56">
        <f>IF(AC47&gt;0,I47/AC47,-1)</f>
        <v/>
      </c>
      <c r="AG47" s="56">
        <f>IF(AND(OR(BR47="L1",BR47="L23"),AC47&gt;0),SUMIFS($AC$7:$AC$1570,$BR$7:$BR$1570,BR47,$AF$7:$AF$1570,"&gt;"&amp;AF47)+SUMIFS($AC$7:$AC$1570,$BR$7:$BR$1570,BR47,$AF$7:$AF$1570,AF47,$BL$7:$BL$1570,"&lt;="&amp;BL47),"")</f>
        <v/>
      </c>
      <c r="AH47" s="65">
        <f>IF(AG47="",0,MAX(0,MIN(1,(IF(BR47="L1",Parameter!$K$5,Parameter!$K$6+Parameter!$K$7)-(AG47-AC47))/AC47)))</f>
        <v/>
      </c>
      <c r="AI47" s="55">
        <f>IF(LEFT(Cockpit!$I$5,1)="A",G47,IF(BT47=1,BU47,IF(LEFT(Cockpit!$I$5,1)="B",AM47,MAX(AM47,G47))))</f>
        <v/>
      </c>
      <c r="AJ47" s="55">
        <f>IF(BO47=1,0,ROUNDUP(AI47/BN47,0))</f>
        <v/>
      </c>
      <c r="AK47" s="64">
        <f>IF(BO47=1,IF(AI47&lt;=0,0,BP47*MAX(1,IF(G47&gt;0,AI47/G47,1))),AJ47*Q47)</f>
        <v/>
      </c>
      <c r="AL47" s="55">
        <f>AI47*F47</f>
        <v/>
      </c>
      <c r="AM47" s="55">
        <f>ROUNDUP(MAX(I47/IF(BS47&gt;0,BS47,MAX(0.1,N(Cockpit!$I$6))),BV47)/BN47,0)*BN47</f>
        <v/>
      </c>
      <c r="AN47" s="56">
        <f>IF(AK47&gt;0,I47/AK47,-1)</f>
        <v/>
      </c>
      <c r="AO47" s="56">
        <f>IF(AND(OR(BR47="L1",BR47="L23"),AK47&gt;0),SUMIFS($AK$7:$AK$1570,$BR$7:$BR$1570,BR47,$AN$7:$AN$1570,"&gt;"&amp;AN47)+SUMIFS($AK$7:$AK$1570,$BR$7:$BR$1570,BR47,$AN$7:$AN$1570,AN47,$BL$7:$BL$1570,"&lt;="&amp;BL47),"")</f>
        <v/>
      </c>
      <c r="AP47" s="65">
        <f>IF(AO47="",0,MAX(0,MIN(1,(IF(BR47="L1",Parameter!$K$5,Parameter!$K$6+Parameter!$K$7)-(AO47-AK47))/AK47)))</f>
        <v/>
      </c>
      <c r="AQ47" s="55">
        <f>IF(LEFT(Cockpit!$O$5,1)="A",G47,IF(BT47=1,BU47,IF(LEFT(Cockpit!$O$5,1)="B",AU47,MAX(AU47,G47))))</f>
        <v/>
      </c>
      <c r="AR47" s="55">
        <f>IF(BO47=1,0,ROUNDUP(AQ47/BN47,0))</f>
        <v/>
      </c>
      <c r="AS47" s="64">
        <f>IF(BO47=1,IF(AQ47&lt;=0,0,BP47*MAX(1,IF(G47&gt;0,AQ47/G47,1))),AR47*Q47)</f>
        <v/>
      </c>
      <c r="AT47" s="55">
        <f>AQ47*F47</f>
        <v/>
      </c>
      <c r="AU47" s="55">
        <f>ROUNDUP(MAX(I47/IF(BS47&gt;0,BS47,MAX(0.1,N(Cockpit!$O$6))),BV47)/BN47,0)*BN47</f>
        <v/>
      </c>
      <c r="AV47" s="56">
        <f>IF(AS47&gt;0,I47/AS47,-1)</f>
        <v/>
      </c>
      <c r="AW47" s="56">
        <f>IF(AND(OR(BR47="L1",BR47="L23"),AS47&gt;0),SUMIFS($AS$7:$AS$1570,$BR$7:$BR$1570,BR47,$AV$7:$AV$1570,"&gt;"&amp;AV47)+SUMIFS($AS$7:$AS$1570,$BR$7:$BR$1570,BR47,$AV$7:$AV$1570,AV47,$BL$7:$BL$1570,"&lt;="&amp;BL47),"")</f>
        <v/>
      </c>
      <c r="AX47" s="65">
        <f>IF(AW47="",0,MAX(0,MIN(1,(IF(BR47="L1",Parameter!$K$5,Parameter!$K$6+Parameter!$K$7)-(AW47-AS47))/AS47)))</f>
        <v/>
      </c>
      <c r="AY47" s="53">
        <f>IF(AC47&lt;=0,"",IF(BR47="Aussen","Aussenlager",IF(BR47="-","Nicht im Lift",IF(AH47&gt;=1,"Lift",IF(AH47&lt;=0,"Aussenlager","teilweise")))))</f>
        <v/>
      </c>
      <c r="AZ47" s="53">
        <f>IF(AK47&lt;=0,"",IF(BR47="Aussen","Aussenlager",IF(BR47="-","Nicht im Lift",IF(AP47&gt;=1,"Lift",IF(AP47&lt;=0,"Aussenlager","teilweise")))))</f>
        <v/>
      </c>
      <c r="BA47" s="53">
        <f>IF(AS47&lt;=0,"",IF(BR47="Aussen","Aussenlager",IF(BR47="-","Nicht im Lift",IF(AX47&gt;=1,"Lift",IF(AX47&lt;=0,"Aussenlager","teilweise")))))</f>
        <v/>
      </c>
      <c r="BB47" s="53">
        <f>IF(A47="","",IF(BK47=1,"Neu; ","")&amp;IF(AND(BK47=0,BF47&lt;0),"negativer Bestand (Export "&amp;BF47&amp;"); ","")&amp;IF(I47&lt;=0,"Kein Verbrauch; ","")&amp;IF(BO47=1,"Lose – Fläche geschätzt; ","")&amp;IF(G47&gt;AM47,"Überbestand "&amp;ROUND(G47-AM47,0)&amp;" Stk / CHF "&amp;ROUND((G47-AM47)*F47,0)&amp;"; ","")&amp;IF(AND(BT47=1,BU47&lt;BV47),"MAX &lt; MB+LG; ","")&amp;IF(AND(BZ47&gt;0,BY47*10&gt;BZ47),"zu hoch für Tablar; ","")&amp;IF(AND(BK47=0,OR(BT47=1,V47&lt;&gt;"",S47&lt;&gt;"",T47&lt;&gt;"",W47&lt;&gt;"")),"manuell übersteuert; ","")&amp;IF(AND(BO47=0,Q47=0),"Gebinde unbekannt; ","")&amp;IF(AND(BO47=0,N(T47)&lt;=0,N(P47)&lt;=0),"Menge pro Gebinde fehlt (Ist = 1 Gebinde); ","")&amp;BJ47)</f>
        <v/>
      </c>
      <c r="BC47" s="53" t="n"/>
      <c r="BD47" s="53" t="n"/>
      <c r="BE47" s="61" t="n"/>
      <c r="BF47" s="55" t="n">
        <v>3</v>
      </c>
      <c r="BG47" s="55" t="n">
        <v>0</v>
      </c>
      <c r="BH47" s="54" t="n">
        <v>7074</v>
      </c>
      <c r="BI47" s="55" t="n">
        <v>0</v>
      </c>
      <c r="BJ47" s="53" t="inlineStr"/>
      <c r="BK47" s="58" t="n">
        <v>0</v>
      </c>
      <c r="BL47" s="58" t="n">
        <v>47</v>
      </c>
      <c r="BM47" s="53">
        <f>IF(S47&lt;&gt;"",UPPER(TRIM(S47)),IF(O47="","LOSE",O47))</f>
        <v/>
      </c>
      <c r="BN47" s="55">
        <f>IF(BM47="LOSE",1,IF(N(T47)&gt;0,T47,IF(N(P47)&gt;0,P47,MAX(1,G47))))</f>
        <v/>
      </c>
      <c r="BO47" s="58">
        <f>IF(BM47="LOSE",1,0)</f>
        <v/>
      </c>
      <c r="BP47" s="64">
        <f>IF(BO47=0,0,IF(N(R47)&gt;0,R47,IFERROR(VLOOKUP(D47,Parameter!$A$35:$C$64,3,0)+0,0)))</f>
        <v/>
      </c>
      <c r="BQ47" s="53">
        <f>IF(V47&lt;&gt;"",V47,U47)</f>
        <v/>
      </c>
      <c r="BR47" s="53">
        <f>IF(BQ47=1,"L1",IF(OR(BQ47=2,BQ47=3),"L23",IF(BQ47="Aussen","Aussen","-")))</f>
        <v/>
      </c>
      <c r="BS47" s="66">
        <f>IF(N(W47)&gt;0,W47,0)</f>
        <v/>
      </c>
      <c r="BT47" s="58">
        <f>IF(ISNUMBER(Z47),1,0)</f>
        <v/>
      </c>
      <c r="BU47" s="55">
        <f>N(Z47)</f>
        <v/>
      </c>
      <c r="BV47" s="55">
        <f>N(L47)+N(M47)</f>
        <v/>
      </c>
      <c r="BW47" s="55">
        <f>ROUNDUP(G47/BN47,0)</f>
        <v/>
      </c>
      <c r="BX47" s="55">
        <f>ROUNDUP(BU47/BN47,0)</f>
        <v/>
      </c>
      <c r="BY47" s="58">
        <f>IF(BO47=1,0,IFERROR(VLOOKUP(BM47,'Gebinde-Kategorie'!$A$5:$G$45,5,0)+0,0))</f>
        <v/>
      </c>
      <c r="BZ47" s="58">
        <f>IFERROR(IF(OR(BQ47=1,BQ47=2,BQ47=3),N(INDEX(Parameter!$I$5:$I$7,BQ47)),0),0)</f>
        <v/>
      </c>
    </row>
    <row r="48">
      <c r="A48" s="53" t="inlineStr">
        <is>
          <t>111226</t>
        </is>
      </c>
      <c r="B48" s="53" t="inlineStr">
        <is>
          <t>Konstanthänger</t>
        </is>
      </c>
      <c r="C48" s="53" t="inlineStr">
        <is>
          <t>F</t>
        </is>
      </c>
      <c r="D48" s="53" t="inlineStr">
        <is>
          <t>LIFT1</t>
        </is>
      </c>
      <c r="E48" s="53" t="inlineStr">
        <is>
          <t>C</t>
        </is>
      </c>
      <c r="F48" s="54" t="n">
        <v>1380.43</v>
      </c>
      <c r="G48" s="55">
        <f>MAX(0,IF(Parameter!$B$20="Jahresanfang 2025 + Export",BG48+BF48,BF48))</f>
        <v/>
      </c>
      <c r="H48" s="55">
        <f>G48*F48</f>
        <v/>
      </c>
      <c r="I48" s="55">
        <f>BI48*Parameter!$B$18</f>
        <v/>
      </c>
      <c r="J48" s="56" t="n">
        <v>3</v>
      </c>
      <c r="K48" s="57" t="n">
        <v>0</v>
      </c>
      <c r="L48" s="55" t="n">
        <v>0</v>
      </c>
      <c r="M48" s="55" t="n">
        <v>2</v>
      </c>
      <c r="N48" s="58" t="n">
        <v>70</v>
      </c>
      <c r="O48" s="53" t="inlineStr">
        <is>
          <t>LOSE</t>
        </is>
      </c>
      <c r="P48" s="55" t="n"/>
      <c r="Q48" s="59">
        <f>IF(BO48=1,0,IFERROR(VLOOKUP(BM48,'Gebinde-Kategorie'!$A$5:$G$45,6,0)+0,0))</f>
        <v/>
      </c>
      <c r="R48" s="60" t="n"/>
      <c r="S48" s="61" t="n"/>
      <c r="T48" s="61" t="n"/>
      <c r="U48" s="53">
        <f>IF(A48="","",IF(IFERROR(VLOOKUP(D48,Parameter!$A$35:$C$64,2,0),"Nein")="2+3",IF(ISNUMBER(SEARCH("grosser Artikel",BJ48)),2,IFERROR(VLOOKUP(BM48,Parameter!$F$35:$G$64,2,0),2)),IF(OR(IFERROR(VLOOKUP(D48,Parameter!$A$35:$C$64,2,0),"Nein")="Nein",IFERROR(VLOOKUP(D48,Parameter!$A$35:$C$64,2,0),"Nein")=""),"-",VLOOKUP(D48,Parameter!$A$35:$C$64,2,0))))</f>
        <v/>
      </c>
      <c r="V48" s="61" t="n"/>
      <c r="W48" s="62" t="n"/>
      <c r="X48" s="55">
        <f>AM48</f>
        <v/>
      </c>
      <c r="Y48" s="55">
        <f>MAX(AM48,G48)</f>
        <v/>
      </c>
      <c r="Z48" s="63" t="n"/>
      <c r="AA48" s="55">
        <f>IF(LEFT(Cockpit!$C$5,1)="A",G48,IF(BT48=1,BU48,IF(LEFT(Cockpit!$C$5,1)="B",AE48,MAX(AE48,G48))))</f>
        <v/>
      </c>
      <c r="AB48" s="55">
        <f>IF(BO48=1,0,ROUNDUP(AA48/BN48,0))</f>
        <v/>
      </c>
      <c r="AC48" s="64">
        <f>IF(BO48=1,IF(AA48&lt;=0,0,BP48*MAX(1,IF(G48&gt;0,AA48/G48,1))),AB48*Q48)</f>
        <v/>
      </c>
      <c r="AD48" s="55">
        <f>AA48*F48</f>
        <v/>
      </c>
      <c r="AE48" s="55">
        <f>ROUNDUP(MAX(I48/IF(BS48&gt;0,BS48,MAX(0.1,N(Cockpit!$C$6))),BV48)/BN48,0)*BN48</f>
        <v/>
      </c>
      <c r="AF48" s="56">
        <f>IF(AC48&gt;0,I48/AC48,-1)</f>
        <v/>
      </c>
      <c r="AG48" s="56">
        <f>IF(AND(OR(BR48="L1",BR48="L23"),AC48&gt;0),SUMIFS($AC$7:$AC$1570,$BR$7:$BR$1570,BR48,$AF$7:$AF$1570,"&gt;"&amp;AF48)+SUMIFS($AC$7:$AC$1570,$BR$7:$BR$1570,BR48,$AF$7:$AF$1570,AF48,$BL$7:$BL$1570,"&lt;="&amp;BL48),"")</f>
        <v/>
      </c>
      <c r="AH48" s="65">
        <f>IF(AG48="",0,MAX(0,MIN(1,(IF(BR48="L1",Parameter!$K$5,Parameter!$K$6+Parameter!$K$7)-(AG48-AC48))/AC48)))</f>
        <v/>
      </c>
      <c r="AI48" s="55">
        <f>IF(LEFT(Cockpit!$I$5,1)="A",G48,IF(BT48=1,BU48,IF(LEFT(Cockpit!$I$5,1)="B",AM48,MAX(AM48,G48))))</f>
        <v/>
      </c>
      <c r="AJ48" s="55">
        <f>IF(BO48=1,0,ROUNDUP(AI48/BN48,0))</f>
        <v/>
      </c>
      <c r="AK48" s="64">
        <f>IF(BO48=1,IF(AI48&lt;=0,0,BP48*MAX(1,IF(G48&gt;0,AI48/G48,1))),AJ48*Q48)</f>
        <v/>
      </c>
      <c r="AL48" s="55">
        <f>AI48*F48</f>
        <v/>
      </c>
      <c r="AM48" s="55">
        <f>ROUNDUP(MAX(I48/IF(BS48&gt;0,BS48,MAX(0.1,N(Cockpit!$I$6))),BV48)/BN48,0)*BN48</f>
        <v/>
      </c>
      <c r="AN48" s="56">
        <f>IF(AK48&gt;0,I48/AK48,-1)</f>
        <v/>
      </c>
      <c r="AO48" s="56">
        <f>IF(AND(OR(BR48="L1",BR48="L23"),AK48&gt;0),SUMIFS($AK$7:$AK$1570,$BR$7:$BR$1570,BR48,$AN$7:$AN$1570,"&gt;"&amp;AN48)+SUMIFS($AK$7:$AK$1570,$BR$7:$BR$1570,BR48,$AN$7:$AN$1570,AN48,$BL$7:$BL$1570,"&lt;="&amp;BL48),"")</f>
        <v/>
      </c>
      <c r="AP48" s="65">
        <f>IF(AO48="",0,MAX(0,MIN(1,(IF(BR48="L1",Parameter!$K$5,Parameter!$K$6+Parameter!$K$7)-(AO48-AK48))/AK48)))</f>
        <v/>
      </c>
      <c r="AQ48" s="55">
        <f>IF(LEFT(Cockpit!$O$5,1)="A",G48,IF(BT48=1,BU48,IF(LEFT(Cockpit!$O$5,1)="B",AU48,MAX(AU48,G48))))</f>
        <v/>
      </c>
      <c r="AR48" s="55">
        <f>IF(BO48=1,0,ROUNDUP(AQ48/BN48,0))</f>
        <v/>
      </c>
      <c r="AS48" s="64">
        <f>IF(BO48=1,IF(AQ48&lt;=0,0,BP48*MAX(1,IF(G48&gt;0,AQ48/G48,1))),AR48*Q48)</f>
        <v/>
      </c>
      <c r="AT48" s="55">
        <f>AQ48*F48</f>
        <v/>
      </c>
      <c r="AU48" s="55">
        <f>ROUNDUP(MAX(I48/IF(BS48&gt;0,BS48,MAX(0.1,N(Cockpit!$O$6))),BV48)/BN48,0)*BN48</f>
        <v/>
      </c>
      <c r="AV48" s="56">
        <f>IF(AS48&gt;0,I48/AS48,-1)</f>
        <v/>
      </c>
      <c r="AW48" s="56">
        <f>IF(AND(OR(BR48="L1",BR48="L23"),AS48&gt;0),SUMIFS($AS$7:$AS$1570,$BR$7:$BR$1570,BR48,$AV$7:$AV$1570,"&gt;"&amp;AV48)+SUMIFS($AS$7:$AS$1570,$BR$7:$BR$1570,BR48,$AV$7:$AV$1570,AV48,$BL$7:$BL$1570,"&lt;="&amp;BL48),"")</f>
        <v/>
      </c>
      <c r="AX48" s="65">
        <f>IF(AW48="",0,MAX(0,MIN(1,(IF(BR48="L1",Parameter!$K$5,Parameter!$K$6+Parameter!$K$7)-(AW48-AS48))/AS48)))</f>
        <v/>
      </c>
      <c r="AY48" s="53">
        <f>IF(AC48&lt;=0,"",IF(BR48="Aussen","Aussenlager",IF(BR48="-","Nicht im Lift",IF(AH48&gt;=1,"Lift",IF(AH48&lt;=0,"Aussenlager","teilweise")))))</f>
        <v/>
      </c>
      <c r="AZ48" s="53">
        <f>IF(AK48&lt;=0,"",IF(BR48="Aussen","Aussenlager",IF(BR48="-","Nicht im Lift",IF(AP48&gt;=1,"Lift",IF(AP48&lt;=0,"Aussenlager","teilweise")))))</f>
        <v/>
      </c>
      <c r="BA48" s="53">
        <f>IF(AS48&lt;=0,"",IF(BR48="Aussen","Aussenlager",IF(BR48="-","Nicht im Lift",IF(AX48&gt;=1,"Lift",IF(AX48&lt;=0,"Aussenlager","teilweise")))))</f>
        <v/>
      </c>
      <c r="BB48" s="53">
        <f>IF(A48="","",IF(BK48=1,"Neu; ","")&amp;IF(AND(BK48=0,BF48&lt;0),"negativer Bestand (Export "&amp;BF48&amp;"); ","")&amp;IF(I48&lt;=0,"Kein Verbrauch; ","")&amp;IF(BO48=1,"Lose – Fläche geschätzt; ","")&amp;IF(G48&gt;AM48,"Überbestand "&amp;ROUND(G48-AM48,0)&amp;" Stk / CHF "&amp;ROUND((G48-AM48)*F48,0)&amp;"; ","")&amp;IF(AND(BT48=1,BU48&lt;BV48),"MAX &lt; MB+LG; ","")&amp;IF(AND(BZ48&gt;0,BY48*10&gt;BZ48),"zu hoch für Tablar; ","")&amp;IF(AND(BK48=0,OR(BT48=1,V48&lt;&gt;"",S48&lt;&gt;"",T48&lt;&gt;"",W48&lt;&gt;"")),"manuell übersteuert; ","")&amp;IF(AND(BO48=0,Q48=0),"Gebinde unbekannt; ","")&amp;IF(AND(BO48=0,N(T48)&lt;=0,N(P48)&lt;=0),"Menge pro Gebinde fehlt (Ist = 1 Gebinde); ","")&amp;BJ48)</f>
        <v/>
      </c>
      <c r="BC48" s="53" t="n"/>
      <c r="BD48" s="53" t="n"/>
      <c r="BE48" s="61" t="n"/>
      <c r="BF48" s="55" t="n">
        <v>5</v>
      </c>
      <c r="BG48" s="55" t="n">
        <v>0</v>
      </c>
      <c r="BH48" s="54" t="n">
        <v>6902.150000000004</v>
      </c>
      <c r="BI48" s="55" t="n">
        <v>0</v>
      </c>
      <c r="BJ48" s="53" t="inlineStr"/>
      <c r="BK48" s="58" t="n">
        <v>0</v>
      </c>
      <c r="BL48" s="58" t="n">
        <v>48</v>
      </c>
      <c r="BM48" s="53">
        <f>IF(S48&lt;&gt;"",UPPER(TRIM(S48)),IF(O48="","LOSE",O48))</f>
        <v/>
      </c>
      <c r="BN48" s="55">
        <f>IF(BM48="LOSE",1,IF(N(T48)&gt;0,T48,IF(N(P48)&gt;0,P48,MAX(1,G48))))</f>
        <v/>
      </c>
      <c r="BO48" s="58">
        <f>IF(BM48="LOSE",1,0)</f>
        <v/>
      </c>
      <c r="BP48" s="64">
        <f>IF(BO48=0,0,IF(N(R48)&gt;0,R48,IFERROR(VLOOKUP(D48,Parameter!$A$35:$C$64,3,0)+0,0)))</f>
        <v/>
      </c>
      <c r="BQ48" s="53">
        <f>IF(V48&lt;&gt;"",V48,U48)</f>
        <v/>
      </c>
      <c r="BR48" s="53">
        <f>IF(BQ48=1,"L1",IF(OR(BQ48=2,BQ48=3),"L23",IF(BQ48="Aussen","Aussen","-")))</f>
        <v/>
      </c>
      <c r="BS48" s="66">
        <f>IF(N(W48)&gt;0,W48,0)</f>
        <v/>
      </c>
      <c r="BT48" s="58">
        <f>IF(ISNUMBER(Z48),1,0)</f>
        <v/>
      </c>
      <c r="BU48" s="55">
        <f>N(Z48)</f>
        <v/>
      </c>
      <c r="BV48" s="55">
        <f>N(L48)+N(M48)</f>
        <v/>
      </c>
      <c r="BW48" s="55">
        <f>ROUNDUP(G48/BN48,0)</f>
        <v/>
      </c>
      <c r="BX48" s="55">
        <f>ROUNDUP(BU48/BN48,0)</f>
        <v/>
      </c>
      <c r="BY48" s="58">
        <f>IF(BO48=1,0,IFERROR(VLOOKUP(BM48,'Gebinde-Kategorie'!$A$5:$G$45,5,0)+0,0))</f>
        <v/>
      </c>
      <c r="BZ48" s="58">
        <f>IFERROR(IF(OR(BQ48=1,BQ48=2,BQ48=3),N(INDEX(Parameter!$I$5:$I$7,BQ48)),0),0)</f>
        <v/>
      </c>
    </row>
    <row r="49">
      <c r="A49" s="53" t="inlineStr">
        <is>
          <t>005061</t>
        </is>
      </c>
      <c r="B49" s="53" t="inlineStr">
        <is>
          <t>Ringwellschlauch</t>
        </is>
      </c>
      <c r="C49" s="53" t="inlineStr">
        <is>
          <t>F</t>
        </is>
      </c>
      <c r="D49" s="53" t="inlineStr">
        <is>
          <t>PAL</t>
        </is>
      </c>
      <c r="E49" s="53" t="inlineStr">
        <is>
          <t>C</t>
        </is>
      </c>
      <c r="F49" s="54" t="n">
        <v>196.56</v>
      </c>
      <c r="G49" s="55">
        <f>MAX(0,IF(Parameter!$B$20="Jahresanfang 2025 + Export",BG49+BF49,BF49))</f>
        <v/>
      </c>
      <c r="H49" s="55">
        <f>G49*F49</f>
        <v/>
      </c>
      <c r="I49" s="55">
        <f>BI49*Parameter!$B$18</f>
        <v/>
      </c>
      <c r="J49" s="56" t="n">
        <v>33</v>
      </c>
      <c r="K49" s="57" t="n">
        <v>0</v>
      </c>
      <c r="L49" s="55" t="n">
        <v>0</v>
      </c>
      <c r="M49" s="55" t="n">
        <v>1</v>
      </c>
      <c r="N49" s="58" t="n">
        <v>77</v>
      </c>
      <c r="O49" s="53" t="inlineStr">
        <is>
          <t>S81</t>
        </is>
      </c>
      <c r="P49" s="55" t="n">
        <v>34</v>
      </c>
      <c r="Q49" s="59">
        <f>IF(BO49=1,0,IFERROR(VLOOKUP(BM49,'Gebinde-Kategorie'!$A$5:$G$45,6,0)+0,0))</f>
        <v/>
      </c>
      <c r="R49" s="60" t="n"/>
      <c r="S49" s="61" t="n"/>
      <c r="T49" s="61" t="n"/>
      <c r="U49" s="53">
        <f>IF(A49="","",IF(IFERROR(VLOOKUP(D49,Parameter!$A$35:$C$64,2,0),"Nein")="2+3",IF(ISNUMBER(SEARCH("grosser Artikel",BJ49)),2,IFERROR(VLOOKUP(BM49,Parameter!$F$35:$G$64,2,0),2)),IF(OR(IFERROR(VLOOKUP(D49,Parameter!$A$35:$C$64,2,0),"Nein")="Nein",IFERROR(VLOOKUP(D49,Parameter!$A$35:$C$64,2,0),"Nein")=""),"-",VLOOKUP(D49,Parameter!$A$35:$C$64,2,0))))</f>
        <v/>
      </c>
      <c r="V49" s="61" t="n"/>
      <c r="W49" s="62" t="n"/>
      <c r="X49" s="55">
        <f>AM49</f>
        <v/>
      </c>
      <c r="Y49" s="55">
        <f>MAX(AM49,G49)</f>
        <v/>
      </c>
      <c r="Z49" s="63" t="n"/>
      <c r="AA49" s="55">
        <f>IF(LEFT(Cockpit!$C$5,1)="A",G49,IF(BT49=1,BU49,IF(LEFT(Cockpit!$C$5,1)="B",AE49,MAX(AE49,G49))))</f>
        <v/>
      </c>
      <c r="AB49" s="55">
        <f>IF(BO49=1,0,ROUNDUP(AA49/BN49,0))</f>
        <v/>
      </c>
      <c r="AC49" s="64">
        <f>IF(BO49=1,IF(AA49&lt;=0,0,BP49*MAX(1,IF(G49&gt;0,AA49/G49,1))),AB49*Q49)</f>
        <v/>
      </c>
      <c r="AD49" s="55">
        <f>AA49*F49</f>
        <v/>
      </c>
      <c r="AE49" s="55">
        <f>ROUNDUP(MAX(I49/IF(BS49&gt;0,BS49,MAX(0.1,N(Cockpit!$C$6))),BV49)/BN49,0)*BN49</f>
        <v/>
      </c>
      <c r="AF49" s="56">
        <f>IF(AC49&gt;0,I49/AC49,-1)</f>
        <v/>
      </c>
      <c r="AG49" s="56">
        <f>IF(AND(OR(BR49="L1",BR49="L23"),AC49&gt;0),SUMIFS($AC$7:$AC$1570,$BR$7:$BR$1570,BR49,$AF$7:$AF$1570,"&gt;"&amp;AF49)+SUMIFS($AC$7:$AC$1570,$BR$7:$BR$1570,BR49,$AF$7:$AF$1570,AF49,$BL$7:$BL$1570,"&lt;="&amp;BL49),"")</f>
        <v/>
      </c>
      <c r="AH49" s="65">
        <f>IF(AG49="",0,MAX(0,MIN(1,(IF(BR49="L1",Parameter!$K$5,Parameter!$K$6+Parameter!$K$7)-(AG49-AC49))/AC49)))</f>
        <v/>
      </c>
      <c r="AI49" s="55">
        <f>IF(LEFT(Cockpit!$I$5,1)="A",G49,IF(BT49=1,BU49,IF(LEFT(Cockpit!$I$5,1)="B",AM49,MAX(AM49,G49))))</f>
        <v/>
      </c>
      <c r="AJ49" s="55">
        <f>IF(BO49=1,0,ROUNDUP(AI49/BN49,0))</f>
        <v/>
      </c>
      <c r="AK49" s="64">
        <f>IF(BO49=1,IF(AI49&lt;=0,0,BP49*MAX(1,IF(G49&gt;0,AI49/G49,1))),AJ49*Q49)</f>
        <v/>
      </c>
      <c r="AL49" s="55">
        <f>AI49*F49</f>
        <v/>
      </c>
      <c r="AM49" s="55">
        <f>ROUNDUP(MAX(I49/IF(BS49&gt;0,BS49,MAX(0.1,N(Cockpit!$I$6))),BV49)/BN49,0)*BN49</f>
        <v/>
      </c>
      <c r="AN49" s="56">
        <f>IF(AK49&gt;0,I49/AK49,-1)</f>
        <v/>
      </c>
      <c r="AO49" s="56">
        <f>IF(AND(OR(BR49="L1",BR49="L23"),AK49&gt;0),SUMIFS($AK$7:$AK$1570,$BR$7:$BR$1570,BR49,$AN$7:$AN$1570,"&gt;"&amp;AN49)+SUMIFS($AK$7:$AK$1570,$BR$7:$BR$1570,BR49,$AN$7:$AN$1570,AN49,$BL$7:$BL$1570,"&lt;="&amp;BL49),"")</f>
        <v/>
      </c>
      <c r="AP49" s="65">
        <f>IF(AO49="",0,MAX(0,MIN(1,(IF(BR49="L1",Parameter!$K$5,Parameter!$K$6+Parameter!$K$7)-(AO49-AK49))/AK49)))</f>
        <v/>
      </c>
      <c r="AQ49" s="55">
        <f>IF(LEFT(Cockpit!$O$5,1)="A",G49,IF(BT49=1,BU49,IF(LEFT(Cockpit!$O$5,1)="B",AU49,MAX(AU49,G49))))</f>
        <v/>
      </c>
      <c r="AR49" s="55">
        <f>IF(BO49=1,0,ROUNDUP(AQ49/BN49,0))</f>
        <v/>
      </c>
      <c r="AS49" s="64">
        <f>IF(BO49=1,IF(AQ49&lt;=0,0,BP49*MAX(1,IF(G49&gt;0,AQ49/G49,1))),AR49*Q49)</f>
        <v/>
      </c>
      <c r="AT49" s="55">
        <f>AQ49*F49</f>
        <v/>
      </c>
      <c r="AU49" s="55">
        <f>ROUNDUP(MAX(I49/IF(BS49&gt;0,BS49,MAX(0.1,N(Cockpit!$O$6))),BV49)/BN49,0)*BN49</f>
        <v/>
      </c>
      <c r="AV49" s="56">
        <f>IF(AS49&gt;0,I49/AS49,-1)</f>
        <v/>
      </c>
      <c r="AW49" s="56">
        <f>IF(AND(OR(BR49="L1",BR49="L23"),AS49&gt;0),SUMIFS($AS$7:$AS$1570,$BR$7:$BR$1570,BR49,$AV$7:$AV$1570,"&gt;"&amp;AV49)+SUMIFS($AS$7:$AS$1570,$BR$7:$BR$1570,BR49,$AV$7:$AV$1570,AV49,$BL$7:$BL$1570,"&lt;="&amp;BL49),"")</f>
        <v/>
      </c>
      <c r="AX49" s="65">
        <f>IF(AW49="",0,MAX(0,MIN(1,(IF(BR49="L1",Parameter!$K$5,Parameter!$K$6+Parameter!$K$7)-(AW49-AS49))/AS49)))</f>
        <v/>
      </c>
      <c r="AY49" s="53">
        <f>IF(AC49&lt;=0,"",IF(BR49="Aussen","Aussenlager",IF(BR49="-","Nicht im Lift",IF(AH49&gt;=1,"Lift",IF(AH49&lt;=0,"Aussenlager","teilweise")))))</f>
        <v/>
      </c>
      <c r="AZ49" s="53">
        <f>IF(AK49&lt;=0,"",IF(BR49="Aussen","Aussenlager",IF(BR49="-","Nicht im Lift",IF(AP49&gt;=1,"Lift",IF(AP49&lt;=0,"Aussenlager","teilweise")))))</f>
        <v/>
      </c>
      <c r="BA49" s="53">
        <f>IF(AS49&lt;=0,"",IF(BR49="Aussen","Aussenlager",IF(BR49="-","Nicht im Lift",IF(AX49&gt;=1,"Lift",IF(AX49&lt;=0,"Aussenlager","teilweise")))))</f>
        <v/>
      </c>
      <c r="BB49" s="53">
        <f>IF(A49="","",IF(BK49=1,"Neu; ","")&amp;IF(AND(BK49=0,BF49&lt;0),"negativer Bestand (Export "&amp;BF49&amp;"); ","")&amp;IF(I49&lt;=0,"Kein Verbrauch; ","")&amp;IF(BO49=1,"Lose – Fläche geschätzt; ","")&amp;IF(G49&gt;AM49,"Überbestand "&amp;ROUND(G49-AM49,0)&amp;" Stk / CHF "&amp;ROUND((G49-AM49)*F49,0)&amp;"; ","")&amp;IF(AND(BT49=1,BU49&lt;BV49),"MAX &lt; MB+LG; ","")&amp;IF(AND(BZ49&gt;0,BY49*10&gt;BZ49),"zu hoch für Tablar; ","")&amp;IF(AND(BK49=0,OR(BT49=1,V49&lt;&gt;"",S49&lt;&gt;"",T49&lt;&gt;"",W49&lt;&gt;"")),"manuell übersteuert; ","")&amp;IF(AND(BO49=0,Q49=0),"Gebinde unbekannt; ","")&amp;IF(AND(BO49=0,N(T49)&lt;=0,N(P49)&lt;=0),"Menge pro Gebinde fehlt (Ist = 1 Gebinde); ","")&amp;BJ49)</f>
        <v/>
      </c>
      <c r="BC49" s="53" t="n"/>
      <c r="BD49" s="53" t="n"/>
      <c r="BE49" s="61" t="n"/>
      <c r="BF49" s="55" t="n">
        <v>34</v>
      </c>
      <c r="BG49" s="55" t="n">
        <v>32</v>
      </c>
      <c r="BH49" s="54" t="n">
        <v>6683.04</v>
      </c>
      <c r="BI49" s="55" t="n">
        <v>0</v>
      </c>
      <c r="BJ49" s="53" t="inlineStr"/>
      <c r="BK49" s="58" t="n">
        <v>0</v>
      </c>
      <c r="BL49" s="58" t="n">
        <v>49</v>
      </c>
      <c r="BM49" s="53">
        <f>IF(S49&lt;&gt;"",UPPER(TRIM(S49)),IF(O49="","LOSE",O49))</f>
        <v/>
      </c>
      <c r="BN49" s="55">
        <f>IF(BM49="LOSE",1,IF(N(T49)&gt;0,T49,IF(N(P49)&gt;0,P49,MAX(1,G49))))</f>
        <v/>
      </c>
      <c r="BO49" s="58">
        <f>IF(BM49="LOSE",1,0)</f>
        <v/>
      </c>
      <c r="BP49" s="64">
        <f>IF(BO49=0,0,IF(N(R49)&gt;0,R49,IFERROR(VLOOKUP(D49,Parameter!$A$35:$C$64,3,0)+0,0)))</f>
        <v/>
      </c>
      <c r="BQ49" s="53">
        <f>IF(V49&lt;&gt;"",V49,U49)</f>
        <v/>
      </c>
      <c r="BR49" s="53">
        <f>IF(BQ49=1,"L1",IF(OR(BQ49=2,BQ49=3),"L23",IF(BQ49="Aussen","Aussen","-")))</f>
        <v/>
      </c>
      <c r="BS49" s="66">
        <f>IF(N(W49)&gt;0,W49,0)</f>
        <v/>
      </c>
      <c r="BT49" s="58">
        <f>IF(ISNUMBER(Z49),1,0)</f>
        <v/>
      </c>
      <c r="BU49" s="55">
        <f>N(Z49)</f>
        <v/>
      </c>
      <c r="BV49" s="55">
        <f>N(L49)+N(M49)</f>
        <v/>
      </c>
      <c r="BW49" s="55">
        <f>ROUNDUP(G49/BN49,0)</f>
        <v/>
      </c>
      <c r="BX49" s="55">
        <f>ROUNDUP(BU49/BN49,0)</f>
        <v/>
      </c>
      <c r="BY49" s="58">
        <f>IF(BO49=1,0,IFERROR(VLOOKUP(BM49,'Gebinde-Kategorie'!$A$5:$G$45,5,0)+0,0))</f>
        <v/>
      </c>
      <c r="BZ49" s="58">
        <f>IFERROR(IF(OR(BQ49=1,BQ49=2,BQ49=3),N(INDEX(Parameter!$I$5:$I$7,BQ49)),0),0)</f>
        <v/>
      </c>
    </row>
    <row r="50">
      <c r="A50" s="53" t="inlineStr">
        <is>
          <t>106792</t>
        </is>
      </c>
      <c r="B50" s="53" t="inlineStr">
        <is>
          <t>Pilotventil</t>
        </is>
      </c>
      <c r="C50" s="53" t="inlineStr">
        <is>
          <t>F</t>
        </is>
      </c>
      <c r="D50" s="53" t="inlineStr">
        <is>
          <t>KTL</t>
        </is>
      </c>
      <c r="E50" s="53" t="inlineStr">
        <is>
          <t>C</t>
        </is>
      </c>
      <c r="F50" s="54" t="n">
        <v>177.93</v>
      </c>
      <c r="G50" s="55">
        <f>MAX(0,IF(Parameter!$B$20="Jahresanfang 2025 + Export",BG50+BF50,BF50))</f>
        <v/>
      </c>
      <c r="H50" s="55">
        <f>G50*F50</f>
        <v/>
      </c>
      <c r="I50" s="55">
        <f>BI50*Parameter!$B$18</f>
        <v/>
      </c>
      <c r="J50" s="56" t="n">
        <v>31</v>
      </c>
      <c r="K50" s="57" t="n">
        <v>4.032258064516129</v>
      </c>
      <c r="L50" s="55" t="n">
        <v>20</v>
      </c>
      <c r="M50" s="55" t="n">
        <v>40</v>
      </c>
      <c r="N50" s="58" t="n">
        <v>30</v>
      </c>
      <c r="O50" s="53" t="inlineStr">
        <is>
          <t>S62</t>
        </is>
      </c>
      <c r="P50" s="55" t="n">
        <v>80</v>
      </c>
      <c r="Q50" s="59">
        <f>IF(BO50=1,0,IFERROR(VLOOKUP(BM50,'Gebinde-Kategorie'!$A$5:$G$45,6,0)+0,0))</f>
        <v/>
      </c>
      <c r="R50" s="60" t="n"/>
      <c r="S50" s="61" t="n"/>
      <c r="T50" s="61" t="n"/>
      <c r="U50" s="53">
        <f>IF(A50="","",IF(IFERROR(VLOOKUP(D50,Parameter!$A$35:$C$64,2,0),"Nein")="2+3",IF(ISNUMBER(SEARCH("grosser Artikel",BJ50)),2,IFERROR(VLOOKUP(BM50,Parameter!$F$35:$G$64,2,0),2)),IF(OR(IFERROR(VLOOKUP(D50,Parameter!$A$35:$C$64,2,0),"Nein")="Nein",IFERROR(VLOOKUP(D50,Parameter!$A$35:$C$64,2,0),"Nein")=""),"-",VLOOKUP(D50,Parameter!$A$35:$C$64,2,0))))</f>
        <v/>
      </c>
      <c r="V50" s="61" t="n"/>
      <c r="W50" s="62" t="n"/>
      <c r="X50" s="55">
        <f>AM50</f>
        <v/>
      </c>
      <c r="Y50" s="55">
        <f>MAX(AM50,G50)</f>
        <v/>
      </c>
      <c r="Z50" s="63" t="n"/>
      <c r="AA50" s="55">
        <f>IF(LEFT(Cockpit!$C$5,1)="A",G50,IF(BT50=1,BU50,IF(LEFT(Cockpit!$C$5,1)="B",AE50,MAX(AE50,G50))))</f>
        <v/>
      </c>
      <c r="AB50" s="55">
        <f>IF(BO50=1,0,ROUNDUP(AA50/BN50,0))</f>
        <v/>
      </c>
      <c r="AC50" s="64">
        <f>IF(BO50=1,IF(AA50&lt;=0,0,BP50*MAX(1,IF(G50&gt;0,AA50/G50,1))),AB50*Q50)</f>
        <v/>
      </c>
      <c r="AD50" s="55">
        <f>AA50*F50</f>
        <v/>
      </c>
      <c r="AE50" s="55">
        <f>ROUNDUP(MAX(I50/IF(BS50&gt;0,BS50,MAX(0.1,N(Cockpit!$C$6))),BV50)/BN50,0)*BN50</f>
        <v/>
      </c>
      <c r="AF50" s="56">
        <f>IF(AC50&gt;0,I50/AC50,-1)</f>
        <v/>
      </c>
      <c r="AG50" s="56">
        <f>IF(AND(OR(BR50="L1",BR50="L23"),AC50&gt;0),SUMIFS($AC$7:$AC$1570,$BR$7:$BR$1570,BR50,$AF$7:$AF$1570,"&gt;"&amp;AF50)+SUMIFS($AC$7:$AC$1570,$BR$7:$BR$1570,BR50,$AF$7:$AF$1570,AF50,$BL$7:$BL$1570,"&lt;="&amp;BL50),"")</f>
        <v/>
      </c>
      <c r="AH50" s="65">
        <f>IF(AG50="",0,MAX(0,MIN(1,(IF(BR50="L1",Parameter!$K$5,Parameter!$K$6+Parameter!$K$7)-(AG50-AC50))/AC50)))</f>
        <v/>
      </c>
      <c r="AI50" s="55">
        <f>IF(LEFT(Cockpit!$I$5,1)="A",G50,IF(BT50=1,BU50,IF(LEFT(Cockpit!$I$5,1)="B",AM50,MAX(AM50,G50))))</f>
        <v/>
      </c>
      <c r="AJ50" s="55">
        <f>IF(BO50=1,0,ROUNDUP(AI50/BN50,0))</f>
        <v/>
      </c>
      <c r="AK50" s="64">
        <f>IF(BO50=1,IF(AI50&lt;=0,0,BP50*MAX(1,IF(G50&gt;0,AI50/G50,1))),AJ50*Q50)</f>
        <v/>
      </c>
      <c r="AL50" s="55">
        <f>AI50*F50</f>
        <v/>
      </c>
      <c r="AM50" s="55">
        <f>ROUNDUP(MAX(I50/IF(BS50&gt;0,BS50,MAX(0.1,N(Cockpit!$I$6))),BV50)/BN50,0)*BN50</f>
        <v/>
      </c>
      <c r="AN50" s="56">
        <f>IF(AK50&gt;0,I50/AK50,-1)</f>
        <v/>
      </c>
      <c r="AO50" s="56">
        <f>IF(AND(OR(BR50="L1",BR50="L23"),AK50&gt;0),SUMIFS($AK$7:$AK$1570,$BR$7:$BR$1570,BR50,$AN$7:$AN$1570,"&gt;"&amp;AN50)+SUMIFS($AK$7:$AK$1570,$BR$7:$BR$1570,BR50,$AN$7:$AN$1570,AN50,$BL$7:$BL$1570,"&lt;="&amp;BL50),"")</f>
        <v/>
      </c>
      <c r="AP50" s="65">
        <f>IF(AO50="",0,MAX(0,MIN(1,(IF(BR50="L1",Parameter!$K$5,Parameter!$K$6+Parameter!$K$7)-(AO50-AK50))/AK50)))</f>
        <v/>
      </c>
      <c r="AQ50" s="55">
        <f>IF(LEFT(Cockpit!$O$5,1)="A",G50,IF(BT50=1,BU50,IF(LEFT(Cockpit!$O$5,1)="B",AU50,MAX(AU50,G50))))</f>
        <v/>
      </c>
      <c r="AR50" s="55">
        <f>IF(BO50=1,0,ROUNDUP(AQ50/BN50,0))</f>
        <v/>
      </c>
      <c r="AS50" s="64">
        <f>IF(BO50=1,IF(AQ50&lt;=0,0,BP50*MAX(1,IF(G50&gt;0,AQ50/G50,1))),AR50*Q50)</f>
        <v/>
      </c>
      <c r="AT50" s="55">
        <f>AQ50*F50</f>
        <v/>
      </c>
      <c r="AU50" s="55">
        <f>ROUNDUP(MAX(I50/IF(BS50&gt;0,BS50,MAX(0.1,N(Cockpit!$O$6))),BV50)/BN50,0)*BN50</f>
        <v/>
      </c>
      <c r="AV50" s="56">
        <f>IF(AS50&gt;0,I50/AS50,-1)</f>
        <v/>
      </c>
      <c r="AW50" s="56">
        <f>IF(AND(OR(BR50="L1",BR50="L23"),AS50&gt;0),SUMIFS($AS$7:$AS$1570,$BR$7:$BR$1570,BR50,$AV$7:$AV$1570,"&gt;"&amp;AV50)+SUMIFS($AS$7:$AS$1570,$BR$7:$BR$1570,BR50,$AV$7:$AV$1570,AV50,$BL$7:$BL$1570,"&lt;="&amp;BL50),"")</f>
        <v/>
      </c>
      <c r="AX50" s="65">
        <f>IF(AW50="",0,MAX(0,MIN(1,(IF(BR50="L1",Parameter!$K$5,Parameter!$K$6+Parameter!$K$7)-(AW50-AS50))/AS50)))</f>
        <v/>
      </c>
      <c r="AY50" s="53">
        <f>IF(AC50&lt;=0,"",IF(BR50="Aussen","Aussenlager",IF(BR50="-","Nicht im Lift",IF(AH50&gt;=1,"Lift",IF(AH50&lt;=0,"Aussenlager","teilweise")))))</f>
        <v/>
      </c>
      <c r="AZ50" s="53">
        <f>IF(AK50&lt;=0,"",IF(BR50="Aussen","Aussenlager",IF(BR50="-","Nicht im Lift",IF(AP50&gt;=1,"Lift",IF(AP50&lt;=0,"Aussenlager","teilweise")))))</f>
        <v/>
      </c>
      <c r="BA50" s="53">
        <f>IF(AS50&lt;=0,"",IF(BR50="Aussen","Aussenlager",IF(BR50="-","Nicht im Lift",IF(AX50&gt;=1,"Lift",IF(AX50&lt;=0,"Aussenlager","teilweise")))))</f>
        <v/>
      </c>
      <c r="BB50" s="53">
        <f>IF(A50="","",IF(BK50=1,"Neu; ","")&amp;IF(AND(BK50=0,BF50&lt;0),"negativer Bestand (Export "&amp;BF50&amp;"); ","")&amp;IF(I50&lt;=0,"Kein Verbrauch; ","")&amp;IF(BO50=1,"Lose – Fläche geschätzt; ","")&amp;IF(G50&gt;AM50,"Überbestand "&amp;ROUND(G50-AM50,0)&amp;" Stk / CHF "&amp;ROUND((G50-AM50)*F50,0)&amp;"; ","")&amp;IF(AND(BT50=1,BU50&lt;BV50),"MAX &lt; MB+LG; ","")&amp;IF(AND(BZ50&gt;0,BY50*10&gt;BZ50),"zu hoch für Tablar; ","")&amp;IF(AND(BK50=0,OR(BT50=1,V50&lt;&gt;"",S50&lt;&gt;"",T50&lt;&gt;"",W50&lt;&gt;"")),"manuell übersteuert; ","")&amp;IF(AND(BO50=0,Q50=0),"Gebinde unbekannt; ","")&amp;IF(AND(BO50=0,N(T50)&lt;=0,N(P50)&lt;=0),"Menge pro Gebinde fehlt (Ist = 1 Gebinde); ","")&amp;BJ50)</f>
        <v/>
      </c>
      <c r="BC50" s="53" t="n"/>
      <c r="BD50" s="53" t="n"/>
      <c r="BE50" s="61" t="n"/>
      <c r="BF50" s="55" t="n">
        <v>36</v>
      </c>
      <c r="BG50" s="55" t="n">
        <v>19</v>
      </c>
      <c r="BH50" s="54" t="n">
        <v>6622.65</v>
      </c>
      <c r="BI50" s="55" t="n">
        <v>125</v>
      </c>
      <c r="BJ50" s="53" t="inlineStr"/>
      <c r="BK50" s="58" t="n">
        <v>0</v>
      </c>
      <c r="BL50" s="58" t="n">
        <v>50</v>
      </c>
      <c r="BM50" s="53">
        <f>IF(S50&lt;&gt;"",UPPER(TRIM(S50)),IF(O50="","LOSE",O50))</f>
        <v/>
      </c>
      <c r="BN50" s="55">
        <f>IF(BM50="LOSE",1,IF(N(T50)&gt;0,T50,IF(N(P50)&gt;0,P50,MAX(1,G50))))</f>
        <v/>
      </c>
      <c r="BO50" s="58">
        <f>IF(BM50="LOSE",1,0)</f>
        <v/>
      </c>
      <c r="BP50" s="64">
        <f>IF(BO50=0,0,IF(N(R50)&gt;0,R50,IFERROR(VLOOKUP(D50,Parameter!$A$35:$C$64,3,0)+0,0)))</f>
        <v/>
      </c>
      <c r="BQ50" s="53">
        <f>IF(V50&lt;&gt;"",V50,U50)</f>
        <v/>
      </c>
      <c r="BR50" s="53">
        <f>IF(BQ50=1,"L1",IF(OR(BQ50=2,BQ50=3),"L23",IF(BQ50="Aussen","Aussen","-")))</f>
        <v/>
      </c>
      <c r="BS50" s="66">
        <f>IF(N(W50)&gt;0,W50,0)</f>
        <v/>
      </c>
      <c r="BT50" s="58">
        <f>IF(ISNUMBER(Z50),1,0)</f>
        <v/>
      </c>
      <c r="BU50" s="55">
        <f>N(Z50)</f>
        <v/>
      </c>
      <c r="BV50" s="55">
        <f>N(L50)+N(M50)</f>
        <v/>
      </c>
      <c r="BW50" s="55">
        <f>ROUNDUP(G50/BN50,0)</f>
        <v/>
      </c>
      <c r="BX50" s="55">
        <f>ROUNDUP(BU50/BN50,0)</f>
        <v/>
      </c>
      <c r="BY50" s="58">
        <f>IF(BO50=1,0,IFERROR(VLOOKUP(BM50,'Gebinde-Kategorie'!$A$5:$G$45,5,0)+0,0))</f>
        <v/>
      </c>
      <c r="BZ50" s="58">
        <f>IFERROR(IF(OR(BQ50=1,BQ50=2,BQ50=3),N(INDEX(Parameter!$I$5:$I$7,BQ50)),0),0)</f>
        <v/>
      </c>
    </row>
    <row r="51">
      <c r="A51" s="53" t="inlineStr">
        <is>
          <t>106100</t>
        </is>
      </c>
      <c r="B51" s="53" t="inlineStr">
        <is>
          <t>Deckel zu Druckleitungsgehäuse SPGr</t>
        </is>
      </c>
      <c r="C51" s="53" t="inlineStr">
        <is>
          <t>F</t>
        </is>
      </c>
      <c r="D51" s="53" t="inlineStr">
        <is>
          <t>KTL</t>
        </is>
      </c>
      <c r="E51" s="53" t="inlineStr">
        <is>
          <t>C</t>
        </is>
      </c>
      <c r="F51" s="54" t="n">
        <v>16.16</v>
      </c>
      <c r="G51" s="55">
        <f>MAX(0,IF(Parameter!$B$20="Jahresanfang 2025 + Export",BG51+BF51,BF51))</f>
        <v/>
      </c>
      <c r="H51" s="55">
        <f>G51*F51</f>
        <v/>
      </c>
      <c r="I51" s="55">
        <f>BI51*Parameter!$B$18</f>
        <v/>
      </c>
      <c r="J51" s="56" t="n">
        <v>155.5</v>
      </c>
      <c r="K51" s="57" t="n">
        <v>4.591639871382637</v>
      </c>
      <c r="L51" s="55" t="n">
        <v>110</v>
      </c>
      <c r="M51" s="55" t="n">
        <v>330</v>
      </c>
      <c r="N51" s="58" t="n">
        <v>56</v>
      </c>
      <c r="O51" s="53" t="inlineStr">
        <is>
          <t>S52</t>
        </is>
      </c>
      <c r="P51" s="55" t="n">
        <v>174</v>
      </c>
      <c r="Q51" s="59">
        <f>IF(BO51=1,0,IFERROR(VLOOKUP(BM51,'Gebinde-Kategorie'!$A$5:$G$45,6,0)+0,0))</f>
        <v/>
      </c>
      <c r="R51" s="60" t="n"/>
      <c r="S51" s="61" t="n"/>
      <c r="T51" s="61" t="n"/>
      <c r="U51" s="53">
        <f>IF(A51="","",IF(IFERROR(VLOOKUP(D51,Parameter!$A$35:$C$64,2,0),"Nein")="2+3",IF(ISNUMBER(SEARCH("grosser Artikel",BJ51)),2,IFERROR(VLOOKUP(BM51,Parameter!$F$35:$G$64,2,0),2)),IF(OR(IFERROR(VLOOKUP(D51,Parameter!$A$35:$C$64,2,0),"Nein")="Nein",IFERROR(VLOOKUP(D51,Parameter!$A$35:$C$64,2,0),"Nein")=""),"-",VLOOKUP(D51,Parameter!$A$35:$C$64,2,0))))</f>
        <v/>
      </c>
      <c r="V51" s="61" t="n"/>
      <c r="W51" s="62" t="n"/>
      <c r="X51" s="55">
        <f>AM51</f>
        <v/>
      </c>
      <c r="Y51" s="55">
        <f>MAX(AM51,G51)</f>
        <v/>
      </c>
      <c r="Z51" s="63" t="n"/>
      <c r="AA51" s="55">
        <f>IF(LEFT(Cockpit!$C$5,1)="A",G51,IF(BT51=1,BU51,IF(LEFT(Cockpit!$C$5,1)="B",AE51,MAX(AE51,G51))))</f>
        <v/>
      </c>
      <c r="AB51" s="55">
        <f>IF(BO51=1,0,ROUNDUP(AA51/BN51,0))</f>
        <v/>
      </c>
      <c r="AC51" s="64">
        <f>IF(BO51=1,IF(AA51&lt;=0,0,BP51*MAX(1,IF(G51&gt;0,AA51/G51,1))),AB51*Q51)</f>
        <v/>
      </c>
      <c r="AD51" s="55">
        <f>AA51*F51</f>
        <v/>
      </c>
      <c r="AE51" s="55">
        <f>ROUNDUP(MAX(I51/IF(BS51&gt;0,BS51,MAX(0.1,N(Cockpit!$C$6))),BV51)/BN51,0)*BN51</f>
        <v/>
      </c>
      <c r="AF51" s="56">
        <f>IF(AC51&gt;0,I51/AC51,-1)</f>
        <v/>
      </c>
      <c r="AG51" s="56">
        <f>IF(AND(OR(BR51="L1",BR51="L23"),AC51&gt;0),SUMIFS($AC$7:$AC$1570,$BR$7:$BR$1570,BR51,$AF$7:$AF$1570,"&gt;"&amp;AF51)+SUMIFS($AC$7:$AC$1570,$BR$7:$BR$1570,BR51,$AF$7:$AF$1570,AF51,$BL$7:$BL$1570,"&lt;="&amp;BL51),"")</f>
        <v/>
      </c>
      <c r="AH51" s="65">
        <f>IF(AG51="",0,MAX(0,MIN(1,(IF(BR51="L1",Parameter!$K$5,Parameter!$K$6+Parameter!$K$7)-(AG51-AC51))/AC51)))</f>
        <v/>
      </c>
      <c r="AI51" s="55">
        <f>IF(LEFT(Cockpit!$I$5,1)="A",G51,IF(BT51=1,BU51,IF(LEFT(Cockpit!$I$5,1)="B",AM51,MAX(AM51,G51))))</f>
        <v/>
      </c>
      <c r="AJ51" s="55">
        <f>IF(BO51=1,0,ROUNDUP(AI51/BN51,0))</f>
        <v/>
      </c>
      <c r="AK51" s="64">
        <f>IF(BO51=1,IF(AI51&lt;=0,0,BP51*MAX(1,IF(G51&gt;0,AI51/G51,1))),AJ51*Q51)</f>
        <v/>
      </c>
      <c r="AL51" s="55">
        <f>AI51*F51</f>
        <v/>
      </c>
      <c r="AM51" s="55">
        <f>ROUNDUP(MAX(I51/IF(BS51&gt;0,BS51,MAX(0.1,N(Cockpit!$I$6))),BV51)/BN51,0)*BN51</f>
        <v/>
      </c>
      <c r="AN51" s="56">
        <f>IF(AK51&gt;0,I51/AK51,-1)</f>
        <v/>
      </c>
      <c r="AO51" s="56">
        <f>IF(AND(OR(BR51="L1",BR51="L23"),AK51&gt;0),SUMIFS($AK$7:$AK$1570,$BR$7:$BR$1570,BR51,$AN$7:$AN$1570,"&gt;"&amp;AN51)+SUMIFS($AK$7:$AK$1570,$BR$7:$BR$1570,BR51,$AN$7:$AN$1570,AN51,$BL$7:$BL$1570,"&lt;="&amp;BL51),"")</f>
        <v/>
      </c>
      <c r="AP51" s="65">
        <f>IF(AO51="",0,MAX(0,MIN(1,(IF(BR51="L1",Parameter!$K$5,Parameter!$K$6+Parameter!$K$7)-(AO51-AK51))/AK51)))</f>
        <v/>
      </c>
      <c r="AQ51" s="55">
        <f>IF(LEFT(Cockpit!$O$5,1)="A",G51,IF(BT51=1,BU51,IF(LEFT(Cockpit!$O$5,1)="B",AU51,MAX(AU51,G51))))</f>
        <v/>
      </c>
      <c r="AR51" s="55">
        <f>IF(BO51=1,0,ROUNDUP(AQ51/BN51,0))</f>
        <v/>
      </c>
      <c r="AS51" s="64">
        <f>IF(BO51=1,IF(AQ51&lt;=0,0,BP51*MAX(1,IF(G51&gt;0,AQ51/G51,1))),AR51*Q51)</f>
        <v/>
      </c>
      <c r="AT51" s="55">
        <f>AQ51*F51</f>
        <v/>
      </c>
      <c r="AU51" s="55">
        <f>ROUNDUP(MAX(I51/IF(BS51&gt;0,BS51,MAX(0.1,N(Cockpit!$O$6))),BV51)/BN51,0)*BN51</f>
        <v/>
      </c>
      <c r="AV51" s="56">
        <f>IF(AS51&gt;0,I51/AS51,-1)</f>
        <v/>
      </c>
      <c r="AW51" s="56">
        <f>IF(AND(OR(BR51="L1",BR51="L23"),AS51&gt;0),SUMIFS($AS$7:$AS$1570,$BR$7:$BR$1570,BR51,$AV$7:$AV$1570,"&gt;"&amp;AV51)+SUMIFS($AS$7:$AS$1570,$BR$7:$BR$1570,BR51,$AV$7:$AV$1570,AV51,$BL$7:$BL$1570,"&lt;="&amp;BL51),"")</f>
        <v/>
      </c>
      <c r="AX51" s="65">
        <f>IF(AW51="",0,MAX(0,MIN(1,(IF(BR51="L1",Parameter!$K$5,Parameter!$K$6+Parameter!$K$7)-(AW51-AS51))/AS51)))</f>
        <v/>
      </c>
      <c r="AY51" s="53">
        <f>IF(AC51&lt;=0,"",IF(BR51="Aussen","Aussenlager",IF(BR51="-","Nicht im Lift",IF(AH51&gt;=1,"Lift",IF(AH51&lt;=0,"Aussenlager","teilweise")))))</f>
        <v/>
      </c>
      <c r="AZ51" s="53">
        <f>IF(AK51&lt;=0,"",IF(BR51="Aussen","Aussenlager",IF(BR51="-","Nicht im Lift",IF(AP51&gt;=1,"Lift",IF(AP51&lt;=0,"Aussenlager","teilweise")))))</f>
        <v/>
      </c>
      <c r="BA51" s="53">
        <f>IF(AS51&lt;=0,"",IF(BR51="Aussen","Aussenlager",IF(BR51="-","Nicht im Lift",IF(AX51&gt;=1,"Lift",IF(AX51&lt;=0,"Aussenlager","teilweise")))))</f>
        <v/>
      </c>
      <c r="BB51" s="53">
        <f>IF(A51="","",IF(BK51=1,"Neu; ","")&amp;IF(AND(BK51=0,BF51&lt;0),"negativer Bestand (Export "&amp;BF51&amp;"); ","")&amp;IF(I51&lt;=0,"Kein Verbrauch; ","")&amp;IF(BO51=1,"Lose – Fläche geschätzt; ","")&amp;IF(G51&gt;AM51,"Überbestand "&amp;ROUND(G51-AM51,0)&amp;" Stk / CHF "&amp;ROUND((G51-AM51)*F51,0)&amp;"; ","")&amp;IF(AND(BT51=1,BU51&lt;BV51),"MAX &lt; MB+LG; ","")&amp;IF(AND(BZ51&gt;0,BY51*10&gt;BZ51),"zu hoch für Tablar; ","")&amp;IF(AND(BK51=0,OR(BT51=1,V51&lt;&gt;"",S51&lt;&gt;"",T51&lt;&gt;"",W51&lt;&gt;"")),"manuell übersteuert; ","")&amp;IF(AND(BO51=0,Q51=0),"Gebinde unbekannt; ","")&amp;IF(AND(BO51=0,N(T51)&lt;=0,N(P51)&lt;=0),"Menge pro Gebinde fehlt (Ist = 1 Gebinde); ","")&amp;BJ51)</f>
        <v/>
      </c>
      <c r="BC51" s="53" t="n"/>
      <c r="BD51" s="53" t="n"/>
      <c r="BE51" s="61" t="n"/>
      <c r="BF51" s="55" t="n">
        <v>399</v>
      </c>
      <c r="BG51" s="55" t="n">
        <v>45</v>
      </c>
      <c r="BH51" s="54" t="n">
        <v>6570.690000000001</v>
      </c>
      <c r="BI51" s="55" t="n">
        <v>714</v>
      </c>
      <c r="BJ51" s="53" t="inlineStr"/>
      <c r="BK51" s="58" t="n">
        <v>0</v>
      </c>
      <c r="BL51" s="58" t="n">
        <v>51</v>
      </c>
      <c r="BM51" s="53">
        <f>IF(S51&lt;&gt;"",UPPER(TRIM(S51)),IF(O51="","LOSE",O51))</f>
        <v/>
      </c>
      <c r="BN51" s="55">
        <f>IF(BM51="LOSE",1,IF(N(T51)&gt;0,T51,IF(N(P51)&gt;0,P51,MAX(1,G51))))</f>
        <v/>
      </c>
      <c r="BO51" s="58">
        <f>IF(BM51="LOSE",1,0)</f>
        <v/>
      </c>
      <c r="BP51" s="64">
        <f>IF(BO51=0,0,IF(N(R51)&gt;0,R51,IFERROR(VLOOKUP(D51,Parameter!$A$35:$C$64,3,0)+0,0)))</f>
        <v/>
      </c>
      <c r="BQ51" s="53">
        <f>IF(V51&lt;&gt;"",V51,U51)</f>
        <v/>
      </c>
      <c r="BR51" s="53">
        <f>IF(BQ51=1,"L1",IF(OR(BQ51=2,BQ51=3),"L23",IF(BQ51="Aussen","Aussen","-")))</f>
        <v/>
      </c>
      <c r="BS51" s="66">
        <f>IF(N(W51)&gt;0,W51,0)</f>
        <v/>
      </c>
      <c r="BT51" s="58">
        <f>IF(ISNUMBER(Z51),1,0)</f>
        <v/>
      </c>
      <c r="BU51" s="55">
        <f>N(Z51)</f>
        <v/>
      </c>
      <c r="BV51" s="55">
        <f>N(L51)+N(M51)</f>
        <v/>
      </c>
      <c r="BW51" s="55">
        <f>ROUNDUP(G51/BN51,0)</f>
        <v/>
      </c>
      <c r="BX51" s="55">
        <f>ROUNDUP(BU51/BN51,0)</f>
        <v/>
      </c>
      <c r="BY51" s="58">
        <f>IF(BO51=1,0,IFERROR(VLOOKUP(BM51,'Gebinde-Kategorie'!$A$5:$G$45,5,0)+0,0))</f>
        <v/>
      </c>
      <c r="BZ51" s="58">
        <f>IFERROR(IF(OR(BQ51=1,BQ51=2,BQ51=3),N(INDEX(Parameter!$I$5:$I$7,BQ51)),0),0)</f>
        <v/>
      </c>
    </row>
    <row r="52">
      <c r="A52" s="53" t="inlineStr">
        <is>
          <t>107124</t>
        </is>
      </c>
      <c r="B52" s="53" t="inlineStr">
        <is>
          <t>Federhänger</t>
        </is>
      </c>
      <c r="C52" s="53" t="inlineStr">
        <is>
          <t>F</t>
        </is>
      </c>
      <c r="D52" s="53" t="inlineStr">
        <is>
          <t>LIFT1</t>
        </is>
      </c>
      <c r="E52" s="53" t="inlineStr">
        <is>
          <t>C</t>
        </is>
      </c>
      <c r="F52" s="54" t="n">
        <v>197.24</v>
      </c>
      <c r="G52" s="55">
        <f>MAX(0,IF(Parameter!$B$20="Jahresanfang 2025 + Export",BG52+BF52,BF52))</f>
        <v/>
      </c>
      <c r="H52" s="55">
        <f>G52*F52</f>
        <v/>
      </c>
      <c r="I52" s="55">
        <f>BI52*Parameter!$B$18</f>
        <v/>
      </c>
      <c r="J52" s="56" t="n">
        <v>10.5</v>
      </c>
      <c r="K52" s="57" t="n">
        <v>4.571428571428571</v>
      </c>
      <c r="L52" s="55" t="n">
        <v>10</v>
      </c>
      <c r="M52" s="55" t="n">
        <v>12</v>
      </c>
      <c r="N52" s="58" t="n">
        <v>70</v>
      </c>
      <c r="O52" s="53" t="inlineStr">
        <is>
          <t>LOSE</t>
        </is>
      </c>
      <c r="P52" s="55" t="n"/>
      <c r="Q52" s="59">
        <f>IF(BO52=1,0,IFERROR(VLOOKUP(BM52,'Gebinde-Kategorie'!$A$5:$G$45,6,0)+0,0))</f>
        <v/>
      </c>
      <c r="R52" s="60" t="n"/>
      <c r="S52" s="61" t="n"/>
      <c r="T52" s="61" t="n"/>
      <c r="U52" s="53">
        <f>IF(A52="","",IF(IFERROR(VLOOKUP(D52,Parameter!$A$35:$C$64,2,0),"Nein")="2+3",IF(ISNUMBER(SEARCH("grosser Artikel",BJ52)),2,IFERROR(VLOOKUP(BM52,Parameter!$F$35:$G$64,2,0),2)),IF(OR(IFERROR(VLOOKUP(D52,Parameter!$A$35:$C$64,2,0),"Nein")="Nein",IFERROR(VLOOKUP(D52,Parameter!$A$35:$C$64,2,0),"Nein")=""),"-",VLOOKUP(D52,Parameter!$A$35:$C$64,2,0))))</f>
        <v/>
      </c>
      <c r="V52" s="61" t="n"/>
      <c r="W52" s="62" t="n"/>
      <c r="X52" s="55">
        <f>AM52</f>
        <v/>
      </c>
      <c r="Y52" s="55">
        <f>MAX(AM52,G52)</f>
        <v/>
      </c>
      <c r="Z52" s="63" t="n"/>
      <c r="AA52" s="55">
        <f>IF(LEFT(Cockpit!$C$5,1)="A",G52,IF(BT52=1,BU52,IF(LEFT(Cockpit!$C$5,1)="B",AE52,MAX(AE52,G52))))</f>
        <v/>
      </c>
      <c r="AB52" s="55">
        <f>IF(BO52=1,0,ROUNDUP(AA52/BN52,0))</f>
        <v/>
      </c>
      <c r="AC52" s="64">
        <f>IF(BO52=1,IF(AA52&lt;=0,0,BP52*MAX(1,IF(G52&gt;0,AA52/G52,1))),AB52*Q52)</f>
        <v/>
      </c>
      <c r="AD52" s="55">
        <f>AA52*F52</f>
        <v/>
      </c>
      <c r="AE52" s="55">
        <f>ROUNDUP(MAX(I52/IF(BS52&gt;0,BS52,MAX(0.1,N(Cockpit!$C$6))),BV52)/BN52,0)*BN52</f>
        <v/>
      </c>
      <c r="AF52" s="56">
        <f>IF(AC52&gt;0,I52/AC52,-1)</f>
        <v/>
      </c>
      <c r="AG52" s="56">
        <f>IF(AND(OR(BR52="L1",BR52="L23"),AC52&gt;0),SUMIFS($AC$7:$AC$1570,$BR$7:$BR$1570,BR52,$AF$7:$AF$1570,"&gt;"&amp;AF52)+SUMIFS($AC$7:$AC$1570,$BR$7:$BR$1570,BR52,$AF$7:$AF$1570,AF52,$BL$7:$BL$1570,"&lt;="&amp;BL52),"")</f>
        <v/>
      </c>
      <c r="AH52" s="65">
        <f>IF(AG52="",0,MAX(0,MIN(1,(IF(BR52="L1",Parameter!$K$5,Parameter!$K$6+Parameter!$K$7)-(AG52-AC52))/AC52)))</f>
        <v/>
      </c>
      <c r="AI52" s="55">
        <f>IF(LEFT(Cockpit!$I$5,1)="A",G52,IF(BT52=1,BU52,IF(LEFT(Cockpit!$I$5,1)="B",AM52,MAX(AM52,G52))))</f>
        <v/>
      </c>
      <c r="AJ52" s="55">
        <f>IF(BO52=1,0,ROUNDUP(AI52/BN52,0))</f>
        <v/>
      </c>
      <c r="AK52" s="64">
        <f>IF(BO52=1,IF(AI52&lt;=0,0,BP52*MAX(1,IF(G52&gt;0,AI52/G52,1))),AJ52*Q52)</f>
        <v/>
      </c>
      <c r="AL52" s="55">
        <f>AI52*F52</f>
        <v/>
      </c>
      <c r="AM52" s="55">
        <f>ROUNDUP(MAX(I52/IF(BS52&gt;0,BS52,MAX(0.1,N(Cockpit!$I$6))),BV52)/BN52,0)*BN52</f>
        <v/>
      </c>
      <c r="AN52" s="56">
        <f>IF(AK52&gt;0,I52/AK52,-1)</f>
        <v/>
      </c>
      <c r="AO52" s="56">
        <f>IF(AND(OR(BR52="L1",BR52="L23"),AK52&gt;0),SUMIFS($AK$7:$AK$1570,$BR$7:$BR$1570,BR52,$AN$7:$AN$1570,"&gt;"&amp;AN52)+SUMIFS($AK$7:$AK$1570,$BR$7:$BR$1570,BR52,$AN$7:$AN$1570,AN52,$BL$7:$BL$1570,"&lt;="&amp;BL52),"")</f>
        <v/>
      </c>
      <c r="AP52" s="65">
        <f>IF(AO52="",0,MAX(0,MIN(1,(IF(BR52="L1",Parameter!$K$5,Parameter!$K$6+Parameter!$K$7)-(AO52-AK52))/AK52)))</f>
        <v/>
      </c>
      <c r="AQ52" s="55">
        <f>IF(LEFT(Cockpit!$O$5,1)="A",G52,IF(BT52=1,BU52,IF(LEFT(Cockpit!$O$5,1)="B",AU52,MAX(AU52,G52))))</f>
        <v/>
      </c>
      <c r="AR52" s="55">
        <f>IF(BO52=1,0,ROUNDUP(AQ52/BN52,0))</f>
        <v/>
      </c>
      <c r="AS52" s="64">
        <f>IF(BO52=1,IF(AQ52&lt;=0,0,BP52*MAX(1,IF(G52&gt;0,AQ52/G52,1))),AR52*Q52)</f>
        <v/>
      </c>
      <c r="AT52" s="55">
        <f>AQ52*F52</f>
        <v/>
      </c>
      <c r="AU52" s="55">
        <f>ROUNDUP(MAX(I52/IF(BS52&gt;0,BS52,MAX(0.1,N(Cockpit!$O$6))),BV52)/BN52,0)*BN52</f>
        <v/>
      </c>
      <c r="AV52" s="56">
        <f>IF(AS52&gt;0,I52/AS52,-1)</f>
        <v/>
      </c>
      <c r="AW52" s="56">
        <f>IF(AND(OR(BR52="L1",BR52="L23"),AS52&gt;0),SUMIFS($AS$7:$AS$1570,$BR$7:$BR$1570,BR52,$AV$7:$AV$1570,"&gt;"&amp;AV52)+SUMIFS($AS$7:$AS$1570,$BR$7:$BR$1570,BR52,$AV$7:$AV$1570,AV52,$BL$7:$BL$1570,"&lt;="&amp;BL52),"")</f>
        <v/>
      </c>
      <c r="AX52" s="65">
        <f>IF(AW52="",0,MAX(0,MIN(1,(IF(BR52="L1",Parameter!$K$5,Parameter!$K$6+Parameter!$K$7)-(AW52-AS52))/AS52)))</f>
        <v/>
      </c>
      <c r="AY52" s="53">
        <f>IF(AC52&lt;=0,"",IF(BR52="Aussen","Aussenlager",IF(BR52="-","Nicht im Lift",IF(AH52&gt;=1,"Lift",IF(AH52&lt;=0,"Aussenlager","teilweise")))))</f>
        <v/>
      </c>
      <c r="AZ52" s="53">
        <f>IF(AK52&lt;=0,"",IF(BR52="Aussen","Aussenlager",IF(BR52="-","Nicht im Lift",IF(AP52&gt;=1,"Lift",IF(AP52&lt;=0,"Aussenlager","teilweise")))))</f>
        <v/>
      </c>
      <c r="BA52" s="53">
        <f>IF(AS52&lt;=0,"",IF(BR52="Aussen","Aussenlager",IF(BR52="-","Nicht im Lift",IF(AX52&gt;=1,"Lift",IF(AX52&lt;=0,"Aussenlager","teilweise")))))</f>
        <v/>
      </c>
      <c r="BB52" s="53">
        <f>IF(A52="","",IF(BK52=1,"Neu; ","")&amp;IF(AND(BK52=0,BF52&lt;0),"negativer Bestand (Export "&amp;BF52&amp;"); ","")&amp;IF(I52&lt;=0,"Kein Verbrauch; ","")&amp;IF(BO52=1,"Lose – Fläche geschätzt; ","")&amp;IF(G52&gt;AM52,"Überbestand "&amp;ROUND(G52-AM52,0)&amp;" Stk / CHF "&amp;ROUND((G52-AM52)*F52,0)&amp;"; ","")&amp;IF(AND(BT52=1,BU52&lt;BV52),"MAX &lt; MB+LG; ","")&amp;IF(AND(BZ52&gt;0,BY52*10&gt;BZ52),"zu hoch für Tablar; ","")&amp;IF(AND(BK52=0,OR(BT52=1,V52&lt;&gt;"",S52&lt;&gt;"",T52&lt;&gt;"",W52&lt;&gt;"")),"manuell übersteuert; ","")&amp;IF(AND(BO52=0,Q52=0),"Gebinde unbekannt; ","")&amp;IF(AND(BO52=0,N(T52)&lt;=0,N(P52)&lt;=0),"Menge pro Gebinde fehlt (Ist = 1 Gebinde); ","")&amp;BJ52)</f>
        <v/>
      </c>
      <c r="BC52" s="53" t="inlineStr">
        <is>
          <t>Zugänge aus 2023?</t>
        </is>
      </c>
      <c r="BD52" s="53" t="inlineStr">
        <is>
          <t>T&amp;E: Benötigt/Alternative? // Preis hat hier auch eine Rolle gespielt</t>
        </is>
      </c>
      <c r="BE52" s="61" t="n"/>
      <c r="BF52" s="55" t="n">
        <v>29</v>
      </c>
      <c r="BG52" s="55" t="n">
        <v>5</v>
      </c>
      <c r="BH52" s="54" t="n">
        <v>5927.209999999998</v>
      </c>
      <c r="BI52" s="55" t="n">
        <v>48</v>
      </c>
      <c r="BJ52" s="53" t="inlineStr"/>
      <c r="BK52" s="58" t="n">
        <v>0</v>
      </c>
      <c r="BL52" s="58" t="n">
        <v>52</v>
      </c>
      <c r="BM52" s="53">
        <f>IF(S52&lt;&gt;"",UPPER(TRIM(S52)),IF(O52="","LOSE",O52))</f>
        <v/>
      </c>
      <c r="BN52" s="55">
        <f>IF(BM52="LOSE",1,IF(N(T52)&gt;0,T52,IF(N(P52)&gt;0,P52,MAX(1,G52))))</f>
        <v/>
      </c>
      <c r="BO52" s="58">
        <f>IF(BM52="LOSE",1,0)</f>
        <v/>
      </c>
      <c r="BP52" s="64">
        <f>IF(BO52=0,0,IF(N(R52)&gt;0,R52,IFERROR(VLOOKUP(D52,Parameter!$A$35:$C$64,3,0)+0,0)))</f>
        <v/>
      </c>
      <c r="BQ52" s="53">
        <f>IF(V52&lt;&gt;"",V52,U52)</f>
        <v/>
      </c>
      <c r="BR52" s="53">
        <f>IF(BQ52=1,"L1",IF(OR(BQ52=2,BQ52=3),"L23",IF(BQ52="Aussen","Aussen","-")))</f>
        <v/>
      </c>
      <c r="BS52" s="66">
        <f>IF(N(W52)&gt;0,W52,0)</f>
        <v/>
      </c>
      <c r="BT52" s="58">
        <f>IF(ISNUMBER(Z52),1,0)</f>
        <v/>
      </c>
      <c r="BU52" s="55">
        <f>N(Z52)</f>
        <v/>
      </c>
      <c r="BV52" s="55">
        <f>N(L52)+N(M52)</f>
        <v/>
      </c>
      <c r="BW52" s="55">
        <f>ROUNDUP(G52/BN52,0)</f>
        <v/>
      </c>
      <c r="BX52" s="55">
        <f>ROUNDUP(BU52/BN52,0)</f>
        <v/>
      </c>
      <c r="BY52" s="58">
        <f>IF(BO52=1,0,IFERROR(VLOOKUP(BM52,'Gebinde-Kategorie'!$A$5:$G$45,5,0)+0,0))</f>
        <v/>
      </c>
      <c r="BZ52" s="58">
        <f>IFERROR(IF(OR(BQ52=1,BQ52=2,BQ52=3),N(INDEX(Parameter!$I$5:$I$7,BQ52)),0),0)</f>
        <v/>
      </c>
    </row>
    <row r="53">
      <c r="A53" s="53" t="inlineStr">
        <is>
          <t>100362</t>
        </is>
      </c>
      <c r="B53" s="53" t="inlineStr">
        <is>
          <t>Magnetventil</t>
        </is>
      </c>
      <c r="C53" s="53" t="inlineStr">
        <is>
          <t>F</t>
        </is>
      </c>
      <c r="D53" s="53" t="inlineStr">
        <is>
          <t>KTL</t>
        </is>
      </c>
      <c r="E53" s="53" t="inlineStr">
        <is>
          <t>C</t>
        </is>
      </c>
      <c r="F53" s="54" t="n">
        <v>113.85</v>
      </c>
      <c r="G53" s="55">
        <f>MAX(0,IF(Parameter!$B$20="Jahresanfang 2025 + Export",BG53+BF53,BF53))</f>
        <v/>
      </c>
      <c r="H53" s="55">
        <f>G53*F53</f>
        <v/>
      </c>
      <c r="I53" s="55">
        <f>BI53*Parameter!$B$18</f>
        <v/>
      </c>
      <c r="J53" s="56" t="n">
        <v>30.5</v>
      </c>
      <c r="K53" s="57" t="n">
        <v>2.688524590163934</v>
      </c>
      <c r="L53" s="55" t="n">
        <v>30</v>
      </c>
      <c r="M53" s="55" t="n">
        <v>40</v>
      </c>
      <c r="N53" s="58" t="n">
        <v>126</v>
      </c>
      <c r="O53" s="53" t="inlineStr">
        <is>
          <t>S51</t>
        </is>
      </c>
      <c r="P53" s="55" t="n">
        <v>91</v>
      </c>
      <c r="Q53" s="59">
        <f>IF(BO53=1,0,IFERROR(VLOOKUP(BM53,'Gebinde-Kategorie'!$A$5:$G$45,6,0)+0,0))</f>
        <v/>
      </c>
      <c r="R53" s="60" t="n"/>
      <c r="S53" s="61" t="n"/>
      <c r="T53" s="61" t="n"/>
      <c r="U53" s="53">
        <f>IF(A53="","",IF(IFERROR(VLOOKUP(D53,Parameter!$A$35:$C$64,2,0),"Nein")="2+3",IF(ISNUMBER(SEARCH("grosser Artikel",BJ53)),2,IFERROR(VLOOKUP(BM53,Parameter!$F$35:$G$64,2,0),2)),IF(OR(IFERROR(VLOOKUP(D53,Parameter!$A$35:$C$64,2,0),"Nein")="Nein",IFERROR(VLOOKUP(D53,Parameter!$A$35:$C$64,2,0),"Nein")=""),"-",VLOOKUP(D53,Parameter!$A$35:$C$64,2,0))))</f>
        <v/>
      </c>
      <c r="V53" s="61" t="n"/>
      <c r="W53" s="62" t="n"/>
      <c r="X53" s="55">
        <f>AM53</f>
        <v/>
      </c>
      <c r="Y53" s="55">
        <f>MAX(AM53,G53)</f>
        <v/>
      </c>
      <c r="Z53" s="63" t="n"/>
      <c r="AA53" s="55">
        <f>IF(LEFT(Cockpit!$C$5,1)="A",G53,IF(BT53=1,BU53,IF(LEFT(Cockpit!$C$5,1)="B",AE53,MAX(AE53,G53))))</f>
        <v/>
      </c>
      <c r="AB53" s="55">
        <f>IF(BO53=1,0,ROUNDUP(AA53/BN53,0))</f>
        <v/>
      </c>
      <c r="AC53" s="64">
        <f>IF(BO53=1,IF(AA53&lt;=0,0,BP53*MAX(1,IF(G53&gt;0,AA53/G53,1))),AB53*Q53)</f>
        <v/>
      </c>
      <c r="AD53" s="55">
        <f>AA53*F53</f>
        <v/>
      </c>
      <c r="AE53" s="55">
        <f>ROUNDUP(MAX(I53/IF(BS53&gt;0,BS53,MAX(0.1,N(Cockpit!$C$6))),BV53)/BN53,0)*BN53</f>
        <v/>
      </c>
      <c r="AF53" s="56">
        <f>IF(AC53&gt;0,I53/AC53,-1)</f>
        <v/>
      </c>
      <c r="AG53" s="56">
        <f>IF(AND(OR(BR53="L1",BR53="L23"),AC53&gt;0),SUMIFS($AC$7:$AC$1570,$BR$7:$BR$1570,BR53,$AF$7:$AF$1570,"&gt;"&amp;AF53)+SUMIFS($AC$7:$AC$1570,$BR$7:$BR$1570,BR53,$AF$7:$AF$1570,AF53,$BL$7:$BL$1570,"&lt;="&amp;BL53),"")</f>
        <v/>
      </c>
      <c r="AH53" s="65">
        <f>IF(AG53="",0,MAX(0,MIN(1,(IF(BR53="L1",Parameter!$K$5,Parameter!$K$6+Parameter!$K$7)-(AG53-AC53))/AC53)))</f>
        <v/>
      </c>
      <c r="AI53" s="55">
        <f>IF(LEFT(Cockpit!$I$5,1)="A",G53,IF(BT53=1,BU53,IF(LEFT(Cockpit!$I$5,1)="B",AM53,MAX(AM53,G53))))</f>
        <v/>
      </c>
      <c r="AJ53" s="55">
        <f>IF(BO53=1,0,ROUNDUP(AI53/BN53,0))</f>
        <v/>
      </c>
      <c r="AK53" s="64">
        <f>IF(BO53=1,IF(AI53&lt;=0,0,BP53*MAX(1,IF(G53&gt;0,AI53/G53,1))),AJ53*Q53)</f>
        <v/>
      </c>
      <c r="AL53" s="55">
        <f>AI53*F53</f>
        <v/>
      </c>
      <c r="AM53" s="55">
        <f>ROUNDUP(MAX(I53/IF(BS53&gt;0,BS53,MAX(0.1,N(Cockpit!$I$6))),BV53)/BN53,0)*BN53</f>
        <v/>
      </c>
      <c r="AN53" s="56">
        <f>IF(AK53&gt;0,I53/AK53,-1)</f>
        <v/>
      </c>
      <c r="AO53" s="56">
        <f>IF(AND(OR(BR53="L1",BR53="L23"),AK53&gt;0),SUMIFS($AK$7:$AK$1570,$BR$7:$BR$1570,BR53,$AN$7:$AN$1570,"&gt;"&amp;AN53)+SUMIFS($AK$7:$AK$1570,$BR$7:$BR$1570,BR53,$AN$7:$AN$1570,AN53,$BL$7:$BL$1570,"&lt;="&amp;BL53),"")</f>
        <v/>
      </c>
      <c r="AP53" s="65">
        <f>IF(AO53="",0,MAX(0,MIN(1,(IF(BR53="L1",Parameter!$K$5,Parameter!$K$6+Parameter!$K$7)-(AO53-AK53))/AK53)))</f>
        <v/>
      </c>
      <c r="AQ53" s="55">
        <f>IF(LEFT(Cockpit!$O$5,1)="A",G53,IF(BT53=1,BU53,IF(LEFT(Cockpit!$O$5,1)="B",AU53,MAX(AU53,G53))))</f>
        <v/>
      </c>
      <c r="AR53" s="55">
        <f>IF(BO53=1,0,ROUNDUP(AQ53/BN53,0))</f>
        <v/>
      </c>
      <c r="AS53" s="64">
        <f>IF(BO53=1,IF(AQ53&lt;=0,0,BP53*MAX(1,IF(G53&gt;0,AQ53/G53,1))),AR53*Q53)</f>
        <v/>
      </c>
      <c r="AT53" s="55">
        <f>AQ53*F53</f>
        <v/>
      </c>
      <c r="AU53" s="55">
        <f>ROUNDUP(MAX(I53/IF(BS53&gt;0,BS53,MAX(0.1,N(Cockpit!$O$6))),BV53)/BN53,0)*BN53</f>
        <v/>
      </c>
      <c r="AV53" s="56">
        <f>IF(AS53&gt;0,I53/AS53,-1)</f>
        <v/>
      </c>
      <c r="AW53" s="56">
        <f>IF(AND(OR(BR53="L1",BR53="L23"),AS53&gt;0),SUMIFS($AS$7:$AS$1570,$BR$7:$BR$1570,BR53,$AV$7:$AV$1570,"&gt;"&amp;AV53)+SUMIFS($AS$7:$AS$1570,$BR$7:$BR$1570,BR53,$AV$7:$AV$1570,AV53,$BL$7:$BL$1570,"&lt;="&amp;BL53),"")</f>
        <v/>
      </c>
      <c r="AX53" s="65">
        <f>IF(AW53="",0,MAX(0,MIN(1,(IF(BR53="L1",Parameter!$K$5,Parameter!$K$6+Parameter!$K$7)-(AW53-AS53))/AS53)))</f>
        <v/>
      </c>
      <c r="AY53" s="53">
        <f>IF(AC53&lt;=0,"",IF(BR53="Aussen","Aussenlager",IF(BR53="-","Nicht im Lift",IF(AH53&gt;=1,"Lift",IF(AH53&lt;=0,"Aussenlager","teilweise")))))</f>
        <v/>
      </c>
      <c r="AZ53" s="53">
        <f>IF(AK53&lt;=0,"",IF(BR53="Aussen","Aussenlager",IF(BR53="-","Nicht im Lift",IF(AP53&gt;=1,"Lift",IF(AP53&lt;=0,"Aussenlager","teilweise")))))</f>
        <v/>
      </c>
      <c r="BA53" s="53">
        <f>IF(AS53&lt;=0,"",IF(BR53="Aussen","Aussenlager",IF(BR53="-","Nicht im Lift",IF(AX53&gt;=1,"Lift",IF(AX53&lt;=0,"Aussenlager","teilweise")))))</f>
        <v/>
      </c>
      <c r="BB53" s="53">
        <f>IF(A53="","",IF(BK53=1,"Neu; ","")&amp;IF(AND(BK53=0,BF53&lt;0),"negativer Bestand (Export "&amp;BF53&amp;"); ","")&amp;IF(I53&lt;=0,"Kein Verbrauch; ","")&amp;IF(BO53=1,"Lose – Fläche geschätzt; ","")&amp;IF(G53&gt;AM53,"Überbestand "&amp;ROUND(G53-AM53,0)&amp;" Stk / CHF "&amp;ROUND((G53-AM53)*F53,0)&amp;"; ","")&amp;IF(AND(BT53=1,BU53&lt;BV53),"MAX &lt; MB+LG; ","")&amp;IF(AND(BZ53&gt;0,BY53*10&gt;BZ53),"zu hoch für Tablar; ","")&amp;IF(AND(BK53=0,OR(BT53=1,V53&lt;&gt;"",S53&lt;&gt;"",T53&lt;&gt;"",W53&lt;&gt;"")),"manuell übersteuert; ","")&amp;IF(AND(BO53=0,Q53=0),"Gebinde unbekannt; ","")&amp;IF(AND(BO53=0,N(T53)&lt;=0,N(P53)&lt;=0),"Menge pro Gebinde fehlt (Ist = 1 Gebinde); ","")&amp;BJ53)</f>
        <v/>
      </c>
      <c r="BC53" s="53" t="n"/>
      <c r="BD53" s="53" t="n"/>
      <c r="BE53" s="61" t="n"/>
      <c r="BF53" s="55" t="n">
        <v>45</v>
      </c>
      <c r="BG53" s="55" t="n">
        <v>22</v>
      </c>
      <c r="BH53" s="54" t="n">
        <v>5261.13</v>
      </c>
      <c r="BI53" s="55" t="n">
        <v>82</v>
      </c>
      <c r="BJ53" s="53" t="inlineStr"/>
      <c r="BK53" s="58" t="n">
        <v>0</v>
      </c>
      <c r="BL53" s="58" t="n">
        <v>53</v>
      </c>
      <c r="BM53" s="53">
        <f>IF(S53&lt;&gt;"",UPPER(TRIM(S53)),IF(O53="","LOSE",O53))</f>
        <v/>
      </c>
      <c r="BN53" s="55">
        <f>IF(BM53="LOSE",1,IF(N(T53)&gt;0,T53,IF(N(P53)&gt;0,P53,MAX(1,G53))))</f>
        <v/>
      </c>
      <c r="BO53" s="58">
        <f>IF(BM53="LOSE",1,0)</f>
        <v/>
      </c>
      <c r="BP53" s="64">
        <f>IF(BO53=0,0,IF(N(R53)&gt;0,R53,IFERROR(VLOOKUP(D53,Parameter!$A$35:$C$64,3,0)+0,0)))</f>
        <v/>
      </c>
      <c r="BQ53" s="53">
        <f>IF(V53&lt;&gt;"",V53,U53)</f>
        <v/>
      </c>
      <c r="BR53" s="53">
        <f>IF(BQ53=1,"L1",IF(OR(BQ53=2,BQ53=3),"L23",IF(BQ53="Aussen","Aussen","-")))</f>
        <v/>
      </c>
      <c r="BS53" s="66">
        <f>IF(N(W53)&gt;0,W53,0)</f>
        <v/>
      </c>
      <c r="BT53" s="58">
        <f>IF(ISNUMBER(Z53),1,0)</f>
        <v/>
      </c>
      <c r="BU53" s="55">
        <f>N(Z53)</f>
        <v/>
      </c>
      <c r="BV53" s="55">
        <f>N(L53)+N(M53)</f>
        <v/>
      </c>
      <c r="BW53" s="55">
        <f>ROUNDUP(G53/BN53,0)</f>
        <v/>
      </c>
      <c r="BX53" s="55">
        <f>ROUNDUP(BU53/BN53,0)</f>
        <v/>
      </c>
      <c r="BY53" s="58">
        <f>IF(BO53=1,0,IFERROR(VLOOKUP(BM53,'Gebinde-Kategorie'!$A$5:$G$45,5,0)+0,0))</f>
        <v/>
      </c>
      <c r="BZ53" s="58">
        <f>IFERROR(IF(OR(BQ53=1,BQ53=2,BQ53=3),N(INDEX(Parameter!$I$5:$I$7,BQ53)),0),0)</f>
        <v/>
      </c>
    </row>
    <row r="54">
      <c r="A54" s="53" t="inlineStr">
        <is>
          <t>103763</t>
        </is>
      </c>
      <c r="B54" s="53" t="inlineStr">
        <is>
          <t>Ringwellschlauch</t>
        </is>
      </c>
      <c r="C54" s="53" t="inlineStr">
        <is>
          <t>F</t>
        </is>
      </c>
      <c r="D54" s="53" t="inlineStr">
        <is>
          <t>PAL</t>
        </is>
      </c>
      <c r="E54" s="53" t="inlineStr">
        <is>
          <t>C</t>
        </is>
      </c>
      <c r="F54" s="54" t="n">
        <v>189.42</v>
      </c>
      <c r="G54" s="55">
        <f>MAX(0,IF(Parameter!$B$20="Jahresanfang 2025 + Export",BG54+BF54,BF54))</f>
        <v/>
      </c>
      <c r="H54" s="55">
        <f>G54*F54</f>
        <v/>
      </c>
      <c r="I54" s="55">
        <f>BI54*Parameter!$B$18</f>
        <v/>
      </c>
      <c r="J54" s="56" t="n">
        <v>40.5</v>
      </c>
      <c r="K54" s="57" t="n">
        <v>2.222222222222222</v>
      </c>
      <c r="L54" s="55" t="n">
        <v>4</v>
      </c>
      <c r="M54" s="55" t="n">
        <v>35</v>
      </c>
      <c r="N54" s="58" t="n">
        <v>14</v>
      </c>
      <c r="O54" s="53" t="inlineStr">
        <is>
          <t>S81</t>
        </is>
      </c>
      <c r="P54" s="55" t="n">
        <v>76</v>
      </c>
      <c r="Q54" s="59">
        <f>IF(BO54=1,0,IFERROR(VLOOKUP(BM54,'Gebinde-Kategorie'!$A$5:$G$45,6,0)+0,0))</f>
        <v/>
      </c>
      <c r="R54" s="60" t="n"/>
      <c r="S54" s="61" t="n"/>
      <c r="T54" s="61" t="n"/>
      <c r="U54" s="53">
        <f>IF(A54="","",IF(IFERROR(VLOOKUP(D54,Parameter!$A$35:$C$64,2,0),"Nein")="2+3",IF(ISNUMBER(SEARCH("grosser Artikel",BJ54)),2,IFERROR(VLOOKUP(BM54,Parameter!$F$35:$G$64,2,0),2)),IF(OR(IFERROR(VLOOKUP(D54,Parameter!$A$35:$C$64,2,0),"Nein")="Nein",IFERROR(VLOOKUP(D54,Parameter!$A$35:$C$64,2,0),"Nein")=""),"-",VLOOKUP(D54,Parameter!$A$35:$C$64,2,0))))</f>
        <v/>
      </c>
      <c r="V54" s="61" t="n"/>
      <c r="W54" s="62" t="n"/>
      <c r="X54" s="55">
        <f>AM54</f>
        <v/>
      </c>
      <c r="Y54" s="55">
        <f>MAX(AM54,G54)</f>
        <v/>
      </c>
      <c r="Z54" s="63" t="n"/>
      <c r="AA54" s="55">
        <f>IF(LEFT(Cockpit!$C$5,1)="A",G54,IF(BT54=1,BU54,IF(LEFT(Cockpit!$C$5,1)="B",AE54,MAX(AE54,G54))))</f>
        <v/>
      </c>
      <c r="AB54" s="55">
        <f>IF(BO54=1,0,ROUNDUP(AA54/BN54,0))</f>
        <v/>
      </c>
      <c r="AC54" s="64">
        <f>IF(BO54=1,IF(AA54&lt;=0,0,BP54*MAX(1,IF(G54&gt;0,AA54/G54,1))),AB54*Q54)</f>
        <v/>
      </c>
      <c r="AD54" s="55">
        <f>AA54*F54</f>
        <v/>
      </c>
      <c r="AE54" s="55">
        <f>ROUNDUP(MAX(I54/IF(BS54&gt;0,BS54,MAX(0.1,N(Cockpit!$C$6))),BV54)/BN54,0)*BN54</f>
        <v/>
      </c>
      <c r="AF54" s="56">
        <f>IF(AC54&gt;0,I54/AC54,-1)</f>
        <v/>
      </c>
      <c r="AG54" s="56">
        <f>IF(AND(OR(BR54="L1",BR54="L23"),AC54&gt;0),SUMIFS($AC$7:$AC$1570,$BR$7:$BR$1570,BR54,$AF$7:$AF$1570,"&gt;"&amp;AF54)+SUMIFS($AC$7:$AC$1570,$BR$7:$BR$1570,BR54,$AF$7:$AF$1570,AF54,$BL$7:$BL$1570,"&lt;="&amp;BL54),"")</f>
        <v/>
      </c>
      <c r="AH54" s="65">
        <f>IF(AG54="",0,MAX(0,MIN(1,(IF(BR54="L1",Parameter!$K$5,Parameter!$K$6+Parameter!$K$7)-(AG54-AC54))/AC54)))</f>
        <v/>
      </c>
      <c r="AI54" s="55">
        <f>IF(LEFT(Cockpit!$I$5,1)="A",G54,IF(BT54=1,BU54,IF(LEFT(Cockpit!$I$5,1)="B",AM54,MAX(AM54,G54))))</f>
        <v/>
      </c>
      <c r="AJ54" s="55">
        <f>IF(BO54=1,0,ROUNDUP(AI54/BN54,0))</f>
        <v/>
      </c>
      <c r="AK54" s="64">
        <f>IF(BO54=1,IF(AI54&lt;=0,0,BP54*MAX(1,IF(G54&gt;0,AI54/G54,1))),AJ54*Q54)</f>
        <v/>
      </c>
      <c r="AL54" s="55">
        <f>AI54*F54</f>
        <v/>
      </c>
      <c r="AM54" s="55">
        <f>ROUNDUP(MAX(I54/IF(BS54&gt;0,BS54,MAX(0.1,N(Cockpit!$I$6))),BV54)/BN54,0)*BN54</f>
        <v/>
      </c>
      <c r="AN54" s="56">
        <f>IF(AK54&gt;0,I54/AK54,-1)</f>
        <v/>
      </c>
      <c r="AO54" s="56">
        <f>IF(AND(OR(BR54="L1",BR54="L23"),AK54&gt;0),SUMIFS($AK$7:$AK$1570,$BR$7:$BR$1570,BR54,$AN$7:$AN$1570,"&gt;"&amp;AN54)+SUMIFS($AK$7:$AK$1570,$BR$7:$BR$1570,BR54,$AN$7:$AN$1570,AN54,$BL$7:$BL$1570,"&lt;="&amp;BL54),"")</f>
        <v/>
      </c>
      <c r="AP54" s="65">
        <f>IF(AO54="",0,MAX(0,MIN(1,(IF(BR54="L1",Parameter!$K$5,Parameter!$K$6+Parameter!$K$7)-(AO54-AK54))/AK54)))</f>
        <v/>
      </c>
      <c r="AQ54" s="55">
        <f>IF(LEFT(Cockpit!$O$5,1)="A",G54,IF(BT54=1,BU54,IF(LEFT(Cockpit!$O$5,1)="B",AU54,MAX(AU54,G54))))</f>
        <v/>
      </c>
      <c r="AR54" s="55">
        <f>IF(BO54=1,0,ROUNDUP(AQ54/BN54,0))</f>
        <v/>
      </c>
      <c r="AS54" s="64">
        <f>IF(BO54=1,IF(AQ54&lt;=0,0,BP54*MAX(1,IF(G54&gt;0,AQ54/G54,1))),AR54*Q54)</f>
        <v/>
      </c>
      <c r="AT54" s="55">
        <f>AQ54*F54</f>
        <v/>
      </c>
      <c r="AU54" s="55">
        <f>ROUNDUP(MAX(I54/IF(BS54&gt;0,BS54,MAX(0.1,N(Cockpit!$O$6))),BV54)/BN54,0)*BN54</f>
        <v/>
      </c>
      <c r="AV54" s="56">
        <f>IF(AS54&gt;0,I54/AS54,-1)</f>
        <v/>
      </c>
      <c r="AW54" s="56">
        <f>IF(AND(OR(BR54="L1",BR54="L23"),AS54&gt;0),SUMIFS($AS$7:$AS$1570,$BR$7:$BR$1570,BR54,$AV$7:$AV$1570,"&gt;"&amp;AV54)+SUMIFS($AS$7:$AS$1570,$BR$7:$BR$1570,BR54,$AV$7:$AV$1570,AV54,$BL$7:$BL$1570,"&lt;="&amp;BL54),"")</f>
        <v/>
      </c>
      <c r="AX54" s="65">
        <f>IF(AW54="",0,MAX(0,MIN(1,(IF(BR54="L1",Parameter!$K$5,Parameter!$K$6+Parameter!$K$7)-(AW54-AS54))/AS54)))</f>
        <v/>
      </c>
      <c r="AY54" s="53">
        <f>IF(AC54&lt;=0,"",IF(BR54="Aussen","Aussenlager",IF(BR54="-","Nicht im Lift",IF(AH54&gt;=1,"Lift",IF(AH54&lt;=0,"Aussenlager","teilweise")))))</f>
        <v/>
      </c>
      <c r="AZ54" s="53">
        <f>IF(AK54&lt;=0,"",IF(BR54="Aussen","Aussenlager",IF(BR54="-","Nicht im Lift",IF(AP54&gt;=1,"Lift",IF(AP54&lt;=0,"Aussenlager","teilweise")))))</f>
        <v/>
      </c>
      <c r="BA54" s="53">
        <f>IF(AS54&lt;=0,"",IF(BR54="Aussen","Aussenlager",IF(BR54="-","Nicht im Lift",IF(AX54&gt;=1,"Lift",IF(AX54&lt;=0,"Aussenlager","teilweise")))))</f>
        <v/>
      </c>
      <c r="BB54" s="53">
        <f>IF(A54="","",IF(BK54=1,"Neu; ","")&amp;IF(AND(BK54=0,BF54&lt;0),"negativer Bestand (Export "&amp;BF54&amp;"); ","")&amp;IF(I54&lt;=0,"Kein Verbrauch; ","")&amp;IF(BO54=1,"Lose – Fläche geschätzt; ","")&amp;IF(G54&gt;AM54,"Überbestand "&amp;ROUND(G54-AM54,0)&amp;" Stk / CHF "&amp;ROUND((G54-AM54)*F54,0)&amp;"; ","")&amp;IF(AND(BT54=1,BU54&lt;BV54),"MAX &lt; MB+LG; ","")&amp;IF(AND(BZ54&gt;0,BY54*10&gt;BZ54),"zu hoch für Tablar; ","")&amp;IF(AND(BK54=0,OR(BT54=1,V54&lt;&gt;"",S54&lt;&gt;"",T54&lt;&gt;"",W54&lt;&gt;"")),"manuell übersteuert; ","")&amp;IF(AND(BO54=0,Q54=0),"Gebinde unbekannt; ","")&amp;IF(AND(BO54=0,N(T54)&lt;=0,N(P54)&lt;=0),"Menge pro Gebinde fehlt (Ist = 1 Gebinde); ","")&amp;BJ54)</f>
        <v/>
      </c>
      <c r="BC54" s="53" t="n"/>
      <c r="BD54" s="53" t="n"/>
      <c r="BE54" s="61" t="n"/>
      <c r="BF54" s="55" t="n">
        <v>25</v>
      </c>
      <c r="BG54" s="55" t="n">
        <v>40</v>
      </c>
      <c r="BH54" s="54" t="n">
        <v>4952.299999999996</v>
      </c>
      <c r="BI54" s="55" t="n">
        <v>90</v>
      </c>
      <c r="BJ54" s="53" t="inlineStr"/>
      <c r="BK54" s="58" t="n">
        <v>0</v>
      </c>
      <c r="BL54" s="58" t="n">
        <v>54</v>
      </c>
      <c r="BM54" s="53">
        <f>IF(S54&lt;&gt;"",UPPER(TRIM(S54)),IF(O54="","LOSE",O54))</f>
        <v/>
      </c>
      <c r="BN54" s="55">
        <f>IF(BM54="LOSE",1,IF(N(T54)&gt;0,T54,IF(N(P54)&gt;0,P54,MAX(1,G54))))</f>
        <v/>
      </c>
      <c r="BO54" s="58">
        <f>IF(BM54="LOSE",1,0)</f>
        <v/>
      </c>
      <c r="BP54" s="64">
        <f>IF(BO54=0,0,IF(N(R54)&gt;0,R54,IFERROR(VLOOKUP(D54,Parameter!$A$35:$C$64,3,0)+0,0)))</f>
        <v/>
      </c>
      <c r="BQ54" s="53">
        <f>IF(V54&lt;&gt;"",V54,U54)</f>
        <v/>
      </c>
      <c r="BR54" s="53">
        <f>IF(BQ54=1,"L1",IF(OR(BQ54=2,BQ54=3),"L23",IF(BQ54="Aussen","Aussen","-")))</f>
        <v/>
      </c>
      <c r="BS54" s="66">
        <f>IF(N(W54)&gt;0,W54,0)</f>
        <v/>
      </c>
      <c r="BT54" s="58">
        <f>IF(ISNUMBER(Z54),1,0)</f>
        <v/>
      </c>
      <c r="BU54" s="55">
        <f>N(Z54)</f>
        <v/>
      </c>
      <c r="BV54" s="55">
        <f>N(L54)+N(M54)</f>
        <v/>
      </c>
      <c r="BW54" s="55">
        <f>ROUNDUP(G54/BN54,0)</f>
        <v/>
      </c>
      <c r="BX54" s="55">
        <f>ROUNDUP(BU54/BN54,0)</f>
        <v/>
      </c>
      <c r="BY54" s="58">
        <f>IF(BO54=1,0,IFERROR(VLOOKUP(BM54,'Gebinde-Kategorie'!$A$5:$G$45,5,0)+0,0))</f>
        <v/>
      </c>
      <c r="BZ54" s="58">
        <f>IFERROR(IF(OR(BQ54=1,BQ54=2,BQ54=3),N(INDEX(Parameter!$I$5:$I$7,BQ54)),0),0)</f>
        <v/>
      </c>
    </row>
    <row r="55">
      <c r="A55" s="53" t="inlineStr">
        <is>
          <t>111498</t>
        </is>
      </c>
      <c r="B55" s="53" t="inlineStr">
        <is>
          <t>Verpackung Service Kit 14k, SPGr16</t>
        </is>
      </c>
      <c r="C55" s="53" t="inlineStr">
        <is>
          <t>F</t>
        </is>
      </c>
      <c r="D55" s="53" t="inlineStr">
        <is>
          <t>PAL</t>
        </is>
      </c>
      <c r="E55" s="53" t="inlineStr">
        <is>
          <t>C</t>
        </is>
      </c>
      <c r="F55" s="54" t="n">
        <v>431.48</v>
      </c>
      <c r="G55" s="55">
        <f>MAX(0,IF(Parameter!$B$20="Jahresanfang 2025 + Export",BG55+BF55,BF55))</f>
        <v/>
      </c>
      <c r="H55" s="55">
        <f>G55*F55</f>
        <v/>
      </c>
      <c r="I55" s="55">
        <f>BI55*Parameter!$B$18</f>
        <v/>
      </c>
      <c r="J55" s="56" t="n">
        <v>0</v>
      </c>
      <c r="K55" s="57" t="n">
        <v>0</v>
      </c>
      <c r="L55" s="55" t="n">
        <v>2</v>
      </c>
      <c r="M55" s="55" t="n">
        <v>4</v>
      </c>
      <c r="N55" s="58" t="n">
        <v>28</v>
      </c>
      <c r="O55" s="53" t="inlineStr">
        <is>
          <t>LOSE</t>
        </is>
      </c>
      <c r="P55" s="55" t="n"/>
      <c r="Q55" s="59">
        <f>IF(BO55=1,0,IFERROR(VLOOKUP(BM55,'Gebinde-Kategorie'!$A$5:$G$45,6,0)+0,0))</f>
        <v/>
      </c>
      <c r="R55" s="60" t="n"/>
      <c r="S55" s="61" t="n"/>
      <c r="T55" s="61" t="n"/>
      <c r="U55" s="53">
        <f>IF(A55="","",IF(IFERROR(VLOOKUP(D55,Parameter!$A$35:$C$64,2,0),"Nein")="2+3",IF(ISNUMBER(SEARCH("grosser Artikel",BJ55)),2,IFERROR(VLOOKUP(BM55,Parameter!$F$35:$G$64,2,0),2)),IF(OR(IFERROR(VLOOKUP(D55,Parameter!$A$35:$C$64,2,0),"Nein")="Nein",IFERROR(VLOOKUP(D55,Parameter!$A$35:$C$64,2,0),"Nein")=""),"-",VLOOKUP(D55,Parameter!$A$35:$C$64,2,0))))</f>
        <v/>
      </c>
      <c r="V55" s="61" t="n"/>
      <c r="W55" s="62" t="n"/>
      <c r="X55" s="55">
        <f>AM55</f>
        <v/>
      </c>
      <c r="Y55" s="55">
        <f>MAX(AM55,G55)</f>
        <v/>
      </c>
      <c r="Z55" s="63" t="n"/>
      <c r="AA55" s="55">
        <f>IF(LEFT(Cockpit!$C$5,1)="A",G55,IF(BT55=1,BU55,IF(LEFT(Cockpit!$C$5,1)="B",AE55,MAX(AE55,G55))))</f>
        <v/>
      </c>
      <c r="AB55" s="55">
        <f>IF(BO55=1,0,ROUNDUP(AA55/BN55,0))</f>
        <v/>
      </c>
      <c r="AC55" s="64">
        <f>IF(BO55=1,IF(AA55&lt;=0,0,BP55*MAX(1,IF(G55&gt;0,AA55/G55,1))),AB55*Q55)</f>
        <v/>
      </c>
      <c r="AD55" s="55">
        <f>AA55*F55</f>
        <v/>
      </c>
      <c r="AE55" s="55">
        <f>ROUNDUP(MAX(I55/IF(BS55&gt;0,BS55,MAX(0.1,N(Cockpit!$C$6))),BV55)/BN55,0)*BN55</f>
        <v/>
      </c>
      <c r="AF55" s="56">
        <f>IF(AC55&gt;0,I55/AC55,-1)</f>
        <v/>
      </c>
      <c r="AG55" s="56">
        <f>IF(AND(OR(BR55="L1",BR55="L23"),AC55&gt;0),SUMIFS($AC$7:$AC$1570,$BR$7:$BR$1570,BR55,$AF$7:$AF$1570,"&gt;"&amp;AF55)+SUMIFS($AC$7:$AC$1570,$BR$7:$BR$1570,BR55,$AF$7:$AF$1570,AF55,$BL$7:$BL$1570,"&lt;="&amp;BL55),"")</f>
        <v/>
      </c>
      <c r="AH55" s="65">
        <f>IF(AG55="",0,MAX(0,MIN(1,(IF(BR55="L1",Parameter!$K$5,Parameter!$K$6+Parameter!$K$7)-(AG55-AC55))/AC55)))</f>
        <v/>
      </c>
      <c r="AI55" s="55">
        <f>IF(LEFT(Cockpit!$I$5,1)="A",G55,IF(BT55=1,BU55,IF(LEFT(Cockpit!$I$5,1)="B",AM55,MAX(AM55,G55))))</f>
        <v/>
      </c>
      <c r="AJ55" s="55">
        <f>IF(BO55=1,0,ROUNDUP(AI55/BN55,0))</f>
        <v/>
      </c>
      <c r="AK55" s="64">
        <f>IF(BO55=1,IF(AI55&lt;=0,0,BP55*MAX(1,IF(G55&gt;0,AI55/G55,1))),AJ55*Q55)</f>
        <v/>
      </c>
      <c r="AL55" s="55">
        <f>AI55*F55</f>
        <v/>
      </c>
      <c r="AM55" s="55">
        <f>ROUNDUP(MAX(I55/IF(BS55&gt;0,BS55,MAX(0.1,N(Cockpit!$I$6))),BV55)/BN55,0)*BN55</f>
        <v/>
      </c>
      <c r="AN55" s="56">
        <f>IF(AK55&gt;0,I55/AK55,-1)</f>
        <v/>
      </c>
      <c r="AO55" s="56">
        <f>IF(AND(OR(BR55="L1",BR55="L23"),AK55&gt;0),SUMIFS($AK$7:$AK$1570,$BR$7:$BR$1570,BR55,$AN$7:$AN$1570,"&gt;"&amp;AN55)+SUMIFS($AK$7:$AK$1570,$BR$7:$BR$1570,BR55,$AN$7:$AN$1570,AN55,$BL$7:$BL$1570,"&lt;="&amp;BL55),"")</f>
        <v/>
      </c>
      <c r="AP55" s="65">
        <f>IF(AO55="",0,MAX(0,MIN(1,(IF(BR55="L1",Parameter!$K$5,Parameter!$K$6+Parameter!$K$7)-(AO55-AK55))/AK55)))</f>
        <v/>
      </c>
      <c r="AQ55" s="55">
        <f>IF(LEFT(Cockpit!$O$5,1)="A",G55,IF(BT55=1,BU55,IF(LEFT(Cockpit!$O$5,1)="B",AU55,MAX(AU55,G55))))</f>
        <v/>
      </c>
      <c r="AR55" s="55">
        <f>IF(BO55=1,0,ROUNDUP(AQ55/BN55,0))</f>
        <v/>
      </c>
      <c r="AS55" s="64">
        <f>IF(BO55=1,IF(AQ55&lt;=0,0,BP55*MAX(1,IF(G55&gt;0,AQ55/G55,1))),AR55*Q55)</f>
        <v/>
      </c>
      <c r="AT55" s="55">
        <f>AQ55*F55</f>
        <v/>
      </c>
      <c r="AU55" s="55">
        <f>ROUNDUP(MAX(I55/IF(BS55&gt;0,BS55,MAX(0.1,N(Cockpit!$O$6))),BV55)/BN55,0)*BN55</f>
        <v/>
      </c>
      <c r="AV55" s="56">
        <f>IF(AS55&gt;0,I55/AS55,-1)</f>
        <v/>
      </c>
      <c r="AW55" s="56">
        <f>IF(AND(OR(BR55="L1",BR55="L23"),AS55&gt;0),SUMIFS($AS$7:$AS$1570,$BR$7:$BR$1570,BR55,$AV$7:$AV$1570,"&gt;"&amp;AV55)+SUMIFS($AS$7:$AS$1570,$BR$7:$BR$1570,BR55,$AV$7:$AV$1570,AV55,$BL$7:$BL$1570,"&lt;="&amp;BL55),"")</f>
        <v/>
      </c>
      <c r="AX55" s="65">
        <f>IF(AW55="",0,MAX(0,MIN(1,(IF(BR55="L1",Parameter!$K$5,Parameter!$K$6+Parameter!$K$7)-(AW55-AS55))/AS55)))</f>
        <v/>
      </c>
      <c r="AY55" s="53">
        <f>IF(AC55&lt;=0,"",IF(BR55="Aussen","Aussenlager",IF(BR55="-","Nicht im Lift",IF(AH55&gt;=1,"Lift",IF(AH55&lt;=0,"Aussenlager","teilweise")))))</f>
        <v/>
      </c>
      <c r="AZ55" s="53">
        <f>IF(AK55&lt;=0,"",IF(BR55="Aussen","Aussenlager",IF(BR55="-","Nicht im Lift",IF(AP55&gt;=1,"Lift",IF(AP55&lt;=0,"Aussenlager","teilweise")))))</f>
        <v/>
      </c>
      <c r="BA55" s="53">
        <f>IF(AS55&lt;=0,"",IF(BR55="Aussen","Aussenlager",IF(BR55="-","Nicht im Lift",IF(AX55&gt;=1,"Lift",IF(AX55&lt;=0,"Aussenlager","teilweise")))))</f>
        <v/>
      </c>
      <c r="BB55" s="53">
        <f>IF(A55="","",IF(BK55=1,"Neu; ","")&amp;IF(AND(BK55=0,BF55&lt;0),"negativer Bestand (Export "&amp;BF55&amp;"); ","")&amp;IF(I55&lt;=0,"Kein Verbrauch; ","")&amp;IF(BO55=1,"Lose – Fläche geschätzt; ","")&amp;IF(G55&gt;AM55,"Überbestand "&amp;ROUND(G55-AM55,0)&amp;" Stk / CHF "&amp;ROUND((G55-AM55)*F55,0)&amp;"; ","")&amp;IF(AND(BT55=1,BU55&lt;BV55),"MAX &lt; MB+LG; ","")&amp;IF(AND(BZ55&gt;0,BY55*10&gt;BZ55),"zu hoch für Tablar; ","")&amp;IF(AND(BK55=0,OR(BT55=1,V55&lt;&gt;"",S55&lt;&gt;"",T55&lt;&gt;"",W55&lt;&gt;"")),"manuell übersteuert; ","")&amp;IF(AND(BO55=0,Q55=0),"Gebinde unbekannt; ","")&amp;IF(AND(BO55=0,N(T55)&lt;=0,N(P55)&lt;=0),"Menge pro Gebinde fehlt (Ist = 1 Gebinde); ","")&amp;BJ55)</f>
        <v/>
      </c>
      <c r="BC55" s="53" t="inlineStr">
        <is>
          <t>Vermutlich Lieferungen aus Rahmen ? Abgekündigt?</t>
        </is>
      </c>
      <c r="BD55" s="53" t="n"/>
      <c r="BE55" s="61" t="n"/>
      <c r="BF55" s="55" t="n">
        <v>11</v>
      </c>
      <c r="BG55" s="55" t="n">
        <v>0</v>
      </c>
      <c r="BH55" s="54" t="n">
        <v>4746.280000000001</v>
      </c>
      <c r="BI55" s="55" t="n">
        <v>0</v>
      </c>
      <c r="BJ55" s="53" t="inlineStr"/>
      <c r="BK55" s="58" t="n">
        <v>0</v>
      </c>
      <c r="BL55" s="58" t="n">
        <v>55</v>
      </c>
      <c r="BM55" s="53">
        <f>IF(S55&lt;&gt;"",UPPER(TRIM(S55)),IF(O55="","LOSE",O55))</f>
        <v/>
      </c>
      <c r="BN55" s="55">
        <f>IF(BM55="LOSE",1,IF(N(T55)&gt;0,T55,IF(N(P55)&gt;0,P55,MAX(1,G55))))</f>
        <v/>
      </c>
      <c r="BO55" s="58">
        <f>IF(BM55="LOSE",1,0)</f>
        <v/>
      </c>
      <c r="BP55" s="64">
        <f>IF(BO55=0,0,IF(N(R55)&gt;0,R55,IFERROR(VLOOKUP(D55,Parameter!$A$35:$C$64,3,0)+0,0)))</f>
        <v/>
      </c>
      <c r="BQ55" s="53">
        <f>IF(V55&lt;&gt;"",V55,U55)</f>
        <v/>
      </c>
      <c r="BR55" s="53">
        <f>IF(BQ55=1,"L1",IF(OR(BQ55=2,BQ55=3),"L23",IF(BQ55="Aussen","Aussen","-")))</f>
        <v/>
      </c>
      <c r="BS55" s="66">
        <f>IF(N(W55)&gt;0,W55,0)</f>
        <v/>
      </c>
      <c r="BT55" s="58">
        <f>IF(ISNUMBER(Z55),1,0)</f>
        <v/>
      </c>
      <c r="BU55" s="55">
        <f>N(Z55)</f>
        <v/>
      </c>
      <c r="BV55" s="55">
        <f>N(L55)+N(M55)</f>
        <v/>
      </c>
      <c r="BW55" s="55">
        <f>ROUNDUP(G55/BN55,0)</f>
        <v/>
      </c>
      <c r="BX55" s="55">
        <f>ROUNDUP(BU55/BN55,0)</f>
        <v/>
      </c>
      <c r="BY55" s="58">
        <f>IF(BO55=1,0,IFERROR(VLOOKUP(BM55,'Gebinde-Kategorie'!$A$5:$G$45,5,0)+0,0))</f>
        <v/>
      </c>
      <c r="BZ55" s="58">
        <f>IFERROR(IF(OR(BQ55=1,BQ55=2,BQ55=3),N(INDEX(Parameter!$I$5:$I$7,BQ55)),0),0)</f>
        <v/>
      </c>
    </row>
    <row r="56">
      <c r="A56" s="53" t="inlineStr">
        <is>
          <t>111496</t>
        </is>
      </c>
      <c r="B56" s="53" t="inlineStr">
        <is>
          <t>Verpackung Service Kit 28k, SPGr10</t>
        </is>
      </c>
      <c r="C56" s="53" t="inlineStr">
        <is>
          <t>F</t>
        </is>
      </c>
      <c r="D56" s="53" t="inlineStr">
        <is>
          <t>PAL</t>
        </is>
      </c>
      <c r="E56" s="53" t="inlineStr">
        <is>
          <t>C</t>
        </is>
      </c>
      <c r="F56" s="54" t="n">
        <v>455.63</v>
      </c>
      <c r="G56" s="55">
        <f>MAX(0,IF(Parameter!$B$20="Jahresanfang 2025 + Export",BG56+BF56,BF56))</f>
        <v/>
      </c>
      <c r="H56" s="55">
        <f>G56*F56</f>
        <v/>
      </c>
      <c r="I56" s="55">
        <f>BI56*Parameter!$B$18</f>
        <v/>
      </c>
      <c r="J56" s="56" t="n">
        <v>0</v>
      </c>
      <c r="K56" s="57" t="n">
        <v>0</v>
      </c>
      <c r="L56" s="55" t="n">
        <v>4</v>
      </c>
      <c r="M56" s="55" t="n">
        <v>16</v>
      </c>
      <c r="N56" s="58" t="n">
        <v>28</v>
      </c>
      <c r="O56" s="53" t="inlineStr">
        <is>
          <t>LOSE</t>
        </is>
      </c>
      <c r="P56" s="55" t="n"/>
      <c r="Q56" s="59">
        <f>IF(BO56=1,0,IFERROR(VLOOKUP(BM56,'Gebinde-Kategorie'!$A$5:$G$45,6,0)+0,0))</f>
        <v/>
      </c>
      <c r="R56" s="60" t="n"/>
      <c r="S56" s="61" t="n"/>
      <c r="T56" s="61" t="n"/>
      <c r="U56" s="53">
        <f>IF(A56="","",IF(IFERROR(VLOOKUP(D56,Parameter!$A$35:$C$64,2,0),"Nein")="2+3",IF(ISNUMBER(SEARCH("grosser Artikel",BJ56)),2,IFERROR(VLOOKUP(BM56,Parameter!$F$35:$G$64,2,0),2)),IF(OR(IFERROR(VLOOKUP(D56,Parameter!$A$35:$C$64,2,0),"Nein")="Nein",IFERROR(VLOOKUP(D56,Parameter!$A$35:$C$64,2,0),"Nein")=""),"-",VLOOKUP(D56,Parameter!$A$35:$C$64,2,0))))</f>
        <v/>
      </c>
      <c r="V56" s="61" t="n"/>
      <c r="W56" s="62" t="n"/>
      <c r="X56" s="55">
        <f>AM56</f>
        <v/>
      </c>
      <c r="Y56" s="55">
        <f>MAX(AM56,G56)</f>
        <v/>
      </c>
      <c r="Z56" s="63" t="n"/>
      <c r="AA56" s="55">
        <f>IF(LEFT(Cockpit!$C$5,1)="A",G56,IF(BT56=1,BU56,IF(LEFT(Cockpit!$C$5,1)="B",AE56,MAX(AE56,G56))))</f>
        <v/>
      </c>
      <c r="AB56" s="55">
        <f>IF(BO56=1,0,ROUNDUP(AA56/BN56,0))</f>
        <v/>
      </c>
      <c r="AC56" s="64">
        <f>IF(BO56=1,IF(AA56&lt;=0,0,BP56*MAX(1,IF(G56&gt;0,AA56/G56,1))),AB56*Q56)</f>
        <v/>
      </c>
      <c r="AD56" s="55">
        <f>AA56*F56</f>
        <v/>
      </c>
      <c r="AE56" s="55">
        <f>ROUNDUP(MAX(I56/IF(BS56&gt;0,BS56,MAX(0.1,N(Cockpit!$C$6))),BV56)/BN56,0)*BN56</f>
        <v/>
      </c>
      <c r="AF56" s="56">
        <f>IF(AC56&gt;0,I56/AC56,-1)</f>
        <v/>
      </c>
      <c r="AG56" s="56">
        <f>IF(AND(OR(BR56="L1",BR56="L23"),AC56&gt;0),SUMIFS($AC$7:$AC$1570,$BR$7:$BR$1570,BR56,$AF$7:$AF$1570,"&gt;"&amp;AF56)+SUMIFS($AC$7:$AC$1570,$BR$7:$BR$1570,BR56,$AF$7:$AF$1570,AF56,$BL$7:$BL$1570,"&lt;="&amp;BL56),"")</f>
        <v/>
      </c>
      <c r="AH56" s="65">
        <f>IF(AG56="",0,MAX(0,MIN(1,(IF(BR56="L1",Parameter!$K$5,Parameter!$K$6+Parameter!$K$7)-(AG56-AC56))/AC56)))</f>
        <v/>
      </c>
      <c r="AI56" s="55">
        <f>IF(LEFT(Cockpit!$I$5,1)="A",G56,IF(BT56=1,BU56,IF(LEFT(Cockpit!$I$5,1)="B",AM56,MAX(AM56,G56))))</f>
        <v/>
      </c>
      <c r="AJ56" s="55">
        <f>IF(BO56=1,0,ROUNDUP(AI56/BN56,0))</f>
        <v/>
      </c>
      <c r="AK56" s="64">
        <f>IF(BO56=1,IF(AI56&lt;=0,0,BP56*MAX(1,IF(G56&gt;0,AI56/G56,1))),AJ56*Q56)</f>
        <v/>
      </c>
      <c r="AL56" s="55">
        <f>AI56*F56</f>
        <v/>
      </c>
      <c r="AM56" s="55">
        <f>ROUNDUP(MAX(I56/IF(BS56&gt;0,BS56,MAX(0.1,N(Cockpit!$I$6))),BV56)/BN56,0)*BN56</f>
        <v/>
      </c>
      <c r="AN56" s="56">
        <f>IF(AK56&gt;0,I56/AK56,-1)</f>
        <v/>
      </c>
      <c r="AO56" s="56">
        <f>IF(AND(OR(BR56="L1",BR56="L23"),AK56&gt;0),SUMIFS($AK$7:$AK$1570,$BR$7:$BR$1570,BR56,$AN$7:$AN$1570,"&gt;"&amp;AN56)+SUMIFS($AK$7:$AK$1570,$BR$7:$BR$1570,BR56,$AN$7:$AN$1570,AN56,$BL$7:$BL$1570,"&lt;="&amp;BL56),"")</f>
        <v/>
      </c>
      <c r="AP56" s="65">
        <f>IF(AO56="",0,MAX(0,MIN(1,(IF(BR56="L1",Parameter!$K$5,Parameter!$K$6+Parameter!$K$7)-(AO56-AK56))/AK56)))</f>
        <v/>
      </c>
      <c r="AQ56" s="55">
        <f>IF(LEFT(Cockpit!$O$5,1)="A",G56,IF(BT56=1,BU56,IF(LEFT(Cockpit!$O$5,1)="B",AU56,MAX(AU56,G56))))</f>
        <v/>
      </c>
      <c r="AR56" s="55">
        <f>IF(BO56=1,0,ROUNDUP(AQ56/BN56,0))</f>
        <v/>
      </c>
      <c r="AS56" s="64">
        <f>IF(BO56=1,IF(AQ56&lt;=0,0,BP56*MAX(1,IF(G56&gt;0,AQ56/G56,1))),AR56*Q56)</f>
        <v/>
      </c>
      <c r="AT56" s="55">
        <f>AQ56*F56</f>
        <v/>
      </c>
      <c r="AU56" s="55">
        <f>ROUNDUP(MAX(I56/IF(BS56&gt;0,BS56,MAX(0.1,N(Cockpit!$O$6))),BV56)/BN56,0)*BN56</f>
        <v/>
      </c>
      <c r="AV56" s="56">
        <f>IF(AS56&gt;0,I56/AS56,-1)</f>
        <v/>
      </c>
      <c r="AW56" s="56">
        <f>IF(AND(OR(BR56="L1",BR56="L23"),AS56&gt;0),SUMIFS($AS$7:$AS$1570,$BR$7:$BR$1570,BR56,$AV$7:$AV$1570,"&gt;"&amp;AV56)+SUMIFS($AS$7:$AS$1570,$BR$7:$BR$1570,BR56,$AV$7:$AV$1570,AV56,$BL$7:$BL$1570,"&lt;="&amp;BL56),"")</f>
        <v/>
      </c>
      <c r="AX56" s="65">
        <f>IF(AW56="",0,MAX(0,MIN(1,(IF(BR56="L1",Parameter!$K$5,Parameter!$K$6+Parameter!$K$7)-(AW56-AS56))/AS56)))</f>
        <v/>
      </c>
      <c r="AY56" s="53">
        <f>IF(AC56&lt;=0,"",IF(BR56="Aussen","Aussenlager",IF(BR56="-","Nicht im Lift",IF(AH56&gt;=1,"Lift",IF(AH56&lt;=0,"Aussenlager","teilweise")))))</f>
        <v/>
      </c>
      <c r="AZ56" s="53">
        <f>IF(AK56&lt;=0,"",IF(BR56="Aussen","Aussenlager",IF(BR56="-","Nicht im Lift",IF(AP56&gt;=1,"Lift",IF(AP56&lt;=0,"Aussenlager","teilweise")))))</f>
        <v/>
      </c>
      <c r="BA56" s="53">
        <f>IF(AS56&lt;=0,"",IF(BR56="Aussen","Aussenlager",IF(BR56="-","Nicht im Lift",IF(AX56&gt;=1,"Lift",IF(AX56&lt;=0,"Aussenlager","teilweise")))))</f>
        <v/>
      </c>
      <c r="BB56" s="53">
        <f>IF(A56="","",IF(BK56=1,"Neu; ","")&amp;IF(AND(BK56=0,BF56&lt;0),"negativer Bestand (Export "&amp;BF56&amp;"); ","")&amp;IF(I56&lt;=0,"Kein Verbrauch; ","")&amp;IF(BO56=1,"Lose – Fläche geschätzt; ","")&amp;IF(G56&gt;AM56,"Überbestand "&amp;ROUND(G56-AM56,0)&amp;" Stk / CHF "&amp;ROUND((G56-AM56)*F56,0)&amp;"; ","")&amp;IF(AND(BT56=1,BU56&lt;BV56),"MAX &lt; MB+LG; ","")&amp;IF(AND(BZ56&gt;0,BY56*10&gt;BZ56),"zu hoch für Tablar; ","")&amp;IF(AND(BK56=0,OR(BT56=1,V56&lt;&gt;"",S56&lt;&gt;"",T56&lt;&gt;"",W56&lt;&gt;"")),"manuell übersteuert; ","")&amp;IF(AND(BO56=0,Q56=0),"Gebinde unbekannt; ","")&amp;IF(AND(BO56=0,N(T56)&lt;=0,N(P56)&lt;=0),"Menge pro Gebinde fehlt (Ist = 1 Gebinde); ","")&amp;BJ56)</f>
        <v/>
      </c>
      <c r="BC56" s="53" t="inlineStr">
        <is>
          <t>Twin</t>
        </is>
      </c>
      <c r="BD56" s="53" t="n"/>
      <c r="BE56" s="61" t="n"/>
      <c r="BF56" s="55" t="n">
        <v>10</v>
      </c>
      <c r="BG56" s="55" t="n">
        <v>0</v>
      </c>
      <c r="BH56" s="54" t="n">
        <v>4556.299999999997</v>
      </c>
      <c r="BI56" s="55" t="n">
        <v>0</v>
      </c>
      <c r="BJ56" s="53" t="inlineStr"/>
      <c r="BK56" s="58" t="n">
        <v>0</v>
      </c>
      <c r="BL56" s="58" t="n">
        <v>56</v>
      </c>
      <c r="BM56" s="53">
        <f>IF(S56&lt;&gt;"",UPPER(TRIM(S56)),IF(O56="","LOSE",O56))</f>
        <v/>
      </c>
      <c r="BN56" s="55">
        <f>IF(BM56="LOSE",1,IF(N(T56)&gt;0,T56,IF(N(P56)&gt;0,P56,MAX(1,G56))))</f>
        <v/>
      </c>
      <c r="BO56" s="58">
        <f>IF(BM56="LOSE",1,0)</f>
        <v/>
      </c>
      <c r="BP56" s="64">
        <f>IF(BO56=0,0,IF(N(R56)&gt;0,R56,IFERROR(VLOOKUP(D56,Parameter!$A$35:$C$64,3,0)+0,0)))</f>
        <v/>
      </c>
      <c r="BQ56" s="53">
        <f>IF(V56&lt;&gt;"",V56,U56)</f>
        <v/>
      </c>
      <c r="BR56" s="53">
        <f>IF(BQ56=1,"L1",IF(OR(BQ56=2,BQ56=3),"L23",IF(BQ56="Aussen","Aussen","-")))</f>
        <v/>
      </c>
      <c r="BS56" s="66">
        <f>IF(N(W56)&gt;0,W56,0)</f>
        <v/>
      </c>
      <c r="BT56" s="58">
        <f>IF(ISNUMBER(Z56),1,0)</f>
        <v/>
      </c>
      <c r="BU56" s="55">
        <f>N(Z56)</f>
        <v/>
      </c>
      <c r="BV56" s="55">
        <f>N(L56)+N(M56)</f>
        <v/>
      </c>
      <c r="BW56" s="55">
        <f>ROUNDUP(G56/BN56,0)</f>
        <v/>
      </c>
      <c r="BX56" s="55">
        <f>ROUNDUP(BU56/BN56,0)</f>
        <v/>
      </c>
      <c r="BY56" s="58">
        <f>IF(BO56=1,0,IFERROR(VLOOKUP(BM56,'Gebinde-Kategorie'!$A$5:$G$45,5,0)+0,0))</f>
        <v/>
      </c>
      <c r="BZ56" s="58">
        <f>IFERROR(IF(OR(BQ56=1,BQ56=2,BQ56=3),N(INDEX(Parameter!$I$5:$I$7,BQ56)),0),0)</f>
        <v/>
      </c>
    </row>
    <row r="57">
      <c r="A57" s="53" t="inlineStr">
        <is>
          <t>106791</t>
        </is>
      </c>
      <c r="B57" s="53" t="inlineStr">
        <is>
          <t>Gasventil SPG</t>
        </is>
      </c>
      <c r="C57" s="53" t="inlineStr">
        <is>
          <t>F</t>
        </is>
      </c>
      <c r="D57" s="53" t="inlineStr">
        <is>
          <t>KTL</t>
        </is>
      </c>
      <c r="E57" s="53" t="inlineStr">
        <is>
          <t>C</t>
        </is>
      </c>
      <c r="F57" s="54" t="n">
        <v>280.9</v>
      </c>
      <c r="G57" s="55">
        <f>MAX(0,IF(Parameter!$B$20="Jahresanfang 2025 + Export",BG57+BF57,BF57))</f>
        <v/>
      </c>
      <c r="H57" s="55">
        <f>G57*F57</f>
        <v/>
      </c>
      <c r="I57" s="55">
        <f>BI57*Parameter!$B$18</f>
        <v/>
      </c>
      <c r="J57" s="56" t="n">
        <v>71</v>
      </c>
      <c r="K57" s="57" t="n">
        <v>3.267605633802817</v>
      </c>
      <c r="L57" s="55" t="n">
        <v>13</v>
      </c>
      <c r="M57" s="55" t="n">
        <v>25</v>
      </c>
      <c r="N57" s="58" t="n">
        <v>21</v>
      </c>
      <c r="O57" s="53" t="inlineStr">
        <is>
          <t>S62</t>
        </is>
      </c>
      <c r="P57" s="55" t="n">
        <v>89</v>
      </c>
      <c r="Q57" s="59">
        <f>IF(BO57=1,0,IFERROR(VLOOKUP(BM57,'Gebinde-Kategorie'!$A$5:$G$45,6,0)+0,0))</f>
        <v/>
      </c>
      <c r="R57" s="60" t="n"/>
      <c r="S57" s="61" t="n"/>
      <c r="T57" s="61" t="n"/>
      <c r="U57" s="53">
        <f>IF(A57="","",IF(IFERROR(VLOOKUP(D57,Parameter!$A$35:$C$64,2,0),"Nein")="2+3",IF(ISNUMBER(SEARCH("grosser Artikel",BJ57)),2,IFERROR(VLOOKUP(BM57,Parameter!$F$35:$G$64,2,0),2)),IF(OR(IFERROR(VLOOKUP(D57,Parameter!$A$35:$C$64,2,0),"Nein")="Nein",IFERROR(VLOOKUP(D57,Parameter!$A$35:$C$64,2,0),"Nein")=""),"-",VLOOKUP(D57,Parameter!$A$35:$C$64,2,0))))</f>
        <v/>
      </c>
      <c r="V57" s="61" t="n"/>
      <c r="W57" s="62" t="n"/>
      <c r="X57" s="55">
        <f>AM57</f>
        <v/>
      </c>
      <c r="Y57" s="55">
        <f>MAX(AM57,G57)</f>
        <v/>
      </c>
      <c r="Z57" s="63" t="n"/>
      <c r="AA57" s="55">
        <f>IF(LEFT(Cockpit!$C$5,1)="A",G57,IF(BT57=1,BU57,IF(LEFT(Cockpit!$C$5,1)="B",AE57,MAX(AE57,G57))))</f>
        <v/>
      </c>
      <c r="AB57" s="55">
        <f>IF(BO57=1,0,ROUNDUP(AA57/BN57,0))</f>
        <v/>
      </c>
      <c r="AC57" s="64">
        <f>IF(BO57=1,IF(AA57&lt;=0,0,BP57*MAX(1,IF(G57&gt;0,AA57/G57,1))),AB57*Q57)</f>
        <v/>
      </c>
      <c r="AD57" s="55">
        <f>AA57*F57</f>
        <v/>
      </c>
      <c r="AE57" s="55">
        <f>ROUNDUP(MAX(I57/IF(BS57&gt;0,BS57,MAX(0.1,N(Cockpit!$C$6))),BV57)/BN57,0)*BN57</f>
        <v/>
      </c>
      <c r="AF57" s="56">
        <f>IF(AC57&gt;0,I57/AC57,-1)</f>
        <v/>
      </c>
      <c r="AG57" s="56">
        <f>IF(AND(OR(BR57="L1",BR57="L23"),AC57&gt;0),SUMIFS($AC$7:$AC$1570,$BR$7:$BR$1570,BR57,$AF$7:$AF$1570,"&gt;"&amp;AF57)+SUMIFS($AC$7:$AC$1570,$BR$7:$BR$1570,BR57,$AF$7:$AF$1570,AF57,$BL$7:$BL$1570,"&lt;="&amp;BL57),"")</f>
        <v/>
      </c>
      <c r="AH57" s="65">
        <f>IF(AG57="",0,MAX(0,MIN(1,(IF(BR57="L1",Parameter!$K$5,Parameter!$K$6+Parameter!$K$7)-(AG57-AC57))/AC57)))</f>
        <v/>
      </c>
      <c r="AI57" s="55">
        <f>IF(LEFT(Cockpit!$I$5,1)="A",G57,IF(BT57=1,BU57,IF(LEFT(Cockpit!$I$5,1)="B",AM57,MAX(AM57,G57))))</f>
        <v/>
      </c>
      <c r="AJ57" s="55">
        <f>IF(BO57=1,0,ROUNDUP(AI57/BN57,0))</f>
        <v/>
      </c>
      <c r="AK57" s="64">
        <f>IF(BO57=1,IF(AI57&lt;=0,0,BP57*MAX(1,IF(G57&gt;0,AI57/G57,1))),AJ57*Q57)</f>
        <v/>
      </c>
      <c r="AL57" s="55">
        <f>AI57*F57</f>
        <v/>
      </c>
      <c r="AM57" s="55">
        <f>ROUNDUP(MAX(I57/IF(BS57&gt;0,BS57,MAX(0.1,N(Cockpit!$I$6))),BV57)/BN57,0)*BN57</f>
        <v/>
      </c>
      <c r="AN57" s="56">
        <f>IF(AK57&gt;0,I57/AK57,-1)</f>
        <v/>
      </c>
      <c r="AO57" s="56">
        <f>IF(AND(OR(BR57="L1",BR57="L23"),AK57&gt;0),SUMIFS($AK$7:$AK$1570,$BR$7:$BR$1570,BR57,$AN$7:$AN$1570,"&gt;"&amp;AN57)+SUMIFS($AK$7:$AK$1570,$BR$7:$BR$1570,BR57,$AN$7:$AN$1570,AN57,$BL$7:$BL$1570,"&lt;="&amp;BL57),"")</f>
        <v/>
      </c>
      <c r="AP57" s="65">
        <f>IF(AO57="",0,MAX(0,MIN(1,(IF(BR57="L1",Parameter!$K$5,Parameter!$K$6+Parameter!$K$7)-(AO57-AK57))/AK57)))</f>
        <v/>
      </c>
      <c r="AQ57" s="55">
        <f>IF(LEFT(Cockpit!$O$5,1)="A",G57,IF(BT57=1,BU57,IF(LEFT(Cockpit!$O$5,1)="B",AU57,MAX(AU57,G57))))</f>
        <v/>
      </c>
      <c r="AR57" s="55">
        <f>IF(BO57=1,0,ROUNDUP(AQ57/BN57,0))</f>
        <v/>
      </c>
      <c r="AS57" s="64">
        <f>IF(BO57=1,IF(AQ57&lt;=0,0,BP57*MAX(1,IF(G57&gt;0,AQ57/G57,1))),AR57*Q57)</f>
        <v/>
      </c>
      <c r="AT57" s="55">
        <f>AQ57*F57</f>
        <v/>
      </c>
      <c r="AU57" s="55">
        <f>ROUNDUP(MAX(I57/IF(BS57&gt;0,BS57,MAX(0.1,N(Cockpit!$O$6))),BV57)/BN57,0)*BN57</f>
        <v/>
      </c>
      <c r="AV57" s="56">
        <f>IF(AS57&gt;0,I57/AS57,-1)</f>
        <v/>
      </c>
      <c r="AW57" s="56">
        <f>IF(AND(OR(BR57="L1",BR57="L23"),AS57&gt;0),SUMIFS($AS$7:$AS$1570,$BR$7:$BR$1570,BR57,$AV$7:$AV$1570,"&gt;"&amp;AV57)+SUMIFS($AS$7:$AS$1570,$BR$7:$BR$1570,BR57,$AV$7:$AV$1570,AV57,$BL$7:$BL$1570,"&lt;="&amp;BL57),"")</f>
        <v/>
      </c>
      <c r="AX57" s="65">
        <f>IF(AW57="",0,MAX(0,MIN(1,(IF(BR57="L1",Parameter!$K$5,Parameter!$K$6+Parameter!$K$7)-(AW57-AS57))/AS57)))</f>
        <v/>
      </c>
      <c r="AY57" s="53">
        <f>IF(AC57&lt;=0,"",IF(BR57="Aussen","Aussenlager",IF(BR57="-","Nicht im Lift",IF(AH57&gt;=1,"Lift",IF(AH57&lt;=0,"Aussenlager","teilweise")))))</f>
        <v/>
      </c>
      <c r="AZ57" s="53">
        <f>IF(AK57&lt;=0,"",IF(BR57="Aussen","Aussenlager",IF(BR57="-","Nicht im Lift",IF(AP57&gt;=1,"Lift",IF(AP57&lt;=0,"Aussenlager","teilweise")))))</f>
        <v/>
      </c>
      <c r="BA57" s="53">
        <f>IF(AS57&lt;=0,"",IF(BR57="Aussen","Aussenlager",IF(BR57="-","Nicht im Lift",IF(AX57&gt;=1,"Lift",IF(AX57&lt;=0,"Aussenlager","teilweise")))))</f>
        <v/>
      </c>
      <c r="BB57" s="53">
        <f>IF(A57="","",IF(BK57=1,"Neu; ","")&amp;IF(AND(BK57=0,BF57&lt;0),"negativer Bestand (Export "&amp;BF57&amp;"); ","")&amp;IF(I57&lt;=0,"Kein Verbrauch; ","")&amp;IF(BO57=1,"Lose – Fläche geschätzt; ","")&amp;IF(G57&gt;AM57,"Überbestand "&amp;ROUND(G57-AM57,0)&amp;" Stk / CHF "&amp;ROUND((G57-AM57)*F57,0)&amp;"; ","")&amp;IF(AND(BT57=1,BU57&lt;BV57),"MAX &lt; MB+LG; ","")&amp;IF(AND(BZ57&gt;0,BY57*10&gt;BZ57),"zu hoch für Tablar; ","")&amp;IF(AND(BK57=0,OR(BT57=1,V57&lt;&gt;"",S57&lt;&gt;"",T57&lt;&gt;"",W57&lt;&gt;"")),"manuell übersteuert; ","")&amp;IF(AND(BO57=0,Q57=0),"Gebinde unbekannt; ","")&amp;IF(AND(BO57=0,N(T57)&lt;=0,N(P57)&lt;=0),"Menge pro Gebinde fehlt (Ist = 1 Gebinde); ","")&amp;BJ57)</f>
        <v/>
      </c>
      <c r="BC57" s="53" t="n"/>
      <c r="BD57" s="53" t="n"/>
      <c r="BE57" s="61" t="n"/>
      <c r="BF57" s="55" t="n">
        <v>13</v>
      </c>
      <c r="BG57" s="55" t="n">
        <v>51</v>
      </c>
      <c r="BH57" s="54" t="n">
        <v>4516.179999999894</v>
      </c>
      <c r="BI57" s="55" t="n">
        <v>232</v>
      </c>
      <c r="BJ57" s="53" t="inlineStr"/>
      <c r="BK57" s="58" t="n">
        <v>0</v>
      </c>
      <c r="BL57" s="58" t="n">
        <v>57</v>
      </c>
      <c r="BM57" s="53">
        <f>IF(S57&lt;&gt;"",UPPER(TRIM(S57)),IF(O57="","LOSE",O57))</f>
        <v/>
      </c>
      <c r="BN57" s="55">
        <f>IF(BM57="LOSE",1,IF(N(T57)&gt;0,T57,IF(N(P57)&gt;0,P57,MAX(1,G57))))</f>
        <v/>
      </c>
      <c r="BO57" s="58">
        <f>IF(BM57="LOSE",1,0)</f>
        <v/>
      </c>
      <c r="BP57" s="64">
        <f>IF(BO57=0,0,IF(N(R57)&gt;0,R57,IFERROR(VLOOKUP(D57,Parameter!$A$35:$C$64,3,0)+0,0)))</f>
        <v/>
      </c>
      <c r="BQ57" s="53">
        <f>IF(V57&lt;&gt;"",V57,U57)</f>
        <v/>
      </c>
      <c r="BR57" s="53">
        <f>IF(BQ57=1,"L1",IF(OR(BQ57=2,BQ57=3),"L23",IF(BQ57="Aussen","Aussen","-")))</f>
        <v/>
      </c>
      <c r="BS57" s="66">
        <f>IF(N(W57)&gt;0,W57,0)</f>
        <v/>
      </c>
      <c r="BT57" s="58">
        <f>IF(ISNUMBER(Z57),1,0)</f>
        <v/>
      </c>
      <c r="BU57" s="55">
        <f>N(Z57)</f>
        <v/>
      </c>
      <c r="BV57" s="55">
        <f>N(L57)+N(M57)</f>
        <v/>
      </c>
      <c r="BW57" s="55">
        <f>ROUNDUP(G57/BN57,0)</f>
        <v/>
      </c>
      <c r="BX57" s="55">
        <f>ROUNDUP(BU57/BN57,0)</f>
        <v/>
      </c>
      <c r="BY57" s="58">
        <f>IF(BO57=1,0,IFERROR(VLOOKUP(BM57,'Gebinde-Kategorie'!$A$5:$G$45,5,0)+0,0))</f>
        <v/>
      </c>
      <c r="BZ57" s="58">
        <f>IFERROR(IF(OR(BQ57=1,BQ57=2,BQ57=3),N(INDEX(Parameter!$I$5:$I$7,BQ57)),0),0)</f>
        <v/>
      </c>
    </row>
    <row r="58">
      <c r="A58" s="53" t="inlineStr">
        <is>
          <t>106270</t>
        </is>
      </c>
      <c r="B58" s="53" t="inlineStr">
        <is>
          <t>Ablassschraube</t>
        </is>
      </c>
      <c r="C58" s="53" t="inlineStr">
        <is>
          <t>F</t>
        </is>
      </c>
      <c r="D58" s="53" t="inlineStr">
        <is>
          <t>KTL</t>
        </is>
      </c>
      <c r="E58" s="53" t="inlineStr">
        <is>
          <t>C</t>
        </is>
      </c>
      <c r="F58" s="54" t="n">
        <v>15.95</v>
      </c>
      <c r="G58" s="55">
        <f>MAX(0,IF(Parameter!$B$20="Jahresanfang 2025 + Export",BG58+BF58,BF58))</f>
        <v/>
      </c>
      <c r="H58" s="55">
        <f>G58*F58</f>
        <v/>
      </c>
      <c r="I58" s="55">
        <f>BI58*Parameter!$B$18</f>
        <v/>
      </c>
      <c r="J58" s="56" t="n">
        <v>94.5</v>
      </c>
      <c r="K58" s="57" t="n">
        <v>3.28042328042328</v>
      </c>
      <c r="L58" s="55" t="n">
        <v>50</v>
      </c>
      <c r="M58" s="55" t="n">
        <v>225</v>
      </c>
      <c r="N58" s="58" t="n">
        <v>56</v>
      </c>
      <c r="O58" s="53" t="inlineStr">
        <is>
          <t>S51</t>
        </is>
      </c>
      <c r="P58" s="55" t="n">
        <v>142</v>
      </c>
      <c r="Q58" s="59">
        <f>IF(BO58=1,0,IFERROR(VLOOKUP(BM58,'Gebinde-Kategorie'!$A$5:$G$45,6,0)+0,0))</f>
        <v/>
      </c>
      <c r="R58" s="60" t="n"/>
      <c r="S58" s="61" t="n"/>
      <c r="T58" s="61" t="n"/>
      <c r="U58" s="53">
        <f>IF(A58="","",IF(IFERROR(VLOOKUP(D58,Parameter!$A$35:$C$64,2,0),"Nein")="2+3",IF(ISNUMBER(SEARCH("grosser Artikel",BJ58)),2,IFERROR(VLOOKUP(BM58,Parameter!$F$35:$G$64,2,0),2)),IF(OR(IFERROR(VLOOKUP(D58,Parameter!$A$35:$C$64,2,0),"Nein")="Nein",IFERROR(VLOOKUP(D58,Parameter!$A$35:$C$64,2,0),"Nein")=""),"-",VLOOKUP(D58,Parameter!$A$35:$C$64,2,0))))</f>
        <v/>
      </c>
      <c r="V58" s="61" t="n"/>
      <c r="W58" s="62" t="n"/>
      <c r="X58" s="55">
        <f>AM58</f>
        <v/>
      </c>
      <c r="Y58" s="55">
        <f>MAX(AM58,G58)</f>
        <v/>
      </c>
      <c r="Z58" s="63" t="n"/>
      <c r="AA58" s="55">
        <f>IF(LEFT(Cockpit!$C$5,1)="A",G58,IF(BT58=1,BU58,IF(LEFT(Cockpit!$C$5,1)="B",AE58,MAX(AE58,G58))))</f>
        <v/>
      </c>
      <c r="AB58" s="55">
        <f>IF(BO58=1,0,ROUNDUP(AA58/BN58,0))</f>
        <v/>
      </c>
      <c r="AC58" s="64">
        <f>IF(BO58=1,IF(AA58&lt;=0,0,BP58*MAX(1,IF(G58&gt;0,AA58/G58,1))),AB58*Q58)</f>
        <v/>
      </c>
      <c r="AD58" s="55">
        <f>AA58*F58</f>
        <v/>
      </c>
      <c r="AE58" s="55">
        <f>ROUNDUP(MAX(I58/IF(BS58&gt;0,BS58,MAX(0.1,N(Cockpit!$C$6))),BV58)/BN58,0)*BN58</f>
        <v/>
      </c>
      <c r="AF58" s="56">
        <f>IF(AC58&gt;0,I58/AC58,-1)</f>
        <v/>
      </c>
      <c r="AG58" s="56">
        <f>IF(AND(OR(BR58="L1",BR58="L23"),AC58&gt;0),SUMIFS($AC$7:$AC$1570,$BR$7:$BR$1570,BR58,$AF$7:$AF$1570,"&gt;"&amp;AF58)+SUMIFS($AC$7:$AC$1570,$BR$7:$BR$1570,BR58,$AF$7:$AF$1570,AF58,$BL$7:$BL$1570,"&lt;="&amp;BL58),"")</f>
        <v/>
      </c>
      <c r="AH58" s="65">
        <f>IF(AG58="",0,MAX(0,MIN(1,(IF(BR58="L1",Parameter!$K$5,Parameter!$K$6+Parameter!$K$7)-(AG58-AC58))/AC58)))</f>
        <v/>
      </c>
      <c r="AI58" s="55">
        <f>IF(LEFT(Cockpit!$I$5,1)="A",G58,IF(BT58=1,BU58,IF(LEFT(Cockpit!$I$5,1)="B",AM58,MAX(AM58,G58))))</f>
        <v/>
      </c>
      <c r="AJ58" s="55">
        <f>IF(BO58=1,0,ROUNDUP(AI58/BN58,0))</f>
        <v/>
      </c>
      <c r="AK58" s="64">
        <f>IF(BO58=1,IF(AI58&lt;=0,0,BP58*MAX(1,IF(G58&gt;0,AI58/G58,1))),AJ58*Q58)</f>
        <v/>
      </c>
      <c r="AL58" s="55">
        <f>AI58*F58</f>
        <v/>
      </c>
      <c r="AM58" s="55">
        <f>ROUNDUP(MAX(I58/IF(BS58&gt;0,BS58,MAX(0.1,N(Cockpit!$I$6))),BV58)/BN58,0)*BN58</f>
        <v/>
      </c>
      <c r="AN58" s="56">
        <f>IF(AK58&gt;0,I58/AK58,-1)</f>
        <v/>
      </c>
      <c r="AO58" s="56">
        <f>IF(AND(OR(BR58="L1",BR58="L23"),AK58&gt;0),SUMIFS($AK$7:$AK$1570,$BR$7:$BR$1570,BR58,$AN$7:$AN$1570,"&gt;"&amp;AN58)+SUMIFS($AK$7:$AK$1570,$BR$7:$BR$1570,BR58,$AN$7:$AN$1570,AN58,$BL$7:$BL$1570,"&lt;="&amp;BL58),"")</f>
        <v/>
      </c>
      <c r="AP58" s="65">
        <f>IF(AO58="",0,MAX(0,MIN(1,(IF(BR58="L1",Parameter!$K$5,Parameter!$K$6+Parameter!$K$7)-(AO58-AK58))/AK58)))</f>
        <v/>
      </c>
      <c r="AQ58" s="55">
        <f>IF(LEFT(Cockpit!$O$5,1)="A",G58,IF(BT58=1,BU58,IF(LEFT(Cockpit!$O$5,1)="B",AU58,MAX(AU58,G58))))</f>
        <v/>
      </c>
      <c r="AR58" s="55">
        <f>IF(BO58=1,0,ROUNDUP(AQ58/BN58,0))</f>
        <v/>
      </c>
      <c r="AS58" s="64">
        <f>IF(BO58=1,IF(AQ58&lt;=0,0,BP58*MAX(1,IF(G58&gt;0,AQ58/G58,1))),AR58*Q58)</f>
        <v/>
      </c>
      <c r="AT58" s="55">
        <f>AQ58*F58</f>
        <v/>
      </c>
      <c r="AU58" s="55">
        <f>ROUNDUP(MAX(I58/IF(BS58&gt;0,BS58,MAX(0.1,N(Cockpit!$O$6))),BV58)/BN58,0)*BN58</f>
        <v/>
      </c>
      <c r="AV58" s="56">
        <f>IF(AS58&gt;0,I58/AS58,-1)</f>
        <v/>
      </c>
      <c r="AW58" s="56">
        <f>IF(AND(OR(BR58="L1",BR58="L23"),AS58&gt;0),SUMIFS($AS$7:$AS$1570,$BR$7:$BR$1570,BR58,$AV$7:$AV$1570,"&gt;"&amp;AV58)+SUMIFS($AS$7:$AS$1570,$BR$7:$BR$1570,BR58,$AV$7:$AV$1570,AV58,$BL$7:$BL$1570,"&lt;="&amp;BL58),"")</f>
        <v/>
      </c>
      <c r="AX58" s="65">
        <f>IF(AW58="",0,MAX(0,MIN(1,(IF(BR58="L1",Parameter!$K$5,Parameter!$K$6+Parameter!$K$7)-(AW58-AS58))/AS58)))</f>
        <v/>
      </c>
      <c r="AY58" s="53">
        <f>IF(AC58&lt;=0,"",IF(BR58="Aussen","Aussenlager",IF(BR58="-","Nicht im Lift",IF(AH58&gt;=1,"Lift",IF(AH58&lt;=0,"Aussenlager","teilweise")))))</f>
        <v/>
      </c>
      <c r="AZ58" s="53">
        <f>IF(AK58&lt;=0,"",IF(BR58="Aussen","Aussenlager",IF(BR58="-","Nicht im Lift",IF(AP58&gt;=1,"Lift",IF(AP58&lt;=0,"Aussenlager","teilweise")))))</f>
        <v/>
      </c>
      <c r="BA58" s="53">
        <f>IF(AS58&lt;=0,"",IF(BR58="Aussen","Aussenlager",IF(BR58="-","Nicht im Lift",IF(AX58&gt;=1,"Lift",IF(AX58&lt;=0,"Aussenlager","teilweise")))))</f>
        <v/>
      </c>
      <c r="BB58" s="53">
        <f>IF(A58="","",IF(BK58=1,"Neu; ","")&amp;IF(AND(BK58=0,BF58&lt;0),"negativer Bestand (Export "&amp;BF58&amp;"); ","")&amp;IF(I58&lt;=0,"Kein Verbrauch; ","")&amp;IF(BO58=1,"Lose – Fläche geschätzt; ","")&amp;IF(G58&gt;AM58,"Überbestand "&amp;ROUND(G58-AM58,0)&amp;" Stk / CHF "&amp;ROUND((G58-AM58)*F58,0)&amp;"; ","")&amp;IF(AND(BT58=1,BU58&lt;BV58),"MAX &lt; MB+LG; ","")&amp;IF(AND(BZ58&gt;0,BY58*10&gt;BZ58),"zu hoch für Tablar; ","")&amp;IF(AND(BK58=0,OR(BT58=1,V58&lt;&gt;"",S58&lt;&gt;"",T58&lt;&gt;"",W58&lt;&gt;"")),"manuell übersteuert; ","")&amp;IF(AND(BO58=0,Q58=0),"Gebinde unbekannt; ","")&amp;IF(AND(BO58=0,N(T58)&lt;=0,N(P58)&lt;=0),"Menge pro Gebinde fehlt (Ist = 1 Gebinde); ","")&amp;BJ58)</f>
        <v/>
      </c>
      <c r="BC58" s="53" t="n"/>
      <c r="BD58" s="53" t="n"/>
      <c r="BE58" s="61" t="n"/>
      <c r="BF58" s="55" t="n">
        <v>279</v>
      </c>
      <c r="BG58" s="55" t="n">
        <v>30</v>
      </c>
      <c r="BH58" s="54" t="n">
        <v>4460.25</v>
      </c>
      <c r="BI58" s="55" t="n">
        <v>310</v>
      </c>
      <c r="BJ58" s="53" t="inlineStr"/>
      <c r="BK58" s="58" t="n">
        <v>0</v>
      </c>
      <c r="BL58" s="58" t="n">
        <v>58</v>
      </c>
      <c r="BM58" s="53">
        <f>IF(S58&lt;&gt;"",UPPER(TRIM(S58)),IF(O58="","LOSE",O58))</f>
        <v/>
      </c>
      <c r="BN58" s="55">
        <f>IF(BM58="LOSE",1,IF(N(T58)&gt;0,T58,IF(N(P58)&gt;0,P58,MAX(1,G58))))</f>
        <v/>
      </c>
      <c r="BO58" s="58">
        <f>IF(BM58="LOSE",1,0)</f>
        <v/>
      </c>
      <c r="BP58" s="64">
        <f>IF(BO58=0,0,IF(N(R58)&gt;0,R58,IFERROR(VLOOKUP(D58,Parameter!$A$35:$C$64,3,0)+0,0)))</f>
        <v/>
      </c>
      <c r="BQ58" s="53">
        <f>IF(V58&lt;&gt;"",V58,U58)</f>
        <v/>
      </c>
      <c r="BR58" s="53">
        <f>IF(BQ58=1,"L1",IF(OR(BQ58=2,BQ58=3),"L23",IF(BQ58="Aussen","Aussen","-")))</f>
        <v/>
      </c>
      <c r="BS58" s="66">
        <f>IF(N(W58)&gt;0,W58,0)</f>
        <v/>
      </c>
      <c r="BT58" s="58">
        <f>IF(ISNUMBER(Z58),1,0)</f>
        <v/>
      </c>
      <c r="BU58" s="55">
        <f>N(Z58)</f>
        <v/>
      </c>
      <c r="BV58" s="55">
        <f>N(L58)+N(M58)</f>
        <v/>
      </c>
      <c r="BW58" s="55">
        <f>ROUNDUP(G58/BN58,0)</f>
        <v/>
      </c>
      <c r="BX58" s="55">
        <f>ROUNDUP(BU58/BN58,0)</f>
        <v/>
      </c>
      <c r="BY58" s="58">
        <f>IF(BO58=1,0,IFERROR(VLOOKUP(BM58,'Gebinde-Kategorie'!$A$5:$G$45,5,0)+0,0))</f>
        <v/>
      </c>
      <c r="BZ58" s="58">
        <f>IFERROR(IF(OR(BQ58=1,BQ58=2,BQ58=3),N(INDEX(Parameter!$I$5:$I$7,BQ58)),0),0)</f>
        <v/>
      </c>
    </row>
    <row r="59">
      <c r="A59" s="53" t="inlineStr">
        <is>
          <t>110335</t>
        </is>
      </c>
      <c r="B59" s="53" t="inlineStr">
        <is>
          <t>Luftblock SUB komplett</t>
        </is>
      </c>
      <c r="C59" s="53" t="inlineStr">
        <is>
          <t>F</t>
        </is>
      </c>
      <c r="D59" s="53" t="inlineStr">
        <is>
          <t>PAL</t>
        </is>
      </c>
      <c r="E59" s="53" t="inlineStr">
        <is>
          <t>C</t>
        </is>
      </c>
      <c r="F59" s="54" t="n">
        <v>2168</v>
      </c>
      <c r="G59" s="55">
        <f>MAX(0,IF(Parameter!$B$20="Jahresanfang 2025 + Export",BG59+BF59,BF59))</f>
        <v/>
      </c>
      <c r="H59" s="55">
        <f>G59*F59</f>
        <v/>
      </c>
      <c r="I59" s="55">
        <f>BI59*Parameter!$B$18</f>
        <v/>
      </c>
      <c r="J59" s="56" t="n">
        <v>1</v>
      </c>
      <c r="K59" s="57" t="n">
        <v>1</v>
      </c>
      <c r="L59" s="55" t="n">
        <v>0</v>
      </c>
      <c r="M59" s="55" t="n">
        <v>1</v>
      </c>
      <c r="N59" s="58" t="n">
        <v>120</v>
      </c>
      <c r="O59" s="53" t="inlineStr">
        <is>
          <t>LOSE</t>
        </is>
      </c>
      <c r="P59" s="55" t="n"/>
      <c r="Q59" s="59">
        <f>IF(BO59=1,0,IFERROR(VLOOKUP(BM59,'Gebinde-Kategorie'!$A$5:$G$45,6,0)+0,0))</f>
        <v/>
      </c>
      <c r="R59" s="60" t="n"/>
      <c r="S59" s="61" t="n"/>
      <c r="T59" s="61" t="n"/>
      <c r="U59" s="53">
        <f>IF(A59="","",IF(IFERROR(VLOOKUP(D59,Parameter!$A$35:$C$64,2,0),"Nein")="2+3",IF(ISNUMBER(SEARCH("grosser Artikel",BJ59)),2,IFERROR(VLOOKUP(BM59,Parameter!$F$35:$G$64,2,0),2)),IF(OR(IFERROR(VLOOKUP(D59,Parameter!$A$35:$C$64,2,0),"Nein")="Nein",IFERROR(VLOOKUP(D59,Parameter!$A$35:$C$64,2,0),"Nein")=""),"-",VLOOKUP(D59,Parameter!$A$35:$C$64,2,0))))</f>
        <v/>
      </c>
      <c r="V59" s="61" t="n"/>
      <c r="W59" s="62" t="n"/>
      <c r="X59" s="55">
        <f>AM59</f>
        <v/>
      </c>
      <c r="Y59" s="55">
        <f>MAX(AM59,G59)</f>
        <v/>
      </c>
      <c r="Z59" s="63" t="n"/>
      <c r="AA59" s="55">
        <f>IF(LEFT(Cockpit!$C$5,1)="A",G59,IF(BT59=1,BU59,IF(LEFT(Cockpit!$C$5,1)="B",AE59,MAX(AE59,G59))))</f>
        <v/>
      </c>
      <c r="AB59" s="55">
        <f>IF(BO59=1,0,ROUNDUP(AA59/BN59,0))</f>
        <v/>
      </c>
      <c r="AC59" s="64">
        <f>IF(BO59=1,IF(AA59&lt;=0,0,BP59*MAX(1,IF(G59&gt;0,AA59/G59,1))),AB59*Q59)</f>
        <v/>
      </c>
      <c r="AD59" s="55">
        <f>AA59*F59</f>
        <v/>
      </c>
      <c r="AE59" s="55">
        <f>ROUNDUP(MAX(I59/IF(BS59&gt;0,BS59,MAX(0.1,N(Cockpit!$C$6))),BV59)/BN59,0)*BN59</f>
        <v/>
      </c>
      <c r="AF59" s="56">
        <f>IF(AC59&gt;0,I59/AC59,-1)</f>
        <v/>
      </c>
      <c r="AG59" s="56">
        <f>IF(AND(OR(BR59="L1",BR59="L23"),AC59&gt;0),SUMIFS($AC$7:$AC$1570,$BR$7:$BR$1570,BR59,$AF$7:$AF$1570,"&gt;"&amp;AF59)+SUMIFS($AC$7:$AC$1570,$BR$7:$BR$1570,BR59,$AF$7:$AF$1570,AF59,$BL$7:$BL$1570,"&lt;="&amp;BL59),"")</f>
        <v/>
      </c>
      <c r="AH59" s="65">
        <f>IF(AG59="",0,MAX(0,MIN(1,(IF(BR59="L1",Parameter!$K$5,Parameter!$K$6+Parameter!$K$7)-(AG59-AC59))/AC59)))</f>
        <v/>
      </c>
      <c r="AI59" s="55">
        <f>IF(LEFT(Cockpit!$I$5,1)="A",G59,IF(BT59=1,BU59,IF(LEFT(Cockpit!$I$5,1)="B",AM59,MAX(AM59,G59))))</f>
        <v/>
      </c>
      <c r="AJ59" s="55">
        <f>IF(BO59=1,0,ROUNDUP(AI59/BN59,0))</f>
        <v/>
      </c>
      <c r="AK59" s="64">
        <f>IF(BO59=1,IF(AI59&lt;=0,0,BP59*MAX(1,IF(G59&gt;0,AI59/G59,1))),AJ59*Q59)</f>
        <v/>
      </c>
      <c r="AL59" s="55">
        <f>AI59*F59</f>
        <v/>
      </c>
      <c r="AM59" s="55">
        <f>ROUNDUP(MAX(I59/IF(BS59&gt;0,BS59,MAX(0.1,N(Cockpit!$I$6))),BV59)/BN59,0)*BN59</f>
        <v/>
      </c>
      <c r="AN59" s="56">
        <f>IF(AK59&gt;0,I59/AK59,-1)</f>
        <v/>
      </c>
      <c r="AO59" s="56">
        <f>IF(AND(OR(BR59="L1",BR59="L23"),AK59&gt;0),SUMIFS($AK$7:$AK$1570,$BR$7:$BR$1570,BR59,$AN$7:$AN$1570,"&gt;"&amp;AN59)+SUMIFS($AK$7:$AK$1570,$BR$7:$BR$1570,BR59,$AN$7:$AN$1570,AN59,$BL$7:$BL$1570,"&lt;="&amp;BL59),"")</f>
        <v/>
      </c>
      <c r="AP59" s="65">
        <f>IF(AO59="",0,MAX(0,MIN(1,(IF(BR59="L1",Parameter!$K$5,Parameter!$K$6+Parameter!$K$7)-(AO59-AK59))/AK59)))</f>
        <v/>
      </c>
      <c r="AQ59" s="55">
        <f>IF(LEFT(Cockpit!$O$5,1)="A",G59,IF(BT59=1,BU59,IF(LEFT(Cockpit!$O$5,1)="B",AU59,MAX(AU59,G59))))</f>
        <v/>
      </c>
      <c r="AR59" s="55">
        <f>IF(BO59=1,0,ROUNDUP(AQ59/BN59,0))</f>
        <v/>
      </c>
      <c r="AS59" s="64">
        <f>IF(BO59=1,IF(AQ59&lt;=0,0,BP59*MAX(1,IF(G59&gt;0,AQ59/G59,1))),AR59*Q59)</f>
        <v/>
      </c>
      <c r="AT59" s="55">
        <f>AQ59*F59</f>
        <v/>
      </c>
      <c r="AU59" s="55">
        <f>ROUNDUP(MAX(I59/IF(BS59&gt;0,BS59,MAX(0.1,N(Cockpit!$O$6))),BV59)/BN59,0)*BN59</f>
        <v/>
      </c>
      <c r="AV59" s="56">
        <f>IF(AS59&gt;0,I59/AS59,-1)</f>
        <v/>
      </c>
      <c r="AW59" s="56">
        <f>IF(AND(OR(BR59="L1",BR59="L23"),AS59&gt;0),SUMIFS($AS$7:$AS$1570,$BR$7:$BR$1570,BR59,$AV$7:$AV$1570,"&gt;"&amp;AV59)+SUMIFS($AS$7:$AS$1570,$BR$7:$BR$1570,BR59,$AV$7:$AV$1570,AV59,$BL$7:$BL$1570,"&lt;="&amp;BL59),"")</f>
        <v/>
      </c>
      <c r="AX59" s="65">
        <f>IF(AW59="",0,MAX(0,MIN(1,(IF(BR59="L1",Parameter!$K$5,Parameter!$K$6+Parameter!$K$7)-(AW59-AS59))/AS59)))</f>
        <v/>
      </c>
      <c r="AY59" s="53">
        <f>IF(AC59&lt;=0,"",IF(BR59="Aussen","Aussenlager",IF(BR59="-","Nicht im Lift",IF(AH59&gt;=1,"Lift",IF(AH59&lt;=0,"Aussenlager","teilweise")))))</f>
        <v/>
      </c>
      <c r="AZ59" s="53">
        <f>IF(AK59&lt;=0,"",IF(BR59="Aussen","Aussenlager",IF(BR59="-","Nicht im Lift",IF(AP59&gt;=1,"Lift",IF(AP59&lt;=0,"Aussenlager","teilweise")))))</f>
        <v/>
      </c>
      <c r="BA59" s="53">
        <f>IF(AS59&lt;=0,"",IF(BR59="Aussen","Aussenlager",IF(BR59="-","Nicht im Lift",IF(AX59&gt;=1,"Lift",IF(AX59&lt;=0,"Aussenlager","teilweise")))))</f>
        <v/>
      </c>
      <c r="BB59" s="53">
        <f>IF(A59="","",IF(BK59=1,"Neu; ","")&amp;IF(AND(BK59=0,BF59&lt;0),"negativer Bestand (Export "&amp;BF59&amp;"); ","")&amp;IF(I59&lt;=0,"Kein Verbrauch; ","")&amp;IF(BO59=1,"Lose – Fläche geschätzt; ","")&amp;IF(G59&gt;AM59,"Überbestand "&amp;ROUND(G59-AM59,0)&amp;" Stk / CHF "&amp;ROUND((G59-AM59)*F59,0)&amp;"; ","")&amp;IF(AND(BT59=1,BU59&lt;BV59),"MAX &lt; MB+LG; ","")&amp;IF(AND(BZ59&gt;0,BY59*10&gt;BZ59),"zu hoch für Tablar; ","")&amp;IF(AND(BK59=0,OR(BT59=1,V59&lt;&gt;"",S59&lt;&gt;"",T59&lt;&gt;"",W59&lt;&gt;"")),"manuell übersteuert; ","")&amp;IF(AND(BO59=0,Q59=0),"Gebinde unbekannt; ","")&amp;IF(AND(BO59=0,N(T59)&lt;=0,N(P59)&lt;=0),"Menge pro Gebinde fehlt (Ist = 1 Gebinde); ","")&amp;BJ59)</f>
        <v/>
      </c>
      <c r="BC59" s="53" t="n"/>
      <c r="BD59" s="53" t="n"/>
      <c r="BE59" s="61" t="n"/>
      <c r="BF59" s="55" t="n">
        <v>2</v>
      </c>
      <c r="BG59" s="55" t="n">
        <v>0</v>
      </c>
      <c r="BH59" s="54" t="n">
        <v>4336</v>
      </c>
      <c r="BI59" s="55" t="n">
        <v>1</v>
      </c>
      <c r="BJ59" s="53" t="inlineStr"/>
      <c r="BK59" s="58" t="n">
        <v>0</v>
      </c>
      <c r="BL59" s="58" t="n">
        <v>59</v>
      </c>
      <c r="BM59" s="53">
        <f>IF(S59&lt;&gt;"",UPPER(TRIM(S59)),IF(O59="","LOSE",O59))</f>
        <v/>
      </c>
      <c r="BN59" s="55">
        <f>IF(BM59="LOSE",1,IF(N(T59)&gt;0,T59,IF(N(P59)&gt;0,P59,MAX(1,G59))))</f>
        <v/>
      </c>
      <c r="BO59" s="58">
        <f>IF(BM59="LOSE",1,0)</f>
        <v/>
      </c>
      <c r="BP59" s="64">
        <f>IF(BO59=0,0,IF(N(R59)&gt;0,R59,IFERROR(VLOOKUP(D59,Parameter!$A$35:$C$64,3,0)+0,0)))</f>
        <v/>
      </c>
      <c r="BQ59" s="53">
        <f>IF(V59&lt;&gt;"",V59,U59)</f>
        <v/>
      </c>
      <c r="BR59" s="53">
        <f>IF(BQ59=1,"L1",IF(OR(BQ59=2,BQ59=3),"L23",IF(BQ59="Aussen","Aussen","-")))</f>
        <v/>
      </c>
      <c r="BS59" s="66">
        <f>IF(N(W59)&gt;0,W59,0)</f>
        <v/>
      </c>
      <c r="BT59" s="58">
        <f>IF(ISNUMBER(Z59),1,0)</f>
        <v/>
      </c>
      <c r="BU59" s="55">
        <f>N(Z59)</f>
        <v/>
      </c>
      <c r="BV59" s="55">
        <f>N(L59)+N(M59)</f>
        <v/>
      </c>
      <c r="BW59" s="55">
        <f>ROUNDUP(G59/BN59,0)</f>
        <v/>
      </c>
      <c r="BX59" s="55">
        <f>ROUNDUP(BU59/BN59,0)</f>
        <v/>
      </c>
      <c r="BY59" s="58">
        <f>IF(BO59=1,0,IFERROR(VLOOKUP(BM59,'Gebinde-Kategorie'!$A$5:$G$45,5,0)+0,0))</f>
        <v/>
      </c>
      <c r="BZ59" s="58">
        <f>IFERROR(IF(OR(BQ59=1,BQ59=2,BQ59=3),N(INDEX(Parameter!$I$5:$I$7,BQ59)),0),0)</f>
        <v/>
      </c>
    </row>
    <row r="60">
      <c r="A60" s="53" t="inlineStr">
        <is>
          <t>100133</t>
        </is>
      </c>
      <c r="B60" s="53" t="inlineStr">
        <is>
          <t>Gehäuse Gasdruckspeicher</t>
        </is>
      </c>
      <c r="C60" s="53" t="inlineStr">
        <is>
          <t>F</t>
        </is>
      </c>
      <c r="D60" s="53" t="inlineStr">
        <is>
          <t>PAL</t>
        </is>
      </c>
      <c r="E60" s="53" t="inlineStr">
        <is>
          <t>C</t>
        </is>
      </c>
      <c r="F60" s="54" t="n">
        <v>605.97</v>
      </c>
      <c r="G60" s="55">
        <f>MAX(0,IF(Parameter!$B$20="Jahresanfang 2025 + Export",BG60+BF60,BF60))</f>
        <v/>
      </c>
      <c r="H60" s="55">
        <f>G60*F60</f>
        <v/>
      </c>
      <c r="I60" s="55">
        <f>BI60*Parameter!$B$18</f>
        <v/>
      </c>
      <c r="J60" s="56" t="n">
        <v>23.5</v>
      </c>
      <c r="K60" s="57" t="n">
        <v>3.404255319148936</v>
      </c>
      <c r="L60" s="55" t="n">
        <v>4</v>
      </c>
      <c r="M60" s="55" t="n">
        <v>25</v>
      </c>
      <c r="N60" s="58" t="n">
        <v>21</v>
      </c>
      <c r="O60" s="53" t="inlineStr">
        <is>
          <t>S81</t>
        </is>
      </c>
      <c r="P60" s="55" t="n">
        <v>20</v>
      </c>
      <c r="Q60" s="59">
        <f>IF(BO60=1,0,IFERROR(VLOOKUP(BM60,'Gebinde-Kategorie'!$A$5:$G$45,6,0)+0,0))</f>
        <v/>
      </c>
      <c r="R60" s="60" t="n"/>
      <c r="S60" s="61" t="n"/>
      <c r="T60" s="61" t="n"/>
      <c r="U60" s="53">
        <f>IF(A60="","",IF(IFERROR(VLOOKUP(D60,Parameter!$A$35:$C$64,2,0),"Nein")="2+3",IF(ISNUMBER(SEARCH("grosser Artikel",BJ60)),2,IFERROR(VLOOKUP(BM60,Parameter!$F$35:$G$64,2,0),2)),IF(OR(IFERROR(VLOOKUP(D60,Parameter!$A$35:$C$64,2,0),"Nein")="Nein",IFERROR(VLOOKUP(D60,Parameter!$A$35:$C$64,2,0),"Nein")=""),"-",VLOOKUP(D60,Parameter!$A$35:$C$64,2,0))))</f>
        <v/>
      </c>
      <c r="V60" s="61" t="n"/>
      <c r="W60" s="62" t="n"/>
      <c r="X60" s="55">
        <f>AM60</f>
        <v/>
      </c>
      <c r="Y60" s="55">
        <f>MAX(AM60,G60)</f>
        <v/>
      </c>
      <c r="Z60" s="63" t="n"/>
      <c r="AA60" s="55">
        <f>IF(LEFT(Cockpit!$C$5,1)="A",G60,IF(BT60=1,BU60,IF(LEFT(Cockpit!$C$5,1)="B",AE60,MAX(AE60,G60))))</f>
        <v/>
      </c>
      <c r="AB60" s="55">
        <f>IF(BO60=1,0,ROUNDUP(AA60/BN60,0))</f>
        <v/>
      </c>
      <c r="AC60" s="64">
        <f>IF(BO60=1,IF(AA60&lt;=0,0,BP60*MAX(1,IF(G60&gt;0,AA60/G60,1))),AB60*Q60)</f>
        <v/>
      </c>
      <c r="AD60" s="55">
        <f>AA60*F60</f>
        <v/>
      </c>
      <c r="AE60" s="55">
        <f>ROUNDUP(MAX(I60/IF(BS60&gt;0,BS60,MAX(0.1,N(Cockpit!$C$6))),BV60)/BN60,0)*BN60</f>
        <v/>
      </c>
      <c r="AF60" s="56">
        <f>IF(AC60&gt;0,I60/AC60,-1)</f>
        <v/>
      </c>
      <c r="AG60" s="56">
        <f>IF(AND(OR(BR60="L1",BR60="L23"),AC60&gt;0),SUMIFS($AC$7:$AC$1570,$BR$7:$BR$1570,BR60,$AF$7:$AF$1570,"&gt;"&amp;AF60)+SUMIFS($AC$7:$AC$1570,$BR$7:$BR$1570,BR60,$AF$7:$AF$1570,AF60,$BL$7:$BL$1570,"&lt;="&amp;BL60),"")</f>
        <v/>
      </c>
      <c r="AH60" s="65">
        <f>IF(AG60="",0,MAX(0,MIN(1,(IF(BR60="L1",Parameter!$K$5,Parameter!$K$6+Parameter!$K$7)-(AG60-AC60))/AC60)))</f>
        <v/>
      </c>
      <c r="AI60" s="55">
        <f>IF(LEFT(Cockpit!$I$5,1)="A",G60,IF(BT60=1,BU60,IF(LEFT(Cockpit!$I$5,1)="B",AM60,MAX(AM60,G60))))</f>
        <v/>
      </c>
      <c r="AJ60" s="55">
        <f>IF(BO60=1,0,ROUNDUP(AI60/BN60,0))</f>
        <v/>
      </c>
      <c r="AK60" s="64">
        <f>IF(BO60=1,IF(AI60&lt;=0,0,BP60*MAX(1,IF(G60&gt;0,AI60/G60,1))),AJ60*Q60)</f>
        <v/>
      </c>
      <c r="AL60" s="55">
        <f>AI60*F60</f>
        <v/>
      </c>
      <c r="AM60" s="55">
        <f>ROUNDUP(MAX(I60/IF(BS60&gt;0,BS60,MAX(0.1,N(Cockpit!$I$6))),BV60)/BN60,0)*BN60</f>
        <v/>
      </c>
      <c r="AN60" s="56">
        <f>IF(AK60&gt;0,I60/AK60,-1)</f>
        <v/>
      </c>
      <c r="AO60" s="56">
        <f>IF(AND(OR(BR60="L1",BR60="L23"),AK60&gt;0),SUMIFS($AK$7:$AK$1570,$BR$7:$BR$1570,BR60,$AN$7:$AN$1570,"&gt;"&amp;AN60)+SUMIFS($AK$7:$AK$1570,$BR$7:$BR$1570,BR60,$AN$7:$AN$1570,AN60,$BL$7:$BL$1570,"&lt;="&amp;BL60),"")</f>
        <v/>
      </c>
      <c r="AP60" s="65">
        <f>IF(AO60="",0,MAX(0,MIN(1,(IF(BR60="L1",Parameter!$K$5,Parameter!$K$6+Parameter!$K$7)-(AO60-AK60))/AK60)))</f>
        <v/>
      </c>
      <c r="AQ60" s="55">
        <f>IF(LEFT(Cockpit!$O$5,1)="A",G60,IF(BT60=1,BU60,IF(LEFT(Cockpit!$O$5,1)="B",AU60,MAX(AU60,G60))))</f>
        <v/>
      </c>
      <c r="AR60" s="55">
        <f>IF(BO60=1,0,ROUNDUP(AQ60/BN60,0))</f>
        <v/>
      </c>
      <c r="AS60" s="64">
        <f>IF(BO60=1,IF(AQ60&lt;=0,0,BP60*MAX(1,IF(G60&gt;0,AQ60/G60,1))),AR60*Q60)</f>
        <v/>
      </c>
      <c r="AT60" s="55">
        <f>AQ60*F60</f>
        <v/>
      </c>
      <c r="AU60" s="55">
        <f>ROUNDUP(MAX(I60/IF(BS60&gt;0,BS60,MAX(0.1,N(Cockpit!$O$6))),BV60)/BN60,0)*BN60</f>
        <v/>
      </c>
      <c r="AV60" s="56">
        <f>IF(AS60&gt;0,I60/AS60,-1)</f>
        <v/>
      </c>
      <c r="AW60" s="56">
        <f>IF(AND(OR(BR60="L1",BR60="L23"),AS60&gt;0),SUMIFS($AS$7:$AS$1570,$BR$7:$BR$1570,BR60,$AV$7:$AV$1570,"&gt;"&amp;AV60)+SUMIFS($AS$7:$AS$1570,$BR$7:$BR$1570,BR60,$AV$7:$AV$1570,AV60,$BL$7:$BL$1570,"&lt;="&amp;BL60),"")</f>
        <v/>
      </c>
      <c r="AX60" s="65">
        <f>IF(AW60="",0,MAX(0,MIN(1,(IF(BR60="L1",Parameter!$K$5,Parameter!$K$6+Parameter!$K$7)-(AW60-AS60))/AS60)))</f>
        <v/>
      </c>
      <c r="AY60" s="53">
        <f>IF(AC60&lt;=0,"",IF(BR60="Aussen","Aussenlager",IF(BR60="-","Nicht im Lift",IF(AH60&gt;=1,"Lift",IF(AH60&lt;=0,"Aussenlager","teilweise")))))</f>
        <v/>
      </c>
      <c r="AZ60" s="53">
        <f>IF(AK60&lt;=0,"",IF(BR60="Aussen","Aussenlager",IF(BR60="-","Nicht im Lift",IF(AP60&gt;=1,"Lift",IF(AP60&lt;=0,"Aussenlager","teilweise")))))</f>
        <v/>
      </c>
      <c r="BA60" s="53">
        <f>IF(AS60&lt;=0,"",IF(BR60="Aussen","Aussenlager",IF(BR60="-","Nicht im Lift",IF(AX60&gt;=1,"Lift",IF(AX60&lt;=0,"Aussenlager","teilweise")))))</f>
        <v/>
      </c>
      <c r="BB60" s="53">
        <f>IF(A60="","",IF(BK60=1,"Neu; ","")&amp;IF(AND(BK60=0,BF60&lt;0),"negativer Bestand (Export "&amp;BF60&amp;"); ","")&amp;IF(I60&lt;=0,"Kein Verbrauch; ","")&amp;IF(BO60=1,"Lose – Fläche geschätzt; ","")&amp;IF(G60&gt;AM60,"Überbestand "&amp;ROUND(G60-AM60,0)&amp;" Stk / CHF "&amp;ROUND((G60-AM60)*F60,0)&amp;"; ","")&amp;IF(AND(BT60=1,BU60&lt;BV60),"MAX &lt; MB+LG; ","")&amp;IF(AND(BZ60&gt;0,BY60*10&gt;BZ60),"zu hoch für Tablar; ","")&amp;IF(AND(BK60=0,OR(BT60=1,V60&lt;&gt;"",S60&lt;&gt;"",T60&lt;&gt;"",W60&lt;&gt;"")),"manuell übersteuert; ","")&amp;IF(AND(BO60=0,Q60=0),"Gebinde unbekannt; ","")&amp;IF(AND(BO60=0,N(T60)&lt;=0,N(P60)&lt;=0),"Menge pro Gebinde fehlt (Ist = 1 Gebinde); ","")&amp;BJ60)</f>
        <v/>
      </c>
      <c r="BC60" s="53" t="inlineStr">
        <is>
          <t>Letzte WE 2023</t>
        </is>
      </c>
      <c r="BD60" s="53" t="inlineStr">
        <is>
          <t>109689 Nachfolgeartikel - Technisches Büro sperren? Ggf. Abklären mit T&amp;E?</t>
        </is>
      </c>
      <c r="BE60" s="61" t="n"/>
      <c r="BF60" s="55" t="n">
        <v>13</v>
      </c>
      <c r="BG60" s="55" t="n">
        <v>11</v>
      </c>
      <c r="BH60" s="54" t="n">
        <v>4297.990000000009</v>
      </c>
      <c r="BI60" s="55" t="n">
        <v>80</v>
      </c>
      <c r="BJ60" s="53" t="inlineStr"/>
      <c r="BK60" s="58" t="n">
        <v>0</v>
      </c>
      <c r="BL60" s="58" t="n">
        <v>60</v>
      </c>
      <c r="BM60" s="53">
        <f>IF(S60&lt;&gt;"",UPPER(TRIM(S60)),IF(O60="","LOSE",O60))</f>
        <v/>
      </c>
      <c r="BN60" s="55">
        <f>IF(BM60="LOSE",1,IF(N(T60)&gt;0,T60,IF(N(P60)&gt;0,P60,MAX(1,G60))))</f>
        <v/>
      </c>
      <c r="BO60" s="58">
        <f>IF(BM60="LOSE",1,0)</f>
        <v/>
      </c>
      <c r="BP60" s="64">
        <f>IF(BO60=0,0,IF(N(R60)&gt;0,R60,IFERROR(VLOOKUP(D60,Parameter!$A$35:$C$64,3,0)+0,0)))</f>
        <v/>
      </c>
      <c r="BQ60" s="53">
        <f>IF(V60&lt;&gt;"",V60,U60)</f>
        <v/>
      </c>
      <c r="BR60" s="53">
        <f>IF(BQ60=1,"L1",IF(OR(BQ60=2,BQ60=3),"L23",IF(BQ60="Aussen","Aussen","-")))</f>
        <v/>
      </c>
      <c r="BS60" s="66">
        <f>IF(N(W60)&gt;0,W60,0)</f>
        <v/>
      </c>
      <c r="BT60" s="58">
        <f>IF(ISNUMBER(Z60),1,0)</f>
        <v/>
      </c>
      <c r="BU60" s="55">
        <f>N(Z60)</f>
        <v/>
      </c>
      <c r="BV60" s="55">
        <f>N(L60)+N(M60)</f>
        <v/>
      </c>
      <c r="BW60" s="55">
        <f>ROUNDUP(G60/BN60,0)</f>
        <v/>
      </c>
      <c r="BX60" s="55">
        <f>ROUNDUP(BU60/BN60,0)</f>
        <v/>
      </c>
      <c r="BY60" s="58">
        <f>IF(BO60=1,0,IFERROR(VLOOKUP(BM60,'Gebinde-Kategorie'!$A$5:$G$45,5,0)+0,0))</f>
        <v/>
      </c>
      <c r="BZ60" s="58">
        <f>IFERROR(IF(OR(BQ60=1,BQ60=2,BQ60=3),N(INDEX(Parameter!$I$5:$I$7,BQ60)),0),0)</f>
        <v/>
      </c>
    </row>
    <row r="61">
      <c r="A61" s="53" t="inlineStr">
        <is>
          <t>107415</t>
        </is>
      </c>
      <c r="B61" s="53" t="inlineStr">
        <is>
          <t>Rohr Anschweissstück Øi206</t>
        </is>
      </c>
      <c r="C61" s="53" t="inlineStr">
        <is>
          <t>F</t>
        </is>
      </c>
      <c r="D61" s="53" t="inlineStr">
        <is>
          <t>LIFT1</t>
        </is>
      </c>
      <c r="E61" s="53" t="inlineStr">
        <is>
          <t>C</t>
        </is>
      </c>
      <c r="F61" s="54" t="n">
        <v>832.7</v>
      </c>
      <c r="G61" s="55">
        <f>MAX(0,IF(Parameter!$B$20="Jahresanfang 2025 + Export",BG61+BF61,BF61))</f>
        <v/>
      </c>
      <c r="H61" s="55">
        <f>G61*F61</f>
        <v/>
      </c>
      <c r="I61" s="55">
        <f>BI61*Parameter!$B$18</f>
        <v/>
      </c>
      <c r="J61" s="56" t="n">
        <v>2.5</v>
      </c>
      <c r="K61" s="57" t="n">
        <v>0</v>
      </c>
      <c r="L61" s="55" t="n">
        <v>1</v>
      </c>
      <c r="M61" s="55" t="n">
        <v>5</v>
      </c>
      <c r="N61" s="58" t="n">
        <v>14</v>
      </c>
      <c r="O61" s="53" t="inlineStr">
        <is>
          <t>S81</t>
        </is>
      </c>
      <c r="P61" s="55" t="n">
        <v>3</v>
      </c>
      <c r="Q61" s="59">
        <f>IF(BO61=1,0,IFERROR(VLOOKUP(BM61,'Gebinde-Kategorie'!$A$5:$G$45,6,0)+0,0))</f>
        <v/>
      </c>
      <c r="R61" s="60" t="n"/>
      <c r="S61" s="61" t="n"/>
      <c r="T61" s="61" t="n"/>
      <c r="U61" s="53">
        <f>IF(A61="","",IF(IFERROR(VLOOKUP(D61,Parameter!$A$35:$C$64,2,0),"Nein")="2+3",IF(ISNUMBER(SEARCH("grosser Artikel",BJ61)),2,IFERROR(VLOOKUP(BM61,Parameter!$F$35:$G$64,2,0),2)),IF(OR(IFERROR(VLOOKUP(D61,Parameter!$A$35:$C$64,2,0),"Nein")="Nein",IFERROR(VLOOKUP(D61,Parameter!$A$35:$C$64,2,0),"Nein")=""),"-",VLOOKUP(D61,Parameter!$A$35:$C$64,2,0))))</f>
        <v/>
      </c>
      <c r="V61" s="61" t="n"/>
      <c r="W61" s="62" t="n"/>
      <c r="X61" s="55">
        <f>AM61</f>
        <v/>
      </c>
      <c r="Y61" s="55">
        <f>MAX(AM61,G61)</f>
        <v/>
      </c>
      <c r="Z61" s="63" t="n"/>
      <c r="AA61" s="55">
        <f>IF(LEFT(Cockpit!$C$5,1)="A",G61,IF(BT61=1,BU61,IF(LEFT(Cockpit!$C$5,1)="B",AE61,MAX(AE61,G61))))</f>
        <v/>
      </c>
      <c r="AB61" s="55">
        <f>IF(BO61=1,0,ROUNDUP(AA61/BN61,0))</f>
        <v/>
      </c>
      <c r="AC61" s="64">
        <f>IF(BO61=1,IF(AA61&lt;=0,0,BP61*MAX(1,IF(G61&gt;0,AA61/G61,1))),AB61*Q61)</f>
        <v/>
      </c>
      <c r="AD61" s="55">
        <f>AA61*F61</f>
        <v/>
      </c>
      <c r="AE61" s="55">
        <f>ROUNDUP(MAX(I61/IF(BS61&gt;0,BS61,MAX(0.1,N(Cockpit!$C$6))),BV61)/BN61,0)*BN61</f>
        <v/>
      </c>
      <c r="AF61" s="56">
        <f>IF(AC61&gt;0,I61/AC61,-1)</f>
        <v/>
      </c>
      <c r="AG61" s="56">
        <f>IF(AND(OR(BR61="L1",BR61="L23"),AC61&gt;0),SUMIFS($AC$7:$AC$1570,$BR$7:$BR$1570,BR61,$AF$7:$AF$1570,"&gt;"&amp;AF61)+SUMIFS($AC$7:$AC$1570,$BR$7:$BR$1570,BR61,$AF$7:$AF$1570,AF61,$BL$7:$BL$1570,"&lt;="&amp;BL61),"")</f>
        <v/>
      </c>
      <c r="AH61" s="65">
        <f>IF(AG61="",0,MAX(0,MIN(1,(IF(BR61="L1",Parameter!$K$5,Parameter!$K$6+Parameter!$K$7)-(AG61-AC61))/AC61)))</f>
        <v/>
      </c>
      <c r="AI61" s="55">
        <f>IF(LEFT(Cockpit!$I$5,1)="A",G61,IF(BT61=1,BU61,IF(LEFT(Cockpit!$I$5,1)="B",AM61,MAX(AM61,G61))))</f>
        <v/>
      </c>
      <c r="AJ61" s="55">
        <f>IF(BO61=1,0,ROUNDUP(AI61/BN61,0))</f>
        <v/>
      </c>
      <c r="AK61" s="64">
        <f>IF(BO61=1,IF(AI61&lt;=0,0,BP61*MAX(1,IF(G61&gt;0,AI61/G61,1))),AJ61*Q61)</f>
        <v/>
      </c>
      <c r="AL61" s="55">
        <f>AI61*F61</f>
        <v/>
      </c>
      <c r="AM61" s="55">
        <f>ROUNDUP(MAX(I61/IF(BS61&gt;0,BS61,MAX(0.1,N(Cockpit!$I$6))),BV61)/BN61,0)*BN61</f>
        <v/>
      </c>
      <c r="AN61" s="56">
        <f>IF(AK61&gt;0,I61/AK61,-1)</f>
        <v/>
      </c>
      <c r="AO61" s="56">
        <f>IF(AND(OR(BR61="L1",BR61="L23"),AK61&gt;0),SUMIFS($AK$7:$AK$1570,$BR$7:$BR$1570,BR61,$AN$7:$AN$1570,"&gt;"&amp;AN61)+SUMIFS($AK$7:$AK$1570,$BR$7:$BR$1570,BR61,$AN$7:$AN$1570,AN61,$BL$7:$BL$1570,"&lt;="&amp;BL61),"")</f>
        <v/>
      </c>
      <c r="AP61" s="65">
        <f>IF(AO61="",0,MAX(0,MIN(1,(IF(BR61="L1",Parameter!$K$5,Parameter!$K$6+Parameter!$K$7)-(AO61-AK61))/AK61)))</f>
        <v/>
      </c>
      <c r="AQ61" s="55">
        <f>IF(LEFT(Cockpit!$O$5,1)="A",G61,IF(BT61=1,BU61,IF(LEFT(Cockpit!$O$5,1)="B",AU61,MAX(AU61,G61))))</f>
        <v/>
      </c>
      <c r="AR61" s="55">
        <f>IF(BO61=1,0,ROUNDUP(AQ61/BN61,0))</f>
        <v/>
      </c>
      <c r="AS61" s="64">
        <f>IF(BO61=1,IF(AQ61&lt;=0,0,BP61*MAX(1,IF(G61&gt;0,AQ61/G61,1))),AR61*Q61)</f>
        <v/>
      </c>
      <c r="AT61" s="55">
        <f>AQ61*F61</f>
        <v/>
      </c>
      <c r="AU61" s="55">
        <f>ROUNDUP(MAX(I61/IF(BS61&gt;0,BS61,MAX(0.1,N(Cockpit!$O$6))),BV61)/BN61,0)*BN61</f>
        <v/>
      </c>
      <c r="AV61" s="56">
        <f>IF(AS61&gt;0,I61/AS61,-1)</f>
        <v/>
      </c>
      <c r="AW61" s="56">
        <f>IF(AND(OR(BR61="L1",BR61="L23"),AS61&gt;0),SUMIFS($AS$7:$AS$1570,$BR$7:$BR$1570,BR61,$AV$7:$AV$1570,"&gt;"&amp;AV61)+SUMIFS($AS$7:$AS$1570,$BR$7:$BR$1570,BR61,$AV$7:$AV$1570,AV61,$BL$7:$BL$1570,"&lt;="&amp;BL61),"")</f>
        <v/>
      </c>
      <c r="AX61" s="65">
        <f>IF(AW61="",0,MAX(0,MIN(1,(IF(BR61="L1",Parameter!$K$5,Parameter!$K$6+Parameter!$K$7)-(AW61-AS61))/AS61)))</f>
        <v/>
      </c>
      <c r="AY61" s="53">
        <f>IF(AC61&lt;=0,"",IF(BR61="Aussen","Aussenlager",IF(BR61="-","Nicht im Lift",IF(AH61&gt;=1,"Lift",IF(AH61&lt;=0,"Aussenlager","teilweise")))))</f>
        <v/>
      </c>
      <c r="AZ61" s="53">
        <f>IF(AK61&lt;=0,"",IF(BR61="Aussen","Aussenlager",IF(BR61="-","Nicht im Lift",IF(AP61&gt;=1,"Lift",IF(AP61&lt;=0,"Aussenlager","teilweise")))))</f>
        <v/>
      </c>
      <c r="BA61" s="53">
        <f>IF(AS61&lt;=0,"",IF(BR61="Aussen","Aussenlager",IF(BR61="-","Nicht im Lift",IF(AX61&gt;=1,"Lift",IF(AX61&lt;=0,"Aussenlager","teilweise")))))</f>
        <v/>
      </c>
      <c r="BB61" s="53">
        <f>IF(A61="","",IF(BK61=1,"Neu; ","")&amp;IF(AND(BK61=0,BF61&lt;0),"negativer Bestand (Export "&amp;BF61&amp;"); ","")&amp;IF(I61&lt;=0,"Kein Verbrauch; ","")&amp;IF(BO61=1,"Lose – Fläche geschätzt; ","")&amp;IF(G61&gt;AM61,"Überbestand "&amp;ROUND(G61-AM61,0)&amp;" Stk / CHF "&amp;ROUND((G61-AM61)*F61,0)&amp;"; ","")&amp;IF(AND(BT61=1,BU61&lt;BV61),"MAX &lt; MB+LG; ","")&amp;IF(AND(BZ61&gt;0,BY61*10&gt;BZ61),"zu hoch für Tablar; ","")&amp;IF(AND(BK61=0,OR(BT61=1,V61&lt;&gt;"",S61&lt;&gt;"",T61&lt;&gt;"",W61&lt;&gt;"")),"manuell übersteuert; ","")&amp;IF(AND(BO61=0,Q61=0),"Gebinde unbekannt; ","")&amp;IF(AND(BO61=0,N(T61)&lt;=0,N(P61)&lt;=0),"Menge pro Gebinde fehlt (Ist = 1 Gebinde); ","")&amp;BJ61)</f>
        <v/>
      </c>
      <c r="BC61" s="53" t="n"/>
      <c r="BD61" s="53" t="n"/>
      <c r="BE61" s="61" t="n"/>
      <c r="BF61" s="55" t="n">
        <v>5</v>
      </c>
      <c r="BG61" s="55" t="n">
        <v>0</v>
      </c>
      <c r="BH61" s="54" t="n">
        <v>4163.5</v>
      </c>
      <c r="BI61" s="55" t="n">
        <v>0</v>
      </c>
      <c r="BJ61" s="53" t="inlineStr"/>
      <c r="BK61" s="58" t="n">
        <v>0</v>
      </c>
      <c r="BL61" s="58" t="n">
        <v>61</v>
      </c>
      <c r="BM61" s="53">
        <f>IF(S61&lt;&gt;"",UPPER(TRIM(S61)),IF(O61="","LOSE",O61))</f>
        <v/>
      </c>
      <c r="BN61" s="55">
        <f>IF(BM61="LOSE",1,IF(N(T61)&gt;0,T61,IF(N(P61)&gt;0,P61,MAX(1,G61))))</f>
        <v/>
      </c>
      <c r="BO61" s="58">
        <f>IF(BM61="LOSE",1,0)</f>
        <v/>
      </c>
      <c r="BP61" s="64">
        <f>IF(BO61=0,0,IF(N(R61)&gt;0,R61,IFERROR(VLOOKUP(D61,Parameter!$A$35:$C$64,3,0)+0,0)))</f>
        <v/>
      </c>
      <c r="BQ61" s="53">
        <f>IF(V61&lt;&gt;"",V61,U61)</f>
        <v/>
      </c>
      <c r="BR61" s="53">
        <f>IF(BQ61=1,"L1",IF(OR(BQ61=2,BQ61=3),"L23",IF(BQ61="Aussen","Aussen","-")))</f>
        <v/>
      </c>
      <c r="BS61" s="66">
        <f>IF(N(W61)&gt;0,W61,0)</f>
        <v/>
      </c>
      <c r="BT61" s="58">
        <f>IF(ISNUMBER(Z61),1,0)</f>
        <v/>
      </c>
      <c r="BU61" s="55">
        <f>N(Z61)</f>
        <v/>
      </c>
      <c r="BV61" s="55">
        <f>N(L61)+N(M61)</f>
        <v/>
      </c>
      <c r="BW61" s="55">
        <f>ROUNDUP(G61/BN61,0)</f>
        <v/>
      </c>
      <c r="BX61" s="55">
        <f>ROUNDUP(BU61/BN61,0)</f>
        <v/>
      </c>
      <c r="BY61" s="58">
        <f>IF(BO61=1,0,IFERROR(VLOOKUP(BM61,'Gebinde-Kategorie'!$A$5:$G$45,5,0)+0,0))</f>
        <v/>
      </c>
      <c r="BZ61" s="58">
        <f>IFERROR(IF(OR(BQ61=1,BQ61=2,BQ61=3),N(INDEX(Parameter!$I$5:$I$7,BQ61)),0),0)</f>
        <v/>
      </c>
    </row>
    <row r="62">
      <c r="A62" s="53" t="inlineStr">
        <is>
          <t>112022</t>
        </is>
      </c>
      <c r="B62" s="53" t="inlineStr">
        <is>
          <t>Ventilblock Ausgang</t>
        </is>
      </c>
      <c r="C62" s="53" t="inlineStr">
        <is>
          <t>F</t>
        </is>
      </c>
      <c r="D62" s="53" t="inlineStr">
        <is>
          <t>KTL</t>
        </is>
      </c>
      <c r="E62" s="53" t="inlineStr">
        <is>
          <t>C</t>
        </is>
      </c>
      <c r="F62" s="54" t="n">
        <v>513</v>
      </c>
      <c r="G62" s="55">
        <f>MAX(0,IF(Parameter!$B$20="Jahresanfang 2025 + Export",BG62+BF62,BF62))</f>
        <v/>
      </c>
      <c r="H62" s="55">
        <f>G62*F62</f>
        <v/>
      </c>
      <c r="I62" s="55">
        <f>BI62*Parameter!$B$18</f>
        <v/>
      </c>
      <c r="J62" s="56" t="n">
        <v>0</v>
      </c>
      <c r="K62" s="57" t="n">
        <v>0</v>
      </c>
      <c r="L62" s="55" t="n">
        <v>0</v>
      </c>
      <c r="M62" s="55" t="n">
        <v>1</v>
      </c>
      <c r="N62" s="58" t="n">
        <v>9999</v>
      </c>
      <c r="O62" s="53" t="inlineStr">
        <is>
          <t>LOSE</t>
        </is>
      </c>
      <c r="P62" s="55" t="n"/>
      <c r="Q62" s="59">
        <f>IF(BO62=1,0,IFERROR(VLOOKUP(BM62,'Gebinde-Kategorie'!$A$5:$G$45,6,0)+0,0))</f>
        <v/>
      </c>
      <c r="R62" s="60" t="n"/>
      <c r="S62" s="61" t="n"/>
      <c r="T62" s="61" t="n"/>
      <c r="U62" s="53">
        <f>IF(A62="","",IF(IFERROR(VLOOKUP(D62,Parameter!$A$35:$C$64,2,0),"Nein")="2+3",IF(ISNUMBER(SEARCH("grosser Artikel",BJ62)),2,IFERROR(VLOOKUP(BM62,Parameter!$F$35:$G$64,2,0),2)),IF(OR(IFERROR(VLOOKUP(D62,Parameter!$A$35:$C$64,2,0),"Nein")="Nein",IFERROR(VLOOKUP(D62,Parameter!$A$35:$C$64,2,0),"Nein")=""),"-",VLOOKUP(D62,Parameter!$A$35:$C$64,2,0))))</f>
        <v/>
      </c>
      <c r="V62" s="61" t="n"/>
      <c r="W62" s="62" t="n"/>
      <c r="X62" s="55">
        <f>AM62</f>
        <v/>
      </c>
      <c r="Y62" s="55">
        <f>MAX(AM62,G62)</f>
        <v/>
      </c>
      <c r="Z62" s="63" t="n"/>
      <c r="AA62" s="55">
        <f>IF(LEFT(Cockpit!$C$5,1)="A",G62,IF(BT62=1,BU62,IF(LEFT(Cockpit!$C$5,1)="B",AE62,MAX(AE62,G62))))</f>
        <v/>
      </c>
      <c r="AB62" s="55">
        <f>IF(BO62=1,0,ROUNDUP(AA62/BN62,0))</f>
        <v/>
      </c>
      <c r="AC62" s="64">
        <f>IF(BO62=1,IF(AA62&lt;=0,0,BP62*MAX(1,IF(G62&gt;0,AA62/G62,1))),AB62*Q62)</f>
        <v/>
      </c>
      <c r="AD62" s="55">
        <f>AA62*F62</f>
        <v/>
      </c>
      <c r="AE62" s="55">
        <f>ROUNDUP(MAX(I62/IF(BS62&gt;0,BS62,MAX(0.1,N(Cockpit!$C$6))),BV62)/BN62,0)*BN62</f>
        <v/>
      </c>
      <c r="AF62" s="56">
        <f>IF(AC62&gt;0,I62/AC62,-1)</f>
        <v/>
      </c>
      <c r="AG62" s="56">
        <f>IF(AND(OR(BR62="L1",BR62="L23"),AC62&gt;0),SUMIFS($AC$7:$AC$1570,$BR$7:$BR$1570,BR62,$AF$7:$AF$1570,"&gt;"&amp;AF62)+SUMIFS($AC$7:$AC$1570,$BR$7:$BR$1570,BR62,$AF$7:$AF$1570,AF62,$BL$7:$BL$1570,"&lt;="&amp;BL62),"")</f>
        <v/>
      </c>
      <c r="AH62" s="65">
        <f>IF(AG62="",0,MAX(0,MIN(1,(IF(BR62="L1",Parameter!$K$5,Parameter!$K$6+Parameter!$K$7)-(AG62-AC62))/AC62)))</f>
        <v/>
      </c>
      <c r="AI62" s="55">
        <f>IF(LEFT(Cockpit!$I$5,1)="A",G62,IF(BT62=1,BU62,IF(LEFT(Cockpit!$I$5,1)="B",AM62,MAX(AM62,G62))))</f>
        <v/>
      </c>
      <c r="AJ62" s="55">
        <f>IF(BO62=1,0,ROUNDUP(AI62/BN62,0))</f>
        <v/>
      </c>
      <c r="AK62" s="64">
        <f>IF(BO62=1,IF(AI62&lt;=0,0,BP62*MAX(1,IF(G62&gt;0,AI62/G62,1))),AJ62*Q62)</f>
        <v/>
      </c>
      <c r="AL62" s="55">
        <f>AI62*F62</f>
        <v/>
      </c>
      <c r="AM62" s="55">
        <f>ROUNDUP(MAX(I62/IF(BS62&gt;0,BS62,MAX(0.1,N(Cockpit!$I$6))),BV62)/BN62,0)*BN62</f>
        <v/>
      </c>
      <c r="AN62" s="56">
        <f>IF(AK62&gt;0,I62/AK62,-1)</f>
        <v/>
      </c>
      <c r="AO62" s="56">
        <f>IF(AND(OR(BR62="L1",BR62="L23"),AK62&gt;0),SUMIFS($AK$7:$AK$1570,$BR$7:$BR$1570,BR62,$AN$7:$AN$1570,"&gt;"&amp;AN62)+SUMIFS($AK$7:$AK$1570,$BR$7:$BR$1570,BR62,$AN$7:$AN$1570,AN62,$BL$7:$BL$1570,"&lt;="&amp;BL62),"")</f>
        <v/>
      </c>
      <c r="AP62" s="65">
        <f>IF(AO62="",0,MAX(0,MIN(1,(IF(BR62="L1",Parameter!$K$5,Parameter!$K$6+Parameter!$K$7)-(AO62-AK62))/AK62)))</f>
        <v/>
      </c>
      <c r="AQ62" s="55">
        <f>IF(LEFT(Cockpit!$O$5,1)="A",G62,IF(BT62=1,BU62,IF(LEFT(Cockpit!$O$5,1)="B",AU62,MAX(AU62,G62))))</f>
        <v/>
      </c>
      <c r="AR62" s="55">
        <f>IF(BO62=1,0,ROUNDUP(AQ62/BN62,0))</f>
        <v/>
      </c>
      <c r="AS62" s="64">
        <f>IF(BO62=1,IF(AQ62&lt;=0,0,BP62*MAX(1,IF(G62&gt;0,AQ62/G62,1))),AR62*Q62)</f>
        <v/>
      </c>
      <c r="AT62" s="55">
        <f>AQ62*F62</f>
        <v/>
      </c>
      <c r="AU62" s="55">
        <f>ROUNDUP(MAX(I62/IF(BS62&gt;0,BS62,MAX(0.1,N(Cockpit!$O$6))),BV62)/BN62,0)*BN62</f>
        <v/>
      </c>
      <c r="AV62" s="56">
        <f>IF(AS62&gt;0,I62/AS62,-1)</f>
        <v/>
      </c>
      <c r="AW62" s="56">
        <f>IF(AND(OR(BR62="L1",BR62="L23"),AS62&gt;0),SUMIFS($AS$7:$AS$1570,$BR$7:$BR$1570,BR62,$AV$7:$AV$1570,"&gt;"&amp;AV62)+SUMIFS($AS$7:$AS$1570,$BR$7:$BR$1570,BR62,$AV$7:$AV$1570,AV62,$BL$7:$BL$1570,"&lt;="&amp;BL62),"")</f>
        <v/>
      </c>
      <c r="AX62" s="65">
        <f>IF(AW62="",0,MAX(0,MIN(1,(IF(BR62="L1",Parameter!$K$5,Parameter!$K$6+Parameter!$K$7)-(AW62-AS62))/AS62)))</f>
        <v/>
      </c>
      <c r="AY62" s="53">
        <f>IF(AC62&lt;=0,"",IF(BR62="Aussen","Aussenlager",IF(BR62="-","Nicht im Lift",IF(AH62&gt;=1,"Lift",IF(AH62&lt;=0,"Aussenlager","teilweise")))))</f>
        <v/>
      </c>
      <c r="AZ62" s="53">
        <f>IF(AK62&lt;=0,"",IF(BR62="Aussen","Aussenlager",IF(BR62="-","Nicht im Lift",IF(AP62&gt;=1,"Lift",IF(AP62&lt;=0,"Aussenlager","teilweise")))))</f>
        <v/>
      </c>
      <c r="BA62" s="53">
        <f>IF(AS62&lt;=0,"",IF(BR62="Aussen","Aussenlager",IF(BR62="-","Nicht im Lift",IF(AX62&gt;=1,"Lift",IF(AX62&lt;=0,"Aussenlager","teilweise")))))</f>
        <v/>
      </c>
      <c r="BB62" s="53">
        <f>IF(A62="","",IF(BK62=1,"Neu; ","")&amp;IF(AND(BK62=0,BF62&lt;0),"negativer Bestand (Export "&amp;BF62&amp;"); ","")&amp;IF(I62&lt;=0,"Kein Verbrauch; ","")&amp;IF(BO62=1,"Lose – Fläche geschätzt; ","")&amp;IF(G62&gt;AM62,"Überbestand "&amp;ROUND(G62-AM62,0)&amp;" Stk / CHF "&amp;ROUND((G62-AM62)*F62,0)&amp;"; ","")&amp;IF(AND(BT62=1,BU62&lt;BV62),"MAX &lt; MB+LG; ","")&amp;IF(AND(BZ62&gt;0,BY62*10&gt;BZ62),"zu hoch für Tablar; ","")&amp;IF(AND(BK62=0,OR(BT62=1,V62&lt;&gt;"",S62&lt;&gt;"",T62&lt;&gt;"",W62&lt;&gt;"")),"manuell übersteuert; ","")&amp;IF(AND(BO62=0,Q62=0),"Gebinde unbekannt; ","")&amp;IF(AND(BO62=0,N(T62)&lt;=0,N(P62)&lt;=0),"Menge pro Gebinde fehlt (Ist = 1 Gebinde); ","")&amp;BJ62)</f>
        <v/>
      </c>
      <c r="BC62" s="53" t="n"/>
      <c r="BD62" s="53" t="n"/>
      <c r="BE62" s="61" t="n"/>
      <c r="BF62" s="55" t="n">
        <v>8</v>
      </c>
      <c r="BG62" s="55" t="n">
        <v>0</v>
      </c>
      <c r="BH62" s="54" t="n">
        <v>4104</v>
      </c>
      <c r="BI62" s="55" t="n">
        <v>0</v>
      </c>
      <c r="BJ62" s="53" t="inlineStr"/>
      <c r="BK62" s="58" t="n">
        <v>0</v>
      </c>
      <c r="BL62" s="58" t="n">
        <v>62</v>
      </c>
      <c r="BM62" s="53">
        <f>IF(S62&lt;&gt;"",UPPER(TRIM(S62)),IF(O62="","LOSE",O62))</f>
        <v/>
      </c>
      <c r="BN62" s="55">
        <f>IF(BM62="LOSE",1,IF(N(T62)&gt;0,T62,IF(N(P62)&gt;0,P62,MAX(1,G62))))</f>
        <v/>
      </c>
      <c r="BO62" s="58">
        <f>IF(BM62="LOSE",1,0)</f>
        <v/>
      </c>
      <c r="BP62" s="64">
        <f>IF(BO62=0,0,IF(N(R62)&gt;0,R62,IFERROR(VLOOKUP(D62,Parameter!$A$35:$C$64,3,0)+0,0)))</f>
        <v/>
      </c>
      <c r="BQ62" s="53">
        <f>IF(V62&lt;&gt;"",V62,U62)</f>
        <v/>
      </c>
      <c r="BR62" s="53">
        <f>IF(BQ62=1,"L1",IF(OR(BQ62=2,BQ62=3),"L23",IF(BQ62="Aussen","Aussen","-")))</f>
        <v/>
      </c>
      <c r="BS62" s="66">
        <f>IF(N(W62)&gt;0,W62,0)</f>
        <v/>
      </c>
      <c r="BT62" s="58">
        <f>IF(ISNUMBER(Z62),1,0)</f>
        <v/>
      </c>
      <c r="BU62" s="55">
        <f>N(Z62)</f>
        <v/>
      </c>
      <c r="BV62" s="55">
        <f>N(L62)+N(M62)</f>
        <v/>
      </c>
      <c r="BW62" s="55">
        <f>ROUNDUP(G62/BN62,0)</f>
        <v/>
      </c>
      <c r="BX62" s="55">
        <f>ROUNDUP(BU62/BN62,0)</f>
        <v/>
      </c>
      <c r="BY62" s="58">
        <f>IF(BO62=1,0,IFERROR(VLOOKUP(BM62,'Gebinde-Kategorie'!$A$5:$G$45,5,0)+0,0))</f>
        <v/>
      </c>
      <c r="BZ62" s="58">
        <f>IFERROR(IF(OR(BQ62=1,BQ62=2,BQ62=3),N(INDEX(Parameter!$I$5:$I$7,BQ62)),0),0)</f>
        <v/>
      </c>
    </row>
    <row r="63">
      <c r="A63" s="53" t="inlineStr">
        <is>
          <t>100179</t>
        </is>
      </c>
      <c r="B63" s="53" t="inlineStr">
        <is>
          <t>Einschraubstutzen</t>
        </is>
      </c>
      <c r="C63" s="53" t="inlineStr">
        <is>
          <t>F</t>
        </is>
      </c>
      <c r="D63" s="53" t="inlineStr">
        <is>
          <t>KTL</t>
        </is>
      </c>
      <c r="E63" s="53" t="inlineStr">
        <is>
          <t>C</t>
        </is>
      </c>
      <c r="F63" s="54" t="n">
        <v>34.21</v>
      </c>
      <c r="G63" s="55">
        <f>MAX(0,IF(Parameter!$B$20="Jahresanfang 2025 + Export",BG63+BF63,BF63))</f>
        <v/>
      </c>
      <c r="H63" s="55">
        <f>G63*F63</f>
        <v/>
      </c>
      <c r="I63" s="55">
        <f>BI63*Parameter!$B$18</f>
        <v/>
      </c>
      <c r="J63" s="56" t="n">
        <v>102</v>
      </c>
      <c r="K63" s="57" t="n">
        <v>2.568627450980392</v>
      </c>
      <c r="L63" s="55" t="n">
        <v>45</v>
      </c>
      <c r="M63" s="55" t="n">
        <v>135</v>
      </c>
      <c r="N63" s="58" t="n">
        <v>56</v>
      </c>
      <c r="O63" s="53" t="inlineStr">
        <is>
          <t>S52</t>
        </is>
      </c>
      <c r="P63" s="55" t="n">
        <v>150</v>
      </c>
      <c r="Q63" s="59">
        <f>IF(BO63=1,0,IFERROR(VLOOKUP(BM63,'Gebinde-Kategorie'!$A$5:$G$45,6,0)+0,0))</f>
        <v/>
      </c>
      <c r="R63" s="60" t="n"/>
      <c r="S63" s="61" t="n"/>
      <c r="T63" s="61" t="n"/>
      <c r="U63" s="53">
        <f>IF(A63="","",IF(IFERROR(VLOOKUP(D63,Parameter!$A$35:$C$64,2,0),"Nein")="2+3",IF(ISNUMBER(SEARCH("grosser Artikel",BJ63)),2,IFERROR(VLOOKUP(BM63,Parameter!$F$35:$G$64,2,0),2)),IF(OR(IFERROR(VLOOKUP(D63,Parameter!$A$35:$C$64,2,0),"Nein")="Nein",IFERROR(VLOOKUP(D63,Parameter!$A$35:$C$64,2,0),"Nein")=""),"-",VLOOKUP(D63,Parameter!$A$35:$C$64,2,0))))</f>
        <v/>
      </c>
      <c r="V63" s="61" t="n"/>
      <c r="W63" s="62" t="n"/>
      <c r="X63" s="55">
        <f>AM63</f>
        <v/>
      </c>
      <c r="Y63" s="55">
        <f>MAX(AM63,G63)</f>
        <v/>
      </c>
      <c r="Z63" s="63" t="n"/>
      <c r="AA63" s="55">
        <f>IF(LEFT(Cockpit!$C$5,1)="A",G63,IF(BT63=1,BU63,IF(LEFT(Cockpit!$C$5,1)="B",AE63,MAX(AE63,G63))))</f>
        <v/>
      </c>
      <c r="AB63" s="55">
        <f>IF(BO63=1,0,ROUNDUP(AA63/BN63,0))</f>
        <v/>
      </c>
      <c r="AC63" s="64">
        <f>IF(BO63=1,IF(AA63&lt;=0,0,BP63*MAX(1,IF(G63&gt;0,AA63/G63,1))),AB63*Q63)</f>
        <v/>
      </c>
      <c r="AD63" s="55">
        <f>AA63*F63</f>
        <v/>
      </c>
      <c r="AE63" s="55">
        <f>ROUNDUP(MAX(I63/IF(BS63&gt;0,BS63,MAX(0.1,N(Cockpit!$C$6))),BV63)/BN63,0)*BN63</f>
        <v/>
      </c>
      <c r="AF63" s="56">
        <f>IF(AC63&gt;0,I63/AC63,-1)</f>
        <v/>
      </c>
      <c r="AG63" s="56">
        <f>IF(AND(OR(BR63="L1",BR63="L23"),AC63&gt;0),SUMIFS($AC$7:$AC$1570,$BR$7:$BR$1570,BR63,$AF$7:$AF$1570,"&gt;"&amp;AF63)+SUMIFS($AC$7:$AC$1570,$BR$7:$BR$1570,BR63,$AF$7:$AF$1570,AF63,$BL$7:$BL$1570,"&lt;="&amp;BL63),"")</f>
        <v/>
      </c>
      <c r="AH63" s="65">
        <f>IF(AG63="",0,MAX(0,MIN(1,(IF(BR63="L1",Parameter!$K$5,Parameter!$K$6+Parameter!$K$7)-(AG63-AC63))/AC63)))</f>
        <v/>
      </c>
      <c r="AI63" s="55">
        <f>IF(LEFT(Cockpit!$I$5,1)="A",G63,IF(BT63=1,BU63,IF(LEFT(Cockpit!$I$5,1)="B",AM63,MAX(AM63,G63))))</f>
        <v/>
      </c>
      <c r="AJ63" s="55">
        <f>IF(BO63=1,0,ROUNDUP(AI63/BN63,0))</f>
        <v/>
      </c>
      <c r="AK63" s="64">
        <f>IF(BO63=1,IF(AI63&lt;=0,0,BP63*MAX(1,IF(G63&gt;0,AI63/G63,1))),AJ63*Q63)</f>
        <v/>
      </c>
      <c r="AL63" s="55">
        <f>AI63*F63</f>
        <v/>
      </c>
      <c r="AM63" s="55">
        <f>ROUNDUP(MAX(I63/IF(BS63&gt;0,BS63,MAX(0.1,N(Cockpit!$I$6))),BV63)/BN63,0)*BN63</f>
        <v/>
      </c>
      <c r="AN63" s="56">
        <f>IF(AK63&gt;0,I63/AK63,-1)</f>
        <v/>
      </c>
      <c r="AO63" s="56">
        <f>IF(AND(OR(BR63="L1",BR63="L23"),AK63&gt;0),SUMIFS($AK$7:$AK$1570,$BR$7:$BR$1570,BR63,$AN$7:$AN$1570,"&gt;"&amp;AN63)+SUMIFS($AK$7:$AK$1570,$BR$7:$BR$1570,BR63,$AN$7:$AN$1570,AN63,$BL$7:$BL$1570,"&lt;="&amp;BL63),"")</f>
        <v/>
      </c>
      <c r="AP63" s="65">
        <f>IF(AO63="",0,MAX(0,MIN(1,(IF(BR63="L1",Parameter!$K$5,Parameter!$K$6+Parameter!$K$7)-(AO63-AK63))/AK63)))</f>
        <v/>
      </c>
      <c r="AQ63" s="55">
        <f>IF(LEFT(Cockpit!$O$5,1)="A",G63,IF(BT63=1,BU63,IF(LEFT(Cockpit!$O$5,1)="B",AU63,MAX(AU63,G63))))</f>
        <v/>
      </c>
      <c r="AR63" s="55">
        <f>IF(BO63=1,0,ROUNDUP(AQ63/BN63,0))</f>
        <v/>
      </c>
      <c r="AS63" s="64">
        <f>IF(BO63=1,IF(AQ63&lt;=0,0,BP63*MAX(1,IF(G63&gt;0,AQ63/G63,1))),AR63*Q63)</f>
        <v/>
      </c>
      <c r="AT63" s="55">
        <f>AQ63*F63</f>
        <v/>
      </c>
      <c r="AU63" s="55">
        <f>ROUNDUP(MAX(I63/IF(BS63&gt;0,BS63,MAX(0.1,N(Cockpit!$O$6))),BV63)/BN63,0)*BN63</f>
        <v/>
      </c>
      <c r="AV63" s="56">
        <f>IF(AS63&gt;0,I63/AS63,-1)</f>
        <v/>
      </c>
      <c r="AW63" s="56">
        <f>IF(AND(OR(BR63="L1",BR63="L23"),AS63&gt;0),SUMIFS($AS$7:$AS$1570,$BR$7:$BR$1570,BR63,$AV$7:$AV$1570,"&gt;"&amp;AV63)+SUMIFS($AS$7:$AS$1570,$BR$7:$BR$1570,BR63,$AV$7:$AV$1570,AV63,$BL$7:$BL$1570,"&lt;="&amp;BL63),"")</f>
        <v/>
      </c>
      <c r="AX63" s="65">
        <f>IF(AW63="",0,MAX(0,MIN(1,(IF(BR63="L1",Parameter!$K$5,Parameter!$K$6+Parameter!$K$7)-(AW63-AS63))/AS63)))</f>
        <v/>
      </c>
      <c r="AY63" s="53">
        <f>IF(AC63&lt;=0,"",IF(BR63="Aussen","Aussenlager",IF(BR63="-","Nicht im Lift",IF(AH63&gt;=1,"Lift",IF(AH63&lt;=0,"Aussenlager","teilweise")))))</f>
        <v/>
      </c>
      <c r="AZ63" s="53">
        <f>IF(AK63&lt;=0,"",IF(BR63="Aussen","Aussenlager",IF(BR63="-","Nicht im Lift",IF(AP63&gt;=1,"Lift",IF(AP63&lt;=0,"Aussenlager","teilweise")))))</f>
        <v/>
      </c>
      <c r="BA63" s="53">
        <f>IF(AS63&lt;=0,"",IF(BR63="Aussen","Aussenlager",IF(BR63="-","Nicht im Lift",IF(AX63&gt;=1,"Lift",IF(AX63&lt;=0,"Aussenlager","teilweise")))))</f>
        <v/>
      </c>
      <c r="BB63" s="53">
        <f>IF(A63="","",IF(BK63=1,"Neu; ","")&amp;IF(AND(BK63=0,BF63&lt;0),"negativer Bestand (Export "&amp;BF63&amp;"); ","")&amp;IF(I63&lt;=0,"Kein Verbrauch; ","")&amp;IF(BO63=1,"Lose – Fläche geschätzt; ","")&amp;IF(G63&gt;AM63,"Überbestand "&amp;ROUND(G63-AM63,0)&amp;" Stk / CHF "&amp;ROUND((G63-AM63)*F63,0)&amp;"; ","")&amp;IF(AND(BT63=1,BU63&lt;BV63),"MAX &lt; MB+LG; ","")&amp;IF(AND(BZ63&gt;0,BY63*10&gt;BZ63),"zu hoch für Tablar; ","")&amp;IF(AND(BK63=0,OR(BT63=1,V63&lt;&gt;"",S63&lt;&gt;"",T63&lt;&gt;"",W63&lt;&gt;"")),"manuell übersteuert; ","")&amp;IF(AND(BO63=0,Q63=0),"Gebinde unbekannt; ","")&amp;IF(AND(BO63=0,N(T63)&lt;=0,N(P63)&lt;=0),"Menge pro Gebinde fehlt (Ist = 1 Gebinde); ","")&amp;BJ63)</f>
        <v/>
      </c>
      <c r="BC63" s="53" t="inlineStr">
        <is>
          <t>Neu-Teil daher schlechter LU</t>
        </is>
      </c>
      <c r="BD63" s="53" t="n"/>
      <c r="BE63" s="61" t="n"/>
      <c r="BF63" s="55" t="n">
        <v>141</v>
      </c>
      <c r="BG63" s="55" t="n">
        <v>33</v>
      </c>
      <c r="BH63" s="54" t="n">
        <v>4088.729999999998</v>
      </c>
      <c r="BI63" s="55" t="n">
        <v>262</v>
      </c>
      <c r="BJ63" s="53" t="inlineStr"/>
      <c r="BK63" s="58" t="n">
        <v>0</v>
      </c>
      <c r="BL63" s="58" t="n">
        <v>63</v>
      </c>
      <c r="BM63" s="53">
        <f>IF(S63&lt;&gt;"",UPPER(TRIM(S63)),IF(O63="","LOSE",O63))</f>
        <v/>
      </c>
      <c r="BN63" s="55">
        <f>IF(BM63="LOSE",1,IF(N(T63)&gt;0,T63,IF(N(P63)&gt;0,P63,MAX(1,G63))))</f>
        <v/>
      </c>
      <c r="BO63" s="58">
        <f>IF(BM63="LOSE",1,0)</f>
        <v/>
      </c>
      <c r="BP63" s="64">
        <f>IF(BO63=0,0,IF(N(R63)&gt;0,R63,IFERROR(VLOOKUP(D63,Parameter!$A$35:$C$64,3,0)+0,0)))</f>
        <v/>
      </c>
      <c r="BQ63" s="53">
        <f>IF(V63&lt;&gt;"",V63,U63)</f>
        <v/>
      </c>
      <c r="BR63" s="53">
        <f>IF(BQ63=1,"L1",IF(OR(BQ63=2,BQ63=3),"L23",IF(BQ63="Aussen","Aussen","-")))</f>
        <v/>
      </c>
      <c r="BS63" s="66">
        <f>IF(N(W63)&gt;0,W63,0)</f>
        <v/>
      </c>
      <c r="BT63" s="58">
        <f>IF(ISNUMBER(Z63),1,0)</f>
        <v/>
      </c>
      <c r="BU63" s="55">
        <f>N(Z63)</f>
        <v/>
      </c>
      <c r="BV63" s="55">
        <f>N(L63)+N(M63)</f>
        <v/>
      </c>
      <c r="BW63" s="55">
        <f>ROUNDUP(G63/BN63,0)</f>
        <v/>
      </c>
      <c r="BX63" s="55">
        <f>ROUNDUP(BU63/BN63,0)</f>
        <v/>
      </c>
      <c r="BY63" s="58">
        <f>IF(BO63=1,0,IFERROR(VLOOKUP(BM63,'Gebinde-Kategorie'!$A$5:$G$45,5,0)+0,0))</f>
        <v/>
      </c>
      <c r="BZ63" s="58">
        <f>IFERROR(IF(OR(BQ63=1,BQ63=2,BQ63=3),N(INDEX(Parameter!$I$5:$I$7,BQ63)),0),0)</f>
        <v/>
      </c>
    </row>
    <row r="64">
      <c r="A64" s="53" t="inlineStr">
        <is>
          <t>001090</t>
        </is>
      </c>
      <c r="B64" s="53" t="inlineStr">
        <is>
          <t>Gleitmo 599</t>
        </is>
      </c>
      <c r="C64" s="53" t="inlineStr">
        <is>
          <t>F</t>
        </is>
      </c>
      <c r="D64" s="53" t="inlineStr">
        <is>
          <t>KTL</t>
        </is>
      </c>
      <c r="E64" s="53" t="inlineStr">
        <is>
          <t>C</t>
        </is>
      </c>
      <c r="F64" s="54" t="n">
        <v>2181.57</v>
      </c>
      <c r="G64" s="55">
        <f>MAX(0,IF(Parameter!$B$20="Jahresanfang 2025 + Export",BG64+BF64,BF64))</f>
        <v/>
      </c>
      <c r="H64" s="55">
        <f>G64*F64</f>
        <v/>
      </c>
      <c r="I64" s="55">
        <f>BI64*Parameter!$B$18</f>
        <v/>
      </c>
      <c r="J64" s="56" t="n">
        <v>0.4475000000000032</v>
      </c>
      <c r="K64" s="57" t="n">
        <v>5.821229050279287</v>
      </c>
      <c r="L64" s="55" t="n">
        <v>0</v>
      </c>
      <c r="M64" s="55" t="n">
        <v>1</v>
      </c>
      <c r="N64" s="58" t="n">
        <v>60</v>
      </c>
      <c r="O64" s="53" t="inlineStr">
        <is>
          <t>S41</t>
        </is>
      </c>
      <c r="P64" s="55" t="n">
        <v>3.3</v>
      </c>
      <c r="Q64" s="59">
        <f>IF(BO64=1,0,IFERROR(VLOOKUP(BM64,'Gebinde-Kategorie'!$A$5:$G$45,6,0)+0,0))</f>
        <v/>
      </c>
      <c r="R64" s="60" t="n"/>
      <c r="S64" s="61" t="n"/>
      <c r="T64" s="61" t="n"/>
      <c r="U64" s="53">
        <f>IF(A64="","",IF(IFERROR(VLOOKUP(D64,Parameter!$A$35:$C$64,2,0),"Nein")="2+3",IF(ISNUMBER(SEARCH("grosser Artikel",BJ64)),2,IFERROR(VLOOKUP(BM64,Parameter!$F$35:$G$64,2,0),2)),IF(OR(IFERROR(VLOOKUP(D64,Parameter!$A$35:$C$64,2,0),"Nein")="Nein",IFERROR(VLOOKUP(D64,Parameter!$A$35:$C$64,2,0),"Nein")=""),"-",VLOOKUP(D64,Parameter!$A$35:$C$64,2,0))))</f>
        <v/>
      </c>
      <c r="V64" s="61" t="n"/>
      <c r="W64" s="62" t="n"/>
      <c r="X64" s="55">
        <f>AM64</f>
        <v/>
      </c>
      <c r="Y64" s="55">
        <f>MAX(AM64,G64)</f>
        <v/>
      </c>
      <c r="Z64" s="63" t="n"/>
      <c r="AA64" s="55">
        <f>IF(LEFT(Cockpit!$C$5,1)="A",G64,IF(BT64=1,BU64,IF(LEFT(Cockpit!$C$5,1)="B",AE64,MAX(AE64,G64))))</f>
        <v/>
      </c>
      <c r="AB64" s="55">
        <f>IF(BO64=1,0,ROUNDUP(AA64/BN64,0))</f>
        <v/>
      </c>
      <c r="AC64" s="64">
        <f>IF(BO64=1,IF(AA64&lt;=0,0,BP64*MAX(1,IF(G64&gt;0,AA64/G64,1))),AB64*Q64)</f>
        <v/>
      </c>
      <c r="AD64" s="55">
        <f>AA64*F64</f>
        <v/>
      </c>
      <c r="AE64" s="55">
        <f>ROUNDUP(MAX(I64/IF(BS64&gt;0,BS64,MAX(0.1,N(Cockpit!$C$6))),BV64)/BN64,0)*BN64</f>
        <v/>
      </c>
      <c r="AF64" s="56">
        <f>IF(AC64&gt;0,I64/AC64,-1)</f>
        <v/>
      </c>
      <c r="AG64" s="56">
        <f>IF(AND(OR(BR64="L1",BR64="L23"),AC64&gt;0),SUMIFS($AC$7:$AC$1570,$BR$7:$BR$1570,BR64,$AF$7:$AF$1570,"&gt;"&amp;AF64)+SUMIFS($AC$7:$AC$1570,$BR$7:$BR$1570,BR64,$AF$7:$AF$1570,AF64,$BL$7:$BL$1570,"&lt;="&amp;BL64),"")</f>
        <v/>
      </c>
      <c r="AH64" s="65">
        <f>IF(AG64="",0,MAX(0,MIN(1,(IF(BR64="L1",Parameter!$K$5,Parameter!$K$6+Parameter!$K$7)-(AG64-AC64))/AC64)))</f>
        <v/>
      </c>
      <c r="AI64" s="55">
        <f>IF(LEFT(Cockpit!$I$5,1)="A",G64,IF(BT64=1,BU64,IF(LEFT(Cockpit!$I$5,1)="B",AM64,MAX(AM64,G64))))</f>
        <v/>
      </c>
      <c r="AJ64" s="55">
        <f>IF(BO64=1,0,ROUNDUP(AI64/BN64,0))</f>
        <v/>
      </c>
      <c r="AK64" s="64">
        <f>IF(BO64=1,IF(AI64&lt;=0,0,BP64*MAX(1,IF(G64&gt;0,AI64/G64,1))),AJ64*Q64)</f>
        <v/>
      </c>
      <c r="AL64" s="55">
        <f>AI64*F64</f>
        <v/>
      </c>
      <c r="AM64" s="55">
        <f>ROUNDUP(MAX(I64/IF(BS64&gt;0,BS64,MAX(0.1,N(Cockpit!$I$6))),BV64)/BN64,0)*BN64</f>
        <v/>
      </c>
      <c r="AN64" s="56">
        <f>IF(AK64&gt;0,I64/AK64,-1)</f>
        <v/>
      </c>
      <c r="AO64" s="56">
        <f>IF(AND(OR(BR64="L1",BR64="L23"),AK64&gt;0),SUMIFS($AK$7:$AK$1570,$BR$7:$BR$1570,BR64,$AN$7:$AN$1570,"&gt;"&amp;AN64)+SUMIFS($AK$7:$AK$1570,$BR$7:$BR$1570,BR64,$AN$7:$AN$1570,AN64,$BL$7:$BL$1570,"&lt;="&amp;BL64),"")</f>
        <v/>
      </c>
      <c r="AP64" s="65">
        <f>IF(AO64="",0,MAX(0,MIN(1,(IF(BR64="L1",Parameter!$K$5,Parameter!$K$6+Parameter!$K$7)-(AO64-AK64))/AK64)))</f>
        <v/>
      </c>
      <c r="AQ64" s="55">
        <f>IF(LEFT(Cockpit!$O$5,1)="A",G64,IF(BT64=1,BU64,IF(LEFT(Cockpit!$O$5,1)="B",AU64,MAX(AU64,G64))))</f>
        <v/>
      </c>
      <c r="AR64" s="55">
        <f>IF(BO64=1,0,ROUNDUP(AQ64/BN64,0))</f>
        <v/>
      </c>
      <c r="AS64" s="64">
        <f>IF(BO64=1,IF(AQ64&lt;=0,0,BP64*MAX(1,IF(G64&gt;0,AQ64/G64,1))),AR64*Q64)</f>
        <v/>
      </c>
      <c r="AT64" s="55">
        <f>AQ64*F64</f>
        <v/>
      </c>
      <c r="AU64" s="55">
        <f>ROUNDUP(MAX(I64/IF(BS64&gt;0,BS64,MAX(0.1,N(Cockpit!$O$6))),BV64)/BN64,0)*BN64</f>
        <v/>
      </c>
      <c r="AV64" s="56">
        <f>IF(AS64&gt;0,I64/AS64,-1)</f>
        <v/>
      </c>
      <c r="AW64" s="56">
        <f>IF(AND(OR(BR64="L1",BR64="L23"),AS64&gt;0),SUMIFS($AS$7:$AS$1570,$BR$7:$BR$1570,BR64,$AV$7:$AV$1570,"&gt;"&amp;AV64)+SUMIFS($AS$7:$AS$1570,$BR$7:$BR$1570,BR64,$AV$7:$AV$1570,AV64,$BL$7:$BL$1570,"&lt;="&amp;BL64),"")</f>
        <v/>
      </c>
      <c r="AX64" s="65">
        <f>IF(AW64="",0,MAX(0,MIN(1,(IF(BR64="L1",Parameter!$K$5,Parameter!$K$6+Parameter!$K$7)-(AW64-AS64))/AS64)))</f>
        <v/>
      </c>
      <c r="AY64" s="53">
        <f>IF(AC64&lt;=0,"",IF(BR64="Aussen","Aussenlager",IF(BR64="-","Nicht im Lift",IF(AH64&gt;=1,"Lift",IF(AH64&lt;=0,"Aussenlager","teilweise")))))</f>
        <v/>
      </c>
      <c r="AZ64" s="53">
        <f>IF(AK64&lt;=0,"",IF(BR64="Aussen","Aussenlager",IF(BR64="-","Nicht im Lift",IF(AP64&gt;=1,"Lift",IF(AP64&lt;=0,"Aussenlager","teilweise")))))</f>
        <v/>
      </c>
      <c r="BA64" s="53">
        <f>IF(AS64&lt;=0,"",IF(BR64="Aussen","Aussenlager",IF(BR64="-","Nicht im Lift",IF(AX64&gt;=1,"Lift",IF(AX64&lt;=0,"Aussenlager","teilweise")))))</f>
        <v/>
      </c>
      <c r="BB64" s="53">
        <f>IF(A64="","",IF(BK64=1,"Neu; ","")&amp;IF(AND(BK64=0,BF64&lt;0),"negativer Bestand (Export "&amp;BF64&amp;"); ","")&amp;IF(I64&lt;=0,"Kein Verbrauch; ","")&amp;IF(BO64=1,"Lose – Fläche geschätzt; ","")&amp;IF(G64&gt;AM64,"Überbestand "&amp;ROUND(G64-AM64,0)&amp;" Stk / CHF "&amp;ROUND((G64-AM64)*F64,0)&amp;"; ","")&amp;IF(AND(BT64=1,BU64&lt;BV64),"MAX &lt; MB+LG; ","")&amp;IF(AND(BZ64&gt;0,BY64*10&gt;BZ64),"zu hoch für Tablar; ","")&amp;IF(AND(BK64=0,OR(BT64=1,V64&lt;&gt;"",S64&lt;&gt;"",T64&lt;&gt;"",W64&lt;&gt;"")),"manuell übersteuert; ","")&amp;IF(AND(BO64=0,Q64=0),"Gebinde unbekannt; ","")&amp;IF(AND(BO64=0,N(T64)&lt;=0,N(P64)&lt;=0),"Menge pro Gebinde fehlt (Ist = 1 Gebinde); ","")&amp;BJ64)</f>
        <v/>
      </c>
      <c r="BC64" s="53" t="inlineStr">
        <is>
          <t>Losgrösse war auf 10 Stk. neu auf 5 Stk. -&gt; Sollte sich von alleine aufbrauchen</t>
        </is>
      </c>
      <c r="BD64" s="53" t="n"/>
      <c r="BE64" s="61" t="n"/>
      <c r="BF64" s="55" t="n">
        <v>1.900000000000002</v>
      </c>
      <c r="BG64" s="55" t="n">
        <v>0.2500000000000038</v>
      </c>
      <c r="BH64" s="54" t="n">
        <v>3955.600000000001</v>
      </c>
      <c r="BI64" s="55" t="n">
        <v>2.605</v>
      </c>
      <c r="BJ64" s="53" t="inlineStr"/>
      <c r="BK64" s="58" t="n">
        <v>0</v>
      </c>
      <c r="BL64" s="58" t="n">
        <v>64</v>
      </c>
      <c r="BM64" s="53">
        <f>IF(S64&lt;&gt;"",UPPER(TRIM(S64)),IF(O64="","LOSE",O64))</f>
        <v/>
      </c>
      <c r="BN64" s="55">
        <f>IF(BM64="LOSE",1,IF(N(T64)&gt;0,T64,IF(N(P64)&gt;0,P64,MAX(1,G64))))</f>
        <v/>
      </c>
      <c r="BO64" s="58">
        <f>IF(BM64="LOSE",1,0)</f>
        <v/>
      </c>
      <c r="BP64" s="64">
        <f>IF(BO64=0,0,IF(N(R64)&gt;0,R64,IFERROR(VLOOKUP(D64,Parameter!$A$35:$C$64,3,0)+0,0)))</f>
        <v/>
      </c>
      <c r="BQ64" s="53">
        <f>IF(V64&lt;&gt;"",V64,U64)</f>
        <v/>
      </c>
      <c r="BR64" s="53">
        <f>IF(BQ64=1,"L1",IF(OR(BQ64=2,BQ64=3),"L23",IF(BQ64="Aussen","Aussen","-")))</f>
        <v/>
      </c>
      <c r="BS64" s="66">
        <f>IF(N(W64)&gt;0,W64,0)</f>
        <v/>
      </c>
      <c r="BT64" s="58">
        <f>IF(ISNUMBER(Z64),1,0)</f>
        <v/>
      </c>
      <c r="BU64" s="55">
        <f>N(Z64)</f>
        <v/>
      </c>
      <c r="BV64" s="55">
        <f>N(L64)+N(M64)</f>
        <v/>
      </c>
      <c r="BW64" s="55">
        <f>ROUNDUP(G64/BN64,0)</f>
        <v/>
      </c>
      <c r="BX64" s="55">
        <f>ROUNDUP(BU64/BN64,0)</f>
        <v/>
      </c>
      <c r="BY64" s="58">
        <f>IF(BO64=1,0,IFERROR(VLOOKUP(BM64,'Gebinde-Kategorie'!$A$5:$G$45,5,0)+0,0))</f>
        <v/>
      </c>
      <c r="BZ64" s="58">
        <f>IFERROR(IF(OR(BQ64=1,BQ64=2,BQ64=3),N(INDEX(Parameter!$I$5:$I$7,BQ64)),0),0)</f>
        <v/>
      </c>
    </row>
    <row r="65">
      <c r="A65" s="53" t="inlineStr">
        <is>
          <t>111982</t>
        </is>
      </c>
      <c r="B65" s="53" t="inlineStr">
        <is>
          <t>Heizschlauch</t>
        </is>
      </c>
      <c r="C65" s="53" t="inlineStr">
        <is>
          <t>F</t>
        </is>
      </c>
      <c r="D65" s="53" t="inlineStr">
        <is>
          <t>PAL</t>
        </is>
      </c>
      <c r="E65" s="53" t="inlineStr">
        <is>
          <t>C</t>
        </is>
      </c>
      <c r="F65" s="54" t="n">
        <v>788.3099999999999</v>
      </c>
      <c r="G65" s="55">
        <f>MAX(0,IF(Parameter!$B$20="Jahresanfang 2025 + Export",BG65+BF65,BF65))</f>
        <v/>
      </c>
      <c r="H65" s="55">
        <f>G65*F65</f>
        <v/>
      </c>
      <c r="I65" s="55">
        <f>BI65*Parameter!$B$18</f>
        <v/>
      </c>
      <c r="J65" s="56" t="n">
        <v>0</v>
      </c>
      <c r="K65" s="57" t="n">
        <v>0</v>
      </c>
      <c r="L65" s="55" t="n">
        <v>0</v>
      </c>
      <c r="M65" s="55" t="n">
        <v>5</v>
      </c>
      <c r="N65" s="58" t="n">
        <v>9999</v>
      </c>
      <c r="O65" s="53" t="inlineStr">
        <is>
          <t>LOSE</t>
        </is>
      </c>
      <c r="P65" s="55" t="n"/>
      <c r="Q65" s="59">
        <f>IF(BO65=1,0,IFERROR(VLOOKUP(BM65,'Gebinde-Kategorie'!$A$5:$G$45,6,0)+0,0))</f>
        <v/>
      </c>
      <c r="R65" s="60" t="n"/>
      <c r="S65" s="61" t="n"/>
      <c r="T65" s="61" t="n"/>
      <c r="U65" s="53">
        <f>IF(A65="","",IF(IFERROR(VLOOKUP(D65,Parameter!$A$35:$C$64,2,0),"Nein")="2+3",IF(ISNUMBER(SEARCH("grosser Artikel",BJ65)),2,IFERROR(VLOOKUP(BM65,Parameter!$F$35:$G$64,2,0),2)),IF(OR(IFERROR(VLOOKUP(D65,Parameter!$A$35:$C$64,2,0),"Nein")="Nein",IFERROR(VLOOKUP(D65,Parameter!$A$35:$C$64,2,0),"Nein")=""),"-",VLOOKUP(D65,Parameter!$A$35:$C$64,2,0))))</f>
        <v/>
      </c>
      <c r="V65" s="61" t="n"/>
      <c r="W65" s="62" t="n"/>
      <c r="X65" s="55">
        <f>AM65</f>
        <v/>
      </c>
      <c r="Y65" s="55">
        <f>MAX(AM65,G65)</f>
        <v/>
      </c>
      <c r="Z65" s="63" t="n"/>
      <c r="AA65" s="55">
        <f>IF(LEFT(Cockpit!$C$5,1)="A",G65,IF(BT65=1,BU65,IF(LEFT(Cockpit!$C$5,1)="B",AE65,MAX(AE65,G65))))</f>
        <v/>
      </c>
      <c r="AB65" s="55">
        <f>IF(BO65=1,0,ROUNDUP(AA65/BN65,0))</f>
        <v/>
      </c>
      <c r="AC65" s="64">
        <f>IF(BO65=1,IF(AA65&lt;=0,0,BP65*MAX(1,IF(G65&gt;0,AA65/G65,1))),AB65*Q65)</f>
        <v/>
      </c>
      <c r="AD65" s="55">
        <f>AA65*F65</f>
        <v/>
      </c>
      <c r="AE65" s="55">
        <f>ROUNDUP(MAX(I65/IF(BS65&gt;0,BS65,MAX(0.1,N(Cockpit!$C$6))),BV65)/BN65,0)*BN65</f>
        <v/>
      </c>
      <c r="AF65" s="56">
        <f>IF(AC65&gt;0,I65/AC65,-1)</f>
        <v/>
      </c>
      <c r="AG65" s="56">
        <f>IF(AND(OR(BR65="L1",BR65="L23"),AC65&gt;0),SUMIFS($AC$7:$AC$1570,$BR$7:$BR$1570,BR65,$AF$7:$AF$1570,"&gt;"&amp;AF65)+SUMIFS($AC$7:$AC$1570,$BR$7:$BR$1570,BR65,$AF$7:$AF$1570,AF65,$BL$7:$BL$1570,"&lt;="&amp;BL65),"")</f>
        <v/>
      </c>
      <c r="AH65" s="65">
        <f>IF(AG65="",0,MAX(0,MIN(1,(IF(BR65="L1",Parameter!$K$5,Parameter!$K$6+Parameter!$K$7)-(AG65-AC65))/AC65)))</f>
        <v/>
      </c>
      <c r="AI65" s="55">
        <f>IF(LEFT(Cockpit!$I$5,1)="A",G65,IF(BT65=1,BU65,IF(LEFT(Cockpit!$I$5,1)="B",AM65,MAX(AM65,G65))))</f>
        <v/>
      </c>
      <c r="AJ65" s="55">
        <f>IF(BO65=1,0,ROUNDUP(AI65/BN65,0))</f>
        <v/>
      </c>
      <c r="AK65" s="64">
        <f>IF(BO65=1,IF(AI65&lt;=0,0,BP65*MAX(1,IF(G65&gt;0,AI65/G65,1))),AJ65*Q65)</f>
        <v/>
      </c>
      <c r="AL65" s="55">
        <f>AI65*F65</f>
        <v/>
      </c>
      <c r="AM65" s="55">
        <f>ROUNDUP(MAX(I65/IF(BS65&gt;0,BS65,MAX(0.1,N(Cockpit!$I$6))),BV65)/BN65,0)*BN65</f>
        <v/>
      </c>
      <c r="AN65" s="56">
        <f>IF(AK65&gt;0,I65/AK65,-1)</f>
        <v/>
      </c>
      <c r="AO65" s="56">
        <f>IF(AND(OR(BR65="L1",BR65="L23"),AK65&gt;0),SUMIFS($AK$7:$AK$1570,$BR$7:$BR$1570,BR65,$AN$7:$AN$1570,"&gt;"&amp;AN65)+SUMIFS($AK$7:$AK$1570,$BR$7:$BR$1570,BR65,$AN$7:$AN$1570,AN65,$BL$7:$BL$1570,"&lt;="&amp;BL65),"")</f>
        <v/>
      </c>
      <c r="AP65" s="65">
        <f>IF(AO65="",0,MAX(0,MIN(1,(IF(BR65="L1",Parameter!$K$5,Parameter!$K$6+Parameter!$K$7)-(AO65-AK65))/AK65)))</f>
        <v/>
      </c>
      <c r="AQ65" s="55">
        <f>IF(LEFT(Cockpit!$O$5,1)="A",G65,IF(BT65=1,BU65,IF(LEFT(Cockpit!$O$5,1)="B",AU65,MAX(AU65,G65))))</f>
        <v/>
      </c>
      <c r="AR65" s="55">
        <f>IF(BO65=1,0,ROUNDUP(AQ65/BN65,0))</f>
        <v/>
      </c>
      <c r="AS65" s="64">
        <f>IF(BO65=1,IF(AQ65&lt;=0,0,BP65*MAX(1,IF(G65&gt;0,AQ65/G65,1))),AR65*Q65)</f>
        <v/>
      </c>
      <c r="AT65" s="55">
        <f>AQ65*F65</f>
        <v/>
      </c>
      <c r="AU65" s="55">
        <f>ROUNDUP(MAX(I65/IF(BS65&gt;0,BS65,MAX(0.1,N(Cockpit!$O$6))),BV65)/BN65,0)*BN65</f>
        <v/>
      </c>
      <c r="AV65" s="56">
        <f>IF(AS65&gt;0,I65/AS65,-1)</f>
        <v/>
      </c>
      <c r="AW65" s="56">
        <f>IF(AND(OR(BR65="L1",BR65="L23"),AS65&gt;0),SUMIFS($AS$7:$AS$1570,$BR$7:$BR$1570,BR65,$AV$7:$AV$1570,"&gt;"&amp;AV65)+SUMIFS($AS$7:$AS$1570,$BR$7:$BR$1570,BR65,$AV$7:$AV$1570,AV65,$BL$7:$BL$1570,"&lt;="&amp;BL65),"")</f>
        <v/>
      </c>
      <c r="AX65" s="65">
        <f>IF(AW65="",0,MAX(0,MIN(1,(IF(BR65="L1",Parameter!$K$5,Parameter!$K$6+Parameter!$K$7)-(AW65-AS65))/AS65)))</f>
        <v/>
      </c>
      <c r="AY65" s="53">
        <f>IF(AC65&lt;=0,"",IF(BR65="Aussen","Aussenlager",IF(BR65="-","Nicht im Lift",IF(AH65&gt;=1,"Lift",IF(AH65&lt;=0,"Aussenlager","teilweise")))))</f>
        <v/>
      </c>
      <c r="AZ65" s="53">
        <f>IF(AK65&lt;=0,"",IF(BR65="Aussen","Aussenlager",IF(BR65="-","Nicht im Lift",IF(AP65&gt;=1,"Lift",IF(AP65&lt;=0,"Aussenlager","teilweise")))))</f>
        <v/>
      </c>
      <c r="BA65" s="53">
        <f>IF(AS65&lt;=0,"",IF(BR65="Aussen","Aussenlager",IF(BR65="-","Nicht im Lift",IF(AX65&gt;=1,"Lift",IF(AX65&lt;=0,"Aussenlager","teilweise")))))</f>
        <v/>
      </c>
      <c r="BB65" s="53">
        <f>IF(A65="","",IF(BK65=1,"Neu; ","")&amp;IF(AND(BK65=0,BF65&lt;0),"negativer Bestand (Export "&amp;BF65&amp;"); ","")&amp;IF(I65&lt;=0,"Kein Verbrauch; ","")&amp;IF(BO65=1,"Lose – Fläche geschätzt; ","")&amp;IF(G65&gt;AM65,"Überbestand "&amp;ROUND(G65-AM65,0)&amp;" Stk / CHF "&amp;ROUND((G65-AM65)*F65,0)&amp;"; ","")&amp;IF(AND(BT65=1,BU65&lt;BV65),"MAX &lt; MB+LG; ","")&amp;IF(AND(BZ65&gt;0,BY65*10&gt;BZ65),"zu hoch für Tablar; ","")&amp;IF(AND(BK65=0,OR(BT65=1,V65&lt;&gt;"",S65&lt;&gt;"",T65&lt;&gt;"",W65&lt;&gt;"")),"manuell übersteuert; ","")&amp;IF(AND(BO65=0,Q65=0),"Gebinde unbekannt; ","")&amp;IF(AND(BO65=0,N(T65)&lt;=0,N(P65)&lt;=0),"Menge pro Gebinde fehlt (Ist = 1 Gebinde); ","")&amp;BJ65)</f>
        <v/>
      </c>
      <c r="BC65" s="53" t="inlineStr">
        <is>
          <t>Letzter WE 2024? Verbrauch sehr wenig (10-20 Stk. pro Jahr) Rahmen war über 100 Stk. und musste abgenommen werden</t>
        </is>
      </c>
      <c r="BD65" s="53" t="n"/>
      <c r="BE65" s="61" t="n"/>
      <c r="BF65" s="55" t="n">
        <v>5</v>
      </c>
      <c r="BG65" s="55" t="n">
        <v>0</v>
      </c>
      <c r="BH65" s="54" t="n">
        <v>3941.55</v>
      </c>
      <c r="BI65" s="55" t="n">
        <v>0</v>
      </c>
      <c r="BJ65" s="53" t="inlineStr"/>
      <c r="BK65" s="58" t="n">
        <v>0</v>
      </c>
      <c r="BL65" s="58" t="n">
        <v>65</v>
      </c>
      <c r="BM65" s="53">
        <f>IF(S65&lt;&gt;"",UPPER(TRIM(S65)),IF(O65="","LOSE",O65))</f>
        <v/>
      </c>
      <c r="BN65" s="55">
        <f>IF(BM65="LOSE",1,IF(N(T65)&gt;0,T65,IF(N(P65)&gt;0,P65,MAX(1,G65))))</f>
        <v/>
      </c>
      <c r="BO65" s="58">
        <f>IF(BM65="LOSE",1,0)</f>
        <v/>
      </c>
      <c r="BP65" s="64">
        <f>IF(BO65=0,0,IF(N(R65)&gt;0,R65,IFERROR(VLOOKUP(D65,Parameter!$A$35:$C$64,3,0)+0,0)))</f>
        <v/>
      </c>
      <c r="BQ65" s="53">
        <f>IF(V65&lt;&gt;"",V65,U65)</f>
        <v/>
      </c>
      <c r="BR65" s="53">
        <f>IF(BQ65=1,"L1",IF(OR(BQ65=2,BQ65=3),"L23",IF(BQ65="Aussen","Aussen","-")))</f>
        <v/>
      </c>
      <c r="BS65" s="66">
        <f>IF(N(W65)&gt;0,W65,0)</f>
        <v/>
      </c>
      <c r="BT65" s="58">
        <f>IF(ISNUMBER(Z65),1,0)</f>
        <v/>
      </c>
      <c r="BU65" s="55">
        <f>N(Z65)</f>
        <v/>
      </c>
      <c r="BV65" s="55">
        <f>N(L65)+N(M65)</f>
        <v/>
      </c>
      <c r="BW65" s="55">
        <f>ROUNDUP(G65/BN65,0)</f>
        <v/>
      </c>
      <c r="BX65" s="55">
        <f>ROUNDUP(BU65/BN65,0)</f>
        <v/>
      </c>
      <c r="BY65" s="58">
        <f>IF(BO65=1,0,IFERROR(VLOOKUP(BM65,'Gebinde-Kategorie'!$A$5:$G$45,5,0)+0,0))</f>
        <v/>
      </c>
      <c r="BZ65" s="58">
        <f>IFERROR(IF(OR(BQ65=1,BQ65=2,BQ65=3),N(INDEX(Parameter!$I$5:$I$7,BQ65)),0),0)</f>
        <v/>
      </c>
    </row>
    <row r="66">
      <c r="A66" s="53" t="inlineStr">
        <is>
          <t>108523</t>
        </is>
      </c>
      <c r="B66" s="53" t="inlineStr">
        <is>
          <t>Brenngasblock BASE komplett</t>
        </is>
      </c>
      <c r="C66" s="53" t="inlineStr">
        <is>
          <t>F</t>
        </is>
      </c>
      <c r="D66" s="53" t="inlineStr">
        <is>
          <t>PAL</t>
        </is>
      </c>
      <c r="E66" s="53" t="inlineStr">
        <is>
          <t>C</t>
        </is>
      </c>
      <c r="F66" s="54" t="n">
        <v>1947</v>
      </c>
      <c r="G66" s="55">
        <f>MAX(0,IF(Parameter!$B$20="Jahresanfang 2025 + Export",BG66+BF66,BF66))</f>
        <v/>
      </c>
      <c r="H66" s="55">
        <f>G66*F66</f>
        <v/>
      </c>
      <c r="I66" s="55">
        <f>BI66*Parameter!$B$18</f>
        <v/>
      </c>
      <c r="J66" s="56" t="n">
        <v>1</v>
      </c>
      <c r="K66" s="57" t="n">
        <v>0</v>
      </c>
      <c r="L66" s="55" t="n">
        <v>0</v>
      </c>
      <c r="M66" s="55" t="n">
        <v>1</v>
      </c>
      <c r="N66" s="58" t="n">
        <v>70</v>
      </c>
      <c r="O66" s="53" t="inlineStr">
        <is>
          <t>S51</t>
        </is>
      </c>
      <c r="P66" s="55" t="n">
        <v>2</v>
      </c>
      <c r="Q66" s="59">
        <f>IF(BO66=1,0,IFERROR(VLOOKUP(BM66,'Gebinde-Kategorie'!$A$5:$G$45,6,0)+0,0))</f>
        <v/>
      </c>
      <c r="R66" s="60" t="n"/>
      <c r="S66" s="61" t="n"/>
      <c r="T66" s="61" t="n"/>
      <c r="U66" s="53">
        <f>IF(A66="","",IF(IFERROR(VLOOKUP(D66,Parameter!$A$35:$C$64,2,0),"Nein")="2+3",IF(ISNUMBER(SEARCH("grosser Artikel",BJ66)),2,IFERROR(VLOOKUP(BM66,Parameter!$F$35:$G$64,2,0),2)),IF(OR(IFERROR(VLOOKUP(D66,Parameter!$A$35:$C$64,2,0),"Nein")="Nein",IFERROR(VLOOKUP(D66,Parameter!$A$35:$C$64,2,0),"Nein")=""),"-",VLOOKUP(D66,Parameter!$A$35:$C$64,2,0))))</f>
        <v/>
      </c>
      <c r="V66" s="61" t="n"/>
      <c r="W66" s="62" t="n"/>
      <c r="X66" s="55">
        <f>AM66</f>
        <v/>
      </c>
      <c r="Y66" s="55">
        <f>MAX(AM66,G66)</f>
        <v/>
      </c>
      <c r="Z66" s="63" t="n"/>
      <c r="AA66" s="55">
        <f>IF(LEFT(Cockpit!$C$5,1)="A",G66,IF(BT66=1,BU66,IF(LEFT(Cockpit!$C$5,1)="B",AE66,MAX(AE66,G66))))</f>
        <v/>
      </c>
      <c r="AB66" s="55">
        <f>IF(BO66=1,0,ROUNDUP(AA66/BN66,0))</f>
        <v/>
      </c>
      <c r="AC66" s="64">
        <f>IF(BO66=1,IF(AA66&lt;=0,0,BP66*MAX(1,IF(G66&gt;0,AA66/G66,1))),AB66*Q66)</f>
        <v/>
      </c>
      <c r="AD66" s="55">
        <f>AA66*F66</f>
        <v/>
      </c>
      <c r="AE66" s="55">
        <f>ROUNDUP(MAX(I66/IF(BS66&gt;0,BS66,MAX(0.1,N(Cockpit!$C$6))),BV66)/BN66,0)*BN66</f>
        <v/>
      </c>
      <c r="AF66" s="56">
        <f>IF(AC66&gt;0,I66/AC66,-1)</f>
        <v/>
      </c>
      <c r="AG66" s="56">
        <f>IF(AND(OR(BR66="L1",BR66="L23"),AC66&gt;0),SUMIFS($AC$7:$AC$1570,$BR$7:$BR$1570,BR66,$AF$7:$AF$1570,"&gt;"&amp;AF66)+SUMIFS($AC$7:$AC$1570,$BR$7:$BR$1570,BR66,$AF$7:$AF$1570,AF66,$BL$7:$BL$1570,"&lt;="&amp;BL66),"")</f>
        <v/>
      </c>
      <c r="AH66" s="65">
        <f>IF(AG66="",0,MAX(0,MIN(1,(IF(BR66="L1",Parameter!$K$5,Parameter!$K$6+Parameter!$K$7)-(AG66-AC66))/AC66)))</f>
        <v/>
      </c>
      <c r="AI66" s="55">
        <f>IF(LEFT(Cockpit!$I$5,1)="A",G66,IF(BT66=1,BU66,IF(LEFT(Cockpit!$I$5,1)="B",AM66,MAX(AM66,G66))))</f>
        <v/>
      </c>
      <c r="AJ66" s="55">
        <f>IF(BO66=1,0,ROUNDUP(AI66/BN66,0))</f>
        <v/>
      </c>
      <c r="AK66" s="64">
        <f>IF(BO66=1,IF(AI66&lt;=0,0,BP66*MAX(1,IF(G66&gt;0,AI66/G66,1))),AJ66*Q66)</f>
        <v/>
      </c>
      <c r="AL66" s="55">
        <f>AI66*F66</f>
        <v/>
      </c>
      <c r="AM66" s="55">
        <f>ROUNDUP(MAX(I66/IF(BS66&gt;0,BS66,MAX(0.1,N(Cockpit!$I$6))),BV66)/BN66,0)*BN66</f>
        <v/>
      </c>
      <c r="AN66" s="56">
        <f>IF(AK66&gt;0,I66/AK66,-1)</f>
        <v/>
      </c>
      <c r="AO66" s="56">
        <f>IF(AND(OR(BR66="L1",BR66="L23"),AK66&gt;0),SUMIFS($AK$7:$AK$1570,$BR$7:$BR$1570,BR66,$AN$7:$AN$1570,"&gt;"&amp;AN66)+SUMIFS($AK$7:$AK$1570,$BR$7:$BR$1570,BR66,$AN$7:$AN$1570,AN66,$BL$7:$BL$1570,"&lt;="&amp;BL66),"")</f>
        <v/>
      </c>
      <c r="AP66" s="65">
        <f>IF(AO66="",0,MAX(0,MIN(1,(IF(BR66="L1",Parameter!$K$5,Parameter!$K$6+Parameter!$K$7)-(AO66-AK66))/AK66)))</f>
        <v/>
      </c>
      <c r="AQ66" s="55">
        <f>IF(LEFT(Cockpit!$O$5,1)="A",G66,IF(BT66=1,BU66,IF(LEFT(Cockpit!$O$5,1)="B",AU66,MAX(AU66,G66))))</f>
        <v/>
      </c>
      <c r="AR66" s="55">
        <f>IF(BO66=1,0,ROUNDUP(AQ66/BN66,0))</f>
        <v/>
      </c>
      <c r="AS66" s="64">
        <f>IF(BO66=1,IF(AQ66&lt;=0,0,BP66*MAX(1,IF(G66&gt;0,AQ66/G66,1))),AR66*Q66)</f>
        <v/>
      </c>
      <c r="AT66" s="55">
        <f>AQ66*F66</f>
        <v/>
      </c>
      <c r="AU66" s="55">
        <f>ROUNDUP(MAX(I66/IF(BS66&gt;0,BS66,MAX(0.1,N(Cockpit!$O$6))),BV66)/BN66,0)*BN66</f>
        <v/>
      </c>
      <c r="AV66" s="56">
        <f>IF(AS66&gt;0,I66/AS66,-1)</f>
        <v/>
      </c>
      <c r="AW66" s="56">
        <f>IF(AND(OR(BR66="L1",BR66="L23"),AS66&gt;0),SUMIFS($AS$7:$AS$1570,$BR$7:$BR$1570,BR66,$AV$7:$AV$1570,"&gt;"&amp;AV66)+SUMIFS($AS$7:$AS$1570,$BR$7:$BR$1570,BR66,$AV$7:$AV$1570,AV66,$BL$7:$BL$1570,"&lt;="&amp;BL66),"")</f>
        <v/>
      </c>
      <c r="AX66" s="65">
        <f>IF(AW66="",0,MAX(0,MIN(1,(IF(BR66="L1",Parameter!$K$5,Parameter!$K$6+Parameter!$K$7)-(AW66-AS66))/AS66)))</f>
        <v/>
      </c>
      <c r="AY66" s="53">
        <f>IF(AC66&lt;=0,"",IF(BR66="Aussen","Aussenlager",IF(BR66="-","Nicht im Lift",IF(AH66&gt;=1,"Lift",IF(AH66&lt;=0,"Aussenlager","teilweise")))))</f>
        <v/>
      </c>
      <c r="AZ66" s="53">
        <f>IF(AK66&lt;=0,"",IF(BR66="Aussen","Aussenlager",IF(BR66="-","Nicht im Lift",IF(AP66&gt;=1,"Lift",IF(AP66&lt;=0,"Aussenlager","teilweise")))))</f>
        <v/>
      </c>
      <c r="BA66" s="53">
        <f>IF(AS66&lt;=0,"",IF(BR66="Aussen","Aussenlager",IF(BR66="-","Nicht im Lift",IF(AX66&gt;=1,"Lift",IF(AX66&lt;=0,"Aussenlager","teilweise")))))</f>
        <v/>
      </c>
      <c r="BB66" s="53">
        <f>IF(A66="","",IF(BK66=1,"Neu; ","")&amp;IF(AND(BK66=0,BF66&lt;0),"negativer Bestand (Export "&amp;BF66&amp;"); ","")&amp;IF(I66&lt;=0,"Kein Verbrauch; ","")&amp;IF(BO66=1,"Lose – Fläche geschätzt; ","")&amp;IF(G66&gt;AM66,"Überbestand "&amp;ROUND(G66-AM66,0)&amp;" Stk / CHF "&amp;ROUND((G66-AM66)*F66,0)&amp;"; ","")&amp;IF(AND(BT66=1,BU66&lt;BV66),"MAX &lt; MB+LG; ","")&amp;IF(AND(BZ66&gt;0,BY66*10&gt;BZ66),"zu hoch für Tablar; ","")&amp;IF(AND(BK66=0,OR(BT66=1,V66&lt;&gt;"",S66&lt;&gt;"",T66&lt;&gt;"",W66&lt;&gt;"")),"manuell übersteuert; ","")&amp;IF(AND(BO66=0,Q66=0),"Gebinde unbekannt; ","")&amp;IF(AND(BO66=0,N(T66)&lt;=0,N(P66)&lt;=0),"Menge pro Gebinde fehlt (Ist = 1 Gebinde); ","")&amp;BJ66)</f>
        <v/>
      </c>
      <c r="BC66" s="53" t="n"/>
      <c r="BD66" s="53" t="n"/>
      <c r="BE66" s="61" t="n"/>
      <c r="BF66" s="55" t="n">
        <v>2</v>
      </c>
      <c r="BG66" s="55" t="n">
        <v>0</v>
      </c>
      <c r="BH66" s="54" t="n">
        <v>3894</v>
      </c>
      <c r="BI66" s="55" t="n">
        <v>0</v>
      </c>
      <c r="BJ66" s="53" t="inlineStr"/>
      <c r="BK66" s="58" t="n">
        <v>0</v>
      </c>
      <c r="BL66" s="58" t="n">
        <v>66</v>
      </c>
      <c r="BM66" s="53">
        <f>IF(S66&lt;&gt;"",UPPER(TRIM(S66)),IF(O66="","LOSE",O66))</f>
        <v/>
      </c>
      <c r="BN66" s="55">
        <f>IF(BM66="LOSE",1,IF(N(T66)&gt;0,T66,IF(N(P66)&gt;0,P66,MAX(1,G66))))</f>
        <v/>
      </c>
      <c r="BO66" s="58">
        <f>IF(BM66="LOSE",1,0)</f>
        <v/>
      </c>
      <c r="BP66" s="64">
        <f>IF(BO66=0,0,IF(N(R66)&gt;0,R66,IFERROR(VLOOKUP(D66,Parameter!$A$35:$C$64,3,0)+0,0)))</f>
        <v/>
      </c>
      <c r="BQ66" s="53">
        <f>IF(V66&lt;&gt;"",V66,U66)</f>
        <v/>
      </c>
      <c r="BR66" s="53">
        <f>IF(BQ66=1,"L1",IF(OR(BQ66=2,BQ66=3),"L23",IF(BQ66="Aussen","Aussen","-")))</f>
        <v/>
      </c>
      <c r="BS66" s="66">
        <f>IF(N(W66)&gt;0,W66,0)</f>
        <v/>
      </c>
      <c r="BT66" s="58">
        <f>IF(ISNUMBER(Z66),1,0)</f>
        <v/>
      </c>
      <c r="BU66" s="55">
        <f>N(Z66)</f>
        <v/>
      </c>
      <c r="BV66" s="55">
        <f>N(L66)+N(M66)</f>
        <v/>
      </c>
      <c r="BW66" s="55">
        <f>ROUNDUP(G66/BN66,0)</f>
        <v/>
      </c>
      <c r="BX66" s="55">
        <f>ROUNDUP(BU66/BN66,0)</f>
        <v/>
      </c>
      <c r="BY66" s="58">
        <f>IF(BO66=1,0,IFERROR(VLOOKUP(BM66,'Gebinde-Kategorie'!$A$5:$G$45,5,0)+0,0))</f>
        <v/>
      </c>
      <c r="BZ66" s="58">
        <f>IFERROR(IF(OR(BQ66=1,BQ66=2,BQ66=3),N(INDEX(Parameter!$I$5:$I$7,BQ66)),0),0)</f>
        <v/>
      </c>
    </row>
    <row r="67">
      <c r="A67" s="53" t="inlineStr">
        <is>
          <t>111901</t>
        </is>
      </c>
      <c r="B67" s="53" t="inlineStr">
        <is>
          <t>Ventilblock Eingang</t>
        </is>
      </c>
      <c r="C67" s="53" t="inlineStr">
        <is>
          <t>F</t>
        </is>
      </c>
      <c r="D67" s="53" t="inlineStr">
        <is>
          <t>KTL</t>
        </is>
      </c>
      <c r="E67" s="53" t="inlineStr">
        <is>
          <t>C</t>
        </is>
      </c>
      <c r="F67" s="54" t="n">
        <v>477</v>
      </c>
      <c r="G67" s="55">
        <f>MAX(0,IF(Parameter!$B$20="Jahresanfang 2025 + Export",BG67+BF67,BF67))</f>
        <v/>
      </c>
      <c r="H67" s="55">
        <f>G67*F67</f>
        <v/>
      </c>
      <c r="I67" s="55">
        <f>BI67*Parameter!$B$18</f>
        <v/>
      </c>
      <c r="J67" s="56" t="n">
        <v>0</v>
      </c>
      <c r="K67" s="57" t="n">
        <v>0</v>
      </c>
      <c r="L67" s="55" t="n">
        <v>0</v>
      </c>
      <c r="M67" s="55" t="n">
        <v>5</v>
      </c>
      <c r="N67" s="58" t="n">
        <v>9999</v>
      </c>
      <c r="O67" s="53" t="inlineStr">
        <is>
          <t>LOSE</t>
        </is>
      </c>
      <c r="P67" s="55" t="n"/>
      <c r="Q67" s="59">
        <f>IF(BO67=1,0,IFERROR(VLOOKUP(BM67,'Gebinde-Kategorie'!$A$5:$G$45,6,0)+0,0))</f>
        <v/>
      </c>
      <c r="R67" s="60" t="n"/>
      <c r="S67" s="61" t="n"/>
      <c r="T67" s="61" t="n"/>
      <c r="U67" s="53">
        <f>IF(A67="","",IF(IFERROR(VLOOKUP(D67,Parameter!$A$35:$C$64,2,0),"Nein")="2+3",IF(ISNUMBER(SEARCH("grosser Artikel",BJ67)),2,IFERROR(VLOOKUP(BM67,Parameter!$F$35:$G$64,2,0),2)),IF(OR(IFERROR(VLOOKUP(D67,Parameter!$A$35:$C$64,2,0),"Nein")="Nein",IFERROR(VLOOKUP(D67,Parameter!$A$35:$C$64,2,0),"Nein")=""),"-",VLOOKUP(D67,Parameter!$A$35:$C$64,2,0))))</f>
        <v/>
      </c>
      <c r="V67" s="61" t="n"/>
      <c r="W67" s="62" t="n"/>
      <c r="X67" s="55">
        <f>AM67</f>
        <v/>
      </c>
      <c r="Y67" s="55">
        <f>MAX(AM67,G67)</f>
        <v/>
      </c>
      <c r="Z67" s="63" t="n"/>
      <c r="AA67" s="55">
        <f>IF(LEFT(Cockpit!$C$5,1)="A",G67,IF(BT67=1,BU67,IF(LEFT(Cockpit!$C$5,1)="B",AE67,MAX(AE67,G67))))</f>
        <v/>
      </c>
      <c r="AB67" s="55">
        <f>IF(BO67=1,0,ROUNDUP(AA67/BN67,0))</f>
        <v/>
      </c>
      <c r="AC67" s="64">
        <f>IF(BO67=1,IF(AA67&lt;=0,0,BP67*MAX(1,IF(G67&gt;0,AA67/G67,1))),AB67*Q67)</f>
        <v/>
      </c>
      <c r="AD67" s="55">
        <f>AA67*F67</f>
        <v/>
      </c>
      <c r="AE67" s="55">
        <f>ROUNDUP(MAX(I67/IF(BS67&gt;0,BS67,MAX(0.1,N(Cockpit!$C$6))),BV67)/BN67,0)*BN67</f>
        <v/>
      </c>
      <c r="AF67" s="56">
        <f>IF(AC67&gt;0,I67/AC67,-1)</f>
        <v/>
      </c>
      <c r="AG67" s="56">
        <f>IF(AND(OR(BR67="L1",BR67="L23"),AC67&gt;0),SUMIFS($AC$7:$AC$1570,$BR$7:$BR$1570,BR67,$AF$7:$AF$1570,"&gt;"&amp;AF67)+SUMIFS($AC$7:$AC$1570,$BR$7:$BR$1570,BR67,$AF$7:$AF$1570,AF67,$BL$7:$BL$1570,"&lt;="&amp;BL67),"")</f>
        <v/>
      </c>
      <c r="AH67" s="65">
        <f>IF(AG67="",0,MAX(0,MIN(1,(IF(BR67="L1",Parameter!$K$5,Parameter!$K$6+Parameter!$K$7)-(AG67-AC67))/AC67)))</f>
        <v/>
      </c>
      <c r="AI67" s="55">
        <f>IF(LEFT(Cockpit!$I$5,1)="A",G67,IF(BT67=1,BU67,IF(LEFT(Cockpit!$I$5,1)="B",AM67,MAX(AM67,G67))))</f>
        <v/>
      </c>
      <c r="AJ67" s="55">
        <f>IF(BO67=1,0,ROUNDUP(AI67/BN67,0))</f>
        <v/>
      </c>
      <c r="AK67" s="64">
        <f>IF(BO67=1,IF(AI67&lt;=0,0,BP67*MAX(1,IF(G67&gt;0,AI67/G67,1))),AJ67*Q67)</f>
        <v/>
      </c>
      <c r="AL67" s="55">
        <f>AI67*F67</f>
        <v/>
      </c>
      <c r="AM67" s="55">
        <f>ROUNDUP(MAX(I67/IF(BS67&gt;0,BS67,MAX(0.1,N(Cockpit!$I$6))),BV67)/BN67,0)*BN67</f>
        <v/>
      </c>
      <c r="AN67" s="56">
        <f>IF(AK67&gt;0,I67/AK67,-1)</f>
        <v/>
      </c>
      <c r="AO67" s="56">
        <f>IF(AND(OR(BR67="L1",BR67="L23"),AK67&gt;0),SUMIFS($AK$7:$AK$1570,$BR$7:$BR$1570,BR67,$AN$7:$AN$1570,"&gt;"&amp;AN67)+SUMIFS($AK$7:$AK$1570,$BR$7:$BR$1570,BR67,$AN$7:$AN$1570,AN67,$BL$7:$BL$1570,"&lt;="&amp;BL67),"")</f>
        <v/>
      </c>
      <c r="AP67" s="65">
        <f>IF(AO67="",0,MAX(0,MIN(1,(IF(BR67="L1",Parameter!$K$5,Parameter!$K$6+Parameter!$K$7)-(AO67-AK67))/AK67)))</f>
        <v/>
      </c>
      <c r="AQ67" s="55">
        <f>IF(LEFT(Cockpit!$O$5,1)="A",G67,IF(BT67=1,BU67,IF(LEFT(Cockpit!$O$5,1)="B",AU67,MAX(AU67,G67))))</f>
        <v/>
      </c>
      <c r="AR67" s="55">
        <f>IF(BO67=1,0,ROUNDUP(AQ67/BN67,0))</f>
        <v/>
      </c>
      <c r="AS67" s="64">
        <f>IF(BO67=1,IF(AQ67&lt;=0,0,BP67*MAX(1,IF(G67&gt;0,AQ67/G67,1))),AR67*Q67)</f>
        <v/>
      </c>
      <c r="AT67" s="55">
        <f>AQ67*F67</f>
        <v/>
      </c>
      <c r="AU67" s="55">
        <f>ROUNDUP(MAX(I67/IF(BS67&gt;0,BS67,MAX(0.1,N(Cockpit!$O$6))),BV67)/BN67,0)*BN67</f>
        <v/>
      </c>
      <c r="AV67" s="56">
        <f>IF(AS67&gt;0,I67/AS67,-1)</f>
        <v/>
      </c>
      <c r="AW67" s="56">
        <f>IF(AND(OR(BR67="L1",BR67="L23"),AS67&gt;0),SUMIFS($AS$7:$AS$1570,$BR$7:$BR$1570,BR67,$AV$7:$AV$1570,"&gt;"&amp;AV67)+SUMIFS($AS$7:$AS$1570,$BR$7:$BR$1570,BR67,$AV$7:$AV$1570,AV67,$BL$7:$BL$1570,"&lt;="&amp;BL67),"")</f>
        <v/>
      </c>
      <c r="AX67" s="65">
        <f>IF(AW67="",0,MAX(0,MIN(1,(IF(BR67="L1",Parameter!$K$5,Parameter!$K$6+Parameter!$K$7)-(AW67-AS67))/AS67)))</f>
        <v/>
      </c>
      <c r="AY67" s="53">
        <f>IF(AC67&lt;=0,"",IF(BR67="Aussen","Aussenlager",IF(BR67="-","Nicht im Lift",IF(AH67&gt;=1,"Lift",IF(AH67&lt;=0,"Aussenlager","teilweise")))))</f>
        <v/>
      </c>
      <c r="AZ67" s="53">
        <f>IF(AK67&lt;=0,"",IF(BR67="Aussen","Aussenlager",IF(BR67="-","Nicht im Lift",IF(AP67&gt;=1,"Lift",IF(AP67&lt;=0,"Aussenlager","teilweise")))))</f>
        <v/>
      </c>
      <c r="BA67" s="53">
        <f>IF(AS67&lt;=0,"",IF(BR67="Aussen","Aussenlager",IF(BR67="-","Nicht im Lift",IF(AX67&gt;=1,"Lift",IF(AX67&lt;=0,"Aussenlager","teilweise")))))</f>
        <v/>
      </c>
      <c r="BB67" s="53">
        <f>IF(A67="","",IF(BK67=1,"Neu; ","")&amp;IF(AND(BK67=0,BF67&lt;0),"negativer Bestand (Export "&amp;BF67&amp;"); ","")&amp;IF(I67&lt;=0,"Kein Verbrauch; ","")&amp;IF(BO67=1,"Lose – Fläche geschätzt; ","")&amp;IF(G67&gt;AM67,"Überbestand "&amp;ROUND(G67-AM67,0)&amp;" Stk / CHF "&amp;ROUND((G67-AM67)*F67,0)&amp;"; ","")&amp;IF(AND(BT67=1,BU67&lt;BV67),"MAX &lt; MB+LG; ","")&amp;IF(AND(BZ67&gt;0,BY67*10&gt;BZ67),"zu hoch für Tablar; ","")&amp;IF(AND(BK67=0,OR(BT67=1,V67&lt;&gt;"",S67&lt;&gt;"",T67&lt;&gt;"",W67&lt;&gt;"")),"manuell übersteuert; ","")&amp;IF(AND(BO67=0,Q67=0),"Gebinde unbekannt; ","")&amp;IF(AND(BO67=0,N(T67)&lt;=0,N(P67)&lt;=0),"Menge pro Gebinde fehlt (Ist = 1 Gebinde); ","")&amp;BJ67)</f>
        <v/>
      </c>
      <c r="BC67" s="53" t="n"/>
      <c r="BD67" s="53" t="n"/>
      <c r="BE67" s="61" t="n"/>
      <c r="BF67" s="55" t="n">
        <v>8</v>
      </c>
      <c r="BG67" s="55" t="n">
        <v>0</v>
      </c>
      <c r="BH67" s="54" t="n">
        <v>3816</v>
      </c>
      <c r="BI67" s="55" t="n">
        <v>0</v>
      </c>
      <c r="BJ67" s="53" t="inlineStr"/>
      <c r="BK67" s="58" t="n">
        <v>0</v>
      </c>
      <c r="BL67" s="58" t="n">
        <v>67</v>
      </c>
      <c r="BM67" s="53">
        <f>IF(S67&lt;&gt;"",UPPER(TRIM(S67)),IF(O67="","LOSE",O67))</f>
        <v/>
      </c>
      <c r="BN67" s="55">
        <f>IF(BM67="LOSE",1,IF(N(T67)&gt;0,T67,IF(N(P67)&gt;0,P67,MAX(1,G67))))</f>
        <v/>
      </c>
      <c r="BO67" s="58">
        <f>IF(BM67="LOSE",1,0)</f>
        <v/>
      </c>
      <c r="BP67" s="64">
        <f>IF(BO67=0,0,IF(N(R67)&gt;0,R67,IFERROR(VLOOKUP(D67,Parameter!$A$35:$C$64,3,0)+0,0)))</f>
        <v/>
      </c>
      <c r="BQ67" s="53">
        <f>IF(V67&lt;&gt;"",V67,U67)</f>
        <v/>
      </c>
      <c r="BR67" s="53">
        <f>IF(BQ67=1,"L1",IF(OR(BQ67=2,BQ67=3),"L23",IF(BQ67="Aussen","Aussen","-")))</f>
        <v/>
      </c>
      <c r="BS67" s="66">
        <f>IF(N(W67)&gt;0,W67,0)</f>
        <v/>
      </c>
      <c r="BT67" s="58">
        <f>IF(ISNUMBER(Z67),1,0)</f>
        <v/>
      </c>
      <c r="BU67" s="55">
        <f>N(Z67)</f>
        <v/>
      </c>
      <c r="BV67" s="55">
        <f>N(L67)+N(M67)</f>
        <v/>
      </c>
      <c r="BW67" s="55">
        <f>ROUNDUP(G67/BN67,0)</f>
        <v/>
      </c>
      <c r="BX67" s="55">
        <f>ROUNDUP(BU67/BN67,0)</f>
        <v/>
      </c>
      <c r="BY67" s="58">
        <f>IF(BO67=1,0,IFERROR(VLOOKUP(BM67,'Gebinde-Kategorie'!$A$5:$G$45,5,0)+0,0))</f>
        <v/>
      </c>
      <c r="BZ67" s="58">
        <f>IFERROR(IF(OR(BQ67=1,BQ67=2,BQ67=3),N(INDEX(Parameter!$I$5:$I$7,BQ67)),0),0)</f>
        <v/>
      </c>
    </row>
    <row r="68">
      <c r="A68" s="53" t="inlineStr">
        <is>
          <t>111765</t>
        </is>
      </c>
      <c r="B68" s="53" t="inlineStr">
        <is>
          <t>Heizschlauch</t>
        </is>
      </c>
      <c r="C68" s="53" t="inlineStr">
        <is>
          <t>F</t>
        </is>
      </c>
      <c r="D68" s="53" t="inlineStr">
        <is>
          <t>PAL</t>
        </is>
      </c>
      <c r="E68" s="53" t="inlineStr">
        <is>
          <t>C</t>
        </is>
      </c>
      <c r="F68" s="54" t="n">
        <v>758.09</v>
      </c>
      <c r="G68" s="55">
        <f>MAX(0,IF(Parameter!$B$20="Jahresanfang 2025 + Export",BG68+BF68,BF68))</f>
        <v/>
      </c>
      <c r="H68" s="55">
        <f>G68*F68</f>
        <v/>
      </c>
      <c r="I68" s="55">
        <f>BI68*Parameter!$B$18</f>
        <v/>
      </c>
      <c r="J68" s="56" t="n">
        <v>0</v>
      </c>
      <c r="K68" s="57" t="n">
        <v>0</v>
      </c>
      <c r="L68" s="55" t="n">
        <v>0</v>
      </c>
      <c r="M68" s="55" t="n">
        <v>5</v>
      </c>
      <c r="N68" s="58" t="n">
        <v>9999</v>
      </c>
      <c r="O68" s="53" t="inlineStr">
        <is>
          <t>LOSE</t>
        </is>
      </c>
      <c r="P68" s="55" t="n"/>
      <c r="Q68" s="59">
        <f>IF(BO68=1,0,IFERROR(VLOOKUP(BM68,'Gebinde-Kategorie'!$A$5:$G$45,6,0)+0,0))</f>
        <v/>
      </c>
      <c r="R68" s="60" t="n"/>
      <c r="S68" s="61" t="n"/>
      <c r="T68" s="61" t="n"/>
      <c r="U68" s="53">
        <f>IF(A68="","",IF(IFERROR(VLOOKUP(D68,Parameter!$A$35:$C$64,2,0),"Nein")="2+3",IF(ISNUMBER(SEARCH("grosser Artikel",BJ68)),2,IFERROR(VLOOKUP(BM68,Parameter!$F$35:$G$64,2,0),2)),IF(OR(IFERROR(VLOOKUP(D68,Parameter!$A$35:$C$64,2,0),"Nein")="Nein",IFERROR(VLOOKUP(D68,Parameter!$A$35:$C$64,2,0),"Nein")=""),"-",VLOOKUP(D68,Parameter!$A$35:$C$64,2,0))))</f>
        <v/>
      </c>
      <c r="V68" s="61" t="n"/>
      <c r="W68" s="62" t="n"/>
      <c r="X68" s="55">
        <f>AM68</f>
        <v/>
      </c>
      <c r="Y68" s="55">
        <f>MAX(AM68,G68)</f>
        <v/>
      </c>
      <c r="Z68" s="63" t="n"/>
      <c r="AA68" s="55">
        <f>IF(LEFT(Cockpit!$C$5,1)="A",G68,IF(BT68=1,BU68,IF(LEFT(Cockpit!$C$5,1)="B",AE68,MAX(AE68,G68))))</f>
        <v/>
      </c>
      <c r="AB68" s="55">
        <f>IF(BO68=1,0,ROUNDUP(AA68/BN68,0))</f>
        <v/>
      </c>
      <c r="AC68" s="64">
        <f>IF(BO68=1,IF(AA68&lt;=0,0,BP68*MAX(1,IF(G68&gt;0,AA68/G68,1))),AB68*Q68)</f>
        <v/>
      </c>
      <c r="AD68" s="55">
        <f>AA68*F68</f>
        <v/>
      </c>
      <c r="AE68" s="55">
        <f>ROUNDUP(MAX(I68/IF(BS68&gt;0,BS68,MAX(0.1,N(Cockpit!$C$6))),BV68)/BN68,0)*BN68</f>
        <v/>
      </c>
      <c r="AF68" s="56">
        <f>IF(AC68&gt;0,I68/AC68,-1)</f>
        <v/>
      </c>
      <c r="AG68" s="56">
        <f>IF(AND(OR(BR68="L1",BR68="L23"),AC68&gt;0),SUMIFS($AC$7:$AC$1570,$BR$7:$BR$1570,BR68,$AF$7:$AF$1570,"&gt;"&amp;AF68)+SUMIFS($AC$7:$AC$1570,$BR$7:$BR$1570,BR68,$AF$7:$AF$1570,AF68,$BL$7:$BL$1570,"&lt;="&amp;BL68),"")</f>
        <v/>
      </c>
      <c r="AH68" s="65">
        <f>IF(AG68="",0,MAX(0,MIN(1,(IF(BR68="L1",Parameter!$K$5,Parameter!$K$6+Parameter!$K$7)-(AG68-AC68))/AC68)))</f>
        <v/>
      </c>
      <c r="AI68" s="55">
        <f>IF(LEFT(Cockpit!$I$5,1)="A",G68,IF(BT68=1,BU68,IF(LEFT(Cockpit!$I$5,1)="B",AM68,MAX(AM68,G68))))</f>
        <v/>
      </c>
      <c r="AJ68" s="55">
        <f>IF(BO68=1,0,ROUNDUP(AI68/BN68,0))</f>
        <v/>
      </c>
      <c r="AK68" s="64">
        <f>IF(BO68=1,IF(AI68&lt;=0,0,BP68*MAX(1,IF(G68&gt;0,AI68/G68,1))),AJ68*Q68)</f>
        <v/>
      </c>
      <c r="AL68" s="55">
        <f>AI68*F68</f>
        <v/>
      </c>
      <c r="AM68" s="55">
        <f>ROUNDUP(MAX(I68/IF(BS68&gt;0,BS68,MAX(0.1,N(Cockpit!$I$6))),BV68)/BN68,0)*BN68</f>
        <v/>
      </c>
      <c r="AN68" s="56">
        <f>IF(AK68&gt;0,I68/AK68,-1)</f>
        <v/>
      </c>
      <c r="AO68" s="56">
        <f>IF(AND(OR(BR68="L1",BR68="L23"),AK68&gt;0),SUMIFS($AK$7:$AK$1570,$BR$7:$BR$1570,BR68,$AN$7:$AN$1570,"&gt;"&amp;AN68)+SUMIFS($AK$7:$AK$1570,$BR$7:$BR$1570,BR68,$AN$7:$AN$1570,AN68,$BL$7:$BL$1570,"&lt;="&amp;BL68),"")</f>
        <v/>
      </c>
      <c r="AP68" s="65">
        <f>IF(AO68="",0,MAX(0,MIN(1,(IF(BR68="L1",Parameter!$K$5,Parameter!$K$6+Parameter!$K$7)-(AO68-AK68))/AK68)))</f>
        <v/>
      </c>
      <c r="AQ68" s="55">
        <f>IF(LEFT(Cockpit!$O$5,1)="A",G68,IF(BT68=1,BU68,IF(LEFT(Cockpit!$O$5,1)="B",AU68,MAX(AU68,G68))))</f>
        <v/>
      </c>
      <c r="AR68" s="55">
        <f>IF(BO68=1,0,ROUNDUP(AQ68/BN68,0))</f>
        <v/>
      </c>
      <c r="AS68" s="64">
        <f>IF(BO68=1,IF(AQ68&lt;=0,0,BP68*MAX(1,IF(G68&gt;0,AQ68/G68,1))),AR68*Q68)</f>
        <v/>
      </c>
      <c r="AT68" s="55">
        <f>AQ68*F68</f>
        <v/>
      </c>
      <c r="AU68" s="55">
        <f>ROUNDUP(MAX(I68/IF(BS68&gt;0,BS68,MAX(0.1,N(Cockpit!$O$6))),BV68)/BN68,0)*BN68</f>
        <v/>
      </c>
      <c r="AV68" s="56">
        <f>IF(AS68&gt;0,I68/AS68,-1)</f>
        <v/>
      </c>
      <c r="AW68" s="56">
        <f>IF(AND(OR(BR68="L1",BR68="L23"),AS68&gt;0),SUMIFS($AS$7:$AS$1570,$BR$7:$BR$1570,BR68,$AV$7:$AV$1570,"&gt;"&amp;AV68)+SUMIFS($AS$7:$AS$1570,$BR$7:$BR$1570,BR68,$AV$7:$AV$1570,AV68,$BL$7:$BL$1570,"&lt;="&amp;BL68),"")</f>
        <v/>
      </c>
      <c r="AX68" s="65">
        <f>IF(AW68="",0,MAX(0,MIN(1,(IF(BR68="L1",Parameter!$K$5,Parameter!$K$6+Parameter!$K$7)-(AW68-AS68))/AS68)))</f>
        <v/>
      </c>
      <c r="AY68" s="53">
        <f>IF(AC68&lt;=0,"",IF(BR68="Aussen","Aussenlager",IF(BR68="-","Nicht im Lift",IF(AH68&gt;=1,"Lift",IF(AH68&lt;=0,"Aussenlager","teilweise")))))</f>
        <v/>
      </c>
      <c r="AZ68" s="53">
        <f>IF(AK68&lt;=0,"",IF(BR68="Aussen","Aussenlager",IF(BR68="-","Nicht im Lift",IF(AP68&gt;=1,"Lift",IF(AP68&lt;=0,"Aussenlager","teilweise")))))</f>
        <v/>
      </c>
      <c r="BA68" s="53">
        <f>IF(AS68&lt;=0,"",IF(BR68="Aussen","Aussenlager",IF(BR68="-","Nicht im Lift",IF(AX68&gt;=1,"Lift",IF(AX68&lt;=0,"Aussenlager","teilweise")))))</f>
        <v/>
      </c>
      <c r="BB68" s="53">
        <f>IF(A68="","",IF(BK68=1,"Neu; ","")&amp;IF(AND(BK68=0,BF68&lt;0),"negativer Bestand (Export "&amp;BF68&amp;"); ","")&amp;IF(I68&lt;=0,"Kein Verbrauch; ","")&amp;IF(BO68=1,"Lose – Fläche geschätzt; ","")&amp;IF(G68&gt;AM68,"Überbestand "&amp;ROUND(G68-AM68,0)&amp;" Stk / CHF "&amp;ROUND((G68-AM68)*F68,0)&amp;"; ","")&amp;IF(AND(BT68=1,BU68&lt;BV68),"MAX &lt; MB+LG; ","")&amp;IF(AND(BZ68&gt;0,BY68*10&gt;BZ68),"zu hoch für Tablar; ","")&amp;IF(AND(BK68=0,OR(BT68=1,V68&lt;&gt;"",S68&lt;&gt;"",T68&lt;&gt;"",W68&lt;&gt;"")),"manuell übersteuert; ","")&amp;IF(AND(BO68=0,Q68=0),"Gebinde unbekannt; ","")&amp;IF(AND(BO68=0,N(T68)&lt;=0,N(P68)&lt;=0),"Menge pro Gebinde fehlt (Ist = 1 Gebinde); ","")&amp;BJ68)</f>
        <v/>
      </c>
      <c r="BC68" s="53" t="n"/>
      <c r="BD68" s="53" t="n"/>
      <c r="BE68" s="61" t="n"/>
      <c r="BF68" s="55" t="n">
        <v>5</v>
      </c>
      <c r="BG68" s="55" t="n">
        <v>0</v>
      </c>
      <c r="BH68" s="54" t="n">
        <v>3790.45</v>
      </c>
      <c r="BI68" s="55" t="n">
        <v>0</v>
      </c>
      <c r="BJ68" s="53" t="inlineStr"/>
      <c r="BK68" s="58" t="n">
        <v>0</v>
      </c>
      <c r="BL68" s="58" t="n">
        <v>68</v>
      </c>
      <c r="BM68" s="53">
        <f>IF(S68&lt;&gt;"",UPPER(TRIM(S68)),IF(O68="","LOSE",O68))</f>
        <v/>
      </c>
      <c r="BN68" s="55">
        <f>IF(BM68="LOSE",1,IF(N(T68)&gt;0,T68,IF(N(P68)&gt;0,P68,MAX(1,G68))))</f>
        <v/>
      </c>
      <c r="BO68" s="58">
        <f>IF(BM68="LOSE",1,0)</f>
        <v/>
      </c>
      <c r="BP68" s="64">
        <f>IF(BO68=0,0,IF(N(R68)&gt;0,R68,IFERROR(VLOOKUP(D68,Parameter!$A$35:$C$64,3,0)+0,0)))</f>
        <v/>
      </c>
      <c r="BQ68" s="53">
        <f>IF(V68&lt;&gt;"",V68,U68)</f>
        <v/>
      </c>
      <c r="BR68" s="53">
        <f>IF(BQ68=1,"L1",IF(OR(BQ68=2,BQ68=3),"L23",IF(BQ68="Aussen","Aussen","-")))</f>
        <v/>
      </c>
      <c r="BS68" s="66">
        <f>IF(N(W68)&gt;0,W68,0)</f>
        <v/>
      </c>
      <c r="BT68" s="58">
        <f>IF(ISNUMBER(Z68),1,0)</f>
        <v/>
      </c>
      <c r="BU68" s="55">
        <f>N(Z68)</f>
        <v/>
      </c>
      <c r="BV68" s="55">
        <f>N(L68)+N(M68)</f>
        <v/>
      </c>
      <c r="BW68" s="55">
        <f>ROUNDUP(G68/BN68,0)</f>
        <v/>
      </c>
      <c r="BX68" s="55">
        <f>ROUNDUP(BU68/BN68,0)</f>
        <v/>
      </c>
      <c r="BY68" s="58">
        <f>IF(BO68=1,0,IFERROR(VLOOKUP(BM68,'Gebinde-Kategorie'!$A$5:$G$45,5,0)+0,0))</f>
        <v/>
      </c>
      <c r="BZ68" s="58">
        <f>IFERROR(IF(OR(BQ68=1,BQ68=2,BQ68=3),N(INDEX(Parameter!$I$5:$I$7,BQ68)),0),0)</f>
        <v/>
      </c>
    </row>
    <row r="69">
      <c r="A69" s="53" t="inlineStr">
        <is>
          <t>106154</t>
        </is>
      </c>
      <c r="B69" s="53" t="inlineStr">
        <is>
          <t>Federflansch</t>
        </is>
      </c>
      <c r="C69" s="53" t="inlineStr">
        <is>
          <t>F</t>
        </is>
      </c>
      <c r="D69" s="53" t="inlineStr">
        <is>
          <t>PAL</t>
        </is>
      </c>
      <c r="E69" s="53" t="inlineStr">
        <is>
          <t>C</t>
        </is>
      </c>
      <c r="F69" s="54" t="n">
        <v>223.35</v>
      </c>
      <c r="G69" s="55">
        <f>MAX(0,IF(Parameter!$B$20="Jahresanfang 2025 + Export",BG69+BF69,BF69))</f>
        <v/>
      </c>
      <c r="H69" s="55">
        <f>G69*F69</f>
        <v/>
      </c>
      <c r="I69" s="55">
        <f>BI69*Parameter!$B$18</f>
        <v/>
      </c>
      <c r="J69" s="56" t="n">
        <v>17.5</v>
      </c>
      <c r="K69" s="57" t="n">
        <v>1.714285714285714</v>
      </c>
      <c r="L69" s="55" t="n">
        <v>2</v>
      </c>
      <c r="M69" s="55" t="n">
        <v>15</v>
      </c>
      <c r="N69" s="58" t="n">
        <v>21</v>
      </c>
      <c r="O69" s="53" t="inlineStr">
        <is>
          <t>S72</t>
        </is>
      </c>
      <c r="P69" s="55" t="n">
        <v>28</v>
      </c>
      <c r="Q69" s="59">
        <f>IF(BO69=1,0,IFERROR(VLOOKUP(BM69,'Gebinde-Kategorie'!$A$5:$G$45,6,0)+0,0))</f>
        <v/>
      </c>
      <c r="R69" s="60" t="n"/>
      <c r="S69" s="61" t="n"/>
      <c r="T69" s="61" t="n"/>
      <c r="U69" s="53">
        <f>IF(A69="","",IF(IFERROR(VLOOKUP(D69,Parameter!$A$35:$C$64,2,0),"Nein")="2+3",IF(ISNUMBER(SEARCH("grosser Artikel",BJ69)),2,IFERROR(VLOOKUP(BM69,Parameter!$F$35:$G$64,2,0),2)),IF(OR(IFERROR(VLOOKUP(D69,Parameter!$A$35:$C$64,2,0),"Nein")="Nein",IFERROR(VLOOKUP(D69,Parameter!$A$35:$C$64,2,0),"Nein")=""),"-",VLOOKUP(D69,Parameter!$A$35:$C$64,2,0))))</f>
        <v/>
      </c>
      <c r="V69" s="61" t="n"/>
      <c r="W69" s="62" t="n"/>
      <c r="X69" s="55">
        <f>AM69</f>
        <v/>
      </c>
      <c r="Y69" s="55">
        <f>MAX(AM69,G69)</f>
        <v/>
      </c>
      <c r="Z69" s="63" t="n"/>
      <c r="AA69" s="55">
        <f>IF(LEFT(Cockpit!$C$5,1)="A",G69,IF(BT69=1,BU69,IF(LEFT(Cockpit!$C$5,1)="B",AE69,MAX(AE69,G69))))</f>
        <v/>
      </c>
      <c r="AB69" s="55">
        <f>IF(BO69=1,0,ROUNDUP(AA69/BN69,0))</f>
        <v/>
      </c>
      <c r="AC69" s="64">
        <f>IF(BO69=1,IF(AA69&lt;=0,0,BP69*MAX(1,IF(G69&gt;0,AA69/G69,1))),AB69*Q69)</f>
        <v/>
      </c>
      <c r="AD69" s="55">
        <f>AA69*F69</f>
        <v/>
      </c>
      <c r="AE69" s="55">
        <f>ROUNDUP(MAX(I69/IF(BS69&gt;0,BS69,MAX(0.1,N(Cockpit!$C$6))),BV69)/BN69,0)*BN69</f>
        <v/>
      </c>
      <c r="AF69" s="56">
        <f>IF(AC69&gt;0,I69/AC69,-1)</f>
        <v/>
      </c>
      <c r="AG69" s="56">
        <f>IF(AND(OR(BR69="L1",BR69="L23"),AC69&gt;0),SUMIFS($AC$7:$AC$1570,$BR$7:$BR$1570,BR69,$AF$7:$AF$1570,"&gt;"&amp;AF69)+SUMIFS($AC$7:$AC$1570,$BR$7:$BR$1570,BR69,$AF$7:$AF$1570,AF69,$BL$7:$BL$1570,"&lt;="&amp;BL69),"")</f>
        <v/>
      </c>
      <c r="AH69" s="65">
        <f>IF(AG69="",0,MAX(0,MIN(1,(IF(BR69="L1",Parameter!$K$5,Parameter!$K$6+Parameter!$K$7)-(AG69-AC69))/AC69)))</f>
        <v/>
      </c>
      <c r="AI69" s="55">
        <f>IF(LEFT(Cockpit!$I$5,1)="A",G69,IF(BT69=1,BU69,IF(LEFT(Cockpit!$I$5,1)="B",AM69,MAX(AM69,G69))))</f>
        <v/>
      </c>
      <c r="AJ69" s="55">
        <f>IF(BO69=1,0,ROUNDUP(AI69/BN69,0))</f>
        <v/>
      </c>
      <c r="AK69" s="64">
        <f>IF(BO69=1,IF(AI69&lt;=0,0,BP69*MAX(1,IF(G69&gt;0,AI69/G69,1))),AJ69*Q69)</f>
        <v/>
      </c>
      <c r="AL69" s="55">
        <f>AI69*F69</f>
        <v/>
      </c>
      <c r="AM69" s="55">
        <f>ROUNDUP(MAX(I69/IF(BS69&gt;0,BS69,MAX(0.1,N(Cockpit!$I$6))),BV69)/BN69,0)*BN69</f>
        <v/>
      </c>
      <c r="AN69" s="56">
        <f>IF(AK69&gt;0,I69/AK69,-1)</f>
        <v/>
      </c>
      <c r="AO69" s="56">
        <f>IF(AND(OR(BR69="L1",BR69="L23"),AK69&gt;0),SUMIFS($AK$7:$AK$1570,$BR$7:$BR$1570,BR69,$AN$7:$AN$1570,"&gt;"&amp;AN69)+SUMIFS($AK$7:$AK$1570,$BR$7:$BR$1570,BR69,$AN$7:$AN$1570,AN69,$BL$7:$BL$1570,"&lt;="&amp;BL69),"")</f>
        <v/>
      </c>
      <c r="AP69" s="65">
        <f>IF(AO69="",0,MAX(0,MIN(1,(IF(BR69="L1",Parameter!$K$5,Parameter!$K$6+Parameter!$K$7)-(AO69-AK69))/AK69)))</f>
        <v/>
      </c>
      <c r="AQ69" s="55">
        <f>IF(LEFT(Cockpit!$O$5,1)="A",G69,IF(BT69=1,BU69,IF(LEFT(Cockpit!$O$5,1)="B",AU69,MAX(AU69,G69))))</f>
        <v/>
      </c>
      <c r="AR69" s="55">
        <f>IF(BO69=1,0,ROUNDUP(AQ69/BN69,0))</f>
        <v/>
      </c>
      <c r="AS69" s="64">
        <f>IF(BO69=1,IF(AQ69&lt;=0,0,BP69*MAX(1,IF(G69&gt;0,AQ69/G69,1))),AR69*Q69)</f>
        <v/>
      </c>
      <c r="AT69" s="55">
        <f>AQ69*F69</f>
        <v/>
      </c>
      <c r="AU69" s="55">
        <f>ROUNDUP(MAX(I69/IF(BS69&gt;0,BS69,MAX(0.1,N(Cockpit!$O$6))),BV69)/BN69,0)*BN69</f>
        <v/>
      </c>
      <c r="AV69" s="56">
        <f>IF(AS69&gt;0,I69/AS69,-1)</f>
        <v/>
      </c>
      <c r="AW69" s="56">
        <f>IF(AND(OR(BR69="L1",BR69="L23"),AS69&gt;0),SUMIFS($AS$7:$AS$1570,$BR$7:$BR$1570,BR69,$AV$7:$AV$1570,"&gt;"&amp;AV69)+SUMIFS($AS$7:$AS$1570,$BR$7:$BR$1570,BR69,$AV$7:$AV$1570,AV69,$BL$7:$BL$1570,"&lt;="&amp;BL69),"")</f>
        <v/>
      </c>
      <c r="AX69" s="65">
        <f>IF(AW69="",0,MAX(0,MIN(1,(IF(BR69="L1",Parameter!$K$5,Parameter!$K$6+Parameter!$K$7)-(AW69-AS69))/AS69)))</f>
        <v/>
      </c>
      <c r="AY69" s="53">
        <f>IF(AC69&lt;=0,"",IF(BR69="Aussen","Aussenlager",IF(BR69="-","Nicht im Lift",IF(AH69&gt;=1,"Lift",IF(AH69&lt;=0,"Aussenlager","teilweise")))))</f>
        <v/>
      </c>
      <c r="AZ69" s="53">
        <f>IF(AK69&lt;=0,"",IF(BR69="Aussen","Aussenlager",IF(BR69="-","Nicht im Lift",IF(AP69&gt;=1,"Lift",IF(AP69&lt;=0,"Aussenlager","teilweise")))))</f>
        <v/>
      </c>
      <c r="BA69" s="53">
        <f>IF(AS69&lt;=0,"",IF(BR69="Aussen","Aussenlager",IF(BR69="-","Nicht im Lift",IF(AX69&gt;=1,"Lift",IF(AX69&lt;=0,"Aussenlager","teilweise")))))</f>
        <v/>
      </c>
      <c r="BB69" s="53">
        <f>IF(A69="","",IF(BK69=1,"Neu; ","")&amp;IF(AND(BK69=0,BF69&lt;0),"negativer Bestand (Export "&amp;BF69&amp;"); ","")&amp;IF(I69&lt;=0,"Kein Verbrauch; ","")&amp;IF(BO69=1,"Lose – Fläche geschätzt; ","")&amp;IF(G69&gt;AM69,"Überbestand "&amp;ROUND(G69-AM69,0)&amp;" Stk / CHF "&amp;ROUND((G69-AM69)*F69,0)&amp;"; ","")&amp;IF(AND(BT69=1,BU69&lt;BV69),"MAX &lt; MB+LG; ","")&amp;IF(AND(BZ69&gt;0,BY69*10&gt;BZ69),"zu hoch für Tablar; ","")&amp;IF(AND(BK69=0,OR(BT69=1,V69&lt;&gt;"",S69&lt;&gt;"",T69&lt;&gt;"",W69&lt;&gt;"")),"manuell übersteuert; ","")&amp;IF(AND(BO69=0,Q69=0),"Gebinde unbekannt; ","")&amp;IF(AND(BO69=0,N(T69)&lt;=0,N(P69)&lt;=0),"Menge pro Gebinde fehlt (Ist = 1 Gebinde); ","")&amp;BJ69)</f>
        <v/>
      </c>
      <c r="BC69" s="53" t="n"/>
      <c r="BD69" s="53" t="n"/>
      <c r="BE69" s="61" t="n"/>
      <c r="BF69" s="55" t="n">
        <v>15</v>
      </c>
      <c r="BG69" s="55" t="n">
        <v>10</v>
      </c>
      <c r="BH69" s="54" t="n">
        <v>3779.350000000005</v>
      </c>
      <c r="BI69" s="55" t="n">
        <v>30</v>
      </c>
      <c r="BJ69" s="53" t="inlineStr"/>
      <c r="BK69" s="58" t="n">
        <v>0</v>
      </c>
      <c r="BL69" s="58" t="n">
        <v>69</v>
      </c>
      <c r="BM69" s="53">
        <f>IF(S69&lt;&gt;"",UPPER(TRIM(S69)),IF(O69="","LOSE",O69))</f>
        <v/>
      </c>
      <c r="BN69" s="55">
        <f>IF(BM69="LOSE",1,IF(N(T69)&gt;0,T69,IF(N(P69)&gt;0,P69,MAX(1,G69))))</f>
        <v/>
      </c>
      <c r="BO69" s="58">
        <f>IF(BM69="LOSE",1,0)</f>
        <v/>
      </c>
      <c r="BP69" s="64">
        <f>IF(BO69=0,0,IF(N(R69)&gt;0,R69,IFERROR(VLOOKUP(D69,Parameter!$A$35:$C$64,3,0)+0,0)))</f>
        <v/>
      </c>
      <c r="BQ69" s="53">
        <f>IF(V69&lt;&gt;"",V69,U69)</f>
        <v/>
      </c>
      <c r="BR69" s="53">
        <f>IF(BQ69=1,"L1",IF(OR(BQ69=2,BQ69=3),"L23",IF(BQ69="Aussen","Aussen","-")))</f>
        <v/>
      </c>
      <c r="BS69" s="66">
        <f>IF(N(W69)&gt;0,W69,0)</f>
        <v/>
      </c>
      <c r="BT69" s="58">
        <f>IF(ISNUMBER(Z69),1,0)</f>
        <v/>
      </c>
      <c r="BU69" s="55">
        <f>N(Z69)</f>
        <v/>
      </c>
      <c r="BV69" s="55">
        <f>N(L69)+N(M69)</f>
        <v/>
      </c>
      <c r="BW69" s="55">
        <f>ROUNDUP(G69/BN69,0)</f>
        <v/>
      </c>
      <c r="BX69" s="55">
        <f>ROUNDUP(BU69/BN69,0)</f>
        <v/>
      </c>
      <c r="BY69" s="58">
        <f>IF(BO69=1,0,IFERROR(VLOOKUP(BM69,'Gebinde-Kategorie'!$A$5:$G$45,5,0)+0,0))</f>
        <v/>
      </c>
      <c r="BZ69" s="58">
        <f>IFERROR(IF(OR(BQ69=1,BQ69=2,BQ69=3),N(INDEX(Parameter!$I$5:$I$7,BQ69)),0),0)</f>
        <v/>
      </c>
    </row>
    <row r="70">
      <c r="A70" s="53" t="inlineStr">
        <is>
          <t>108540</t>
        </is>
      </c>
      <c r="B70" s="53" t="inlineStr">
        <is>
          <t>Brenngasblock SUB komplett</t>
        </is>
      </c>
      <c r="C70" s="53" t="inlineStr">
        <is>
          <t>F</t>
        </is>
      </c>
      <c r="D70" s="53" t="inlineStr">
        <is>
          <t>PAL</t>
        </is>
      </c>
      <c r="E70" s="53" t="inlineStr">
        <is>
          <t>C</t>
        </is>
      </c>
      <c r="F70" s="54" t="n">
        <v>1842</v>
      </c>
      <c r="G70" s="55">
        <f>MAX(0,IF(Parameter!$B$20="Jahresanfang 2025 + Export",BG70+BF70,BF70))</f>
        <v/>
      </c>
      <c r="H70" s="55">
        <f>G70*F70</f>
        <v/>
      </c>
      <c r="I70" s="55">
        <f>BI70*Parameter!$B$18</f>
        <v/>
      </c>
      <c r="J70" s="56" t="n">
        <v>1</v>
      </c>
      <c r="K70" s="57" t="n">
        <v>0</v>
      </c>
      <c r="L70" s="55" t="n">
        <v>0</v>
      </c>
      <c r="M70" s="55" t="n">
        <v>1</v>
      </c>
      <c r="N70" s="58" t="n">
        <v>70</v>
      </c>
      <c r="O70" s="53" t="inlineStr">
        <is>
          <t>S51</t>
        </is>
      </c>
      <c r="P70" s="55" t="n">
        <v>2</v>
      </c>
      <c r="Q70" s="59">
        <f>IF(BO70=1,0,IFERROR(VLOOKUP(BM70,'Gebinde-Kategorie'!$A$5:$G$45,6,0)+0,0))</f>
        <v/>
      </c>
      <c r="R70" s="60" t="n"/>
      <c r="S70" s="61" t="n"/>
      <c r="T70" s="61" t="n"/>
      <c r="U70" s="53">
        <f>IF(A70="","",IF(IFERROR(VLOOKUP(D70,Parameter!$A$35:$C$64,2,0),"Nein")="2+3",IF(ISNUMBER(SEARCH("grosser Artikel",BJ70)),2,IFERROR(VLOOKUP(BM70,Parameter!$F$35:$G$64,2,0),2)),IF(OR(IFERROR(VLOOKUP(D70,Parameter!$A$35:$C$64,2,0),"Nein")="Nein",IFERROR(VLOOKUP(D70,Parameter!$A$35:$C$64,2,0),"Nein")=""),"-",VLOOKUP(D70,Parameter!$A$35:$C$64,2,0))))</f>
        <v/>
      </c>
      <c r="V70" s="61" t="n"/>
      <c r="W70" s="62" t="n"/>
      <c r="X70" s="55">
        <f>AM70</f>
        <v/>
      </c>
      <c r="Y70" s="55">
        <f>MAX(AM70,G70)</f>
        <v/>
      </c>
      <c r="Z70" s="63" t="n"/>
      <c r="AA70" s="55">
        <f>IF(LEFT(Cockpit!$C$5,1)="A",G70,IF(BT70=1,BU70,IF(LEFT(Cockpit!$C$5,1)="B",AE70,MAX(AE70,G70))))</f>
        <v/>
      </c>
      <c r="AB70" s="55">
        <f>IF(BO70=1,0,ROUNDUP(AA70/BN70,0))</f>
        <v/>
      </c>
      <c r="AC70" s="64">
        <f>IF(BO70=1,IF(AA70&lt;=0,0,BP70*MAX(1,IF(G70&gt;0,AA70/G70,1))),AB70*Q70)</f>
        <v/>
      </c>
      <c r="AD70" s="55">
        <f>AA70*F70</f>
        <v/>
      </c>
      <c r="AE70" s="55">
        <f>ROUNDUP(MAX(I70/IF(BS70&gt;0,BS70,MAX(0.1,N(Cockpit!$C$6))),BV70)/BN70,0)*BN70</f>
        <v/>
      </c>
      <c r="AF70" s="56">
        <f>IF(AC70&gt;0,I70/AC70,-1)</f>
        <v/>
      </c>
      <c r="AG70" s="56">
        <f>IF(AND(OR(BR70="L1",BR70="L23"),AC70&gt;0),SUMIFS($AC$7:$AC$1570,$BR$7:$BR$1570,BR70,$AF$7:$AF$1570,"&gt;"&amp;AF70)+SUMIFS($AC$7:$AC$1570,$BR$7:$BR$1570,BR70,$AF$7:$AF$1570,AF70,$BL$7:$BL$1570,"&lt;="&amp;BL70),"")</f>
        <v/>
      </c>
      <c r="AH70" s="65">
        <f>IF(AG70="",0,MAX(0,MIN(1,(IF(BR70="L1",Parameter!$K$5,Parameter!$K$6+Parameter!$K$7)-(AG70-AC70))/AC70)))</f>
        <v/>
      </c>
      <c r="AI70" s="55">
        <f>IF(LEFT(Cockpit!$I$5,1)="A",G70,IF(BT70=1,BU70,IF(LEFT(Cockpit!$I$5,1)="B",AM70,MAX(AM70,G70))))</f>
        <v/>
      </c>
      <c r="AJ70" s="55">
        <f>IF(BO70=1,0,ROUNDUP(AI70/BN70,0))</f>
        <v/>
      </c>
      <c r="AK70" s="64">
        <f>IF(BO70=1,IF(AI70&lt;=0,0,BP70*MAX(1,IF(G70&gt;0,AI70/G70,1))),AJ70*Q70)</f>
        <v/>
      </c>
      <c r="AL70" s="55">
        <f>AI70*F70</f>
        <v/>
      </c>
      <c r="AM70" s="55">
        <f>ROUNDUP(MAX(I70/IF(BS70&gt;0,BS70,MAX(0.1,N(Cockpit!$I$6))),BV70)/BN70,0)*BN70</f>
        <v/>
      </c>
      <c r="AN70" s="56">
        <f>IF(AK70&gt;0,I70/AK70,-1)</f>
        <v/>
      </c>
      <c r="AO70" s="56">
        <f>IF(AND(OR(BR70="L1",BR70="L23"),AK70&gt;0),SUMIFS($AK$7:$AK$1570,$BR$7:$BR$1570,BR70,$AN$7:$AN$1570,"&gt;"&amp;AN70)+SUMIFS($AK$7:$AK$1570,$BR$7:$BR$1570,BR70,$AN$7:$AN$1570,AN70,$BL$7:$BL$1570,"&lt;="&amp;BL70),"")</f>
        <v/>
      </c>
      <c r="AP70" s="65">
        <f>IF(AO70="",0,MAX(0,MIN(1,(IF(BR70="L1",Parameter!$K$5,Parameter!$K$6+Parameter!$K$7)-(AO70-AK70))/AK70)))</f>
        <v/>
      </c>
      <c r="AQ70" s="55">
        <f>IF(LEFT(Cockpit!$O$5,1)="A",G70,IF(BT70=1,BU70,IF(LEFT(Cockpit!$O$5,1)="B",AU70,MAX(AU70,G70))))</f>
        <v/>
      </c>
      <c r="AR70" s="55">
        <f>IF(BO70=1,0,ROUNDUP(AQ70/BN70,0))</f>
        <v/>
      </c>
      <c r="AS70" s="64">
        <f>IF(BO70=1,IF(AQ70&lt;=0,0,BP70*MAX(1,IF(G70&gt;0,AQ70/G70,1))),AR70*Q70)</f>
        <v/>
      </c>
      <c r="AT70" s="55">
        <f>AQ70*F70</f>
        <v/>
      </c>
      <c r="AU70" s="55">
        <f>ROUNDUP(MAX(I70/IF(BS70&gt;0,BS70,MAX(0.1,N(Cockpit!$O$6))),BV70)/BN70,0)*BN70</f>
        <v/>
      </c>
      <c r="AV70" s="56">
        <f>IF(AS70&gt;0,I70/AS70,-1)</f>
        <v/>
      </c>
      <c r="AW70" s="56">
        <f>IF(AND(OR(BR70="L1",BR70="L23"),AS70&gt;0),SUMIFS($AS$7:$AS$1570,$BR$7:$BR$1570,BR70,$AV$7:$AV$1570,"&gt;"&amp;AV70)+SUMIFS($AS$7:$AS$1570,$BR$7:$BR$1570,BR70,$AV$7:$AV$1570,AV70,$BL$7:$BL$1570,"&lt;="&amp;BL70),"")</f>
        <v/>
      </c>
      <c r="AX70" s="65">
        <f>IF(AW70="",0,MAX(0,MIN(1,(IF(BR70="L1",Parameter!$K$5,Parameter!$K$6+Parameter!$K$7)-(AW70-AS70))/AS70)))</f>
        <v/>
      </c>
      <c r="AY70" s="53">
        <f>IF(AC70&lt;=0,"",IF(BR70="Aussen","Aussenlager",IF(BR70="-","Nicht im Lift",IF(AH70&gt;=1,"Lift",IF(AH70&lt;=0,"Aussenlager","teilweise")))))</f>
        <v/>
      </c>
      <c r="AZ70" s="53">
        <f>IF(AK70&lt;=0,"",IF(BR70="Aussen","Aussenlager",IF(BR70="-","Nicht im Lift",IF(AP70&gt;=1,"Lift",IF(AP70&lt;=0,"Aussenlager","teilweise")))))</f>
        <v/>
      </c>
      <c r="BA70" s="53">
        <f>IF(AS70&lt;=0,"",IF(BR70="Aussen","Aussenlager",IF(BR70="-","Nicht im Lift",IF(AX70&gt;=1,"Lift",IF(AX70&lt;=0,"Aussenlager","teilweise")))))</f>
        <v/>
      </c>
      <c r="BB70" s="53">
        <f>IF(A70="","",IF(BK70=1,"Neu; ","")&amp;IF(AND(BK70=0,BF70&lt;0),"negativer Bestand (Export "&amp;BF70&amp;"); ","")&amp;IF(I70&lt;=0,"Kein Verbrauch; ","")&amp;IF(BO70=1,"Lose – Fläche geschätzt; ","")&amp;IF(G70&gt;AM70,"Überbestand "&amp;ROUND(G70-AM70,0)&amp;" Stk / CHF "&amp;ROUND((G70-AM70)*F70,0)&amp;"; ","")&amp;IF(AND(BT70=1,BU70&lt;BV70),"MAX &lt; MB+LG; ","")&amp;IF(AND(BZ70&gt;0,BY70*10&gt;BZ70),"zu hoch für Tablar; ","")&amp;IF(AND(BK70=0,OR(BT70=1,V70&lt;&gt;"",S70&lt;&gt;"",T70&lt;&gt;"",W70&lt;&gt;"")),"manuell übersteuert; ","")&amp;IF(AND(BO70=0,Q70=0),"Gebinde unbekannt; ","")&amp;IF(AND(BO70=0,N(T70)&lt;=0,N(P70)&lt;=0),"Menge pro Gebinde fehlt (Ist = 1 Gebinde); ","")&amp;BJ70)</f>
        <v/>
      </c>
      <c r="BC70" s="53" t="n"/>
      <c r="BD70" s="53" t="n"/>
      <c r="BE70" s="61" t="n"/>
      <c r="BF70" s="55" t="n">
        <v>2</v>
      </c>
      <c r="BG70" s="55" t="n">
        <v>0</v>
      </c>
      <c r="BH70" s="54" t="n">
        <v>3684</v>
      </c>
      <c r="BI70" s="55" t="n">
        <v>0</v>
      </c>
      <c r="BJ70" s="53" t="inlineStr"/>
      <c r="BK70" s="58" t="n">
        <v>0</v>
      </c>
      <c r="BL70" s="58" t="n">
        <v>70</v>
      </c>
      <c r="BM70" s="53">
        <f>IF(S70&lt;&gt;"",UPPER(TRIM(S70)),IF(O70="","LOSE",O70))</f>
        <v/>
      </c>
      <c r="BN70" s="55">
        <f>IF(BM70="LOSE",1,IF(N(T70)&gt;0,T70,IF(N(P70)&gt;0,P70,MAX(1,G70))))</f>
        <v/>
      </c>
      <c r="BO70" s="58">
        <f>IF(BM70="LOSE",1,0)</f>
        <v/>
      </c>
      <c r="BP70" s="64">
        <f>IF(BO70=0,0,IF(N(R70)&gt;0,R70,IFERROR(VLOOKUP(D70,Parameter!$A$35:$C$64,3,0)+0,0)))</f>
        <v/>
      </c>
      <c r="BQ70" s="53">
        <f>IF(V70&lt;&gt;"",V70,U70)</f>
        <v/>
      </c>
      <c r="BR70" s="53">
        <f>IF(BQ70=1,"L1",IF(OR(BQ70=2,BQ70=3),"L23",IF(BQ70="Aussen","Aussen","-")))</f>
        <v/>
      </c>
      <c r="BS70" s="66">
        <f>IF(N(W70)&gt;0,W70,0)</f>
        <v/>
      </c>
      <c r="BT70" s="58">
        <f>IF(ISNUMBER(Z70),1,0)</f>
        <v/>
      </c>
      <c r="BU70" s="55">
        <f>N(Z70)</f>
        <v/>
      </c>
      <c r="BV70" s="55">
        <f>N(L70)+N(M70)</f>
        <v/>
      </c>
      <c r="BW70" s="55">
        <f>ROUNDUP(G70/BN70,0)</f>
        <v/>
      </c>
      <c r="BX70" s="55">
        <f>ROUNDUP(BU70/BN70,0)</f>
        <v/>
      </c>
      <c r="BY70" s="58">
        <f>IF(BO70=1,0,IFERROR(VLOOKUP(BM70,'Gebinde-Kategorie'!$A$5:$G$45,5,0)+0,0))</f>
        <v/>
      </c>
      <c r="BZ70" s="58">
        <f>IFERROR(IF(OR(BQ70=1,BQ70=2,BQ70=3),N(INDEX(Parameter!$I$5:$I$7,BQ70)),0),0)</f>
        <v/>
      </c>
    </row>
    <row r="71">
      <c r="A71" s="53" t="inlineStr">
        <is>
          <t>106308</t>
        </is>
      </c>
      <c r="B71" s="53" t="inlineStr">
        <is>
          <t>Rohrflansch</t>
        </is>
      </c>
      <c r="C71" s="53" t="inlineStr">
        <is>
          <t>F</t>
        </is>
      </c>
      <c r="D71" s="53" t="inlineStr">
        <is>
          <t>PAL</t>
        </is>
      </c>
      <c r="E71" s="53" t="inlineStr">
        <is>
          <t>C</t>
        </is>
      </c>
      <c r="F71" s="54" t="n">
        <v>136.73</v>
      </c>
      <c r="G71" s="55">
        <f>MAX(0,IF(Parameter!$B$20="Jahresanfang 2025 + Export",BG71+BF71,BF71))</f>
        <v/>
      </c>
      <c r="H71" s="55">
        <f>G71*F71</f>
        <v/>
      </c>
      <c r="I71" s="55">
        <f>BI71*Parameter!$B$18</f>
        <v/>
      </c>
      <c r="J71" s="56" t="n">
        <v>15</v>
      </c>
      <c r="K71" s="57" t="n">
        <v>2</v>
      </c>
      <c r="L71" s="55" t="n">
        <v>1</v>
      </c>
      <c r="M71" s="55" t="n">
        <v>30</v>
      </c>
      <c r="N71" s="58" t="n">
        <v>21</v>
      </c>
      <c r="O71" s="53" t="inlineStr">
        <is>
          <t>S71</t>
        </is>
      </c>
      <c r="P71" s="55" t="n">
        <v>24</v>
      </c>
      <c r="Q71" s="59">
        <f>IF(BO71=1,0,IFERROR(VLOOKUP(BM71,'Gebinde-Kategorie'!$A$5:$G$45,6,0)+0,0))</f>
        <v/>
      </c>
      <c r="R71" s="60" t="n"/>
      <c r="S71" s="61" t="n"/>
      <c r="T71" s="61" t="n"/>
      <c r="U71" s="53">
        <f>IF(A71="","",IF(IFERROR(VLOOKUP(D71,Parameter!$A$35:$C$64,2,0),"Nein")="2+3",IF(ISNUMBER(SEARCH("grosser Artikel",BJ71)),2,IFERROR(VLOOKUP(BM71,Parameter!$F$35:$G$64,2,0),2)),IF(OR(IFERROR(VLOOKUP(D71,Parameter!$A$35:$C$64,2,0),"Nein")="Nein",IFERROR(VLOOKUP(D71,Parameter!$A$35:$C$64,2,0),"Nein")=""),"-",VLOOKUP(D71,Parameter!$A$35:$C$64,2,0))))</f>
        <v/>
      </c>
      <c r="V71" s="61" t="n"/>
      <c r="W71" s="62" t="n"/>
      <c r="X71" s="55">
        <f>AM71</f>
        <v/>
      </c>
      <c r="Y71" s="55">
        <f>MAX(AM71,G71)</f>
        <v/>
      </c>
      <c r="Z71" s="63" t="n"/>
      <c r="AA71" s="55">
        <f>IF(LEFT(Cockpit!$C$5,1)="A",G71,IF(BT71=1,BU71,IF(LEFT(Cockpit!$C$5,1)="B",AE71,MAX(AE71,G71))))</f>
        <v/>
      </c>
      <c r="AB71" s="55">
        <f>IF(BO71=1,0,ROUNDUP(AA71/BN71,0))</f>
        <v/>
      </c>
      <c r="AC71" s="64">
        <f>IF(BO71=1,IF(AA71&lt;=0,0,BP71*MAX(1,IF(G71&gt;0,AA71/G71,1))),AB71*Q71)</f>
        <v/>
      </c>
      <c r="AD71" s="55">
        <f>AA71*F71</f>
        <v/>
      </c>
      <c r="AE71" s="55">
        <f>ROUNDUP(MAX(I71/IF(BS71&gt;0,BS71,MAX(0.1,N(Cockpit!$C$6))),BV71)/BN71,0)*BN71</f>
        <v/>
      </c>
      <c r="AF71" s="56">
        <f>IF(AC71&gt;0,I71/AC71,-1)</f>
        <v/>
      </c>
      <c r="AG71" s="56">
        <f>IF(AND(OR(BR71="L1",BR71="L23"),AC71&gt;0),SUMIFS($AC$7:$AC$1570,$BR$7:$BR$1570,BR71,$AF$7:$AF$1570,"&gt;"&amp;AF71)+SUMIFS($AC$7:$AC$1570,$BR$7:$BR$1570,BR71,$AF$7:$AF$1570,AF71,$BL$7:$BL$1570,"&lt;="&amp;BL71),"")</f>
        <v/>
      </c>
      <c r="AH71" s="65">
        <f>IF(AG71="",0,MAX(0,MIN(1,(IF(BR71="L1",Parameter!$K$5,Parameter!$K$6+Parameter!$K$7)-(AG71-AC71))/AC71)))</f>
        <v/>
      </c>
      <c r="AI71" s="55">
        <f>IF(LEFT(Cockpit!$I$5,1)="A",G71,IF(BT71=1,BU71,IF(LEFT(Cockpit!$I$5,1)="B",AM71,MAX(AM71,G71))))</f>
        <v/>
      </c>
      <c r="AJ71" s="55">
        <f>IF(BO71=1,0,ROUNDUP(AI71/BN71,0))</f>
        <v/>
      </c>
      <c r="AK71" s="64">
        <f>IF(BO71=1,IF(AI71&lt;=0,0,BP71*MAX(1,IF(G71&gt;0,AI71/G71,1))),AJ71*Q71)</f>
        <v/>
      </c>
      <c r="AL71" s="55">
        <f>AI71*F71</f>
        <v/>
      </c>
      <c r="AM71" s="55">
        <f>ROUNDUP(MAX(I71/IF(BS71&gt;0,BS71,MAX(0.1,N(Cockpit!$I$6))),BV71)/BN71,0)*BN71</f>
        <v/>
      </c>
      <c r="AN71" s="56">
        <f>IF(AK71&gt;0,I71/AK71,-1)</f>
        <v/>
      </c>
      <c r="AO71" s="56">
        <f>IF(AND(OR(BR71="L1",BR71="L23"),AK71&gt;0),SUMIFS($AK$7:$AK$1570,$BR$7:$BR$1570,BR71,$AN$7:$AN$1570,"&gt;"&amp;AN71)+SUMIFS($AK$7:$AK$1570,$BR$7:$BR$1570,BR71,$AN$7:$AN$1570,AN71,$BL$7:$BL$1570,"&lt;="&amp;BL71),"")</f>
        <v/>
      </c>
      <c r="AP71" s="65">
        <f>IF(AO71="",0,MAX(0,MIN(1,(IF(BR71="L1",Parameter!$K$5,Parameter!$K$6+Parameter!$K$7)-(AO71-AK71))/AK71)))</f>
        <v/>
      </c>
      <c r="AQ71" s="55">
        <f>IF(LEFT(Cockpit!$O$5,1)="A",G71,IF(BT71=1,BU71,IF(LEFT(Cockpit!$O$5,1)="B",AU71,MAX(AU71,G71))))</f>
        <v/>
      </c>
      <c r="AR71" s="55">
        <f>IF(BO71=1,0,ROUNDUP(AQ71/BN71,0))</f>
        <v/>
      </c>
      <c r="AS71" s="64">
        <f>IF(BO71=1,IF(AQ71&lt;=0,0,BP71*MAX(1,IF(G71&gt;0,AQ71/G71,1))),AR71*Q71)</f>
        <v/>
      </c>
      <c r="AT71" s="55">
        <f>AQ71*F71</f>
        <v/>
      </c>
      <c r="AU71" s="55">
        <f>ROUNDUP(MAX(I71/IF(BS71&gt;0,BS71,MAX(0.1,N(Cockpit!$O$6))),BV71)/BN71,0)*BN71</f>
        <v/>
      </c>
      <c r="AV71" s="56">
        <f>IF(AS71&gt;0,I71/AS71,-1)</f>
        <v/>
      </c>
      <c r="AW71" s="56">
        <f>IF(AND(OR(BR71="L1",BR71="L23"),AS71&gt;0),SUMIFS($AS$7:$AS$1570,$BR$7:$BR$1570,BR71,$AV$7:$AV$1570,"&gt;"&amp;AV71)+SUMIFS($AS$7:$AS$1570,$BR$7:$BR$1570,BR71,$AV$7:$AV$1570,AV71,$BL$7:$BL$1570,"&lt;="&amp;BL71),"")</f>
        <v/>
      </c>
      <c r="AX71" s="65">
        <f>IF(AW71="",0,MAX(0,MIN(1,(IF(BR71="L1",Parameter!$K$5,Parameter!$K$6+Parameter!$K$7)-(AW71-AS71))/AS71)))</f>
        <v/>
      </c>
      <c r="AY71" s="53">
        <f>IF(AC71&lt;=0,"",IF(BR71="Aussen","Aussenlager",IF(BR71="-","Nicht im Lift",IF(AH71&gt;=1,"Lift",IF(AH71&lt;=0,"Aussenlager","teilweise")))))</f>
        <v/>
      </c>
      <c r="AZ71" s="53">
        <f>IF(AK71&lt;=0,"",IF(BR71="Aussen","Aussenlager",IF(BR71="-","Nicht im Lift",IF(AP71&gt;=1,"Lift",IF(AP71&lt;=0,"Aussenlager","teilweise")))))</f>
        <v/>
      </c>
      <c r="BA71" s="53">
        <f>IF(AS71&lt;=0,"",IF(BR71="Aussen","Aussenlager",IF(BR71="-","Nicht im Lift",IF(AX71&gt;=1,"Lift",IF(AX71&lt;=0,"Aussenlager","teilweise")))))</f>
        <v/>
      </c>
      <c r="BB71" s="53">
        <f>IF(A71="","",IF(BK71=1,"Neu; ","")&amp;IF(AND(BK71=0,BF71&lt;0),"negativer Bestand (Export "&amp;BF71&amp;"); ","")&amp;IF(I71&lt;=0,"Kein Verbrauch; ","")&amp;IF(BO71=1,"Lose – Fläche geschätzt; ","")&amp;IF(G71&gt;AM71,"Überbestand "&amp;ROUND(G71-AM71,0)&amp;" Stk / CHF "&amp;ROUND((G71-AM71)*F71,0)&amp;"; ","")&amp;IF(AND(BT71=1,BU71&lt;BV71),"MAX &lt; MB+LG; ","")&amp;IF(AND(BZ71&gt;0,BY71*10&gt;BZ71),"zu hoch für Tablar; ","")&amp;IF(AND(BK71=0,OR(BT71=1,V71&lt;&gt;"",S71&lt;&gt;"",T71&lt;&gt;"",W71&lt;&gt;"")),"manuell übersteuert; ","")&amp;IF(AND(BO71=0,Q71=0),"Gebinde unbekannt; ","")&amp;IF(AND(BO71=0,N(T71)&lt;=0,N(P71)&lt;=0),"Menge pro Gebinde fehlt (Ist = 1 Gebinde); ","")&amp;BJ71)</f>
        <v/>
      </c>
      <c r="BC71" s="53" t="inlineStr">
        <is>
          <t>Letzter WE 2023?</t>
        </is>
      </c>
      <c r="BD71" s="53" t="inlineStr">
        <is>
          <t>T&amp;E: Benötigt/Alternative?</t>
        </is>
      </c>
      <c r="BE71" s="61" t="n"/>
      <c r="BF71" s="55" t="n">
        <v>26</v>
      </c>
      <c r="BG71" s="55" t="n">
        <v>5</v>
      </c>
      <c r="BH71" s="54" t="n">
        <v>3578.479999999998</v>
      </c>
      <c r="BI71" s="55" t="n">
        <v>30</v>
      </c>
      <c r="BJ71" s="53" t="inlineStr"/>
      <c r="BK71" s="58" t="n">
        <v>0</v>
      </c>
      <c r="BL71" s="58" t="n">
        <v>71</v>
      </c>
      <c r="BM71" s="53">
        <f>IF(S71&lt;&gt;"",UPPER(TRIM(S71)),IF(O71="","LOSE",O71))</f>
        <v/>
      </c>
      <c r="BN71" s="55">
        <f>IF(BM71="LOSE",1,IF(N(T71)&gt;0,T71,IF(N(P71)&gt;0,P71,MAX(1,G71))))</f>
        <v/>
      </c>
      <c r="BO71" s="58">
        <f>IF(BM71="LOSE",1,0)</f>
        <v/>
      </c>
      <c r="BP71" s="64">
        <f>IF(BO71=0,0,IF(N(R71)&gt;0,R71,IFERROR(VLOOKUP(D71,Parameter!$A$35:$C$64,3,0)+0,0)))</f>
        <v/>
      </c>
      <c r="BQ71" s="53">
        <f>IF(V71&lt;&gt;"",V71,U71)</f>
        <v/>
      </c>
      <c r="BR71" s="53">
        <f>IF(BQ71=1,"L1",IF(OR(BQ71=2,BQ71=3),"L23",IF(BQ71="Aussen","Aussen","-")))</f>
        <v/>
      </c>
      <c r="BS71" s="66">
        <f>IF(N(W71)&gt;0,W71,0)</f>
        <v/>
      </c>
      <c r="BT71" s="58">
        <f>IF(ISNUMBER(Z71),1,0)</f>
        <v/>
      </c>
      <c r="BU71" s="55">
        <f>N(Z71)</f>
        <v/>
      </c>
      <c r="BV71" s="55">
        <f>N(L71)+N(M71)</f>
        <v/>
      </c>
      <c r="BW71" s="55">
        <f>ROUNDUP(G71/BN71,0)</f>
        <v/>
      </c>
      <c r="BX71" s="55">
        <f>ROUNDUP(BU71/BN71,0)</f>
        <v/>
      </c>
      <c r="BY71" s="58">
        <f>IF(BO71=1,0,IFERROR(VLOOKUP(BM71,'Gebinde-Kategorie'!$A$5:$G$45,5,0)+0,0))</f>
        <v/>
      </c>
      <c r="BZ71" s="58">
        <f>IFERROR(IF(OR(BQ71=1,BQ71=2,BQ71=3),N(INDEX(Parameter!$I$5:$I$7,BQ71)),0),0)</f>
        <v/>
      </c>
    </row>
    <row r="72">
      <c r="A72" s="53" t="inlineStr">
        <is>
          <t>106723</t>
        </is>
      </c>
      <c r="B72" s="53" t="inlineStr">
        <is>
          <t>PTFE Schlauch DN6</t>
        </is>
      </c>
      <c r="C72" s="53" t="inlineStr">
        <is>
          <t>F</t>
        </is>
      </c>
      <c r="D72" s="53" t="inlineStr">
        <is>
          <t>PAL</t>
        </is>
      </c>
      <c r="E72" s="53" t="inlineStr">
        <is>
          <t>C</t>
        </is>
      </c>
      <c r="F72" s="54" t="n">
        <v>176.61</v>
      </c>
      <c r="G72" s="55">
        <f>MAX(0,IF(Parameter!$B$20="Jahresanfang 2025 + Export",BG72+BF72,BF72))</f>
        <v/>
      </c>
      <c r="H72" s="55">
        <f>G72*F72</f>
        <v/>
      </c>
      <c r="I72" s="55">
        <f>BI72*Parameter!$B$18</f>
        <v/>
      </c>
      <c r="J72" s="56" t="n">
        <v>46.5</v>
      </c>
      <c r="K72" s="57" t="n">
        <v>1.612903225806452</v>
      </c>
      <c r="L72" s="55" t="n">
        <v>15</v>
      </c>
      <c r="M72" s="55" t="n">
        <v>35</v>
      </c>
      <c r="N72" s="58" t="n">
        <v>60</v>
      </c>
      <c r="O72" s="53" t="inlineStr">
        <is>
          <t>S82</t>
        </is>
      </c>
      <c r="P72" s="55" t="n">
        <v>38</v>
      </c>
      <c r="Q72" s="59">
        <f>IF(BO72=1,0,IFERROR(VLOOKUP(BM72,'Gebinde-Kategorie'!$A$5:$G$45,6,0)+0,0))</f>
        <v/>
      </c>
      <c r="R72" s="60" t="n"/>
      <c r="S72" s="61" t="n"/>
      <c r="T72" s="61" t="n"/>
      <c r="U72" s="53">
        <f>IF(A72="","",IF(IFERROR(VLOOKUP(D72,Parameter!$A$35:$C$64,2,0),"Nein")="2+3",IF(ISNUMBER(SEARCH("grosser Artikel",BJ72)),2,IFERROR(VLOOKUP(BM72,Parameter!$F$35:$G$64,2,0),2)),IF(OR(IFERROR(VLOOKUP(D72,Parameter!$A$35:$C$64,2,0),"Nein")="Nein",IFERROR(VLOOKUP(D72,Parameter!$A$35:$C$64,2,0),"Nein")=""),"-",VLOOKUP(D72,Parameter!$A$35:$C$64,2,0))))</f>
        <v/>
      </c>
      <c r="V72" s="61" t="n"/>
      <c r="W72" s="62" t="n"/>
      <c r="X72" s="55">
        <f>AM72</f>
        <v/>
      </c>
      <c r="Y72" s="55">
        <f>MAX(AM72,G72)</f>
        <v/>
      </c>
      <c r="Z72" s="63" t="n"/>
      <c r="AA72" s="55">
        <f>IF(LEFT(Cockpit!$C$5,1)="A",G72,IF(BT72=1,BU72,IF(LEFT(Cockpit!$C$5,1)="B",AE72,MAX(AE72,G72))))</f>
        <v/>
      </c>
      <c r="AB72" s="55">
        <f>IF(BO72=1,0,ROUNDUP(AA72/BN72,0))</f>
        <v/>
      </c>
      <c r="AC72" s="64">
        <f>IF(BO72=1,IF(AA72&lt;=0,0,BP72*MAX(1,IF(G72&gt;0,AA72/G72,1))),AB72*Q72)</f>
        <v/>
      </c>
      <c r="AD72" s="55">
        <f>AA72*F72</f>
        <v/>
      </c>
      <c r="AE72" s="55">
        <f>ROUNDUP(MAX(I72/IF(BS72&gt;0,BS72,MAX(0.1,N(Cockpit!$C$6))),BV72)/BN72,0)*BN72</f>
        <v/>
      </c>
      <c r="AF72" s="56">
        <f>IF(AC72&gt;0,I72/AC72,-1)</f>
        <v/>
      </c>
      <c r="AG72" s="56">
        <f>IF(AND(OR(BR72="L1",BR72="L23"),AC72&gt;0),SUMIFS($AC$7:$AC$1570,$BR$7:$BR$1570,BR72,$AF$7:$AF$1570,"&gt;"&amp;AF72)+SUMIFS($AC$7:$AC$1570,$BR$7:$BR$1570,BR72,$AF$7:$AF$1570,AF72,$BL$7:$BL$1570,"&lt;="&amp;BL72),"")</f>
        <v/>
      </c>
      <c r="AH72" s="65">
        <f>IF(AG72="",0,MAX(0,MIN(1,(IF(BR72="L1",Parameter!$K$5,Parameter!$K$6+Parameter!$K$7)-(AG72-AC72))/AC72)))</f>
        <v/>
      </c>
      <c r="AI72" s="55">
        <f>IF(LEFT(Cockpit!$I$5,1)="A",G72,IF(BT72=1,BU72,IF(LEFT(Cockpit!$I$5,1)="B",AM72,MAX(AM72,G72))))</f>
        <v/>
      </c>
      <c r="AJ72" s="55">
        <f>IF(BO72=1,0,ROUNDUP(AI72/BN72,0))</f>
        <v/>
      </c>
      <c r="AK72" s="64">
        <f>IF(BO72=1,IF(AI72&lt;=0,0,BP72*MAX(1,IF(G72&gt;0,AI72/G72,1))),AJ72*Q72)</f>
        <v/>
      </c>
      <c r="AL72" s="55">
        <f>AI72*F72</f>
        <v/>
      </c>
      <c r="AM72" s="55">
        <f>ROUNDUP(MAX(I72/IF(BS72&gt;0,BS72,MAX(0.1,N(Cockpit!$I$6))),BV72)/BN72,0)*BN72</f>
        <v/>
      </c>
      <c r="AN72" s="56">
        <f>IF(AK72&gt;0,I72/AK72,-1)</f>
        <v/>
      </c>
      <c r="AO72" s="56">
        <f>IF(AND(OR(BR72="L1",BR72="L23"),AK72&gt;0),SUMIFS($AK$7:$AK$1570,$BR$7:$BR$1570,BR72,$AN$7:$AN$1570,"&gt;"&amp;AN72)+SUMIFS($AK$7:$AK$1570,$BR$7:$BR$1570,BR72,$AN$7:$AN$1570,AN72,$BL$7:$BL$1570,"&lt;="&amp;BL72),"")</f>
        <v/>
      </c>
      <c r="AP72" s="65">
        <f>IF(AO72="",0,MAX(0,MIN(1,(IF(BR72="L1",Parameter!$K$5,Parameter!$K$6+Parameter!$K$7)-(AO72-AK72))/AK72)))</f>
        <v/>
      </c>
      <c r="AQ72" s="55">
        <f>IF(LEFT(Cockpit!$O$5,1)="A",G72,IF(BT72=1,BU72,IF(LEFT(Cockpit!$O$5,1)="B",AU72,MAX(AU72,G72))))</f>
        <v/>
      </c>
      <c r="AR72" s="55">
        <f>IF(BO72=1,0,ROUNDUP(AQ72/BN72,0))</f>
        <v/>
      </c>
      <c r="AS72" s="64">
        <f>IF(BO72=1,IF(AQ72&lt;=0,0,BP72*MAX(1,IF(G72&gt;0,AQ72/G72,1))),AR72*Q72)</f>
        <v/>
      </c>
      <c r="AT72" s="55">
        <f>AQ72*F72</f>
        <v/>
      </c>
      <c r="AU72" s="55">
        <f>ROUNDUP(MAX(I72/IF(BS72&gt;0,BS72,MAX(0.1,N(Cockpit!$O$6))),BV72)/BN72,0)*BN72</f>
        <v/>
      </c>
      <c r="AV72" s="56">
        <f>IF(AS72&gt;0,I72/AS72,-1)</f>
        <v/>
      </c>
      <c r="AW72" s="56">
        <f>IF(AND(OR(BR72="L1",BR72="L23"),AS72&gt;0),SUMIFS($AS$7:$AS$1570,$BR$7:$BR$1570,BR72,$AV$7:$AV$1570,"&gt;"&amp;AV72)+SUMIFS($AS$7:$AS$1570,$BR$7:$BR$1570,BR72,$AV$7:$AV$1570,AV72,$BL$7:$BL$1570,"&lt;="&amp;BL72),"")</f>
        <v/>
      </c>
      <c r="AX72" s="65">
        <f>IF(AW72="",0,MAX(0,MIN(1,(IF(BR72="L1",Parameter!$K$5,Parameter!$K$6+Parameter!$K$7)-(AW72-AS72))/AS72)))</f>
        <v/>
      </c>
      <c r="AY72" s="53">
        <f>IF(AC72&lt;=0,"",IF(BR72="Aussen","Aussenlager",IF(BR72="-","Nicht im Lift",IF(AH72&gt;=1,"Lift",IF(AH72&lt;=0,"Aussenlager","teilweise")))))</f>
        <v/>
      </c>
      <c r="AZ72" s="53">
        <f>IF(AK72&lt;=0,"",IF(BR72="Aussen","Aussenlager",IF(BR72="-","Nicht im Lift",IF(AP72&gt;=1,"Lift",IF(AP72&lt;=0,"Aussenlager","teilweise")))))</f>
        <v/>
      </c>
      <c r="BA72" s="53">
        <f>IF(AS72&lt;=0,"",IF(BR72="Aussen","Aussenlager",IF(BR72="-","Nicht im Lift",IF(AX72&gt;=1,"Lift",IF(AX72&lt;=0,"Aussenlager","teilweise")))))</f>
        <v/>
      </c>
      <c r="BB72" s="53">
        <f>IF(A72="","",IF(BK72=1,"Neu; ","")&amp;IF(AND(BK72=0,BF72&lt;0),"negativer Bestand (Export "&amp;BF72&amp;"); ","")&amp;IF(I72&lt;=0,"Kein Verbrauch; ","")&amp;IF(BO72=1,"Lose – Fläche geschätzt; ","")&amp;IF(G72&gt;AM72,"Überbestand "&amp;ROUND(G72-AM72,0)&amp;" Stk / CHF "&amp;ROUND((G72-AM72)*F72,0)&amp;"; ","")&amp;IF(AND(BT72=1,BU72&lt;BV72),"MAX &lt; MB+LG; ","")&amp;IF(AND(BZ72&gt;0,BY72*10&gt;BZ72),"zu hoch für Tablar; ","")&amp;IF(AND(BK72=0,OR(BT72=1,V72&lt;&gt;"",S72&lt;&gt;"",T72&lt;&gt;"",W72&lt;&gt;"")),"manuell übersteuert; ","")&amp;IF(AND(BO72=0,Q72=0),"Gebinde unbekannt; ","")&amp;IF(AND(BO72=0,N(T72)&lt;=0,N(P72)&lt;=0),"Menge pro Gebinde fehlt (Ist = 1 Gebinde); ","")&amp;BJ72)</f>
        <v/>
      </c>
      <c r="BC72" s="53" t="inlineStr">
        <is>
          <t>In 2023 gekauft, eine Entnahme ohne Auftrag in 2024, seither keine Bewegung mehr -&gt; Ersastzteil zu Ibeda Druckregelstrecke (109144 109143 Beide mittlerwiele gesperrt).</t>
        </is>
      </c>
      <c r="BD72" s="53" t="inlineStr">
        <is>
          <t>T&amp;E: Benötigt/Alternative?</t>
        </is>
      </c>
      <c r="BE72" s="61" t="n"/>
      <c r="BF72" s="55" t="n">
        <v>22</v>
      </c>
      <c r="BG72" s="55" t="n">
        <v>24</v>
      </c>
      <c r="BH72" s="54" t="n">
        <v>3534.780000000001</v>
      </c>
      <c r="BI72" s="55" t="n">
        <v>75</v>
      </c>
      <c r="BJ72" s="53" t="inlineStr">
        <is>
          <t>grosser Artikel &amp; nicht im KTL</t>
        </is>
      </c>
      <c r="BK72" s="58" t="n">
        <v>0</v>
      </c>
      <c r="BL72" s="58" t="n">
        <v>72</v>
      </c>
      <c r="BM72" s="53">
        <f>IF(S72&lt;&gt;"",UPPER(TRIM(S72)),IF(O72="","LOSE",O72))</f>
        <v/>
      </c>
      <c r="BN72" s="55">
        <f>IF(BM72="LOSE",1,IF(N(T72)&gt;0,T72,IF(N(P72)&gt;0,P72,MAX(1,G72))))</f>
        <v/>
      </c>
      <c r="BO72" s="58">
        <f>IF(BM72="LOSE",1,0)</f>
        <v/>
      </c>
      <c r="BP72" s="64">
        <f>IF(BO72=0,0,IF(N(R72)&gt;0,R72,IFERROR(VLOOKUP(D72,Parameter!$A$35:$C$64,3,0)+0,0)))</f>
        <v/>
      </c>
      <c r="BQ72" s="53">
        <f>IF(V72&lt;&gt;"",V72,U72)</f>
        <v/>
      </c>
      <c r="BR72" s="53">
        <f>IF(BQ72=1,"L1",IF(OR(BQ72=2,BQ72=3),"L23",IF(BQ72="Aussen","Aussen","-")))</f>
        <v/>
      </c>
      <c r="BS72" s="66">
        <f>IF(N(W72)&gt;0,W72,0)</f>
        <v/>
      </c>
      <c r="BT72" s="58">
        <f>IF(ISNUMBER(Z72),1,0)</f>
        <v/>
      </c>
      <c r="BU72" s="55">
        <f>N(Z72)</f>
        <v/>
      </c>
      <c r="BV72" s="55">
        <f>N(L72)+N(M72)</f>
        <v/>
      </c>
      <c r="BW72" s="55">
        <f>ROUNDUP(G72/BN72,0)</f>
        <v/>
      </c>
      <c r="BX72" s="55">
        <f>ROUNDUP(BU72/BN72,0)</f>
        <v/>
      </c>
      <c r="BY72" s="58">
        <f>IF(BO72=1,0,IFERROR(VLOOKUP(BM72,'Gebinde-Kategorie'!$A$5:$G$45,5,0)+0,0))</f>
        <v/>
      </c>
      <c r="BZ72" s="58">
        <f>IFERROR(IF(OR(BQ72=1,BQ72=2,BQ72=3),N(INDEX(Parameter!$I$5:$I$7,BQ72)),0),0)</f>
        <v/>
      </c>
    </row>
    <row r="73">
      <c r="A73" s="53" t="inlineStr">
        <is>
          <t>005266</t>
        </is>
      </c>
      <c r="B73" s="53" t="inlineStr">
        <is>
          <t>Pilotventil</t>
        </is>
      </c>
      <c r="C73" s="53" t="inlineStr">
        <is>
          <t>F</t>
        </is>
      </c>
      <c r="D73" s="53" t="inlineStr">
        <is>
          <t>KTL</t>
        </is>
      </c>
      <c r="E73" s="53" t="inlineStr">
        <is>
          <t>C</t>
        </is>
      </c>
      <c r="F73" s="54" t="n">
        <v>160.95</v>
      </c>
      <c r="G73" s="55">
        <f>MAX(0,IF(Parameter!$B$20="Jahresanfang 2025 + Export",BG73+BF73,BF73))</f>
        <v/>
      </c>
      <c r="H73" s="55">
        <f>G73*F73</f>
        <v/>
      </c>
      <c r="I73" s="55">
        <f>BI73*Parameter!$B$18</f>
        <v/>
      </c>
      <c r="J73" s="56" t="n">
        <v>15.5</v>
      </c>
      <c r="K73" s="57" t="n">
        <v>6.258064516129032</v>
      </c>
      <c r="L73" s="55" t="n">
        <v>10</v>
      </c>
      <c r="M73" s="55" t="n">
        <v>40</v>
      </c>
      <c r="N73" s="58" t="n">
        <v>30</v>
      </c>
      <c r="O73" s="53" t="inlineStr">
        <is>
          <t>S51</t>
        </is>
      </c>
      <c r="P73" s="55" t="n">
        <v>31</v>
      </c>
      <c r="Q73" s="59">
        <f>IF(BO73=1,0,IFERROR(VLOOKUP(BM73,'Gebinde-Kategorie'!$A$5:$G$45,6,0)+0,0))</f>
        <v/>
      </c>
      <c r="R73" s="60" t="n"/>
      <c r="S73" s="61" t="n"/>
      <c r="T73" s="61" t="n"/>
      <c r="U73" s="53">
        <f>IF(A73="","",IF(IFERROR(VLOOKUP(D73,Parameter!$A$35:$C$64,2,0),"Nein")="2+3",IF(ISNUMBER(SEARCH("grosser Artikel",BJ73)),2,IFERROR(VLOOKUP(BM73,Parameter!$F$35:$G$64,2,0),2)),IF(OR(IFERROR(VLOOKUP(D73,Parameter!$A$35:$C$64,2,0),"Nein")="Nein",IFERROR(VLOOKUP(D73,Parameter!$A$35:$C$64,2,0),"Nein")=""),"-",VLOOKUP(D73,Parameter!$A$35:$C$64,2,0))))</f>
        <v/>
      </c>
      <c r="V73" s="61" t="n"/>
      <c r="W73" s="62" t="n"/>
      <c r="X73" s="55">
        <f>AM73</f>
        <v/>
      </c>
      <c r="Y73" s="55">
        <f>MAX(AM73,G73)</f>
        <v/>
      </c>
      <c r="Z73" s="63" t="n"/>
      <c r="AA73" s="55">
        <f>IF(LEFT(Cockpit!$C$5,1)="A",G73,IF(BT73=1,BU73,IF(LEFT(Cockpit!$C$5,1)="B",AE73,MAX(AE73,G73))))</f>
        <v/>
      </c>
      <c r="AB73" s="55">
        <f>IF(BO73=1,0,ROUNDUP(AA73/BN73,0))</f>
        <v/>
      </c>
      <c r="AC73" s="64">
        <f>IF(BO73=1,IF(AA73&lt;=0,0,BP73*MAX(1,IF(G73&gt;0,AA73/G73,1))),AB73*Q73)</f>
        <v/>
      </c>
      <c r="AD73" s="55">
        <f>AA73*F73</f>
        <v/>
      </c>
      <c r="AE73" s="55">
        <f>ROUNDUP(MAX(I73/IF(BS73&gt;0,BS73,MAX(0.1,N(Cockpit!$C$6))),BV73)/BN73,0)*BN73</f>
        <v/>
      </c>
      <c r="AF73" s="56">
        <f>IF(AC73&gt;0,I73/AC73,-1)</f>
        <v/>
      </c>
      <c r="AG73" s="56">
        <f>IF(AND(OR(BR73="L1",BR73="L23"),AC73&gt;0),SUMIFS($AC$7:$AC$1570,$BR$7:$BR$1570,BR73,$AF$7:$AF$1570,"&gt;"&amp;AF73)+SUMIFS($AC$7:$AC$1570,$BR$7:$BR$1570,BR73,$AF$7:$AF$1570,AF73,$BL$7:$BL$1570,"&lt;="&amp;BL73),"")</f>
        <v/>
      </c>
      <c r="AH73" s="65">
        <f>IF(AG73="",0,MAX(0,MIN(1,(IF(BR73="L1",Parameter!$K$5,Parameter!$K$6+Parameter!$K$7)-(AG73-AC73))/AC73)))</f>
        <v/>
      </c>
      <c r="AI73" s="55">
        <f>IF(LEFT(Cockpit!$I$5,1)="A",G73,IF(BT73=1,BU73,IF(LEFT(Cockpit!$I$5,1)="B",AM73,MAX(AM73,G73))))</f>
        <v/>
      </c>
      <c r="AJ73" s="55">
        <f>IF(BO73=1,0,ROUNDUP(AI73/BN73,0))</f>
        <v/>
      </c>
      <c r="AK73" s="64">
        <f>IF(BO73=1,IF(AI73&lt;=0,0,BP73*MAX(1,IF(G73&gt;0,AI73/G73,1))),AJ73*Q73)</f>
        <v/>
      </c>
      <c r="AL73" s="55">
        <f>AI73*F73</f>
        <v/>
      </c>
      <c r="AM73" s="55">
        <f>ROUNDUP(MAX(I73/IF(BS73&gt;0,BS73,MAX(0.1,N(Cockpit!$I$6))),BV73)/BN73,0)*BN73</f>
        <v/>
      </c>
      <c r="AN73" s="56">
        <f>IF(AK73&gt;0,I73/AK73,-1)</f>
        <v/>
      </c>
      <c r="AO73" s="56">
        <f>IF(AND(OR(BR73="L1",BR73="L23"),AK73&gt;0),SUMIFS($AK$7:$AK$1570,$BR$7:$BR$1570,BR73,$AN$7:$AN$1570,"&gt;"&amp;AN73)+SUMIFS($AK$7:$AK$1570,$BR$7:$BR$1570,BR73,$AN$7:$AN$1570,AN73,$BL$7:$BL$1570,"&lt;="&amp;BL73),"")</f>
        <v/>
      </c>
      <c r="AP73" s="65">
        <f>IF(AO73="",0,MAX(0,MIN(1,(IF(BR73="L1",Parameter!$K$5,Parameter!$K$6+Parameter!$K$7)-(AO73-AK73))/AK73)))</f>
        <v/>
      </c>
      <c r="AQ73" s="55">
        <f>IF(LEFT(Cockpit!$O$5,1)="A",G73,IF(BT73=1,BU73,IF(LEFT(Cockpit!$O$5,1)="B",AU73,MAX(AU73,G73))))</f>
        <v/>
      </c>
      <c r="AR73" s="55">
        <f>IF(BO73=1,0,ROUNDUP(AQ73/BN73,0))</f>
        <v/>
      </c>
      <c r="AS73" s="64">
        <f>IF(BO73=1,IF(AQ73&lt;=0,0,BP73*MAX(1,IF(G73&gt;0,AQ73/G73,1))),AR73*Q73)</f>
        <v/>
      </c>
      <c r="AT73" s="55">
        <f>AQ73*F73</f>
        <v/>
      </c>
      <c r="AU73" s="55">
        <f>ROUNDUP(MAX(I73/IF(BS73&gt;0,BS73,MAX(0.1,N(Cockpit!$O$6))),BV73)/BN73,0)*BN73</f>
        <v/>
      </c>
      <c r="AV73" s="56">
        <f>IF(AS73&gt;0,I73/AS73,-1)</f>
        <v/>
      </c>
      <c r="AW73" s="56">
        <f>IF(AND(OR(BR73="L1",BR73="L23"),AS73&gt;0),SUMIFS($AS$7:$AS$1570,$BR$7:$BR$1570,BR73,$AV$7:$AV$1570,"&gt;"&amp;AV73)+SUMIFS($AS$7:$AS$1570,$BR$7:$BR$1570,BR73,$AV$7:$AV$1570,AV73,$BL$7:$BL$1570,"&lt;="&amp;BL73),"")</f>
        <v/>
      </c>
      <c r="AX73" s="65">
        <f>IF(AW73="",0,MAX(0,MIN(1,(IF(BR73="L1",Parameter!$K$5,Parameter!$K$6+Parameter!$K$7)-(AW73-AS73))/AS73)))</f>
        <v/>
      </c>
      <c r="AY73" s="53">
        <f>IF(AC73&lt;=0,"",IF(BR73="Aussen","Aussenlager",IF(BR73="-","Nicht im Lift",IF(AH73&gt;=1,"Lift",IF(AH73&lt;=0,"Aussenlager","teilweise")))))</f>
        <v/>
      </c>
      <c r="AZ73" s="53">
        <f>IF(AK73&lt;=0,"",IF(BR73="Aussen","Aussenlager",IF(BR73="-","Nicht im Lift",IF(AP73&gt;=1,"Lift",IF(AP73&lt;=0,"Aussenlager","teilweise")))))</f>
        <v/>
      </c>
      <c r="BA73" s="53">
        <f>IF(AS73&lt;=0,"",IF(BR73="Aussen","Aussenlager",IF(BR73="-","Nicht im Lift",IF(AX73&gt;=1,"Lift",IF(AX73&lt;=0,"Aussenlager","teilweise")))))</f>
        <v/>
      </c>
      <c r="BB73" s="53">
        <f>IF(A73="","",IF(BK73=1,"Neu; ","")&amp;IF(AND(BK73=0,BF73&lt;0),"negativer Bestand (Export "&amp;BF73&amp;"); ","")&amp;IF(I73&lt;=0,"Kein Verbrauch; ","")&amp;IF(BO73=1,"Lose – Fläche geschätzt; ","")&amp;IF(G73&gt;AM73,"Überbestand "&amp;ROUND(G73-AM73,0)&amp;" Stk / CHF "&amp;ROUND((G73-AM73)*F73,0)&amp;"; ","")&amp;IF(AND(BT73=1,BU73&lt;BV73),"MAX &lt; MB+LG; ","")&amp;IF(AND(BZ73&gt;0,BY73*10&gt;BZ73),"zu hoch für Tablar; ","")&amp;IF(AND(BK73=0,OR(BT73=1,V73&lt;&gt;"",S73&lt;&gt;"",T73&lt;&gt;"",W73&lt;&gt;"")),"manuell übersteuert; ","")&amp;IF(AND(BO73=0,Q73=0),"Gebinde unbekannt; ","")&amp;IF(AND(BO73=0,N(T73)&lt;=0,N(P73)&lt;=0),"Menge pro Gebinde fehlt (Ist = 1 Gebinde); ","")&amp;BJ73)</f>
        <v/>
      </c>
      <c r="BC73" s="53" t="n"/>
      <c r="BD73" s="53" t="n"/>
      <c r="BE73" s="61" t="n"/>
      <c r="BF73" s="55" t="n">
        <v>20</v>
      </c>
      <c r="BG73" s="55" t="n">
        <v>19</v>
      </c>
      <c r="BH73" s="54" t="n">
        <v>3430.650000000006</v>
      </c>
      <c r="BI73" s="55" t="n">
        <v>97</v>
      </c>
      <c r="BJ73" s="53" t="inlineStr"/>
      <c r="BK73" s="58" t="n">
        <v>0</v>
      </c>
      <c r="BL73" s="58" t="n">
        <v>73</v>
      </c>
      <c r="BM73" s="53">
        <f>IF(S73&lt;&gt;"",UPPER(TRIM(S73)),IF(O73="","LOSE",O73))</f>
        <v/>
      </c>
      <c r="BN73" s="55">
        <f>IF(BM73="LOSE",1,IF(N(T73)&gt;0,T73,IF(N(P73)&gt;0,P73,MAX(1,G73))))</f>
        <v/>
      </c>
      <c r="BO73" s="58">
        <f>IF(BM73="LOSE",1,0)</f>
        <v/>
      </c>
      <c r="BP73" s="64">
        <f>IF(BO73=0,0,IF(N(R73)&gt;0,R73,IFERROR(VLOOKUP(D73,Parameter!$A$35:$C$64,3,0)+0,0)))</f>
        <v/>
      </c>
      <c r="BQ73" s="53">
        <f>IF(V73&lt;&gt;"",V73,U73)</f>
        <v/>
      </c>
      <c r="BR73" s="53">
        <f>IF(BQ73=1,"L1",IF(OR(BQ73=2,BQ73=3),"L23",IF(BQ73="Aussen","Aussen","-")))</f>
        <v/>
      </c>
      <c r="BS73" s="66">
        <f>IF(N(W73)&gt;0,W73,0)</f>
        <v/>
      </c>
      <c r="BT73" s="58">
        <f>IF(ISNUMBER(Z73),1,0)</f>
        <v/>
      </c>
      <c r="BU73" s="55">
        <f>N(Z73)</f>
        <v/>
      </c>
      <c r="BV73" s="55">
        <f>N(L73)+N(M73)</f>
        <v/>
      </c>
      <c r="BW73" s="55">
        <f>ROUNDUP(G73/BN73,0)</f>
        <v/>
      </c>
      <c r="BX73" s="55">
        <f>ROUNDUP(BU73/BN73,0)</f>
        <v/>
      </c>
      <c r="BY73" s="58">
        <f>IF(BO73=1,0,IFERROR(VLOOKUP(BM73,'Gebinde-Kategorie'!$A$5:$G$45,5,0)+0,0))</f>
        <v/>
      </c>
      <c r="BZ73" s="58">
        <f>IFERROR(IF(OR(BQ73=1,BQ73=2,BQ73=3),N(INDEX(Parameter!$I$5:$I$7,BQ73)),0),0)</f>
        <v/>
      </c>
    </row>
    <row r="74">
      <c r="A74" s="53" t="inlineStr">
        <is>
          <t>OC-106175</t>
        </is>
      </c>
      <c r="B74" s="53" t="inlineStr">
        <is>
          <t>SPGr10</t>
        </is>
      </c>
      <c r="C74" s="53" t="inlineStr">
        <is>
          <t>F</t>
        </is>
      </c>
      <c r="D74" s="53" t="inlineStr">
        <is>
          <t>OCC</t>
        </is>
      </c>
      <c r="E74" s="53" t="inlineStr">
        <is>
          <t>C</t>
        </is>
      </c>
      <c r="F74" s="54" t="n">
        <v>3398.79</v>
      </c>
      <c r="G74" s="55">
        <f>MAX(0,IF(Parameter!$B$20="Jahresanfang 2025 + Export",BG74+BF74,BF74))</f>
        <v/>
      </c>
      <c r="H74" s="55">
        <f>G74*F74</f>
        <v/>
      </c>
      <c r="I74" s="55">
        <f>BI74*Parameter!$B$18</f>
        <v/>
      </c>
      <c r="J74" s="56" t="n">
        <v>0.5</v>
      </c>
      <c r="K74" s="57" t="n">
        <v>0</v>
      </c>
      <c r="L74" s="55" t="n">
        <v>0</v>
      </c>
      <c r="M74" s="55" t="n">
        <v>1</v>
      </c>
      <c r="N74" s="58" t="n">
        <v>0</v>
      </c>
      <c r="O74" s="53" t="inlineStr">
        <is>
          <t>LOSE</t>
        </is>
      </c>
      <c r="P74" s="55" t="n"/>
      <c r="Q74" s="59">
        <f>IF(BO74=1,0,IFERROR(VLOOKUP(BM74,'Gebinde-Kategorie'!$A$5:$G$45,6,0)+0,0))</f>
        <v/>
      </c>
      <c r="R74" s="60" t="n"/>
      <c r="S74" s="61" t="n"/>
      <c r="T74" s="61" t="n"/>
      <c r="U74" s="53">
        <f>IF(A74="","",IF(IFERROR(VLOOKUP(D74,Parameter!$A$35:$C$64,2,0),"Nein")="2+3",IF(ISNUMBER(SEARCH("grosser Artikel",BJ74)),2,IFERROR(VLOOKUP(BM74,Parameter!$F$35:$G$64,2,0),2)),IF(OR(IFERROR(VLOOKUP(D74,Parameter!$A$35:$C$64,2,0),"Nein")="Nein",IFERROR(VLOOKUP(D74,Parameter!$A$35:$C$64,2,0),"Nein")=""),"-",VLOOKUP(D74,Parameter!$A$35:$C$64,2,0))))</f>
        <v/>
      </c>
      <c r="V74" s="61" t="n"/>
      <c r="W74" s="62" t="n"/>
      <c r="X74" s="55">
        <f>AM74</f>
        <v/>
      </c>
      <c r="Y74" s="55">
        <f>MAX(AM74,G74)</f>
        <v/>
      </c>
      <c r="Z74" s="63" t="n"/>
      <c r="AA74" s="55">
        <f>IF(LEFT(Cockpit!$C$5,1)="A",G74,IF(BT74=1,BU74,IF(LEFT(Cockpit!$C$5,1)="B",AE74,MAX(AE74,G74))))</f>
        <v/>
      </c>
      <c r="AB74" s="55">
        <f>IF(BO74=1,0,ROUNDUP(AA74/BN74,0))</f>
        <v/>
      </c>
      <c r="AC74" s="64">
        <f>IF(BO74=1,IF(AA74&lt;=0,0,BP74*MAX(1,IF(G74&gt;0,AA74/G74,1))),AB74*Q74)</f>
        <v/>
      </c>
      <c r="AD74" s="55">
        <f>AA74*F74</f>
        <v/>
      </c>
      <c r="AE74" s="55">
        <f>ROUNDUP(MAX(I74/IF(BS74&gt;0,BS74,MAX(0.1,N(Cockpit!$C$6))),BV74)/BN74,0)*BN74</f>
        <v/>
      </c>
      <c r="AF74" s="56">
        <f>IF(AC74&gt;0,I74/AC74,-1)</f>
        <v/>
      </c>
      <c r="AG74" s="56">
        <f>IF(AND(OR(BR74="L1",BR74="L23"),AC74&gt;0),SUMIFS($AC$7:$AC$1570,$BR$7:$BR$1570,BR74,$AF$7:$AF$1570,"&gt;"&amp;AF74)+SUMIFS($AC$7:$AC$1570,$BR$7:$BR$1570,BR74,$AF$7:$AF$1570,AF74,$BL$7:$BL$1570,"&lt;="&amp;BL74),"")</f>
        <v/>
      </c>
      <c r="AH74" s="65">
        <f>IF(AG74="",0,MAX(0,MIN(1,(IF(BR74="L1",Parameter!$K$5,Parameter!$K$6+Parameter!$K$7)-(AG74-AC74))/AC74)))</f>
        <v/>
      </c>
      <c r="AI74" s="55">
        <f>IF(LEFT(Cockpit!$I$5,1)="A",G74,IF(BT74=1,BU74,IF(LEFT(Cockpit!$I$5,1)="B",AM74,MAX(AM74,G74))))</f>
        <v/>
      </c>
      <c r="AJ74" s="55">
        <f>IF(BO74=1,0,ROUNDUP(AI74/BN74,0))</f>
        <v/>
      </c>
      <c r="AK74" s="64">
        <f>IF(BO74=1,IF(AI74&lt;=0,0,BP74*MAX(1,IF(G74&gt;0,AI74/G74,1))),AJ74*Q74)</f>
        <v/>
      </c>
      <c r="AL74" s="55">
        <f>AI74*F74</f>
        <v/>
      </c>
      <c r="AM74" s="55">
        <f>ROUNDUP(MAX(I74/IF(BS74&gt;0,BS74,MAX(0.1,N(Cockpit!$I$6))),BV74)/BN74,0)*BN74</f>
        <v/>
      </c>
      <c r="AN74" s="56">
        <f>IF(AK74&gt;0,I74/AK74,-1)</f>
        <v/>
      </c>
      <c r="AO74" s="56">
        <f>IF(AND(OR(BR74="L1",BR74="L23"),AK74&gt;0),SUMIFS($AK$7:$AK$1570,$BR$7:$BR$1570,BR74,$AN$7:$AN$1570,"&gt;"&amp;AN74)+SUMIFS($AK$7:$AK$1570,$BR$7:$BR$1570,BR74,$AN$7:$AN$1570,AN74,$BL$7:$BL$1570,"&lt;="&amp;BL74),"")</f>
        <v/>
      </c>
      <c r="AP74" s="65">
        <f>IF(AO74="",0,MAX(0,MIN(1,(IF(BR74="L1",Parameter!$K$5,Parameter!$K$6+Parameter!$K$7)-(AO74-AK74))/AK74)))</f>
        <v/>
      </c>
      <c r="AQ74" s="55">
        <f>IF(LEFT(Cockpit!$O$5,1)="A",G74,IF(BT74=1,BU74,IF(LEFT(Cockpit!$O$5,1)="B",AU74,MAX(AU74,G74))))</f>
        <v/>
      </c>
      <c r="AR74" s="55">
        <f>IF(BO74=1,0,ROUNDUP(AQ74/BN74,0))</f>
        <v/>
      </c>
      <c r="AS74" s="64">
        <f>IF(BO74=1,IF(AQ74&lt;=0,0,BP74*MAX(1,IF(G74&gt;0,AQ74/G74,1))),AR74*Q74)</f>
        <v/>
      </c>
      <c r="AT74" s="55">
        <f>AQ74*F74</f>
        <v/>
      </c>
      <c r="AU74" s="55">
        <f>ROUNDUP(MAX(I74/IF(BS74&gt;0,BS74,MAX(0.1,N(Cockpit!$O$6))),BV74)/BN74,0)*BN74</f>
        <v/>
      </c>
      <c r="AV74" s="56">
        <f>IF(AS74&gt;0,I74/AS74,-1)</f>
        <v/>
      </c>
      <c r="AW74" s="56">
        <f>IF(AND(OR(BR74="L1",BR74="L23"),AS74&gt;0),SUMIFS($AS$7:$AS$1570,$BR$7:$BR$1570,BR74,$AV$7:$AV$1570,"&gt;"&amp;AV74)+SUMIFS($AS$7:$AS$1570,$BR$7:$BR$1570,BR74,$AV$7:$AV$1570,AV74,$BL$7:$BL$1570,"&lt;="&amp;BL74),"")</f>
        <v/>
      </c>
      <c r="AX74" s="65">
        <f>IF(AW74="",0,MAX(0,MIN(1,(IF(BR74="L1",Parameter!$K$5,Parameter!$K$6+Parameter!$K$7)-(AW74-AS74))/AS74)))</f>
        <v/>
      </c>
      <c r="AY74" s="53">
        <f>IF(AC74&lt;=0,"",IF(BR74="Aussen","Aussenlager",IF(BR74="-","Nicht im Lift",IF(AH74&gt;=1,"Lift",IF(AH74&lt;=0,"Aussenlager","teilweise")))))</f>
        <v/>
      </c>
      <c r="AZ74" s="53">
        <f>IF(AK74&lt;=0,"",IF(BR74="Aussen","Aussenlager",IF(BR74="-","Nicht im Lift",IF(AP74&gt;=1,"Lift",IF(AP74&lt;=0,"Aussenlager","teilweise")))))</f>
        <v/>
      </c>
      <c r="BA74" s="53">
        <f>IF(AS74&lt;=0,"",IF(BR74="Aussen","Aussenlager",IF(BR74="-","Nicht im Lift",IF(AX74&gt;=1,"Lift",IF(AX74&lt;=0,"Aussenlager","teilweise")))))</f>
        <v/>
      </c>
      <c r="BB74" s="53">
        <f>IF(A74="","",IF(BK74=1,"Neu; ","")&amp;IF(AND(BK74=0,BF74&lt;0),"negativer Bestand (Export "&amp;BF74&amp;"); ","")&amp;IF(I74&lt;=0,"Kein Verbrauch; ","")&amp;IF(BO74=1,"Lose – Fläche geschätzt; ","")&amp;IF(G74&gt;AM74,"Überbestand "&amp;ROUND(G74-AM74,0)&amp;" Stk / CHF "&amp;ROUND((G74-AM74)*F74,0)&amp;"; ","")&amp;IF(AND(BT74=1,BU74&lt;BV74),"MAX &lt; MB+LG; ","")&amp;IF(AND(BZ74&gt;0,BY74*10&gt;BZ74),"zu hoch für Tablar; ","")&amp;IF(AND(BK74=0,OR(BT74=1,V74&lt;&gt;"",S74&lt;&gt;"",T74&lt;&gt;"",W74&lt;&gt;"")),"manuell übersteuert; ","")&amp;IF(AND(BO74=0,Q74=0),"Gebinde unbekannt; ","")&amp;IF(AND(BO74=0,N(T74)&lt;=0,N(P74)&lt;=0),"Menge pro Gebinde fehlt (Ist = 1 Gebinde); ","")&amp;BJ74)</f>
        <v/>
      </c>
      <c r="BC74" s="53" t="n"/>
      <c r="BD74" s="53" t="n"/>
      <c r="BE74" s="61" t="n"/>
      <c r="BF74" s="55" t="n">
        <v>1</v>
      </c>
      <c r="BG74" s="55" t="n">
        <v>0</v>
      </c>
      <c r="BH74" s="54" t="n">
        <v>3398.79</v>
      </c>
      <c r="BI74" s="55" t="n">
        <v>0</v>
      </c>
      <c r="BJ74" s="53" t="inlineStr"/>
      <c r="BK74" s="58" t="n">
        <v>0</v>
      </c>
      <c r="BL74" s="58" t="n">
        <v>74</v>
      </c>
      <c r="BM74" s="53">
        <f>IF(S74&lt;&gt;"",UPPER(TRIM(S74)),IF(O74="","LOSE",O74))</f>
        <v/>
      </c>
      <c r="BN74" s="55">
        <f>IF(BM74="LOSE",1,IF(N(T74)&gt;0,T74,IF(N(P74)&gt;0,P74,MAX(1,G74))))</f>
        <v/>
      </c>
      <c r="BO74" s="58">
        <f>IF(BM74="LOSE",1,0)</f>
        <v/>
      </c>
      <c r="BP74" s="64">
        <f>IF(BO74=0,0,IF(N(R74)&gt;0,R74,IFERROR(VLOOKUP(D74,Parameter!$A$35:$C$64,3,0)+0,0)))</f>
        <v/>
      </c>
      <c r="BQ74" s="53">
        <f>IF(V74&lt;&gt;"",V74,U74)</f>
        <v/>
      </c>
      <c r="BR74" s="53">
        <f>IF(BQ74=1,"L1",IF(OR(BQ74=2,BQ74=3),"L23",IF(BQ74="Aussen","Aussen","-")))</f>
        <v/>
      </c>
      <c r="BS74" s="66">
        <f>IF(N(W74)&gt;0,W74,0)</f>
        <v/>
      </c>
      <c r="BT74" s="58">
        <f>IF(ISNUMBER(Z74),1,0)</f>
        <v/>
      </c>
      <c r="BU74" s="55">
        <f>N(Z74)</f>
        <v/>
      </c>
      <c r="BV74" s="55">
        <f>N(L74)+N(M74)</f>
        <v/>
      </c>
      <c r="BW74" s="55">
        <f>ROUNDUP(G74/BN74,0)</f>
        <v/>
      </c>
      <c r="BX74" s="55">
        <f>ROUNDUP(BU74/BN74,0)</f>
        <v/>
      </c>
      <c r="BY74" s="58">
        <f>IF(BO74=1,0,IFERROR(VLOOKUP(BM74,'Gebinde-Kategorie'!$A$5:$G$45,5,0)+0,0))</f>
        <v/>
      </c>
      <c r="BZ74" s="58">
        <f>IFERROR(IF(OR(BQ74=1,BQ74=2,BQ74=3),N(INDEX(Parameter!$I$5:$I$7,BQ74)),0),0)</f>
        <v/>
      </c>
    </row>
    <row r="75">
      <c r="A75" s="53" t="inlineStr">
        <is>
          <t>111900</t>
        </is>
      </c>
      <c r="B75" s="53" t="inlineStr">
        <is>
          <t>Ausgleichsvolumen 40l</t>
        </is>
      </c>
      <c r="C75" s="53" t="inlineStr">
        <is>
          <t>F</t>
        </is>
      </c>
      <c r="D75" s="53" t="inlineStr">
        <is>
          <t>PAL</t>
        </is>
      </c>
      <c r="E75" s="53" t="inlineStr">
        <is>
          <t>C</t>
        </is>
      </c>
      <c r="F75" s="54" t="n">
        <v>674.15</v>
      </c>
      <c r="G75" s="55">
        <f>MAX(0,IF(Parameter!$B$20="Jahresanfang 2025 + Export",BG75+BF75,BF75))</f>
        <v/>
      </c>
      <c r="H75" s="55">
        <f>G75*F75</f>
        <v/>
      </c>
      <c r="I75" s="55">
        <f>BI75*Parameter!$B$18</f>
        <v/>
      </c>
      <c r="J75" s="56" t="n">
        <v>0</v>
      </c>
      <c r="K75" s="57" t="n">
        <v>0</v>
      </c>
      <c r="L75" s="55" t="n">
        <v>0</v>
      </c>
      <c r="M75" s="55" t="n">
        <v>5</v>
      </c>
      <c r="N75" s="58" t="n">
        <v>9999</v>
      </c>
      <c r="O75" s="53" t="inlineStr">
        <is>
          <t>LOSE</t>
        </is>
      </c>
      <c r="P75" s="55" t="n"/>
      <c r="Q75" s="59">
        <f>IF(BO75=1,0,IFERROR(VLOOKUP(BM75,'Gebinde-Kategorie'!$A$5:$G$45,6,0)+0,0))</f>
        <v/>
      </c>
      <c r="R75" s="60" t="n"/>
      <c r="S75" s="61" t="n"/>
      <c r="T75" s="61" t="n"/>
      <c r="U75" s="53">
        <f>IF(A75="","",IF(IFERROR(VLOOKUP(D75,Parameter!$A$35:$C$64,2,0),"Nein")="2+3",IF(ISNUMBER(SEARCH("grosser Artikel",BJ75)),2,IFERROR(VLOOKUP(BM75,Parameter!$F$35:$G$64,2,0),2)),IF(OR(IFERROR(VLOOKUP(D75,Parameter!$A$35:$C$64,2,0),"Nein")="Nein",IFERROR(VLOOKUP(D75,Parameter!$A$35:$C$64,2,0),"Nein")=""),"-",VLOOKUP(D75,Parameter!$A$35:$C$64,2,0))))</f>
        <v/>
      </c>
      <c r="V75" s="61" t="n"/>
      <c r="W75" s="62" t="n"/>
      <c r="X75" s="55">
        <f>AM75</f>
        <v/>
      </c>
      <c r="Y75" s="55">
        <f>MAX(AM75,G75)</f>
        <v/>
      </c>
      <c r="Z75" s="63" t="n"/>
      <c r="AA75" s="55">
        <f>IF(LEFT(Cockpit!$C$5,1)="A",G75,IF(BT75=1,BU75,IF(LEFT(Cockpit!$C$5,1)="B",AE75,MAX(AE75,G75))))</f>
        <v/>
      </c>
      <c r="AB75" s="55">
        <f>IF(BO75=1,0,ROUNDUP(AA75/BN75,0))</f>
        <v/>
      </c>
      <c r="AC75" s="64">
        <f>IF(BO75=1,IF(AA75&lt;=0,0,BP75*MAX(1,IF(G75&gt;0,AA75/G75,1))),AB75*Q75)</f>
        <v/>
      </c>
      <c r="AD75" s="55">
        <f>AA75*F75</f>
        <v/>
      </c>
      <c r="AE75" s="55">
        <f>ROUNDUP(MAX(I75/IF(BS75&gt;0,BS75,MAX(0.1,N(Cockpit!$C$6))),BV75)/BN75,0)*BN75</f>
        <v/>
      </c>
      <c r="AF75" s="56">
        <f>IF(AC75&gt;0,I75/AC75,-1)</f>
        <v/>
      </c>
      <c r="AG75" s="56">
        <f>IF(AND(OR(BR75="L1",BR75="L23"),AC75&gt;0),SUMIFS($AC$7:$AC$1570,$BR$7:$BR$1570,BR75,$AF$7:$AF$1570,"&gt;"&amp;AF75)+SUMIFS($AC$7:$AC$1570,$BR$7:$BR$1570,BR75,$AF$7:$AF$1570,AF75,$BL$7:$BL$1570,"&lt;="&amp;BL75),"")</f>
        <v/>
      </c>
      <c r="AH75" s="65">
        <f>IF(AG75="",0,MAX(0,MIN(1,(IF(BR75="L1",Parameter!$K$5,Parameter!$K$6+Parameter!$K$7)-(AG75-AC75))/AC75)))</f>
        <v/>
      </c>
      <c r="AI75" s="55">
        <f>IF(LEFT(Cockpit!$I$5,1)="A",G75,IF(BT75=1,BU75,IF(LEFT(Cockpit!$I$5,1)="B",AM75,MAX(AM75,G75))))</f>
        <v/>
      </c>
      <c r="AJ75" s="55">
        <f>IF(BO75=1,0,ROUNDUP(AI75/BN75,0))</f>
        <v/>
      </c>
      <c r="AK75" s="64">
        <f>IF(BO75=1,IF(AI75&lt;=0,0,BP75*MAX(1,IF(G75&gt;0,AI75/G75,1))),AJ75*Q75)</f>
        <v/>
      </c>
      <c r="AL75" s="55">
        <f>AI75*F75</f>
        <v/>
      </c>
      <c r="AM75" s="55">
        <f>ROUNDUP(MAX(I75/IF(BS75&gt;0,BS75,MAX(0.1,N(Cockpit!$I$6))),BV75)/BN75,0)*BN75</f>
        <v/>
      </c>
      <c r="AN75" s="56">
        <f>IF(AK75&gt;0,I75/AK75,-1)</f>
        <v/>
      </c>
      <c r="AO75" s="56">
        <f>IF(AND(OR(BR75="L1",BR75="L23"),AK75&gt;0),SUMIFS($AK$7:$AK$1570,$BR$7:$BR$1570,BR75,$AN$7:$AN$1570,"&gt;"&amp;AN75)+SUMIFS($AK$7:$AK$1570,$BR$7:$BR$1570,BR75,$AN$7:$AN$1570,AN75,$BL$7:$BL$1570,"&lt;="&amp;BL75),"")</f>
        <v/>
      </c>
      <c r="AP75" s="65">
        <f>IF(AO75="",0,MAX(0,MIN(1,(IF(BR75="L1",Parameter!$K$5,Parameter!$K$6+Parameter!$K$7)-(AO75-AK75))/AK75)))</f>
        <v/>
      </c>
      <c r="AQ75" s="55">
        <f>IF(LEFT(Cockpit!$O$5,1)="A",G75,IF(BT75=1,BU75,IF(LEFT(Cockpit!$O$5,1)="B",AU75,MAX(AU75,G75))))</f>
        <v/>
      </c>
      <c r="AR75" s="55">
        <f>IF(BO75=1,0,ROUNDUP(AQ75/BN75,0))</f>
        <v/>
      </c>
      <c r="AS75" s="64">
        <f>IF(BO75=1,IF(AQ75&lt;=0,0,BP75*MAX(1,IF(G75&gt;0,AQ75/G75,1))),AR75*Q75)</f>
        <v/>
      </c>
      <c r="AT75" s="55">
        <f>AQ75*F75</f>
        <v/>
      </c>
      <c r="AU75" s="55">
        <f>ROUNDUP(MAX(I75/IF(BS75&gt;0,BS75,MAX(0.1,N(Cockpit!$O$6))),BV75)/BN75,0)*BN75</f>
        <v/>
      </c>
      <c r="AV75" s="56">
        <f>IF(AS75&gt;0,I75/AS75,-1)</f>
        <v/>
      </c>
      <c r="AW75" s="56">
        <f>IF(AND(OR(BR75="L1",BR75="L23"),AS75&gt;0),SUMIFS($AS$7:$AS$1570,$BR$7:$BR$1570,BR75,$AV$7:$AV$1570,"&gt;"&amp;AV75)+SUMIFS($AS$7:$AS$1570,$BR$7:$BR$1570,BR75,$AV$7:$AV$1570,AV75,$BL$7:$BL$1570,"&lt;="&amp;BL75),"")</f>
        <v/>
      </c>
      <c r="AX75" s="65">
        <f>IF(AW75="",0,MAX(0,MIN(1,(IF(BR75="L1",Parameter!$K$5,Parameter!$K$6+Parameter!$K$7)-(AW75-AS75))/AS75)))</f>
        <v/>
      </c>
      <c r="AY75" s="53">
        <f>IF(AC75&lt;=0,"",IF(BR75="Aussen","Aussenlager",IF(BR75="-","Nicht im Lift",IF(AH75&gt;=1,"Lift",IF(AH75&lt;=0,"Aussenlager","teilweise")))))</f>
        <v/>
      </c>
      <c r="AZ75" s="53">
        <f>IF(AK75&lt;=0,"",IF(BR75="Aussen","Aussenlager",IF(BR75="-","Nicht im Lift",IF(AP75&gt;=1,"Lift",IF(AP75&lt;=0,"Aussenlager","teilweise")))))</f>
        <v/>
      </c>
      <c r="BA75" s="53">
        <f>IF(AS75&lt;=0,"",IF(BR75="Aussen","Aussenlager",IF(BR75="-","Nicht im Lift",IF(AX75&gt;=1,"Lift",IF(AX75&lt;=0,"Aussenlager","teilweise")))))</f>
        <v/>
      </c>
      <c r="BB75" s="53">
        <f>IF(A75="","",IF(BK75=1,"Neu; ","")&amp;IF(AND(BK75=0,BF75&lt;0),"negativer Bestand (Export "&amp;BF75&amp;"); ","")&amp;IF(I75&lt;=0,"Kein Verbrauch; ","")&amp;IF(BO75=1,"Lose – Fläche geschätzt; ","")&amp;IF(G75&gt;AM75,"Überbestand "&amp;ROUND(G75-AM75,0)&amp;" Stk / CHF "&amp;ROUND((G75-AM75)*F75,0)&amp;"; ","")&amp;IF(AND(BT75=1,BU75&lt;BV75),"MAX &lt; MB+LG; ","")&amp;IF(AND(BZ75&gt;0,BY75*10&gt;BZ75),"zu hoch für Tablar; ","")&amp;IF(AND(BK75=0,OR(BT75=1,V75&lt;&gt;"",S75&lt;&gt;"",T75&lt;&gt;"",W75&lt;&gt;"")),"manuell übersteuert; ","")&amp;IF(AND(BO75=0,Q75=0),"Gebinde unbekannt; ","")&amp;IF(AND(BO75=0,N(T75)&lt;=0,N(P75)&lt;=0),"Menge pro Gebinde fehlt (Ist = 1 Gebinde); ","")&amp;BJ75)</f>
        <v/>
      </c>
      <c r="BC75" s="53" t="inlineStr">
        <is>
          <t>Kleinere Mengen eingekauft 2022-2024 - keine Entnahmen</t>
        </is>
      </c>
      <c r="BD75" s="53" t="inlineStr">
        <is>
          <t>T&amp;E: Benötigt/Alternative?</t>
        </is>
      </c>
      <c r="BE75" s="61" t="n"/>
      <c r="BF75" s="55" t="n">
        <v>5</v>
      </c>
      <c r="BG75" s="55" t="n">
        <v>0</v>
      </c>
      <c r="BH75" s="54" t="n">
        <v>3370.75</v>
      </c>
      <c r="BI75" s="55" t="n">
        <v>0</v>
      </c>
      <c r="BJ75" s="53" t="inlineStr"/>
      <c r="BK75" s="58" t="n">
        <v>0</v>
      </c>
      <c r="BL75" s="58" t="n">
        <v>75</v>
      </c>
      <c r="BM75" s="53">
        <f>IF(S75&lt;&gt;"",UPPER(TRIM(S75)),IF(O75="","LOSE",O75))</f>
        <v/>
      </c>
      <c r="BN75" s="55">
        <f>IF(BM75="LOSE",1,IF(N(T75)&gt;0,T75,IF(N(P75)&gt;0,P75,MAX(1,G75))))</f>
        <v/>
      </c>
      <c r="BO75" s="58">
        <f>IF(BM75="LOSE",1,0)</f>
        <v/>
      </c>
      <c r="BP75" s="64">
        <f>IF(BO75=0,0,IF(N(R75)&gt;0,R75,IFERROR(VLOOKUP(D75,Parameter!$A$35:$C$64,3,0)+0,0)))</f>
        <v/>
      </c>
      <c r="BQ75" s="53">
        <f>IF(V75&lt;&gt;"",V75,U75)</f>
        <v/>
      </c>
      <c r="BR75" s="53">
        <f>IF(BQ75=1,"L1",IF(OR(BQ75=2,BQ75=3),"L23",IF(BQ75="Aussen","Aussen","-")))</f>
        <v/>
      </c>
      <c r="BS75" s="66">
        <f>IF(N(W75)&gt;0,W75,0)</f>
        <v/>
      </c>
      <c r="BT75" s="58">
        <f>IF(ISNUMBER(Z75),1,0)</f>
        <v/>
      </c>
      <c r="BU75" s="55">
        <f>N(Z75)</f>
        <v/>
      </c>
      <c r="BV75" s="55">
        <f>N(L75)+N(M75)</f>
        <v/>
      </c>
      <c r="BW75" s="55">
        <f>ROUNDUP(G75/BN75,0)</f>
        <v/>
      </c>
      <c r="BX75" s="55">
        <f>ROUNDUP(BU75/BN75,0)</f>
        <v/>
      </c>
      <c r="BY75" s="58">
        <f>IF(BO75=1,0,IFERROR(VLOOKUP(BM75,'Gebinde-Kategorie'!$A$5:$G$45,5,0)+0,0))</f>
        <v/>
      </c>
      <c r="BZ75" s="58">
        <f>IFERROR(IF(OR(BQ75=1,BQ75=2,BQ75=3),N(INDEX(Parameter!$I$5:$I$7,BQ75)),0),0)</f>
        <v/>
      </c>
    </row>
    <row r="76">
      <c r="A76" s="53" t="inlineStr">
        <is>
          <t>106730</t>
        </is>
      </c>
      <c r="B76" s="53" t="inlineStr">
        <is>
          <t>Glühkerzenkabel SPGr</t>
        </is>
      </c>
      <c r="C76" s="53" t="inlineStr">
        <is>
          <t>F</t>
        </is>
      </c>
      <c r="D76" s="53" t="inlineStr">
        <is>
          <t>PAL</t>
        </is>
      </c>
      <c r="E76" s="53" t="inlineStr">
        <is>
          <t>C</t>
        </is>
      </c>
      <c r="F76" s="54" t="n">
        <v>186.8</v>
      </c>
      <c r="G76" s="55">
        <f>MAX(0,IF(Parameter!$B$20="Jahresanfang 2025 + Export",BG76+BF76,BF76))</f>
        <v/>
      </c>
      <c r="H76" s="55">
        <f>G76*F76</f>
        <v/>
      </c>
      <c r="I76" s="55">
        <f>BI76*Parameter!$B$18</f>
        <v/>
      </c>
      <c r="J76" s="56" t="n">
        <v>8</v>
      </c>
      <c r="K76" s="57" t="n">
        <v>5.75</v>
      </c>
      <c r="L76" s="55" t="n">
        <v>5</v>
      </c>
      <c r="M76" s="55" t="n">
        <v>25</v>
      </c>
      <c r="N76" s="58" t="n">
        <v>49</v>
      </c>
      <c r="O76" s="53" t="inlineStr">
        <is>
          <t>S71</t>
        </is>
      </c>
      <c r="P76" s="55" t="n">
        <v>13</v>
      </c>
      <c r="Q76" s="59">
        <f>IF(BO76=1,0,IFERROR(VLOOKUP(BM76,'Gebinde-Kategorie'!$A$5:$G$45,6,0)+0,0))</f>
        <v/>
      </c>
      <c r="R76" s="60" t="n"/>
      <c r="S76" s="61" t="n"/>
      <c r="T76" s="61" t="n"/>
      <c r="U76" s="53">
        <f>IF(A76="","",IF(IFERROR(VLOOKUP(D76,Parameter!$A$35:$C$64,2,0),"Nein")="2+3",IF(ISNUMBER(SEARCH("grosser Artikel",BJ76)),2,IFERROR(VLOOKUP(BM76,Parameter!$F$35:$G$64,2,0),2)),IF(OR(IFERROR(VLOOKUP(D76,Parameter!$A$35:$C$64,2,0),"Nein")="Nein",IFERROR(VLOOKUP(D76,Parameter!$A$35:$C$64,2,0),"Nein")=""),"-",VLOOKUP(D76,Parameter!$A$35:$C$64,2,0))))</f>
        <v/>
      </c>
      <c r="V76" s="61" t="n"/>
      <c r="W76" s="62" t="n"/>
      <c r="X76" s="55">
        <f>AM76</f>
        <v/>
      </c>
      <c r="Y76" s="55">
        <f>MAX(AM76,G76)</f>
        <v/>
      </c>
      <c r="Z76" s="63" t="n"/>
      <c r="AA76" s="55">
        <f>IF(LEFT(Cockpit!$C$5,1)="A",G76,IF(BT76=1,BU76,IF(LEFT(Cockpit!$C$5,1)="B",AE76,MAX(AE76,G76))))</f>
        <v/>
      </c>
      <c r="AB76" s="55">
        <f>IF(BO76=1,0,ROUNDUP(AA76/BN76,0))</f>
        <v/>
      </c>
      <c r="AC76" s="64">
        <f>IF(BO76=1,IF(AA76&lt;=0,0,BP76*MAX(1,IF(G76&gt;0,AA76/G76,1))),AB76*Q76)</f>
        <v/>
      </c>
      <c r="AD76" s="55">
        <f>AA76*F76</f>
        <v/>
      </c>
      <c r="AE76" s="55">
        <f>ROUNDUP(MAX(I76/IF(BS76&gt;0,BS76,MAX(0.1,N(Cockpit!$C$6))),BV76)/BN76,0)*BN76</f>
        <v/>
      </c>
      <c r="AF76" s="56">
        <f>IF(AC76&gt;0,I76/AC76,-1)</f>
        <v/>
      </c>
      <c r="AG76" s="56">
        <f>IF(AND(OR(BR76="L1",BR76="L23"),AC76&gt;0),SUMIFS($AC$7:$AC$1570,$BR$7:$BR$1570,BR76,$AF$7:$AF$1570,"&gt;"&amp;AF76)+SUMIFS($AC$7:$AC$1570,$BR$7:$BR$1570,BR76,$AF$7:$AF$1570,AF76,$BL$7:$BL$1570,"&lt;="&amp;BL76),"")</f>
        <v/>
      </c>
      <c r="AH76" s="65">
        <f>IF(AG76="",0,MAX(0,MIN(1,(IF(BR76="L1",Parameter!$K$5,Parameter!$K$6+Parameter!$K$7)-(AG76-AC76))/AC76)))</f>
        <v/>
      </c>
      <c r="AI76" s="55">
        <f>IF(LEFT(Cockpit!$I$5,1)="A",G76,IF(BT76=1,BU76,IF(LEFT(Cockpit!$I$5,1)="B",AM76,MAX(AM76,G76))))</f>
        <v/>
      </c>
      <c r="AJ76" s="55">
        <f>IF(BO76=1,0,ROUNDUP(AI76/BN76,0))</f>
        <v/>
      </c>
      <c r="AK76" s="64">
        <f>IF(BO76=1,IF(AI76&lt;=0,0,BP76*MAX(1,IF(G76&gt;0,AI76/G76,1))),AJ76*Q76)</f>
        <v/>
      </c>
      <c r="AL76" s="55">
        <f>AI76*F76</f>
        <v/>
      </c>
      <c r="AM76" s="55">
        <f>ROUNDUP(MAX(I76/IF(BS76&gt;0,BS76,MAX(0.1,N(Cockpit!$I$6))),BV76)/BN76,0)*BN76</f>
        <v/>
      </c>
      <c r="AN76" s="56">
        <f>IF(AK76&gt;0,I76/AK76,-1)</f>
        <v/>
      </c>
      <c r="AO76" s="56">
        <f>IF(AND(OR(BR76="L1",BR76="L23"),AK76&gt;0),SUMIFS($AK$7:$AK$1570,$BR$7:$BR$1570,BR76,$AN$7:$AN$1570,"&gt;"&amp;AN76)+SUMIFS($AK$7:$AK$1570,$BR$7:$BR$1570,BR76,$AN$7:$AN$1570,AN76,$BL$7:$BL$1570,"&lt;="&amp;BL76),"")</f>
        <v/>
      </c>
      <c r="AP76" s="65">
        <f>IF(AO76="",0,MAX(0,MIN(1,(IF(BR76="L1",Parameter!$K$5,Parameter!$K$6+Parameter!$K$7)-(AO76-AK76))/AK76)))</f>
        <v/>
      </c>
      <c r="AQ76" s="55">
        <f>IF(LEFT(Cockpit!$O$5,1)="A",G76,IF(BT76=1,BU76,IF(LEFT(Cockpit!$O$5,1)="B",AU76,MAX(AU76,G76))))</f>
        <v/>
      </c>
      <c r="AR76" s="55">
        <f>IF(BO76=1,0,ROUNDUP(AQ76/BN76,0))</f>
        <v/>
      </c>
      <c r="AS76" s="64">
        <f>IF(BO76=1,IF(AQ76&lt;=0,0,BP76*MAX(1,IF(G76&gt;0,AQ76/G76,1))),AR76*Q76)</f>
        <v/>
      </c>
      <c r="AT76" s="55">
        <f>AQ76*F76</f>
        <v/>
      </c>
      <c r="AU76" s="55">
        <f>ROUNDUP(MAX(I76/IF(BS76&gt;0,BS76,MAX(0.1,N(Cockpit!$O$6))),BV76)/BN76,0)*BN76</f>
        <v/>
      </c>
      <c r="AV76" s="56">
        <f>IF(AS76&gt;0,I76/AS76,-1)</f>
        <v/>
      </c>
      <c r="AW76" s="56">
        <f>IF(AND(OR(BR76="L1",BR76="L23"),AS76&gt;0),SUMIFS($AS$7:$AS$1570,$BR$7:$BR$1570,BR76,$AV$7:$AV$1570,"&gt;"&amp;AV76)+SUMIFS($AS$7:$AS$1570,$BR$7:$BR$1570,BR76,$AV$7:$AV$1570,AV76,$BL$7:$BL$1570,"&lt;="&amp;BL76),"")</f>
        <v/>
      </c>
      <c r="AX76" s="65">
        <f>IF(AW76="",0,MAX(0,MIN(1,(IF(BR76="L1",Parameter!$K$5,Parameter!$K$6+Parameter!$K$7)-(AW76-AS76))/AS76)))</f>
        <v/>
      </c>
      <c r="AY76" s="53">
        <f>IF(AC76&lt;=0,"",IF(BR76="Aussen","Aussenlager",IF(BR76="-","Nicht im Lift",IF(AH76&gt;=1,"Lift",IF(AH76&lt;=0,"Aussenlager","teilweise")))))</f>
        <v/>
      </c>
      <c r="AZ76" s="53">
        <f>IF(AK76&lt;=0,"",IF(BR76="Aussen","Aussenlager",IF(BR76="-","Nicht im Lift",IF(AP76&gt;=1,"Lift",IF(AP76&lt;=0,"Aussenlager","teilweise")))))</f>
        <v/>
      </c>
      <c r="BA76" s="53">
        <f>IF(AS76&lt;=0,"",IF(BR76="Aussen","Aussenlager",IF(BR76="-","Nicht im Lift",IF(AX76&gt;=1,"Lift",IF(AX76&lt;=0,"Aussenlager","teilweise")))))</f>
        <v/>
      </c>
      <c r="BB76" s="53">
        <f>IF(A76="","",IF(BK76=1,"Neu; ","")&amp;IF(AND(BK76=0,BF76&lt;0),"negativer Bestand (Export "&amp;BF76&amp;"); ","")&amp;IF(I76&lt;=0,"Kein Verbrauch; ","")&amp;IF(BO76=1,"Lose – Fläche geschätzt; ","")&amp;IF(G76&gt;AM76,"Überbestand "&amp;ROUND(G76-AM76,0)&amp;" Stk / CHF "&amp;ROUND((G76-AM76)*F76,0)&amp;"; ","")&amp;IF(AND(BT76=1,BU76&lt;BV76),"MAX &lt; MB+LG; ","")&amp;IF(AND(BZ76&gt;0,BY76*10&gt;BZ76),"zu hoch für Tablar; ","")&amp;IF(AND(BK76=0,OR(BT76=1,V76&lt;&gt;"",S76&lt;&gt;"",T76&lt;&gt;"",W76&lt;&gt;"")),"manuell übersteuert; ","")&amp;IF(AND(BO76=0,Q76=0),"Gebinde unbekannt; ","")&amp;IF(AND(BO76=0,N(T76)&lt;=0,N(P76)&lt;=0),"Menge pro Gebinde fehlt (Ist = 1 Gebinde); ","")&amp;BJ76)</f>
        <v/>
      </c>
      <c r="BC76" s="53" t="n"/>
      <c r="BD76" s="53" t="n"/>
      <c r="BE76" s="61" t="n"/>
      <c r="BF76" s="55" t="n">
        <v>18</v>
      </c>
      <c r="BG76" s="55" t="n">
        <v>1</v>
      </c>
      <c r="BH76" s="54" t="n">
        <v>3364.029999999998</v>
      </c>
      <c r="BI76" s="55" t="n">
        <v>46</v>
      </c>
      <c r="BJ76" s="53" t="inlineStr">
        <is>
          <t>Überbestand; grosser Artikel &amp; nicht im KTL</t>
        </is>
      </c>
      <c r="BK76" s="58" t="n">
        <v>0</v>
      </c>
      <c r="BL76" s="58" t="n">
        <v>76</v>
      </c>
      <c r="BM76" s="53">
        <f>IF(S76&lt;&gt;"",UPPER(TRIM(S76)),IF(O76="","LOSE",O76))</f>
        <v/>
      </c>
      <c r="BN76" s="55">
        <f>IF(BM76="LOSE",1,IF(N(T76)&gt;0,T76,IF(N(P76)&gt;0,P76,MAX(1,G76))))</f>
        <v/>
      </c>
      <c r="BO76" s="58">
        <f>IF(BM76="LOSE",1,0)</f>
        <v/>
      </c>
      <c r="BP76" s="64">
        <f>IF(BO76=0,0,IF(N(R76)&gt;0,R76,IFERROR(VLOOKUP(D76,Parameter!$A$35:$C$64,3,0)+0,0)))</f>
        <v/>
      </c>
      <c r="BQ76" s="53">
        <f>IF(V76&lt;&gt;"",V76,U76)</f>
        <v/>
      </c>
      <c r="BR76" s="53">
        <f>IF(BQ76=1,"L1",IF(OR(BQ76=2,BQ76=3),"L23",IF(BQ76="Aussen","Aussen","-")))</f>
        <v/>
      </c>
      <c r="BS76" s="66">
        <f>IF(N(W76)&gt;0,W76,0)</f>
        <v/>
      </c>
      <c r="BT76" s="58">
        <f>IF(ISNUMBER(Z76),1,0)</f>
        <v/>
      </c>
      <c r="BU76" s="55">
        <f>N(Z76)</f>
        <v/>
      </c>
      <c r="BV76" s="55">
        <f>N(L76)+N(M76)</f>
        <v/>
      </c>
      <c r="BW76" s="55">
        <f>ROUNDUP(G76/BN76,0)</f>
        <v/>
      </c>
      <c r="BX76" s="55">
        <f>ROUNDUP(BU76/BN76,0)</f>
        <v/>
      </c>
      <c r="BY76" s="58">
        <f>IF(BO76=1,0,IFERROR(VLOOKUP(BM76,'Gebinde-Kategorie'!$A$5:$G$45,5,0)+0,0))</f>
        <v/>
      </c>
      <c r="BZ76" s="58">
        <f>IFERROR(IF(OR(BQ76=1,BQ76=2,BQ76=3),N(INDEX(Parameter!$I$5:$I$7,BQ76)),0),0)</f>
        <v/>
      </c>
    </row>
    <row r="77">
      <c r="A77" s="53" t="inlineStr">
        <is>
          <t>109374</t>
        </is>
      </c>
      <c r="B77" s="53" t="inlineStr">
        <is>
          <t>Kolben SPGr16 T2</t>
        </is>
      </c>
      <c r="C77" s="53" t="inlineStr">
        <is>
          <t>F</t>
        </is>
      </c>
      <c r="D77" s="53" t="inlineStr">
        <is>
          <t>PAL</t>
        </is>
      </c>
      <c r="E77" s="53" t="inlineStr">
        <is>
          <t>C</t>
        </is>
      </c>
      <c r="F77" s="54" t="n">
        <v>553.67</v>
      </c>
      <c r="G77" s="55">
        <f>MAX(0,IF(Parameter!$B$20="Jahresanfang 2025 + Export",BG77+BF77,BF77))</f>
        <v/>
      </c>
      <c r="H77" s="55">
        <f>G77*F77</f>
        <v/>
      </c>
      <c r="I77" s="55">
        <f>BI77*Parameter!$B$18</f>
        <v/>
      </c>
      <c r="J77" s="56" t="n">
        <v>7</v>
      </c>
      <c r="K77" s="57" t="n">
        <v>2.571428571428572</v>
      </c>
      <c r="L77" s="55" t="n">
        <v>3</v>
      </c>
      <c r="M77" s="55" t="n">
        <v>10</v>
      </c>
      <c r="N77" s="58" t="n">
        <v>63</v>
      </c>
      <c r="O77" s="53" t="inlineStr">
        <is>
          <t>S71</t>
        </is>
      </c>
      <c r="P77" s="55" t="n">
        <v>20</v>
      </c>
      <c r="Q77" s="59">
        <f>IF(BO77=1,0,IFERROR(VLOOKUP(BM77,'Gebinde-Kategorie'!$A$5:$G$45,6,0)+0,0))</f>
        <v/>
      </c>
      <c r="R77" s="60" t="n"/>
      <c r="S77" s="61" t="n"/>
      <c r="T77" s="61" t="n"/>
      <c r="U77" s="53">
        <f>IF(A77="","",IF(IFERROR(VLOOKUP(D77,Parameter!$A$35:$C$64,2,0),"Nein")="2+3",IF(ISNUMBER(SEARCH("grosser Artikel",BJ77)),2,IFERROR(VLOOKUP(BM77,Parameter!$F$35:$G$64,2,0),2)),IF(OR(IFERROR(VLOOKUP(D77,Parameter!$A$35:$C$64,2,0),"Nein")="Nein",IFERROR(VLOOKUP(D77,Parameter!$A$35:$C$64,2,0),"Nein")=""),"-",VLOOKUP(D77,Parameter!$A$35:$C$64,2,0))))</f>
        <v/>
      </c>
      <c r="V77" s="61" t="n"/>
      <c r="W77" s="62" t="n"/>
      <c r="X77" s="55">
        <f>AM77</f>
        <v/>
      </c>
      <c r="Y77" s="55">
        <f>MAX(AM77,G77)</f>
        <v/>
      </c>
      <c r="Z77" s="63" t="n"/>
      <c r="AA77" s="55">
        <f>IF(LEFT(Cockpit!$C$5,1)="A",G77,IF(BT77=1,BU77,IF(LEFT(Cockpit!$C$5,1)="B",AE77,MAX(AE77,G77))))</f>
        <v/>
      </c>
      <c r="AB77" s="55">
        <f>IF(BO77=1,0,ROUNDUP(AA77/BN77,0))</f>
        <v/>
      </c>
      <c r="AC77" s="64">
        <f>IF(BO77=1,IF(AA77&lt;=0,0,BP77*MAX(1,IF(G77&gt;0,AA77/G77,1))),AB77*Q77)</f>
        <v/>
      </c>
      <c r="AD77" s="55">
        <f>AA77*F77</f>
        <v/>
      </c>
      <c r="AE77" s="55">
        <f>ROUNDUP(MAX(I77/IF(BS77&gt;0,BS77,MAX(0.1,N(Cockpit!$C$6))),BV77)/BN77,0)*BN77</f>
        <v/>
      </c>
      <c r="AF77" s="56">
        <f>IF(AC77&gt;0,I77/AC77,-1)</f>
        <v/>
      </c>
      <c r="AG77" s="56">
        <f>IF(AND(OR(BR77="L1",BR77="L23"),AC77&gt;0),SUMIFS($AC$7:$AC$1570,$BR$7:$BR$1570,BR77,$AF$7:$AF$1570,"&gt;"&amp;AF77)+SUMIFS($AC$7:$AC$1570,$BR$7:$BR$1570,BR77,$AF$7:$AF$1570,AF77,$BL$7:$BL$1570,"&lt;="&amp;BL77),"")</f>
        <v/>
      </c>
      <c r="AH77" s="65">
        <f>IF(AG77="",0,MAX(0,MIN(1,(IF(BR77="L1",Parameter!$K$5,Parameter!$K$6+Parameter!$K$7)-(AG77-AC77))/AC77)))</f>
        <v/>
      </c>
      <c r="AI77" s="55">
        <f>IF(LEFT(Cockpit!$I$5,1)="A",G77,IF(BT77=1,BU77,IF(LEFT(Cockpit!$I$5,1)="B",AM77,MAX(AM77,G77))))</f>
        <v/>
      </c>
      <c r="AJ77" s="55">
        <f>IF(BO77=1,0,ROUNDUP(AI77/BN77,0))</f>
        <v/>
      </c>
      <c r="AK77" s="64">
        <f>IF(BO77=1,IF(AI77&lt;=0,0,BP77*MAX(1,IF(G77&gt;0,AI77/G77,1))),AJ77*Q77)</f>
        <v/>
      </c>
      <c r="AL77" s="55">
        <f>AI77*F77</f>
        <v/>
      </c>
      <c r="AM77" s="55">
        <f>ROUNDUP(MAX(I77/IF(BS77&gt;0,BS77,MAX(0.1,N(Cockpit!$I$6))),BV77)/BN77,0)*BN77</f>
        <v/>
      </c>
      <c r="AN77" s="56">
        <f>IF(AK77&gt;0,I77/AK77,-1)</f>
        <v/>
      </c>
      <c r="AO77" s="56">
        <f>IF(AND(OR(BR77="L1",BR77="L23"),AK77&gt;0),SUMIFS($AK$7:$AK$1570,$BR$7:$BR$1570,BR77,$AN$7:$AN$1570,"&gt;"&amp;AN77)+SUMIFS($AK$7:$AK$1570,$BR$7:$BR$1570,BR77,$AN$7:$AN$1570,AN77,$BL$7:$BL$1570,"&lt;="&amp;BL77),"")</f>
        <v/>
      </c>
      <c r="AP77" s="65">
        <f>IF(AO77="",0,MAX(0,MIN(1,(IF(BR77="L1",Parameter!$K$5,Parameter!$K$6+Parameter!$K$7)-(AO77-AK77))/AK77)))</f>
        <v/>
      </c>
      <c r="AQ77" s="55">
        <f>IF(LEFT(Cockpit!$O$5,1)="A",G77,IF(BT77=1,BU77,IF(LEFT(Cockpit!$O$5,1)="B",AU77,MAX(AU77,G77))))</f>
        <v/>
      </c>
      <c r="AR77" s="55">
        <f>IF(BO77=1,0,ROUNDUP(AQ77/BN77,0))</f>
        <v/>
      </c>
      <c r="AS77" s="64">
        <f>IF(BO77=1,IF(AQ77&lt;=0,0,BP77*MAX(1,IF(G77&gt;0,AQ77/G77,1))),AR77*Q77)</f>
        <v/>
      </c>
      <c r="AT77" s="55">
        <f>AQ77*F77</f>
        <v/>
      </c>
      <c r="AU77" s="55">
        <f>ROUNDUP(MAX(I77/IF(BS77&gt;0,BS77,MAX(0.1,N(Cockpit!$O$6))),BV77)/BN77,0)*BN77</f>
        <v/>
      </c>
      <c r="AV77" s="56">
        <f>IF(AS77&gt;0,I77/AS77,-1)</f>
        <v/>
      </c>
      <c r="AW77" s="56">
        <f>IF(AND(OR(BR77="L1",BR77="L23"),AS77&gt;0),SUMIFS($AS$7:$AS$1570,$BR$7:$BR$1570,BR77,$AV$7:$AV$1570,"&gt;"&amp;AV77)+SUMIFS($AS$7:$AS$1570,$BR$7:$BR$1570,BR77,$AV$7:$AV$1570,AV77,$BL$7:$BL$1570,"&lt;="&amp;BL77),"")</f>
        <v/>
      </c>
      <c r="AX77" s="65">
        <f>IF(AW77="",0,MAX(0,MIN(1,(IF(BR77="L1",Parameter!$K$5,Parameter!$K$6+Parameter!$K$7)-(AW77-AS77))/AS77)))</f>
        <v/>
      </c>
      <c r="AY77" s="53">
        <f>IF(AC77&lt;=0,"",IF(BR77="Aussen","Aussenlager",IF(BR77="-","Nicht im Lift",IF(AH77&gt;=1,"Lift",IF(AH77&lt;=0,"Aussenlager","teilweise")))))</f>
        <v/>
      </c>
      <c r="AZ77" s="53">
        <f>IF(AK77&lt;=0,"",IF(BR77="Aussen","Aussenlager",IF(BR77="-","Nicht im Lift",IF(AP77&gt;=1,"Lift",IF(AP77&lt;=0,"Aussenlager","teilweise")))))</f>
        <v/>
      </c>
      <c r="BA77" s="53">
        <f>IF(AS77&lt;=0,"",IF(BR77="Aussen","Aussenlager",IF(BR77="-","Nicht im Lift",IF(AX77&gt;=1,"Lift",IF(AX77&lt;=0,"Aussenlager","teilweise")))))</f>
        <v/>
      </c>
      <c r="BB77" s="53">
        <f>IF(A77="","",IF(BK77=1,"Neu; ","")&amp;IF(AND(BK77=0,BF77&lt;0),"negativer Bestand (Export "&amp;BF77&amp;"); ","")&amp;IF(I77&lt;=0,"Kein Verbrauch; ","")&amp;IF(BO77=1,"Lose – Fläche geschätzt; ","")&amp;IF(G77&gt;AM77,"Überbestand "&amp;ROUND(G77-AM77,0)&amp;" Stk / CHF "&amp;ROUND((G77-AM77)*F77,0)&amp;"; ","")&amp;IF(AND(BT77=1,BU77&lt;BV77),"MAX &lt; MB+LG; ","")&amp;IF(AND(BZ77&gt;0,BY77*10&gt;BZ77),"zu hoch für Tablar; ","")&amp;IF(AND(BK77=0,OR(BT77=1,V77&lt;&gt;"",S77&lt;&gt;"",T77&lt;&gt;"",W77&lt;&gt;"")),"manuell übersteuert; ","")&amp;IF(AND(BO77=0,Q77=0),"Gebinde unbekannt; ","")&amp;IF(AND(BO77=0,N(T77)&lt;=0,N(P77)&lt;=0),"Menge pro Gebinde fehlt (Ist = 1 Gebinde); ","")&amp;BJ77)</f>
        <v/>
      </c>
      <c r="BC77" s="53" t="n"/>
      <c r="BD77" s="53" t="n"/>
      <c r="BE77" s="61" t="n"/>
      <c r="BF77" s="55" t="n">
        <v>6</v>
      </c>
      <c r="BG77" s="55" t="n">
        <v>0</v>
      </c>
      <c r="BH77" s="54" t="n">
        <v>3322.020000000002</v>
      </c>
      <c r="BI77" s="55" t="n">
        <v>18</v>
      </c>
      <c r="BJ77" s="53" t="inlineStr"/>
      <c r="BK77" s="58" t="n">
        <v>0</v>
      </c>
      <c r="BL77" s="58" t="n">
        <v>77</v>
      </c>
      <c r="BM77" s="53">
        <f>IF(S77&lt;&gt;"",UPPER(TRIM(S77)),IF(O77="","LOSE",O77))</f>
        <v/>
      </c>
      <c r="BN77" s="55">
        <f>IF(BM77="LOSE",1,IF(N(T77)&gt;0,T77,IF(N(P77)&gt;0,P77,MAX(1,G77))))</f>
        <v/>
      </c>
      <c r="BO77" s="58">
        <f>IF(BM77="LOSE",1,0)</f>
        <v/>
      </c>
      <c r="BP77" s="64">
        <f>IF(BO77=0,0,IF(N(R77)&gt;0,R77,IFERROR(VLOOKUP(D77,Parameter!$A$35:$C$64,3,0)+0,0)))</f>
        <v/>
      </c>
      <c r="BQ77" s="53">
        <f>IF(V77&lt;&gt;"",V77,U77)</f>
        <v/>
      </c>
      <c r="BR77" s="53">
        <f>IF(BQ77=1,"L1",IF(OR(BQ77=2,BQ77=3),"L23",IF(BQ77="Aussen","Aussen","-")))</f>
        <v/>
      </c>
      <c r="BS77" s="66">
        <f>IF(N(W77)&gt;0,W77,0)</f>
        <v/>
      </c>
      <c r="BT77" s="58">
        <f>IF(ISNUMBER(Z77),1,0)</f>
        <v/>
      </c>
      <c r="BU77" s="55">
        <f>N(Z77)</f>
        <v/>
      </c>
      <c r="BV77" s="55">
        <f>N(L77)+N(M77)</f>
        <v/>
      </c>
      <c r="BW77" s="55">
        <f>ROUNDUP(G77/BN77,0)</f>
        <v/>
      </c>
      <c r="BX77" s="55">
        <f>ROUNDUP(BU77/BN77,0)</f>
        <v/>
      </c>
      <c r="BY77" s="58">
        <f>IF(BO77=1,0,IFERROR(VLOOKUP(BM77,'Gebinde-Kategorie'!$A$5:$G$45,5,0)+0,0))</f>
        <v/>
      </c>
      <c r="BZ77" s="58">
        <f>IFERROR(IF(OR(BQ77=1,BQ77=2,BQ77=3),N(INDEX(Parameter!$I$5:$I$7,BQ77)),0),0)</f>
        <v/>
      </c>
    </row>
    <row r="78">
      <c r="A78" s="53" t="inlineStr">
        <is>
          <t>110057</t>
        </is>
      </c>
      <c r="B78" s="53" t="inlineStr">
        <is>
          <t>HMI - Power Panel T80</t>
        </is>
      </c>
      <c r="C78" s="53" t="inlineStr">
        <is>
          <t>F</t>
        </is>
      </c>
      <c r="D78" s="53" t="inlineStr">
        <is>
          <t>KTL</t>
        </is>
      </c>
      <c r="E78" s="53" t="inlineStr">
        <is>
          <t>C</t>
        </is>
      </c>
      <c r="F78" s="54" t="n">
        <v>818.16</v>
      </c>
      <c r="G78" s="55">
        <f>MAX(0,IF(Parameter!$B$20="Jahresanfang 2025 + Export",BG78+BF78,BF78))</f>
        <v/>
      </c>
      <c r="H78" s="55">
        <f>G78*F78</f>
        <v/>
      </c>
      <c r="I78" s="55">
        <f>BI78*Parameter!$B$18</f>
        <v/>
      </c>
      <c r="J78" s="56" t="n">
        <v>2</v>
      </c>
      <c r="K78" s="57" t="n">
        <v>0.5</v>
      </c>
      <c r="L78" s="55" t="n">
        <v>0</v>
      </c>
      <c r="M78" s="55" t="n">
        <v>1</v>
      </c>
      <c r="N78" s="58" t="n">
        <v>49</v>
      </c>
      <c r="O78" s="53" t="inlineStr">
        <is>
          <t>S62</t>
        </is>
      </c>
      <c r="P78" s="55" t="n">
        <v>5</v>
      </c>
      <c r="Q78" s="59">
        <f>IF(BO78=1,0,IFERROR(VLOOKUP(BM78,'Gebinde-Kategorie'!$A$5:$G$45,6,0)+0,0))</f>
        <v/>
      </c>
      <c r="R78" s="60" t="n"/>
      <c r="S78" s="61" t="n"/>
      <c r="T78" s="61" t="n"/>
      <c r="U78" s="53">
        <f>IF(A78="","",IF(IFERROR(VLOOKUP(D78,Parameter!$A$35:$C$64,2,0),"Nein")="2+3",IF(ISNUMBER(SEARCH("grosser Artikel",BJ78)),2,IFERROR(VLOOKUP(BM78,Parameter!$F$35:$G$64,2,0),2)),IF(OR(IFERROR(VLOOKUP(D78,Parameter!$A$35:$C$64,2,0),"Nein")="Nein",IFERROR(VLOOKUP(D78,Parameter!$A$35:$C$64,2,0),"Nein")=""),"-",VLOOKUP(D78,Parameter!$A$35:$C$64,2,0))))</f>
        <v/>
      </c>
      <c r="V78" s="61" t="n"/>
      <c r="W78" s="62" t="n"/>
      <c r="X78" s="55">
        <f>AM78</f>
        <v/>
      </c>
      <c r="Y78" s="55">
        <f>MAX(AM78,G78)</f>
        <v/>
      </c>
      <c r="Z78" s="63" t="n"/>
      <c r="AA78" s="55">
        <f>IF(LEFT(Cockpit!$C$5,1)="A",G78,IF(BT78=1,BU78,IF(LEFT(Cockpit!$C$5,1)="B",AE78,MAX(AE78,G78))))</f>
        <v/>
      </c>
      <c r="AB78" s="55">
        <f>IF(BO78=1,0,ROUNDUP(AA78/BN78,0))</f>
        <v/>
      </c>
      <c r="AC78" s="64">
        <f>IF(BO78=1,IF(AA78&lt;=0,0,BP78*MAX(1,IF(G78&gt;0,AA78/G78,1))),AB78*Q78)</f>
        <v/>
      </c>
      <c r="AD78" s="55">
        <f>AA78*F78</f>
        <v/>
      </c>
      <c r="AE78" s="55">
        <f>ROUNDUP(MAX(I78/IF(BS78&gt;0,BS78,MAX(0.1,N(Cockpit!$C$6))),BV78)/BN78,0)*BN78</f>
        <v/>
      </c>
      <c r="AF78" s="56">
        <f>IF(AC78&gt;0,I78/AC78,-1)</f>
        <v/>
      </c>
      <c r="AG78" s="56">
        <f>IF(AND(OR(BR78="L1",BR78="L23"),AC78&gt;0),SUMIFS($AC$7:$AC$1570,$BR$7:$BR$1570,BR78,$AF$7:$AF$1570,"&gt;"&amp;AF78)+SUMIFS($AC$7:$AC$1570,$BR$7:$BR$1570,BR78,$AF$7:$AF$1570,AF78,$BL$7:$BL$1570,"&lt;="&amp;BL78),"")</f>
        <v/>
      </c>
      <c r="AH78" s="65">
        <f>IF(AG78="",0,MAX(0,MIN(1,(IF(BR78="L1",Parameter!$K$5,Parameter!$K$6+Parameter!$K$7)-(AG78-AC78))/AC78)))</f>
        <v/>
      </c>
      <c r="AI78" s="55">
        <f>IF(LEFT(Cockpit!$I$5,1)="A",G78,IF(BT78=1,BU78,IF(LEFT(Cockpit!$I$5,1)="B",AM78,MAX(AM78,G78))))</f>
        <v/>
      </c>
      <c r="AJ78" s="55">
        <f>IF(BO78=1,0,ROUNDUP(AI78/BN78,0))</f>
        <v/>
      </c>
      <c r="AK78" s="64">
        <f>IF(BO78=1,IF(AI78&lt;=0,0,BP78*MAX(1,IF(G78&gt;0,AI78/G78,1))),AJ78*Q78)</f>
        <v/>
      </c>
      <c r="AL78" s="55">
        <f>AI78*F78</f>
        <v/>
      </c>
      <c r="AM78" s="55">
        <f>ROUNDUP(MAX(I78/IF(BS78&gt;0,BS78,MAX(0.1,N(Cockpit!$I$6))),BV78)/BN78,0)*BN78</f>
        <v/>
      </c>
      <c r="AN78" s="56">
        <f>IF(AK78&gt;0,I78/AK78,-1)</f>
        <v/>
      </c>
      <c r="AO78" s="56">
        <f>IF(AND(OR(BR78="L1",BR78="L23"),AK78&gt;0),SUMIFS($AK$7:$AK$1570,$BR$7:$BR$1570,BR78,$AN$7:$AN$1570,"&gt;"&amp;AN78)+SUMIFS($AK$7:$AK$1570,$BR$7:$BR$1570,BR78,$AN$7:$AN$1570,AN78,$BL$7:$BL$1570,"&lt;="&amp;BL78),"")</f>
        <v/>
      </c>
      <c r="AP78" s="65">
        <f>IF(AO78="",0,MAX(0,MIN(1,(IF(BR78="L1",Parameter!$K$5,Parameter!$K$6+Parameter!$K$7)-(AO78-AK78))/AK78)))</f>
        <v/>
      </c>
      <c r="AQ78" s="55">
        <f>IF(LEFT(Cockpit!$O$5,1)="A",G78,IF(BT78=1,BU78,IF(LEFT(Cockpit!$O$5,1)="B",AU78,MAX(AU78,G78))))</f>
        <v/>
      </c>
      <c r="AR78" s="55">
        <f>IF(BO78=1,0,ROUNDUP(AQ78/BN78,0))</f>
        <v/>
      </c>
      <c r="AS78" s="64">
        <f>IF(BO78=1,IF(AQ78&lt;=0,0,BP78*MAX(1,IF(G78&gt;0,AQ78/G78,1))),AR78*Q78)</f>
        <v/>
      </c>
      <c r="AT78" s="55">
        <f>AQ78*F78</f>
        <v/>
      </c>
      <c r="AU78" s="55">
        <f>ROUNDUP(MAX(I78/IF(BS78&gt;0,BS78,MAX(0.1,N(Cockpit!$O$6))),BV78)/BN78,0)*BN78</f>
        <v/>
      </c>
      <c r="AV78" s="56">
        <f>IF(AS78&gt;0,I78/AS78,-1)</f>
        <v/>
      </c>
      <c r="AW78" s="56">
        <f>IF(AND(OR(BR78="L1",BR78="L23"),AS78&gt;0),SUMIFS($AS$7:$AS$1570,$BR$7:$BR$1570,BR78,$AV$7:$AV$1570,"&gt;"&amp;AV78)+SUMIFS($AS$7:$AS$1570,$BR$7:$BR$1570,BR78,$AV$7:$AV$1570,AV78,$BL$7:$BL$1570,"&lt;="&amp;BL78),"")</f>
        <v/>
      </c>
      <c r="AX78" s="65">
        <f>IF(AW78="",0,MAX(0,MIN(1,(IF(BR78="L1",Parameter!$K$5,Parameter!$K$6+Parameter!$K$7)-(AW78-AS78))/AS78)))</f>
        <v/>
      </c>
      <c r="AY78" s="53">
        <f>IF(AC78&lt;=0,"",IF(BR78="Aussen","Aussenlager",IF(BR78="-","Nicht im Lift",IF(AH78&gt;=1,"Lift",IF(AH78&lt;=0,"Aussenlager","teilweise")))))</f>
        <v/>
      </c>
      <c r="AZ78" s="53">
        <f>IF(AK78&lt;=0,"",IF(BR78="Aussen","Aussenlager",IF(BR78="-","Nicht im Lift",IF(AP78&gt;=1,"Lift",IF(AP78&lt;=0,"Aussenlager","teilweise")))))</f>
        <v/>
      </c>
      <c r="BA78" s="53">
        <f>IF(AS78&lt;=0,"",IF(BR78="Aussen","Aussenlager",IF(BR78="-","Nicht im Lift",IF(AX78&gt;=1,"Lift",IF(AX78&lt;=0,"Aussenlager","teilweise")))))</f>
        <v/>
      </c>
      <c r="BB78" s="53">
        <f>IF(A78="","",IF(BK78=1,"Neu; ","")&amp;IF(AND(BK78=0,BF78&lt;0),"negativer Bestand (Export "&amp;BF78&amp;"); ","")&amp;IF(I78&lt;=0,"Kein Verbrauch; ","")&amp;IF(BO78=1,"Lose – Fläche geschätzt; ","")&amp;IF(G78&gt;AM78,"Überbestand "&amp;ROUND(G78-AM78,0)&amp;" Stk / CHF "&amp;ROUND((G78-AM78)*F78,0)&amp;"; ","")&amp;IF(AND(BT78=1,BU78&lt;BV78),"MAX &lt; MB+LG; ","")&amp;IF(AND(BZ78&gt;0,BY78*10&gt;BZ78),"zu hoch für Tablar; ","")&amp;IF(AND(BK78=0,OR(BT78=1,V78&lt;&gt;"",S78&lt;&gt;"",T78&lt;&gt;"",W78&lt;&gt;"")),"manuell übersteuert; ","")&amp;IF(AND(BO78=0,Q78=0),"Gebinde unbekannt; ","")&amp;IF(AND(BO78=0,N(T78)&lt;=0,N(P78)&lt;=0),"Menge pro Gebinde fehlt (Ist = 1 Gebinde); ","")&amp;BJ78)</f>
        <v/>
      </c>
      <c r="BC78" s="53" t="n"/>
      <c r="BD78" s="53" t="inlineStr">
        <is>
          <t>Wird bereits an Bürki verkauft?</t>
        </is>
      </c>
      <c r="BE78" s="61" t="n"/>
      <c r="BF78" s="55" t="n">
        <v>4</v>
      </c>
      <c r="BG78" s="55" t="n">
        <v>0</v>
      </c>
      <c r="BH78" s="54" t="n">
        <v>3272.640000000001</v>
      </c>
      <c r="BI78" s="55" t="n">
        <v>1</v>
      </c>
      <c r="BJ78" s="53" t="inlineStr"/>
      <c r="BK78" s="58" t="n">
        <v>0</v>
      </c>
      <c r="BL78" s="58" t="n">
        <v>78</v>
      </c>
      <c r="BM78" s="53">
        <f>IF(S78&lt;&gt;"",UPPER(TRIM(S78)),IF(O78="","LOSE",O78))</f>
        <v/>
      </c>
      <c r="BN78" s="55">
        <f>IF(BM78="LOSE",1,IF(N(T78)&gt;0,T78,IF(N(P78)&gt;0,P78,MAX(1,G78))))</f>
        <v/>
      </c>
      <c r="BO78" s="58">
        <f>IF(BM78="LOSE",1,0)</f>
        <v/>
      </c>
      <c r="BP78" s="64">
        <f>IF(BO78=0,0,IF(N(R78)&gt;0,R78,IFERROR(VLOOKUP(D78,Parameter!$A$35:$C$64,3,0)+0,0)))</f>
        <v/>
      </c>
      <c r="BQ78" s="53">
        <f>IF(V78&lt;&gt;"",V78,U78)</f>
        <v/>
      </c>
      <c r="BR78" s="53">
        <f>IF(BQ78=1,"L1",IF(OR(BQ78=2,BQ78=3),"L23",IF(BQ78="Aussen","Aussen","-")))</f>
        <v/>
      </c>
      <c r="BS78" s="66">
        <f>IF(N(W78)&gt;0,W78,0)</f>
        <v/>
      </c>
      <c r="BT78" s="58">
        <f>IF(ISNUMBER(Z78),1,0)</f>
        <v/>
      </c>
      <c r="BU78" s="55">
        <f>N(Z78)</f>
        <v/>
      </c>
      <c r="BV78" s="55">
        <f>N(L78)+N(M78)</f>
        <v/>
      </c>
      <c r="BW78" s="55">
        <f>ROUNDUP(G78/BN78,0)</f>
        <v/>
      </c>
      <c r="BX78" s="55">
        <f>ROUNDUP(BU78/BN78,0)</f>
        <v/>
      </c>
      <c r="BY78" s="58">
        <f>IF(BO78=1,0,IFERROR(VLOOKUP(BM78,'Gebinde-Kategorie'!$A$5:$G$45,5,0)+0,0))</f>
        <v/>
      </c>
      <c r="BZ78" s="58">
        <f>IFERROR(IF(OR(BQ78=1,BQ78=2,BQ78=3),N(INDEX(Parameter!$I$5:$I$7,BQ78)),0),0)</f>
        <v/>
      </c>
    </row>
    <row r="79">
      <c r="A79" s="53" t="inlineStr">
        <is>
          <t>106482</t>
        </is>
      </c>
      <c r="B79" s="53" t="inlineStr">
        <is>
          <t>Magnetventil</t>
        </is>
      </c>
      <c r="C79" s="53" t="inlineStr">
        <is>
          <t>F</t>
        </is>
      </c>
      <c r="D79" s="53" t="inlineStr">
        <is>
          <t>KTL</t>
        </is>
      </c>
      <c r="E79" s="53" t="inlineStr">
        <is>
          <t>C</t>
        </is>
      </c>
      <c r="F79" s="54" t="n">
        <v>349</v>
      </c>
      <c r="G79" s="55">
        <f>MAX(0,IF(Parameter!$B$20="Jahresanfang 2025 + Export",BG79+BF79,BF79))</f>
        <v/>
      </c>
      <c r="H79" s="55">
        <f>G79*F79</f>
        <v/>
      </c>
      <c r="I79" s="55">
        <f>BI79*Parameter!$B$18</f>
        <v/>
      </c>
      <c r="J79" s="56" t="n">
        <v>23</v>
      </c>
      <c r="K79" s="57" t="n">
        <v>3.347826086956522</v>
      </c>
      <c r="L79" s="55" t="n">
        <v>4</v>
      </c>
      <c r="M79" s="55" t="n">
        <v>10</v>
      </c>
      <c r="N79" s="58" t="n">
        <v>21</v>
      </c>
      <c r="O79" s="53" t="inlineStr">
        <is>
          <t>S52</t>
        </is>
      </c>
      <c r="P79" s="55" t="n">
        <v>35</v>
      </c>
      <c r="Q79" s="59">
        <f>IF(BO79=1,0,IFERROR(VLOOKUP(BM79,'Gebinde-Kategorie'!$A$5:$G$45,6,0)+0,0))</f>
        <v/>
      </c>
      <c r="R79" s="60" t="n"/>
      <c r="S79" s="61" t="n"/>
      <c r="T79" s="61" t="n"/>
      <c r="U79" s="53">
        <f>IF(A79="","",IF(IFERROR(VLOOKUP(D79,Parameter!$A$35:$C$64,2,0),"Nein")="2+3",IF(ISNUMBER(SEARCH("grosser Artikel",BJ79)),2,IFERROR(VLOOKUP(BM79,Parameter!$F$35:$G$64,2,0),2)),IF(OR(IFERROR(VLOOKUP(D79,Parameter!$A$35:$C$64,2,0),"Nein")="Nein",IFERROR(VLOOKUP(D79,Parameter!$A$35:$C$64,2,0),"Nein")=""),"-",VLOOKUP(D79,Parameter!$A$35:$C$64,2,0))))</f>
        <v/>
      </c>
      <c r="V79" s="61" t="n"/>
      <c r="W79" s="62" t="n"/>
      <c r="X79" s="55">
        <f>AM79</f>
        <v/>
      </c>
      <c r="Y79" s="55">
        <f>MAX(AM79,G79)</f>
        <v/>
      </c>
      <c r="Z79" s="63" t="n"/>
      <c r="AA79" s="55">
        <f>IF(LEFT(Cockpit!$C$5,1)="A",G79,IF(BT79=1,BU79,IF(LEFT(Cockpit!$C$5,1)="B",AE79,MAX(AE79,G79))))</f>
        <v/>
      </c>
      <c r="AB79" s="55">
        <f>IF(BO79=1,0,ROUNDUP(AA79/BN79,0))</f>
        <v/>
      </c>
      <c r="AC79" s="64">
        <f>IF(BO79=1,IF(AA79&lt;=0,0,BP79*MAX(1,IF(G79&gt;0,AA79/G79,1))),AB79*Q79)</f>
        <v/>
      </c>
      <c r="AD79" s="55">
        <f>AA79*F79</f>
        <v/>
      </c>
      <c r="AE79" s="55">
        <f>ROUNDUP(MAX(I79/IF(BS79&gt;0,BS79,MAX(0.1,N(Cockpit!$C$6))),BV79)/BN79,0)*BN79</f>
        <v/>
      </c>
      <c r="AF79" s="56">
        <f>IF(AC79&gt;0,I79/AC79,-1)</f>
        <v/>
      </c>
      <c r="AG79" s="56">
        <f>IF(AND(OR(BR79="L1",BR79="L23"),AC79&gt;0),SUMIFS($AC$7:$AC$1570,$BR$7:$BR$1570,BR79,$AF$7:$AF$1570,"&gt;"&amp;AF79)+SUMIFS($AC$7:$AC$1570,$BR$7:$BR$1570,BR79,$AF$7:$AF$1570,AF79,$BL$7:$BL$1570,"&lt;="&amp;BL79),"")</f>
        <v/>
      </c>
      <c r="AH79" s="65">
        <f>IF(AG79="",0,MAX(0,MIN(1,(IF(BR79="L1",Parameter!$K$5,Parameter!$K$6+Parameter!$K$7)-(AG79-AC79))/AC79)))</f>
        <v/>
      </c>
      <c r="AI79" s="55">
        <f>IF(LEFT(Cockpit!$I$5,1)="A",G79,IF(BT79=1,BU79,IF(LEFT(Cockpit!$I$5,1)="B",AM79,MAX(AM79,G79))))</f>
        <v/>
      </c>
      <c r="AJ79" s="55">
        <f>IF(BO79=1,0,ROUNDUP(AI79/BN79,0))</f>
        <v/>
      </c>
      <c r="AK79" s="64">
        <f>IF(BO79=1,IF(AI79&lt;=0,0,BP79*MAX(1,IF(G79&gt;0,AI79/G79,1))),AJ79*Q79)</f>
        <v/>
      </c>
      <c r="AL79" s="55">
        <f>AI79*F79</f>
        <v/>
      </c>
      <c r="AM79" s="55">
        <f>ROUNDUP(MAX(I79/IF(BS79&gt;0,BS79,MAX(0.1,N(Cockpit!$I$6))),BV79)/BN79,0)*BN79</f>
        <v/>
      </c>
      <c r="AN79" s="56">
        <f>IF(AK79&gt;0,I79/AK79,-1)</f>
        <v/>
      </c>
      <c r="AO79" s="56">
        <f>IF(AND(OR(BR79="L1",BR79="L23"),AK79&gt;0),SUMIFS($AK$7:$AK$1570,$BR$7:$BR$1570,BR79,$AN$7:$AN$1570,"&gt;"&amp;AN79)+SUMIFS($AK$7:$AK$1570,$BR$7:$BR$1570,BR79,$AN$7:$AN$1570,AN79,$BL$7:$BL$1570,"&lt;="&amp;BL79),"")</f>
        <v/>
      </c>
      <c r="AP79" s="65">
        <f>IF(AO79="",0,MAX(0,MIN(1,(IF(BR79="L1",Parameter!$K$5,Parameter!$K$6+Parameter!$K$7)-(AO79-AK79))/AK79)))</f>
        <v/>
      </c>
      <c r="AQ79" s="55">
        <f>IF(LEFT(Cockpit!$O$5,1)="A",G79,IF(BT79=1,BU79,IF(LEFT(Cockpit!$O$5,1)="B",AU79,MAX(AU79,G79))))</f>
        <v/>
      </c>
      <c r="AR79" s="55">
        <f>IF(BO79=1,0,ROUNDUP(AQ79/BN79,0))</f>
        <v/>
      </c>
      <c r="AS79" s="64">
        <f>IF(BO79=1,IF(AQ79&lt;=0,0,BP79*MAX(1,IF(G79&gt;0,AQ79/G79,1))),AR79*Q79)</f>
        <v/>
      </c>
      <c r="AT79" s="55">
        <f>AQ79*F79</f>
        <v/>
      </c>
      <c r="AU79" s="55">
        <f>ROUNDUP(MAX(I79/IF(BS79&gt;0,BS79,MAX(0.1,N(Cockpit!$O$6))),BV79)/BN79,0)*BN79</f>
        <v/>
      </c>
      <c r="AV79" s="56">
        <f>IF(AS79&gt;0,I79/AS79,-1)</f>
        <v/>
      </c>
      <c r="AW79" s="56">
        <f>IF(AND(OR(BR79="L1",BR79="L23"),AS79&gt;0),SUMIFS($AS$7:$AS$1570,$BR$7:$BR$1570,BR79,$AV$7:$AV$1570,"&gt;"&amp;AV79)+SUMIFS($AS$7:$AS$1570,$BR$7:$BR$1570,BR79,$AV$7:$AV$1570,AV79,$BL$7:$BL$1570,"&lt;="&amp;BL79),"")</f>
        <v/>
      </c>
      <c r="AX79" s="65">
        <f>IF(AW79="",0,MAX(0,MIN(1,(IF(BR79="L1",Parameter!$K$5,Parameter!$K$6+Parameter!$K$7)-(AW79-AS79))/AS79)))</f>
        <v/>
      </c>
      <c r="AY79" s="53">
        <f>IF(AC79&lt;=0,"",IF(BR79="Aussen","Aussenlager",IF(BR79="-","Nicht im Lift",IF(AH79&gt;=1,"Lift",IF(AH79&lt;=0,"Aussenlager","teilweise")))))</f>
        <v/>
      </c>
      <c r="AZ79" s="53">
        <f>IF(AK79&lt;=0,"",IF(BR79="Aussen","Aussenlager",IF(BR79="-","Nicht im Lift",IF(AP79&gt;=1,"Lift",IF(AP79&lt;=0,"Aussenlager","teilweise")))))</f>
        <v/>
      </c>
      <c r="BA79" s="53">
        <f>IF(AS79&lt;=0,"",IF(BR79="Aussen","Aussenlager",IF(BR79="-","Nicht im Lift",IF(AX79&gt;=1,"Lift",IF(AX79&lt;=0,"Aussenlager","teilweise")))))</f>
        <v/>
      </c>
      <c r="BB79" s="53">
        <f>IF(A79="","",IF(BK79=1,"Neu; ","")&amp;IF(AND(BK79=0,BF79&lt;0),"negativer Bestand (Export "&amp;BF79&amp;"); ","")&amp;IF(I79&lt;=0,"Kein Verbrauch; ","")&amp;IF(BO79=1,"Lose – Fläche geschätzt; ","")&amp;IF(G79&gt;AM79,"Überbestand "&amp;ROUND(G79-AM79,0)&amp;" Stk / CHF "&amp;ROUND((G79-AM79)*F79,0)&amp;"; ","")&amp;IF(AND(BT79=1,BU79&lt;BV79),"MAX &lt; MB+LG; ","")&amp;IF(AND(BZ79&gt;0,BY79*10&gt;BZ79),"zu hoch für Tablar; ","")&amp;IF(AND(BK79=0,OR(BT79=1,V79&lt;&gt;"",S79&lt;&gt;"",T79&lt;&gt;"",W79&lt;&gt;"")),"manuell übersteuert; ","")&amp;IF(AND(BO79=0,Q79=0),"Gebinde unbekannt; ","")&amp;IF(AND(BO79=0,N(T79)&lt;=0,N(P79)&lt;=0),"Menge pro Gebinde fehlt (Ist = 1 Gebinde); ","")&amp;BJ79)</f>
        <v/>
      </c>
      <c r="BC79" s="53" t="n"/>
      <c r="BD79" s="53" t="n"/>
      <c r="BE79" s="61" t="n"/>
      <c r="BF79" s="55" t="n">
        <v>9</v>
      </c>
      <c r="BG79" s="55" t="n">
        <v>21</v>
      </c>
      <c r="BH79" s="54" t="n">
        <v>3204.820000000002</v>
      </c>
      <c r="BI79" s="55" t="n">
        <v>77</v>
      </c>
      <c r="BJ79" s="53" t="inlineStr"/>
      <c r="BK79" s="58" t="n">
        <v>0</v>
      </c>
      <c r="BL79" s="58" t="n">
        <v>79</v>
      </c>
      <c r="BM79" s="53">
        <f>IF(S79&lt;&gt;"",UPPER(TRIM(S79)),IF(O79="","LOSE",O79))</f>
        <v/>
      </c>
      <c r="BN79" s="55">
        <f>IF(BM79="LOSE",1,IF(N(T79)&gt;0,T79,IF(N(P79)&gt;0,P79,MAX(1,G79))))</f>
        <v/>
      </c>
      <c r="BO79" s="58">
        <f>IF(BM79="LOSE",1,0)</f>
        <v/>
      </c>
      <c r="BP79" s="64">
        <f>IF(BO79=0,0,IF(N(R79)&gt;0,R79,IFERROR(VLOOKUP(D79,Parameter!$A$35:$C$64,3,0)+0,0)))</f>
        <v/>
      </c>
      <c r="BQ79" s="53">
        <f>IF(V79&lt;&gt;"",V79,U79)</f>
        <v/>
      </c>
      <c r="BR79" s="53">
        <f>IF(BQ79=1,"L1",IF(OR(BQ79=2,BQ79=3),"L23",IF(BQ79="Aussen","Aussen","-")))</f>
        <v/>
      </c>
      <c r="BS79" s="66">
        <f>IF(N(W79)&gt;0,W79,0)</f>
        <v/>
      </c>
      <c r="BT79" s="58">
        <f>IF(ISNUMBER(Z79),1,0)</f>
        <v/>
      </c>
      <c r="BU79" s="55">
        <f>N(Z79)</f>
        <v/>
      </c>
      <c r="BV79" s="55">
        <f>N(L79)+N(M79)</f>
        <v/>
      </c>
      <c r="BW79" s="55">
        <f>ROUNDUP(G79/BN79,0)</f>
        <v/>
      </c>
      <c r="BX79" s="55">
        <f>ROUNDUP(BU79/BN79,0)</f>
        <v/>
      </c>
      <c r="BY79" s="58">
        <f>IF(BO79=1,0,IFERROR(VLOOKUP(BM79,'Gebinde-Kategorie'!$A$5:$G$45,5,0)+0,0))</f>
        <v/>
      </c>
      <c r="BZ79" s="58">
        <f>IFERROR(IF(OR(BQ79=1,BQ79=2,BQ79=3),N(INDEX(Parameter!$I$5:$I$7,BQ79)),0),0)</f>
        <v/>
      </c>
    </row>
    <row r="80">
      <c r="A80" s="53" t="inlineStr">
        <is>
          <t>100770</t>
        </is>
      </c>
      <c r="B80" s="53" t="inlineStr">
        <is>
          <t>Rohr</t>
        </is>
      </c>
      <c r="C80" s="53" t="inlineStr">
        <is>
          <t>F</t>
        </is>
      </c>
      <c r="D80" s="53" t="inlineStr">
        <is>
          <t>PAL</t>
        </is>
      </c>
      <c r="E80" s="53" t="inlineStr">
        <is>
          <t>C</t>
        </is>
      </c>
      <c r="F80" s="54" t="n">
        <v>312</v>
      </c>
      <c r="G80" s="55">
        <f>MAX(0,IF(Parameter!$B$20="Jahresanfang 2025 + Export",BG80+BF80,BF80))</f>
        <v/>
      </c>
      <c r="H80" s="55">
        <f>G80*F80</f>
        <v/>
      </c>
      <c r="I80" s="55">
        <f>BI80*Parameter!$B$18</f>
        <v/>
      </c>
      <c r="J80" s="56" t="n">
        <v>10</v>
      </c>
      <c r="K80" s="57" t="n">
        <v>0</v>
      </c>
      <c r="L80" s="55" t="n">
        <v>0</v>
      </c>
      <c r="M80" s="55" t="n">
        <v>1</v>
      </c>
      <c r="N80" s="58" t="n">
        <v>35</v>
      </c>
      <c r="O80" s="53" t="inlineStr">
        <is>
          <t>LOSE</t>
        </is>
      </c>
      <c r="P80" s="55" t="n"/>
      <c r="Q80" s="59">
        <f>IF(BO80=1,0,IFERROR(VLOOKUP(BM80,'Gebinde-Kategorie'!$A$5:$G$45,6,0)+0,0))</f>
        <v/>
      </c>
      <c r="R80" s="60" t="n"/>
      <c r="S80" s="61" t="n"/>
      <c r="T80" s="61" t="n"/>
      <c r="U80" s="53">
        <f>IF(A80="","",IF(IFERROR(VLOOKUP(D80,Parameter!$A$35:$C$64,2,0),"Nein")="2+3",IF(ISNUMBER(SEARCH("grosser Artikel",BJ80)),2,IFERROR(VLOOKUP(BM80,Parameter!$F$35:$G$64,2,0),2)),IF(OR(IFERROR(VLOOKUP(D80,Parameter!$A$35:$C$64,2,0),"Nein")="Nein",IFERROR(VLOOKUP(D80,Parameter!$A$35:$C$64,2,0),"Nein")=""),"-",VLOOKUP(D80,Parameter!$A$35:$C$64,2,0))))</f>
        <v/>
      </c>
      <c r="V80" s="61" t="n"/>
      <c r="W80" s="62" t="n"/>
      <c r="X80" s="55">
        <f>AM80</f>
        <v/>
      </c>
      <c r="Y80" s="55">
        <f>MAX(AM80,G80)</f>
        <v/>
      </c>
      <c r="Z80" s="63" t="n"/>
      <c r="AA80" s="55">
        <f>IF(LEFT(Cockpit!$C$5,1)="A",G80,IF(BT80=1,BU80,IF(LEFT(Cockpit!$C$5,1)="B",AE80,MAX(AE80,G80))))</f>
        <v/>
      </c>
      <c r="AB80" s="55">
        <f>IF(BO80=1,0,ROUNDUP(AA80/BN80,0))</f>
        <v/>
      </c>
      <c r="AC80" s="64">
        <f>IF(BO80=1,IF(AA80&lt;=0,0,BP80*MAX(1,IF(G80&gt;0,AA80/G80,1))),AB80*Q80)</f>
        <v/>
      </c>
      <c r="AD80" s="55">
        <f>AA80*F80</f>
        <v/>
      </c>
      <c r="AE80" s="55">
        <f>ROUNDUP(MAX(I80/IF(BS80&gt;0,BS80,MAX(0.1,N(Cockpit!$C$6))),BV80)/BN80,0)*BN80</f>
        <v/>
      </c>
      <c r="AF80" s="56">
        <f>IF(AC80&gt;0,I80/AC80,-1)</f>
        <v/>
      </c>
      <c r="AG80" s="56">
        <f>IF(AND(OR(BR80="L1",BR80="L23"),AC80&gt;0),SUMIFS($AC$7:$AC$1570,$BR$7:$BR$1570,BR80,$AF$7:$AF$1570,"&gt;"&amp;AF80)+SUMIFS($AC$7:$AC$1570,$BR$7:$BR$1570,BR80,$AF$7:$AF$1570,AF80,$BL$7:$BL$1570,"&lt;="&amp;BL80),"")</f>
        <v/>
      </c>
      <c r="AH80" s="65">
        <f>IF(AG80="",0,MAX(0,MIN(1,(IF(BR80="L1",Parameter!$K$5,Parameter!$K$6+Parameter!$K$7)-(AG80-AC80))/AC80)))</f>
        <v/>
      </c>
      <c r="AI80" s="55">
        <f>IF(LEFT(Cockpit!$I$5,1)="A",G80,IF(BT80=1,BU80,IF(LEFT(Cockpit!$I$5,1)="B",AM80,MAX(AM80,G80))))</f>
        <v/>
      </c>
      <c r="AJ80" s="55">
        <f>IF(BO80=1,0,ROUNDUP(AI80/BN80,0))</f>
        <v/>
      </c>
      <c r="AK80" s="64">
        <f>IF(BO80=1,IF(AI80&lt;=0,0,BP80*MAX(1,IF(G80&gt;0,AI80/G80,1))),AJ80*Q80)</f>
        <v/>
      </c>
      <c r="AL80" s="55">
        <f>AI80*F80</f>
        <v/>
      </c>
      <c r="AM80" s="55">
        <f>ROUNDUP(MAX(I80/IF(BS80&gt;0,BS80,MAX(0.1,N(Cockpit!$I$6))),BV80)/BN80,0)*BN80</f>
        <v/>
      </c>
      <c r="AN80" s="56">
        <f>IF(AK80&gt;0,I80/AK80,-1)</f>
        <v/>
      </c>
      <c r="AO80" s="56">
        <f>IF(AND(OR(BR80="L1",BR80="L23"),AK80&gt;0),SUMIFS($AK$7:$AK$1570,$BR$7:$BR$1570,BR80,$AN$7:$AN$1570,"&gt;"&amp;AN80)+SUMIFS($AK$7:$AK$1570,$BR$7:$BR$1570,BR80,$AN$7:$AN$1570,AN80,$BL$7:$BL$1570,"&lt;="&amp;BL80),"")</f>
        <v/>
      </c>
      <c r="AP80" s="65">
        <f>IF(AO80="",0,MAX(0,MIN(1,(IF(BR80="L1",Parameter!$K$5,Parameter!$K$6+Parameter!$K$7)-(AO80-AK80))/AK80)))</f>
        <v/>
      </c>
      <c r="AQ80" s="55">
        <f>IF(LEFT(Cockpit!$O$5,1)="A",G80,IF(BT80=1,BU80,IF(LEFT(Cockpit!$O$5,1)="B",AU80,MAX(AU80,G80))))</f>
        <v/>
      </c>
      <c r="AR80" s="55">
        <f>IF(BO80=1,0,ROUNDUP(AQ80/BN80,0))</f>
        <v/>
      </c>
      <c r="AS80" s="64">
        <f>IF(BO80=1,IF(AQ80&lt;=0,0,BP80*MAX(1,IF(G80&gt;0,AQ80/G80,1))),AR80*Q80)</f>
        <v/>
      </c>
      <c r="AT80" s="55">
        <f>AQ80*F80</f>
        <v/>
      </c>
      <c r="AU80" s="55">
        <f>ROUNDUP(MAX(I80/IF(BS80&gt;0,BS80,MAX(0.1,N(Cockpit!$O$6))),BV80)/BN80,0)*BN80</f>
        <v/>
      </c>
      <c r="AV80" s="56">
        <f>IF(AS80&gt;0,I80/AS80,-1)</f>
        <v/>
      </c>
      <c r="AW80" s="56">
        <f>IF(AND(OR(BR80="L1",BR80="L23"),AS80&gt;0),SUMIFS($AS$7:$AS$1570,$BR$7:$BR$1570,BR80,$AV$7:$AV$1570,"&gt;"&amp;AV80)+SUMIFS($AS$7:$AS$1570,$BR$7:$BR$1570,BR80,$AV$7:$AV$1570,AV80,$BL$7:$BL$1570,"&lt;="&amp;BL80),"")</f>
        <v/>
      </c>
      <c r="AX80" s="65">
        <f>IF(AW80="",0,MAX(0,MIN(1,(IF(BR80="L1",Parameter!$K$5,Parameter!$K$6+Parameter!$K$7)-(AW80-AS80))/AS80)))</f>
        <v/>
      </c>
      <c r="AY80" s="53">
        <f>IF(AC80&lt;=0,"",IF(BR80="Aussen","Aussenlager",IF(BR80="-","Nicht im Lift",IF(AH80&gt;=1,"Lift",IF(AH80&lt;=0,"Aussenlager","teilweise")))))</f>
        <v/>
      </c>
      <c r="AZ80" s="53">
        <f>IF(AK80&lt;=0,"",IF(BR80="Aussen","Aussenlager",IF(BR80="-","Nicht im Lift",IF(AP80&gt;=1,"Lift",IF(AP80&lt;=0,"Aussenlager","teilweise")))))</f>
        <v/>
      </c>
      <c r="BA80" s="53">
        <f>IF(AS80&lt;=0,"",IF(BR80="Aussen","Aussenlager",IF(BR80="-","Nicht im Lift",IF(AX80&gt;=1,"Lift",IF(AX80&lt;=0,"Aussenlager","teilweise")))))</f>
        <v/>
      </c>
      <c r="BB80" s="53">
        <f>IF(A80="","",IF(BK80=1,"Neu; ","")&amp;IF(AND(BK80=0,BF80&lt;0),"negativer Bestand (Export "&amp;BF80&amp;"); ","")&amp;IF(I80&lt;=0,"Kein Verbrauch; ","")&amp;IF(BO80=1,"Lose – Fläche geschätzt; ","")&amp;IF(G80&gt;AM80,"Überbestand "&amp;ROUND(G80-AM80,0)&amp;" Stk / CHF "&amp;ROUND((G80-AM80)*F80,0)&amp;"; ","")&amp;IF(AND(BT80=1,BU80&lt;BV80),"MAX &lt; MB+LG; ","")&amp;IF(AND(BZ80&gt;0,BY80*10&gt;BZ80),"zu hoch für Tablar; ","")&amp;IF(AND(BK80=0,OR(BT80=1,V80&lt;&gt;"",S80&lt;&gt;"",T80&lt;&gt;"",W80&lt;&gt;"")),"manuell übersteuert; ","")&amp;IF(AND(BO80=0,Q80=0),"Gebinde unbekannt; ","")&amp;IF(AND(BO80=0,N(T80)&lt;=0,N(P80)&lt;=0),"Menge pro Gebinde fehlt (Ist = 1 Gebinde); ","")&amp;BJ80)</f>
        <v/>
      </c>
      <c r="BC80" s="53" t="n"/>
      <c r="BD80" s="53" t="n"/>
      <c r="BE80" s="61" t="n"/>
      <c r="BF80" s="55" t="n">
        <v>10</v>
      </c>
      <c r="BG80" s="55" t="n">
        <v>10</v>
      </c>
      <c r="BH80" s="54" t="n">
        <v>3120</v>
      </c>
      <c r="BI80" s="55" t="n">
        <v>0</v>
      </c>
      <c r="BJ80" s="53" t="inlineStr"/>
      <c r="BK80" s="58" t="n">
        <v>0</v>
      </c>
      <c r="BL80" s="58" t="n">
        <v>80</v>
      </c>
      <c r="BM80" s="53">
        <f>IF(S80&lt;&gt;"",UPPER(TRIM(S80)),IF(O80="","LOSE",O80))</f>
        <v/>
      </c>
      <c r="BN80" s="55">
        <f>IF(BM80="LOSE",1,IF(N(T80)&gt;0,T80,IF(N(P80)&gt;0,P80,MAX(1,G80))))</f>
        <v/>
      </c>
      <c r="BO80" s="58">
        <f>IF(BM80="LOSE",1,0)</f>
        <v/>
      </c>
      <c r="BP80" s="64">
        <f>IF(BO80=0,0,IF(N(R80)&gt;0,R80,IFERROR(VLOOKUP(D80,Parameter!$A$35:$C$64,3,0)+0,0)))</f>
        <v/>
      </c>
      <c r="BQ80" s="53">
        <f>IF(V80&lt;&gt;"",V80,U80)</f>
        <v/>
      </c>
      <c r="BR80" s="53">
        <f>IF(BQ80=1,"L1",IF(OR(BQ80=2,BQ80=3),"L23",IF(BQ80="Aussen","Aussen","-")))</f>
        <v/>
      </c>
      <c r="BS80" s="66">
        <f>IF(N(W80)&gt;0,W80,0)</f>
        <v/>
      </c>
      <c r="BT80" s="58">
        <f>IF(ISNUMBER(Z80),1,0)</f>
        <v/>
      </c>
      <c r="BU80" s="55">
        <f>N(Z80)</f>
        <v/>
      </c>
      <c r="BV80" s="55">
        <f>N(L80)+N(M80)</f>
        <v/>
      </c>
      <c r="BW80" s="55">
        <f>ROUNDUP(G80/BN80,0)</f>
        <v/>
      </c>
      <c r="BX80" s="55">
        <f>ROUNDUP(BU80/BN80,0)</f>
        <v/>
      </c>
      <c r="BY80" s="58">
        <f>IF(BO80=1,0,IFERROR(VLOOKUP(BM80,'Gebinde-Kategorie'!$A$5:$G$45,5,0)+0,0))</f>
        <v/>
      </c>
      <c r="BZ80" s="58">
        <f>IFERROR(IF(OR(BQ80=1,BQ80=2,BQ80=3),N(INDEX(Parameter!$I$5:$I$7,BQ80)),0),0)</f>
        <v/>
      </c>
    </row>
    <row r="81">
      <c r="A81" s="53" t="inlineStr">
        <is>
          <t>001123</t>
        </is>
      </c>
      <c r="B81" s="53" t="inlineStr">
        <is>
          <t>Holzkiste mit Zwischenboden / SPG</t>
        </is>
      </c>
      <c r="C81" s="53" t="inlineStr">
        <is>
          <t>F</t>
        </is>
      </c>
      <c r="D81" s="53" t="inlineStr">
        <is>
          <t>PAL</t>
        </is>
      </c>
      <c r="E81" s="53" t="inlineStr">
        <is>
          <t>C</t>
        </is>
      </c>
      <c r="F81" s="54" t="n">
        <v>760.97</v>
      </c>
      <c r="G81" s="55">
        <f>MAX(0,IF(Parameter!$B$20="Jahresanfang 2025 + Export",BG81+BF81,BF81))</f>
        <v/>
      </c>
      <c r="H81" s="55">
        <f>G81*F81</f>
        <v/>
      </c>
      <c r="I81" s="55">
        <f>BI81*Parameter!$B$18</f>
        <v/>
      </c>
      <c r="J81" s="56" t="n">
        <v>0.5</v>
      </c>
      <c r="K81" s="57" t="n">
        <v>54</v>
      </c>
      <c r="L81" s="55" t="n">
        <v>0</v>
      </c>
      <c r="M81" s="55" t="n">
        <v>1</v>
      </c>
      <c r="N81" s="58" t="n">
        <v>21</v>
      </c>
      <c r="O81" s="53" t="inlineStr">
        <is>
          <t>LOSE</t>
        </is>
      </c>
      <c r="P81" s="55" t="n"/>
      <c r="Q81" s="59">
        <f>IF(BO81=1,0,IFERROR(VLOOKUP(BM81,'Gebinde-Kategorie'!$A$5:$G$45,6,0)+0,0))</f>
        <v/>
      </c>
      <c r="R81" s="60" t="n"/>
      <c r="S81" s="61" t="n"/>
      <c r="T81" s="61" t="n"/>
      <c r="U81" s="53">
        <f>IF(A81="","",IF(IFERROR(VLOOKUP(D81,Parameter!$A$35:$C$64,2,0),"Nein")="2+3",IF(ISNUMBER(SEARCH("grosser Artikel",BJ81)),2,IFERROR(VLOOKUP(BM81,Parameter!$F$35:$G$64,2,0),2)),IF(OR(IFERROR(VLOOKUP(D81,Parameter!$A$35:$C$64,2,0),"Nein")="Nein",IFERROR(VLOOKUP(D81,Parameter!$A$35:$C$64,2,0),"Nein")=""),"-",VLOOKUP(D81,Parameter!$A$35:$C$64,2,0))))</f>
        <v/>
      </c>
      <c r="V81" s="61" t="n"/>
      <c r="W81" s="62" t="n"/>
      <c r="X81" s="55">
        <f>AM81</f>
        <v/>
      </c>
      <c r="Y81" s="55">
        <f>MAX(AM81,G81)</f>
        <v/>
      </c>
      <c r="Z81" s="63" t="n"/>
      <c r="AA81" s="55">
        <f>IF(LEFT(Cockpit!$C$5,1)="A",G81,IF(BT81=1,BU81,IF(LEFT(Cockpit!$C$5,1)="B",AE81,MAX(AE81,G81))))</f>
        <v/>
      </c>
      <c r="AB81" s="55">
        <f>IF(BO81=1,0,ROUNDUP(AA81/BN81,0))</f>
        <v/>
      </c>
      <c r="AC81" s="64">
        <f>IF(BO81=1,IF(AA81&lt;=0,0,BP81*MAX(1,IF(G81&gt;0,AA81/G81,1))),AB81*Q81)</f>
        <v/>
      </c>
      <c r="AD81" s="55">
        <f>AA81*F81</f>
        <v/>
      </c>
      <c r="AE81" s="55">
        <f>ROUNDUP(MAX(I81/IF(BS81&gt;0,BS81,MAX(0.1,N(Cockpit!$C$6))),BV81)/BN81,0)*BN81</f>
        <v/>
      </c>
      <c r="AF81" s="56">
        <f>IF(AC81&gt;0,I81/AC81,-1)</f>
        <v/>
      </c>
      <c r="AG81" s="56">
        <f>IF(AND(OR(BR81="L1",BR81="L23"),AC81&gt;0),SUMIFS($AC$7:$AC$1570,$BR$7:$BR$1570,BR81,$AF$7:$AF$1570,"&gt;"&amp;AF81)+SUMIFS($AC$7:$AC$1570,$BR$7:$BR$1570,BR81,$AF$7:$AF$1570,AF81,$BL$7:$BL$1570,"&lt;="&amp;BL81),"")</f>
        <v/>
      </c>
      <c r="AH81" s="65">
        <f>IF(AG81="",0,MAX(0,MIN(1,(IF(BR81="L1",Parameter!$K$5,Parameter!$K$6+Parameter!$K$7)-(AG81-AC81))/AC81)))</f>
        <v/>
      </c>
      <c r="AI81" s="55">
        <f>IF(LEFT(Cockpit!$I$5,1)="A",G81,IF(BT81=1,BU81,IF(LEFT(Cockpit!$I$5,1)="B",AM81,MAX(AM81,G81))))</f>
        <v/>
      </c>
      <c r="AJ81" s="55">
        <f>IF(BO81=1,0,ROUNDUP(AI81/BN81,0))</f>
        <v/>
      </c>
      <c r="AK81" s="64">
        <f>IF(BO81=1,IF(AI81&lt;=0,0,BP81*MAX(1,IF(G81&gt;0,AI81/G81,1))),AJ81*Q81)</f>
        <v/>
      </c>
      <c r="AL81" s="55">
        <f>AI81*F81</f>
        <v/>
      </c>
      <c r="AM81" s="55">
        <f>ROUNDUP(MAX(I81/IF(BS81&gt;0,BS81,MAX(0.1,N(Cockpit!$I$6))),BV81)/BN81,0)*BN81</f>
        <v/>
      </c>
      <c r="AN81" s="56">
        <f>IF(AK81&gt;0,I81/AK81,-1)</f>
        <v/>
      </c>
      <c r="AO81" s="56">
        <f>IF(AND(OR(BR81="L1",BR81="L23"),AK81&gt;0),SUMIFS($AK$7:$AK$1570,$BR$7:$BR$1570,BR81,$AN$7:$AN$1570,"&gt;"&amp;AN81)+SUMIFS($AK$7:$AK$1570,$BR$7:$BR$1570,BR81,$AN$7:$AN$1570,AN81,$BL$7:$BL$1570,"&lt;="&amp;BL81),"")</f>
        <v/>
      </c>
      <c r="AP81" s="65">
        <f>IF(AO81="",0,MAX(0,MIN(1,(IF(BR81="L1",Parameter!$K$5,Parameter!$K$6+Parameter!$K$7)-(AO81-AK81))/AK81)))</f>
        <v/>
      </c>
      <c r="AQ81" s="55">
        <f>IF(LEFT(Cockpit!$O$5,1)="A",G81,IF(BT81=1,BU81,IF(LEFT(Cockpit!$O$5,1)="B",AU81,MAX(AU81,G81))))</f>
        <v/>
      </c>
      <c r="AR81" s="55">
        <f>IF(BO81=1,0,ROUNDUP(AQ81/BN81,0))</f>
        <v/>
      </c>
      <c r="AS81" s="64">
        <f>IF(BO81=1,IF(AQ81&lt;=0,0,BP81*MAX(1,IF(G81&gt;0,AQ81/G81,1))),AR81*Q81)</f>
        <v/>
      </c>
      <c r="AT81" s="55">
        <f>AQ81*F81</f>
        <v/>
      </c>
      <c r="AU81" s="55">
        <f>ROUNDUP(MAX(I81/IF(BS81&gt;0,BS81,MAX(0.1,N(Cockpit!$O$6))),BV81)/BN81,0)*BN81</f>
        <v/>
      </c>
      <c r="AV81" s="56">
        <f>IF(AS81&gt;0,I81/AS81,-1)</f>
        <v/>
      </c>
      <c r="AW81" s="56">
        <f>IF(AND(OR(BR81="L1",BR81="L23"),AS81&gt;0),SUMIFS($AS$7:$AS$1570,$BR$7:$BR$1570,BR81,$AV$7:$AV$1570,"&gt;"&amp;AV81)+SUMIFS($AS$7:$AS$1570,$BR$7:$BR$1570,BR81,$AV$7:$AV$1570,AV81,$BL$7:$BL$1570,"&lt;="&amp;BL81),"")</f>
        <v/>
      </c>
      <c r="AX81" s="65">
        <f>IF(AW81="",0,MAX(0,MIN(1,(IF(BR81="L1",Parameter!$K$5,Parameter!$K$6+Parameter!$K$7)-(AW81-AS81))/AS81)))</f>
        <v/>
      </c>
      <c r="AY81" s="53">
        <f>IF(AC81&lt;=0,"",IF(BR81="Aussen","Aussenlager",IF(BR81="-","Nicht im Lift",IF(AH81&gt;=1,"Lift",IF(AH81&lt;=0,"Aussenlager","teilweise")))))</f>
        <v/>
      </c>
      <c r="AZ81" s="53">
        <f>IF(AK81&lt;=0,"",IF(BR81="Aussen","Aussenlager",IF(BR81="-","Nicht im Lift",IF(AP81&gt;=1,"Lift",IF(AP81&lt;=0,"Aussenlager","teilweise")))))</f>
        <v/>
      </c>
      <c r="BA81" s="53">
        <f>IF(AS81&lt;=0,"",IF(BR81="Aussen","Aussenlager",IF(BR81="-","Nicht im Lift",IF(AX81&gt;=1,"Lift",IF(AX81&lt;=0,"Aussenlager","teilweise")))))</f>
        <v/>
      </c>
      <c r="BB81" s="53">
        <f>IF(A81="","",IF(BK81=1,"Neu; ","")&amp;IF(AND(BK81=0,BF81&lt;0),"negativer Bestand (Export "&amp;BF81&amp;"); ","")&amp;IF(I81&lt;=0,"Kein Verbrauch; ","")&amp;IF(BO81=1,"Lose – Fläche geschätzt; ","")&amp;IF(G81&gt;AM81,"Überbestand "&amp;ROUND(G81-AM81,0)&amp;" Stk / CHF "&amp;ROUND((G81-AM81)*F81,0)&amp;"; ","")&amp;IF(AND(BT81=1,BU81&lt;BV81),"MAX &lt; MB+LG; ","")&amp;IF(AND(BZ81&gt;0,BY81*10&gt;BZ81),"zu hoch für Tablar; ","")&amp;IF(AND(BK81=0,OR(BT81=1,V81&lt;&gt;"",S81&lt;&gt;"",T81&lt;&gt;"",W81&lt;&gt;"")),"manuell übersteuert; ","")&amp;IF(AND(BO81=0,Q81=0),"Gebinde unbekannt; ","")&amp;IF(AND(BO81=0,N(T81)&lt;=0,N(P81)&lt;=0),"Menge pro Gebinde fehlt (Ist = 1 Gebinde); ","")&amp;BJ81)</f>
        <v/>
      </c>
      <c r="BC81" s="53" t="n"/>
      <c r="BD81" s="53" t="n"/>
      <c r="BE81" s="61" t="n"/>
      <c r="BF81" s="55" t="n">
        <v>4</v>
      </c>
      <c r="BG81" s="55" t="n">
        <v>0</v>
      </c>
      <c r="BH81" s="54" t="n">
        <v>3043.88</v>
      </c>
      <c r="BI81" s="55" t="n">
        <v>27</v>
      </c>
      <c r="BJ81" s="53" t="inlineStr"/>
      <c r="BK81" s="58" t="n">
        <v>0</v>
      </c>
      <c r="BL81" s="58" t="n">
        <v>81</v>
      </c>
      <c r="BM81" s="53">
        <f>IF(S81&lt;&gt;"",UPPER(TRIM(S81)),IF(O81="","LOSE",O81))</f>
        <v/>
      </c>
      <c r="BN81" s="55">
        <f>IF(BM81="LOSE",1,IF(N(T81)&gt;0,T81,IF(N(P81)&gt;0,P81,MAX(1,G81))))</f>
        <v/>
      </c>
      <c r="BO81" s="58">
        <f>IF(BM81="LOSE",1,0)</f>
        <v/>
      </c>
      <c r="BP81" s="64">
        <f>IF(BO81=0,0,IF(N(R81)&gt;0,R81,IFERROR(VLOOKUP(D81,Parameter!$A$35:$C$64,3,0)+0,0)))</f>
        <v/>
      </c>
      <c r="BQ81" s="53">
        <f>IF(V81&lt;&gt;"",V81,U81)</f>
        <v/>
      </c>
      <c r="BR81" s="53">
        <f>IF(BQ81=1,"L1",IF(OR(BQ81=2,BQ81=3),"L23",IF(BQ81="Aussen","Aussen","-")))</f>
        <v/>
      </c>
      <c r="BS81" s="66">
        <f>IF(N(W81)&gt;0,W81,0)</f>
        <v/>
      </c>
      <c r="BT81" s="58">
        <f>IF(ISNUMBER(Z81),1,0)</f>
        <v/>
      </c>
      <c r="BU81" s="55">
        <f>N(Z81)</f>
        <v/>
      </c>
      <c r="BV81" s="55">
        <f>N(L81)+N(M81)</f>
        <v/>
      </c>
      <c r="BW81" s="55">
        <f>ROUNDUP(G81/BN81,0)</f>
        <v/>
      </c>
      <c r="BX81" s="55">
        <f>ROUNDUP(BU81/BN81,0)</f>
        <v/>
      </c>
      <c r="BY81" s="58">
        <f>IF(BO81=1,0,IFERROR(VLOOKUP(BM81,'Gebinde-Kategorie'!$A$5:$G$45,5,0)+0,0))</f>
        <v/>
      </c>
      <c r="BZ81" s="58">
        <f>IFERROR(IF(OR(BQ81=1,BQ81=2,BQ81=3),N(INDEX(Parameter!$I$5:$I$7,BQ81)),0),0)</f>
        <v/>
      </c>
    </row>
    <row r="82">
      <c r="A82" s="53" t="inlineStr">
        <is>
          <t>107253</t>
        </is>
      </c>
      <c r="B82" s="53" t="inlineStr">
        <is>
          <t>Transfermagnetventil Spule O2</t>
        </is>
      </c>
      <c r="C82" s="53" t="inlineStr">
        <is>
          <t>F</t>
        </is>
      </c>
      <c r="D82" s="53" t="inlineStr">
        <is>
          <t>PAL</t>
        </is>
      </c>
      <c r="E82" s="53" t="inlineStr">
        <is>
          <t>C</t>
        </is>
      </c>
      <c r="F82" s="54" t="n">
        <v>185.43</v>
      </c>
      <c r="G82" s="55">
        <f>MAX(0,IF(Parameter!$B$20="Jahresanfang 2025 + Export",BG82+BF82,BF82))</f>
        <v/>
      </c>
      <c r="H82" s="55">
        <f>G82*F82</f>
        <v/>
      </c>
      <c r="I82" s="55">
        <f>BI82*Parameter!$B$18</f>
        <v/>
      </c>
      <c r="J82" s="56" t="n">
        <v>14</v>
      </c>
      <c r="K82" s="57" t="n">
        <v>4.785714285714286</v>
      </c>
      <c r="L82" s="55" t="n">
        <v>10</v>
      </c>
      <c r="M82" s="55" t="n">
        <v>30</v>
      </c>
      <c r="N82" s="58" t="n">
        <v>44</v>
      </c>
      <c r="O82" s="53" t="inlineStr">
        <is>
          <t>S71</t>
        </is>
      </c>
      <c r="P82" s="55" t="n">
        <v>18</v>
      </c>
      <c r="Q82" s="59">
        <f>IF(BO82=1,0,IFERROR(VLOOKUP(BM82,'Gebinde-Kategorie'!$A$5:$G$45,6,0)+0,0))</f>
        <v/>
      </c>
      <c r="R82" s="60" t="n"/>
      <c r="S82" s="61" t="n"/>
      <c r="T82" s="61" t="n"/>
      <c r="U82" s="53">
        <f>IF(A82="","",IF(IFERROR(VLOOKUP(D82,Parameter!$A$35:$C$64,2,0),"Nein")="2+3",IF(ISNUMBER(SEARCH("grosser Artikel",BJ82)),2,IFERROR(VLOOKUP(BM82,Parameter!$F$35:$G$64,2,0),2)),IF(OR(IFERROR(VLOOKUP(D82,Parameter!$A$35:$C$64,2,0),"Nein")="Nein",IFERROR(VLOOKUP(D82,Parameter!$A$35:$C$64,2,0),"Nein")=""),"-",VLOOKUP(D82,Parameter!$A$35:$C$64,2,0))))</f>
        <v/>
      </c>
      <c r="V82" s="61" t="n"/>
      <c r="W82" s="62" t="n"/>
      <c r="X82" s="55">
        <f>AM82</f>
        <v/>
      </c>
      <c r="Y82" s="55">
        <f>MAX(AM82,G82)</f>
        <v/>
      </c>
      <c r="Z82" s="63" t="n"/>
      <c r="AA82" s="55">
        <f>IF(LEFT(Cockpit!$C$5,1)="A",G82,IF(BT82=1,BU82,IF(LEFT(Cockpit!$C$5,1)="B",AE82,MAX(AE82,G82))))</f>
        <v/>
      </c>
      <c r="AB82" s="55">
        <f>IF(BO82=1,0,ROUNDUP(AA82/BN82,0))</f>
        <v/>
      </c>
      <c r="AC82" s="64">
        <f>IF(BO82=1,IF(AA82&lt;=0,0,BP82*MAX(1,IF(G82&gt;0,AA82/G82,1))),AB82*Q82)</f>
        <v/>
      </c>
      <c r="AD82" s="55">
        <f>AA82*F82</f>
        <v/>
      </c>
      <c r="AE82" s="55">
        <f>ROUNDUP(MAX(I82/IF(BS82&gt;0,BS82,MAX(0.1,N(Cockpit!$C$6))),BV82)/BN82,0)*BN82</f>
        <v/>
      </c>
      <c r="AF82" s="56">
        <f>IF(AC82&gt;0,I82/AC82,-1)</f>
        <v/>
      </c>
      <c r="AG82" s="56">
        <f>IF(AND(OR(BR82="L1",BR82="L23"),AC82&gt;0),SUMIFS($AC$7:$AC$1570,$BR$7:$BR$1570,BR82,$AF$7:$AF$1570,"&gt;"&amp;AF82)+SUMIFS($AC$7:$AC$1570,$BR$7:$BR$1570,BR82,$AF$7:$AF$1570,AF82,$BL$7:$BL$1570,"&lt;="&amp;BL82),"")</f>
        <v/>
      </c>
      <c r="AH82" s="65">
        <f>IF(AG82="",0,MAX(0,MIN(1,(IF(BR82="L1",Parameter!$K$5,Parameter!$K$6+Parameter!$K$7)-(AG82-AC82))/AC82)))</f>
        <v/>
      </c>
      <c r="AI82" s="55">
        <f>IF(LEFT(Cockpit!$I$5,1)="A",G82,IF(BT82=1,BU82,IF(LEFT(Cockpit!$I$5,1)="B",AM82,MAX(AM82,G82))))</f>
        <v/>
      </c>
      <c r="AJ82" s="55">
        <f>IF(BO82=1,0,ROUNDUP(AI82/BN82,0))</f>
        <v/>
      </c>
      <c r="AK82" s="64">
        <f>IF(BO82=1,IF(AI82&lt;=0,0,BP82*MAX(1,IF(G82&gt;0,AI82/G82,1))),AJ82*Q82)</f>
        <v/>
      </c>
      <c r="AL82" s="55">
        <f>AI82*F82</f>
        <v/>
      </c>
      <c r="AM82" s="55">
        <f>ROUNDUP(MAX(I82/IF(BS82&gt;0,BS82,MAX(0.1,N(Cockpit!$I$6))),BV82)/BN82,0)*BN82</f>
        <v/>
      </c>
      <c r="AN82" s="56">
        <f>IF(AK82&gt;0,I82/AK82,-1)</f>
        <v/>
      </c>
      <c r="AO82" s="56">
        <f>IF(AND(OR(BR82="L1",BR82="L23"),AK82&gt;0),SUMIFS($AK$7:$AK$1570,$BR$7:$BR$1570,BR82,$AN$7:$AN$1570,"&gt;"&amp;AN82)+SUMIFS($AK$7:$AK$1570,$BR$7:$BR$1570,BR82,$AN$7:$AN$1570,AN82,$BL$7:$BL$1570,"&lt;="&amp;BL82),"")</f>
        <v/>
      </c>
      <c r="AP82" s="65">
        <f>IF(AO82="",0,MAX(0,MIN(1,(IF(BR82="L1",Parameter!$K$5,Parameter!$K$6+Parameter!$K$7)-(AO82-AK82))/AK82)))</f>
        <v/>
      </c>
      <c r="AQ82" s="55">
        <f>IF(LEFT(Cockpit!$O$5,1)="A",G82,IF(BT82=1,BU82,IF(LEFT(Cockpit!$O$5,1)="B",AU82,MAX(AU82,G82))))</f>
        <v/>
      </c>
      <c r="AR82" s="55">
        <f>IF(BO82=1,0,ROUNDUP(AQ82/BN82,0))</f>
        <v/>
      </c>
      <c r="AS82" s="64">
        <f>IF(BO82=1,IF(AQ82&lt;=0,0,BP82*MAX(1,IF(G82&gt;0,AQ82/G82,1))),AR82*Q82)</f>
        <v/>
      </c>
      <c r="AT82" s="55">
        <f>AQ82*F82</f>
        <v/>
      </c>
      <c r="AU82" s="55">
        <f>ROUNDUP(MAX(I82/IF(BS82&gt;0,BS82,MAX(0.1,N(Cockpit!$O$6))),BV82)/BN82,0)*BN82</f>
        <v/>
      </c>
      <c r="AV82" s="56">
        <f>IF(AS82&gt;0,I82/AS82,-1)</f>
        <v/>
      </c>
      <c r="AW82" s="56">
        <f>IF(AND(OR(BR82="L1",BR82="L23"),AS82&gt;0),SUMIFS($AS$7:$AS$1570,$BR$7:$BR$1570,BR82,$AV$7:$AV$1570,"&gt;"&amp;AV82)+SUMIFS($AS$7:$AS$1570,$BR$7:$BR$1570,BR82,$AV$7:$AV$1570,AV82,$BL$7:$BL$1570,"&lt;="&amp;BL82),"")</f>
        <v/>
      </c>
      <c r="AX82" s="65">
        <f>IF(AW82="",0,MAX(0,MIN(1,(IF(BR82="L1",Parameter!$K$5,Parameter!$K$6+Parameter!$K$7)-(AW82-AS82))/AS82)))</f>
        <v/>
      </c>
      <c r="AY82" s="53">
        <f>IF(AC82&lt;=0,"",IF(BR82="Aussen","Aussenlager",IF(BR82="-","Nicht im Lift",IF(AH82&gt;=1,"Lift",IF(AH82&lt;=0,"Aussenlager","teilweise")))))</f>
        <v/>
      </c>
      <c r="AZ82" s="53">
        <f>IF(AK82&lt;=0,"",IF(BR82="Aussen","Aussenlager",IF(BR82="-","Nicht im Lift",IF(AP82&gt;=1,"Lift",IF(AP82&lt;=0,"Aussenlager","teilweise")))))</f>
        <v/>
      </c>
      <c r="BA82" s="53">
        <f>IF(AS82&lt;=0,"",IF(BR82="Aussen","Aussenlager",IF(BR82="-","Nicht im Lift",IF(AX82&gt;=1,"Lift",IF(AX82&lt;=0,"Aussenlager","teilweise")))))</f>
        <v/>
      </c>
      <c r="BB82" s="53">
        <f>IF(A82="","",IF(BK82=1,"Neu; ","")&amp;IF(AND(BK82=0,BF82&lt;0),"negativer Bestand (Export "&amp;BF82&amp;"); ","")&amp;IF(I82&lt;=0,"Kein Verbrauch; ","")&amp;IF(BO82=1,"Lose – Fläche geschätzt; ","")&amp;IF(G82&gt;AM82,"Überbestand "&amp;ROUND(G82-AM82,0)&amp;" Stk / CHF "&amp;ROUND((G82-AM82)*F82,0)&amp;"; ","")&amp;IF(AND(BT82=1,BU82&lt;BV82),"MAX &lt; MB+LG; ","")&amp;IF(AND(BZ82&gt;0,BY82*10&gt;BZ82),"zu hoch für Tablar; ","")&amp;IF(AND(BK82=0,OR(BT82=1,V82&lt;&gt;"",S82&lt;&gt;"",T82&lt;&gt;"",W82&lt;&gt;"")),"manuell übersteuert; ","")&amp;IF(AND(BO82=0,Q82=0),"Gebinde unbekannt; ","")&amp;IF(AND(BO82=0,N(T82)&lt;=0,N(P82)&lt;=0),"Menge pro Gebinde fehlt (Ist = 1 Gebinde); ","")&amp;BJ82)</f>
        <v/>
      </c>
      <c r="BC82" s="53" t="n"/>
      <c r="BD82" s="53" t="n"/>
      <c r="BE82" s="61" t="n"/>
      <c r="BF82" s="55" t="n">
        <v>15</v>
      </c>
      <c r="BG82" s="55" t="n">
        <v>13</v>
      </c>
      <c r="BH82" s="54" t="n">
        <v>3008.04</v>
      </c>
      <c r="BI82" s="55" t="n">
        <v>67</v>
      </c>
      <c r="BJ82" s="53" t="inlineStr">
        <is>
          <t>grosser Artikel &amp; nicht im KTL</t>
        </is>
      </c>
      <c r="BK82" s="58" t="n">
        <v>0</v>
      </c>
      <c r="BL82" s="58" t="n">
        <v>82</v>
      </c>
      <c r="BM82" s="53">
        <f>IF(S82&lt;&gt;"",UPPER(TRIM(S82)),IF(O82="","LOSE",O82))</f>
        <v/>
      </c>
      <c r="BN82" s="55">
        <f>IF(BM82="LOSE",1,IF(N(T82)&gt;0,T82,IF(N(P82)&gt;0,P82,MAX(1,G82))))</f>
        <v/>
      </c>
      <c r="BO82" s="58">
        <f>IF(BM82="LOSE",1,0)</f>
        <v/>
      </c>
      <c r="BP82" s="64">
        <f>IF(BO82=0,0,IF(N(R82)&gt;0,R82,IFERROR(VLOOKUP(D82,Parameter!$A$35:$C$64,3,0)+0,0)))</f>
        <v/>
      </c>
      <c r="BQ82" s="53">
        <f>IF(V82&lt;&gt;"",V82,U82)</f>
        <v/>
      </c>
      <c r="BR82" s="53">
        <f>IF(BQ82=1,"L1",IF(OR(BQ82=2,BQ82=3),"L23",IF(BQ82="Aussen","Aussen","-")))</f>
        <v/>
      </c>
      <c r="BS82" s="66">
        <f>IF(N(W82)&gt;0,W82,0)</f>
        <v/>
      </c>
      <c r="BT82" s="58">
        <f>IF(ISNUMBER(Z82),1,0)</f>
        <v/>
      </c>
      <c r="BU82" s="55">
        <f>N(Z82)</f>
        <v/>
      </c>
      <c r="BV82" s="55">
        <f>N(L82)+N(M82)</f>
        <v/>
      </c>
      <c r="BW82" s="55">
        <f>ROUNDUP(G82/BN82,0)</f>
        <v/>
      </c>
      <c r="BX82" s="55">
        <f>ROUNDUP(BU82/BN82,0)</f>
        <v/>
      </c>
      <c r="BY82" s="58">
        <f>IF(BO82=1,0,IFERROR(VLOOKUP(BM82,'Gebinde-Kategorie'!$A$5:$G$45,5,0)+0,0))</f>
        <v/>
      </c>
      <c r="BZ82" s="58">
        <f>IFERROR(IF(OR(BQ82=1,BQ82=2,BQ82=3),N(INDEX(Parameter!$I$5:$I$7,BQ82)),0),0)</f>
        <v/>
      </c>
    </row>
    <row r="83">
      <c r="A83" s="53" t="inlineStr">
        <is>
          <t>100423</t>
        </is>
      </c>
      <c r="B83" s="53" t="inlineStr">
        <is>
          <t>Verschlussstopfen</t>
        </is>
      </c>
      <c r="C83" s="53" t="inlineStr">
        <is>
          <t>F</t>
        </is>
      </c>
      <c r="D83" s="53" t="inlineStr">
        <is>
          <t>KTL</t>
        </is>
      </c>
      <c r="E83" s="53" t="inlineStr">
        <is>
          <t>C</t>
        </is>
      </c>
      <c r="F83" s="54" t="n">
        <v>30.36</v>
      </c>
      <c r="G83" s="55">
        <f>MAX(0,IF(Parameter!$B$20="Jahresanfang 2025 + Export",BG83+BF83,BF83))</f>
        <v/>
      </c>
      <c r="H83" s="55">
        <f>G83*F83</f>
        <v/>
      </c>
      <c r="I83" s="55">
        <f>BI83*Parameter!$B$18</f>
        <v/>
      </c>
      <c r="J83" s="56" t="n">
        <v>441.5</v>
      </c>
      <c r="K83" s="57" t="n">
        <v>2.609286523216308</v>
      </c>
      <c r="L83" s="55" t="n">
        <v>106</v>
      </c>
      <c r="M83" s="55" t="n">
        <v>400</v>
      </c>
      <c r="N83" s="58" t="n">
        <v>56</v>
      </c>
      <c r="O83" s="53" t="inlineStr">
        <is>
          <t>S41</t>
        </is>
      </c>
      <c r="P83" s="55" t="n">
        <v>550</v>
      </c>
      <c r="Q83" s="59">
        <f>IF(BO83=1,0,IFERROR(VLOOKUP(BM83,'Gebinde-Kategorie'!$A$5:$G$45,6,0)+0,0))</f>
        <v/>
      </c>
      <c r="R83" s="60" t="n"/>
      <c r="S83" s="61" t="n"/>
      <c r="T83" s="61" t="n"/>
      <c r="U83" s="53">
        <f>IF(A83="","",IF(IFERROR(VLOOKUP(D83,Parameter!$A$35:$C$64,2,0),"Nein")="2+3",IF(ISNUMBER(SEARCH("grosser Artikel",BJ83)),2,IFERROR(VLOOKUP(BM83,Parameter!$F$35:$G$64,2,0),2)),IF(OR(IFERROR(VLOOKUP(D83,Parameter!$A$35:$C$64,2,0),"Nein")="Nein",IFERROR(VLOOKUP(D83,Parameter!$A$35:$C$64,2,0),"Nein")=""),"-",VLOOKUP(D83,Parameter!$A$35:$C$64,2,0))))</f>
        <v/>
      </c>
      <c r="V83" s="61" t="n"/>
      <c r="W83" s="62" t="n"/>
      <c r="X83" s="55">
        <f>AM83</f>
        <v/>
      </c>
      <c r="Y83" s="55">
        <f>MAX(AM83,G83)</f>
        <v/>
      </c>
      <c r="Z83" s="63" t="n"/>
      <c r="AA83" s="55">
        <f>IF(LEFT(Cockpit!$C$5,1)="A",G83,IF(BT83=1,BU83,IF(LEFT(Cockpit!$C$5,1)="B",AE83,MAX(AE83,G83))))</f>
        <v/>
      </c>
      <c r="AB83" s="55">
        <f>IF(BO83=1,0,ROUNDUP(AA83/BN83,0))</f>
        <v/>
      </c>
      <c r="AC83" s="64">
        <f>IF(BO83=1,IF(AA83&lt;=0,0,BP83*MAX(1,IF(G83&gt;0,AA83/G83,1))),AB83*Q83)</f>
        <v/>
      </c>
      <c r="AD83" s="55">
        <f>AA83*F83</f>
        <v/>
      </c>
      <c r="AE83" s="55">
        <f>ROUNDUP(MAX(I83/IF(BS83&gt;0,BS83,MAX(0.1,N(Cockpit!$C$6))),BV83)/BN83,0)*BN83</f>
        <v/>
      </c>
      <c r="AF83" s="56">
        <f>IF(AC83&gt;0,I83/AC83,-1)</f>
        <v/>
      </c>
      <c r="AG83" s="56">
        <f>IF(AND(OR(BR83="L1",BR83="L23"),AC83&gt;0),SUMIFS($AC$7:$AC$1570,$BR$7:$BR$1570,BR83,$AF$7:$AF$1570,"&gt;"&amp;AF83)+SUMIFS($AC$7:$AC$1570,$BR$7:$BR$1570,BR83,$AF$7:$AF$1570,AF83,$BL$7:$BL$1570,"&lt;="&amp;BL83),"")</f>
        <v/>
      </c>
      <c r="AH83" s="65">
        <f>IF(AG83="",0,MAX(0,MIN(1,(IF(BR83="L1",Parameter!$K$5,Parameter!$K$6+Parameter!$K$7)-(AG83-AC83))/AC83)))</f>
        <v/>
      </c>
      <c r="AI83" s="55">
        <f>IF(LEFT(Cockpit!$I$5,1)="A",G83,IF(BT83=1,BU83,IF(LEFT(Cockpit!$I$5,1)="B",AM83,MAX(AM83,G83))))</f>
        <v/>
      </c>
      <c r="AJ83" s="55">
        <f>IF(BO83=1,0,ROUNDUP(AI83/BN83,0))</f>
        <v/>
      </c>
      <c r="AK83" s="64">
        <f>IF(BO83=1,IF(AI83&lt;=0,0,BP83*MAX(1,IF(G83&gt;0,AI83/G83,1))),AJ83*Q83)</f>
        <v/>
      </c>
      <c r="AL83" s="55">
        <f>AI83*F83</f>
        <v/>
      </c>
      <c r="AM83" s="55">
        <f>ROUNDUP(MAX(I83/IF(BS83&gt;0,BS83,MAX(0.1,N(Cockpit!$I$6))),BV83)/BN83,0)*BN83</f>
        <v/>
      </c>
      <c r="AN83" s="56">
        <f>IF(AK83&gt;0,I83/AK83,-1)</f>
        <v/>
      </c>
      <c r="AO83" s="56">
        <f>IF(AND(OR(BR83="L1",BR83="L23"),AK83&gt;0),SUMIFS($AK$7:$AK$1570,$BR$7:$BR$1570,BR83,$AN$7:$AN$1570,"&gt;"&amp;AN83)+SUMIFS($AK$7:$AK$1570,$BR$7:$BR$1570,BR83,$AN$7:$AN$1570,AN83,$BL$7:$BL$1570,"&lt;="&amp;BL83),"")</f>
        <v/>
      </c>
      <c r="AP83" s="65">
        <f>IF(AO83="",0,MAX(0,MIN(1,(IF(BR83="L1",Parameter!$K$5,Parameter!$K$6+Parameter!$K$7)-(AO83-AK83))/AK83)))</f>
        <v/>
      </c>
      <c r="AQ83" s="55">
        <f>IF(LEFT(Cockpit!$O$5,1)="A",G83,IF(BT83=1,BU83,IF(LEFT(Cockpit!$O$5,1)="B",AU83,MAX(AU83,G83))))</f>
        <v/>
      </c>
      <c r="AR83" s="55">
        <f>IF(BO83=1,0,ROUNDUP(AQ83/BN83,0))</f>
        <v/>
      </c>
      <c r="AS83" s="64">
        <f>IF(BO83=1,IF(AQ83&lt;=0,0,BP83*MAX(1,IF(G83&gt;0,AQ83/G83,1))),AR83*Q83)</f>
        <v/>
      </c>
      <c r="AT83" s="55">
        <f>AQ83*F83</f>
        <v/>
      </c>
      <c r="AU83" s="55">
        <f>ROUNDUP(MAX(I83/IF(BS83&gt;0,BS83,MAX(0.1,N(Cockpit!$O$6))),BV83)/BN83,0)*BN83</f>
        <v/>
      </c>
      <c r="AV83" s="56">
        <f>IF(AS83&gt;0,I83/AS83,-1)</f>
        <v/>
      </c>
      <c r="AW83" s="56">
        <f>IF(AND(OR(BR83="L1",BR83="L23"),AS83&gt;0),SUMIFS($AS$7:$AS$1570,$BR$7:$BR$1570,BR83,$AV$7:$AV$1570,"&gt;"&amp;AV83)+SUMIFS($AS$7:$AS$1570,$BR$7:$BR$1570,BR83,$AV$7:$AV$1570,AV83,$BL$7:$BL$1570,"&lt;="&amp;BL83),"")</f>
        <v/>
      </c>
      <c r="AX83" s="65">
        <f>IF(AW83="",0,MAX(0,MIN(1,(IF(BR83="L1",Parameter!$K$5,Parameter!$K$6+Parameter!$K$7)-(AW83-AS83))/AS83)))</f>
        <v/>
      </c>
      <c r="AY83" s="53">
        <f>IF(AC83&lt;=0,"",IF(BR83="Aussen","Aussenlager",IF(BR83="-","Nicht im Lift",IF(AH83&gt;=1,"Lift",IF(AH83&lt;=0,"Aussenlager","teilweise")))))</f>
        <v/>
      </c>
      <c r="AZ83" s="53">
        <f>IF(AK83&lt;=0,"",IF(BR83="Aussen","Aussenlager",IF(BR83="-","Nicht im Lift",IF(AP83&gt;=1,"Lift",IF(AP83&lt;=0,"Aussenlager","teilweise")))))</f>
        <v/>
      </c>
      <c r="BA83" s="53">
        <f>IF(AS83&lt;=0,"",IF(BR83="Aussen","Aussenlager",IF(BR83="-","Nicht im Lift",IF(AX83&gt;=1,"Lift",IF(AX83&lt;=0,"Aussenlager","teilweise")))))</f>
        <v/>
      </c>
      <c r="BB83" s="53">
        <f>IF(A83="","",IF(BK83=1,"Neu; ","")&amp;IF(AND(BK83=0,BF83&lt;0),"negativer Bestand (Export "&amp;BF83&amp;"); ","")&amp;IF(I83&lt;=0,"Kein Verbrauch; ","")&amp;IF(BO83=1,"Lose – Fläche geschätzt; ","")&amp;IF(G83&gt;AM83,"Überbestand "&amp;ROUND(G83-AM83,0)&amp;" Stk / CHF "&amp;ROUND((G83-AM83)*F83,0)&amp;"; ","")&amp;IF(AND(BT83=1,BU83&lt;BV83),"MAX &lt; MB+LG; ","")&amp;IF(AND(BZ83&gt;0,BY83*10&gt;BZ83),"zu hoch für Tablar; ","")&amp;IF(AND(BK83=0,OR(BT83=1,V83&lt;&gt;"",S83&lt;&gt;"",T83&lt;&gt;"",W83&lt;&gt;"")),"manuell übersteuert; ","")&amp;IF(AND(BO83=0,Q83=0),"Gebinde unbekannt; ","")&amp;IF(AND(BO83=0,N(T83)&lt;=0,N(P83)&lt;=0),"Menge pro Gebinde fehlt (Ist = 1 Gebinde); ","")&amp;BJ83)</f>
        <v/>
      </c>
      <c r="BC83" s="53" t="n"/>
      <c r="BD83" s="53" t="n"/>
      <c r="BE83" s="61" t="n"/>
      <c r="BF83" s="55" t="n">
        <v>94</v>
      </c>
      <c r="BG83" s="55" t="n">
        <v>138</v>
      </c>
      <c r="BH83" s="54" t="n">
        <v>2989.540000000019</v>
      </c>
      <c r="BI83" s="55" t="n">
        <v>1152</v>
      </c>
      <c r="BJ83" s="53" t="inlineStr"/>
      <c r="BK83" s="58" t="n">
        <v>0</v>
      </c>
      <c r="BL83" s="58" t="n">
        <v>83</v>
      </c>
      <c r="BM83" s="53">
        <f>IF(S83&lt;&gt;"",UPPER(TRIM(S83)),IF(O83="","LOSE",O83))</f>
        <v/>
      </c>
      <c r="BN83" s="55">
        <f>IF(BM83="LOSE",1,IF(N(T83)&gt;0,T83,IF(N(P83)&gt;0,P83,MAX(1,G83))))</f>
        <v/>
      </c>
      <c r="BO83" s="58">
        <f>IF(BM83="LOSE",1,0)</f>
        <v/>
      </c>
      <c r="BP83" s="64">
        <f>IF(BO83=0,0,IF(N(R83)&gt;0,R83,IFERROR(VLOOKUP(D83,Parameter!$A$35:$C$64,3,0)+0,0)))</f>
        <v/>
      </c>
      <c r="BQ83" s="53">
        <f>IF(V83&lt;&gt;"",V83,U83)</f>
        <v/>
      </c>
      <c r="BR83" s="53">
        <f>IF(BQ83=1,"L1",IF(OR(BQ83=2,BQ83=3),"L23",IF(BQ83="Aussen","Aussen","-")))</f>
        <v/>
      </c>
      <c r="BS83" s="66">
        <f>IF(N(W83)&gt;0,W83,0)</f>
        <v/>
      </c>
      <c r="BT83" s="58">
        <f>IF(ISNUMBER(Z83),1,0)</f>
        <v/>
      </c>
      <c r="BU83" s="55">
        <f>N(Z83)</f>
        <v/>
      </c>
      <c r="BV83" s="55">
        <f>N(L83)+N(M83)</f>
        <v/>
      </c>
      <c r="BW83" s="55">
        <f>ROUNDUP(G83/BN83,0)</f>
        <v/>
      </c>
      <c r="BX83" s="55">
        <f>ROUNDUP(BU83/BN83,0)</f>
        <v/>
      </c>
      <c r="BY83" s="58">
        <f>IF(BO83=1,0,IFERROR(VLOOKUP(BM83,'Gebinde-Kategorie'!$A$5:$G$45,5,0)+0,0))</f>
        <v/>
      </c>
      <c r="BZ83" s="58">
        <f>IFERROR(IF(OR(BQ83=1,BQ83=2,BQ83=3),N(INDEX(Parameter!$I$5:$I$7,BQ83)),0),0)</f>
        <v/>
      </c>
    </row>
    <row r="84">
      <c r="A84" s="53" t="inlineStr">
        <is>
          <t>106101</t>
        </is>
      </c>
      <c r="B84" s="53" t="inlineStr">
        <is>
          <t>Flammsperre</t>
        </is>
      </c>
      <c r="C84" s="53" t="inlineStr">
        <is>
          <t>F</t>
        </is>
      </c>
      <c r="D84" s="53" t="inlineStr">
        <is>
          <t>KTL</t>
        </is>
      </c>
      <c r="E84" s="53" t="inlineStr">
        <is>
          <t>C</t>
        </is>
      </c>
      <c r="F84" s="54" t="n">
        <v>58.75</v>
      </c>
      <c r="G84" s="55">
        <f>MAX(0,IF(Parameter!$B$20="Jahresanfang 2025 + Export",BG84+BF84,BF84))</f>
        <v/>
      </c>
      <c r="H84" s="55">
        <f>G84*F84</f>
        <v/>
      </c>
      <c r="I84" s="55">
        <f>BI84*Parameter!$B$18</f>
        <v/>
      </c>
      <c r="J84" s="56" t="n">
        <v>91</v>
      </c>
      <c r="K84" s="57" t="n">
        <v>3.923076923076923</v>
      </c>
      <c r="L84" s="55" t="n">
        <v>20</v>
      </c>
      <c r="M84" s="55" t="n">
        <v>80</v>
      </c>
      <c r="N84" s="58" t="n">
        <v>21</v>
      </c>
      <c r="O84" s="53" t="inlineStr">
        <is>
          <t>S52</t>
        </is>
      </c>
      <c r="P84" s="55" t="n">
        <v>109</v>
      </c>
      <c r="Q84" s="59">
        <f>IF(BO84=1,0,IFERROR(VLOOKUP(BM84,'Gebinde-Kategorie'!$A$5:$G$45,6,0)+0,0))</f>
        <v/>
      </c>
      <c r="R84" s="60" t="n"/>
      <c r="S84" s="61" t="n"/>
      <c r="T84" s="61" t="n"/>
      <c r="U84" s="53">
        <f>IF(A84="","",IF(IFERROR(VLOOKUP(D84,Parameter!$A$35:$C$64,2,0),"Nein")="2+3",IF(ISNUMBER(SEARCH("grosser Artikel",BJ84)),2,IFERROR(VLOOKUP(BM84,Parameter!$F$35:$G$64,2,0),2)),IF(OR(IFERROR(VLOOKUP(D84,Parameter!$A$35:$C$64,2,0),"Nein")="Nein",IFERROR(VLOOKUP(D84,Parameter!$A$35:$C$64,2,0),"Nein")=""),"-",VLOOKUP(D84,Parameter!$A$35:$C$64,2,0))))</f>
        <v/>
      </c>
      <c r="V84" s="61" t="n"/>
      <c r="W84" s="62" t="n"/>
      <c r="X84" s="55">
        <f>AM84</f>
        <v/>
      </c>
      <c r="Y84" s="55">
        <f>MAX(AM84,G84)</f>
        <v/>
      </c>
      <c r="Z84" s="63" t="n"/>
      <c r="AA84" s="55">
        <f>IF(LEFT(Cockpit!$C$5,1)="A",G84,IF(BT84=1,BU84,IF(LEFT(Cockpit!$C$5,1)="B",AE84,MAX(AE84,G84))))</f>
        <v/>
      </c>
      <c r="AB84" s="55">
        <f>IF(BO84=1,0,ROUNDUP(AA84/BN84,0))</f>
        <v/>
      </c>
      <c r="AC84" s="64">
        <f>IF(BO84=1,IF(AA84&lt;=0,0,BP84*MAX(1,IF(G84&gt;0,AA84/G84,1))),AB84*Q84)</f>
        <v/>
      </c>
      <c r="AD84" s="55">
        <f>AA84*F84</f>
        <v/>
      </c>
      <c r="AE84" s="55">
        <f>ROUNDUP(MAX(I84/IF(BS84&gt;0,BS84,MAX(0.1,N(Cockpit!$C$6))),BV84)/BN84,0)*BN84</f>
        <v/>
      </c>
      <c r="AF84" s="56">
        <f>IF(AC84&gt;0,I84/AC84,-1)</f>
        <v/>
      </c>
      <c r="AG84" s="56">
        <f>IF(AND(OR(BR84="L1",BR84="L23"),AC84&gt;0),SUMIFS($AC$7:$AC$1570,$BR$7:$BR$1570,BR84,$AF$7:$AF$1570,"&gt;"&amp;AF84)+SUMIFS($AC$7:$AC$1570,$BR$7:$BR$1570,BR84,$AF$7:$AF$1570,AF84,$BL$7:$BL$1570,"&lt;="&amp;BL84),"")</f>
        <v/>
      </c>
      <c r="AH84" s="65">
        <f>IF(AG84="",0,MAX(0,MIN(1,(IF(BR84="L1",Parameter!$K$5,Parameter!$K$6+Parameter!$K$7)-(AG84-AC84))/AC84)))</f>
        <v/>
      </c>
      <c r="AI84" s="55">
        <f>IF(LEFT(Cockpit!$I$5,1)="A",G84,IF(BT84=1,BU84,IF(LEFT(Cockpit!$I$5,1)="B",AM84,MAX(AM84,G84))))</f>
        <v/>
      </c>
      <c r="AJ84" s="55">
        <f>IF(BO84=1,0,ROUNDUP(AI84/BN84,0))</f>
        <v/>
      </c>
      <c r="AK84" s="64">
        <f>IF(BO84=1,IF(AI84&lt;=0,0,BP84*MAX(1,IF(G84&gt;0,AI84/G84,1))),AJ84*Q84)</f>
        <v/>
      </c>
      <c r="AL84" s="55">
        <f>AI84*F84</f>
        <v/>
      </c>
      <c r="AM84" s="55">
        <f>ROUNDUP(MAX(I84/IF(BS84&gt;0,BS84,MAX(0.1,N(Cockpit!$I$6))),BV84)/BN84,0)*BN84</f>
        <v/>
      </c>
      <c r="AN84" s="56">
        <f>IF(AK84&gt;0,I84/AK84,-1)</f>
        <v/>
      </c>
      <c r="AO84" s="56">
        <f>IF(AND(OR(BR84="L1",BR84="L23"),AK84&gt;0),SUMIFS($AK$7:$AK$1570,$BR$7:$BR$1570,BR84,$AN$7:$AN$1570,"&gt;"&amp;AN84)+SUMIFS($AK$7:$AK$1570,$BR$7:$BR$1570,BR84,$AN$7:$AN$1570,AN84,$BL$7:$BL$1570,"&lt;="&amp;BL84),"")</f>
        <v/>
      </c>
      <c r="AP84" s="65">
        <f>IF(AO84="",0,MAX(0,MIN(1,(IF(BR84="L1",Parameter!$K$5,Parameter!$K$6+Parameter!$K$7)-(AO84-AK84))/AK84)))</f>
        <v/>
      </c>
      <c r="AQ84" s="55">
        <f>IF(LEFT(Cockpit!$O$5,1)="A",G84,IF(BT84=1,BU84,IF(LEFT(Cockpit!$O$5,1)="B",AU84,MAX(AU84,G84))))</f>
        <v/>
      </c>
      <c r="AR84" s="55">
        <f>IF(BO84=1,0,ROUNDUP(AQ84/BN84,0))</f>
        <v/>
      </c>
      <c r="AS84" s="64">
        <f>IF(BO84=1,IF(AQ84&lt;=0,0,BP84*MAX(1,IF(G84&gt;0,AQ84/G84,1))),AR84*Q84)</f>
        <v/>
      </c>
      <c r="AT84" s="55">
        <f>AQ84*F84</f>
        <v/>
      </c>
      <c r="AU84" s="55">
        <f>ROUNDUP(MAX(I84/IF(BS84&gt;0,BS84,MAX(0.1,N(Cockpit!$O$6))),BV84)/BN84,0)*BN84</f>
        <v/>
      </c>
      <c r="AV84" s="56">
        <f>IF(AS84&gt;0,I84/AS84,-1)</f>
        <v/>
      </c>
      <c r="AW84" s="56">
        <f>IF(AND(OR(BR84="L1",BR84="L23"),AS84&gt;0),SUMIFS($AS$7:$AS$1570,$BR$7:$BR$1570,BR84,$AV$7:$AV$1570,"&gt;"&amp;AV84)+SUMIFS($AS$7:$AS$1570,$BR$7:$BR$1570,BR84,$AV$7:$AV$1570,AV84,$BL$7:$BL$1570,"&lt;="&amp;BL84),"")</f>
        <v/>
      </c>
      <c r="AX84" s="65">
        <f>IF(AW84="",0,MAX(0,MIN(1,(IF(BR84="L1",Parameter!$K$5,Parameter!$K$6+Parameter!$K$7)-(AW84-AS84))/AS84)))</f>
        <v/>
      </c>
      <c r="AY84" s="53">
        <f>IF(AC84&lt;=0,"",IF(BR84="Aussen","Aussenlager",IF(BR84="-","Nicht im Lift",IF(AH84&gt;=1,"Lift",IF(AH84&lt;=0,"Aussenlager","teilweise")))))</f>
        <v/>
      </c>
      <c r="AZ84" s="53">
        <f>IF(AK84&lt;=0,"",IF(BR84="Aussen","Aussenlager",IF(BR84="-","Nicht im Lift",IF(AP84&gt;=1,"Lift",IF(AP84&lt;=0,"Aussenlager","teilweise")))))</f>
        <v/>
      </c>
      <c r="BA84" s="53">
        <f>IF(AS84&lt;=0,"",IF(BR84="Aussen","Aussenlager",IF(BR84="-","Nicht im Lift",IF(AX84&gt;=1,"Lift",IF(AX84&lt;=0,"Aussenlager","teilweise")))))</f>
        <v/>
      </c>
      <c r="BB84" s="53">
        <f>IF(A84="","",IF(BK84=1,"Neu; ","")&amp;IF(AND(BK84=0,BF84&lt;0),"negativer Bestand (Export "&amp;BF84&amp;"); ","")&amp;IF(I84&lt;=0,"Kein Verbrauch; ","")&amp;IF(BO84=1,"Lose – Fläche geschätzt; ","")&amp;IF(G84&gt;AM84,"Überbestand "&amp;ROUND(G84-AM84,0)&amp;" Stk / CHF "&amp;ROUND((G84-AM84)*F84,0)&amp;"; ","")&amp;IF(AND(BT84=1,BU84&lt;BV84),"MAX &lt; MB+LG; ","")&amp;IF(AND(BZ84&gt;0,BY84*10&gt;BZ84),"zu hoch für Tablar; ","")&amp;IF(AND(BK84=0,OR(BT84=1,V84&lt;&gt;"",S84&lt;&gt;"",T84&lt;&gt;"",W84&lt;&gt;"")),"manuell übersteuert; ","")&amp;IF(AND(BO84=0,Q84=0),"Gebinde unbekannt; ","")&amp;IF(AND(BO84=0,N(T84)&lt;=0,N(P84)&lt;=0),"Menge pro Gebinde fehlt (Ist = 1 Gebinde); ","")&amp;BJ84)</f>
        <v/>
      </c>
      <c r="BC84" s="53" t="n"/>
      <c r="BD84" s="53" t="n"/>
      <c r="BE84" s="61" t="n"/>
      <c r="BF84" s="55" t="n">
        <v>50</v>
      </c>
      <c r="BG84" s="55" t="n">
        <v>111</v>
      </c>
      <c r="BH84" s="54" t="n">
        <v>2976.349999999997</v>
      </c>
      <c r="BI84" s="55" t="n">
        <v>357</v>
      </c>
      <c r="BJ84" s="53" t="inlineStr"/>
      <c r="BK84" s="58" t="n">
        <v>0</v>
      </c>
      <c r="BL84" s="58" t="n">
        <v>84</v>
      </c>
      <c r="BM84" s="53">
        <f>IF(S84&lt;&gt;"",UPPER(TRIM(S84)),IF(O84="","LOSE",O84))</f>
        <v/>
      </c>
      <c r="BN84" s="55">
        <f>IF(BM84="LOSE",1,IF(N(T84)&gt;0,T84,IF(N(P84)&gt;0,P84,MAX(1,G84))))</f>
        <v/>
      </c>
      <c r="BO84" s="58">
        <f>IF(BM84="LOSE",1,0)</f>
        <v/>
      </c>
      <c r="BP84" s="64">
        <f>IF(BO84=0,0,IF(N(R84)&gt;0,R84,IFERROR(VLOOKUP(D84,Parameter!$A$35:$C$64,3,0)+0,0)))</f>
        <v/>
      </c>
      <c r="BQ84" s="53">
        <f>IF(V84&lt;&gt;"",V84,U84)</f>
        <v/>
      </c>
      <c r="BR84" s="53">
        <f>IF(BQ84=1,"L1",IF(OR(BQ84=2,BQ84=3),"L23",IF(BQ84="Aussen","Aussen","-")))</f>
        <v/>
      </c>
      <c r="BS84" s="66">
        <f>IF(N(W84)&gt;0,W84,0)</f>
        <v/>
      </c>
      <c r="BT84" s="58">
        <f>IF(ISNUMBER(Z84),1,0)</f>
        <v/>
      </c>
      <c r="BU84" s="55">
        <f>N(Z84)</f>
        <v/>
      </c>
      <c r="BV84" s="55">
        <f>N(L84)+N(M84)</f>
        <v/>
      </c>
      <c r="BW84" s="55">
        <f>ROUNDUP(G84/BN84,0)</f>
        <v/>
      </c>
      <c r="BX84" s="55">
        <f>ROUNDUP(BU84/BN84,0)</f>
        <v/>
      </c>
      <c r="BY84" s="58">
        <f>IF(BO84=1,0,IFERROR(VLOOKUP(BM84,'Gebinde-Kategorie'!$A$5:$G$45,5,0)+0,0))</f>
        <v/>
      </c>
      <c r="BZ84" s="58">
        <f>IFERROR(IF(OR(BQ84=1,BQ84=2,BQ84=3),N(INDEX(Parameter!$I$5:$I$7,BQ84)),0),0)</f>
        <v/>
      </c>
    </row>
    <row r="85">
      <c r="A85" s="53" t="inlineStr">
        <is>
          <t>108121</t>
        </is>
      </c>
      <c r="B85" s="53" t="inlineStr">
        <is>
          <t>Kabel Spülluftmodul</t>
        </is>
      </c>
      <c r="C85" s="53" t="inlineStr">
        <is>
          <t>F</t>
        </is>
      </c>
      <c r="D85" s="53" t="inlineStr">
        <is>
          <t>PAL</t>
        </is>
      </c>
      <c r="E85" s="53" t="inlineStr">
        <is>
          <t>C</t>
        </is>
      </c>
      <c r="F85" s="54" t="n">
        <v>249.96</v>
      </c>
      <c r="G85" s="55">
        <f>MAX(0,IF(Parameter!$B$20="Jahresanfang 2025 + Export",BG85+BF85,BF85))</f>
        <v/>
      </c>
      <c r="H85" s="55">
        <f>G85*F85</f>
        <v/>
      </c>
      <c r="I85" s="55">
        <f>BI85*Parameter!$B$18</f>
        <v/>
      </c>
      <c r="J85" s="56" t="n">
        <v>22.5</v>
      </c>
      <c r="K85" s="57" t="n">
        <v>2.755555555555556</v>
      </c>
      <c r="L85" s="55" t="n">
        <v>4</v>
      </c>
      <c r="M85" s="55" t="n">
        <v>20</v>
      </c>
      <c r="N85" s="58" t="n">
        <v>21</v>
      </c>
      <c r="O85" s="53" t="inlineStr">
        <is>
          <t>S72</t>
        </is>
      </c>
      <c r="P85" s="55" t="n">
        <v>31</v>
      </c>
      <c r="Q85" s="59">
        <f>IF(BO85=1,0,IFERROR(VLOOKUP(BM85,'Gebinde-Kategorie'!$A$5:$G$45,6,0)+0,0))</f>
        <v/>
      </c>
      <c r="R85" s="60" t="n"/>
      <c r="S85" s="61" t="n"/>
      <c r="T85" s="61" t="n"/>
      <c r="U85" s="53">
        <f>IF(A85="","",IF(IFERROR(VLOOKUP(D85,Parameter!$A$35:$C$64,2,0),"Nein")="2+3",IF(ISNUMBER(SEARCH("grosser Artikel",BJ85)),2,IFERROR(VLOOKUP(BM85,Parameter!$F$35:$G$64,2,0),2)),IF(OR(IFERROR(VLOOKUP(D85,Parameter!$A$35:$C$64,2,0),"Nein")="Nein",IFERROR(VLOOKUP(D85,Parameter!$A$35:$C$64,2,0),"Nein")=""),"-",VLOOKUP(D85,Parameter!$A$35:$C$64,2,0))))</f>
        <v/>
      </c>
      <c r="V85" s="61" t="n"/>
      <c r="W85" s="62" t="n"/>
      <c r="X85" s="55">
        <f>AM85</f>
        <v/>
      </c>
      <c r="Y85" s="55">
        <f>MAX(AM85,G85)</f>
        <v/>
      </c>
      <c r="Z85" s="63" t="n"/>
      <c r="AA85" s="55">
        <f>IF(LEFT(Cockpit!$C$5,1)="A",G85,IF(BT85=1,BU85,IF(LEFT(Cockpit!$C$5,1)="B",AE85,MAX(AE85,G85))))</f>
        <v/>
      </c>
      <c r="AB85" s="55">
        <f>IF(BO85=1,0,ROUNDUP(AA85/BN85,0))</f>
        <v/>
      </c>
      <c r="AC85" s="64">
        <f>IF(BO85=1,IF(AA85&lt;=0,0,BP85*MAX(1,IF(G85&gt;0,AA85/G85,1))),AB85*Q85)</f>
        <v/>
      </c>
      <c r="AD85" s="55">
        <f>AA85*F85</f>
        <v/>
      </c>
      <c r="AE85" s="55">
        <f>ROUNDUP(MAX(I85/IF(BS85&gt;0,BS85,MAX(0.1,N(Cockpit!$C$6))),BV85)/BN85,0)*BN85</f>
        <v/>
      </c>
      <c r="AF85" s="56">
        <f>IF(AC85&gt;0,I85/AC85,-1)</f>
        <v/>
      </c>
      <c r="AG85" s="56">
        <f>IF(AND(OR(BR85="L1",BR85="L23"),AC85&gt;0),SUMIFS($AC$7:$AC$1570,$BR$7:$BR$1570,BR85,$AF$7:$AF$1570,"&gt;"&amp;AF85)+SUMIFS($AC$7:$AC$1570,$BR$7:$BR$1570,BR85,$AF$7:$AF$1570,AF85,$BL$7:$BL$1570,"&lt;="&amp;BL85),"")</f>
        <v/>
      </c>
      <c r="AH85" s="65">
        <f>IF(AG85="",0,MAX(0,MIN(1,(IF(BR85="L1",Parameter!$K$5,Parameter!$K$6+Parameter!$K$7)-(AG85-AC85))/AC85)))</f>
        <v/>
      </c>
      <c r="AI85" s="55">
        <f>IF(LEFT(Cockpit!$I$5,1)="A",G85,IF(BT85=1,BU85,IF(LEFT(Cockpit!$I$5,1)="B",AM85,MAX(AM85,G85))))</f>
        <v/>
      </c>
      <c r="AJ85" s="55">
        <f>IF(BO85=1,0,ROUNDUP(AI85/BN85,0))</f>
        <v/>
      </c>
      <c r="AK85" s="64">
        <f>IF(BO85=1,IF(AI85&lt;=0,0,BP85*MAX(1,IF(G85&gt;0,AI85/G85,1))),AJ85*Q85)</f>
        <v/>
      </c>
      <c r="AL85" s="55">
        <f>AI85*F85</f>
        <v/>
      </c>
      <c r="AM85" s="55">
        <f>ROUNDUP(MAX(I85/IF(BS85&gt;0,BS85,MAX(0.1,N(Cockpit!$I$6))),BV85)/BN85,0)*BN85</f>
        <v/>
      </c>
      <c r="AN85" s="56">
        <f>IF(AK85&gt;0,I85/AK85,-1)</f>
        <v/>
      </c>
      <c r="AO85" s="56">
        <f>IF(AND(OR(BR85="L1",BR85="L23"),AK85&gt;0),SUMIFS($AK$7:$AK$1570,$BR$7:$BR$1570,BR85,$AN$7:$AN$1570,"&gt;"&amp;AN85)+SUMIFS($AK$7:$AK$1570,$BR$7:$BR$1570,BR85,$AN$7:$AN$1570,AN85,$BL$7:$BL$1570,"&lt;="&amp;BL85),"")</f>
        <v/>
      </c>
      <c r="AP85" s="65">
        <f>IF(AO85="",0,MAX(0,MIN(1,(IF(BR85="L1",Parameter!$K$5,Parameter!$K$6+Parameter!$K$7)-(AO85-AK85))/AK85)))</f>
        <v/>
      </c>
      <c r="AQ85" s="55">
        <f>IF(LEFT(Cockpit!$O$5,1)="A",G85,IF(BT85=1,BU85,IF(LEFT(Cockpit!$O$5,1)="B",AU85,MAX(AU85,G85))))</f>
        <v/>
      </c>
      <c r="AR85" s="55">
        <f>IF(BO85=1,0,ROUNDUP(AQ85/BN85,0))</f>
        <v/>
      </c>
      <c r="AS85" s="64">
        <f>IF(BO85=1,IF(AQ85&lt;=0,0,BP85*MAX(1,IF(G85&gt;0,AQ85/G85,1))),AR85*Q85)</f>
        <v/>
      </c>
      <c r="AT85" s="55">
        <f>AQ85*F85</f>
        <v/>
      </c>
      <c r="AU85" s="55">
        <f>ROUNDUP(MAX(I85/IF(BS85&gt;0,BS85,MAX(0.1,N(Cockpit!$O$6))),BV85)/BN85,0)*BN85</f>
        <v/>
      </c>
      <c r="AV85" s="56">
        <f>IF(AS85&gt;0,I85/AS85,-1)</f>
        <v/>
      </c>
      <c r="AW85" s="56">
        <f>IF(AND(OR(BR85="L1",BR85="L23"),AS85&gt;0),SUMIFS($AS$7:$AS$1570,$BR$7:$BR$1570,BR85,$AV$7:$AV$1570,"&gt;"&amp;AV85)+SUMIFS($AS$7:$AS$1570,$BR$7:$BR$1570,BR85,$AV$7:$AV$1570,AV85,$BL$7:$BL$1570,"&lt;="&amp;BL85),"")</f>
        <v/>
      </c>
      <c r="AX85" s="65">
        <f>IF(AW85="",0,MAX(0,MIN(1,(IF(BR85="L1",Parameter!$K$5,Parameter!$K$6+Parameter!$K$7)-(AW85-AS85))/AS85)))</f>
        <v/>
      </c>
      <c r="AY85" s="53">
        <f>IF(AC85&lt;=0,"",IF(BR85="Aussen","Aussenlager",IF(BR85="-","Nicht im Lift",IF(AH85&gt;=1,"Lift",IF(AH85&lt;=0,"Aussenlager","teilweise")))))</f>
        <v/>
      </c>
      <c r="AZ85" s="53">
        <f>IF(AK85&lt;=0,"",IF(BR85="Aussen","Aussenlager",IF(BR85="-","Nicht im Lift",IF(AP85&gt;=1,"Lift",IF(AP85&lt;=0,"Aussenlager","teilweise")))))</f>
        <v/>
      </c>
      <c r="BA85" s="53">
        <f>IF(AS85&lt;=0,"",IF(BR85="Aussen","Aussenlager",IF(BR85="-","Nicht im Lift",IF(AX85&gt;=1,"Lift",IF(AX85&lt;=0,"Aussenlager","teilweise")))))</f>
        <v/>
      </c>
      <c r="BB85" s="53">
        <f>IF(A85="","",IF(BK85=1,"Neu; ","")&amp;IF(AND(BK85=0,BF85&lt;0),"negativer Bestand (Export "&amp;BF85&amp;"); ","")&amp;IF(I85&lt;=0,"Kein Verbrauch; ","")&amp;IF(BO85=1,"Lose – Fläche geschätzt; ","")&amp;IF(G85&gt;AM85,"Überbestand "&amp;ROUND(G85-AM85,0)&amp;" Stk / CHF "&amp;ROUND((G85-AM85)*F85,0)&amp;"; ","")&amp;IF(AND(BT85=1,BU85&lt;BV85),"MAX &lt; MB+LG; ","")&amp;IF(AND(BZ85&gt;0,BY85*10&gt;BZ85),"zu hoch für Tablar; ","")&amp;IF(AND(BK85=0,OR(BT85=1,V85&lt;&gt;"",S85&lt;&gt;"",T85&lt;&gt;"",W85&lt;&gt;"")),"manuell übersteuert; ","")&amp;IF(AND(BO85=0,Q85=0),"Gebinde unbekannt; ","")&amp;IF(AND(BO85=0,N(T85)&lt;=0,N(P85)&lt;=0),"Menge pro Gebinde fehlt (Ist = 1 Gebinde); ","")&amp;BJ85)</f>
        <v/>
      </c>
      <c r="BC85" s="53" t="n"/>
      <c r="BD85" s="53" t="n"/>
      <c r="BE85" s="61" t="n"/>
      <c r="BF85" s="55" t="n">
        <v>15</v>
      </c>
      <c r="BG85" s="55" t="n">
        <v>14</v>
      </c>
      <c r="BH85" s="54" t="n">
        <v>2968.339999999998</v>
      </c>
      <c r="BI85" s="55" t="n">
        <v>62</v>
      </c>
      <c r="BJ85" s="53" t="inlineStr">
        <is>
          <t>grosser Artikel &amp; nicht im KTL</t>
        </is>
      </c>
      <c r="BK85" s="58" t="n">
        <v>0</v>
      </c>
      <c r="BL85" s="58" t="n">
        <v>85</v>
      </c>
      <c r="BM85" s="53">
        <f>IF(S85&lt;&gt;"",UPPER(TRIM(S85)),IF(O85="","LOSE",O85))</f>
        <v/>
      </c>
      <c r="BN85" s="55">
        <f>IF(BM85="LOSE",1,IF(N(T85)&gt;0,T85,IF(N(P85)&gt;0,P85,MAX(1,G85))))</f>
        <v/>
      </c>
      <c r="BO85" s="58">
        <f>IF(BM85="LOSE",1,0)</f>
        <v/>
      </c>
      <c r="BP85" s="64">
        <f>IF(BO85=0,0,IF(N(R85)&gt;0,R85,IFERROR(VLOOKUP(D85,Parameter!$A$35:$C$64,3,0)+0,0)))</f>
        <v/>
      </c>
      <c r="BQ85" s="53">
        <f>IF(V85&lt;&gt;"",V85,U85)</f>
        <v/>
      </c>
      <c r="BR85" s="53">
        <f>IF(BQ85=1,"L1",IF(OR(BQ85=2,BQ85=3),"L23",IF(BQ85="Aussen","Aussen","-")))</f>
        <v/>
      </c>
      <c r="BS85" s="66">
        <f>IF(N(W85)&gt;0,W85,0)</f>
        <v/>
      </c>
      <c r="BT85" s="58">
        <f>IF(ISNUMBER(Z85),1,0)</f>
        <v/>
      </c>
      <c r="BU85" s="55">
        <f>N(Z85)</f>
        <v/>
      </c>
      <c r="BV85" s="55">
        <f>N(L85)+N(M85)</f>
        <v/>
      </c>
      <c r="BW85" s="55">
        <f>ROUNDUP(G85/BN85,0)</f>
        <v/>
      </c>
      <c r="BX85" s="55">
        <f>ROUNDUP(BU85/BN85,0)</f>
        <v/>
      </c>
      <c r="BY85" s="58">
        <f>IF(BO85=1,0,IFERROR(VLOOKUP(BM85,'Gebinde-Kategorie'!$A$5:$G$45,5,0)+0,0))</f>
        <v/>
      </c>
      <c r="BZ85" s="58">
        <f>IFERROR(IF(OR(BQ85=1,BQ85=2,BQ85=3),N(INDEX(Parameter!$I$5:$I$7,BQ85)),0),0)</f>
        <v/>
      </c>
    </row>
    <row r="86">
      <c r="A86" s="53" t="inlineStr">
        <is>
          <t>110822</t>
        </is>
      </c>
      <c r="B86" s="53" t="inlineStr">
        <is>
          <t>Kolben SPGr10 T2</t>
        </is>
      </c>
      <c r="C86" s="53" t="inlineStr">
        <is>
          <t>F</t>
        </is>
      </c>
      <c r="D86" s="53" t="inlineStr">
        <is>
          <t>PAL</t>
        </is>
      </c>
      <c r="E86" s="53" t="inlineStr">
        <is>
          <t>C</t>
        </is>
      </c>
      <c r="F86" s="54" t="n">
        <v>423.8</v>
      </c>
      <c r="G86" s="55">
        <f>MAX(0,IF(Parameter!$B$20="Jahresanfang 2025 + Export",BG86+BF86,BF86))</f>
        <v/>
      </c>
      <c r="H86" s="55">
        <f>G86*F86</f>
        <v/>
      </c>
      <c r="I86" s="55">
        <f>BI86*Parameter!$B$18</f>
        <v/>
      </c>
      <c r="J86" s="56" t="n">
        <v>14.5</v>
      </c>
      <c r="K86" s="57" t="n">
        <v>2.206896551724138</v>
      </c>
      <c r="L86" s="55" t="n">
        <v>5</v>
      </c>
      <c r="M86" s="55" t="n">
        <v>15</v>
      </c>
      <c r="N86" s="58" t="n">
        <v>63</v>
      </c>
      <c r="O86" s="53" t="inlineStr">
        <is>
          <t>S71</t>
        </is>
      </c>
      <c r="P86" s="55" t="n">
        <v>22</v>
      </c>
      <c r="Q86" s="59">
        <f>IF(BO86=1,0,IFERROR(VLOOKUP(BM86,'Gebinde-Kategorie'!$A$5:$G$45,6,0)+0,0))</f>
        <v/>
      </c>
      <c r="R86" s="60" t="n"/>
      <c r="S86" s="61" t="n"/>
      <c r="T86" s="61" t="n"/>
      <c r="U86" s="53">
        <f>IF(A86="","",IF(IFERROR(VLOOKUP(D86,Parameter!$A$35:$C$64,2,0),"Nein")="2+3",IF(ISNUMBER(SEARCH("grosser Artikel",BJ86)),2,IFERROR(VLOOKUP(BM86,Parameter!$F$35:$G$64,2,0),2)),IF(OR(IFERROR(VLOOKUP(D86,Parameter!$A$35:$C$64,2,0),"Nein")="Nein",IFERROR(VLOOKUP(D86,Parameter!$A$35:$C$64,2,0),"Nein")=""),"-",VLOOKUP(D86,Parameter!$A$35:$C$64,2,0))))</f>
        <v/>
      </c>
      <c r="V86" s="61" t="n"/>
      <c r="W86" s="62" t="n"/>
      <c r="X86" s="55">
        <f>AM86</f>
        <v/>
      </c>
      <c r="Y86" s="55">
        <f>MAX(AM86,G86)</f>
        <v/>
      </c>
      <c r="Z86" s="63" t="n"/>
      <c r="AA86" s="55">
        <f>IF(LEFT(Cockpit!$C$5,1)="A",G86,IF(BT86=1,BU86,IF(LEFT(Cockpit!$C$5,1)="B",AE86,MAX(AE86,G86))))</f>
        <v/>
      </c>
      <c r="AB86" s="55">
        <f>IF(BO86=1,0,ROUNDUP(AA86/BN86,0))</f>
        <v/>
      </c>
      <c r="AC86" s="64">
        <f>IF(BO86=1,IF(AA86&lt;=0,0,BP86*MAX(1,IF(G86&gt;0,AA86/G86,1))),AB86*Q86)</f>
        <v/>
      </c>
      <c r="AD86" s="55">
        <f>AA86*F86</f>
        <v/>
      </c>
      <c r="AE86" s="55">
        <f>ROUNDUP(MAX(I86/IF(BS86&gt;0,BS86,MAX(0.1,N(Cockpit!$C$6))),BV86)/BN86,0)*BN86</f>
        <v/>
      </c>
      <c r="AF86" s="56">
        <f>IF(AC86&gt;0,I86/AC86,-1)</f>
        <v/>
      </c>
      <c r="AG86" s="56">
        <f>IF(AND(OR(BR86="L1",BR86="L23"),AC86&gt;0),SUMIFS($AC$7:$AC$1570,$BR$7:$BR$1570,BR86,$AF$7:$AF$1570,"&gt;"&amp;AF86)+SUMIFS($AC$7:$AC$1570,$BR$7:$BR$1570,BR86,$AF$7:$AF$1570,AF86,$BL$7:$BL$1570,"&lt;="&amp;BL86),"")</f>
        <v/>
      </c>
      <c r="AH86" s="65">
        <f>IF(AG86="",0,MAX(0,MIN(1,(IF(BR86="L1",Parameter!$K$5,Parameter!$K$6+Parameter!$K$7)-(AG86-AC86))/AC86)))</f>
        <v/>
      </c>
      <c r="AI86" s="55">
        <f>IF(LEFT(Cockpit!$I$5,1)="A",G86,IF(BT86=1,BU86,IF(LEFT(Cockpit!$I$5,1)="B",AM86,MAX(AM86,G86))))</f>
        <v/>
      </c>
      <c r="AJ86" s="55">
        <f>IF(BO86=1,0,ROUNDUP(AI86/BN86,0))</f>
        <v/>
      </c>
      <c r="AK86" s="64">
        <f>IF(BO86=1,IF(AI86&lt;=0,0,BP86*MAX(1,IF(G86&gt;0,AI86/G86,1))),AJ86*Q86)</f>
        <v/>
      </c>
      <c r="AL86" s="55">
        <f>AI86*F86</f>
        <v/>
      </c>
      <c r="AM86" s="55">
        <f>ROUNDUP(MAX(I86/IF(BS86&gt;0,BS86,MAX(0.1,N(Cockpit!$I$6))),BV86)/BN86,0)*BN86</f>
        <v/>
      </c>
      <c r="AN86" s="56">
        <f>IF(AK86&gt;0,I86/AK86,-1)</f>
        <v/>
      </c>
      <c r="AO86" s="56">
        <f>IF(AND(OR(BR86="L1",BR86="L23"),AK86&gt;0),SUMIFS($AK$7:$AK$1570,$BR$7:$BR$1570,BR86,$AN$7:$AN$1570,"&gt;"&amp;AN86)+SUMIFS($AK$7:$AK$1570,$BR$7:$BR$1570,BR86,$AN$7:$AN$1570,AN86,$BL$7:$BL$1570,"&lt;="&amp;BL86),"")</f>
        <v/>
      </c>
      <c r="AP86" s="65">
        <f>IF(AO86="",0,MAX(0,MIN(1,(IF(BR86="L1",Parameter!$K$5,Parameter!$K$6+Parameter!$K$7)-(AO86-AK86))/AK86)))</f>
        <v/>
      </c>
      <c r="AQ86" s="55">
        <f>IF(LEFT(Cockpit!$O$5,1)="A",G86,IF(BT86=1,BU86,IF(LEFT(Cockpit!$O$5,1)="B",AU86,MAX(AU86,G86))))</f>
        <v/>
      </c>
      <c r="AR86" s="55">
        <f>IF(BO86=1,0,ROUNDUP(AQ86/BN86,0))</f>
        <v/>
      </c>
      <c r="AS86" s="64">
        <f>IF(BO86=1,IF(AQ86&lt;=0,0,BP86*MAX(1,IF(G86&gt;0,AQ86/G86,1))),AR86*Q86)</f>
        <v/>
      </c>
      <c r="AT86" s="55">
        <f>AQ86*F86</f>
        <v/>
      </c>
      <c r="AU86" s="55">
        <f>ROUNDUP(MAX(I86/IF(BS86&gt;0,BS86,MAX(0.1,N(Cockpit!$O$6))),BV86)/BN86,0)*BN86</f>
        <v/>
      </c>
      <c r="AV86" s="56">
        <f>IF(AS86&gt;0,I86/AS86,-1)</f>
        <v/>
      </c>
      <c r="AW86" s="56">
        <f>IF(AND(OR(BR86="L1",BR86="L23"),AS86&gt;0),SUMIFS($AS$7:$AS$1570,$BR$7:$BR$1570,BR86,$AV$7:$AV$1570,"&gt;"&amp;AV86)+SUMIFS($AS$7:$AS$1570,$BR$7:$BR$1570,BR86,$AV$7:$AV$1570,AV86,$BL$7:$BL$1570,"&lt;="&amp;BL86),"")</f>
        <v/>
      </c>
      <c r="AX86" s="65">
        <f>IF(AW86="",0,MAX(0,MIN(1,(IF(BR86="L1",Parameter!$K$5,Parameter!$K$6+Parameter!$K$7)-(AW86-AS86))/AS86)))</f>
        <v/>
      </c>
      <c r="AY86" s="53">
        <f>IF(AC86&lt;=0,"",IF(BR86="Aussen","Aussenlager",IF(BR86="-","Nicht im Lift",IF(AH86&gt;=1,"Lift",IF(AH86&lt;=0,"Aussenlager","teilweise")))))</f>
        <v/>
      </c>
      <c r="AZ86" s="53">
        <f>IF(AK86&lt;=0,"",IF(BR86="Aussen","Aussenlager",IF(BR86="-","Nicht im Lift",IF(AP86&gt;=1,"Lift",IF(AP86&lt;=0,"Aussenlager","teilweise")))))</f>
        <v/>
      </c>
      <c r="BA86" s="53">
        <f>IF(AS86&lt;=0,"",IF(BR86="Aussen","Aussenlager",IF(BR86="-","Nicht im Lift",IF(AX86&gt;=1,"Lift",IF(AX86&lt;=0,"Aussenlager","teilweise")))))</f>
        <v/>
      </c>
      <c r="BB86" s="53">
        <f>IF(A86="","",IF(BK86=1,"Neu; ","")&amp;IF(AND(BK86=0,BF86&lt;0),"negativer Bestand (Export "&amp;BF86&amp;"); ","")&amp;IF(I86&lt;=0,"Kein Verbrauch; ","")&amp;IF(BO86=1,"Lose – Fläche geschätzt; ","")&amp;IF(G86&gt;AM86,"Überbestand "&amp;ROUND(G86-AM86,0)&amp;" Stk / CHF "&amp;ROUND((G86-AM86)*F86,0)&amp;"; ","")&amp;IF(AND(BT86=1,BU86&lt;BV86),"MAX &lt; MB+LG; ","")&amp;IF(AND(BZ86&gt;0,BY86*10&gt;BZ86),"zu hoch für Tablar; ","")&amp;IF(AND(BK86=0,OR(BT86=1,V86&lt;&gt;"",S86&lt;&gt;"",T86&lt;&gt;"",W86&lt;&gt;"")),"manuell übersteuert; ","")&amp;IF(AND(BO86=0,Q86=0),"Gebinde unbekannt; ","")&amp;IF(AND(BO86=0,N(T86)&lt;=0,N(P86)&lt;=0),"Menge pro Gebinde fehlt (Ist = 1 Gebinde); ","")&amp;BJ86)</f>
        <v/>
      </c>
      <c r="BC86" s="53" t="inlineStr">
        <is>
          <t>Vemutlich durch Bedarf angefordert und hohe WBZ, nicht auf Veränderung reagiert. Bestand reicht bis Ende 2026 - Artikelpflege Lücke: Losgrösse durch Einkauf gepflegt -&gt; Bessere Bedarfsabklärung?</t>
        </is>
      </c>
      <c r="BD86" s="53" t="inlineStr">
        <is>
          <t>Lücke in Artikelpflege prüfen und ggf. schliessen so gut wie es möglich ist?</t>
        </is>
      </c>
      <c r="BE86" s="61" t="n"/>
      <c r="BF86" s="55" t="n">
        <v>7</v>
      </c>
      <c r="BG86" s="55" t="n">
        <v>0</v>
      </c>
      <c r="BH86" s="54" t="n">
        <v>2966.600000000002</v>
      </c>
      <c r="BI86" s="55" t="n">
        <v>32</v>
      </c>
      <c r="BJ86" s="53" t="inlineStr"/>
      <c r="BK86" s="58" t="n">
        <v>0</v>
      </c>
      <c r="BL86" s="58" t="n">
        <v>86</v>
      </c>
      <c r="BM86" s="53">
        <f>IF(S86&lt;&gt;"",UPPER(TRIM(S86)),IF(O86="","LOSE",O86))</f>
        <v/>
      </c>
      <c r="BN86" s="55">
        <f>IF(BM86="LOSE",1,IF(N(T86)&gt;0,T86,IF(N(P86)&gt;0,P86,MAX(1,G86))))</f>
        <v/>
      </c>
      <c r="BO86" s="58">
        <f>IF(BM86="LOSE",1,0)</f>
        <v/>
      </c>
      <c r="BP86" s="64">
        <f>IF(BO86=0,0,IF(N(R86)&gt;0,R86,IFERROR(VLOOKUP(D86,Parameter!$A$35:$C$64,3,0)+0,0)))</f>
        <v/>
      </c>
      <c r="BQ86" s="53">
        <f>IF(V86&lt;&gt;"",V86,U86)</f>
        <v/>
      </c>
      <c r="BR86" s="53">
        <f>IF(BQ86=1,"L1",IF(OR(BQ86=2,BQ86=3),"L23",IF(BQ86="Aussen","Aussen","-")))</f>
        <v/>
      </c>
      <c r="BS86" s="66">
        <f>IF(N(W86)&gt;0,W86,0)</f>
        <v/>
      </c>
      <c r="BT86" s="58">
        <f>IF(ISNUMBER(Z86),1,0)</f>
        <v/>
      </c>
      <c r="BU86" s="55">
        <f>N(Z86)</f>
        <v/>
      </c>
      <c r="BV86" s="55">
        <f>N(L86)+N(M86)</f>
        <v/>
      </c>
      <c r="BW86" s="55">
        <f>ROUNDUP(G86/BN86,0)</f>
        <v/>
      </c>
      <c r="BX86" s="55">
        <f>ROUNDUP(BU86/BN86,0)</f>
        <v/>
      </c>
      <c r="BY86" s="58">
        <f>IF(BO86=1,0,IFERROR(VLOOKUP(BM86,'Gebinde-Kategorie'!$A$5:$G$45,5,0)+0,0))</f>
        <v/>
      </c>
      <c r="BZ86" s="58">
        <f>IFERROR(IF(OR(BQ86=1,BQ86=2,BQ86=3),N(INDEX(Parameter!$I$5:$I$7,BQ86)),0),0)</f>
        <v/>
      </c>
    </row>
    <row r="87">
      <c r="A87" s="53" t="inlineStr">
        <is>
          <t>005239</t>
        </is>
      </c>
      <c r="B87" s="53" t="inlineStr">
        <is>
          <t>Drehmomentschlüssel</t>
        </is>
      </c>
      <c r="C87" s="53" t="inlineStr">
        <is>
          <t>F</t>
        </is>
      </c>
      <c r="D87" s="53" t="inlineStr">
        <is>
          <t>KTL</t>
        </is>
      </c>
      <c r="E87" s="53" t="inlineStr">
        <is>
          <t>C</t>
        </is>
      </c>
      <c r="F87" s="54" t="n">
        <v>140.69</v>
      </c>
      <c r="G87" s="55">
        <f>MAX(0,IF(Parameter!$B$20="Jahresanfang 2025 + Export",BG87+BF87,BF87))</f>
        <v/>
      </c>
      <c r="H87" s="55">
        <f>G87*F87</f>
        <v/>
      </c>
      <c r="I87" s="55">
        <f>BI87*Parameter!$B$18</f>
        <v/>
      </c>
      <c r="J87" s="56" t="n">
        <v>8.5</v>
      </c>
      <c r="K87" s="57" t="n">
        <v>3.529411764705882</v>
      </c>
      <c r="L87" s="55" t="n">
        <v>2</v>
      </c>
      <c r="M87" s="55" t="n">
        <v>25</v>
      </c>
      <c r="N87" s="58" t="n">
        <v>21</v>
      </c>
      <c r="O87" s="53" t="inlineStr">
        <is>
          <t>S63</t>
        </is>
      </c>
      <c r="P87" s="55" t="n">
        <v>30</v>
      </c>
      <c r="Q87" s="59">
        <f>IF(BO87=1,0,IFERROR(VLOOKUP(BM87,'Gebinde-Kategorie'!$A$5:$G$45,6,0)+0,0))</f>
        <v/>
      </c>
      <c r="R87" s="60" t="n"/>
      <c r="S87" s="61" t="n"/>
      <c r="T87" s="61" t="n"/>
      <c r="U87" s="53">
        <f>IF(A87="","",IF(IFERROR(VLOOKUP(D87,Parameter!$A$35:$C$64,2,0),"Nein")="2+3",IF(ISNUMBER(SEARCH("grosser Artikel",BJ87)),2,IFERROR(VLOOKUP(BM87,Parameter!$F$35:$G$64,2,0),2)),IF(OR(IFERROR(VLOOKUP(D87,Parameter!$A$35:$C$64,2,0),"Nein")="Nein",IFERROR(VLOOKUP(D87,Parameter!$A$35:$C$64,2,0),"Nein")=""),"-",VLOOKUP(D87,Parameter!$A$35:$C$64,2,0))))</f>
        <v/>
      </c>
      <c r="V87" s="61" t="n"/>
      <c r="W87" s="62" t="n"/>
      <c r="X87" s="55">
        <f>AM87</f>
        <v/>
      </c>
      <c r="Y87" s="55">
        <f>MAX(AM87,G87)</f>
        <v/>
      </c>
      <c r="Z87" s="63" t="n"/>
      <c r="AA87" s="55">
        <f>IF(LEFT(Cockpit!$C$5,1)="A",G87,IF(BT87=1,BU87,IF(LEFT(Cockpit!$C$5,1)="B",AE87,MAX(AE87,G87))))</f>
        <v/>
      </c>
      <c r="AB87" s="55">
        <f>IF(BO87=1,0,ROUNDUP(AA87/BN87,0))</f>
        <v/>
      </c>
      <c r="AC87" s="64">
        <f>IF(BO87=1,IF(AA87&lt;=0,0,BP87*MAX(1,IF(G87&gt;0,AA87/G87,1))),AB87*Q87)</f>
        <v/>
      </c>
      <c r="AD87" s="55">
        <f>AA87*F87</f>
        <v/>
      </c>
      <c r="AE87" s="55">
        <f>ROUNDUP(MAX(I87/IF(BS87&gt;0,BS87,MAX(0.1,N(Cockpit!$C$6))),BV87)/BN87,0)*BN87</f>
        <v/>
      </c>
      <c r="AF87" s="56">
        <f>IF(AC87&gt;0,I87/AC87,-1)</f>
        <v/>
      </c>
      <c r="AG87" s="56">
        <f>IF(AND(OR(BR87="L1",BR87="L23"),AC87&gt;0),SUMIFS($AC$7:$AC$1570,$BR$7:$BR$1570,BR87,$AF$7:$AF$1570,"&gt;"&amp;AF87)+SUMIFS($AC$7:$AC$1570,$BR$7:$BR$1570,BR87,$AF$7:$AF$1570,AF87,$BL$7:$BL$1570,"&lt;="&amp;BL87),"")</f>
        <v/>
      </c>
      <c r="AH87" s="65">
        <f>IF(AG87="",0,MAX(0,MIN(1,(IF(BR87="L1",Parameter!$K$5,Parameter!$K$6+Parameter!$K$7)-(AG87-AC87))/AC87)))</f>
        <v/>
      </c>
      <c r="AI87" s="55">
        <f>IF(LEFT(Cockpit!$I$5,1)="A",G87,IF(BT87=1,BU87,IF(LEFT(Cockpit!$I$5,1)="B",AM87,MAX(AM87,G87))))</f>
        <v/>
      </c>
      <c r="AJ87" s="55">
        <f>IF(BO87=1,0,ROUNDUP(AI87/BN87,0))</f>
        <v/>
      </c>
      <c r="AK87" s="64">
        <f>IF(BO87=1,IF(AI87&lt;=0,0,BP87*MAX(1,IF(G87&gt;0,AI87/G87,1))),AJ87*Q87)</f>
        <v/>
      </c>
      <c r="AL87" s="55">
        <f>AI87*F87</f>
        <v/>
      </c>
      <c r="AM87" s="55">
        <f>ROUNDUP(MAX(I87/IF(BS87&gt;0,BS87,MAX(0.1,N(Cockpit!$I$6))),BV87)/BN87,0)*BN87</f>
        <v/>
      </c>
      <c r="AN87" s="56">
        <f>IF(AK87&gt;0,I87/AK87,-1)</f>
        <v/>
      </c>
      <c r="AO87" s="56">
        <f>IF(AND(OR(BR87="L1",BR87="L23"),AK87&gt;0),SUMIFS($AK$7:$AK$1570,$BR$7:$BR$1570,BR87,$AN$7:$AN$1570,"&gt;"&amp;AN87)+SUMIFS($AK$7:$AK$1570,$BR$7:$BR$1570,BR87,$AN$7:$AN$1570,AN87,$BL$7:$BL$1570,"&lt;="&amp;BL87),"")</f>
        <v/>
      </c>
      <c r="AP87" s="65">
        <f>IF(AO87="",0,MAX(0,MIN(1,(IF(BR87="L1",Parameter!$K$5,Parameter!$K$6+Parameter!$K$7)-(AO87-AK87))/AK87)))</f>
        <v/>
      </c>
      <c r="AQ87" s="55">
        <f>IF(LEFT(Cockpit!$O$5,1)="A",G87,IF(BT87=1,BU87,IF(LEFT(Cockpit!$O$5,1)="B",AU87,MAX(AU87,G87))))</f>
        <v/>
      </c>
      <c r="AR87" s="55">
        <f>IF(BO87=1,0,ROUNDUP(AQ87/BN87,0))</f>
        <v/>
      </c>
      <c r="AS87" s="64">
        <f>IF(BO87=1,IF(AQ87&lt;=0,0,BP87*MAX(1,IF(G87&gt;0,AQ87/G87,1))),AR87*Q87)</f>
        <v/>
      </c>
      <c r="AT87" s="55">
        <f>AQ87*F87</f>
        <v/>
      </c>
      <c r="AU87" s="55">
        <f>ROUNDUP(MAX(I87/IF(BS87&gt;0,BS87,MAX(0.1,N(Cockpit!$O$6))),BV87)/BN87,0)*BN87</f>
        <v/>
      </c>
      <c r="AV87" s="56">
        <f>IF(AS87&gt;0,I87/AS87,-1)</f>
        <v/>
      </c>
      <c r="AW87" s="56">
        <f>IF(AND(OR(BR87="L1",BR87="L23"),AS87&gt;0),SUMIFS($AS$7:$AS$1570,$BR$7:$BR$1570,BR87,$AV$7:$AV$1570,"&gt;"&amp;AV87)+SUMIFS($AS$7:$AS$1570,$BR$7:$BR$1570,BR87,$AV$7:$AV$1570,AV87,$BL$7:$BL$1570,"&lt;="&amp;BL87),"")</f>
        <v/>
      </c>
      <c r="AX87" s="65">
        <f>IF(AW87="",0,MAX(0,MIN(1,(IF(BR87="L1",Parameter!$K$5,Parameter!$K$6+Parameter!$K$7)-(AW87-AS87))/AS87)))</f>
        <v/>
      </c>
      <c r="AY87" s="53">
        <f>IF(AC87&lt;=0,"",IF(BR87="Aussen","Aussenlager",IF(BR87="-","Nicht im Lift",IF(AH87&gt;=1,"Lift",IF(AH87&lt;=0,"Aussenlager","teilweise")))))</f>
        <v/>
      </c>
      <c r="AZ87" s="53">
        <f>IF(AK87&lt;=0,"",IF(BR87="Aussen","Aussenlager",IF(BR87="-","Nicht im Lift",IF(AP87&gt;=1,"Lift",IF(AP87&lt;=0,"Aussenlager","teilweise")))))</f>
        <v/>
      </c>
      <c r="BA87" s="53">
        <f>IF(AS87&lt;=0,"",IF(BR87="Aussen","Aussenlager",IF(BR87="-","Nicht im Lift",IF(AX87&gt;=1,"Lift",IF(AX87&lt;=0,"Aussenlager","teilweise")))))</f>
        <v/>
      </c>
      <c r="BB87" s="53">
        <f>IF(A87="","",IF(BK87=1,"Neu; ","")&amp;IF(AND(BK87=0,BF87&lt;0),"negativer Bestand (Export "&amp;BF87&amp;"); ","")&amp;IF(I87&lt;=0,"Kein Verbrauch; ","")&amp;IF(BO87=1,"Lose – Fläche geschätzt; ","")&amp;IF(G87&gt;AM87,"Überbestand "&amp;ROUND(G87-AM87,0)&amp;" Stk / CHF "&amp;ROUND((G87-AM87)*F87,0)&amp;"; ","")&amp;IF(AND(BT87=1,BU87&lt;BV87),"MAX &lt; MB+LG; ","")&amp;IF(AND(BZ87&gt;0,BY87*10&gt;BZ87),"zu hoch für Tablar; ","")&amp;IF(AND(BK87=0,OR(BT87=1,V87&lt;&gt;"",S87&lt;&gt;"",T87&lt;&gt;"",W87&lt;&gt;"")),"manuell übersteuert; ","")&amp;IF(AND(BO87=0,Q87=0),"Gebinde unbekannt; ","")&amp;IF(AND(BO87=0,N(T87)&lt;=0,N(P87)&lt;=0),"Menge pro Gebinde fehlt (Ist = 1 Gebinde); ","")&amp;BJ87)</f>
        <v/>
      </c>
      <c r="BC87" s="53" t="n"/>
      <c r="BD87" s="53" t="n"/>
      <c r="BE87" s="61" t="n"/>
      <c r="BF87" s="55" t="n">
        <v>21</v>
      </c>
      <c r="BG87" s="55" t="n">
        <v>6</v>
      </c>
      <c r="BH87" s="54" t="n">
        <v>2941.11</v>
      </c>
      <c r="BI87" s="55" t="n">
        <v>30</v>
      </c>
      <c r="BJ87" s="53" t="inlineStr"/>
      <c r="BK87" s="58" t="n">
        <v>0</v>
      </c>
      <c r="BL87" s="58" t="n">
        <v>87</v>
      </c>
      <c r="BM87" s="53">
        <f>IF(S87&lt;&gt;"",UPPER(TRIM(S87)),IF(O87="","LOSE",O87))</f>
        <v/>
      </c>
      <c r="BN87" s="55">
        <f>IF(BM87="LOSE",1,IF(N(T87)&gt;0,T87,IF(N(P87)&gt;0,P87,MAX(1,G87))))</f>
        <v/>
      </c>
      <c r="BO87" s="58">
        <f>IF(BM87="LOSE",1,0)</f>
        <v/>
      </c>
      <c r="BP87" s="64">
        <f>IF(BO87=0,0,IF(N(R87)&gt;0,R87,IFERROR(VLOOKUP(D87,Parameter!$A$35:$C$64,3,0)+0,0)))</f>
        <v/>
      </c>
      <c r="BQ87" s="53">
        <f>IF(V87&lt;&gt;"",V87,U87)</f>
        <v/>
      </c>
      <c r="BR87" s="53">
        <f>IF(BQ87=1,"L1",IF(OR(BQ87=2,BQ87=3),"L23",IF(BQ87="Aussen","Aussen","-")))</f>
        <v/>
      </c>
      <c r="BS87" s="66">
        <f>IF(N(W87)&gt;0,W87,0)</f>
        <v/>
      </c>
      <c r="BT87" s="58">
        <f>IF(ISNUMBER(Z87),1,0)</f>
        <v/>
      </c>
      <c r="BU87" s="55">
        <f>N(Z87)</f>
        <v/>
      </c>
      <c r="BV87" s="55">
        <f>N(L87)+N(M87)</f>
        <v/>
      </c>
      <c r="BW87" s="55">
        <f>ROUNDUP(G87/BN87,0)</f>
        <v/>
      </c>
      <c r="BX87" s="55">
        <f>ROUNDUP(BU87/BN87,0)</f>
        <v/>
      </c>
      <c r="BY87" s="58">
        <f>IF(BO87=1,0,IFERROR(VLOOKUP(BM87,'Gebinde-Kategorie'!$A$5:$G$45,5,0)+0,0))</f>
        <v/>
      </c>
      <c r="BZ87" s="58">
        <f>IFERROR(IF(OR(BQ87=1,BQ87=2,BQ87=3),N(INDEX(Parameter!$I$5:$I$7,BQ87)),0),0)</f>
        <v/>
      </c>
    </row>
    <row r="88">
      <c r="A88" s="53" t="inlineStr">
        <is>
          <t>106108</t>
        </is>
      </c>
      <c r="B88" s="53" t="inlineStr">
        <is>
          <t>Flammsperre zu Transferblock SPGr</t>
        </is>
      </c>
      <c r="C88" s="53" t="inlineStr">
        <is>
          <t>F</t>
        </is>
      </c>
      <c r="D88" s="53" t="inlineStr">
        <is>
          <t>KTL</t>
        </is>
      </c>
      <c r="E88" s="53" t="inlineStr">
        <is>
          <t>C</t>
        </is>
      </c>
      <c r="F88" s="54" t="n">
        <v>12.41</v>
      </c>
      <c r="G88" s="55">
        <f>MAX(0,IF(Parameter!$B$20="Jahresanfang 2025 + Export",BG88+BF88,BF88))</f>
        <v/>
      </c>
      <c r="H88" s="55">
        <f>G88*F88</f>
        <v/>
      </c>
      <c r="I88" s="55">
        <f>BI88*Parameter!$B$18</f>
        <v/>
      </c>
      <c r="J88" s="56" t="n">
        <v>129</v>
      </c>
      <c r="K88" s="57" t="n">
        <v>2.441860465116279</v>
      </c>
      <c r="L88" s="55" t="n">
        <v>55</v>
      </c>
      <c r="M88" s="55" t="n">
        <v>255</v>
      </c>
      <c r="N88" s="58" t="n">
        <v>56</v>
      </c>
      <c r="O88" s="53" t="inlineStr">
        <is>
          <t>S41</t>
        </is>
      </c>
      <c r="P88" s="55" t="n">
        <v>128</v>
      </c>
      <c r="Q88" s="59">
        <f>IF(BO88=1,0,IFERROR(VLOOKUP(BM88,'Gebinde-Kategorie'!$A$5:$G$45,6,0)+0,0))</f>
        <v/>
      </c>
      <c r="R88" s="60" t="n"/>
      <c r="S88" s="61" t="n"/>
      <c r="T88" s="61" t="n"/>
      <c r="U88" s="53">
        <f>IF(A88="","",IF(IFERROR(VLOOKUP(D88,Parameter!$A$35:$C$64,2,0),"Nein")="2+3",IF(ISNUMBER(SEARCH("grosser Artikel",BJ88)),2,IFERROR(VLOOKUP(BM88,Parameter!$F$35:$G$64,2,0),2)),IF(OR(IFERROR(VLOOKUP(D88,Parameter!$A$35:$C$64,2,0),"Nein")="Nein",IFERROR(VLOOKUP(D88,Parameter!$A$35:$C$64,2,0),"Nein")=""),"-",VLOOKUP(D88,Parameter!$A$35:$C$64,2,0))))</f>
        <v/>
      </c>
      <c r="V88" s="61" t="n"/>
      <c r="W88" s="62" t="n"/>
      <c r="X88" s="55">
        <f>AM88</f>
        <v/>
      </c>
      <c r="Y88" s="55">
        <f>MAX(AM88,G88)</f>
        <v/>
      </c>
      <c r="Z88" s="63" t="n"/>
      <c r="AA88" s="55">
        <f>IF(LEFT(Cockpit!$C$5,1)="A",G88,IF(BT88=1,BU88,IF(LEFT(Cockpit!$C$5,1)="B",AE88,MAX(AE88,G88))))</f>
        <v/>
      </c>
      <c r="AB88" s="55">
        <f>IF(BO88=1,0,ROUNDUP(AA88/BN88,0))</f>
        <v/>
      </c>
      <c r="AC88" s="64">
        <f>IF(BO88=1,IF(AA88&lt;=0,0,BP88*MAX(1,IF(G88&gt;0,AA88/G88,1))),AB88*Q88)</f>
        <v/>
      </c>
      <c r="AD88" s="55">
        <f>AA88*F88</f>
        <v/>
      </c>
      <c r="AE88" s="55">
        <f>ROUNDUP(MAX(I88/IF(BS88&gt;0,BS88,MAX(0.1,N(Cockpit!$C$6))),BV88)/BN88,0)*BN88</f>
        <v/>
      </c>
      <c r="AF88" s="56">
        <f>IF(AC88&gt;0,I88/AC88,-1)</f>
        <v/>
      </c>
      <c r="AG88" s="56">
        <f>IF(AND(OR(BR88="L1",BR88="L23"),AC88&gt;0),SUMIFS($AC$7:$AC$1570,$BR$7:$BR$1570,BR88,$AF$7:$AF$1570,"&gt;"&amp;AF88)+SUMIFS($AC$7:$AC$1570,$BR$7:$BR$1570,BR88,$AF$7:$AF$1570,AF88,$BL$7:$BL$1570,"&lt;="&amp;BL88),"")</f>
        <v/>
      </c>
      <c r="AH88" s="65">
        <f>IF(AG88="",0,MAX(0,MIN(1,(IF(BR88="L1",Parameter!$K$5,Parameter!$K$6+Parameter!$K$7)-(AG88-AC88))/AC88)))</f>
        <v/>
      </c>
      <c r="AI88" s="55">
        <f>IF(LEFT(Cockpit!$I$5,1)="A",G88,IF(BT88=1,BU88,IF(LEFT(Cockpit!$I$5,1)="B",AM88,MAX(AM88,G88))))</f>
        <v/>
      </c>
      <c r="AJ88" s="55">
        <f>IF(BO88=1,0,ROUNDUP(AI88/BN88,0))</f>
        <v/>
      </c>
      <c r="AK88" s="64">
        <f>IF(BO88=1,IF(AI88&lt;=0,0,BP88*MAX(1,IF(G88&gt;0,AI88/G88,1))),AJ88*Q88)</f>
        <v/>
      </c>
      <c r="AL88" s="55">
        <f>AI88*F88</f>
        <v/>
      </c>
      <c r="AM88" s="55">
        <f>ROUNDUP(MAX(I88/IF(BS88&gt;0,BS88,MAX(0.1,N(Cockpit!$I$6))),BV88)/BN88,0)*BN88</f>
        <v/>
      </c>
      <c r="AN88" s="56">
        <f>IF(AK88&gt;0,I88/AK88,-1)</f>
        <v/>
      </c>
      <c r="AO88" s="56">
        <f>IF(AND(OR(BR88="L1",BR88="L23"),AK88&gt;0),SUMIFS($AK$7:$AK$1570,$BR$7:$BR$1570,BR88,$AN$7:$AN$1570,"&gt;"&amp;AN88)+SUMIFS($AK$7:$AK$1570,$BR$7:$BR$1570,BR88,$AN$7:$AN$1570,AN88,$BL$7:$BL$1570,"&lt;="&amp;BL88),"")</f>
        <v/>
      </c>
      <c r="AP88" s="65">
        <f>IF(AO88="",0,MAX(0,MIN(1,(IF(BR88="L1",Parameter!$K$5,Parameter!$K$6+Parameter!$K$7)-(AO88-AK88))/AK88)))</f>
        <v/>
      </c>
      <c r="AQ88" s="55">
        <f>IF(LEFT(Cockpit!$O$5,1)="A",G88,IF(BT88=1,BU88,IF(LEFT(Cockpit!$O$5,1)="B",AU88,MAX(AU88,G88))))</f>
        <v/>
      </c>
      <c r="AR88" s="55">
        <f>IF(BO88=1,0,ROUNDUP(AQ88/BN88,0))</f>
        <v/>
      </c>
      <c r="AS88" s="64">
        <f>IF(BO88=1,IF(AQ88&lt;=0,0,BP88*MAX(1,IF(G88&gt;0,AQ88/G88,1))),AR88*Q88)</f>
        <v/>
      </c>
      <c r="AT88" s="55">
        <f>AQ88*F88</f>
        <v/>
      </c>
      <c r="AU88" s="55">
        <f>ROUNDUP(MAX(I88/IF(BS88&gt;0,BS88,MAX(0.1,N(Cockpit!$O$6))),BV88)/BN88,0)*BN88</f>
        <v/>
      </c>
      <c r="AV88" s="56">
        <f>IF(AS88&gt;0,I88/AS88,-1)</f>
        <v/>
      </c>
      <c r="AW88" s="56">
        <f>IF(AND(OR(BR88="L1",BR88="L23"),AS88&gt;0),SUMIFS($AS$7:$AS$1570,$BR$7:$BR$1570,BR88,$AV$7:$AV$1570,"&gt;"&amp;AV88)+SUMIFS($AS$7:$AS$1570,$BR$7:$BR$1570,BR88,$AV$7:$AV$1570,AV88,$BL$7:$BL$1570,"&lt;="&amp;BL88),"")</f>
        <v/>
      </c>
      <c r="AX88" s="65">
        <f>IF(AW88="",0,MAX(0,MIN(1,(IF(BR88="L1",Parameter!$K$5,Parameter!$K$6+Parameter!$K$7)-(AW88-AS88))/AS88)))</f>
        <v/>
      </c>
      <c r="AY88" s="53">
        <f>IF(AC88&lt;=0,"",IF(BR88="Aussen","Aussenlager",IF(BR88="-","Nicht im Lift",IF(AH88&gt;=1,"Lift",IF(AH88&lt;=0,"Aussenlager","teilweise")))))</f>
        <v/>
      </c>
      <c r="AZ88" s="53">
        <f>IF(AK88&lt;=0,"",IF(BR88="Aussen","Aussenlager",IF(BR88="-","Nicht im Lift",IF(AP88&gt;=1,"Lift",IF(AP88&lt;=0,"Aussenlager","teilweise")))))</f>
        <v/>
      </c>
      <c r="BA88" s="53">
        <f>IF(AS88&lt;=0,"",IF(BR88="Aussen","Aussenlager",IF(BR88="-","Nicht im Lift",IF(AX88&gt;=1,"Lift",IF(AX88&lt;=0,"Aussenlager","teilweise")))))</f>
        <v/>
      </c>
      <c r="BB88" s="53">
        <f>IF(A88="","",IF(BK88=1,"Neu; ","")&amp;IF(AND(BK88=0,BF88&lt;0),"negativer Bestand (Export "&amp;BF88&amp;"); ","")&amp;IF(I88&lt;=0,"Kein Verbrauch; ","")&amp;IF(BO88=1,"Lose – Fläche geschätzt; ","")&amp;IF(G88&gt;AM88,"Überbestand "&amp;ROUND(G88-AM88,0)&amp;" Stk / CHF "&amp;ROUND((G88-AM88)*F88,0)&amp;"; ","")&amp;IF(AND(BT88=1,BU88&lt;BV88),"MAX &lt; MB+LG; ","")&amp;IF(AND(BZ88&gt;0,BY88*10&gt;BZ88),"zu hoch für Tablar; ","")&amp;IF(AND(BK88=0,OR(BT88=1,V88&lt;&gt;"",S88&lt;&gt;"",T88&lt;&gt;"",W88&lt;&gt;"")),"manuell übersteuert; ","")&amp;IF(AND(BO88=0,Q88=0),"Gebinde unbekannt; ","")&amp;IF(AND(BO88=0,N(T88)&lt;=0,N(P88)&lt;=0),"Menge pro Gebinde fehlt (Ist = 1 Gebinde); ","")&amp;BJ88)</f>
        <v/>
      </c>
      <c r="BC88" s="53" t="n"/>
      <c r="BD88" s="53" t="n"/>
      <c r="BE88" s="61" t="n"/>
      <c r="BF88" s="55" t="n">
        <v>229</v>
      </c>
      <c r="BG88" s="55" t="n">
        <v>48</v>
      </c>
      <c r="BH88" s="54" t="n">
        <v>2896.49</v>
      </c>
      <c r="BI88" s="55" t="n">
        <v>315</v>
      </c>
      <c r="BJ88" s="53" t="inlineStr"/>
      <c r="BK88" s="58" t="n">
        <v>0</v>
      </c>
      <c r="BL88" s="58" t="n">
        <v>88</v>
      </c>
      <c r="BM88" s="53">
        <f>IF(S88&lt;&gt;"",UPPER(TRIM(S88)),IF(O88="","LOSE",O88))</f>
        <v/>
      </c>
      <c r="BN88" s="55">
        <f>IF(BM88="LOSE",1,IF(N(T88)&gt;0,T88,IF(N(P88)&gt;0,P88,MAX(1,G88))))</f>
        <v/>
      </c>
      <c r="BO88" s="58">
        <f>IF(BM88="LOSE",1,0)</f>
        <v/>
      </c>
      <c r="BP88" s="64">
        <f>IF(BO88=0,0,IF(N(R88)&gt;0,R88,IFERROR(VLOOKUP(D88,Parameter!$A$35:$C$64,3,0)+0,0)))</f>
        <v/>
      </c>
      <c r="BQ88" s="53">
        <f>IF(V88&lt;&gt;"",V88,U88)</f>
        <v/>
      </c>
      <c r="BR88" s="53">
        <f>IF(BQ88=1,"L1",IF(OR(BQ88=2,BQ88=3),"L23",IF(BQ88="Aussen","Aussen","-")))</f>
        <v/>
      </c>
      <c r="BS88" s="66">
        <f>IF(N(W88)&gt;0,W88,0)</f>
        <v/>
      </c>
      <c r="BT88" s="58">
        <f>IF(ISNUMBER(Z88),1,0)</f>
        <v/>
      </c>
      <c r="BU88" s="55">
        <f>N(Z88)</f>
        <v/>
      </c>
      <c r="BV88" s="55">
        <f>N(L88)+N(M88)</f>
        <v/>
      </c>
      <c r="BW88" s="55">
        <f>ROUNDUP(G88/BN88,0)</f>
        <v/>
      </c>
      <c r="BX88" s="55">
        <f>ROUNDUP(BU88/BN88,0)</f>
        <v/>
      </c>
      <c r="BY88" s="58">
        <f>IF(BO88=1,0,IFERROR(VLOOKUP(BM88,'Gebinde-Kategorie'!$A$5:$G$45,5,0)+0,0))</f>
        <v/>
      </c>
      <c r="BZ88" s="58">
        <f>IFERROR(IF(OR(BQ88=1,BQ88=2,BQ88=3),N(INDEX(Parameter!$I$5:$I$7,BQ88)),0),0)</f>
        <v/>
      </c>
    </row>
    <row r="89">
      <c r="A89" s="53" t="inlineStr">
        <is>
          <t>108524</t>
        </is>
      </c>
      <c r="B89" s="53" t="inlineStr">
        <is>
          <t>Stickstoffblock BASE komplett</t>
        </is>
      </c>
      <c r="C89" s="53" t="inlineStr">
        <is>
          <t>F</t>
        </is>
      </c>
      <c r="D89" s="53" t="inlineStr">
        <is>
          <t>PAL</t>
        </is>
      </c>
      <c r="E89" s="53" t="inlineStr">
        <is>
          <t>C</t>
        </is>
      </c>
      <c r="F89" s="54" t="n">
        <v>1447</v>
      </c>
      <c r="G89" s="55">
        <f>MAX(0,IF(Parameter!$B$20="Jahresanfang 2025 + Export",BG89+BF89,BF89))</f>
        <v/>
      </c>
      <c r="H89" s="55">
        <f>G89*F89</f>
        <v/>
      </c>
      <c r="I89" s="55">
        <f>BI89*Parameter!$B$18</f>
        <v/>
      </c>
      <c r="J89" s="56" t="n">
        <v>1</v>
      </c>
      <c r="K89" s="57" t="n">
        <v>0</v>
      </c>
      <c r="L89" s="55" t="n">
        <v>0</v>
      </c>
      <c r="M89" s="55" t="n">
        <v>1</v>
      </c>
      <c r="N89" s="58" t="n">
        <v>70</v>
      </c>
      <c r="O89" s="53" t="inlineStr">
        <is>
          <t>S51</t>
        </is>
      </c>
      <c r="P89" s="55" t="n">
        <v>2</v>
      </c>
      <c r="Q89" s="59">
        <f>IF(BO89=1,0,IFERROR(VLOOKUP(BM89,'Gebinde-Kategorie'!$A$5:$G$45,6,0)+0,0))</f>
        <v/>
      </c>
      <c r="R89" s="60" t="n"/>
      <c r="S89" s="61" t="n"/>
      <c r="T89" s="61" t="n"/>
      <c r="U89" s="53">
        <f>IF(A89="","",IF(IFERROR(VLOOKUP(D89,Parameter!$A$35:$C$64,2,0),"Nein")="2+3",IF(ISNUMBER(SEARCH("grosser Artikel",BJ89)),2,IFERROR(VLOOKUP(BM89,Parameter!$F$35:$G$64,2,0),2)),IF(OR(IFERROR(VLOOKUP(D89,Parameter!$A$35:$C$64,2,0),"Nein")="Nein",IFERROR(VLOOKUP(D89,Parameter!$A$35:$C$64,2,0),"Nein")=""),"-",VLOOKUP(D89,Parameter!$A$35:$C$64,2,0))))</f>
        <v/>
      </c>
      <c r="V89" s="61" t="n"/>
      <c r="W89" s="62" t="n"/>
      <c r="X89" s="55">
        <f>AM89</f>
        <v/>
      </c>
      <c r="Y89" s="55">
        <f>MAX(AM89,G89)</f>
        <v/>
      </c>
      <c r="Z89" s="63" t="n"/>
      <c r="AA89" s="55">
        <f>IF(LEFT(Cockpit!$C$5,1)="A",G89,IF(BT89=1,BU89,IF(LEFT(Cockpit!$C$5,1)="B",AE89,MAX(AE89,G89))))</f>
        <v/>
      </c>
      <c r="AB89" s="55">
        <f>IF(BO89=1,0,ROUNDUP(AA89/BN89,0))</f>
        <v/>
      </c>
      <c r="AC89" s="64">
        <f>IF(BO89=1,IF(AA89&lt;=0,0,BP89*MAX(1,IF(G89&gt;0,AA89/G89,1))),AB89*Q89)</f>
        <v/>
      </c>
      <c r="AD89" s="55">
        <f>AA89*F89</f>
        <v/>
      </c>
      <c r="AE89" s="55">
        <f>ROUNDUP(MAX(I89/IF(BS89&gt;0,BS89,MAX(0.1,N(Cockpit!$C$6))),BV89)/BN89,0)*BN89</f>
        <v/>
      </c>
      <c r="AF89" s="56">
        <f>IF(AC89&gt;0,I89/AC89,-1)</f>
        <v/>
      </c>
      <c r="AG89" s="56">
        <f>IF(AND(OR(BR89="L1",BR89="L23"),AC89&gt;0),SUMIFS($AC$7:$AC$1570,$BR$7:$BR$1570,BR89,$AF$7:$AF$1570,"&gt;"&amp;AF89)+SUMIFS($AC$7:$AC$1570,$BR$7:$BR$1570,BR89,$AF$7:$AF$1570,AF89,$BL$7:$BL$1570,"&lt;="&amp;BL89),"")</f>
        <v/>
      </c>
      <c r="AH89" s="65">
        <f>IF(AG89="",0,MAX(0,MIN(1,(IF(BR89="L1",Parameter!$K$5,Parameter!$K$6+Parameter!$K$7)-(AG89-AC89))/AC89)))</f>
        <v/>
      </c>
      <c r="AI89" s="55">
        <f>IF(LEFT(Cockpit!$I$5,1)="A",G89,IF(BT89=1,BU89,IF(LEFT(Cockpit!$I$5,1)="B",AM89,MAX(AM89,G89))))</f>
        <v/>
      </c>
      <c r="AJ89" s="55">
        <f>IF(BO89=1,0,ROUNDUP(AI89/BN89,0))</f>
        <v/>
      </c>
      <c r="AK89" s="64">
        <f>IF(BO89=1,IF(AI89&lt;=0,0,BP89*MAX(1,IF(G89&gt;0,AI89/G89,1))),AJ89*Q89)</f>
        <v/>
      </c>
      <c r="AL89" s="55">
        <f>AI89*F89</f>
        <v/>
      </c>
      <c r="AM89" s="55">
        <f>ROUNDUP(MAX(I89/IF(BS89&gt;0,BS89,MAX(0.1,N(Cockpit!$I$6))),BV89)/BN89,0)*BN89</f>
        <v/>
      </c>
      <c r="AN89" s="56">
        <f>IF(AK89&gt;0,I89/AK89,-1)</f>
        <v/>
      </c>
      <c r="AO89" s="56">
        <f>IF(AND(OR(BR89="L1",BR89="L23"),AK89&gt;0),SUMIFS($AK$7:$AK$1570,$BR$7:$BR$1570,BR89,$AN$7:$AN$1570,"&gt;"&amp;AN89)+SUMIFS($AK$7:$AK$1570,$BR$7:$BR$1570,BR89,$AN$7:$AN$1570,AN89,$BL$7:$BL$1570,"&lt;="&amp;BL89),"")</f>
        <v/>
      </c>
      <c r="AP89" s="65">
        <f>IF(AO89="",0,MAX(0,MIN(1,(IF(BR89="L1",Parameter!$K$5,Parameter!$K$6+Parameter!$K$7)-(AO89-AK89))/AK89)))</f>
        <v/>
      </c>
      <c r="AQ89" s="55">
        <f>IF(LEFT(Cockpit!$O$5,1)="A",G89,IF(BT89=1,BU89,IF(LEFT(Cockpit!$O$5,1)="B",AU89,MAX(AU89,G89))))</f>
        <v/>
      </c>
      <c r="AR89" s="55">
        <f>IF(BO89=1,0,ROUNDUP(AQ89/BN89,0))</f>
        <v/>
      </c>
      <c r="AS89" s="64">
        <f>IF(BO89=1,IF(AQ89&lt;=0,0,BP89*MAX(1,IF(G89&gt;0,AQ89/G89,1))),AR89*Q89)</f>
        <v/>
      </c>
      <c r="AT89" s="55">
        <f>AQ89*F89</f>
        <v/>
      </c>
      <c r="AU89" s="55">
        <f>ROUNDUP(MAX(I89/IF(BS89&gt;0,BS89,MAX(0.1,N(Cockpit!$O$6))),BV89)/BN89,0)*BN89</f>
        <v/>
      </c>
      <c r="AV89" s="56">
        <f>IF(AS89&gt;0,I89/AS89,-1)</f>
        <v/>
      </c>
      <c r="AW89" s="56">
        <f>IF(AND(OR(BR89="L1",BR89="L23"),AS89&gt;0),SUMIFS($AS$7:$AS$1570,$BR$7:$BR$1570,BR89,$AV$7:$AV$1570,"&gt;"&amp;AV89)+SUMIFS($AS$7:$AS$1570,$BR$7:$BR$1570,BR89,$AV$7:$AV$1570,AV89,$BL$7:$BL$1570,"&lt;="&amp;BL89),"")</f>
        <v/>
      </c>
      <c r="AX89" s="65">
        <f>IF(AW89="",0,MAX(0,MIN(1,(IF(BR89="L1",Parameter!$K$5,Parameter!$K$6+Parameter!$K$7)-(AW89-AS89))/AS89)))</f>
        <v/>
      </c>
      <c r="AY89" s="53">
        <f>IF(AC89&lt;=0,"",IF(BR89="Aussen","Aussenlager",IF(BR89="-","Nicht im Lift",IF(AH89&gt;=1,"Lift",IF(AH89&lt;=0,"Aussenlager","teilweise")))))</f>
        <v/>
      </c>
      <c r="AZ89" s="53">
        <f>IF(AK89&lt;=0,"",IF(BR89="Aussen","Aussenlager",IF(BR89="-","Nicht im Lift",IF(AP89&gt;=1,"Lift",IF(AP89&lt;=0,"Aussenlager","teilweise")))))</f>
        <v/>
      </c>
      <c r="BA89" s="53">
        <f>IF(AS89&lt;=0,"",IF(BR89="Aussen","Aussenlager",IF(BR89="-","Nicht im Lift",IF(AX89&gt;=1,"Lift",IF(AX89&lt;=0,"Aussenlager","teilweise")))))</f>
        <v/>
      </c>
      <c r="BB89" s="53">
        <f>IF(A89="","",IF(BK89=1,"Neu; ","")&amp;IF(AND(BK89=0,BF89&lt;0),"negativer Bestand (Export "&amp;BF89&amp;"); ","")&amp;IF(I89&lt;=0,"Kein Verbrauch; ","")&amp;IF(BO89=1,"Lose – Fläche geschätzt; ","")&amp;IF(G89&gt;AM89,"Überbestand "&amp;ROUND(G89-AM89,0)&amp;" Stk / CHF "&amp;ROUND((G89-AM89)*F89,0)&amp;"; ","")&amp;IF(AND(BT89=1,BU89&lt;BV89),"MAX &lt; MB+LG; ","")&amp;IF(AND(BZ89&gt;0,BY89*10&gt;BZ89),"zu hoch für Tablar; ","")&amp;IF(AND(BK89=0,OR(BT89=1,V89&lt;&gt;"",S89&lt;&gt;"",T89&lt;&gt;"",W89&lt;&gt;"")),"manuell übersteuert; ","")&amp;IF(AND(BO89=0,Q89=0),"Gebinde unbekannt; ","")&amp;IF(AND(BO89=0,N(T89)&lt;=0,N(P89)&lt;=0),"Menge pro Gebinde fehlt (Ist = 1 Gebinde); ","")&amp;BJ89)</f>
        <v/>
      </c>
      <c r="BC89" s="53" t="inlineStr">
        <is>
          <t>Letzte WE 2021 -&gt; 106869?</t>
        </is>
      </c>
      <c r="BD89" s="53" t="inlineStr">
        <is>
          <t>Ersatzartikel</t>
        </is>
      </c>
      <c r="BE89" s="61" t="n"/>
      <c r="BF89" s="55" t="n">
        <v>2</v>
      </c>
      <c r="BG89" s="55" t="n">
        <v>0</v>
      </c>
      <c r="BH89" s="54" t="n">
        <v>2894</v>
      </c>
      <c r="BI89" s="55" t="n">
        <v>0</v>
      </c>
      <c r="BJ89" s="53" t="inlineStr"/>
      <c r="BK89" s="58" t="n">
        <v>0</v>
      </c>
      <c r="BL89" s="58" t="n">
        <v>89</v>
      </c>
      <c r="BM89" s="53">
        <f>IF(S89&lt;&gt;"",UPPER(TRIM(S89)),IF(O89="","LOSE",O89))</f>
        <v/>
      </c>
      <c r="BN89" s="55">
        <f>IF(BM89="LOSE",1,IF(N(T89)&gt;0,T89,IF(N(P89)&gt;0,P89,MAX(1,G89))))</f>
        <v/>
      </c>
      <c r="BO89" s="58">
        <f>IF(BM89="LOSE",1,0)</f>
        <v/>
      </c>
      <c r="BP89" s="64">
        <f>IF(BO89=0,0,IF(N(R89)&gt;0,R89,IFERROR(VLOOKUP(D89,Parameter!$A$35:$C$64,3,0)+0,0)))</f>
        <v/>
      </c>
      <c r="BQ89" s="53">
        <f>IF(V89&lt;&gt;"",V89,U89)</f>
        <v/>
      </c>
      <c r="BR89" s="53">
        <f>IF(BQ89=1,"L1",IF(OR(BQ89=2,BQ89=3),"L23",IF(BQ89="Aussen","Aussen","-")))</f>
        <v/>
      </c>
      <c r="BS89" s="66">
        <f>IF(N(W89)&gt;0,W89,0)</f>
        <v/>
      </c>
      <c r="BT89" s="58">
        <f>IF(ISNUMBER(Z89),1,0)</f>
        <v/>
      </c>
      <c r="BU89" s="55">
        <f>N(Z89)</f>
        <v/>
      </c>
      <c r="BV89" s="55">
        <f>N(L89)+N(M89)</f>
        <v/>
      </c>
      <c r="BW89" s="55">
        <f>ROUNDUP(G89/BN89,0)</f>
        <v/>
      </c>
      <c r="BX89" s="55">
        <f>ROUNDUP(BU89/BN89,0)</f>
        <v/>
      </c>
      <c r="BY89" s="58">
        <f>IF(BO89=1,0,IFERROR(VLOOKUP(BM89,'Gebinde-Kategorie'!$A$5:$G$45,5,0)+0,0))</f>
        <v/>
      </c>
      <c r="BZ89" s="58">
        <f>IFERROR(IF(OR(BQ89=1,BQ89=2,BQ89=3),N(INDEX(Parameter!$I$5:$I$7,BQ89)),0),0)</f>
        <v/>
      </c>
    </row>
    <row r="90">
      <c r="A90" s="53" t="inlineStr">
        <is>
          <t>103524</t>
        </is>
      </c>
      <c r="B90" s="53" t="inlineStr">
        <is>
          <t>Kugelhahn N2</t>
        </is>
      </c>
      <c r="C90" s="53" t="inlineStr">
        <is>
          <t>F</t>
        </is>
      </c>
      <c r="D90" s="53" t="inlineStr">
        <is>
          <t>KTL</t>
        </is>
      </c>
      <c r="E90" s="53" t="inlineStr">
        <is>
          <t>C</t>
        </is>
      </c>
      <c r="F90" s="54" t="n">
        <v>294.55</v>
      </c>
      <c r="G90" s="55">
        <f>MAX(0,IF(Parameter!$B$20="Jahresanfang 2025 + Export",BG90+BF90,BF90))</f>
        <v/>
      </c>
      <c r="H90" s="55">
        <f>G90*F90</f>
        <v/>
      </c>
      <c r="I90" s="55">
        <f>BI90*Parameter!$B$18</f>
        <v/>
      </c>
      <c r="J90" s="56" t="n">
        <v>9</v>
      </c>
      <c r="K90" s="57" t="n">
        <v>0.2222222222222222</v>
      </c>
      <c r="L90" s="55" t="n">
        <v>0</v>
      </c>
      <c r="M90" s="55" t="n">
        <v>1</v>
      </c>
      <c r="N90" s="58" t="n">
        <v>42</v>
      </c>
      <c r="O90" s="53" t="inlineStr">
        <is>
          <t>S52</t>
        </is>
      </c>
      <c r="P90" s="55" t="n">
        <v>17</v>
      </c>
      <c r="Q90" s="59">
        <f>IF(BO90=1,0,IFERROR(VLOOKUP(BM90,'Gebinde-Kategorie'!$A$5:$G$45,6,0)+0,0))</f>
        <v/>
      </c>
      <c r="R90" s="60" t="n"/>
      <c r="S90" s="61" t="n"/>
      <c r="T90" s="61" t="n"/>
      <c r="U90" s="53">
        <f>IF(A90="","",IF(IFERROR(VLOOKUP(D90,Parameter!$A$35:$C$64,2,0),"Nein")="2+3",IF(ISNUMBER(SEARCH("grosser Artikel",BJ90)),2,IFERROR(VLOOKUP(BM90,Parameter!$F$35:$G$64,2,0),2)),IF(OR(IFERROR(VLOOKUP(D90,Parameter!$A$35:$C$64,2,0),"Nein")="Nein",IFERROR(VLOOKUP(D90,Parameter!$A$35:$C$64,2,0),"Nein")=""),"-",VLOOKUP(D90,Parameter!$A$35:$C$64,2,0))))</f>
        <v/>
      </c>
      <c r="V90" s="61" t="n"/>
      <c r="W90" s="62" t="n"/>
      <c r="X90" s="55">
        <f>AM90</f>
        <v/>
      </c>
      <c r="Y90" s="55">
        <f>MAX(AM90,G90)</f>
        <v/>
      </c>
      <c r="Z90" s="63" t="n"/>
      <c r="AA90" s="55">
        <f>IF(LEFT(Cockpit!$C$5,1)="A",G90,IF(BT90=1,BU90,IF(LEFT(Cockpit!$C$5,1)="B",AE90,MAX(AE90,G90))))</f>
        <v/>
      </c>
      <c r="AB90" s="55">
        <f>IF(BO90=1,0,ROUNDUP(AA90/BN90,0))</f>
        <v/>
      </c>
      <c r="AC90" s="64">
        <f>IF(BO90=1,IF(AA90&lt;=0,0,BP90*MAX(1,IF(G90&gt;0,AA90/G90,1))),AB90*Q90)</f>
        <v/>
      </c>
      <c r="AD90" s="55">
        <f>AA90*F90</f>
        <v/>
      </c>
      <c r="AE90" s="55">
        <f>ROUNDUP(MAX(I90/IF(BS90&gt;0,BS90,MAX(0.1,N(Cockpit!$C$6))),BV90)/BN90,0)*BN90</f>
        <v/>
      </c>
      <c r="AF90" s="56">
        <f>IF(AC90&gt;0,I90/AC90,-1)</f>
        <v/>
      </c>
      <c r="AG90" s="56">
        <f>IF(AND(OR(BR90="L1",BR90="L23"),AC90&gt;0),SUMIFS($AC$7:$AC$1570,$BR$7:$BR$1570,BR90,$AF$7:$AF$1570,"&gt;"&amp;AF90)+SUMIFS($AC$7:$AC$1570,$BR$7:$BR$1570,BR90,$AF$7:$AF$1570,AF90,$BL$7:$BL$1570,"&lt;="&amp;BL90),"")</f>
        <v/>
      </c>
      <c r="AH90" s="65">
        <f>IF(AG90="",0,MAX(0,MIN(1,(IF(BR90="L1",Parameter!$K$5,Parameter!$K$6+Parameter!$K$7)-(AG90-AC90))/AC90)))</f>
        <v/>
      </c>
      <c r="AI90" s="55">
        <f>IF(LEFT(Cockpit!$I$5,1)="A",G90,IF(BT90=1,BU90,IF(LEFT(Cockpit!$I$5,1)="B",AM90,MAX(AM90,G90))))</f>
        <v/>
      </c>
      <c r="AJ90" s="55">
        <f>IF(BO90=1,0,ROUNDUP(AI90/BN90,0))</f>
        <v/>
      </c>
      <c r="AK90" s="64">
        <f>IF(BO90=1,IF(AI90&lt;=0,0,BP90*MAX(1,IF(G90&gt;0,AI90/G90,1))),AJ90*Q90)</f>
        <v/>
      </c>
      <c r="AL90" s="55">
        <f>AI90*F90</f>
        <v/>
      </c>
      <c r="AM90" s="55">
        <f>ROUNDUP(MAX(I90/IF(BS90&gt;0,BS90,MAX(0.1,N(Cockpit!$I$6))),BV90)/BN90,0)*BN90</f>
        <v/>
      </c>
      <c r="AN90" s="56">
        <f>IF(AK90&gt;0,I90/AK90,-1)</f>
        <v/>
      </c>
      <c r="AO90" s="56">
        <f>IF(AND(OR(BR90="L1",BR90="L23"),AK90&gt;0),SUMIFS($AK$7:$AK$1570,$BR$7:$BR$1570,BR90,$AN$7:$AN$1570,"&gt;"&amp;AN90)+SUMIFS($AK$7:$AK$1570,$BR$7:$BR$1570,BR90,$AN$7:$AN$1570,AN90,$BL$7:$BL$1570,"&lt;="&amp;BL90),"")</f>
        <v/>
      </c>
      <c r="AP90" s="65">
        <f>IF(AO90="",0,MAX(0,MIN(1,(IF(BR90="L1",Parameter!$K$5,Parameter!$K$6+Parameter!$K$7)-(AO90-AK90))/AK90)))</f>
        <v/>
      </c>
      <c r="AQ90" s="55">
        <f>IF(LEFT(Cockpit!$O$5,1)="A",G90,IF(BT90=1,BU90,IF(LEFT(Cockpit!$O$5,1)="B",AU90,MAX(AU90,G90))))</f>
        <v/>
      </c>
      <c r="AR90" s="55">
        <f>IF(BO90=1,0,ROUNDUP(AQ90/BN90,0))</f>
        <v/>
      </c>
      <c r="AS90" s="64">
        <f>IF(BO90=1,IF(AQ90&lt;=0,0,BP90*MAX(1,IF(G90&gt;0,AQ90/G90,1))),AR90*Q90)</f>
        <v/>
      </c>
      <c r="AT90" s="55">
        <f>AQ90*F90</f>
        <v/>
      </c>
      <c r="AU90" s="55">
        <f>ROUNDUP(MAX(I90/IF(BS90&gt;0,BS90,MAX(0.1,N(Cockpit!$O$6))),BV90)/BN90,0)*BN90</f>
        <v/>
      </c>
      <c r="AV90" s="56">
        <f>IF(AS90&gt;0,I90/AS90,-1)</f>
        <v/>
      </c>
      <c r="AW90" s="56">
        <f>IF(AND(OR(BR90="L1",BR90="L23"),AS90&gt;0),SUMIFS($AS$7:$AS$1570,$BR$7:$BR$1570,BR90,$AV$7:$AV$1570,"&gt;"&amp;AV90)+SUMIFS($AS$7:$AS$1570,$BR$7:$BR$1570,BR90,$AV$7:$AV$1570,AV90,$BL$7:$BL$1570,"&lt;="&amp;BL90),"")</f>
        <v/>
      </c>
      <c r="AX90" s="65">
        <f>IF(AW90="",0,MAX(0,MIN(1,(IF(BR90="L1",Parameter!$K$5,Parameter!$K$6+Parameter!$K$7)-(AW90-AS90))/AS90)))</f>
        <v/>
      </c>
      <c r="AY90" s="53">
        <f>IF(AC90&lt;=0,"",IF(BR90="Aussen","Aussenlager",IF(BR90="-","Nicht im Lift",IF(AH90&gt;=1,"Lift",IF(AH90&lt;=0,"Aussenlager","teilweise")))))</f>
        <v/>
      </c>
      <c r="AZ90" s="53">
        <f>IF(AK90&lt;=0,"",IF(BR90="Aussen","Aussenlager",IF(BR90="-","Nicht im Lift",IF(AP90&gt;=1,"Lift",IF(AP90&lt;=0,"Aussenlager","teilweise")))))</f>
        <v/>
      </c>
      <c r="BA90" s="53">
        <f>IF(AS90&lt;=0,"",IF(BR90="Aussen","Aussenlager",IF(BR90="-","Nicht im Lift",IF(AX90&gt;=1,"Lift",IF(AX90&lt;=0,"Aussenlager","teilweise")))))</f>
        <v/>
      </c>
      <c r="BB90" s="53">
        <f>IF(A90="","",IF(BK90=1,"Neu; ","")&amp;IF(AND(BK90=0,BF90&lt;0),"negativer Bestand (Export "&amp;BF90&amp;"); ","")&amp;IF(I90&lt;=0,"Kein Verbrauch; ","")&amp;IF(BO90=1,"Lose – Fläche geschätzt; ","")&amp;IF(G90&gt;AM90,"Überbestand "&amp;ROUND(G90-AM90,0)&amp;" Stk / CHF "&amp;ROUND((G90-AM90)*F90,0)&amp;"; ","")&amp;IF(AND(BT90=1,BU90&lt;BV90),"MAX &lt; MB+LG; ","")&amp;IF(AND(BZ90&gt;0,BY90*10&gt;BZ90),"zu hoch für Tablar; ","")&amp;IF(AND(BK90=0,OR(BT90=1,V90&lt;&gt;"",S90&lt;&gt;"",T90&lt;&gt;"",W90&lt;&gt;"")),"manuell übersteuert; ","")&amp;IF(AND(BO90=0,Q90=0),"Gebinde unbekannt; ","")&amp;IF(AND(BO90=0,N(T90)&lt;=0,N(P90)&lt;=0),"Menge pro Gebinde fehlt (Ist = 1 Gebinde); ","")&amp;BJ90)</f>
        <v/>
      </c>
      <c r="BC90" s="53" t="n"/>
      <c r="BD90" s="53" t="n"/>
      <c r="BE90" s="61" t="n"/>
      <c r="BF90" s="55" t="n">
        <v>8</v>
      </c>
      <c r="BG90" s="55" t="n">
        <v>5</v>
      </c>
      <c r="BH90" s="54" t="n">
        <v>2784.35</v>
      </c>
      <c r="BI90" s="55" t="n">
        <v>2</v>
      </c>
      <c r="BJ90" s="53" t="inlineStr">
        <is>
          <t>Überbestand</t>
        </is>
      </c>
      <c r="BK90" s="58" t="n">
        <v>0</v>
      </c>
      <c r="BL90" s="58" t="n">
        <v>90</v>
      </c>
      <c r="BM90" s="53">
        <f>IF(S90&lt;&gt;"",UPPER(TRIM(S90)),IF(O90="","LOSE",O90))</f>
        <v/>
      </c>
      <c r="BN90" s="55">
        <f>IF(BM90="LOSE",1,IF(N(T90)&gt;0,T90,IF(N(P90)&gt;0,P90,MAX(1,G90))))</f>
        <v/>
      </c>
      <c r="BO90" s="58">
        <f>IF(BM90="LOSE",1,0)</f>
        <v/>
      </c>
      <c r="BP90" s="64">
        <f>IF(BO90=0,0,IF(N(R90)&gt;0,R90,IFERROR(VLOOKUP(D90,Parameter!$A$35:$C$64,3,0)+0,0)))</f>
        <v/>
      </c>
      <c r="BQ90" s="53">
        <f>IF(V90&lt;&gt;"",V90,U90)</f>
        <v/>
      </c>
      <c r="BR90" s="53">
        <f>IF(BQ90=1,"L1",IF(OR(BQ90=2,BQ90=3),"L23",IF(BQ90="Aussen","Aussen","-")))</f>
        <v/>
      </c>
      <c r="BS90" s="66">
        <f>IF(N(W90)&gt;0,W90,0)</f>
        <v/>
      </c>
      <c r="BT90" s="58">
        <f>IF(ISNUMBER(Z90),1,0)</f>
        <v/>
      </c>
      <c r="BU90" s="55">
        <f>N(Z90)</f>
        <v/>
      </c>
      <c r="BV90" s="55">
        <f>N(L90)+N(M90)</f>
        <v/>
      </c>
      <c r="BW90" s="55">
        <f>ROUNDUP(G90/BN90,0)</f>
        <v/>
      </c>
      <c r="BX90" s="55">
        <f>ROUNDUP(BU90/BN90,0)</f>
        <v/>
      </c>
      <c r="BY90" s="58">
        <f>IF(BO90=1,0,IFERROR(VLOOKUP(BM90,'Gebinde-Kategorie'!$A$5:$G$45,5,0)+0,0))</f>
        <v/>
      </c>
      <c r="BZ90" s="58">
        <f>IFERROR(IF(OR(BQ90=1,BQ90=2,BQ90=3),N(INDEX(Parameter!$I$5:$I$7,BQ90)),0),0)</f>
        <v/>
      </c>
    </row>
    <row r="91">
      <c r="A91" s="53" t="inlineStr">
        <is>
          <t>106583</t>
        </is>
      </c>
      <c r="B91" s="53" t="inlineStr">
        <is>
          <t>Anschlussflansch</t>
        </is>
      </c>
      <c r="C91" s="53" t="inlineStr">
        <is>
          <t>F</t>
        </is>
      </c>
      <c r="D91" s="53" t="inlineStr">
        <is>
          <t>PAL</t>
        </is>
      </c>
      <c r="E91" s="53" t="inlineStr">
        <is>
          <t>C</t>
        </is>
      </c>
      <c r="F91" s="54" t="n">
        <v>335.82</v>
      </c>
      <c r="G91" s="55">
        <f>MAX(0,IF(Parameter!$B$20="Jahresanfang 2025 + Export",BG91+BF91,BF91))</f>
        <v/>
      </c>
      <c r="H91" s="55">
        <f>G91*F91</f>
        <v/>
      </c>
      <c r="I91" s="55">
        <f>BI91*Parameter!$B$18</f>
        <v/>
      </c>
      <c r="J91" s="56" t="n">
        <v>13.5</v>
      </c>
      <c r="K91" s="57" t="n">
        <v>2.222222222222222</v>
      </c>
      <c r="L91" s="55" t="n">
        <v>2</v>
      </c>
      <c r="M91" s="55" t="n">
        <v>15</v>
      </c>
      <c r="N91" s="58" t="n">
        <v>21</v>
      </c>
      <c r="O91" s="53" t="inlineStr">
        <is>
          <t>S71</t>
        </is>
      </c>
      <c r="P91" s="55" t="n">
        <v>24</v>
      </c>
      <c r="Q91" s="59">
        <f>IF(BO91=1,0,IFERROR(VLOOKUP(BM91,'Gebinde-Kategorie'!$A$5:$G$45,6,0)+0,0))</f>
        <v/>
      </c>
      <c r="R91" s="60" t="n"/>
      <c r="S91" s="61" t="n"/>
      <c r="T91" s="61" t="n"/>
      <c r="U91" s="53">
        <f>IF(A91="","",IF(IFERROR(VLOOKUP(D91,Parameter!$A$35:$C$64,2,0),"Nein")="2+3",IF(ISNUMBER(SEARCH("grosser Artikel",BJ91)),2,IFERROR(VLOOKUP(BM91,Parameter!$F$35:$G$64,2,0),2)),IF(OR(IFERROR(VLOOKUP(D91,Parameter!$A$35:$C$64,2,0),"Nein")="Nein",IFERROR(VLOOKUP(D91,Parameter!$A$35:$C$64,2,0),"Nein")=""),"-",VLOOKUP(D91,Parameter!$A$35:$C$64,2,0))))</f>
        <v/>
      </c>
      <c r="V91" s="61" t="n"/>
      <c r="W91" s="62" t="n"/>
      <c r="X91" s="55">
        <f>AM91</f>
        <v/>
      </c>
      <c r="Y91" s="55">
        <f>MAX(AM91,G91)</f>
        <v/>
      </c>
      <c r="Z91" s="63" t="n"/>
      <c r="AA91" s="55">
        <f>IF(LEFT(Cockpit!$C$5,1)="A",G91,IF(BT91=1,BU91,IF(LEFT(Cockpit!$C$5,1)="B",AE91,MAX(AE91,G91))))</f>
        <v/>
      </c>
      <c r="AB91" s="55">
        <f>IF(BO91=1,0,ROUNDUP(AA91/BN91,0))</f>
        <v/>
      </c>
      <c r="AC91" s="64">
        <f>IF(BO91=1,IF(AA91&lt;=0,0,BP91*MAX(1,IF(G91&gt;0,AA91/G91,1))),AB91*Q91)</f>
        <v/>
      </c>
      <c r="AD91" s="55">
        <f>AA91*F91</f>
        <v/>
      </c>
      <c r="AE91" s="55">
        <f>ROUNDUP(MAX(I91/IF(BS91&gt;0,BS91,MAX(0.1,N(Cockpit!$C$6))),BV91)/BN91,0)*BN91</f>
        <v/>
      </c>
      <c r="AF91" s="56">
        <f>IF(AC91&gt;0,I91/AC91,-1)</f>
        <v/>
      </c>
      <c r="AG91" s="56">
        <f>IF(AND(OR(BR91="L1",BR91="L23"),AC91&gt;0),SUMIFS($AC$7:$AC$1570,$BR$7:$BR$1570,BR91,$AF$7:$AF$1570,"&gt;"&amp;AF91)+SUMIFS($AC$7:$AC$1570,$BR$7:$BR$1570,BR91,$AF$7:$AF$1570,AF91,$BL$7:$BL$1570,"&lt;="&amp;BL91),"")</f>
        <v/>
      </c>
      <c r="AH91" s="65">
        <f>IF(AG91="",0,MAX(0,MIN(1,(IF(BR91="L1",Parameter!$K$5,Parameter!$K$6+Parameter!$K$7)-(AG91-AC91))/AC91)))</f>
        <v/>
      </c>
      <c r="AI91" s="55">
        <f>IF(LEFT(Cockpit!$I$5,1)="A",G91,IF(BT91=1,BU91,IF(LEFT(Cockpit!$I$5,1)="B",AM91,MAX(AM91,G91))))</f>
        <v/>
      </c>
      <c r="AJ91" s="55">
        <f>IF(BO91=1,0,ROUNDUP(AI91/BN91,0))</f>
        <v/>
      </c>
      <c r="AK91" s="64">
        <f>IF(BO91=1,IF(AI91&lt;=0,0,BP91*MAX(1,IF(G91&gt;0,AI91/G91,1))),AJ91*Q91)</f>
        <v/>
      </c>
      <c r="AL91" s="55">
        <f>AI91*F91</f>
        <v/>
      </c>
      <c r="AM91" s="55">
        <f>ROUNDUP(MAX(I91/IF(BS91&gt;0,BS91,MAX(0.1,N(Cockpit!$I$6))),BV91)/BN91,0)*BN91</f>
        <v/>
      </c>
      <c r="AN91" s="56">
        <f>IF(AK91&gt;0,I91/AK91,-1)</f>
        <v/>
      </c>
      <c r="AO91" s="56">
        <f>IF(AND(OR(BR91="L1",BR91="L23"),AK91&gt;0),SUMIFS($AK$7:$AK$1570,$BR$7:$BR$1570,BR91,$AN$7:$AN$1570,"&gt;"&amp;AN91)+SUMIFS($AK$7:$AK$1570,$BR$7:$BR$1570,BR91,$AN$7:$AN$1570,AN91,$BL$7:$BL$1570,"&lt;="&amp;BL91),"")</f>
        <v/>
      </c>
      <c r="AP91" s="65">
        <f>IF(AO91="",0,MAX(0,MIN(1,(IF(BR91="L1",Parameter!$K$5,Parameter!$K$6+Parameter!$K$7)-(AO91-AK91))/AK91)))</f>
        <v/>
      </c>
      <c r="AQ91" s="55">
        <f>IF(LEFT(Cockpit!$O$5,1)="A",G91,IF(BT91=1,BU91,IF(LEFT(Cockpit!$O$5,1)="B",AU91,MAX(AU91,G91))))</f>
        <v/>
      </c>
      <c r="AR91" s="55">
        <f>IF(BO91=1,0,ROUNDUP(AQ91/BN91,0))</f>
        <v/>
      </c>
      <c r="AS91" s="64">
        <f>IF(BO91=1,IF(AQ91&lt;=0,0,BP91*MAX(1,IF(G91&gt;0,AQ91/G91,1))),AR91*Q91)</f>
        <v/>
      </c>
      <c r="AT91" s="55">
        <f>AQ91*F91</f>
        <v/>
      </c>
      <c r="AU91" s="55">
        <f>ROUNDUP(MAX(I91/IF(BS91&gt;0,BS91,MAX(0.1,N(Cockpit!$O$6))),BV91)/BN91,0)*BN91</f>
        <v/>
      </c>
      <c r="AV91" s="56">
        <f>IF(AS91&gt;0,I91/AS91,-1)</f>
        <v/>
      </c>
      <c r="AW91" s="56">
        <f>IF(AND(OR(BR91="L1",BR91="L23"),AS91&gt;0),SUMIFS($AS$7:$AS$1570,$BR$7:$BR$1570,BR91,$AV$7:$AV$1570,"&gt;"&amp;AV91)+SUMIFS($AS$7:$AS$1570,$BR$7:$BR$1570,BR91,$AV$7:$AV$1570,AV91,$BL$7:$BL$1570,"&lt;="&amp;BL91),"")</f>
        <v/>
      </c>
      <c r="AX91" s="65">
        <f>IF(AW91="",0,MAX(0,MIN(1,(IF(BR91="L1",Parameter!$K$5,Parameter!$K$6+Parameter!$K$7)-(AW91-AS91))/AS91)))</f>
        <v/>
      </c>
      <c r="AY91" s="53">
        <f>IF(AC91&lt;=0,"",IF(BR91="Aussen","Aussenlager",IF(BR91="-","Nicht im Lift",IF(AH91&gt;=1,"Lift",IF(AH91&lt;=0,"Aussenlager","teilweise")))))</f>
        <v/>
      </c>
      <c r="AZ91" s="53">
        <f>IF(AK91&lt;=0,"",IF(BR91="Aussen","Aussenlager",IF(BR91="-","Nicht im Lift",IF(AP91&gt;=1,"Lift",IF(AP91&lt;=0,"Aussenlager","teilweise")))))</f>
        <v/>
      </c>
      <c r="BA91" s="53">
        <f>IF(AS91&lt;=0,"",IF(BR91="Aussen","Aussenlager",IF(BR91="-","Nicht im Lift",IF(AX91&gt;=1,"Lift",IF(AX91&lt;=0,"Aussenlager","teilweise")))))</f>
        <v/>
      </c>
      <c r="BB91" s="53">
        <f>IF(A91="","",IF(BK91=1,"Neu; ","")&amp;IF(AND(BK91=0,BF91&lt;0),"negativer Bestand (Export "&amp;BF91&amp;"); ","")&amp;IF(I91&lt;=0,"Kein Verbrauch; ","")&amp;IF(BO91=1,"Lose – Fläche geschätzt; ","")&amp;IF(G91&gt;AM91,"Überbestand "&amp;ROUND(G91-AM91,0)&amp;" Stk / CHF "&amp;ROUND((G91-AM91)*F91,0)&amp;"; ","")&amp;IF(AND(BT91=1,BU91&lt;BV91),"MAX &lt; MB+LG; ","")&amp;IF(AND(BZ91&gt;0,BY91*10&gt;BZ91),"zu hoch für Tablar; ","")&amp;IF(AND(BK91=0,OR(BT91=1,V91&lt;&gt;"",S91&lt;&gt;"",T91&lt;&gt;"",W91&lt;&gt;"")),"manuell übersteuert; ","")&amp;IF(AND(BO91=0,Q91=0),"Gebinde unbekannt; ","")&amp;IF(AND(BO91=0,N(T91)&lt;=0,N(P91)&lt;=0),"Menge pro Gebinde fehlt (Ist = 1 Gebinde); ","")&amp;BJ91)</f>
        <v/>
      </c>
      <c r="BC91" s="53" t="n"/>
      <c r="BD91" s="53" t="n"/>
      <c r="BE91" s="61" t="n"/>
      <c r="BF91" s="55" t="n">
        <v>7</v>
      </c>
      <c r="BG91" s="55" t="n">
        <v>8</v>
      </c>
      <c r="BH91" s="54" t="n">
        <v>2673.780000000001</v>
      </c>
      <c r="BI91" s="55" t="n">
        <v>30</v>
      </c>
      <c r="BJ91" s="53" t="inlineStr"/>
      <c r="BK91" s="58" t="n">
        <v>0</v>
      </c>
      <c r="BL91" s="58" t="n">
        <v>91</v>
      </c>
      <c r="BM91" s="53">
        <f>IF(S91&lt;&gt;"",UPPER(TRIM(S91)),IF(O91="","LOSE",O91))</f>
        <v/>
      </c>
      <c r="BN91" s="55">
        <f>IF(BM91="LOSE",1,IF(N(T91)&gt;0,T91,IF(N(P91)&gt;0,P91,MAX(1,G91))))</f>
        <v/>
      </c>
      <c r="BO91" s="58">
        <f>IF(BM91="LOSE",1,0)</f>
        <v/>
      </c>
      <c r="BP91" s="64">
        <f>IF(BO91=0,0,IF(N(R91)&gt;0,R91,IFERROR(VLOOKUP(D91,Parameter!$A$35:$C$64,3,0)+0,0)))</f>
        <v/>
      </c>
      <c r="BQ91" s="53">
        <f>IF(V91&lt;&gt;"",V91,U91)</f>
        <v/>
      </c>
      <c r="BR91" s="53">
        <f>IF(BQ91=1,"L1",IF(OR(BQ91=2,BQ91=3),"L23",IF(BQ91="Aussen","Aussen","-")))</f>
        <v/>
      </c>
      <c r="BS91" s="66">
        <f>IF(N(W91)&gt;0,W91,0)</f>
        <v/>
      </c>
      <c r="BT91" s="58">
        <f>IF(ISNUMBER(Z91),1,0)</f>
        <v/>
      </c>
      <c r="BU91" s="55">
        <f>N(Z91)</f>
        <v/>
      </c>
      <c r="BV91" s="55">
        <f>N(L91)+N(M91)</f>
        <v/>
      </c>
      <c r="BW91" s="55">
        <f>ROUNDUP(G91/BN91,0)</f>
        <v/>
      </c>
      <c r="BX91" s="55">
        <f>ROUNDUP(BU91/BN91,0)</f>
        <v/>
      </c>
      <c r="BY91" s="58">
        <f>IF(BO91=1,0,IFERROR(VLOOKUP(BM91,'Gebinde-Kategorie'!$A$5:$G$45,5,0)+0,0))</f>
        <v/>
      </c>
      <c r="BZ91" s="58">
        <f>IFERROR(IF(OR(BQ91=1,BQ91=2,BQ91=3),N(INDEX(Parameter!$I$5:$I$7,BQ91)),0),0)</f>
        <v/>
      </c>
    </row>
    <row r="92">
      <c r="A92" s="53" t="inlineStr">
        <is>
          <t>112026</t>
        </is>
      </c>
      <c r="B92" s="53" t="inlineStr">
        <is>
          <t>Berstscheibe 60 - 66 bar</t>
        </is>
      </c>
      <c r="C92" s="53" t="inlineStr">
        <is>
          <t>F</t>
        </is>
      </c>
      <c r="D92" s="53" t="inlineStr">
        <is>
          <t>KTL</t>
        </is>
      </c>
      <c r="E92" s="53" t="inlineStr">
        <is>
          <t>C</t>
        </is>
      </c>
      <c r="F92" s="54" t="n">
        <v>129.65</v>
      </c>
      <c r="G92" s="55">
        <f>MAX(0,IF(Parameter!$B$20="Jahresanfang 2025 + Export",BG92+BF92,BF92))</f>
        <v/>
      </c>
      <c r="H92" s="55">
        <f>G92*F92</f>
        <v/>
      </c>
      <c r="I92" s="55">
        <f>BI92*Parameter!$B$18</f>
        <v/>
      </c>
      <c r="J92" s="56" t="n">
        <v>0</v>
      </c>
      <c r="K92" s="57" t="n">
        <v>0</v>
      </c>
      <c r="L92" s="55" t="n">
        <v>0</v>
      </c>
      <c r="M92" s="55" t="n">
        <v>1</v>
      </c>
      <c r="N92" s="58" t="n">
        <v>9999</v>
      </c>
      <c r="O92" s="53" t="inlineStr">
        <is>
          <t>LOSE</t>
        </is>
      </c>
      <c r="P92" s="55" t="n"/>
      <c r="Q92" s="59">
        <f>IF(BO92=1,0,IFERROR(VLOOKUP(BM92,'Gebinde-Kategorie'!$A$5:$G$45,6,0)+0,0))</f>
        <v/>
      </c>
      <c r="R92" s="60" t="n"/>
      <c r="S92" s="61" t="n"/>
      <c r="T92" s="61" t="n"/>
      <c r="U92" s="53">
        <f>IF(A92="","",IF(IFERROR(VLOOKUP(D92,Parameter!$A$35:$C$64,2,0),"Nein")="2+3",IF(ISNUMBER(SEARCH("grosser Artikel",BJ92)),2,IFERROR(VLOOKUP(BM92,Parameter!$F$35:$G$64,2,0),2)),IF(OR(IFERROR(VLOOKUP(D92,Parameter!$A$35:$C$64,2,0),"Nein")="Nein",IFERROR(VLOOKUP(D92,Parameter!$A$35:$C$64,2,0),"Nein")=""),"-",VLOOKUP(D92,Parameter!$A$35:$C$64,2,0))))</f>
        <v/>
      </c>
      <c r="V92" s="61" t="n"/>
      <c r="W92" s="62" t="n"/>
      <c r="X92" s="55">
        <f>AM92</f>
        <v/>
      </c>
      <c r="Y92" s="55">
        <f>MAX(AM92,G92)</f>
        <v/>
      </c>
      <c r="Z92" s="63" t="n"/>
      <c r="AA92" s="55">
        <f>IF(LEFT(Cockpit!$C$5,1)="A",G92,IF(BT92=1,BU92,IF(LEFT(Cockpit!$C$5,1)="B",AE92,MAX(AE92,G92))))</f>
        <v/>
      </c>
      <c r="AB92" s="55">
        <f>IF(BO92=1,0,ROUNDUP(AA92/BN92,0))</f>
        <v/>
      </c>
      <c r="AC92" s="64">
        <f>IF(BO92=1,IF(AA92&lt;=0,0,BP92*MAX(1,IF(G92&gt;0,AA92/G92,1))),AB92*Q92)</f>
        <v/>
      </c>
      <c r="AD92" s="55">
        <f>AA92*F92</f>
        <v/>
      </c>
      <c r="AE92" s="55">
        <f>ROUNDUP(MAX(I92/IF(BS92&gt;0,BS92,MAX(0.1,N(Cockpit!$C$6))),BV92)/BN92,0)*BN92</f>
        <v/>
      </c>
      <c r="AF92" s="56">
        <f>IF(AC92&gt;0,I92/AC92,-1)</f>
        <v/>
      </c>
      <c r="AG92" s="56">
        <f>IF(AND(OR(BR92="L1",BR92="L23"),AC92&gt;0),SUMIFS($AC$7:$AC$1570,$BR$7:$BR$1570,BR92,$AF$7:$AF$1570,"&gt;"&amp;AF92)+SUMIFS($AC$7:$AC$1570,$BR$7:$BR$1570,BR92,$AF$7:$AF$1570,AF92,$BL$7:$BL$1570,"&lt;="&amp;BL92),"")</f>
        <v/>
      </c>
      <c r="AH92" s="65">
        <f>IF(AG92="",0,MAX(0,MIN(1,(IF(BR92="L1",Parameter!$K$5,Parameter!$K$6+Parameter!$K$7)-(AG92-AC92))/AC92)))</f>
        <v/>
      </c>
      <c r="AI92" s="55">
        <f>IF(LEFT(Cockpit!$I$5,1)="A",G92,IF(BT92=1,BU92,IF(LEFT(Cockpit!$I$5,1)="B",AM92,MAX(AM92,G92))))</f>
        <v/>
      </c>
      <c r="AJ92" s="55">
        <f>IF(BO92=1,0,ROUNDUP(AI92/BN92,0))</f>
        <v/>
      </c>
      <c r="AK92" s="64">
        <f>IF(BO92=1,IF(AI92&lt;=0,0,BP92*MAX(1,IF(G92&gt;0,AI92/G92,1))),AJ92*Q92)</f>
        <v/>
      </c>
      <c r="AL92" s="55">
        <f>AI92*F92</f>
        <v/>
      </c>
      <c r="AM92" s="55">
        <f>ROUNDUP(MAX(I92/IF(BS92&gt;0,BS92,MAX(0.1,N(Cockpit!$I$6))),BV92)/BN92,0)*BN92</f>
        <v/>
      </c>
      <c r="AN92" s="56">
        <f>IF(AK92&gt;0,I92/AK92,-1)</f>
        <v/>
      </c>
      <c r="AO92" s="56">
        <f>IF(AND(OR(BR92="L1",BR92="L23"),AK92&gt;0),SUMIFS($AK$7:$AK$1570,$BR$7:$BR$1570,BR92,$AN$7:$AN$1570,"&gt;"&amp;AN92)+SUMIFS($AK$7:$AK$1570,$BR$7:$BR$1570,BR92,$AN$7:$AN$1570,AN92,$BL$7:$BL$1570,"&lt;="&amp;BL92),"")</f>
        <v/>
      </c>
      <c r="AP92" s="65">
        <f>IF(AO92="",0,MAX(0,MIN(1,(IF(BR92="L1",Parameter!$K$5,Parameter!$K$6+Parameter!$K$7)-(AO92-AK92))/AK92)))</f>
        <v/>
      </c>
      <c r="AQ92" s="55">
        <f>IF(LEFT(Cockpit!$O$5,1)="A",G92,IF(BT92=1,BU92,IF(LEFT(Cockpit!$O$5,1)="B",AU92,MAX(AU92,G92))))</f>
        <v/>
      </c>
      <c r="AR92" s="55">
        <f>IF(BO92=1,0,ROUNDUP(AQ92/BN92,0))</f>
        <v/>
      </c>
      <c r="AS92" s="64">
        <f>IF(BO92=1,IF(AQ92&lt;=0,0,BP92*MAX(1,IF(G92&gt;0,AQ92/G92,1))),AR92*Q92)</f>
        <v/>
      </c>
      <c r="AT92" s="55">
        <f>AQ92*F92</f>
        <v/>
      </c>
      <c r="AU92" s="55">
        <f>ROUNDUP(MAX(I92/IF(BS92&gt;0,BS92,MAX(0.1,N(Cockpit!$O$6))),BV92)/BN92,0)*BN92</f>
        <v/>
      </c>
      <c r="AV92" s="56">
        <f>IF(AS92&gt;0,I92/AS92,-1)</f>
        <v/>
      </c>
      <c r="AW92" s="56">
        <f>IF(AND(OR(BR92="L1",BR92="L23"),AS92&gt;0),SUMIFS($AS$7:$AS$1570,$BR$7:$BR$1570,BR92,$AV$7:$AV$1570,"&gt;"&amp;AV92)+SUMIFS($AS$7:$AS$1570,$BR$7:$BR$1570,BR92,$AV$7:$AV$1570,AV92,$BL$7:$BL$1570,"&lt;="&amp;BL92),"")</f>
        <v/>
      </c>
      <c r="AX92" s="65">
        <f>IF(AW92="",0,MAX(0,MIN(1,(IF(BR92="L1",Parameter!$K$5,Parameter!$K$6+Parameter!$K$7)-(AW92-AS92))/AS92)))</f>
        <v/>
      </c>
      <c r="AY92" s="53">
        <f>IF(AC92&lt;=0,"",IF(BR92="Aussen","Aussenlager",IF(BR92="-","Nicht im Lift",IF(AH92&gt;=1,"Lift",IF(AH92&lt;=0,"Aussenlager","teilweise")))))</f>
        <v/>
      </c>
      <c r="AZ92" s="53">
        <f>IF(AK92&lt;=0,"",IF(BR92="Aussen","Aussenlager",IF(BR92="-","Nicht im Lift",IF(AP92&gt;=1,"Lift",IF(AP92&lt;=0,"Aussenlager","teilweise")))))</f>
        <v/>
      </c>
      <c r="BA92" s="53">
        <f>IF(AS92&lt;=0,"",IF(BR92="Aussen","Aussenlager",IF(BR92="-","Nicht im Lift",IF(AX92&gt;=1,"Lift",IF(AX92&lt;=0,"Aussenlager","teilweise")))))</f>
        <v/>
      </c>
      <c r="BB92" s="53">
        <f>IF(A92="","",IF(BK92=1,"Neu; ","")&amp;IF(AND(BK92=0,BF92&lt;0),"negativer Bestand (Export "&amp;BF92&amp;"); ","")&amp;IF(I92&lt;=0,"Kein Verbrauch; ","")&amp;IF(BO92=1,"Lose – Fläche geschätzt; ","")&amp;IF(G92&gt;AM92,"Überbestand "&amp;ROUND(G92-AM92,0)&amp;" Stk / CHF "&amp;ROUND((G92-AM92)*F92,0)&amp;"; ","")&amp;IF(AND(BT92=1,BU92&lt;BV92),"MAX &lt; MB+LG; ","")&amp;IF(AND(BZ92&gt;0,BY92*10&gt;BZ92),"zu hoch für Tablar; ","")&amp;IF(AND(BK92=0,OR(BT92=1,V92&lt;&gt;"",S92&lt;&gt;"",T92&lt;&gt;"",W92&lt;&gt;"")),"manuell übersteuert; ","")&amp;IF(AND(BO92=0,Q92=0),"Gebinde unbekannt; ","")&amp;IF(AND(BO92=0,N(T92)&lt;=0,N(P92)&lt;=0),"Menge pro Gebinde fehlt (Ist = 1 Gebinde); ","")&amp;BJ92)</f>
        <v/>
      </c>
      <c r="BC92" s="53" t="n"/>
      <c r="BD92" s="53" t="n"/>
      <c r="BE92" s="61" t="n"/>
      <c r="BF92" s="55" t="n">
        <v>20</v>
      </c>
      <c r="BG92" s="55" t="n">
        <v>0</v>
      </c>
      <c r="BH92" s="54" t="n">
        <v>2593</v>
      </c>
      <c r="BI92" s="55" t="n">
        <v>0</v>
      </c>
      <c r="BJ92" s="53" t="inlineStr"/>
      <c r="BK92" s="58" t="n">
        <v>0</v>
      </c>
      <c r="BL92" s="58" t="n">
        <v>92</v>
      </c>
      <c r="BM92" s="53">
        <f>IF(S92&lt;&gt;"",UPPER(TRIM(S92)),IF(O92="","LOSE",O92))</f>
        <v/>
      </c>
      <c r="BN92" s="55">
        <f>IF(BM92="LOSE",1,IF(N(T92)&gt;0,T92,IF(N(P92)&gt;0,P92,MAX(1,G92))))</f>
        <v/>
      </c>
      <c r="BO92" s="58">
        <f>IF(BM92="LOSE",1,0)</f>
        <v/>
      </c>
      <c r="BP92" s="64">
        <f>IF(BO92=0,0,IF(N(R92)&gt;0,R92,IFERROR(VLOOKUP(D92,Parameter!$A$35:$C$64,3,0)+0,0)))</f>
        <v/>
      </c>
      <c r="BQ92" s="53">
        <f>IF(V92&lt;&gt;"",V92,U92)</f>
        <v/>
      </c>
      <c r="BR92" s="53">
        <f>IF(BQ92=1,"L1",IF(OR(BQ92=2,BQ92=3),"L23",IF(BQ92="Aussen","Aussen","-")))</f>
        <v/>
      </c>
      <c r="BS92" s="66">
        <f>IF(N(W92)&gt;0,W92,0)</f>
        <v/>
      </c>
      <c r="BT92" s="58">
        <f>IF(ISNUMBER(Z92),1,0)</f>
        <v/>
      </c>
      <c r="BU92" s="55">
        <f>N(Z92)</f>
        <v/>
      </c>
      <c r="BV92" s="55">
        <f>N(L92)+N(M92)</f>
        <v/>
      </c>
      <c r="BW92" s="55">
        <f>ROUNDUP(G92/BN92,0)</f>
        <v/>
      </c>
      <c r="BX92" s="55">
        <f>ROUNDUP(BU92/BN92,0)</f>
        <v/>
      </c>
      <c r="BY92" s="58">
        <f>IF(BO92=1,0,IFERROR(VLOOKUP(BM92,'Gebinde-Kategorie'!$A$5:$G$45,5,0)+0,0))</f>
        <v/>
      </c>
      <c r="BZ92" s="58">
        <f>IFERROR(IF(OR(BQ92=1,BQ92=2,BQ92=3),N(INDEX(Parameter!$I$5:$I$7,BQ92)),0),0)</f>
        <v/>
      </c>
    </row>
    <row r="93">
      <c r="A93" s="53" t="inlineStr">
        <is>
          <t>111499</t>
        </is>
      </c>
      <c r="B93" s="53" t="inlineStr">
        <is>
          <t>Verpackung Service Kit 28k, SPGr16</t>
        </is>
      </c>
      <c r="C93" s="53" t="inlineStr">
        <is>
          <t>F</t>
        </is>
      </c>
      <c r="D93" s="53" t="inlineStr">
        <is>
          <t>PAL</t>
        </is>
      </c>
      <c r="E93" s="53" t="inlineStr">
        <is>
          <t>C</t>
        </is>
      </c>
      <c r="F93" s="54" t="n">
        <v>510.45</v>
      </c>
      <c r="G93" s="55">
        <f>MAX(0,IF(Parameter!$B$20="Jahresanfang 2025 + Export",BG93+BF93,BF93))</f>
        <v/>
      </c>
      <c r="H93" s="55">
        <f>G93*F93</f>
        <v/>
      </c>
      <c r="I93" s="55">
        <f>BI93*Parameter!$B$18</f>
        <v/>
      </c>
      <c r="J93" s="56" t="n">
        <v>0</v>
      </c>
      <c r="K93" s="57" t="n">
        <v>0</v>
      </c>
      <c r="L93" s="55" t="n">
        <v>2</v>
      </c>
      <c r="M93" s="55" t="n">
        <v>8</v>
      </c>
      <c r="N93" s="58" t="n">
        <v>28</v>
      </c>
      <c r="O93" s="53" t="inlineStr">
        <is>
          <t>LOSE</t>
        </is>
      </c>
      <c r="P93" s="55" t="n"/>
      <c r="Q93" s="59">
        <f>IF(BO93=1,0,IFERROR(VLOOKUP(BM93,'Gebinde-Kategorie'!$A$5:$G$45,6,0)+0,0))</f>
        <v/>
      </c>
      <c r="R93" s="60" t="n"/>
      <c r="S93" s="61" t="n"/>
      <c r="T93" s="61" t="n"/>
      <c r="U93" s="53">
        <f>IF(A93="","",IF(IFERROR(VLOOKUP(D93,Parameter!$A$35:$C$64,2,0),"Nein")="2+3",IF(ISNUMBER(SEARCH("grosser Artikel",BJ93)),2,IFERROR(VLOOKUP(BM93,Parameter!$F$35:$G$64,2,0),2)),IF(OR(IFERROR(VLOOKUP(D93,Parameter!$A$35:$C$64,2,0),"Nein")="Nein",IFERROR(VLOOKUP(D93,Parameter!$A$35:$C$64,2,0),"Nein")=""),"-",VLOOKUP(D93,Parameter!$A$35:$C$64,2,0))))</f>
        <v/>
      </c>
      <c r="V93" s="61" t="n"/>
      <c r="W93" s="62" t="n"/>
      <c r="X93" s="55">
        <f>AM93</f>
        <v/>
      </c>
      <c r="Y93" s="55">
        <f>MAX(AM93,G93)</f>
        <v/>
      </c>
      <c r="Z93" s="63" t="n"/>
      <c r="AA93" s="55">
        <f>IF(LEFT(Cockpit!$C$5,1)="A",G93,IF(BT93=1,BU93,IF(LEFT(Cockpit!$C$5,1)="B",AE93,MAX(AE93,G93))))</f>
        <v/>
      </c>
      <c r="AB93" s="55">
        <f>IF(BO93=1,0,ROUNDUP(AA93/BN93,0))</f>
        <v/>
      </c>
      <c r="AC93" s="64">
        <f>IF(BO93=1,IF(AA93&lt;=0,0,BP93*MAX(1,IF(G93&gt;0,AA93/G93,1))),AB93*Q93)</f>
        <v/>
      </c>
      <c r="AD93" s="55">
        <f>AA93*F93</f>
        <v/>
      </c>
      <c r="AE93" s="55">
        <f>ROUNDUP(MAX(I93/IF(BS93&gt;0,BS93,MAX(0.1,N(Cockpit!$C$6))),BV93)/BN93,0)*BN93</f>
        <v/>
      </c>
      <c r="AF93" s="56">
        <f>IF(AC93&gt;0,I93/AC93,-1)</f>
        <v/>
      </c>
      <c r="AG93" s="56">
        <f>IF(AND(OR(BR93="L1",BR93="L23"),AC93&gt;0),SUMIFS($AC$7:$AC$1570,$BR$7:$BR$1570,BR93,$AF$7:$AF$1570,"&gt;"&amp;AF93)+SUMIFS($AC$7:$AC$1570,$BR$7:$BR$1570,BR93,$AF$7:$AF$1570,AF93,$BL$7:$BL$1570,"&lt;="&amp;BL93),"")</f>
        <v/>
      </c>
      <c r="AH93" s="65">
        <f>IF(AG93="",0,MAX(0,MIN(1,(IF(BR93="L1",Parameter!$K$5,Parameter!$K$6+Parameter!$K$7)-(AG93-AC93))/AC93)))</f>
        <v/>
      </c>
      <c r="AI93" s="55">
        <f>IF(LEFT(Cockpit!$I$5,1)="A",G93,IF(BT93=1,BU93,IF(LEFT(Cockpit!$I$5,1)="B",AM93,MAX(AM93,G93))))</f>
        <v/>
      </c>
      <c r="AJ93" s="55">
        <f>IF(BO93=1,0,ROUNDUP(AI93/BN93,0))</f>
        <v/>
      </c>
      <c r="AK93" s="64">
        <f>IF(BO93=1,IF(AI93&lt;=0,0,BP93*MAX(1,IF(G93&gt;0,AI93/G93,1))),AJ93*Q93)</f>
        <v/>
      </c>
      <c r="AL93" s="55">
        <f>AI93*F93</f>
        <v/>
      </c>
      <c r="AM93" s="55">
        <f>ROUNDUP(MAX(I93/IF(BS93&gt;0,BS93,MAX(0.1,N(Cockpit!$I$6))),BV93)/BN93,0)*BN93</f>
        <v/>
      </c>
      <c r="AN93" s="56">
        <f>IF(AK93&gt;0,I93/AK93,-1)</f>
        <v/>
      </c>
      <c r="AO93" s="56">
        <f>IF(AND(OR(BR93="L1",BR93="L23"),AK93&gt;0),SUMIFS($AK$7:$AK$1570,$BR$7:$BR$1570,BR93,$AN$7:$AN$1570,"&gt;"&amp;AN93)+SUMIFS($AK$7:$AK$1570,$BR$7:$BR$1570,BR93,$AN$7:$AN$1570,AN93,$BL$7:$BL$1570,"&lt;="&amp;BL93),"")</f>
        <v/>
      </c>
      <c r="AP93" s="65">
        <f>IF(AO93="",0,MAX(0,MIN(1,(IF(BR93="L1",Parameter!$K$5,Parameter!$K$6+Parameter!$K$7)-(AO93-AK93))/AK93)))</f>
        <v/>
      </c>
      <c r="AQ93" s="55">
        <f>IF(LEFT(Cockpit!$O$5,1)="A",G93,IF(BT93=1,BU93,IF(LEFT(Cockpit!$O$5,1)="B",AU93,MAX(AU93,G93))))</f>
        <v/>
      </c>
      <c r="AR93" s="55">
        <f>IF(BO93=1,0,ROUNDUP(AQ93/BN93,0))</f>
        <v/>
      </c>
      <c r="AS93" s="64">
        <f>IF(BO93=1,IF(AQ93&lt;=0,0,BP93*MAX(1,IF(G93&gt;0,AQ93/G93,1))),AR93*Q93)</f>
        <v/>
      </c>
      <c r="AT93" s="55">
        <f>AQ93*F93</f>
        <v/>
      </c>
      <c r="AU93" s="55">
        <f>ROUNDUP(MAX(I93/IF(BS93&gt;0,BS93,MAX(0.1,N(Cockpit!$O$6))),BV93)/BN93,0)*BN93</f>
        <v/>
      </c>
      <c r="AV93" s="56">
        <f>IF(AS93&gt;0,I93/AS93,-1)</f>
        <v/>
      </c>
      <c r="AW93" s="56">
        <f>IF(AND(OR(BR93="L1",BR93="L23"),AS93&gt;0),SUMIFS($AS$7:$AS$1570,$BR$7:$BR$1570,BR93,$AV$7:$AV$1570,"&gt;"&amp;AV93)+SUMIFS($AS$7:$AS$1570,$BR$7:$BR$1570,BR93,$AV$7:$AV$1570,AV93,$BL$7:$BL$1570,"&lt;="&amp;BL93),"")</f>
        <v/>
      </c>
      <c r="AX93" s="65">
        <f>IF(AW93="",0,MAX(0,MIN(1,(IF(BR93="L1",Parameter!$K$5,Parameter!$K$6+Parameter!$K$7)-(AW93-AS93))/AS93)))</f>
        <v/>
      </c>
      <c r="AY93" s="53">
        <f>IF(AC93&lt;=0,"",IF(BR93="Aussen","Aussenlager",IF(BR93="-","Nicht im Lift",IF(AH93&gt;=1,"Lift",IF(AH93&lt;=0,"Aussenlager","teilweise")))))</f>
        <v/>
      </c>
      <c r="AZ93" s="53">
        <f>IF(AK93&lt;=0,"",IF(BR93="Aussen","Aussenlager",IF(BR93="-","Nicht im Lift",IF(AP93&gt;=1,"Lift",IF(AP93&lt;=0,"Aussenlager","teilweise")))))</f>
        <v/>
      </c>
      <c r="BA93" s="53">
        <f>IF(AS93&lt;=0,"",IF(BR93="Aussen","Aussenlager",IF(BR93="-","Nicht im Lift",IF(AX93&gt;=1,"Lift",IF(AX93&lt;=0,"Aussenlager","teilweise")))))</f>
        <v/>
      </c>
      <c r="BB93" s="53">
        <f>IF(A93="","",IF(BK93=1,"Neu; ","")&amp;IF(AND(BK93=0,BF93&lt;0),"negativer Bestand (Export "&amp;BF93&amp;"); ","")&amp;IF(I93&lt;=0,"Kein Verbrauch; ","")&amp;IF(BO93=1,"Lose – Fläche geschätzt; ","")&amp;IF(G93&gt;AM93,"Überbestand "&amp;ROUND(G93-AM93,0)&amp;" Stk / CHF "&amp;ROUND((G93-AM93)*F93,0)&amp;"; ","")&amp;IF(AND(BT93=1,BU93&lt;BV93),"MAX &lt; MB+LG; ","")&amp;IF(AND(BZ93&gt;0,BY93*10&gt;BZ93),"zu hoch für Tablar; ","")&amp;IF(AND(BK93=0,OR(BT93=1,V93&lt;&gt;"",S93&lt;&gt;"",T93&lt;&gt;"",W93&lt;&gt;"")),"manuell übersteuert; ","")&amp;IF(AND(BO93=0,Q93=0),"Gebinde unbekannt; ","")&amp;IF(AND(BO93=0,N(T93)&lt;=0,N(P93)&lt;=0),"Menge pro Gebinde fehlt (Ist = 1 Gebinde); ","")&amp;BJ93)</f>
        <v/>
      </c>
      <c r="BC93" s="53" t="n"/>
      <c r="BD93" s="53" t="n"/>
      <c r="BE93" s="61" t="n"/>
      <c r="BF93" s="55" t="n">
        <v>5</v>
      </c>
      <c r="BG93" s="55" t="n">
        <v>0</v>
      </c>
      <c r="BH93" s="54" t="n">
        <v>2552.250000000001</v>
      </c>
      <c r="BI93" s="55" t="n">
        <v>0</v>
      </c>
      <c r="BJ93" s="53" t="inlineStr"/>
      <c r="BK93" s="58" t="n">
        <v>0</v>
      </c>
      <c r="BL93" s="58" t="n">
        <v>93</v>
      </c>
      <c r="BM93" s="53">
        <f>IF(S93&lt;&gt;"",UPPER(TRIM(S93)),IF(O93="","LOSE",O93))</f>
        <v/>
      </c>
      <c r="BN93" s="55">
        <f>IF(BM93="LOSE",1,IF(N(T93)&gt;0,T93,IF(N(P93)&gt;0,P93,MAX(1,G93))))</f>
        <v/>
      </c>
      <c r="BO93" s="58">
        <f>IF(BM93="LOSE",1,0)</f>
        <v/>
      </c>
      <c r="BP93" s="64">
        <f>IF(BO93=0,0,IF(N(R93)&gt;0,R93,IFERROR(VLOOKUP(D93,Parameter!$A$35:$C$64,3,0)+0,0)))</f>
        <v/>
      </c>
      <c r="BQ93" s="53">
        <f>IF(V93&lt;&gt;"",V93,U93)</f>
        <v/>
      </c>
      <c r="BR93" s="53">
        <f>IF(BQ93=1,"L1",IF(OR(BQ93=2,BQ93=3),"L23",IF(BQ93="Aussen","Aussen","-")))</f>
        <v/>
      </c>
      <c r="BS93" s="66">
        <f>IF(N(W93)&gt;0,W93,0)</f>
        <v/>
      </c>
      <c r="BT93" s="58">
        <f>IF(ISNUMBER(Z93),1,0)</f>
        <v/>
      </c>
      <c r="BU93" s="55">
        <f>N(Z93)</f>
        <v/>
      </c>
      <c r="BV93" s="55">
        <f>N(L93)+N(M93)</f>
        <v/>
      </c>
      <c r="BW93" s="55">
        <f>ROUNDUP(G93/BN93,0)</f>
        <v/>
      </c>
      <c r="BX93" s="55">
        <f>ROUNDUP(BU93/BN93,0)</f>
        <v/>
      </c>
      <c r="BY93" s="58">
        <f>IF(BO93=1,0,IFERROR(VLOOKUP(BM93,'Gebinde-Kategorie'!$A$5:$G$45,5,0)+0,0))</f>
        <v/>
      </c>
      <c r="BZ93" s="58">
        <f>IFERROR(IF(OR(BQ93=1,BQ93=2,BQ93=3),N(INDEX(Parameter!$I$5:$I$7,BQ93)),0),0)</f>
        <v/>
      </c>
    </row>
    <row r="94">
      <c r="A94" s="53" t="inlineStr">
        <is>
          <t>106044</t>
        </is>
      </c>
      <c r="B94" s="53" t="inlineStr">
        <is>
          <t>Rohrstück mit Blende</t>
        </is>
      </c>
      <c r="C94" s="53" t="inlineStr">
        <is>
          <t>F</t>
        </is>
      </c>
      <c r="D94" s="53" t="inlineStr">
        <is>
          <t>KTL</t>
        </is>
      </c>
      <c r="E94" s="53" t="inlineStr">
        <is>
          <t>C</t>
        </is>
      </c>
      <c r="F94" s="54" t="n">
        <v>29.5</v>
      </c>
      <c r="G94" s="55">
        <f>MAX(0,IF(Parameter!$B$20="Jahresanfang 2025 + Export",BG94+BF94,BF94))</f>
        <v/>
      </c>
      <c r="H94" s="55">
        <f>G94*F94</f>
        <v/>
      </c>
      <c r="I94" s="55">
        <f>BI94*Parameter!$B$18</f>
        <v/>
      </c>
      <c r="J94" s="56" t="n">
        <v>11</v>
      </c>
      <c r="K94" s="57" t="n">
        <v>8</v>
      </c>
      <c r="L94" s="55" t="n">
        <v>5</v>
      </c>
      <c r="M94" s="55" t="n">
        <v>90</v>
      </c>
      <c r="N94" s="58" t="n">
        <v>21</v>
      </c>
      <c r="O94" s="53" t="inlineStr">
        <is>
          <t>S21</t>
        </is>
      </c>
      <c r="P94" s="55" t="n">
        <v>50</v>
      </c>
      <c r="Q94" s="59">
        <f>IF(BO94=1,0,IFERROR(VLOOKUP(BM94,'Gebinde-Kategorie'!$A$5:$G$45,6,0)+0,0))</f>
        <v/>
      </c>
      <c r="R94" s="60" t="n"/>
      <c r="S94" s="61" t="n"/>
      <c r="T94" s="61" t="n"/>
      <c r="U94" s="53">
        <f>IF(A94="","",IF(IFERROR(VLOOKUP(D94,Parameter!$A$35:$C$64,2,0),"Nein")="2+3",IF(ISNUMBER(SEARCH("grosser Artikel",BJ94)),2,IFERROR(VLOOKUP(BM94,Parameter!$F$35:$G$64,2,0),2)),IF(OR(IFERROR(VLOOKUP(D94,Parameter!$A$35:$C$64,2,0),"Nein")="Nein",IFERROR(VLOOKUP(D94,Parameter!$A$35:$C$64,2,0),"Nein")=""),"-",VLOOKUP(D94,Parameter!$A$35:$C$64,2,0))))</f>
        <v/>
      </c>
      <c r="V94" s="61" t="n"/>
      <c r="W94" s="62" t="n"/>
      <c r="X94" s="55">
        <f>AM94</f>
        <v/>
      </c>
      <c r="Y94" s="55">
        <f>MAX(AM94,G94)</f>
        <v/>
      </c>
      <c r="Z94" s="63" t="n"/>
      <c r="AA94" s="55">
        <f>IF(LEFT(Cockpit!$C$5,1)="A",G94,IF(BT94=1,BU94,IF(LEFT(Cockpit!$C$5,1)="B",AE94,MAX(AE94,G94))))</f>
        <v/>
      </c>
      <c r="AB94" s="55">
        <f>IF(BO94=1,0,ROUNDUP(AA94/BN94,0))</f>
        <v/>
      </c>
      <c r="AC94" s="64">
        <f>IF(BO94=1,IF(AA94&lt;=0,0,BP94*MAX(1,IF(G94&gt;0,AA94/G94,1))),AB94*Q94)</f>
        <v/>
      </c>
      <c r="AD94" s="55">
        <f>AA94*F94</f>
        <v/>
      </c>
      <c r="AE94" s="55">
        <f>ROUNDUP(MAX(I94/IF(BS94&gt;0,BS94,MAX(0.1,N(Cockpit!$C$6))),BV94)/BN94,0)*BN94</f>
        <v/>
      </c>
      <c r="AF94" s="56">
        <f>IF(AC94&gt;0,I94/AC94,-1)</f>
        <v/>
      </c>
      <c r="AG94" s="56">
        <f>IF(AND(OR(BR94="L1",BR94="L23"),AC94&gt;0),SUMIFS($AC$7:$AC$1570,$BR$7:$BR$1570,BR94,$AF$7:$AF$1570,"&gt;"&amp;AF94)+SUMIFS($AC$7:$AC$1570,$BR$7:$BR$1570,BR94,$AF$7:$AF$1570,AF94,$BL$7:$BL$1570,"&lt;="&amp;BL94),"")</f>
        <v/>
      </c>
      <c r="AH94" s="65">
        <f>IF(AG94="",0,MAX(0,MIN(1,(IF(BR94="L1",Parameter!$K$5,Parameter!$K$6+Parameter!$K$7)-(AG94-AC94))/AC94)))</f>
        <v/>
      </c>
      <c r="AI94" s="55">
        <f>IF(LEFT(Cockpit!$I$5,1)="A",G94,IF(BT94=1,BU94,IF(LEFT(Cockpit!$I$5,1)="B",AM94,MAX(AM94,G94))))</f>
        <v/>
      </c>
      <c r="AJ94" s="55">
        <f>IF(BO94=1,0,ROUNDUP(AI94/BN94,0))</f>
        <v/>
      </c>
      <c r="AK94" s="64">
        <f>IF(BO94=1,IF(AI94&lt;=0,0,BP94*MAX(1,IF(G94&gt;0,AI94/G94,1))),AJ94*Q94)</f>
        <v/>
      </c>
      <c r="AL94" s="55">
        <f>AI94*F94</f>
        <v/>
      </c>
      <c r="AM94" s="55">
        <f>ROUNDUP(MAX(I94/IF(BS94&gt;0,BS94,MAX(0.1,N(Cockpit!$I$6))),BV94)/BN94,0)*BN94</f>
        <v/>
      </c>
      <c r="AN94" s="56">
        <f>IF(AK94&gt;0,I94/AK94,-1)</f>
        <v/>
      </c>
      <c r="AO94" s="56">
        <f>IF(AND(OR(BR94="L1",BR94="L23"),AK94&gt;0),SUMIFS($AK$7:$AK$1570,$BR$7:$BR$1570,BR94,$AN$7:$AN$1570,"&gt;"&amp;AN94)+SUMIFS($AK$7:$AK$1570,$BR$7:$BR$1570,BR94,$AN$7:$AN$1570,AN94,$BL$7:$BL$1570,"&lt;="&amp;BL94),"")</f>
        <v/>
      </c>
      <c r="AP94" s="65">
        <f>IF(AO94="",0,MAX(0,MIN(1,(IF(BR94="L1",Parameter!$K$5,Parameter!$K$6+Parameter!$K$7)-(AO94-AK94))/AK94)))</f>
        <v/>
      </c>
      <c r="AQ94" s="55">
        <f>IF(LEFT(Cockpit!$O$5,1)="A",G94,IF(BT94=1,BU94,IF(LEFT(Cockpit!$O$5,1)="B",AU94,MAX(AU94,G94))))</f>
        <v/>
      </c>
      <c r="AR94" s="55">
        <f>IF(BO94=1,0,ROUNDUP(AQ94/BN94,0))</f>
        <v/>
      </c>
      <c r="AS94" s="64">
        <f>IF(BO94=1,IF(AQ94&lt;=0,0,BP94*MAX(1,IF(G94&gt;0,AQ94/G94,1))),AR94*Q94)</f>
        <v/>
      </c>
      <c r="AT94" s="55">
        <f>AQ94*F94</f>
        <v/>
      </c>
      <c r="AU94" s="55">
        <f>ROUNDUP(MAX(I94/IF(BS94&gt;0,BS94,MAX(0.1,N(Cockpit!$O$6))),BV94)/BN94,0)*BN94</f>
        <v/>
      </c>
      <c r="AV94" s="56">
        <f>IF(AS94&gt;0,I94/AS94,-1)</f>
        <v/>
      </c>
      <c r="AW94" s="56">
        <f>IF(AND(OR(BR94="L1",BR94="L23"),AS94&gt;0),SUMIFS($AS$7:$AS$1570,$BR$7:$BR$1570,BR94,$AV$7:$AV$1570,"&gt;"&amp;AV94)+SUMIFS($AS$7:$AS$1570,$BR$7:$BR$1570,BR94,$AV$7:$AV$1570,AV94,$BL$7:$BL$1570,"&lt;="&amp;BL94),"")</f>
        <v/>
      </c>
      <c r="AX94" s="65">
        <f>IF(AW94="",0,MAX(0,MIN(1,(IF(BR94="L1",Parameter!$K$5,Parameter!$K$6+Parameter!$K$7)-(AW94-AS94))/AS94)))</f>
        <v/>
      </c>
      <c r="AY94" s="53">
        <f>IF(AC94&lt;=0,"",IF(BR94="Aussen","Aussenlager",IF(BR94="-","Nicht im Lift",IF(AH94&gt;=1,"Lift",IF(AH94&lt;=0,"Aussenlager","teilweise")))))</f>
        <v/>
      </c>
      <c r="AZ94" s="53">
        <f>IF(AK94&lt;=0,"",IF(BR94="Aussen","Aussenlager",IF(BR94="-","Nicht im Lift",IF(AP94&gt;=1,"Lift",IF(AP94&lt;=0,"Aussenlager","teilweise")))))</f>
        <v/>
      </c>
      <c r="BA94" s="53">
        <f>IF(AS94&lt;=0,"",IF(BR94="Aussen","Aussenlager",IF(BR94="-","Nicht im Lift",IF(AX94&gt;=1,"Lift",IF(AX94&lt;=0,"Aussenlager","teilweise")))))</f>
        <v/>
      </c>
      <c r="BB94" s="53">
        <f>IF(A94="","",IF(BK94=1,"Neu; ","")&amp;IF(AND(BK94=0,BF94&lt;0),"negativer Bestand (Export "&amp;BF94&amp;"); ","")&amp;IF(I94&lt;=0,"Kein Verbrauch; ","")&amp;IF(BO94=1,"Lose – Fläche geschätzt; ","")&amp;IF(G94&gt;AM94,"Überbestand "&amp;ROUND(G94-AM94,0)&amp;" Stk / CHF "&amp;ROUND((G94-AM94)*F94,0)&amp;"; ","")&amp;IF(AND(BT94=1,BU94&lt;BV94),"MAX &lt; MB+LG; ","")&amp;IF(AND(BZ94&gt;0,BY94*10&gt;BZ94),"zu hoch für Tablar; ","")&amp;IF(AND(BK94=0,OR(BT94=1,V94&lt;&gt;"",S94&lt;&gt;"",T94&lt;&gt;"",W94&lt;&gt;"")),"manuell übersteuert; ","")&amp;IF(AND(BO94=0,Q94=0),"Gebinde unbekannt; ","")&amp;IF(AND(BO94=0,N(T94)&lt;=0,N(P94)&lt;=0),"Menge pro Gebinde fehlt (Ist = 1 Gebinde); ","")&amp;BJ94)</f>
        <v/>
      </c>
      <c r="BC94" s="53" t="n"/>
      <c r="BD94" s="53" t="n"/>
      <c r="BE94" s="61" t="n"/>
      <c r="BF94" s="55" t="n">
        <v>83</v>
      </c>
      <c r="BG94" s="55" t="n">
        <v>15</v>
      </c>
      <c r="BH94" s="54" t="n">
        <v>2482.39</v>
      </c>
      <c r="BI94" s="55" t="n">
        <v>88</v>
      </c>
      <c r="BJ94" s="53" t="inlineStr"/>
      <c r="BK94" s="58" t="n">
        <v>0</v>
      </c>
      <c r="BL94" s="58" t="n">
        <v>94</v>
      </c>
      <c r="BM94" s="53">
        <f>IF(S94&lt;&gt;"",UPPER(TRIM(S94)),IF(O94="","LOSE",O94))</f>
        <v/>
      </c>
      <c r="BN94" s="55">
        <f>IF(BM94="LOSE",1,IF(N(T94)&gt;0,T94,IF(N(P94)&gt;0,P94,MAX(1,G94))))</f>
        <v/>
      </c>
      <c r="BO94" s="58">
        <f>IF(BM94="LOSE",1,0)</f>
        <v/>
      </c>
      <c r="BP94" s="64">
        <f>IF(BO94=0,0,IF(N(R94)&gt;0,R94,IFERROR(VLOOKUP(D94,Parameter!$A$35:$C$64,3,0)+0,0)))</f>
        <v/>
      </c>
      <c r="BQ94" s="53">
        <f>IF(V94&lt;&gt;"",V94,U94)</f>
        <v/>
      </c>
      <c r="BR94" s="53">
        <f>IF(BQ94=1,"L1",IF(OR(BQ94=2,BQ94=3),"L23",IF(BQ94="Aussen","Aussen","-")))</f>
        <v/>
      </c>
      <c r="BS94" s="66">
        <f>IF(N(W94)&gt;0,W94,0)</f>
        <v/>
      </c>
      <c r="BT94" s="58">
        <f>IF(ISNUMBER(Z94),1,0)</f>
        <v/>
      </c>
      <c r="BU94" s="55">
        <f>N(Z94)</f>
        <v/>
      </c>
      <c r="BV94" s="55">
        <f>N(L94)+N(M94)</f>
        <v/>
      </c>
      <c r="BW94" s="55">
        <f>ROUNDUP(G94/BN94,0)</f>
        <v/>
      </c>
      <c r="BX94" s="55">
        <f>ROUNDUP(BU94/BN94,0)</f>
        <v/>
      </c>
      <c r="BY94" s="58">
        <f>IF(BO94=1,0,IFERROR(VLOOKUP(BM94,'Gebinde-Kategorie'!$A$5:$G$45,5,0)+0,0))</f>
        <v/>
      </c>
      <c r="BZ94" s="58">
        <f>IFERROR(IF(OR(BQ94=1,BQ94=2,BQ94=3),N(INDEX(Parameter!$I$5:$I$7,BQ94)),0),0)</f>
        <v/>
      </c>
    </row>
    <row r="95">
      <c r="A95" s="53" t="inlineStr">
        <is>
          <t>107212</t>
        </is>
      </c>
      <c r="B95" s="53" t="inlineStr">
        <is>
          <t>Sechskantschraube</t>
        </is>
      </c>
      <c r="C95" s="53" t="inlineStr">
        <is>
          <t>F</t>
        </is>
      </c>
      <c r="D95" s="53" t="inlineStr">
        <is>
          <t>KTL</t>
        </is>
      </c>
      <c r="E95" s="53" t="inlineStr">
        <is>
          <t>C</t>
        </is>
      </c>
      <c r="F95" s="54" t="n">
        <v>33.76</v>
      </c>
      <c r="G95" s="55">
        <f>MAX(0,IF(Parameter!$B$20="Jahresanfang 2025 + Export",BG95+BF95,BF95))</f>
        <v/>
      </c>
      <c r="H95" s="55">
        <f>G95*F95</f>
        <v/>
      </c>
      <c r="I95" s="55">
        <f>BI95*Parameter!$B$18</f>
        <v/>
      </c>
      <c r="J95" s="56" t="n">
        <v>40</v>
      </c>
      <c r="K95" s="57" t="n">
        <v>0.3</v>
      </c>
      <c r="L95" s="55" t="n">
        <v>0</v>
      </c>
      <c r="M95" s="55" t="n">
        <v>10</v>
      </c>
      <c r="N95" s="58" t="n">
        <v>21</v>
      </c>
      <c r="O95" s="53" t="inlineStr">
        <is>
          <t>LOSE</t>
        </is>
      </c>
      <c r="P95" s="55" t="n"/>
      <c r="Q95" s="59">
        <f>IF(BO95=1,0,IFERROR(VLOOKUP(BM95,'Gebinde-Kategorie'!$A$5:$G$45,6,0)+0,0))</f>
        <v/>
      </c>
      <c r="R95" s="60" t="n"/>
      <c r="S95" s="61" t="n"/>
      <c r="T95" s="61" t="n"/>
      <c r="U95" s="53">
        <f>IF(A95="","",IF(IFERROR(VLOOKUP(D95,Parameter!$A$35:$C$64,2,0),"Nein")="2+3",IF(ISNUMBER(SEARCH("grosser Artikel",BJ95)),2,IFERROR(VLOOKUP(BM95,Parameter!$F$35:$G$64,2,0),2)),IF(OR(IFERROR(VLOOKUP(D95,Parameter!$A$35:$C$64,2,0),"Nein")="Nein",IFERROR(VLOOKUP(D95,Parameter!$A$35:$C$64,2,0),"Nein")=""),"-",VLOOKUP(D95,Parameter!$A$35:$C$64,2,0))))</f>
        <v/>
      </c>
      <c r="V95" s="61" t="n"/>
      <c r="W95" s="62" t="n"/>
      <c r="X95" s="55">
        <f>AM95</f>
        <v/>
      </c>
      <c r="Y95" s="55">
        <f>MAX(AM95,G95)</f>
        <v/>
      </c>
      <c r="Z95" s="63" t="n"/>
      <c r="AA95" s="55">
        <f>IF(LEFT(Cockpit!$C$5,1)="A",G95,IF(BT95=1,BU95,IF(LEFT(Cockpit!$C$5,1)="B",AE95,MAX(AE95,G95))))</f>
        <v/>
      </c>
      <c r="AB95" s="55">
        <f>IF(BO95=1,0,ROUNDUP(AA95/BN95,0))</f>
        <v/>
      </c>
      <c r="AC95" s="64">
        <f>IF(BO95=1,IF(AA95&lt;=0,0,BP95*MAX(1,IF(G95&gt;0,AA95/G95,1))),AB95*Q95)</f>
        <v/>
      </c>
      <c r="AD95" s="55">
        <f>AA95*F95</f>
        <v/>
      </c>
      <c r="AE95" s="55">
        <f>ROUNDUP(MAX(I95/IF(BS95&gt;0,BS95,MAX(0.1,N(Cockpit!$C$6))),BV95)/BN95,0)*BN95</f>
        <v/>
      </c>
      <c r="AF95" s="56">
        <f>IF(AC95&gt;0,I95/AC95,-1)</f>
        <v/>
      </c>
      <c r="AG95" s="56">
        <f>IF(AND(OR(BR95="L1",BR95="L23"),AC95&gt;0),SUMIFS($AC$7:$AC$1570,$BR$7:$BR$1570,BR95,$AF$7:$AF$1570,"&gt;"&amp;AF95)+SUMIFS($AC$7:$AC$1570,$BR$7:$BR$1570,BR95,$AF$7:$AF$1570,AF95,$BL$7:$BL$1570,"&lt;="&amp;BL95),"")</f>
        <v/>
      </c>
      <c r="AH95" s="65">
        <f>IF(AG95="",0,MAX(0,MIN(1,(IF(BR95="L1",Parameter!$K$5,Parameter!$K$6+Parameter!$K$7)-(AG95-AC95))/AC95)))</f>
        <v/>
      </c>
      <c r="AI95" s="55">
        <f>IF(LEFT(Cockpit!$I$5,1)="A",G95,IF(BT95=1,BU95,IF(LEFT(Cockpit!$I$5,1)="B",AM95,MAX(AM95,G95))))</f>
        <v/>
      </c>
      <c r="AJ95" s="55">
        <f>IF(BO95=1,0,ROUNDUP(AI95/BN95,0))</f>
        <v/>
      </c>
      <c r="AK95" s="64">
        <f>IF(BO95=1,IF(AI95&lt;=0,0,BP95*MAX(1,IF(G95&gt;0,AI95/G95,1))),AJ95*Q95)</f>
        <v/>
      </c>
      <c r="AL95" s="55">
        <f>AI95*F95</f>
        <v/>
      </c>
      <c r="AM95" s="55">
        <f>ROUNDUP(MAX(I95/IF(BS95&gt;0,BS95,MAX(0.1,N(Cockpit!$I$6))),BV95)/BN95,0)*BN95</f>
        <v/>
      </c>
      <c r="AN95" s="56">
        <f>IF(AK95&gt;0,I95/AK95,-1)</f>
        <v/>
      </c>
      <c r="AO95" s="56">
        <f>IF(AND(OR(BR95="L1",BR95="L23"),AK95&gt;0),SUMIFS($AK$7:$AK$1570,$BR$7:$BR$1570,BR95,$AN$7:$AN$1570,"&gt;"&amp;AN95)+SUMIFS($AK$7:$AK$1570,$BR$7:$BR$1570,BR95,$AN$7:$AN$1570,AN95,$BL$7:$BL$1570,"&lt;="&amp;BL95),"")</f>
        <v/>
      </c>
      <c r="AP95" s="65">
        <f>IF(AO95="",0,MAX(0,MIN(1,(IF(BR95="L1",Parameter!$K$5,Parameter!$K$6+Parameter!$K$7)-(AO95-AK95))/AK95)))</f>
        <v/>
      </c>
      <c r="AQ95" s="55">
        <f>IF(LEFT(Cockpit!$O$5,1)="A",G95,IF(BT95=1,BU95,IF(LEFT(Cockpit!$O$5,1)="B",AU95,MAX(AU95,G95))))</f>
        <v/>
      </c>
      <c r="AR95" s="55">
        <f>IF(BO95=1,0,ROUNDUP(AQ95/BN95,0))</f>
        <v/>
      </c>
      <c r="AS95" s="64">
        <f>IF(BO95=1,IF(AQ95&lt;=0,0,BP95*MAX(1,IF(G95&gt;0,AQ95/G95,1))),AR95*Q95)</f>
        <v/>
      </c>
      <c r="AT95" s="55">
        <f>AQ95*F95</f>
        <v/>
      </c>
      <c r="AU95" s="55">
        <f>ROUNDUP(MAX(I95/IF(BS95&gt;0,BS95,MAX(0.1,N(Cockpit!$O$6))),BV95)/BN95,0)*BN95</f>
        <v/>
      </c>
      <c r="AV95" s="56">
        <f>IF(AS95&gt;0,I95/AS95,-1)</f>
        <v/>
      </c>
      <c r="AW95" s="56">
        <f>IF(AND(OR(BR95="L1",BR95="L23"),AS95&gt;0),SUMIFS($AS$7:$AS$1570,$BR$7:$BR$1570,BR95,$AV$7:$AV$1570,"&gt;"&amp;AV95)+SUMIFS($AS$7:$AS$1570,$BR$7:$BR$1570,BR95,$AV$7:$AV$1570,AV95,$BL$7:$BL$1570,"&lt;="&amp;BL95),"")</f>
        <v/>
      </c>
      <c r="AX95" s="65">
        <f>IF(AW95="",0,MAX(0,MIN(1,(IF(BR95="L1",Parameter!$K$5,Parameter!$K$6+Parameter!$K$7)-(AW95-AS95))/AS95)))</f>
        <v/>
      </c>
      <c r="AY95" s="53">
        <f>IF(AC95&lt;=0,"",IF(BR95="Aussen","Aussenlager",IF(BR95="-","Nicht im Lift",IF(AH95&gt;=1,"Lift",IF(AH95&lt;=0,"Aussenlager","teilweise")))))</f>
        <v/>
      </c>
      <c r="AZ95" s="53">
        <f>IF(AK95&lt;=0,"",IF(BR95="Aussen","Aussenlager",IF(BR95="-","Nicht im Lift",IF(AP95&gt;=1,"Lift",IF(AP95&lt;=0,"Aussenlager","teilweise")))))</f>
        <v/>
      </c>
      <c r="BA95" s="53">
        <f>IF(AS95&lt;=0,"",IF(BR95="Aussen","Aussenlager",IF(BR95="-","Nicht im Lift",IF(AX95&gt;=1,"Lift",IF(AX95&lt;=0,"Aussenlager","teilweise")))))</f>
        <v/>
      </c>
      <c r="BB95" s="53">
        <f>IF(A95="","",IF(BK95=1,"Neu; ","")&amp;IF(AND(BK95=0,BF95&lt;0),"negativer Bestand (Export "&amp;BF95&amp;"); ","")&amp;IF(I95&lt;=0,"Kein Verbrauch; ","")&amp;IF(BO95=1,"Lose – Fläche geschätzt; ","")&amp;IF(G95&gt;AM95,"Überbestand "&amp;ROUND(G95-AM95,0)&amp;" Stk / CHF "&amp;ROUND((G95-AM95)*F95,0)&amp;"; ","")&amp;IF(AND(BT95=1,BU95&lt;BV95),"MAX &lt; MB+LG; ","")&amp;IF(AND(BZ95&gt;0,BY95*10&gt;BZ95),"zu hoch für Tablar; ","")&amp;IF(AND(BK95=0,OR(BT95=1,V95&lt;&gt;"",S95&lt;&gt;"",T95&lt;&gt;"",W95&lt;&gt;"")),"manuell übersteuert; ","")&amp;IF(AND(BO95=0,Q95=0),"Gebinde unbekannt; ","")&amp;IF(AND(BO95=0,N(T95)&lt;=0,N(P95)&lt;=0),"Menge pro Gebinde fehlt (Ist = 1 Gebinde); ","")&amp;BJ95)</f>
        <v/>
      </c>
      <c r="BC95" s="53" t="n"/>
      <c r="BD95" s="53" t="n"/>
      <c r="BE95" s="61" t="n"/>
      <c r="BF95" s="55" t="n">
        <v>72</v>
      </c>
      <c r="BG95" s="55" t="n">
        <v>0</v>
      </c>
      <c r="BH95" s="54" t="n">
        <v>2430.72</v>
      </c>
      <c r="BI95" s="55" t="n">
        <v>12</v>
      </c>
      <c r="BJ95" s="53" t="inlineStr"/>
      <c r="BK95" s="58" t="n">
        <v>0</v>
      </c>
      <c r="BL95" s="58" t="n">
        <v>95</v>
      </c>
      <c r="BM95" s="53">
        <f>IF(S95&lt;&gt;"",UPPER(TRIM(S95)),IF(O95="","LOSE",O95))</f>
        <v/>
      </c>
      <c r="BN95" s="55">
        <f>IF(BM95="LOSE",1,IF(N(T95)&gt;0,T95,IF(N(P95)&gt;0,P95,MAX(1,G95))))</f>
        <v/>
      </c>
      <c r="BO95" s="58">
        <f>IF(BM95="LOSE",1,0)</f>
        <v/>
      </c>
      <c r="BP95" s="64">
        <f>IF(BO95=0,0,IF(N(R95)&gt;0,R95,IFERROR(VLOOKUP(D95,Parameter!$A$35:$C$64,3,0)+0,0)))</f>
        <v/>
      </c>
      <c r="BQ95" s="53">
        <f>IF(V95&lt;&gt;"",V95,U95)</f>
        <v/>
      </c>
      <c r="BR95" s="53">
        <f>IF(BQ95=1,"L1",IF(OR(BQ95=2,BQ95=3),"L23",IF(BQ95="Aussen","Aussen","-")))</f>
        <v/>
      </c>
      <c r="BS95" s="66">
        <f>IF(N(W95)&gt;0,W95,0)</f>
        <v/>
      </c>
      <c r="BT95" s="58">
        <f>IF(ISNUMBER(Z95),1,0)</f>
        <v/>
      </c>
      <c r="BU95" s="55">
        <f>N(Z95)</f>
        <v/>
      </c>
      <c r="BV95" s="55">
        <f>N(L95)+N(M95)</f>
        <v/>
      </c>
      <c r="BW95" s="55">
        <f>ROUNDUP(G95/BN95,0)</f>
        <v/>
      </c>
      <c r="BX95" s="55">
        <f>ROUNDUP(BU95/BN95,0)</f>
        <v/>
      </c>
      <c r="BY95" s="58">
        <f>IF(BO95=1,0,IFERROR(VLOOKUP(BM95,'Gebinde-Kategorie'!$A$5:$G$45,5,0)+0,0))</f>
        <v/>
      </c>
      <c r="BZ95" s="58">
        <f>IFERROR(IF(OR(BQ95=1,BQ95=2,BQ95=3),N(INDEX(Parameter!$I$5:$I$7,BQ95)),0),0)</f>
        <v/>
      </c>
    </row>
    <row r="96">
      <c r="A96" s="53" t="inlineStr">
        <is>
          <t>105456</t>
        </is>
      </c>
      <c r="B96" s="53" t="inlineStr">
        <is>
          <t>Zylinderschraube mit Innensechskant</t>
        </is>
      </c>
      <c r="C96" s="53" t="inlineStr">
        <is>
          <t>F</t>
        </is>
      </c>
      <c r="D96" s="53" t="inlineStr">
        <is>
          <t>PAL</t>
        </is>
      </c>
      <c r="E96" s="53" t="inlineStr">
        <is>
          <t>C</t>
        </is>
      </c>
      <c r="F96" s="54" t="n">
        <v>1.44</v>
      </c>
      <c r="G96" s="55">
        <f>MAX(0,IF(Parameter!$B$20="Jahresanfang 2025 + Export",BG96+BF96,BF96))</f>
        <v/>
      </c>
      <c r="H96" s="55">
        <f>G96*F96</f>
        <v/>
      </c>
      <c r="I96" s="55">
        <f>BI96*Parameter!$B$18</f>
        <v/>
      </c>
      <c r="J96" s="56" t="n">
        <v>2824.5</v>
      </c>
      <c r="K96" s="57" t="n">
        <v>5.97309258275801</v>
      </c>
      <c r="L96" s="55" t="n">
        <v>1968</v>
      </c>
      <c r="M96" s="55" t="n">
        <v>2000</v>
      </c>
      <c r="N96" s="58" t="n">
        <v>42</v>
      </c>
      <c r="O96" s="53" t="inlineStr">
        <is>
          <t>S71</t>
        </is>
      </c>
      <c r="P96" s="55" t="n"/>
      <c r="Q96" s="59">
        <f>IF(BO96=1,0,IFERROR(VLOOKUP(BM96,'Gebinde-Kategorie'!$A$5:$G$45,6,0)+0,0))</f>
        <v/>
      </c>
      <c r="R96" s="60" t="n"/>
      <c r="S96" s="61" t="n"/>
      <c r="T96" s="61" t="n"/>
      <c r="U96" s="53">
        <f>IF(A96="","",IF(IFERROR(VLOOKUP(D96,Parameter!$A$35:$C$64,2,0),"Nein")="2+3",IF(ISNUMBER(SEARCH("grosser Artikel",BJ96)),2,IFERROR(VLOOKUP(BM96,Parameter!$F$35:$G$64,2,0),2)),IF(OR(IFERROR(VLOOKUP(D96,Parameter!$A$35:$C$64,2,0),"Nein")="Nein",IFERROR(VLOOKUP(D96,Parameter!$A$35:$C$64,2,0),"Nein")=""),"-",VLOOKUP(D96,Parameter!$A$35:$C$64,2,0))))</f>
        <v/>
      </c>
      <c r="V96" s="61" t="n"/>
      <c r="W96" s="62" t="n"/>
      <c r="X96" s="55">
        <f>AM96</f>
        <v/>
      </c>
      <c r="Y96" s="55">
        <f>MAX(AM96,G96)</f>
        <v/>
      </c>
      <c r="Z96" s="63" t="n"/>
      <c r="AA96" s="55">
        <f>IF(LEFT(Cockpit!$C$5,1)="A",G96,IF(BT96=1,BU96,IF(LEFT(Cockpit!$C$5,1)="B",AE96,MAX(AE96,G96))))</f>
        <v/>
      </c>
      <c r="AB96" s="55">
        <f>IF(BO96=1,0,ROUNDUP(AA96/BN96,0))</f>
        <v/>
      </c>
      <c r="AC96" s="64">
        <f>IF(BO96=1,IF(AA96&lt;=0,0,BP96*MAX(1,IF(G96&gt;0,AA96/G96,1))),AB96*Q96)</f>
        <v/>
      </c>
      <c r="AD96" s="55">
        <f>AA96*F96</f>
        <v/>
      </c>
      <c r="AE96" s="55">
        <f>ROUNDUP(MAX(I96/IF(BS96&gt;0,BS96,MAX(0.1,N(Cockpit!$C$6))),BV96)/BN96,0)*BN96</f>
        <v/>
      </c>
      <c r="AF96" s="56">
        <f>IF(AC96&gt;0,I96/AC96,-1)</f>
        <v/>
      </c>
      <c r="AG96" s="56">
        <f>IF(AND(OR(BR96="L1",BR96="L23"),AC96&gt;0),SUMIFS($AC$7:$AC$1570,$BR$7:$BR$1570,BR96,$AF$7:$AF$1570,"&gt;"&amp;AF96)+SUMIFS($AC$7:$AC$1570,$BR$7:$BR$1570,BR96,$AF$7:$AF$1570,AF96,$BL$7:$BL$1570,"&lt;="&amp;BL96),"")</f>
        <v/>
      </c>
      <c r="AH96" s="65">
        <f>IF(AG96="",0,MAX(0,MIN(1,(IF(BR96="L1",Parameter!$K$5,Parameter!$K$6+Parameter!$K$7)-(AG96-AC96))/AC96)))</f>
        <v/>
      </c>
      <c r="AI96" s="55">
        <f>IF(LEFT(Cockpit!$I$5,1)="A",G96,IF(BT96=1,BU96,IF(LEFT(Cockpit!$I$5,1)="B",AM96,MAX(AM96,G96))))</f>
        <v/>
      </c>
      <c r="AJ96" s="55">
        <f>IF(BO96=1,0,ROUNDUP(AI96/BN96,0))</f>
        <v/>
      </c>
      <c r="AK96" s="64">
        <f>IF(BO96=1,IF(AI96&lt;=0,0,BP96*MAX(1,IF(G96&gt;0,AI96/G96,1))),AJ96*Q96)</f>
        <v/>
      </c>
      <c r="AL96" s="55">
        <f>AI96*F96</f>
        <v/>
      </c>
      <c r="AM96" s="55">
        <f>ROUNDUP(MAX(I96/IF(BS96&gt;0,BS96,MAX(0.1,N(Cockpit!$I$6))),BV96)/BN96,0)*BN96</f>
        <v/>
      </c>
      <c r="AN96" s="56">
        <f>IF(AK96&gt;0,I96/AK96,-1)</f>
        <v/>
      </c>
      <c r="AO96" s="56">
        <f>IF(AND(OR(BR96="L1",BR96="L23"),AK96&gt;0),SUMIFS($AK$7:$AK$1570,$BR$7:$BR$1570,BR96,$AN$7:$AN$1570,"&gt;"&amp;AN96)+SUMIFS($AK$7:$AK$1570,$BR$7:$BR$1570,BR96,$AN$7:$AN$1570,AN96,$BL$7:$BL$1570,"&lt;="&amp;BL96),"")</f>
        <v/>
      </c>
      <c r="AP96" s="65">
        <f>IF(AO96="",0,MAX(0,MIN(1,(IF(BR96="L1",Parameter!$K$5,Parameter!$K$6+Parameter!$K$7)-(AO96-AK96))/AK96)))</f>
        <v/>
      </c>
      <c r="AQ96" s="55">
        <f>IF(LEFT(Cockpit!$O$5,1)="A",G96,IF(BT96=1,BU96,IF(LEFT(Cockpit!$O$5,1)="B",AU96,MAX(AU96,G96))))</f>
        <v/>
      </c>
      <c r="AR96" s="55">
        <f>IF(BO96=1,0,ROUNDUP(AQ96/BN96,0))</f>
        <v/>
      </c>
      <c r="AS96" s="64">
        <f>IF(BO96=1,IF(AQ96&lt;=0,0,BP96*MAX(1,IF(G96&gt;0,AQ96/G96,1))),AR96*Q96)</f>
        <v/>
      </c>
      <c r="AT96" s="55">
        <f>AQ96*F96</f>
        <v/>
      </c>
      <c r="AU96" s="55">
        <f>ROUNDUP(MAX(I96/IF(BS96&gt;0,BS96,MAX(0.1,N(Cockpit!$O$6))),BV96)/BN96,0)*BN96</f>
        <v/>
      </c>
      <c r="AV96" s="56">
        <f>IF(AS96&gt;0,I96/AS96,-1)</f>
        <v/>
      </c>
      <c r="AW96" s="56">
        <f>IF(AND(OR(BR96="L1",BR96="L23"),AS96&gt;0),SUMIFS($AS$7:$AS$1570,$BR$7:$BR$1570,BR96,$AV$7:$AV$1570,"&gt;"&amp;AV96)+SUMIFS($AS$7:$AS$1570,$BR$7:$BR$1570,BR96,$AV$7:$AV$1570,AV96,$BL$7:$BL$1570,"&lt;="&amp;BL96),"")</f>
        <v/>
      </c>
      <c r="AX96" s="65">
        <f>IF(AW96="",0,MAX(0,MIN(1,(IF(BR96="L1",Parameter!$K$5,Parameter!$K$6+Parameter!$K$7)-(AW96-AS96))/AS96)))</f>
        <v/>
      </c>
      <c r="AY96" s="53">
        <f>IF(AC96&lt;=0,"",IF(BR96="Aussen","Aussenlager",IF(BR96="-","Nicht im Lift",IF(AH96&gt;=1,"Lift",IF(AH96&lt;=0,"Aussenlager","teilweise")))))</f>
        <v/>
      </c>
      <c r="AZ96" s="53">
        <f>IF(AK96&lt;=0,"",IF(BR96="Aussen","Aussenlager",IF(BR96="-","Nicht im Lift",IF(AP96&gt;=1,"Lift",IF(AP96&lt;=0,"Aussenlager","teilweise")))))</f>
        <v/>
      </c>
      <c r="BA96" s="53">
        <f>IF(AS96&lt;=0,"",IF(BR96="Aussen","Aussenlager",IF(BR96="-","Nicht im Lift",IF(AX96&gt;=1,"Lift",IF(AX96&lt;=0,"Aussenlager","teilweise")))))</f>
        <v/>
      </c>
      <c r="BB96" s="53">
        <f>IF(A96="","",IF(BK96=1,"Neu; ","")&amp;IF(AND(BK96=0,BF96&lt;0),"negativer Bestand (Export "&amp;BF96&amp;"); ","")&amp;IF(I96&lt;=0,"Kein Verbrauch; ","")&amp;IF(BO96=1,"Lose – Fläche geschätzt; ","")&amp;IF(G96&gt;AM96,"Überbestand "&amp;ROUND(G96-AM96,0)&amp;" Stk / CHF "&amp;ROUND((G96-AM96)*F96,0)&amp;"; ","")&amp;IF(AND(BT96=1,BU96&lt;BV96),"MAX &lt; MB+LG; ","")&amp;IF(AND(BZ96&gt;0,BY96*10&gt;BZ96),"zu hoch für Tablar; ","")&amp;IF(AND(BK96=0,OR(BT96=1,V96&lt;&gt;"",S96&lt;&gt;"",T96&lt;&gt;"",W96&lt;&gt;"")),"manuell übersteuert; ","")&amp;IF(AND(BO96=0,Q96=0),"Gebinde unbekannt; ","")&amp;IF(AND(BO96=0,N(T96)&lt;=0,N(P96)&lt;=0),"Menge pro Gebinde fehlt (Ist = 1 Gebinde); ","")&amp;BJ96)</f>
        <v/>
      </c>
      <c r="BC96" s="53" t="n"/>
      <c r="BD96" s="53" t="n"/>
      <c r="BE96" s="61" t="n"/>
      <c r="BF96" s="55" t="n">
        <v>1628</v>
      </c>
      <c r="BG96" s="55" t="n">
        <v>2624</v>
      </c>
      <c r="BH96" s="54" t="n">
        <v>2421.600000000005</v>
      </c>
      <c r="BI96" s="55" t="n">
        <v>16871</v>
      </c>
      <c r="BJ96" s="53" t="inlineStr">
        <is>
          <t>grosser Artikel &amp; nicht im KTL</t>
        </is>
      </c>
      <c r="BK96" s="58" t="n">
        <v>0</v>
      </c>
      <c r="BL96" s="58" t="n">
        <v>96</v>
      </c>
      <c r="BM96" s="53">
        <f>IF(S96&lt;&gt;"",UPPER(TRIM(S96)),IF(O96="","LOSE",O96))</f>
        <v/>
      </c>
      <c r="BN96" s="55">
        <f>IF(BM96="LOSE",1,IF(N(T96)&gt;0,T96,IF(N(P96)&gt;0,P96,MAX(1,G96))))</f>
        <v/>
      </c>
      <c r="BO96" s="58">
        <f>IF(BM96="LOSE",1,0)</f>
        <v/>
      </c>
      <c r="BP96" s="64">
        <f>IF(BO96=0,0,IF(N(R96)&gt;0,R96,IFERROR(VLOOKUP(D96,Parameter!$A$35:$C$64,3,0)+0,0)))</f>
        <v/>
      </c>
      <c r="BQ96" s="53">
        <f>IF(V96&lt;&gt;"",V96,U96)</f>
        <v/>
      </c>
      <c r="BR96" s="53">
        <f>IF(BQ96=1,"L1",IF(OR(BQ96=2,BQ96=3),"L23",IF(BQ96="Aussen","Aussen","-")))</f>
        <v/>
      </c>
      <c r="BS96" s="66">
        <f>IF(N(W96)&gt;0,W96,0)</f>
        <v/>
      </c>
      <c r="BT96" s="58">
        <f>IF(ISNUMBER(Z96),1,0)</f>
        <v/>
      </c>
      <c r="BU96" s="55">
        <f>N(Z96)</f>
        <v/>
      </c>
      <c r="BV96" s="55">
        <f>N(L96)+N(M96)</f>
        <v/>
      </c>
      <c r="BW96" s="55">
        <f>ROUNDUP(G96/BN96,0)</f>
        <v/>
      </c>
      <c r="BX96" s="55">
        <f>ROUNDUP(BU96/BN96,0)</f>
        <v/>
      </c>
      <c r="BY96" s="58">
        <f>IF(BO96=1,0,IFERROR(VLOOKUP(BM96,'Gebinde-Kategorie'!$A$5:$G$45,5,0)+0,0))</f>
        <v/>
      </c>
      <c r="BZ96" s="58">
        <f>IFERROR(IF(OR(BQ96=1,BQ96=2,BQ96=3),N(INDEX(Parameter!$I$5:$I$7,BQ96)),0),0)</f>
        <v/>
      </c>
    </row>
    <row r="97">
      <c r="A97" s="53" t="inlineStr">
        <is>
          <t>103489</t>
        </is>
      </c>
      <c r="B97" s="53" t="inlineStr">
        <is>
          <t>Sicherungsscheibe</t>
        </is>
      </c>
      <c r="C97" s="53" t="inlineStr">
        <is>
          <t>F</t>
        </is>
      </c>
      <c r="D97" s="53" t="inlineStr">
        <is>
          <t>KTL</t>
        </is>
      </c>
      <c r="E97" s="53" t="inlineStr">
        <is>
          <t>C</t>
        </is>
      </c>
      <c r="F97" s="54" t="n">
        <v>0.7</v>
      </c>
      <c r="G97" s="55">
        <f>MAX(0,IF(Parameter!$B$20="Jahresanfang 2025 + Export",BG97+BF97,BF97))</f>
        <v/>
      </c>
      <c r="H97" s="55">
        <f>G97*F97</f>
        <v/>
      </c>
      <c r="I97" s="55">
        <f>BI97*Parameter!$B$18</f>
        <v/>
      </c>
      <c r="J97" s="56" t="n">
        <v>4450</v>
      </c>
      <c r="K97" s="57" t="n">
        <v>1.702247191011236</v>
      </c>
      <c r="L97" s="55" t="n">
        <v>850</v>
      </c>
      <c r="M97" s="55" t="n">
        <v>2000</v>
      </c>
      <c r="N97" s="58" t="n">
        <v>147</v>
      </c>
      <c r="O97" s="53" t="inlineStr">
        <is>
          <t>S63</t>
        </is>
      </c>
      <c r="P97" s="55" t="n">
        <v>6979</v>
      </c>
      <c r="Q97" s="59">
        <f>IF(BO97=1,0,IFERROR(VLOOKUP(BM97,'Gebinde-Kategorie'!$A$5:$G$45,6,0)+0,0))</f>
        <v/>
      </c>
      <c r="R97" s="60" t="n"/>
      <c r="S97" s="61" t="n"/>
      <c r="T97" s="61" t="n"/>
      <c r="U97" s="53">
        <f>IF(A97="","",IF(IFERROR(VLOOKUP(D97,Parameter!$A$35:$C$64,2,0),"Nein")="2+3",IF(ISNUMBER(SEARCH("grosser Artikel",BJ97)),2,IFERROR(VLOOKUP(BM97,Parameter!$F$35:$G$64,2,0),2)),IF(OR(IFERROR(VLOOKUP(D97,Parameter!$A$35:$C$64,2,0),"Nein")="Nein",IFERROR(VLOOKUP(D97,Parameter!$A$35:$C$64,2,0),"Nein")=""),"-",VLOOKUP(D97,Parameter!$A$35:$C$64,2,0))))</f>
        <v/>
      </c>
      <c r="V97" s="61" t="n"/>
      <c r="W97" s="62" t="n"/>
      <c r="X97" s="55">
        <f>AM97</f>
        <v/>
      </c>
      <c r="Y97" s="55">
        <f>MAX(AM97,G97)</f>
        <v/>
      </c>
      <c r="Z97" s="63" t="n"/>
      <c r="AA97" s="55">
        <f>IF(LEFT(Cockpit!$C$5,1)="A",G97,IF(BT97=1,BU97,IF(LEFT(Cockpit!$C$5,1)="B",AE97,MAX(AE97,G97))))</f>
        <v/>
      </c>
      <c r="AB97" s="55">
        <f>IF(BO97=1,0,ROUNDUP(AA97/BN97,0))</f>
        <v/>
      </c>
      <c r="AC97" s="64">
        <f>IF(BO97=1,IF(AA97&lt;=0,0,BP97*MAX(1,IF(G97&gt;0,AA97/G97,1))),AB97*Q97)</f>
        <v/>
      </c>
      <c r="AD97" s="55">
        <f>AA97*F97</f>
        <v/>
      </c>
      <c r="AE97" s="55">
        <f>ROUNDUP(MAX(I97/IF(BS97&gt;0,BS97,MAX(0.1,N(Cockpit!$C$6))),BV97)/BN97,0)*BN97</f>
        <v/>
      </c>
      <c r="AF97" s="56">
        <f>IF(AC97&gt;0,I97/AC97,-1)</f>
        <v/>
      </c>
      <c r="AG97" s="56">
        <f>IF(AND(OR(BR97="L1",BR97="L23"),AC97&gt;0),SUMIFS($AC$7:$AC$1570,$BR$7:$BR$1570,BR97,$AF$7:$AF$1570,"&gt;"&amp;AF97)+SUMIFS($AC$7:$AC$1570,$BR$7:$BR$1570,BR97,$AF$7:$AF$1570,AF97,$BL$7:$BL$1570,"&lt;="&amp;BL97),"")</f>
        <v/>
      </c>
      <c r="AH97" s="65">
        <f>IF(AG97="",0,MAX(0,MIN(1,(IF(BR97="L1",Parameter!$K$5,Parameter!$K$6+Parameter!$K$7)-(AG97-AC97))/AC97)))</f>
        <v/>
      </c>
      <c r="AI97" s="55">
        <f>IF(LEFT(Cockpit!$I$5,1)="A",G97,IF(BT97=1,BU97,IF(LEFT(Cockpit!$I$5,1)="B",AM97,MAX(AM97,G97))))</f>
        <v/>
      </c>
      <c r="AJ97" s="55">
        <f>IF(BO97=1,0,ROUNDUP(AI97/BN97,0))</f>
        <v/>
      </c>
      <c r="AK97" s="64">
        <f>IF(BO97=1,IF(AI97&lt;=0,0,BP97*MAX(1,IF(G97&gt;0,AI97/G97,1))),AJ97*Q97)</f>
        <v/>
      </c>
      <c r="AL97" s="55">
        <f>AI97*F97</f>
        <v/>
      </c>
      <c r="AM97" s="55">
        <f>ROUNDUP(MAX(I97/IF(BS97&gt;0,BS97,MAX(0.1,N(Cockpit!$I$6))),BV97)/BN97,0)*BN97</f>
        <v/>
      </c>
      <c r="AN97" s="56">
        <f>IF(AK97&gt;0,I97/AK97,-1)</f>
        <v/>
      </c>
      <c r="AO97" s="56">
        <f>IF(AND(OR(BR97="L1",BR97="L23"),AK97&gt;0),SUMIFS($AK$7:$AK$1570,$BR$7:$BR$1570,BR97,$AN$7:$AN$1570,"&gt;"&amp;AN97)+SUMIFS($AK$7:$AK$1570,$BR$7:$BR$1570,BR97,$AN$7:$AN$1570,AN97,$BL$7:$BL$1570,"&lt;="&amp;BL97),"")</f>
        <v/>
      </c>
      <c r="AP97" s="65">
        <f>IF(AO97="",0,MAX(0,MIN(1,(IF(BR97="L1",Parameter!$K$5,Parameter!$K$6+Parameter!$K$7)-(AO97-AK97))/AK97)))</f>
        <v/>
      </c>
      <c r="AQ97" s="55">
        <f>IF(LEFT(Cockpit!$O$5,1)="A",G97,IF(BT97=1,BU97,IF(LEFT(Cockpit!$O$5,1)="B",AU97,MAX(AU97,G97))))</f>
        <v/>
      </c>
      <c r="AR97" s="55">
        <f>IF(BO97=1,0,ROUNDUP(AQ97/BN97,0))</f>
        <v/>
      </c>
      <c r="AS97" s="64">
        <f>IF(BO97=1,IF(AQ97&lt;=0,0,BP97*MAX(1,IF(G97&gt;0,AQ97/G97,1))),AR97*Q97)</f>
        <v/>
      </c>
      <c r="AT97" s="55">
        <f>AQ97*F97</f>
        <v/>
      </c>
      <c r="AU97" s="55">
        <f>ROUNDUP(MAX(I97/IF(BS97&gt;0,BS97,MAX(0.1,N(Cockpit!$O$6))),BV97)/BN97,0)*BN97</f>
        <v/>
      </c>
      <c r="AV97" s="56">
        <f>IF(AS97&gt;0,I97/AS97,-1)</f>
        <v/>
      </c>
      <c r="AW97" s="56">
        <f>IF(AND(OR(BR97="L1",BR97="L23"),AS97&gt;0),SUMIFS($AS$7:$AS$1570,$BR$7:$BR$1570,BR97,$AV$7:$AV$1570,"&gt;"&amp;AV97)+SUMIFS($AS$7:$AS$1570,$BR$7:$BR$1570,BR97,$AV$7:$AV$1570,AV97,$BL$7:$BL$1570,"&lt;="&amp;BL97),"")</f>
        <v/>
      </c>
      <c r="AX97" s="65">
        <f>IF(AW97="",0,MAX(0,MIN(1,(IF(BR97="L1",Parameter!$K$5,Parameter!$K$6+Parameter!$K$7)-(AW97-AS97))/AS97)))</f>
        <v/>
      </c>
      <c r="AY97" s="53">
        <f>IF(AC97&lt;=0,"",IF(BR97="Aussen","Aussenlager",IF(BR97="-","Nicht im Lift",IF(AH97&gt;=1,"Lift",IF(AH97&lt;=0,"Aussenlager","teilweise")))))</f>
        <v/>
      </c>
      <c r="AZ97" s="53">
        <f>IF(AK97&lt;=0,"",IF(BR97="Aussen","Aussenlager",IF(BR97="-","Nicht im Lift",IF(AP97&gt;=1,"Lift",IF(AP97&lt;=0,"Aussenlager","teilweise")))))</f>
        <v/>
      </c>
      <c r="BA97" s="53">
        <f>IF(AS97&lt;=0,"",IF(BR97="Aussen","Aussenlager",IF(BR97="-","Nicht im Lift",IF(AX97&gt;=1,"Lift",IF(AX97&lt;=0,"Aussenlager","teilweise")))))</f>
        <v/>
      </c>
      <c r="BB97" s="53">
        <f>IF(A97="","",IF(BK97=1,"Neu; ","")&amp;IF(AND(BK97=0,BF97&lt;0),"negativer Bestand (Export "&amp;BF97&amp;"); ","")&amp;IF(I97&lt;=0,"Kein Verbrauch; ","")&amp;IF(BO97=1,"Lose – Fläche geschätzt; ","")&amp;IF(G97&gt;AM97,"Überbestand "&amp;ROUND(G97-AM97,0)&amp;" Stk / CHF "&amp;ROUND((G97-AM97)*F97,0)&amp;"; ","")&amp;IF(AND(BT97=1,BU97&lt;BV97),"MAX &lt; MB+LG; ","")&amp;IF(AND(BZ97&gt;0,BY97*10&gt;BZ97),"zu hoch für Tablar; ","")&amp;IF(AND(BK97=0,OR(BT97=1,V97&lt;&gt;"",S97&lt;&gt;"",T97&lt;&gt;"",W97&lt;&gt;"")),"manuell übersteuert; ","")&amp;IF(AND(BO97=0,Q97=0),"Gebinde unbekannt; ","")&amp;IF(AND(BO97=0,N(T97)&lt;=0,N(P97)&lt;=0),"Menge pro Gebinde fehlt (Ist = 1 Gebinde); ","")&amp;BJ97)</f>
        <v/>
      </c>
      <c r="BC97" s="53" t="n"/>
      <c r="BD97" s="53" t="n"/>
      <c r="BE97" s="61" t="n"/>
      <c r="BF97" s="55" t="n">
        <v>2568</v>
      </c>
      <c r="BG97" s="55" t="n">
        <v>6228</v>
      </c>
      <c r="BH97" s="54" t="n">
        <v>2416.700000000004</v>
      </c>
      <c r="BI97" s="55" t="n">
        <v>7575</v>
      </c>
      <c r="BJ97" s="53" t="inlineStr"/>
      <c r="BK97" s="58" t="n">
        <v>0</v>
      </c>
      <c r="BL97" s="58" t="n">
        <v>97</v>
      </c>
      <c r="BM97" s="53">
        <f>IF(S97&lt;&gt;"",UPPER(TRIM(S97)),IF(O97="","LOSE",O97))</f>
        <v/>
      </c>
      <c r="BN97" s="55">
        <f>IF(BM97="LOSE",1,IF(N(T97)&gt;0,T97,IF(N(P97)&gt;0,P97,MAX(1,G97))))</f>
        <v/>
      </c>
      <c r="BO97" s="58">
        <f>IF(BM97="LOSE",1,0)</f>
        <v/>
      </c>
      <c r="BP97" s="64">
        <f>IF(BO97=0,0,IF(N(R97)&gt;0,R97,IFERROR(VLOOKUP(D97,Parameter!$A$35:$C$64,3,0)+0,0)))</f>
        <v/>
      </c>
      <c r="BQ97" s="53">
        <f>IF(V97&lt;&gt;"",V97,U97)</f>
        <v/>
      </c>
      <c r="BR97" s="53">
        <f>IF(BQ97=1,"L1",IF(OR(BQ97=2,BQ97=3),"L23",IF(BQ97="Aussen","Aussen","-")))</f>
        <v/>
      </c>
      <c r="BS97" s="66">
        <f>IF(N(W97)&gt;0,W97,0)</f>
        <v/>
      </c>
      <c r="BT97" s="58">
        <f>IF(ISNUMBER(Z97),1,0)</f>
        <v/>
      </c>
      <c r="BU97" s="55">
        <f>N(Z97)</f>
        <v/>
      </c>
      <c r="BV97" s="55">
        <f>N(L97)+N(M97)</f>
        <v/>
      </c>
      <c r="BW97" s="55">
        <f>ROUNDUP(G97/BN97,0)</f>
        <v/>
      </c>
      <c r="BX97" s="55">
        <f>ROUNDUP(BU97/BN97,0)</f>
        <v/>
      </c>
      <c r="BY97" s="58">
        <f>IF(BO97=1,0,IFERROR(VLOOKUP(BM97,'Gebinde-Kategorie'!$A$5:$G$45,5,0)+0,0))</f>
        <v/>
      </c>
      <c r="BZ97" s="58">
        <f>IFERROR(IF(OR(BQ97=1,BQ97=2,BQ97=3),N(INDEX(Parameter!$I$5:$I$7,BQ97)),0),0)</f>
        <v/>
      </c>
    </row>
    <row r="98">
      <c r="A98" s="53" t="inlineStr">
        <is>
          <t>106752</t>
        </is>
      </c>
      <c r="B98" s="53" t="inlineStr">
        <is>
          <t>Beschriftungsset</t>
        </is>
      </c>
      <c r="C98" s="53" t="inlineStr">
        <is>
          <t>F</t>
        </is>
      </c>
      <c r="D98" s="53" t="inlineStr">
        <is>
          <t>KTL</t>
        </is>
      </c>
      <c r="E98" s="53" t="inlineStr">
        <is>
          <t>C</t>
        </is>
      </c>
      <c r="F98" s="54" t="n">
        <v>63</v>
      </c>
      <c r="G98" s="55">
        <f>MAX(0,IF(Parameter!$B$20="Jahresanfang 2025 + Export",BG98+BF98,BF98))</f>
        <v/>
      </c>
      <c r="H98" s="55">
        <f>G98*F98</f>
        <v/>
      </c>
      <c r="I98" s="55">
        <f>BI98*Parameter!$B$18</f>
        <v/>
      </c>
      <c r="J98" s="56" t="n">
        <v>29.5</v>
      </c>
      <c r="K98" s="57" t="n">
        <v>2.23728813559322</v>
      </c>
      <c r="L98" s="55" t="n">
        <v>5</v>
      </c>
      <c r="M98" s="55" t="n">
        <v>50</v>
      </c>
      <c r="N98" s="58" t="n">
        <v>28</v>
      </c>
      <c r="O98" s="53" t="inlineStr">
        <is>
          <t>S51</t>
        </is>
      </c>
      <c r="P98" s="55" t="n">
        <v>34</v>
      </c>
      <c r="Q98" s="59">
        <f>IF(BO98=1,0,IFERROR(VLOOKUP(BM98,'Gebinde-Kategorie'!$A$5:$G$45,6,0)+0,0))</f>
        <v/>
      </c>
      <c r="R98" s="60" t="n"/>
      <c r="S98" s="61" t="n"/>
      <c r="T98" s="61" t="n"/>
      <c r="U98" s="53">
        <f>IF(A98="","",IF(IFERROR(VLOOKUP(D98,Parameter!$A$35:$C$64,2,0),"Nein")="2+3",IF(ISNUMBER(SEARCH("grosser Artikel",BJ98)),2,IFERROR(VLOOKUP(BM98,Parameter!$F$35:$G$64,2,0),2)),IF(OR(IFERROR(VLOOKUP(D98,Parameter!$A$35:$C$64,2,0),"Nein")="Nein",IFERROR(VLOOKUP(D98,Parameter!$A$35:$C$64,2,0),"Nein")=""),"-",VLOOKUP(D98,Parameter!$A$35:$C$64,2,0))))</f>
        <v/>
      </c>
      <c r="V98" s="61" t="n"/>
      <c r="W98" s="62" t="n"/>
      <c r="X98" s="55">
        <f>AM98</f>
        <v/>
      </c>
      <c r="Y98" s="55">
        <f>MAX(AM98,G98)</f>
        <v/>
      </c>
      <c r="Z98" s="63" t="n"/>
      <c r="AA98" s="55">
        <f>IF(LEFT(Cockpit!$C$5,1)="A",G98,IF(BT98=1,BU98,IF(LEFT(Cockpit!$C$5,1)="B",AE98,MAX(AE98,G98))))</f>
        <v/>
      </c>
      <c r="AB98" s="55">
        <f>IF(BO98=1,0,ROUNDUP(AA98/BN98,0))</f>
        <v/>
      </c>
      <c r="AC98" s="64">
        <f>IF(BO98=1,IF(AA98&lt;=0,0,BP98*MAX(1,IF(G98&gt;0,AA98/G98,1))),AB98*Q98)</f>
        <v/>
      </c>
      <c r="AD98" s="55">
        <f>AA98*F98</f>
        <v/>
      </c>
      <c r="AE98" s="55">
        <f>ROUNDUP(MAX(I98/IF(BS98&gt;0,BS98,MAX(0.1,N(Cockpit!$C$6))),BV98)/BN98,0)*BN98</f>
        <v/>
      </c>
      <c r="AF98" s="56">
        <f>IF(AC98&gt;0,I98/AC98,-1)</f>
        <v/>
      </c>
      <c r="AG98" s="56">
        <f>IF(AND(OR(BR98="L1",BR98="L23"),AC98&gt;0),SUMIFS($AC$7:$AC$1570,$BR$7:$BR$1570,BR98,$AF$7:$AF$1570,"&gt;"&amp;AF98)+SUMIFS($AC$7:$AC$1570,$BR$7:$BR$1570,BR98,$AF$7:$AF$1570,AF98,$BL$7:$BL$1570,"&lt;="&amp;BL98),"")</f>
        <v/>
      </c>
      <c r="AH98" s="65">
        <f>IF(AG98="",0,MAX(0,MIN(1,(IF(BR98="L1",Parameter!$K$5,Parameter!$K$6+Parameter!$K$7)-(AG98-AC98))/AC98)))</f>
        <v/>
      </c>
      <c r="AI98" s="55">
        <f>IF(LEFT(Cockpit!$I$5,1)="A",G98,IF(BT98=1,BU98,IF(LEFT(Cockpit!$I$5,1)="B",AM98,MAX(AM98,G98))))</f>
        <v/>
      </c>
      <c r="AJ98" s="55">
        <f>IF(BO98=1,0,ROUNDUP(AI98/BN98,0))</f>
        <v/>
      </c>
      <c r="AK98" s="64">
        <f>IF(BO98=1,IF(AI98&lt;=0,0,BP98*MAX(1,IF(G98&gt;0,AI98/G98,1))),AJ98*Q98)</f>
        <v/>
      </c>
      <c r="AL98" s="55">
        <f>AI98*F98</f>
        <v/>
      </c>
      <c r="AM98" s="55">
        <f>ROUNDUP(MAX(I98/IF(BS98&gt;0,BS98,MAX(0.1,N(Cockpit!$I$6))),BV98)/BN98,0)*BN98</f>
        <v/>
      </c>
      <c r="AN98" s="56">
        <f>IF(AK98&gt;0,I98/AK98,-1)</f>
        <v/>
      </c>
      <c r="AO98" s="56">
        <f>IF(AND(OR(BR98="L1",BR98="L23"),AK98&gt;0),SUMIFS($AK$7:$AK$1570,$BR$7:$BR$1570,BR98,$AN$7:$AN$1570,"&gt;"&amp;AN98)+SUMIFS($AK$7:$AK$1570,$BR$7:$BR$1570,BR98,$AN$7:$AN$1570,AN98,$BL$7:$BL$1570,"&lt;="&amp;BL98),"")</f>
        <v/>
      </c>
      <c r="AP98" s="65">
        <f>IF(AO98="",0,MAX(0,MIN(1,(IF(BR98="L1",Parameter!$K$5,Parameter!$K$6+Parameter!$K$7)-(AO98-AK98))/AK98)))</f>
        <v/>
      </c>
      <c r="AQ98" s="55">
        <f>IF(LEFT(Cockpit!$O$5,1)="A",G98,IF(BT98=1,BU98,IF(LEFT(Cockpit!$O$5,1)="B",AU98,MAX(AU98,G98))))</f>
        <v/>
      </c>
      <c r="AR98" s="55">
        <f>IF(BO98=1,0,ROUNDUP(AQ98/BN98,0))</f>
        <v/>
      </c>
      <c r="AS98" s="64">
        <f>IF(BO98=1,IF(AQ98&lt;=0,0,BP98*MAX(1,IF(G98&gt;0,AQ98/G98,1))),AR98*Q98)</f>
        <v/>
      </c>
      <c r="AT98" s="55">
        <f>AQ98*F98</f>
        <v/>
      </c>
      <c r="AU98" s="55">
        <f>ROUNDUP(MAX(I98/IF(BS98&gt;0,BS98,MAX(0.1,N(Cockpit!$O$6))),BV98)/BN98,0)*BN98</f>
        <v/>
      </c>
      <c r="AV98" s="56">
        <f>IF(AS98&gt;0,I98/AS98,-1)</f>
        <v/>
      </c>
      <c r="AW98" s="56">
        <f>IF(AND(OR(BR98="L1",BR98="L23"),AS98&gt;0),SUMIFS($AS$7:$AS$1570,$BR$7:$BR$1570,BR98,$AV$7:$AV$1570,"&gt;"&amp;AV98)+SUMIFS($AS$7:$AS$1570,$BR$7:$BR$1570,BR98,$AV$7:$AV$1570,AV98,$BL$7:$BL$1570,"&lt;="&amp;BL98),"")</f>
        <v/>
      </c>
      <c r="AX98" s="65">
        <f>IF(AW98="",0,MAX(0,MIN(1,(IF(BR98="L1",Parameter!$K$5,Parameter!$K$6+Parameter!$K$7)-(AW98-AS98))/AS98)))</f>
        <v/>
      </c>
      <c r="AY98" s="53">
        <f>IF(AC98&lt;=0,"",IF(BR98="Aussen","Aussenlager",IF(BR98="-","Nicht im Lift",IF(AH98&gt;=1,"Lift",IF(AH98&lt;=0,"Aussenlager","teilweise")))))</f>
        <v/>
      </c>
      <c r="AZ98" s="53">
        <f>IF(AK98&lt;=0,"",IF(BR98="Aussen","Aussenlager",IF(BR98="-","Nicht im Lift",IF(AP98&gt;=1,"Lift",IF(AP98&lt;=0,"Aussenlager","teilweise")))))</f>
        <v/>
      </c>
      <c r="BA98" s="53">
        <f>IF(AS98&lt;=0,"",IF(BR98="Aussen","Aussenlager",IF(BR98="-","Nicht im Lift",IF(AX98&gt;=1,"Lift",IF(AX98&lt;=0,"Aussenlager","teilweise")))))</f>
        <v/>
      </c>
      <c r="BB98" s="53">
        <f>IF(A98="","",IF(BK98=1,"Neu; ","")&amp;IF(AND(BK98=0,BF98&lt;0),"negativer Bestand (Export "&amp;BF98&amp;"); ","")&amp;IF(I98&lt;=0,"Kein Verbrauch; ","")&amp;IF(BO98=1,"Lose – Fläche geschätzt; ","")&amp;IF(G98&gt;AM98,"Überbestand "&amp;ROUND(G98-AM98,0)&amp;" Stk / CHF "&amp;ROUND((G98-AM98)*F98,0)&amp;"; ","")&amp;IF(AND(BT98=1,BU98&lt;BV98),"MAX &lt; MB+LG; ","")&amp;IF(AND(BZ98&gt;0,BY98*10&gt;BZ98),"zu hoch für Tablar; ","")&amp;IF(AND(BK98=0,OR(BT98=1,V98&lt;&gt;"",S98&lt;&gt;"",T98&lt;&gt;"",W98&lt;&gt;"")),"manuell übersteuert; ","")&amp;IF(AND(BO98=0,Q98=0),"Gebinde unbekannt; ","")&amp;IF(AND(BO98=0,N(T98)&lt;=0,N(P98)&lt;=0),"Menge pro Gebinde fehlt (Ist = 1 Gebinde); ","")&amp;BJ98)</f>
        <v/>
      </c>
      <c r="BC98" s="53" t="n"/>
      <c r="BD98" s="53" t="n"/>
      <c r="BE98" s="61" t="n"/>
      <c r="BF98" s="55" t="n">
        <v>38</v>
      </c>
      <c r="BG98" s="55" t="n">
        <v>13</v>
      </c>
      <c r="BH98" s="54" t="n">
        <v>2394.260000000001</v>
      </c>
      <c r="BI98" s="55" t="n">
        <v>66</v>
      </c>
      <c r="BJ98" s="53" t="inlineStr"/>
      <c r="BK98" s="58" t="n">
        <v>0</v>
      </c>
      <c r="BL98" s="58" t="n">
        <v>98</v>
      </c>
      <c r="BM98" s="53">
        <f>IF(S98&lt;&gt;"",UPPER(TRIM(S98)),IF(O98="","LOSE",O98))</f>
        <v/>
      </c>
      <c r="BN98" s="55">
        <f>IF(BM98="LOSE",1,IF(N(T98)&gt;0,T98,IF(N(P98)&gt;0,P98,MAX(1,G98))))</f>
        <v/>
      </c>
      <c r="BO98" s="58">
        <f>IF(BM98="LOSE",1,0)</f>
        <v/>
      </c>
      <c r="BP98" s="64">
        <f>IF(BO98=0,0,IF(N(R98)&gt;0,R98,IFERROR(VLOOKUP(D98,Parameter!$A$35:$C$64,3,0)+0,0)))</f>
        <v/>
      </c>
      <c r="BQ98" s="53">
        <f>IF(V98&lt;&gt;"",V98,U98)</f>
        <v/>
      </c>
      <c r="BR98" s="53">
        <f>IF(BQ98=1,"L1",IF(OR(BQ98=2,BQ98=3),"L23",IF(BQ98="Aussen","Aussen","-")))</f>
        <v/>
      </c>
      <c r="BS98" s="66">
        <f>IF(N(W98)&gt;0,W98,0)</f>
        <v/>
      </c>
      <c r="BT98" s="58">
        <f>IF(ISNUMBER(Z98),1,0)</f>
        <v/>
      </c>
      <c r="BU98" s="55">
        <f>N(Z98)</f>
        <v/>
      </c>
      <c r="BV98" s="55">
        <f>N(L98)+N(M98)</f>
        <v/>
      </c>
      <c r="BW98" s="55">
        <f>ROUNDUP(G98/BN98,0)</f>
        <v/>
      </c>
      <c r="BX98" s="55">
        <f>ROUNDUP(BU98/BN98,0)</f>
        <v/>
      </c>
      <c r="BY98" s="58">
        <f>IF(BO98=1,0,IFERROR(VLOOKUP(BM98,'Gebinde-Kategorie'!$A$5:$G$45,5,0)+0,0))</f>
        <v/>
      </c>
      <c r="BZ98" s="58">
        <f>IFERROR(IF(OR(BQ98=1,BQ98=2,BQ98=3),N(INDEX(Parameter!$I$5:$I$7,BQ98)),0),0)</f>
        <v/>
      </c>
    </row>
    <row r="99">
      <c r="A99" s="53" t="inlineStr">
        <is>
          <t>106635</t>
        </is>
      </c>
      <c r="B99" s="53" t="inlineStr">
        <is>
          <t>Leiste zu SPGr16</t>
        </is>
      </c>
      <c r="C99" s="53" t="inlineStr">
        <is>
          <t>F</t>
        </is>
      </c>
      <c r="D99" s="53" t="inlineStr">
        <is>
          <t>PAL</t>
        </is>
      </c>
      <c r="E99" s="53" t="inlineStr">
        <is>
          <t>C</t>
        </is>
      </c>
      <c r="F99" s="54" t="n">
        <v>198.42</v>
      </c>
      <c r="G99" s="55">
        <f>MAX(0,IF(Parameter!$B$20="Jahresanfang 2025 + Export",BG99+BF99,BF99))</f>
        <v/>
      </c>
      <c r="H99" s="55">
        <f>G99*F99</f>
        <v/>
      </c>
      <c r="I99" s="55">
        <f>BI99*Parameter!$B$18</f>
        <v/>
      </c>
      <c r="J99" s="56" t="n">
        <v>7</v>
      </c>
      <c r="K99" s="57" t="n">
        <v>3.428571428571428</v>
      </c>
      <c r="L99" s="55" t="n">
        <v>3</v>
      </c>
      <c r="M99" s="55" t="n">
        <v>15</v>
      </c>
      <c r="N99" s="58" t="n">
        <v>56</v>
      </c>
      <c r="O99" s="53" t="inlineStr">
        <is>
          <t>S51</t>
        </is>
      </c>
      <c r="P99" s="55" t="n">
        <v>12</v>
      </c>
      <c r="Q99" s="59">
        <f>IF(BO99=1,0,IFERROR(VLOOKUP(BM99,'Gebinde-Kategorie'!$A$5:$G$45,6,0)+0,0))</f>
        <v/>
      </c>
      <c r="R99" s="60" t="n"/>
      <c r="S99" s="61" t="n"/>
      <c r="T99" s="61" t="n"/>
      <c r="U99" s="53">
        <f>IF(A99="","",IF(IFERROR(VLOOKUP(D99,Parameter!$A$35:$C$64,2,0),"Nein")="2+3",IF(ISNUMBER(SEARCH("grosser Artikel",BJ99)),2,IFERROR(VLOOKUP(BM99,Parameter!$F$35:$G$64,2,0),2)),IF(OR(IFERROR(VLOOKUP(D99,Parameter!$A$35:$C$64,2,0),"Nein")="Nein",IFERROR(VLOOKUP(D99,Parameter!$A$35:$C$64,2,0),"Nein")=""),"-",VLOOKUP(D99,Parameter!$A$35:$C$64,2,0))))</f>
        <v/>
      </c>
      <c r="V99" s="61" t="n"/>
      <c r="W99" s="62" t="n"/>
      <c r="X99" s="55">
        <f>AM99</f>
        <v/>
      </c>
      <c r="Y99" s="55">
        <f>MAX(AM99,G99)</f>
        <v/>
      </c>
      <c r="Z99" s="63" t="n"/>
      <c r="AA99" s="55">
        <f>IF(LEFT(Cockpit!$C$5,1)="A",G99,IF(BT99=1,BU99,IF(LEFT(Cockpit!$C$5,1)="B",AE99,MAX(AE99,G99))))</f>
        <v/>
      </c>
      <c r="AB99" s="55">
        <f>IF(BO99=1,0,ROUNDUP(AA99/BN99,0))</f>
        <v/>
      </c>
      <c r="AC99" s="64">
        <f>IF(BO99=1,IF(AA99&lt;=0,0,BP99*MAX(1,IF(G99&gt;0,AA99/G99,1))),AB99*Q99)</f>
        <v/>
      </c>
      <c r="AD99" s="55">
        <f>AA99*F99</f>
        <v/>
      </c>
      <c r="AE99" s="55">
        <f>ROUNDUP(MAX(I99/IF(BS99&gt;0,BS99,MAX(0.1,N(Cockpit!$C$6))),BV99)/BN99,0)*BN99</f>
        <v/>
      </c>
      <c r="AF99" s="56">
        <f>IF(AC99&gt;0,I99/AC99,-1)</f>
        <v/>
      </c>
      <c r="AG99" s="56">
        <f>IF(AND(OR(BR99="L1",BR99="L23"),AC99&gt;0),SUMIFS($AC$7:$AC$1570,$BR$7:$BR$1570,BR99,$AF$7:$AF$1570,"&gt;"&amp;AF99)+SUMIFS($AC$7:$AC$1570,$BR$7:$BR$1570,BR99,$AF$7:$AF$1570,AF99,$BL$7:$BL$1570,"&lt;="&amp;BL99),"")</f>
        <v/>
      </c>
      <c r="AH99" s="65">
        <f>IF(AG99="",0,MAX(0,MIN(1,(IF(BR99="L1",Parameter!$K$5,Parameter!$K$6+Parameter!$K$7)-(AG99-AC99))/AC99)))</f>
        <v/>
      </c>
      <c r="AI99" s="55">
        <f>IF(LEFT(Cockpit!$I$5,1)="A",G99,IF(BT99=1,BU99,IF(LEFT(Cockpit!$I$5,1)="B",AM99,MAX(AM99,G99))))</f>
        <v/>
      </c>
      <c r="AJ99" s="55">
        <f>IF(BO99=1,0,ROUNDUP(AI99/BN99,0))</f>
        <v/>
      </c>
      <c r="AK99" s="64">
        <f>IF(BO99=1,IF(AI99&lt;=0,0,BP99*MAX(1,IF(G99&gt;0,AI99/G99,1))),AJ99*Q99)</f>
        <v/>
      </c>
      <c r="AL99" s="55">
        <f>AI99*F99</f>
        <v/>
      </c>
      <c r="AM99" s="55">
        <f>ROUNDUP(MAX(I99/IF(BS99&gt;0,BS99,MAX(0.1,N(Cockpit!$I$6))),BV99)/BN99,0)*BN99</f>
        <v/>
      </c>
      <c r="AN99" s="56">
        <f>IF(AK99&gt;0,I99/AK99,-1)</f>
        <v/>
      </c>
      <c r="AO99" s="56">
        <f>IF(AND(OR(BR99="L1",BR99="L23"),AK99&gt;0),SUMIFS($AK$7:$AK$1570,$BR$7:$BR$1570,BR99,$AN$7:$AN$1570,"&gt;"&amp;AN99)+SUMIFS($AK$7:$AK$1570,$BR$7:$BR$1570,BR99,$AN$7:$AN$1570,AN99,$BL$7:$BL$1570,"&lt;="&amp;BL99),"")</f>
        <v/>
      </c>
      <c r="AP99" s="65">
        <f>IF(AO99="",0,MAX(0,MIN(1,(IF(BR99="L1",Parameter!$K$5,Parameter!$K$6+Parameter!$K$7)-(AO99-AK99))/AK99)))</f>
        <v/>
      </c>
      <c r="AQ99" s="55">
        <f>IF(LEFT(Cockpit!$O$5,1)="A",G99,IF(BT99=1,BU99,IF(LEFT(Cockpit!$O$5,1)="B",AU99,MAX(AU99,G99))))</f>
        <v/>
      </c>
      <c r="AR99" s="55">
        <f>IF(BO99=1,0,ROUNDUP(AQ99/BN99,0))</f>
        <v/>
      </c>
      <c r="AS99" s="64">
        <f>IF(BO99=1,IF(AQ99&lt;=0,0,BP99*MAX(1,IF(G99&gt;0,AQ99/G99,1))),AR99*Q99)</f>
        <v/>
      </c>
      <c r="AT99" s="55">
        <f>AQ99*F99</f>
        <v/>
      </c>
      <c r="AU99" s="55">
        <f>ROUNDUP(MAX(I99/IF(BS99&gt;0,BS99,MAX(0.1,N(Cockpit!$O$6))),BV99)/BN99,0)*BN99</f>
        <v/>
      </c>
      <c r="AV99" s="56">
        <f>IF(AS99&gt;0,I99/AS99,-1)</f>
        <v/>
      </c>
      <c r="AW99" s="56">
        <f>IF(AND(OR(BR99="L1",BR99="L23"),AS99&gt;0),SUMIFS($AS$7:$AS$1570,$BR$7:$BR$1570,BR99,$AV$7:$AV$1570,"&gt;"&amp;AV99)+SUMIFS($AS$7:$AS$1570,$BR$7:$BR$1570,BR99,$AV$7:$AV$1570,AV99,$BL$7:$BL$1570,"&lt;="&amp;BL99),"")</f>
        <v/>
      </c>
      <c r="AX99" s="65">
        <f>IF(AW99="",0,MAX(0,MIN(1,(IF(BR99="L1",Parameter!$K$5,Parameter!$K$6+Parameter!$K$7)-(AW99-AS99))/AS99)))</f>
        <v/>
      </c>
      <c r="AY99" s="53">
        <f>IF(AC99&lt;=0,"",IF(BR99="Aussen","Aussenlager",IF(BR99="-","Nicht im Lift",IF(AH99&gt;=1,"Lift",IF(AH99&lt;=0,"Aussenlager","teilweise")))))</f>
        <v/>
      </c>
      <c r="AZ99" s="53">
        <f>IF(AK99&lt;=0,"",IF(BR99="Aussen","Aussenlager",IF(BR99="-","Nicht im Lift",IF(AP99&gt;=1,"Lift",IF(AP99&lt;=0,"Aussenlager","teilweise")))))</f>
        <v/>
      </c>
      <c r="BA99" s="53">
        <f>IF(AS99&lt;=0,"",IF(BR99="Aussen","Aussenlager",IF(BR99="-","Nicht im Lift",IF(AX99&gt;=1,"Lift",IF(AX99&lt;=0,"Aussenlager","teilweise")))))</f>
        <v/>
      </c>
      <c r="BB99" s="53">
        <f>IF(A99="","",IF(BK99=1,"Neu; ","")&amp;IF(AND(BK99=0,BF99&lt;0),"negativer Bestand (Export "&amp;BF99&amp;"); ","")&amp;IF(I99&lt;=0,"Kein Verbrauch; ","")&amp;IF(BO99=1,"Lose – Fläche geschätzt; ","")&amp;IF(G99&gt;AM99,"Überbestand "&amp;ROUND(G99-AM99,0)&amp;" Stk / CHF "&amp;ROUND((G99-AM99)*F99,0)&amp;"; ","")&amp;IF(AND(BT99=1,BU99&lt;BV99),"MAX &lt; MB+LG; ","")&amp;IF(AND(BZ99&gt;0,BY99*10&gt;BZ99),"zu hoch für Tablar; ","")&amp;IF(AND(BK99=0,OR(BT99=1,V99&lt;&gt;"",S99&lt;&gt;"",T99&lt;&gt;"",W99&lt;&gt;"")),"manuell übersteuert; ","")&amp;IF(AND(BO99=0,Q99=0),"Gebinde unbekannt; ","")&amp;IF(AND(BO99=0,N(T99)&lt;=0,N(P99)&lt;=0),"Menge pro Gebinde fehlt (Ist = 1 Gebinde); ","")&amp;BJ99)</f>
        <v/>
      </c>
      <c r="BC99" s="53" t="n"/>
      <c r="BD99" s="53" t="n"/>
      <c r="BE99" s="61" t="n"/>
      <c r="BF99" s="55" t="n">
        <v>12</v>
      </c>
      <c r="BG99" s="55" t="n">
        <v>0</v>
      </c>
      <c r="BH99" s="54" t="n">
        <v>2381.04</v>
      </c>
      <c r="BI99" s="55" t="n">
        <v>24</v>
      </c>
      <c r="BJ99" s="53" t="inlineStr"/>
      <c r="BK99" s="58" t="n">
        <v>0</v>
      </c>
      <c r="BL99" s="58" t="n">
        <v>99</v>
      </c>
      <c r="BM99" s="53">
        <f>IF(S99&lt;&gt;"",UPPER(TRIM(S99)),IF(O99="","LOSE",O99))</f>
        <v/>
      </c>
      <c r="BN99" s="55">
        <f>IF(BM99="LOSE",1,IF(N(T99)&gt;0,T99,IF(N(P99)&gt;0,P99,MAX(1,G99))))</f>
        <v/>
      </c>
      <c r="BO99" s="58">
        <f>IF(BM99="LOSE",1,0)</f>
        <v/>
      </c>
      <c r="BP99" s="64">
        <f>IF(BO99=0,0,IF(N(R99)&gt;0,R99,IFERROR(VLOOKUP(D99,Parameter!$A$35:$C$64,3,0)+0,0)))</f>
        <v/>
      </c>
      <c r="BQ99" s="53">
        <f>IF(V99&lt;&gt;"",V99,U99)</f>
        <v/>
      </c>
      <c r="BR99" s="53">
        <f>IF(BQ99=1,"L1",IF(OR(BQ99=2,BQ99=3),"L23",IF(BQ99="Aussen","Aussen","-")))</f>
        <v/>
      </c>
      <c r="BS99" s="66">
        <f>IF(N(W99)&gt;0,W99,0)</f>
        <v/>
      </c>
      <c r="BT99" s="58">
        <f>IF(ISNUMBER(Z99),1,0)</f>
        <v/>
      </c>
      <c r="BU99" s="55">
        <f>N(Z99)</f>
        <v/>
      </c>
      <c r="BV99" s="55">
        <f>N(L99)+N(M99)</f>
        <v/>
      </c>
      <c r="BW99" s="55">
        <f>ROUNDUP(G99/BN99,0)</f>
        <v/>
      </c>
      <c r="BX99" s="55">
        <f>ROUNDUP(BU99/BN99,0)</f>
        <v/>
      </c>
      <c r="BY99" s="58">
        <f>IF(BO99=1,0,IFERROR(VLOOKUP(BM99,'Gebinde-Kategorie'!$A$5:$G$45,5,0)+0,0))</f>
        <v/>
      </c>
      <c r="BZ99" s="58">
        <f>IFERROR(IF(OR(BQ99=1,BQ99=2,BQ99=3),N(INDEX(Parameter!$I$5:$I$7,BQ99)),0),0)</f>
        <v/>
      </c>
    </row>
    <row r="100">
      <c r="A100" s="53" t="inlineStr">
        <is>
          <t>107868</t>
        </is>
      </c>
      <c r="B100" s="53" t="inlineStr">
        <is>
          <t>Kolben SPGr10</t>
        </is>
      </c>
      <c r="C100" s="53" t="inlineStr">
        <is>
          <t>F</t>
        </is>
      </c>
      <c r="D100" s="53" t="inlineStr">
        <is>
          <t>PAL</t>
        </is>
      </c>
      <c r="E100" s="53" t="inlineStr">
        <is>
          <t>C</t>
        </is>
      </c>
      <c r="F100" s="54" t="n">
        <v>354.44</v>
      </c>
      <c r="G100" s="55">
        <f>MAX(0,IF(Parameter!$B$20="Jahresanfang 2025 + Export",BG100+BF100,BF100))</f>
        <v/>
      </c>
      <c r="H100" s="55">
        <f>G100*F100</f>
        <v/>
      </c>
      <c r="I100" s="55">
        <f>BI100*Parameter!$B$18</f>
        <v/>
      </c>
      <c r="J100" s="56" t="n">
        <v>52.5</v>
      </c>
      <c r="K100" s="57" t="n">
        <v>3.371428571428571</v>
      </c>
      <c r="L100" s="55" t="n">
        <v>20</v>
      </c>
      <c r="M100" s="55" t="n">
        <v>35</v>
      </c>
      <c r="N100" s="58" t="n">
        <v>84</v>
      </c>
      <c r="O100" s="53" t="inlineStr">
        <is>
          <t>S72</t>
        </is>
      </c>
      <c r="P100" s="55" t="n">
        <v>20</v>
      </c>
      <c r="Q100" s="59">
        <f>IF(BO100=1,0,IFERROR(VLOOKUP(BM100,'Gebinde-Kategorie'!$A$5:$G$45,6,0)+0,0))</f>
        <v/>
      </c>
      <c r="R100" s="60" t="n"/>
      <c r="S100" s="61" t="n"/>
      <c r="T100" s="61" t="n"/>
      <c r="U100" s="53">
        <f>IF(A100="","",IF(IFERROR(VLOOKUP(D100,Parameter!$A$35:$C$64,2,0),"Nein")="2+3",IF(ISNUMBER(SEARCH("grosser Artikel",BJ100)),2,IFERROR(VLOOKUP(BM100,Parameter!$F$35:$G$64,2,0),2)),IF(OR(IFERROR(VLOOKUP(D100,Parameter!$A$35:$C$64,2,0),"Nein")="Nein",IFERROR(VLOOKUP(D100,Parameter!$A$35:$C$64,2,0),"Nein")=""),"-",VLOOKUP(D100,Parameter!$A$35:$C$64,2,0))))</f>
        <v/>
      </c>
      <c r="V100" s="61" t="n"/>
      <c r="W100" s="62" t="n"/>
      <c r="X100" s="55">
        <f>AM100</f>
        <v/>
      </c>
      <c r="Y100" s="55">
        <f>MAX(AM100,G100)</f>
        <v/>
      </c>
      <c r="Z100" s="63" t="n"/>
      <c r="AA100" s="55">
        <f>IF(LEFT(Cockpit!$C$5,1)="A",G100,IF(BT100=1,BU100,IF(LEFT(Cockpit!$C$5,1)="B",AE100,MAX(AE100,G100))))</f>
        <v/>
      </c>
      <c r="AB100" s="55">
        <f>IF(BO100=1,0,ROUNDUP(AA100/BN100,0))</f>
        <v/>
      </c>
      <c r="AC100" s="64">
        <f>IF(BO100=1,IF(AA100&lt;=0,0,BP100*MAX(1,IF(G100&gt;0,AA100/G100,1))),AB100*Q100)</f>
        <v/>
      </c>
      <c r="AD100" s="55">
        <f>AA100*F100</f>
        <v/>
      </c>
      <c r="AE100" s="55">
        <f>ROUNDUP(MAX(I100/IF(BS100&gt;0,BS100,MAX(0.1,N(Cockpit!$C$6))),BV100)/BN100,0)*BN100</f>
        <v/>
      </c>
      <c r="AF100" s="56">
        <f>IF(AC100&gt;0,I100/AC100,-1)</f>
        <v/>
      </c>
      <c r="AG100" s="56">
        <f>IF(AND(OR(BR100="L1",BR100="L23"),AC100&gt;0),SUMIFS($AC$7:$AC$1570,$BR$7:$BR$1570,BR100,$AF$7:$AF$1570,"&gt;"&amp;AF100)+SUMIFS($AC$7:$AC$1570,$BR$7:$BR$1570,BR100,$AF$7:$AF$1570,AF100,$BL$7:$BL$1570,"&lt;="&amp;BL100),"")</f>
        <v/>
      </c>
      <c r="AH100" s="65">
        <f>IF(AG100="",0,MAX(0,MIN(1,(IF(BR100="L1",Parameter!$K$5,Parameter!$K$6+Parameter!$K$7)-(AG100-AC100))/AC100)))</f>
        <v/>
      </c>
      <c r="AI100" s="55">
        <f>IF(LEFT(Cockpit!$I$5,1)="A",G100,IF(BT100=1,BU100,IF(LEFT(Cockpit!$I$5,1)="B",AM100,MAX(AM100,G100))))</f>
        <v/>
      </c>
      <c r="AJ100" s="55">
        <f>IF(BO100=1,0,ROUNDUP(AI100/BN100,0))</f>
        <v/>
      </c>
      <c r="AK100" s="64">
        <f>IF(BO100=1,IF(AI100&lt;=0,0,BP100*MAX(1,IF(G100&gt;0,AI100/G100,1))),AJ100*Q100)</f>
        <v/>
      </c>
      <c r="AL100" s="55">
        <f>AI100*F100</f>
        <v/>
      </c>
      <c r="AM100" s="55">
        <f>ROUNDUP(MAX(I100/IF(BS100&gt;0,BS100,MAX(0.1,N(Cockpit!$I$6))),BV100)/BN100,0)*BN100</f>
        <v/>
      </c>
      <c r="AN100" s="56">
        <f>IF(AK100&gt;0,I100/AK100,-1)</f>
        <v/>
      </c>
      <c r="AO100" s="56">
        <f>IF(AND(OR(BR100="L1",BR100="L23"),AK100&gt;0),SUMIFS($AK$7:$AK$1570,$BR$7:$BR$1570,BR100,$AN$7:$AN$1570,"&gt;"&amp;AN100)+SUMIFS($AK$7:$AK$1570,$BR$7:$BR$1570,BR100,$AN$7:$AN$1570,AN100,$BL$7:$BL$1570,"&lt;="&amp;BL100),"")</f>
        <v/>
      </c>
      <c r="AP100" s="65">
        <f>IF(AO100="",0,MAX(0,MIN(1,(IF(BR100="L1",Parameter!$K$5,Parameter!$K$6+Parameter!$K$7)-(AO100-AK100))/AK100)))</f>
        <v/>
      </c>
      <c r="AQ100" s="55">
        <f>IF(LEFT(Cockpit!$O$5,1)="A",G100,IF(BT100=1,BU100,IF(LEFT(Cockpit!$O$5,1)="B",AU100,MAX(AU100,G100))))</f>
        <v/>
      </c>
      <c r="AR100" s="55">
        <f>IF(BO100=1,0,ROUNDUP(AQ100/BN100,0))</f>
        <v/>
      </c>
      <c r="AS100" s="64">
        <f>IF(BO100=1,IF(AQ100&lt;=0,0,BP100*MAX(1,IF(G100&gt;0,AQ100/G100,1))),AR100*Q100)</f>
        <v/>
      </c>
      <c r="AT100" s="55">
        <f>AQ100*F100</f>
        <v/>
      </c>
      <c r="AU100" s="55">
        <f>ROUNDUP(MAX(I100/IF(BS100&gt;0,BS100,MAX(0.1,N(Cockpit!$O$6))),BV100)/BN100,0)*BN100</f>
        <v/>
      </c>
      <c r="AV100" s="56">
        <f>IF(AS100&gt;0,I100/AS100,-1)</f>
        <v/>
      </c>
      <c r="AW100" s="56">
        <f>IF(AND(OR(BR100="L1",BR100="L23"),AS100&gt;0),SUMIFS($AS$7:$AS$1570,$BR$7:$BR$1570,BR100,$AV$7:$AV$1570,"&gt;"&amp;AV100)+SUMIFS($AS$7:$AS$1570,$BR$7:$BR$1570,BR100,$AV$7:$AV$1570,AV100,$BL$7:$BL$1570,"&lt;="&amp;BL100),"")</f>
        <v/>
      </c>
      <c r="AX100" s="65">
        <f>IF(AW100="",0,MAX(0,MIN(1,(IF(BR100="L1",Parameter!$K$5,Parameter!$K$6+Parameter!$K$7)-(AW100-AS100))/AS100)))</f>
        <v/>
      </c>
      <c r="AY100" s="53">
        <f>IF(AC100&lt;=0,"",IF(BR100="Aussen","Aussenlager",IF(BR100="-","Nicht im Lift",IF(AH100&gt;=1,"Lift",IF(AH100&lt;=0,"Aussenlager","teilweise")))))</f>
        <v/>
      </c>
      <c r="AZ100" s="53">
        <f>IF(AK100&lt;=0,"",IF(BR100="Aussen","Aussenlager",IF(BR100="-","Nicht im Lift",IF(AP100&gt;=1,"Lift",IF(AP100&lt;=0,"Aussenlager","teilweise")))))</f>
        <v/>
      </c>
      <c r="BA100" s="53">
        <f>IF(AS100&lt;=0,"",IF(BR100="Aussen","Aussenlager",IF(BR100="-","Nicht im Lift",IF(AX100&gt;=1,"Lift",IF(AX100&lt;=0,"Aussenlager","teilweise")))))</f>
        <v/>
      </c>
      <c r="BB100" s="53">
        <f>IF(A100="","",IF(BK100=1,"Neu; ","")&amp;IF(AND(BK100=0,BF100&lt;0),"negativer Bestand (Export "&amp;BF100&amp;"); ","")&amp;IF(I100&lt;=0,"Kein Verbrauch; ","")&amp;IF(BO100=1,"Lose – Fläche geschätzt; ","")&amp;IF(G100&gt;AM100,"Überbestand "&amp;ROUND(G100-AM100,0)&amp;" Stk / CHF "&amp;ROUND((G100-AM100)*F100,0)&amp;"; ","")&amp;IF(AND(BT100=1,BU100&lt;BV100),"MAX &lt; MB+LG; ","")&amp;IF(AND(BZ100&gt;0,BY100*10&gt;BZ100),"zu hoch für Tablar; ","")&amp;IF(AND(BK100=0,OR(BT100=1,V100&lt;&gt;"",S100&lt;&gt;"",T100&lt;&gt;"",W100&lt;&gt;"")),"manuell übersteuert; ","")&amp;IF(AND(BO100=0,Q100=0),"Gebinde unbekannt; ","")&amp;IF(AND(BO100=0,N(T100)&lt;=0,N(P100)&lt;=0),"Menge pro Gebinde fehlt (Ist = 1 Gebinde); ","")&amp;BJ100)</f>
        <v/>
      </c>
      <c r="BC100" s="53" t="n"/>
      <c r="BD100" s="53" t="n"/>
      <c r="BE100" s="61" t="n"/>
      <c r="BF100" s="55" t="n">
        <v>5</v>
      </c>
      <c r="BG100" s="55" t="n">
        <v>20</v>
      </c>
      <c r="BH100" s="54" t="n">
        <v>2352.150000000031</v>
      </c>
      <c r="BI100" s="55" t="n">
        <v>177</v>
      </c>
      <c r="BJ100" s="53" t="inlineStr"/>
      <c r="BK100" s="58" t="n">
        <v>0</v>
      </c>
      <c r="BL100" s="58" t="n">
        <v>100</v>
      </c>
      <c r="BM100" s="53">
        <f>IF(S100&lt;&gt;"",UPPER(TRIM(S100)),IF(O100="","LOSE",O100))</f>
        <v/>
      </c>
      <c r="BN100" s="55">
        <f>IF(BM100="LOSE",1,IF(N(T100)&gt;0,T100,IF(N(P100)&gt;0,P100,MAX(1,G100))))</f>
        <v/>
      </c>
      <c r="BO100" s="58">
        <f>IF(BM100="LOSE",1,0)</f>
        <v/>
      </c>
      <c r="BP100" s="64">
        <f>IF(BO100=0,0,IF(N(R100)&gt;0,R100,IFERROR(VLOOKUP(D100,Parameter!$A$35:$C$64,3,0)+0,0)))</f>
        <v/>
      </c>
      <c r="BQ100" s="53">
        <f>IF(V100&lt;&gt;"",V100,U100)</f>
        <v/>
      </c>
      <c r="BR100" s="53">
        <f>IF(BQ100=1,"L1",IF(OR(BQ100=2,BQ100=3),"L23",IF(BQ100="Aussen","Aussen","-")))</f>
        <v/>
      </c>
      <c r="BS100" s="66">
        <f>IF(N(W100)&gt;0,W100,0)</f>
        <v/>
      </c>
      <c r="BT100" s="58">
        <f>IF(ISNUMBER(Z100),1,0)</f>
        <v/>
      </c>
      <c r="BU100" s="55">
        <f>N(Z100)</f>
        <v/>
      </c>
      <c r="BV100" s="55">
        <f>N(L100)+N(M100)</f>
        <v/>
      </c>
      <c r="BW100" s="55">
        <f>ROUNDUP(G100/BN100,0)</f>
        <v/>
      </c>
      <c r="BX100" s="55">
        <f>ROUNDUP(BU100/BN100,0)</f>
        <v/>
      </c>
      <c r="BY100" s="58">
        <f>IF(BO100=1,0,IFERROR(VLOOKUP(BM100,'Gebinde-Kategorie'!$A$5:$G$45,5,0)+0,0))</f>
        <v/>
      </c>
      <c r="BZ100" s="58">
        <f>IFERROR(IF(OR(BQ100=1,BQ100=2,BQ100=3),N(INDEX(Parameter!$I$5:$I$7,BQ100)),0),0)</f>
        <v/>
      </c>
    </row>
    <row r="101">
      <c r="A101" s="53" t="inlineStr">
        <is>
          <t>109995</t>
        </is>
      </c>
      <c r="B101" s="53" t="inlineStr">
        <is>
          <t>Industrie Mobilfunk Router (global)</t>
        </is>
      </c>
      <c r="C101" s="53" t="inlineStr">
        <is>
          <t>F</t>
        </is>
      </c>
      <c r="D101" s="53" t="inlineStr">
        <is>
          <t>KTL</t>
        </is>
      </c>
      <c r="E101" s="53" t="inlineStr">
        <is>
          <t>C</t>
        </is>
      </c>
      <c r="F101" s="54" t="n">
        <v>167.07</v>
      </c>
      <c r="G101" s="55">
        <f>MAX(0,IF(Parameter!$B$20="Jahresanfang 2025 + Export",BG101+BF101,BF101))</f>
        <v/>
      </c>
      <c r="H101" s="55">
        <f>G101*F101</f>
        <v/>
      </c>
      <c r="I101" s="55">
        <f>BI101*Parameter!$B$18</f>
        <v/>
      </c>
      <c r="J101" s="56" t="n">
        <v>0</v>
      </c>
      <c r="K101" s="57" t="n">
        <v>0</v>
      </c>
      <c r="L101" s="55" t="n">
        <v>0</v>
      </c>
      <c r="M101" s="55" t="n">
        <v>5</v>
      </c>
      <c r="N101" s="58" t="n">
        <v>28</v>
      </c>
      <c r="O101" s="53" t="inlineStr">
        <is>
          <t>S52</t>
        </is>
      </c>
      <c r="P101" s="55" t="n">
        <v>5</v>
      </c>
      <c r="Q101" s="59">
        <f>IF(BO101=1,0,IFERROR(VLOOKUP(BM101,'Gebinde-Kategorie'!$A$5:$G$45,6,0)+0,0))</f>
        <v/>
      </c>
      <c r="R101" s="60" t="n"/>
      <c r="S101" s="61" t="n"/>
      <c r="T101" s="61" t="n"/>
      <c r="U101" s="53">
        <f>IF(A101="","",IF(IFERROR(VLOOKUP(D101,Parameter!$A$35:$C$64,2,0),"Nein")="2+3",IF(ISNUMBER(SEARCH("grosser Artikel",BJ101)),2,IFERROR(VLOOKUP(BM101,Parameter!$F$35:$G$64,2,0),2)),IF(OR(IFERROR(VLOOKUP(D101,Parameter!$A$35:$C$64,2,0),"Nein")="Nein",IFERROR(VLOOKUP(D101,Parameter!$A$35:$C$64,2,0),"Nein")=""),"-",VLOOKUP(D101,Parameter!$A$35:$C$64,2,0))))</f>
        <v/>
      </c>
      <c r="V101" s="61" t="n"/>
      <c r="W101" s="62" t="n"/>
      <c r="X101" s="55">
        <f>AM101</f>
        <v/>
      </c>
      <c r="Y101" s="55">
        <f>MAX(AM101,G101)</f>
        <v/>
      </c>
      <c r="Z101" s="63" t="n"/>
      <c r="AA101" s="55">
        <f>IF(LEFT(Cockpit!$C$5,1)="A",G101,IF(BT101=1,BU101,IF(LEFT(Cockpit!$C$5,1)="B",AE101,MAX(AE101,G101))))</f>
        <v/>
      </c>
      <c r="AB101" s="55">
        <f>IF(BO101=1,0,ROUNDUP(AA101/BN101,0))</f>
        <v/>
      </c>
      <c r="AC101" s="64">
        <f>IF(BO101=1,IF(AA101&lt;=0,0,BP101*MAX(1,IF(G101&gt;0,AA101/G101,1))),AB101*Q101)</f>
        <v/>
      </c>
      <c r="AD101" s="55">
        <f>AA101*F101</f>
        <v/>
      </c>
      <c r="AE101" s="55">
        <f>ROUNDUP(MAX(I101/IF(BS101&gt;0,BS101,MAX(0.1,N(Cockpit!$C$6))),BV101)/BN101,0)*BN101</f>
        <v/>
      </c>
      <c r="AF101" s="56">
        <f>IF(AC101&gt;0,I101/AC101,-1)</f>
        <v/>
      </c>
      <c r="AG101" s="56">
        <f>IF(AND(OR(BR101="L1",BR101="L23"),AC101&gt;0),SUMIFS($AC$7:$AC$1570,$BR$7:$BR$1570,BR101,$AF$7:$AF$1570,"&gt;"&amp;AF101)+SUMIFS($AC$7:$AC$1570,$BR$7:$BR$1570,BR101,$AF$7:$AF$1570,AF101,$BL$7:$BL$1570,"&lt;="&amp;BL101),"")</f>
        <v/>
      </c>
      <c r="AH101" s="65">
        <f>IF(AG101="",0,MAX(0,MIN(1,(IF(BR101="L1",Parameter!$K$5,Parameter!$K$6+Parameter!$K$7)-(AG101-AC101))/AC101)))</f>
        <v/>
      </c>
      <c r="AI101" s="55">
        <f>IF(LEFT(Cockpit!$I$5,1)="A",G101,IF(BT101=1,BU101,IF(LEFT(Cockpit!$I$5,1)="B",AM101,MAX(AM101,G101))))</f>
        <v/>
      </c>
      <c r="AJ101" s="55">
        <f>IF(BO101=1,0,ROUNDUP(AI101/BN101,0))</f>
        <v/>
      </c>
      <c r="AK101" s="64">
        <f>IF(BO101=1,IF(AI101&lt;=0,0,BP101*MAX(1,IF(G101&gt;0,AI101/G101,1))),AJ101*Q101)</f>
        <v/>
      </c>
      <c r="AL101" s="55">
        <f>AI101*F101</f>
        <v/>
      </c>
      <c r="AM101" s="55">
        <f>ROUNDUP(MAX(I101/IF(BS101&gt;0,BS101,MAX(0.1,N(Cockpit!$I$6))),BV101)/BN101,0)*BN101</f>
        <v/>
      </c>
      <c r="AN101" s="56">
        <f>IF(AK101&gt;0,I101/AK101,-1)</f>
        <v/>
      </c>
      <c r="AO101" s="56">
        <f>IF(AND(OR(BR101="L1",BR101="L23"),AK101&gt;0),SUMIFS($AK$7:$AK$1570,$BR$7:$BR$1570,BR101,$AN$7:$AN$1570,"&gt;"&amp;AN101)+SUMIFS($AK$7:$AK$1570,$BR$7:$BR$1570,BR101,$AN$7:$AN$1570,AN101,$BL$7:$BL$1570,"&lt;="&amp;BL101),"")</f>
        <v/>
      </c>
      <c r="AP101" s="65">
        <f>IF(AO101="",0,MAX(0,MIN(1,(IF(BR101="L1",Parameter!$K$5,Parameter!$K$6+Parameter!$K$7)-(AO101-AK101))/AK101)))</f>
        <v/>
      </c>
      <c r="AQ101" s="55">
        <f>IF(LEFT(Cockpit!$O$5,1)="A",G101,IF(BT101=1,BU101,IF(LEFT(Cockpit!$O$5,1)="B",AU101,MAX(AU101,G101))))</f>
        <v/>
      </c>
      <c r="AR101" s="55">
        <f>IF(BO101=1,0,ROUNDUP(AQ101/BN101,0))</f>
        <v/>
      </c>
      <c r="AS101" s="64">
        <f>IF(BO101=1,IF(AQ101&lt;=0,0,BP101*MAX(1,IF(G101&gt;0,AQ101/G101,1))),AR101*Q101)</f>
        <v/>
      </c>
      <c r="AT101" s="55">
        <f>AQ101*F101</f>
        <v/>
      </c>
      <c r="AU101" s="55">
        <f>ROUNDUP(MAX(I101/IF(BS101&gt;0,BS101,MAX(0.1,N(Cockpit!$O$6))),BV101)/BN101,0)*BN101</f>
        <v/>
      </c>
      <c r="AV101" s="56">
        <f>IF(AS101&gt;0,I101/AS101,-1)</f>
        <v/>
      </c>
      <c r="AW101" s="56">
        <f>IF(AND(OR(BR101="L1",BR101="L23"),AS101&gt;0),SUMIFS($AS$7:$AS$1570,$BR$7:$BR$1570,BR101,$AV$7:$AV$1570,"&gt;"&amp;AV101)+SUMIFS($AS$7:$AS$1570,$BR$7:$BR$1570,BR101,$AV$7:$AV$1570,AV101,$BL$7:$BL$1570,"&lt;="&amp;BL101),"")</f>
        <v/>
      </c>
      <c r="AX101" s="65">
        <f>IF(AW101="",0,MAX(0,MIN(1,(IF(BR101="L1",Parameter!$K$5,Parameter!$K$6+Parameter!$K$7)-(AW101-AS101))/AS101)))</f>
        <v/>
      </c>
      <c r="AY101" s="53">
        <f>IF(AC101&lt;=0,"",IF(BR101="Aussen","Aussenlager",IF(BR101="-","Nicht im Lift",IF(AH101&gt;=1,"Lift",IF(AH101&lt;=0,"Aussenlager","teilweise")))))</f>
        <v/>
      </c>
      <c r="AZ101" s="53">
        <f>IF(AK101&lt;=0,"",IF(BR101="Aussen","Aussenlager",IF(BR101="-","Nicht im Lift",IF(AP101&gt;=1,"Lift",IF(AP101&lt;=0,"Aussenlager","teilweise")))))</f>
        <v/>
      </c>
      <c r="BA101" s="53">
        <f>IF(AS101&lt;=0,"",IF(BR101="Aussen","Aussenlager",IF(BR101="-","Nicht im Lift",IF(AX101&gt;=1,"Lift",IF(AX101&lt;=0,"Aussenlager","teilweise")))))</f>
        <v/>
      </c>
      <c r="BB101" s="53">
        <f>IF(A101="","",IF(BK101=1,"Neu; ","")&amp;IF(AND(BK101=0,BF101&lt;0),"negativer Bestand (Export "&amp;BF101&amp;"); ","")&amp;IF(I101&lt;=0,"Kein Verbrauch; ","")&amp;IF(BO101=1,"Lose – Fläche geschätzt; ","")&amp;IF(G101&gt;AM101,"Überbestand "&amp;ROUND(G101-AM101,0)&amp;" Stk / CHF "&amp;ROUND((G101-AM101)*F101,0)&amp;"; ","")&amp;IF(AND(BT101=1,BU101&lt;BV101),"MAX &lt; MB+LG; ","")&amp;IF(AND(BZ101&gt;0,BY101*10&gt;BZ101),"zu hoch für Tablar; ","")&amp;IF(AND(BK101=0,OR(BT101=1,V101&lt;&gt;"",S101&lt;&gt;"",T101&lt;&gt;"",W101&lt;&gt;"")),"manuell übersteuert; ","")&amp;IF(AND(BO101=0,Q101=0),"Gebinde unbekannt; ","")&amp;IF(AND(BO101=0,N(T101)&lt;=0,N(P101)&lt;=0),"Menge pro Gebinde fehlt (Ist = 1 Gebinde); ","")&amp;BJ101)</f>
        <v/>
      </c>
      <c r="BC101" s="53" t="n"/>
      <c r="BD101" s="53" t="n"/>
      <c r="BE101" s="61" t="n"/>
      <c r="BF101" s="55" t="n">
        <v>14</v>
      </c>
      <c r="BG101" s="55" t="n">
        <v>0</v>
      </c>
      <c r="BH101" s="54" t="n">
        <v>2338.96</v>
      </c>
      <c r="BI101" s="55" t="n">
        <v>6</v>
      </c>
      <c r="BJ101" s="53" t="inlineStr"/>
      <c r="BK101" s="58" t="n">
        <v>0</v>
      </c>
      <c r="BL101" s="58" t="n">
        <v>101</v>
      </c>
      <c r="BM101" s="53">
        <f>IF(S101&lt;&gt;"",UPPER(TRIM(S101)),IF(O101="","LOSE",O101))</f>
        <v/>
      </c>
      <c r="BN101" s="55">
        <f>IF(BM101="LOSE",1,IF(N(T101)&gt;0,T101,IF(N(P101)&gt;0,P101,MAX(1,G101))))</f>
        <v/>
      </c>
      <c r="BO101" s="58">
        <f>IF(BM101="LOSE",1,0)</f>
        <v/>
      </c>
      <c r="BP101" s="64">
        <f>IF(BO101=0,0,IF(N(R101)&gt;0,R101,IFERROR(VLOOKUP(D101,Parameter!$A$35:$C$64,3,0)+0,0)))</f>
        <v/>
      </c>
      <c r="BQ101" s="53">
        <f>IF(V101&lt;&gt;"",V101,U101)</f>
        <v/>
      </c>
      <c r="BR101" s="53">
        <f>IF(BQ101=1,"L1",IF(OR(BQ101=2,BQ101=3),"L23",IF(BQ101="Aussen","Aussen","-")))</f>
        <v/>
      </c>
      <c r="BS101" s="66">
        <f>IF(N(W101)&gt;0,W101,0)</f>
        <v/>
      </c>
      <c r="BT101" s="58">
        <f>IF(ISNUMBER(Z101),1,0)</f>
        <v/>
      </c>
      <c r="BU101" s="55">
        <f>N(Z101)</f>
        <v/>
      </c>
      <c r="BV101" s="55">
        <f>N(L101)+N(M101)</f>
        <v/>
      </c>
      <c r="BW101" s="55">
        <f>ROUNDUP(G101/BN101,0)</f>
        <v/>
      </c>
      <c r="BX101" s="55">
        <f>ROUNDUP(BU101/BN101,0)</f>
        <v/>
      </c>
      <c r="BY101" s="58">
        <f>IF(BO101=1,0,IFERROR(VLOOKUP(BM101,'Gebinde-Kategorie'!$A$5:$G$45,5,0)+0,0))</f>
        <v/>
      </c>
      <c r="BZ101" s="58">
        <f>IFERROR(IF(OR(BQ101=1,BQ101=2,BQ101=3),N(INDEX(Parameter!$I$5:$I$7,BQ101)),0),0)</f>
        <v/>
      </c>
    </row>
    <row r="102">
      <c r="A102" s="53" t="inlineStr">
        <is>
          <t>107971</t>
        </is>
      </c>
      <c r="B102" s="53" t="inlineStr">
        <is>
          <t>Entleerungsschlauch</t>
        </is>
      </c>
      <c r="C102" s="53" t="inlineStr">
        <is>
          <t>F</t>
        </is>
      </c>
      <c r="D102" s="53" t="inlineStr">
        <is>
          <t>PAL</t>
        </is>
      </c>
      <c r="E102" s="53" t="inlineStr">
        <is>
          <t>C</t>
        </is>
      </c>
      <c r="F102" s="54" t="n">
        <v>178.31</v>
      </c>
      <c r="G102" s="55">
        <f>MAX(0,IF(Parameter!$B$20="Jahresanfang 2025 + Export",BG102+BF102,BF102))</f>
        <v/>
      </c>
      <c r="H102" s="55">
        <f>G102*F102</f>
        <v/>
      </c>
      <c r="I102" s="55">
        <f>BI102*Parameter!$B$18</f>
        <v/>
      </c>
      <c r="J102" s="56" t="n">
        <v>12</v>
      </c>
      <c r="K102" s="57" t="n">
        <v>1</v>
      </c>
      <c r="L102" s="55" t="n">
        <v>0</v>
      </c>
      <c r="M102" s="55" t="n">
        <v>50</v>
      </c>
      <c r="N102" s="58" t="n">
        <v>14</v>
      </c>
      <c r="O102" s="53" t="inlineStr">
        <is>
          <t>S81</t>
        </is>
      </c>
      <c r="P102" s="55" t="n">
        <v>15</v>
      </c>
      <c r="Q102" s="59">
        <f>IF(BO102=1,0,IFERROR(VLOOKUP(BM102,'Gebinde-Kategorie'!$A$5:$G$45,6,0)+0,0))</f>
        <v/>
      </c>
      <c r="R102" s="60" t="n"/>
      <c r="S102" s="61" t="n"/>
      <c r="T102" s="61" t="n"/>
      <c r="U102" s="53">
        <f>IF(A102="","",IF(IFERROR(VLOOKUP(D102,Parameter!$A$35:$C$64,2,0),"Nein")="2+3",IF(ISNUMBER(SEARCH("grosser Artikel",BJ102)),2,IFERROR(VLOOKUP(BM102,Parameter!$F$35:$G$64,2,0),2)),IF(OR(IFERROR(VLOOKUP(D102,Parameter!$A$35:$C$64,2,0),"Nein")="Nein",IFERROR(VLOOKUP(D102,Parameter!$A$35:$C$64,2,0),"Nein")=""),"-",VLOOKUP(D102,Parameter!$A$35:$C$64,2,0))))</f>
        <v/>
      </c>
      <c r="V102" s="61" t="n"/>
      <c r="W102" s="62" t="n"/>
      <c r="X102" s="55">
        <f>AM102</f>
        <v/>
      </c>
      <c r="Y102" s="55">
        <f>MAX(AM102,G102)</f>
        <v/>
      </c>
      <c r="Z102" s="63" t="n"/>
      <c r="AA102" s="55">
        <f>IF(LEFT(Cockpit!$C$5,1)="A",G102,IF(BT102=1,BU102,IF(LEFT(Cockpit!$C$5,1)="B",AE102,MAX(AE102,G102))))</f>
        <v/>
      </c>
      <c r="AB102" s="55">
        <f>IF(BO102=1,0,ROUNDUP(AA102/BN102,0))</f>
        <v/>
      </c>
      <c r="AC102" s="64">
        <f>IF(BO102=1,IF(AA102&lt;=0,0,BP102*MAX(1,IF(G102&gt;0,AA102/G102,1))),AB102*Q102)</f>
        <v/>
      </c>
      <c r="AD102" s="55">
        <f>AA102*F102</f>
        <v/>
      </c>
      <c r="AE102" s="55">
        <f>ROUNDUP(MAX(I102/IF(BS102&gt;0,BS102,MAX(0.1,N(Cockpit!$C$6))),BV102)/BN102,0)*BN102</f>
        <v/>
      </c>
      <c r="AF102" s="56">
        <f>IF(AC102&gt;0,I102/AC102,-1)</f>
        <v/>
      </c>
      <c r="AG102" s="56">
        <f>IF(AND(OR(BR102="L1",BR102="L23"),AC102&gt;0),SUMIFS($AC$7:$AC$1570,$BR$7:$BR$1570,BR102,$AF$7:$AF$1570,"&gt;"&amp;AF102)+SUMIFS($AC$7:$AC$1570,$BR$7:$BR$1570,BR102,$AF$7:$AF$1570,AF102,$BL$7:$BL$1570,"&lt;="&amp;BL102),"")</f>
        <v/>
      </c>
      <c r="AH102" s="65">
        <f>IF(AG102="",0,MAX(0,MIN(1,(IF(BR102="L1",Parameter!$K$5,Parameter!$K$6+Parameter!$K$7)-(AG102-AC102))/AC102)))</f>
        <v/>
      </c>
      <c r="AI102" s="55">
        <f>IF(LEFT(Cockpit!$I$5,1)="A",G102,IF(BT102=1,BU102,IF(LEFT(Cockpit!$I$5,1)="B",AM102,MAX(AM102,G102))))</f>
        <v/>
      </c>
      <c r="AJ102" s="55">
        <f>IF(BO102=1,0,ROUNDUP(AI102/BN102,0))</f>
        <v/>
      </c>
      <c r="AK102" s="64">
        <f>IF(BO102=1,IF(AI102&lt;=0,0,BP102*MAX(1,IF(G102&gt;0,AI102/G102,1))),AJ102*Q102)</f>
        <v/>
      </c>
      <c r="AL102" s="55">
        <f>AI102*F102</f>
        <v/>
      </c>
      <c r="AM102" s="55">
        <f>ROUNDUP(MAX(I102/IF(BS102&gt;0,BS102,MAX(0.1,N(Cockpit!$I$6))),BV102)/BN102,0)*BN102</f>
        <v/>
      </c>
      <c r="AN102" s="56">
        <f>IF(AK102&gt;0,I102/AK102,-1)</f>
        <v/>
      </c>
      <c r="AO102" s="56">
        <f>IF(AND(OR(BR102="L1",BR102="L23"),AK102&gt;0),SUMIFS($AK$7:$AK$1570,$BR$7:$BR$1570,BR102,$AN$7:$AN$1570,"&gt;"&amp;AN102)+SUMIFS($AK$7:$AK$1570,$BR$7:$BR$1570,BR102,$AN$7:$AN$1570,AN102,$BL$7:$BL$1570,"&lt;="&amp;BL102),"")</f>
        <v/>
      </c>
      <c r="AP102" s="65">
        <f>IF(AO102="",0,MAX(0,MIN(1,(IF(BR102="L1",Parameter!$K$5,Parameter!$K$6+Parameter!$K$7)-(AO102-AK102))/AK102)))</f>
        <v/>
      </c>
      <c r="AQ102" s="55">
        <f>IF(LEFT(Cockpit!$O$5,1)="A",G102,IF(BT102=1,BU102,IF(LEFT(Cockpit!$O$5,1)="B",AU102,MAX(AU102,G102))))</f>
        <v/>
      </c>
      <c r="AR102" s="55">
        <f>IF(BO102=1,0,ROUNDUP(AQ102/BN102,0))</f>
        <v/>
      </c>
      <c r="AS102" s="64">
        <f>IF(BO102=1,IF(AQ102&lt;=0,0,BP102*MAX(1,IF(G102&gt;0,AQ102/G102,1))),AR102*Q102)</f>
        <v/>
      </c>
      <c r="AT102" s="55">
        <f>AQ102*F102</f>
        <v/>
      </c>
      <c r="AU102" s="55">
        <f>ROUNDUP(MAX(I102/IF(BS102&gt;0,BS102,MAX(0.1,N(Cockpit!$O$6))),BV102)/BN102,0)*BN102</f>
        <v/>
      </c>
      <c r="AV102" s="56">
        <f>IF(AS102&gt;0,I102/AS102,-1)</f>
        <v/>
      </c>
      <c r="AW102" s="56">
        <f>IF(AND(OR(BR102="L1",BR102="L23"),AS102&gt;0),SUMIFS($AS$7:$AS$1570,$BR$7:$BR$1570,BR102,$AV$7:$AV$1570,"&gt;"&amp;AV102)+SUMIFS($AS$7:$AS$1570,$BR$7:$BR$1570,BR102,$AV$7:$AV$1570,AV102,$BL$7:$BL$1570,"&lt;="&amp;BL102),"")</f>
        <v/>
      </c>
      <c r="AX102" s="65">
        <f>IF(AW102="",0,MAX(0,MIN(1,(IF(BR102="L1",Parameter!$K$5,Parameter!$K$6+Parameter!$K$7)-(AW102-AS102))/AS102)))</f>
        <v/>
      </c>
      <c r="AY102" s="53">
        <f>IF(AC102&lt;=0,"",IF(BR102="Aussen","Aussenlager",IF(BR102="-","Nicht im Lift",IF(AH102&gt;=1,"Lift",IF(AH102&lt;=0,"Aussenlager","teilweise")))))</f>
        <v/>
      </c>
      <c r="AZ102" s="53">
        <f>IF(AK102&lt;=0,"",IF(BR102="Aussen","Aussenlager",IF(BR102="-","Nicht im Lift",IF(AP102&gt;=1,"Lift",IF(AP102&lt;=0,"Aussenlager","teilweise")))))</f>
        <v/>
      </c>
      <c r="BA102" s="53">
        <f>IF(AS102&lt;=0,"",IF(BR102="Aussen","Aussenlager",IF(BR102="-","Nicht im Lift",IF(AX102&gt;=1,"Lift",IF(AX102&lt;=0,"Aussenlager","teilweise")))))</f>
        <v/>
      </c>
      <c r="BB102" s="53">
        <f>IF(A102="","",IF(BK102=1,"Neu; ","")&amp;IF(AND(BK102=0,BF102&lt;0),"negativer Bestand (Export "&amp;BF102&amp;"); ","")&amp;IF(I102&lt;=0,"Kein Verbrauch; ","")&amp;IF(BO102=1,"Lose – Fläche geschätzt; ","")&amp;IF(G102&gt;AM102,"Überbestand "&amp;ROUND(G102-AM102,0)&amp;" Stk / CHF "&amp;ROUND((G102-AM102)*F102,0)&amp;"; ","")&amp;IF(AND(BT102=1,BU102&lt;BV102),"MAX &lt; MB+LG; ","")&amp;IF(AND(BZ102&gt;0,BY102*10&gt;BZ102),"zu hoch für Tablar; ","")&amp;IF(AND(BK102=0,OR(BT102=1,V102&lt;&gt;"",S102&lt;&gt;"",T102&lt;&gt;"",W102&lt;&gt;"")),"manuell übersteuert; ","")&amp;IF(AND(BO102=0,Q102=0),"Gebinde unbekannt; ","")&amp;IF(AND(BO102=0,N(T102)&lt;=0,N(P102)&lt;=0),"Menge pro Gebinde fehlt (Ist = 1 Gebinde); ","")&amp;BJ102)</f>
        <v/>
      </c>
      <c r="BC102" s="53" t="n"/>
      <c r="BD102" s="53" t="n"/>
      <c r="BE102" s="61" t="n"/>
      <c r="BF102" s="55" t="n">
        <v>13</v>
      </c>
      <c r="BG102" s="55" t="n">
        <v>4</v>
      </c>
      <c r="BH102" s="54" t="n">
        <v>2328.73</v>
      </c>
      <c r="BI102" s="55" t="n">
        <v>12</v>
      </c>
      <c r="BJ102" s="53" t="inlineStr">
        <is>
          <t>grosser Artikel &amp; nicht im KTL</t>
        </is>
      </c>
      <c r="BK102" s="58" t="n">
        <v>0</v>
      </c>
      <c r="BL102" s="58" t="n">
        <v>102</v>
      </c>
      <c r="BM102" s="53">
        <f>IF(S102&lt;&gt;"",UPPER(TRIM(S102)),IF(O102="","LOSE",O102))</f>
        <v/>
      </c>
      <c r="BN102" s="55">
        <f>IF(BM102="LOSE",1,IF(N(T102)&gt;0,T102,IF(N(P102)&gt;0,P102,MAX(1,G102))))</f>
        <v/>
      </c>
      <c r="BO102" s="58">
        <f>IF(BM102="LOSE",1,0)</f>
        <v/>
      </c>
      <c r="BP102" s="64">
        <f>IF(BO102=0,0,IF(N(R102)&gt;0,R102,IFERROR(VLOOKUP(D102,Parameter!$A$35:$C$64,3,0)+0,0)))</f>
        <v/>
      </c>
      <c r="BQ102" s="53">
        <f>IF(V102&lt;&gt;"",V102,U102)</f>
        <v/>
      </c>
      <c r="BR102" s="53">
        <f>IF(BQ102=1,"L1",IF(OR(BQ102=2,BQ102=3),"L23",IF(BQ102="Aussen","Aussen","-")))</f>
        <v/>
      </c>
      <c r="BS102" s="66">
        <f>IF(N(W102)&gt;0,W102,0)</f>
        <v/>
      </c>
      <c r="BT102" s="58">
        <f>IF(ISNUMBER(Z102),1,0)</f>
        <v/>
      </c>
      <c r="BU102" s="55">
        <f>N(Z102)</f>
        <v/>
      </c>
      <c r="BV102" s="55">
        <f>N(L102)+N(M102)</f>
        <v/>
      </c>
      <c r="BW102" s="55">
        <f>ROUNDUP(G102/BN102,0)</f>
        <v/>
      </c>
      <c r="BX102" s="55">
        <f>ROUNDUP(BU102/BN102,0)</f>
        <v/>
      </c>
      <c r="BY102" s="58">
        <f>IF(BO102=1,0,IFERROR(VLOOKUP(BM102,'Gebinde-Kategorie'!$A$5:$G$45,5,0)+0,0))</f>
        <v/>
      </c>
      <c r="BZ102" s="58">
        <f>IFERROR(IF(OR(BQ102=1,BQ102=2,BQ102=3),N(INDEX(Parameter!$I$5:$I$7,BQ102)),0),0)</f>
        <v/>
      </c>
    </row>
    <row r="103">
      <c r="A103" s="53" t="inlineStr">
        <is>
          <t>107995</t>
        </is>
      </c>
      <c r="B103" s="53" t="inlineStr">
        <is>
          <t>Radialventilator</t>
        </is>
      </c>
      <c r="C103" s="53" t="inlineStr">
        <is>
          <t>F</t>
        </is>
      </c>
      <c r="D103" s="53" t="inlineStr">
        <is>
          <t>PAL</t>
        </is>
      </c>
      <c r="E103" s="53" t="inlineStr">
        <is>
          <t>C</t>
        </is>
      </c>
      <c r="F103" s="54" t="n">
        <v>305.49</v>
      </c>
      <c r="G103" s="55">
        <f>MAX(0,IF(Parameter!$B$20="Jahresanfang 2025 + Export",BG103+BF103,BF103))</f>
        <v/>
      </c>
      <c r="H103" s="55">
        <f>G103*F103</f>
        <v/>
      </c>
      <c r="I103" s="55">
        <f>BI103*Parameter!$B$18</f>
        <v/>
      </c>
      <c r="J103" s="56" t="n">
        <v>41.5</v>
      </c>
      <c r="K103" s="57" t="n">
        <v>3.63855421686747</v>
      </c>
      <c r="L103" s="55" t="n">
        <v>15</v>
      </c>
      <c r="M103" s="55" t="n">
        <v>24</v>
      </c>
      <c r="N103" s="58" t="n">
        <v>28</v>
      </c>
      <c r="O103" s="53" t="inlineStr">
        <is>
          <t>S71</t>
        </is>
      </c>
      <c r="P103" s="55" t="n">
        <v>40</v>
      </c>
      <c r="Q103" s="59">
        <f>IF(BO103=1,0,IFERROR(VLOOKUP(BM103,'Gebinde-Kategorie'!$A$5:$G$45,6,0)+0,0))</f>
        <v/>
      </c>
      <c r="R103" s="60" t="n"/>
      <c r="S103" s="61" t="n"/>
      <c r="T103" s="61" t="n"/>
      <c r="U103" s="53">
        <f>IF(A103="","",IF(IFERROR(VLOOKUP(D103,Parameter!$A$35:$C$64,2,0),"Nein")="2+3",IF(ISNUMBER(SEARCH("grosser Artikel",BJ103)),2,IFERROR(VLOOKUP(BM103,Parameter!$F$35:$G$64,2,0),2)),IF(OR(IFERROR(VLOOKUP(D103,Parameter!$A$35:$C$64,2,0),"Nein")="Nein",IFERROR(VLOOKUP(D103,Parameter!$A$35:$C$64,2,0),"Nein")=""),"-",VLOOKUP(D103,Parameter!$A$35:$C$64,2,0))))</f>
        <v/>
      </c>
      <c r="V103" s="61" t="n"/>
      <c r="W103" s="62" t="n"/>
      <c r="X103" s="55">
        <f>AM103</f>
        <v/>
      </c>
      <c r="Y103" s="55">
        <f>MAX(AM103,G103)</f>
        <v/>
      </c>
      <c r="Z103" s="63" t="n"/>
      <c r="AA103" s="55">
        <f>IF(LEFT(Cockpit!$C$5,1)="A",G103,IF(BT103=1,BU103,IF(LEFT(Cockpit!$C$5,1)="B",AE103,MAX(AE103,G103))))</f>
        <v/>
      </c>
      <c r="AB103" s="55">
        <f>IF(BO103=1,0,ROUNDUP(AA103/BN103,0))</f>
        <v/>
      </c>
      <c r="AC103" s="64">
        <f>IF(BO103=1,IF(AA103&lt;=0,0,BP103*MAX(1,IF(G103&gt;0,AA103/G103,1))),AB103*Q103)</f>
        <v/>
      </c>
      <c r="AD103" s="55">
        <f>AA103*F103</f>
        <v/>
      </c>
      <c r="AE103" s="55">
        <f>ROUNDUP(MAX(I103/IF(BS103&gt;0,BS103,MAX(0.1,N(Cockpit!$C$6))),BV103)/BN103,0)*BN103</f>
        <v/>
      </c>
      <c r="AF103" s="56">
        <f>IF(AC103&gt;0,I103/AC103,-1)</f>
        <v/>
      </c>
      <c r="AG103" s="56">
        <f>IF(AND(OR(BR103="L1",BR103="L23"),AC103&gt;0),SUMIFS($AC$7:$AC$1570,$BR$7:$BR$1570,BR103,$AF$7:$AF$1570,"&gt;"&amp;AF103)+SUMIFS($AC$7:$AC$1570,$BR$7:$BR$1570,BR103,$AF$7:$AF$1570,AF103,$BL$7:$BL$1570,"&lt;="&amp;BL103),"")</f>
        <v/>
      </c>
      <c r="AH103" s="65">
        <f>IF(AG103="",0,MAX(0,MIN(1,(IF(BR103="L1",Parameter!$K$5,Parameter!$K$6+Parameter!$K$7)-(AG103-AC103))/AC103)))</f>
        <v/>
      </c>
      <c r="AI103" s="55">
        <f>IF(LEFT(Cockpit!$I$5,1)="A",G103,IF(BT103=1,BU103,IF(LEFT(Cockpit!$I$5,1)="B",AM103,MAX(AM103,G103))))</f>
        <v/>
      </c>
      <c r="AJ103" s="55">
        <f>IF(BO103=1,0,ROUNDUP(AI103/BN103,0))</f>
        <v/>
      </c>
      <c r="AK103" s="64">
        <f>IF(BO103=1,IF(AI103&lt;=0,0,BP103*MAX(1,IF(G103&gt;0,AI103/G103,1))),AJ103*Q103)</f>
        <v/>
      </c>
      <c r="AL103" s="55">
        <f>AI103*F103</f>
        <v/>
      </c>
      <c r="AM103" s="55">
        <f>ROUNDUP(MAX(I103/IF(BS103&gt;0,BS103,MAX(0.1,N(Cockpit!$I$6))),BV103)/BN103,0)*BN103</f>
        <v/>
      </c>
      <c r="AN103" s="56">
        <f>IF(AK103&gt;0,I103/AK103,-1)</f>
        <v/>
      </c>
      <c r="AO103" s="56">
        <f>IF(AND(OR(BR103="L1",BR103="L23"),AK103&gt;0),SUMIFS($AK$7:$AK$1570,$BR$7:$BR$1570,BR103,$AN$7:$AN$1570,"&gt;"&amp;AN103)+SUMIFS($AK$7:$AK$1570,$BR$7:$BR$1570,BR103,$AN$7:$AN$1570,AN103,$BL$7:$BL$1570,"&lt;="&amp;BL103),"")</f>
        <v/>
      </c>
      <c r="AP103" s="65">
        <f>IF(AO103="",0,MAX(0,MIN(1,(IF(BR103="L1",Parameter!$K$5,Parameter!$K$6+Parameter!$K$7)-(AO103-AK103))/AK103)))</f>
        <v/>
      </c>
      <c r="AQ103" s="55">
        <f>IF(LEFT(Cockpit!$O$5,1)="A",G103,IF(BT103=1,BU103,IF(LEFT(Cockpit!$O$5,1)="B",AU103,MAX(AU103,G103))))</f>
        <v/>
      </c>
      <c r="AR103" s="55">
        <f>IF(BO103=1,0,ROUNDUP(AQ103/BN103,0))</f>
        <v/>
      </c>
      <c r="AS103" s="64">
        <f>IF(BO103=1,IF(AQ103&lt;=0,0,BP103*MAX(1,IF(G103&gt;0,AQ103/G103,1))),AR103*Q103)</f>
        <v/>
      </c>
      <c r="AT103" s="55">
        <f>AQ103*F103</f>
        <v/>
      </c>
      <c r="AU103" s="55">
        <f>ROUNDUP(MAX(I103/IF(BS103&gt;0,BS103,MAX(0.1,N(Cockpit!$O$6))),BV103)/BN103,0)*BN103</f>
        <v/>
      </c>
      <c r="AV103" s="56">
        <f>IF(AS103&gt;0,I103/AS103,-1)</f>
        <v/>
      </c>
      <c r="AW103" s="56">
        <f>IF(AND(OR(BR103="L1",BR103="L23"),AS103&gt;0),SUMIFS($AS$7:$AS$1570,$BR$7:$BR$1570,BR103,$AV$7:$AV$1570,"&gt;"&amp;AV103)+SUMIFS($AS$7:$AS$1570,$BR$7:$BR$1570,BR103,$AV$7:$AV$1570,AV103,$BL$7:$BL$1570,"&lt;="&amp;BL103),"")</f>
        <v/>
      </c>
      <c r="AX103" s="65">
        <f>IF(AW103="",0,MAX(0,MIN(1,(IF(BR103="L1",Parameter!$K$5,Parameter!$K$6+Parameter!$K$7)-(AW103-AS103))/AS103)))</f>
        <v/>
      </c>
      <c r="AY103" s="53">
        <f>IF(AC103&lt;=0,"",IF(BR103="Aussen","Aussenlager",IF(BR103="-","Nicht im Lift",IF(AH103&gt;=1,"Lift",IF(AH103&lt;=0,"Aussenlager","teilweise")))))</f>
        <v/>
      </c>
      <c r="AZ103" s="53">
        <f>IF(AK103&lt;=0,"",IF(BR103="Aussen","Aussenlager",IF(BR103="-","Nicht im Lift",IF(AP103&gt;=1,"Lift",IF(AP103&lt;=0,"Aussenlager","teilweise")))))</f>
        <v/>
      </c>
      <c r="BA103" s="53">
        <f>IF(AS103&lt;=0,"",IF(BR103="Aussen","Aussenlager",IF(BR103="-","Nicht im Lift",IF(AX103&gt;=1,"Lift",IF(AX103&lt;=0,"Aussenlager","teilweise")))))</f>
        <v/>
      </c>
      <c r="BB103" s="53">
        <f>IF(A103="","",IF(BK103=1,"Neu; ","")&amp;IF(AND(BK103=0,BF103&lt;0),"negativer Bestand (Export "&amp;BF103&amp;"); ","")&amp;IF(I103&lt;=0,"Kein Verbrauch; ","")&amp;IF(BO103=1,"Lose – Fläche geschätzt; ","")&amp;IF(G103&gt;AM103,"Überbestand "&amp;ROUND(G103-AM103,0)&amp;" Stk / CHF "&amp;ROUND((G103-AM103)*F103,0)&amp;"; ","")&amp;IF(AND(BT103=1,BU103&lt;BV103),"MAX &lt; MB+LG; ","")&amp;IF(AND(BZ103&gt;0,BY103*10&gt;BZ103),"zu hoch für Tablar; ","")&amp;IF(AND(BK103=0,OR(BT103=1,V103&lt;&gt;"",S103&lt;&gt;"",T103&lt;&gt;"",W103&lt;&gt;"")),"manuell übersteuert; ","")&amp;IF(AND(BO103=0,Q103=0),"Gebinde unbekannt; ","")&amp;IF(AND(BO103=0,N(T103)&lt;=0,N(P103)&lt;=0),"Menge pro Gebinde fehlt (Ist = 1 Gebinde); ","")&amp;BJ103)</f>
        <v/>
      </c>
      <c r="BC103" s="53" t="n"/>
      <c r="BD103" s="53" t="n"/>
      <c r="BE103" s="61" t="n"/>
      <c r="BF103" s="55" t="n">
        <v>5</v>
      </c>
      <c r="BG103" s="55" t="n">
        <v>36</v>
      </c>
      <c r="BH103" s="54" t="n">
        <v>2316.929999999987</v>
      </c>
      <c r="BI103" s="55" t="n">
        <v>151</v>
      </c>
      <c r="BJ103" s="53" t="inlineStr"/>
      <c r="BK103" s="58" t="n">
        <v>0</v>
      </c>
      <c r="BL103" s="58" t="n">
        <v>103</v>
      </c>
      <c r="BM103" s="53">
        <f>IF(S103&lt;&gt;"",UPPER(TRIM(S103)),IF(O103="","LOSE",O103))</f>
        <v/>
      </c>
      <c r="BN103" s="55">
        <f>IF(BM103="LOSE",1,IF(N(T103)&gt;0,T103,IF(N(P103)&gt;0,P103,MAX(1,G103))))</f>
        <v/>
      </c>
      <c r="BO103" s="58">
        <f>IF(BM103="LOSE",1,0)</f>
        <v/>
      </c>
      <c r="BP103" s="64">
        <f>IF(BO103=0,0,IF(N(R103)&gt;0,R103,IFERROR(VLOOKUP(D103,Parameter!$A$35:$C$64,3,0)+0,0)))</f>
        <v/>
      </c>
      <c r="BQ103" s="53">
        <f>IF(V103&lt;&gt;"",V103,U103)</f>
        <v/>
      </c>
      <c r="BR103" s="53">
        <f>IF(BQ103=1,"L1",IF(OR(BQ103=2,BQ103=3),"L23",IF(BQ103="Aussen","Aussen","-")))</f>
        <v/>
      </c>
      <c r="BS103" s="66">
        <f>IF(N(W103)&gt;0,W103,0)</f>
        <v/>
      </c>
      <c r="BT103" s="58">
        <f>IF(ISNUMBER(Z103),1,0)</f>
        <v/>
      </c>
      <c r="BU103" s="55">
        <f>N(Z103)</f>
        <v/>
      </c>
      <c r="BV103" s="55">
        <f>N(L103)+N(M103)</f>
        <v/>
      </c>
      <c r="BW103" s="55">
        <f>ROUNDUP(G103/BN103,0)</f>
        <v/>
      </c>
      <c r="BX103" s="55">
        <f>ROUNDUP(BU103/BN103,0)</f>
        <v/>
      </c>
      <c r="BY103" s="58">
        <f>IF(BO103=1,0,IFERROR(VLOOKUP(BM103,'Gebinde-Kategorie'!$A$5:$G$45,5,0)+0,0))</f>
        <v/>
      </c>
      <c r="BZ103" s="58">
        <f>IFERROR(IF(OR(BQ103=1,BQ103=2,BQ103=3),N(INDEX(Parameter!$I$5:$I$7,BQ103)),0),0)</f>
        <v/>
      </c>
    </row>
    <row r="104">
      <c r="A104" s="53" t="inlineStr">
        <is>
          <t>100155</t>
        </is>
      </c>
      <c r="B104" s="53" t="inlineStr">
        <is>
          <t>Verschlussstopfen</t>
        </is>
      </c>
      <c r="C104" s="53" t="inlineStr">
        <is>
          <t>F</t>
        </is>
      </c>
      <c r="D104" s="53" t="inlineStr">
        <is>
          <t>KTL</t>
        </is>
      </c>
      <c r="E104" s="53" t="inlineStr">
        <is>
          <t>C</t>
        </is>
      </c>
      <c r="F104" s="54" t="n">
        <v>12.37</v>
      </c>
      <c r="G104" s="55">
        <f>MAX(0,IF(Parameter!$B$20="Jahresanfang 2025 + Export",BG104+BF104,BF104))</f>
        <v/>
      </c>
      <c r="H104" s="55">
        <f>G104*F104</f>
        <v/>
      </c>
      <c r="I104" s="55">
        <f>BI104*Parameter!$B$18</f>
        <v/>
      </c>
      <c r="J104" s="56" t="n">
        <v>264</v>
      </c>
      <c r="K104" s="57" t="n">
        <v>3.878787878787879</v>
      </c>
      <c r="L104" s="55" t="n">
        <v>65</v>
      </c>
      <c r="M104" s="55" t="n">
        <v>500</v>
      </c>
      <c r="N104" s="58" t="n">
        <v>21</v>
      </c>
      <c r="O104" s="53" t="inlineStr">
        <is>
          <t>S32</t>
        </is>
      </c>
      <c r="P104" s="55" t="n">
        <v>574</v>
      </c>
      <c r="Q104" s="59">
        <f>IF(BO104=1,0,IFERROR(VLOOKUP(BM104,'Gebinde-Kategorie'!$A$5:$G$45,6,0)+0,0))</f>
        <v/>
      </c>
      <c r="R104" s="60" t="n"/>
      <c r="S104" s="61" t="n"/>
      <c r="T104" s="61" t="n"/>
      <c r="U104" s="53">
        <f>IF(A104="","",IF(IFERROR(VLOOKUP(D104,Parameter!$A$35:$C$64,2,0),"Nein")="2+3",IF(ISNUMBER(SEARCH("grosser Artikel",BJ104)),2,IFERROR(VLOOKUP(BM104,Parameter!$F$35:$G$64,2,0),2)),IF(OR(IFERROR(VLOOKUP(D104,Parameter!$A$35:$C$64,2,0),"Nein")="Nein",IFERROR(VLOOKUP(D104,Parameter!$A$35:$C$64,2,0),"Nein")=""),"-",VLOOKUP(D104,Parameter!$A$35:$C$64,2,0))))</f>
        <v/>
      </c>
      <c r="V104" s="61" t="n"/>
      <c r="W104" s="62" t="n"/>
      <c r="X104" s="55">
        <f>AM104</f>
        <v/>
      </c>
      <c r="Y104" s="55">
        <f>MAX(AM104,G104)</f>
        <v/>
      </c>
      <c r="Z104" s="63" t="n"/>
      <c r="AA104" s="55">
        <f>IF(LEFT(Cockpit!$C$5,1)="A",G104,IF(BT104=1,BU104,IF(LEFT(Cockpit!$C$5,1)="B",AE104,MAX(AE104,G104))))</f>
        <v/>
      </c>
      <c r="AB104" s="55">
        <f>IF(BO104=1,0,ROUNDUP(AA104/BN104,0))</f>
        <v/>
      </c>
      <c r="AC104" s="64">
        <f>IF(BO104=1,IF(AA104&lt;=0,0,BP104*MAX(1,IF(G104&gt;0,AA104/G104,1))),AB104*Q104)</f>
        <v/>
      </c>
      <c r="AD104" s="55">
        <f>AA104*F104</f>
        <v/>
      </c>
      <c r="AE104" s="55">
        <f>ROUNDUP(MAX(I104/IF(BS104&gt;0,BS104,MAX(0.1,N(Cockpit!$C$6))),BV104)/BN104,0)*BN104</f>
        <v/>
      </c>
      <c r="AF104" s="56">
        <f>IF(AC104&gt;0,I104/AC104,-1)</f>
        <v/>
      </c>
      <c r="AG104" s="56">
        <f>IF(AND(OR(BR104="L1",BR104="L23"),AC104&gt;0),SUMIFS($AC$7:$AC$1570,$BR$7:$BR$1570,BR104,$AF$7:$AF$1570,"&gt;"&amp;AF104)+SUMIFS($AC$7:$AC$1570,$BR$7:$BR$1570,BR104,$AF$7:$AF$1570,AF104,$BL$7:$BL$1570,"&lt;="&amp;BL104),"")</f>
        <v/>
      </c>
      <c r="AH104" s="65">
        <f>IF(AG104="",0,MAX(0,MIN(1,(IF(BR104="L1",Parameter!$K$5,Parameter!$K$6+Parameter!$K$7)-(AG104-AC104))/AC104)))</f>
        <v/>
      </c>
      <c r="AI104" s="55">
        <f>IF(LEFT(Cockpit!$I$5,1)="A",G104,IF(BT104=1,BU104,IF(LEFT(Cockpit!$I$5,1)="B",AM104,MAX(AM104,G104))))</f>
        <v/>
      </c>
      <c r="AJ104" s="55">
        <f>IF(BO104=1,0,ROUNDUP(AI104/BN104,0))</f>
        <v/>
      </c>
      <c r="AK104" s="64">
        <f>IF(BO104=1,IF(AI104&lt;=0,0,BP104*MAX(1,IF(G104&gt;0,AI104/G104,1))),AJ104*Q104)</f>
        <v/>
      </c>
      <c r="AL104" s="55">
        <f>AI104*F104</f>
        <v/>
      </c>
      <c r="AM104" s="55">
        <f>ROUNDUP(MAX(I104/IF(BS104&gt;0,BS104,MAX(0.1,N(Cockpit!$I$6))),BV104)/BN104,0)*BN104</f>
        <v/>
      </c>
      <c r="AN104" s="56">
        <f>IF(AK104&gt;0,I104/AK104,-1)</f>
        <v/>
      </c>
      <c r="AO104" s="56">
        <f>IF(AND(OR(BR104="L1",BR104="L23"),AK104&gt;0),SUMIFS($AK$7:$AK$1570,$BR$7:$BR$1570,BR104,$AN$7:$AN$1570,"&gt;"&amp;AN104)+SUMIFS($AK$7:$AK$1570,$BR$7:$BR$1570,BR104,$AN$7:$AN$1570,AN104,$BL$7:$BL$1570,"&lt;="&amp;BL104),"")</f>
        <v/>
      </c>
      <c r="AP104" s="65">
        <f>IF(AO104="",0,MAX(0,MIN(1,(IF(BR104="L1",Parameter!$K$5,Parameter!$K$6+Parameter!$K$7)-(AO104-AK104))/AK104)))</f>
        <v/>
      </c>
      <c r="AQ104" s="55">
        <f>IF(LEFT(Cockpit!$O$5,1)="A",G104,IF(BT104=1,BU104,IF(LEFT(Cockpit!$O$5,1)="B",AU104,MAX(AU104,G104))))</f>
        <v/>
      </c>
      <c r="AR104" s="55">
        <f>IF(BO104=1,0,ROUNDUP(AQ104/BN104,0))</f>
        <v/>
      </c>
      <c r="AS104" s="64">
        <f>IF(BO104=1,IF(AQ104&lt;=0,0,BP104*MAX(1,IF(G104&gt;0,AQ104/G104,1))),AR104*Q104)</f>
        <v/>
      </c>
      <c r="AT104" s="55">
        <f>AQ104*F104</f>
        <v/>
      </c>
      <c r="AU104" s="55">
        <f>ROUNDUP(MAX(I104/IF(BS104&gt;0,BS104,MAX(0.1,N(Cockpit!$O$6))),BV104)/BN104,0)*BN104</f>
        <v/>
      </c>
      <c r="AV104" s="56">
        <f>IF(AS104&gt;0,I104/AS104,-1)</f>
        <v/>
      </c>
      <c r="AW104" s="56">
        <f>IF(AND(OR(BR104="L1",BR104="L23"),AS104&gt;0),SUMIFS($AS$7:$AS$1570,$BR$7:$BR$1570,BR104,$AV$7:$AV$1570,"&gt;"&amp;AV104)+SUMIFS($AS$7:$AS$1570,$BR$7:$BR$1570,BR104,$AV$7:$AV$1570,AV104,$BL$7:$BL$1570,"&lt;="&amp;BL104),"")</f>
        <v/>
      </c>
      <c r="AX104" s="65">
        <f>IF(AW104="",0,MAX(0,MIN(1,(IF(BR104="L1",Parameter!$K$5,Parameter!$K$6+Parameter!$K$7)-(AW104-AS104))/AS104)))</f>
        <v/>
      </c>
      <c r="AY104" s="53">
        <f>IF(AC104&lt;=0,"",IF(BR104="Aussen","Aussenlager",IF(BR104="-","Nicht im Lift",IF(AH104&gt;=1,"Lift",IF(AH104&lt;=0,"Aussenlager","teilweise")))))</f>
        <v/>
      </c>
      <c r="AZ104" s="53">
        <f>IF(AK104&lt;=0,"",IF(BR104="Aussen","Aussenlager",IF(BR104="-","Nicht im Lift",IF(AP104&gt;=1,"Lift",IF(AP104&lt;=0,"Aussenlager","teilweise")))))</f>
        <v/>
      </c>
      <c r="BA104" s="53">
        <f>IF(AS104&lt;=0,"",IF(BR104="Aussen","Aussenlager",IF(BR104="-","Nicht im Lift",IF(AX104&gt;=1,"Lift",IF(AX104&lt;=0,"Aussenlager","teilweise")))))</f>
        <v/>
      </c>
      <c r="BB104" s="53">
        <f>IF(A104="","",IF(BK104=1,"Neu; ","")&amp;IF(AND(BK104=0,BF104&lt;0),"negativer Bestand (Export "&amp;BF104&amp;"); ","")&amp;IF(I104&lt;=0,"Kein Verbrauch; ","")&amp;IF(BO104=1,"Lose – Fläche geschätzt; ","")&amp;IF(G104&gt;AM104,"Überbestand "&amp;ROUND(G104-AM104,0)&amp;" Stk / CHF "&amp;ROUND((G104-AM104)*F104,0)&amp;"; ","")&amp;IF(AND(BT104=1,BU104&lt;BV104),"MAX &lt; MB+LG; ","")&amp;IF(AND(BZ104&gt;0,BY104*10&gt;BZ104),"zu hoch für Tablar; ","")&amp;IF(AND(BK104=0,OR(BT104=1,V104&lt;&gt;"",S104&lt;&gt;"",T104&lt;&gt;"",W104&lt;&gt;"")),"manuell übersteuert; ","")&amp;IF(AND(BO104=0,Q104=0),"Gebinde unbekannt; ","")&amp;IF(AND(BO104=0,N(T104)&lt;=0,N(P104)&lt;=0),"Menge pro Gebinde fehlt (Ist = 1 Gebinde); ","")&amp;BJ104)</f>
        <v/>
      </c>
      <c r="BC104" s="53" t="n"/>
      <c r="BD104" s="53" t="n"/>
      <c r="BE104" s="61" t="n"/>
      <c r="BF104" s="55" t="n">
        <v>196</v>
      </c>
      <c r="BG104" s="55" t="n">
        <v>181</v>
      </c>
      <c r="BH104" s="54" t="n">
        <v>2298.740000000001</v>
      </c>
      <c r="BI104" s="55" t="n">
        <v>1024</v>
      </c>
      <c r="BJ104" s="53" t="inlineStr"/>
      <c r="BK104" s="58" t="n">
        <v>0</v>
      </c>
      <c r="BL104" s="58" t="n">
        <v>104</v>
      </c>
      <c r="BM104" s="53">
        <f>IF(S104&lt;&gt;"",UPPER(TRIM(S104)),IF(O104="","LOSE",O104))</f>
        <v/>
      </c>
      <c r="BN104" s="55">
        <f>IF(BM104="LOSE",1,IF(N(T104)&gt;0,T104,IF(N(P104)&gt;0,P104,MAX(1,G104))))</f>
        <v/>
      </c>
      <c r="BO104" s="58">
        <f>IF(BM104="LOSE",1,0)</f>
        <v/>
      </c>
      <c r="BP104" s="64">
        <f>IF(BO104=0,0,IF(N(R104)&gt;0,R104,IFERROR(VLOOKUP(D104,Parameter!$A$35:$C$64,3,0)+0,0)))</f>
        <v/>
      </c>
      <c r="BQ104" s="53">
        <f>IF(V104&lt;&gt;"",V104,U104)</f>
        <v/>
      </c>
      <c r="BR104" s="53">
        <f>IF(BQ104=1,"L1",IF(OR(BQ104=2,BQ104=3),"L23",IF(BQ104="Aussen","Aussen","-")))</f>
        <v/>
      </c>
      <c r="BS104" s="66">
        <f>IF(N(W104)&gt;0,W104,0)</f>
        <v/>
      </c>
      <c r="BT104" s="58">
        <f>IF(ISNUMBER(Z104),1,0)</f>
        <v/>
      </c>
      <c r="BU104" s="55">
        <f>N(Z104)</f>
        <v/>
      </c>
      <c r="BV104" s="55">
        <f>N(L104)+N(M104)</f>
        <v/>
      </c>
      <c r="BW104" s="55">
        <f>ROUNDUP(G104/BN104,0)</f>
        <v/>
      </c>
      <c r="BX104" s="55">
        <f>ROUNDUP(BU104/BN104,0)</f>
        <v/>
      </c>
      <c r="BY104" s="58">
        <f>IF(BO104=1,0,IFERROR(VLOOKUP(BM104,'Gebinde-Kategorie'!$A$5:$G$45,5,0)+0,0))</f>
        <v/>
      </c>
      <c r="BZ104" s="58">
        <f>IFERROR(IF(OR(BQ104=1,BQ104=2,BQ104=3),N(INDEX(Parameter!$I$5:$I$7,BQ104)),0),0)</f>
        <v/>
      </c>
    </row>
    <row r="105">
      <c r="A105" s="53" t="inlineStr">
        <is>
          <t>107197</t>
        </is>
      </c>
      <c r="B105" s="53" t="inlineStr">
        <is>
          <t>Kompressoröl zu AC260</t>
        </is>
      </c>
      <c r="C105" s="53" t="inlineStr">
        <is>
          <t>F</t>
        </is>
      </c>
      <c r="D105" s="53" t="inlineStr">
        <is>
          <t>PAL</t>
        </is>
      </c>
      <c r="E105" s="53" t="inlineStr">
        <is>
          <t>C</t>
        </is>
      </c>
      <c r="F105" s="54" t="n">
        <v>448.5</v>
      </c>
      <c r="G105" s="55">
        <f>MAX(0,IF(Parameter!$B$20="Jahresanfang 2025 + Export",BG105+BF105,BF105))</f>
        <v/>
      </c>
      <c r="H105" s="55">
        <f>G105*F105</f>
        <v/>
      </c>
      <c r="I105" s="55">
        <f>BI105*Parameter!$B$18</f>
        <v/>
      </c>
      <c r="J105" s="56" t="n">
        <v>3.5</v>
      </c>
      <c r="K105" s="57" t="n">
        <v>1.428571428571429</v>
      </c>
      <c r="L105" s="55" t="n">
        <v>0</v>
      </c>
      <c r="M105" s="55" t="n">
        <v>5</v>
      </c>
      <c r="N105" s="58" t="n">
        <v>21</v>
      </c>
      <c r="O105" s="53" t="inlineStr">
        <is>
          <t>LOSE</t>
        </is>
      </c>
      <c r="P105" s="55" t="n"/>
      <c r="Q105" s="59">
        <f>IF(BO105=1,0,IFERROR(VLOOKUP(BM105,'Gebinde-Kategorie'!$A$5:$G$45,6,0)+0,0))</f>
        <v/>
      </c>
      <c r="R105" s="60" t="n"/>
      <c r="S105" s="61" t="n"/>
      <c r="T105" s="61" t="n"/>
      <c r="U105" s="53">
        <f>IF(A105="","",IF(IFERROR(VLOOKUP(D105,Parameter!$A$35:$C$64,2,0),"Nein")="2+3",IF(ISNUMBER(SEARCH("grosser Artikel",BJ105)),2,IFERROR(VLOOKUP(BM105,Parameter!$F$35:$G$64,2,0),2)),IF(OR(IFERROR(VLOOKUP(D105,Parameter!$A$35:$C$64,2,0),"Nein")="Nein",IFERROR(VLOOKUP(D105,Parameter!$A$35:$C$64,2,0),"Nein")=""),"-",VLOOKUP(D105,Parameter!$A$35:$C$64,2,0))))</f>
        <v/>
      </c>
      <c r="V105" s="61" t="n"/>
      <c r="W105" s="62" t="n"/>
      <c r="X105" s="55">
        <f>AM105</f>
        <v/>
      </c>
      <c r="Y105" s="55">
        <f>MAX(AM105,G105)</f>
        <v/>
      </c>
      <c r="Z105" s="63" t="n"/>
      <c r="AA105" s="55">
        <f>IF(LEFT(Cockpit!$C$5,1)="A",G105,IF(BT105=1,BU105,IF(LEFT(Cockpit!$C$5,1)="B",AE105,MAX(AE105,G105))))</f>
        <v/>
      </c>
      <c r="AB105" s="55">
        <f>IF(BO105=1,0,ROUNDUP(AA105/BN105,0))</f>
        <v/>
      </c>
      <c r="AC105" s="64">
        <f>IF(BO105=1,IF(AA105&lt;=0,0,BP105*MAX(1,IF(G105&gt;0,AA105/G105,1))),AB105*Q105)</f>
        <v/>
      </c>
      <c r="AD105" s="55">
        <f>AA105*F105</f>
        <v/>
      </c>
      <c r="AE105" s="55">
        <f>ROUNDUP(MAX(I105/IF(BS105&gt;0,BS105,MAX(0.1,N(Cockpit!$C$6))),BV105)/BN105,0)*BN105</f>
        <v/>
      </c>
      <c r="AF105" s="56">
        <f>IF(AC105&gt;0,I105/AC105,-1)</f>
        <v/>
      </c>
      <c r="AG105" s="56">
        <f>IF(AND(OR(BR105="L1",BR105="L23"),AC105&gt;0),SUMIFS($AC$7:$AC$1570,$BR$7:$BR$1570,BR105,$AF$7:$AF$1570,"&gt;"&amp;AF105)+SUMIFS($AC$7:$AC$1570,$BR$7:$BR$1570,BR105,$AF$7:$AF$1570,AF105,$BL$7:$BL$1570,"&lt;="&amp;BL105),"")</f>
        <v/>
      </c>
      <c r="AH105" s="65">
        <f>IF(AG105="",0,MAX(0,MIN(1,(IF(BR105="L1",Parameter!$K$5,Parameter!$K$6+Parameter!$K$7)-(AG105-AC105))/AC105)))</f>
        <v/>
      </c>
      <c r="AI105" s="55">
        <f>IF(LEFT(Cockpit!$I$5,1)="A",G105,IF(BT105=1,BU105,IF(LEFT(Cockpit!$I$5,1)="B",AM105,MAX(AM105,G105))))</f>
        <v/>
      </c>
      <c r="AJ105" s="55">
        <f>IF(BO105=1,0,ROUNDUP(AI105/BN105,0))</f>
        <v/>
      </c>
      <c r="AK105" s="64">
        <f>IF(BO105=1,IF(AI105&lt;=0,0,BP105*MAX(1,IF(G105&gt;0,AI105/G105,1))),AJ105*Q105)</f>
        <v/>
      </c>
      <c r="AL105" s="55">
        <f>AI105*F105</f>
        <v/>
      </c>
      <c r="AM105" s="55">
        <f>ROUNDUP(MAX(I105/IF(BS105&gt;0,BS105,MAX(0.1,N(Cockpit!$I$6))),BV105)/BN105,0)*BN105</f>
        <v/>
      </c>
      <c r="AN105" s="56">
        <f>IF(AK105&gt;0,I105/AK105,-1)</f>
        <v/>
      </c>
      <c r="AO105" s="56">
        <f>IF(AND(OR(BR105="L1",BR105="L23"),AK105&gt;0),SUMIFS($AK$7:$AK$1570,$BR$7:$BR$1570,BR105,$AN$7:$AN$1570,"&gt;"&amp;AN105)+SUMIFS($AK$7:$AK$1570,$BR$7:$BR$1570,BR105,$AN$7:$AN$1570,AN105,$BL$7:$BL$1570,"&lt;="&amp;BL105),"")</f>
        <v/>
      </c>
      <c r="AP105" s="65">
        <f>IF(AO105="",0,MAX(0,MIN(1,(IF(BR105="L1",Parameter!$K$5,Parameter!$K$6+Parameter!$K$7)-(AO105-AK105))/AK105)))</f>
        <v/>
      </c>
      <c r="AQ105" s="55">
        <f>IF(LEFT(Cockpit!$O$5,1)="A",G105,IF(BT105=1,BU105,IF(LEFT(Cockpit!$O$5,1)="B",AU105,MAX(AU105,G105))))</f>
        <v/>
      </c>
      <c r="AR105" s="55">
        <f>IF(BO105=1,0,ROUNDUP(AQ105/BN105,0))</f>
        <v/>
      </c>
      <c r="AS105" s="64">
        <f>IF(BO105=1,IF(AQ105&lt;=0,0,BP105*MAX(1,IF(G105&gt;0,AQ105/G105,1))),AR105*Q105)</f>
        <v/>
      </c>
      <c r="AT105" s="55">
        <f>AQ105*F105</f>
        <v/>
      </c>
      <c r="AU105" s="55">
        <f>ROUNDUP(MAX(I105/IF(BS105&gt;0,BS105,MAX(0.1,N(Cockpit!$O$6))),BV105)/BN105,0)*BN105</f>
        <v/>
      </c>
      <c r="AV105" s="56">
        <f>IF(AS105&gt;0,I105/AS105,-1)</f>
        <v/>
      </c>
      <c r="AW105" s="56">
        <f>IF(AND(OR(BR105="L1",BR105="L23"),AS105&gt;0),SUMIFS($AS$7:$AS$1570,$BR$7:$BR$1570,BR105,$AV$7:$AV$1570,"&gt;"&amp;AV105)+SUMIFS($AS$7:$AS$1570,$BR$7:$BR$1570,BR105,$AV$7:$AV$1570,AV105,$BL$7:$BL$1570,"&lt;="&amp;BL105),"")</f>
        <v/>
      </c>
      <c r="AX105" s="65">
        <f>IF(AW105="",0,MAX(0,MIN(1,(IF(BR105="L1",Parameter!$K$5,Parameter!$K$6+Parameter!$K$7)-(AW105-AS105))/AS105)))</f>
        <v/>
      </c>
      <c r="AY105" s="53">
        <f>IF(AC105&lt;=0,"",IF(BR105="Aussen","Aussenlager",IF(BR105="-","Nicht im Lift",IF(AH105&gt;=1,"Lift",IF(AH105&lt;=0,"Aussenlager","teilweise")))))</f>
        <v/>
      </c>
      <c r="AZ105" s="53">
        <f>IF(AK105&lt;=0,"",IF(BR105="Aussen","Aussenlager",IF(BR105="-","Nicht im Lift",IF(AP105&gt;=1,"Lift",IF(AP105&lt;=0,"Aussenlager","teilweise")))))</f>
        <v/>
      </c>
      <c r="BA105" s="53">
        <f>IF(AS105&lt;=0,"",IF(BR105="Aussen","Aussenlager",IF(BR105="-","Nicht im Lift",IF(AX105&gt;=1,"Lift",IF(AX105&lt;=0,"Aussenlager","teilweise")))))</f>
        <v/>
      </c>
      <c r="BB105" s="53">
        <f>IF(A105="","",IF(BK105=1,"Neu; ","")&amp;IF(AND(BK105=0,BF105&lt;0),"negativer Bestand (Export "&amp;BF105&amp;"); ","")&amp;IF(I105&lt;=0,"Kein Verbrauch; ","")&amp;IF(BO105=1,"Lose – Fläche geschätzt; ","")&amp;IF(G105&gt;AM105,"Überbestand "&amp;ROUND(G105-AM105,0)&amp;" Stk / CHF "&amp;ROUND((G105-AM105)*F105,0)&amp;"; ","")&amp;IF(AND(BT105=1,BU105&lt;BV105),"MAX &lt; MB+LG; ","")&amp;IF(AND(BZ105&gt;0,BY105*10&gt;BZ105),"zu hoch für Tablar; ","")&amp;IF(AND(BK105=0,OR(BT105=1,V105&lt;&gt;"",S105&lt;&gt;"",T105&lt;&gt;"",W105&lt;&gt;"")),"manuell übersteuert; ","")&amp;IF(AND(BO105=0,Q105=0),"Gebinde unbekannt; ","")&amp;IF(AND(BO105=0,N(T105)&lt;=0,N(P105)&lt;=0),"Menge pro Gebinde fehlt (Ist = 1 Gebinde); ","")&amp;BJ105)</f>
        <v/>
      </c>
      <c r="BC105" s="53" t="n"/>
      <c r="BD105" s="53" t="n"/>
      <c r="BE105" s="61" t="n"/>
      <c r="BF105" s="55" t="n">
        <v>5</v>
      </c>
      <c r="BG105" s="55" t="n">
        <v>1</v>
      </c>
      <c r="BH105" s="54" t="n">
        <v>2291.160000000001</v>
      </c>
      <c r="BI105" s="55" t="n">
        <v>5</v>
      </c>
      <c r="BJ105" s="53" t="inlineStr"/>
      <c r="BK105" s="58" t="n">
        <v>0</v>
      </c>
      <c r="BL105" s="58" t="n">
        <v>105</v>
      </c>
      <c r="BM105" s="53">
        <f>IF(S105&lt;&gt;"",UPPER(TRIM(S105)),IF(O105="","LOSE",O105))</f>
        <v/>
      </c>
      <c r="BN105" s="55">
        <f>IF(BM105="LOSE",1,IF(N(T105)&gt;0,T105,IF(N(P105)&gt;0,P105,MAX(1,G105))))</f>
        <v/>
      </c>
      <c r="BO105" s="58">
        <f>IF(BM105="LOSE",1,0)</f>
        <v/>
      </c>
      <c r="BP105" s="64">
        <f>IF(BO105=0,0,IF(N(R105)&gt;0,R105,IFERROR(VLOOKUP(D105,Parameter!$A$35:$C$64,3,0)+0,0)))</f>
        <v/>
      </c>
      <c r="BQ105" s="53">
        <f>IF(V105&lt;&gt;"",V105,U105)</f>
        <v/>
      </c>
      <c r="BR105" s="53">
        <f>IF(BQ105=1,"L1",IF(OR(BQ105=2,BQ105=3),"L23",IF(BQ105="Aussen","Aussen","-")))</f>
        <v/>
      </c>
      <c r="BS105" s="66">
        <f>IF(N(W105)&gt;0,W105,0)</f>
        <v/>
      </c>
      <c r="BT105" s="58">
        <f>IF(ISNUMBER(Z105),1,0)</f>
        <v/>
      </c>
      <c r="BU105" s="55">
        <f>N(Z105)</f>
        <v/>
      </c>
      <c r="BV105" s="55">
        <f>N(L105)+N(M105)</f>
        <v/>
      </c>
      <c r="BW105" s="55">
        <f>ROUNDUP(G105/BN105,0)</f>
        <v/>
      </c>
      <c r="BX105" s="55">
        <f>ROUNDUP(BU105/BN105,0)</f>
        <v/>
      </c>
      <c r="BY105" s="58">
        <f>IF(BO105=1,0,IFERROR(VLOOKUP(BM105,'Gebinde-Kategorie'!$A$5:$G$45,5,0)+0,0))</f>
        <v/>
      </c>
      <c r="BZ105" s="58">
        <f>IFERROR(IF(OR(BQ105=1,BQ105=2,BQ105=3),N(INDEX(Parameter!$I$5:$I$7,BQ105)),0),0)</f>
        <v/>
      </c>
    </row>
    <row r="106">
      <c r="A106" s="53" t="inlineStr">
        <is>
          <t>106619</t>
        </is>
      </c>
      <c r="B106" s="53" t="inlineStr">
        <is>
          <t>Rückschlagventil</t>
        </is>
      </c>
      <c r="C106" s="53" t="inlineStr">
        <is>
          <t>F</t>
        </is>
      </c>
      <c r="D106" s="53" t="inlineStr">
        <is>
          <t>KTL</t>
        </is>
      </c>
      <c r="E106" s="53" t="inlineStr">
        <is>
          <t>C</t>
        </is>
      </c>
      <c r="F106" s="54" t="n">
        <v>17.68</v>
      </c>
      <c r="G106" s="55">
        <f>MAX(0,IF(Parameter!$B$20="Jahresanfang 2025 + Export",BG106+BF106,BF106))</f>
        <v/>
      </c>
      <c r="H106" s="55">
        <f>G106*F106</f>
        <v/>
      </c>
      <c r="I106" s="55">
        <f>BI106*Parameter!$B$18</f>
        <v/>
      </c>
      <c r="J106" s="56" t="n">
        <v>140</v>
      </c>
      <c r="K106" s="57" t="n">
        <v>4.414285714285715</v>
      </c>
      <c r="L106" s="55" t="n">
        <v>36</v>
      </c>
      <c r="M106" s="55" t="n">
        <v>100</v>
      </c>
      <c r="N106" s="58" t="n">
        <v>21</v>
      </c>
      <c r="O106" s="53" t="inlineStr">
        <is>
          <t>S22</t>
        </is>
      </c>
      <c r="P106" s="55" t="n">
        <v>333</v>
      </c>
      <c r="Q106" s="59">
        <f>IF(BO106=1,0,IFERROR(VLOOKUP(BM106,'Gebinde-Kategorie'!$A$5:$G$45,6,0)+0,0))</f>
        <v/>
      </c>
      <c r="R106" s="60" t="n"/>
      <c r="S106" s="61" t="n"/>
      <c r="T106" s="61" t="n"/>
      <c r="U106" s="53">
        <f>IF(A106="","",IF(IFERROR(VLOOKUP(D106,Parameter!$A$35:$C$64,2,0),"Nein")="2+3",IF(ISNUMBER(SEARCH("grosser Artikel",BJ106)),2,IFERROR(VLOOKUP(BM106,Parameter!$F$35:$G$64,2,0),2)),IF(OR(IFERROR(VLOOKUP(D106,Parameter!$A$35:$C$64,2,0),"Nein")="Nein",IFERROR(VLOOKUP(D106,Parameter!$A$35:$C$64,2,0),"Nein")=""),"-",VLOOKUP(D106,Parameter!$A$35:$C$64,2,0))))</f>
        <v/>
      </c>
      <c r="V106" s="61" t="n"/>
      <c r="W106" s="62" t="n"/>
      <c r="X106" s="55">
        <f>AM106</f>
        <v/>
      </c>
      <c r="Y106" s="55">
        <f>MAX(AM106,G106)</f>
        <v/>
      </c>
      <c r="Z106" s="63" t="n"/>
      <c r="AA106" s="55">
        <f>IF(LEFT(Cockpit!$C$5,1)="A",G106,IF(BT106=1,BU106,IF(LEFT(Cockpit!$C$5,1)="B",AE106,MAX(AE106,G106))))</f>
        <v/>
      </c>
      <c r="AB106" s="55">
        <f>IF(BO106=1,0,ROUNDUP(AA106/BN106,0))</f>
        <v/>
      </c>
      <c r="AC106" s="64">
        <f>IF(BO106=1,IF(AA106&lt;=0,0,BP106*MAX(1,IF(G106&gt;0,AA106/G106,1))),AB106*Q106)</f>
        <v/>
      </c>
      <c r="AD106" s="55">
        <f>AA106*F106</f>
        <v/>
      </c>
      <c r="AE106" s="55">
        <f>ROUNDUP(MAX(I106/IF(BS106&gt;0,BS106,MAX(0.1,N(Cockpit!$C$6))),BV106)/BN106,0)*BN106</f>
        <v/>
      </c>
      <c r="AF106" s="56">
        <f>IF(AC106&gt;0,I106/AC106,-1)</f>
        <v/>
      </c>
      <c r="AG106" s="56">
        <f>IF(AND(OR(BR106="L1",BR106="L23"),AC106&gt;0),SUMIFS($AC$7:$AC$1570,$BR$7:$BR$1570,BR106,$AF$7:$AF$1570,"&gt;"&amp;AF106)+SUMIFS($AC$7:$AC$1570,$BR$7:$BR$1570,BR106,$AF$7:$AF$1570,AF106,$BL$7:$BL$1570,"&lt;="&amp;BL106),"")</f>
        <v/>
      </c>
      <c r="AH106" s="65">
        <f>IF(AG106="",0,MAX(0,MIN(1,(IF(BR106="L1",Parameter!$K$5,Parameter!$K$6+Parameter!$K$7)-(AG106-AC106))/AC106)))</f>
        <v/>
      </c>
      <c r="AI106" s="55">
        <f>IF(LEFT(Cockpit!$I$5,1)="A",G106,IF(BT106=1,BU106,IF(LEFT(Cockpit!$I$5,1)="B",AM106,MAX(AM106,G106))))</f>
        <v/>
      </c>
      <c r="AJ106" s="55">
        <f>IF(BO106=1,0,ROUNDUP(AI106/BN106,0))</f>
        <v/>
      </c>
      <c r="AK106" s="64">
        <f>IF(BO106=1,IF(AI106&lt;=0,0,BP106*MAX(1,IF(G106&gt;0,AI106/G106,1))),AJ106*Q106)</f>
        <v/>
      </c>
      <c r="AL106" s="55">
        <f>AI106*F106</f>
        <v/>
      </c>
      <c r="AM106" s="55">
        <f>ROUNDUP(MAX(I106/IF(BS106&gt;0,BS106,MAX(0.1,N(Cockpit!$I$6))),BV106)/BN106,0)*BN106</f>
        <v/>
      </c>
      <c r="AN106" s="56">
        <f>IF(AK106&gt;0,I106/AK106,-1)</f>
        <v/>
      </c>
      <c r="AO106" s="56">
        <f>IF(AND(OR(BR106="L1",BR106="L23"),AK106&gt;0),SUMIFS($AK$7:$AK$1570,$BR$7:$BR$1570,BR106,$AN$7:$AN$1570,"&gt;"&amp;AN106)+SUMIFS($AK$7:$AK$1570,$BR$7:$BR$1570,BR106,$AN$7:$AN$1570,AN106,$BL$7:$BL$1570,"&lt;="&amp;BL106),"")</f>
        <v/>
      </c>
      <c r="AP106" s="65">
        <f>IF(AO106="",0,MAX(0,MIN(1,(IF(BR106="L1",Parameter!$K$5,Parameter!$K$6+Parameter!$K$7)-(AO106-AK106))/AK106)))</f>
        <v/>
      </c>
      <c r="AQ106" s="55">
        <f>IF(LEFT(Cockpit!$O$5,1)="A",G106,IF(BT106=1,BU106,IF(LEFT(Cockpit!$O$5,1)="B",AU106,MAX(AU106,G106))))</f>
        <v/>
      </c>
      <c r="AR106" s="55">
        <f>IF(BO106=1,0,ROUNDUP(AQ106/BN106,0))</f>
        <v/>
      </c>
      <c r="AS106" s="64">
        <f>IF(BO106=1,IF(AQ106&lt;=0,0,BP106*MAX(1,IF(G106&gt;0,AQ106/G106,1))),AR106*Q106)</f>
        <v/>
      </c>
      <c r="AT106" s="55">
        <f>AQ106*F106</f>
        <v/>
      </c>
      <c r="AU106" s="55">
        <f>ROUNDUP(MAX(I106/IF(BS106&gt;0,BS106,MAX(0.1,N(Cockpit!$O$6))),BV106)/BN106,0)*BN106</f>
        <v/>
      </c>
      <c r="AV106" s="56">
        <f>IF(AS106&gt;0,I106/AS106,-1)</f>
        <v/>
      </c>
      <c r="AW106" s="56">
        <f>IF(AND(OR(BR106="L1",BR106="L23"),AS106&gt;0),SUMIFS($AS$7:$AS$1570,$BR$7:$BR$1570,BR106,$AV$7:$AV$1570,"&gt;"&amp;AV106)+SUMIFS($AS$7:$AS$1570,$BR$7:$BR$1570,BR106,$AV$7:$AV$1570,AV106,$BL$7:$BL$1570,"&lt;="&amp;BL106),"")</f>
        <v/>
      </c>
      <c r="AX106" s="65">
        <f>IF(AW106="",0,MAX(0,MIN(1,(IF(BR106="L1",Parameter!$K$5,Parameter!$K$6+Parameter!$K$7)-(AW106-AS106))/AS106)))</f>
        <v/>
      </c>
      <c r="AY106" s="53">
        <f>IF(AC106&lt;=0,"",IF(BR106="Aussen","Aussenlager",IF(BR106="-","Nicht im Lift",IF(AH106&gt;=1,"Lift",IF(AH106&lt;=0,"Aussenlager","teilweise")))))</f>
        <v/>
      </c>
      <c r="AZ106" s="53">
        <f>IF(AK106&lt;=0,"",IF(BR106="Aussen","Aussenlager",IF(BR106="-","Nicht im Lift",IF(AP106&gt;=1,"Lift",IF(AP106&lt;=0,"Aussenlager","teilweise")))))</f>
        <v/>
      </c>
      <c r="BA106" s="53">
        <f>IF(AS106&lt;=0,"",IF(BR106="Aussen","Aussenlager",IF(BR106="-","Nicht im Lift",IF(AX106&gt;=1,"Lift",IF(AX106&lt;=0,"Aussenlager","teilweise")))))</f>
        <v/>
      </c>
      <c r="BB106" s="53">
        <f>IF(A106="","",IF(BK106=1,"Neu; ","")&amp;IF(AND(BK106=0,BF106&lt;0),"negativer Bestand (Export "&amp;BF106&amp;"); ","")&amp;IF(I106&lt;=0,"Kein Verbrauch; ","")&amp;IF(BO106=1,"Lose – Fläche geschätzt; ","")&amp;IF(G106&gt;AM106,"Überbestand "&amp;ROUND(G106-AM106,0)&amp;" Stk / CHF "&amp;ROUND((G106-AM106)*F106,0)&amp;"; ","")&amp;IF(AND(BT106=1,BU106&lt;BV106),"MAX &lt; MB+LG; ","")&amp;IF(AND(BZ106&gt;0,BY106*10&gt;BZ106),"zu hoch für Tablar; ","")&amp;IF(AND(BK106=0,OR(BT106=1,V106&lt;&gt;"",S106&lt;&gt;"",T106&lt;&gt;"",W106&lt;&gt;"")),"manuell übersteuert; ","")&amp;IF(AND(BO106=0,Q106=0),"Gebinde unbekannt; ","")&amp;IF(AND(BO106=0,N(T106)&lt;=0,N(P106)&lt;=0),"Menge pro Gebinde fehlt (Ist = 1 Gebinde); ","")&amp;BJ106)</f>
        <v/>
      </c>
      <c r="BC106" s="53" t="n"/>
      <c r="BD106" s="53" t="n"/>
      <c r="BE106" s="61" t="n"/>
      <c r="BF106" s="55" t="n">
        <v>119</v>
      </c>
      <c r="BG106" s="55" t="n">
        <v>95</v>
      </c>
      <c r="BH106" s="54" t="n">
        <v>2236.920000000001</v>
      </c>
      <c r="BI106" s="55" t="n">
        <v>618</v>
      </c>
      <c r="BJ106" s="53" t="inlineStr"/>
      <c r="BK106" s="58" t="n">
        <v>0</v>
      </c>
      <c r="BL106" s="58" t="n">
        <v>106</v>
      </c>
      <c r="BM106" s="53">
        <f>IF(S106&lt;&gt;"",UPPER(TRIM(S106)),IF(O106="","LOSE",O106))</f>
        <v/>
      </c>
      <c r="BN106" s="55">
        <f>IF(BM106="LOSE",1,IF(N(T106)&gt;0,T106,IF(N(P106)&gt;0,P106,MAX(1,G106))))</f>
        <v/>
      </c>
      <c r="BO106" s="58">
        <f>IF(BM106="LOSE",1,0)</f>
        <v/>
      </c>
      <c r="BP106" s="64">
        <f>IF(BO106=0,0,IF(N(R106)&gt;0,R106,IFERROR(VLOOKUP(D106,Parameter!$A$35:$C$64,3,0)+0,0)))</f>
        <v/>
      </c>
      <c r="BQ106" s="53">
        <f>IF(V106&lt;&gt;"",V106,U106)</f>
        <v/>
      </c>
      <c r="BR106" s="53">
        <f>IF(BQ106=1,"L1",IF(OR(BQ106=2,BQ106=3),"L23",IF(BQ106="Aussen","Aussen","-")))</f>
        <v/>
      </c>
      <c r="BS106" s="66">
        <f>IF(N(W106)&gt;0,W106,0)</f>
        <v/>
      </c>
      <c r="BT106" s="58">
        <f>IF(ISNUMBER(Z106),1,0)</f>
        <v/>
      </c>
      <c r="BU106" s="55">
        <f>N(Z106)</f>
        <v/>
      </c>
      <c r="BV106" s="55">
        <f>N(L106)+N(M106)</f>
        <v/>
      </c>
      <c r="BW106" s="55">
        <f>ROUNDUP(G106/BN106,0)</f>
        <v/>
      </c>
      <c r="BX106" s="55">
        <f>ROUNDUP(BU106/BN106,0)</f>
        <v/>
      </c>
      <c r="BY106" s="58">
        <f>IF(BO106=1,0,IFERROR(VLOOKUP(BM106,'Gebinde-Kategorie'!$A$5:$G$45,5,0)+0,0))</f>
        <v/>
      </c>
      <c r="BZ106" s="58">
        <f>IFERROR(IF(OR(BQ106=1,BQ106=2,BQ106=3),N(INDEX(Parameter!$I$5:$I$7,BQ106)),0),0)</f>
        <v/>
      </c>
    </row>
    <row r="107">
      <c r="A107" s="53" t="inlineStr">
        <is>
          <t>005260</t>
        </is>
      </c>
      <c r="B107" s="53" t="inlineStr">
        <is>
          <t>Pilotventil</t>
        </is>
      </c>
      <c r="C107" s="53" t="inlineStr">
        <is>
          <t>F</t>
        </is>
      </c>
      <c r="D107" s="53" t="inlineStr">
        <is>
          <t>KTL</t>
        </is>
      </c>
      <c r="E107" s="53" t="inlineStr">
        <is>
          <t>C</t>
        </is>
      </c>
      <c r="F107" s="54" t="n">
        <v>160.1</v>
      </c>
      <c r="G107" s="55">
        <f>MAX(0,IF(Parameter!$B$20="Jahresanfang 2025 + Export",BG107+BF107,BF107))</f>
        <v/>
      </c>
      <c r="H107" s="55">
        <f>G107*F107</f>
        <v/>
      </c>
      <c r="I107" s="55">
        <f>BI107*Parameter!$B$18</f>
        <v/>
      </c>
      <c r="J107" s="56" t="n">
        <v>30</v>
      </c>
      <c r="K107" s="57" t="n">
        <v>3</v>
      </c>
      <c r="L107" s="55" t="n">
        <v>10</v>
      </c>
      <c r="M107" s="55" t="n">
        <v>35</v>
      </c>
      <c r="N107" s="58" t="n">
        <v>30</v>
      </c>
      <c r="O107" s="53" t="inlineStr">
        <is>
          <t>S51</t>
        </is>
      </c>
      <c r="P107" s="55" t="n">
        <v>37</v>
      </c>
      <c r="Q107" s="59">
        <f>IF(BO107=1,0,IFERROR(VLOOKUP(BM107,'Gebinde-Kategorie'!$A$5:$G$45,6,0)+0,0))</f>
        <v/>
      </c>
      <c r="R107" s="60" t="n"/>
      <c r="S107" s="61" t="n"/>
      <c r="T107" s="61" t="n"/>
      <c r="U107" s="53">
        <f>IF(A107="","",IF(IFERROR(VLOOKUP(D107,Parameter!$A$35:$C$64,2,0),"Nein")="2+3",IF(ISNUMBER(SEARCH("grosser Artikel",BJ107)),2,IFERROR(VLOOKUP(BM107,Parameter!$F$35:$G$64,2,0),2)),IF(OR(IFERROR(VLOOKUP(D107,Parameter!$A$35:$C$64,2,0),"Nein")="Nein",IFERROR(VLOOKUP(D107,Parameter!$A$35:$C$64,2,0),"Nein")=""),"-",VLOOKUP(D107,Parameter!$A$35:$C$64,2,0))))</f>
        <v/>
      </c>
      <c r="V107" s="61" t="n"/>
      <c r="W107" s="62" t="n"/>
      <c r="X107" s="55">
        <f>AM107</f>
        <v/>
      </c>
      <c r="Y107" s="55">
        <f>MAX(AM107,G107)</f>
        <v/>
      </c>
      <c r="Z107" s="63" t="n"/>
      <c r="AA107" s="55">
        <f>IF(LEFT(Cockpit!$C$5,1)="A",G107,IF(BT107=1,BU107,IF(LEFT(Cockpit!$C$5,1)="B",AE107,MAX(AE107,G107))))</f>
        <v/>
      </c>
      <c r="AB107" s="55">
        <f>IF(BO107=1,0,ROUNDUP(AA107/BN107,0))</f>
        <v/>
      </c>
      <c r="AC107" s="64">
        <f>IF(BO107=1,IF(AA107&lt;=0,0,BP107*MAX(1,IF(G107&gt;0,AA107/G107,1))),AB107*Q107)</f>
        <v/>
      </c>
      <c r="AD107" s="55">
        <f>AA107*F107</f>
        <v/>
      </c>
      <c r="AE107" s="55">
        <f>ROUNDUP(MAX(I107/IF(BS107&gt;0,BS107,MAX(0.1,N(Cockpit!$C$6))),BV107)/BN107,0)*BN107</f>
        <v/>
      </c>
      <c r="AF107" s="56">
        <f>IF(AC107&gt;0,I107/AC107,-1)</f>
        <v/>
      </c>
      <c r="AG107" s="56">
        <f>IF(AND(OR(BR107="L1",BR107="L23"),AC107&gt;0),SUMIFS($AC$7:$AC$1570,$BR$7:$BR$1570,BR107,$AF$7:$AF$1570,"&gt;"&amp;AF107)+SUMIFS($AC$7:$AC$1570,$BR$7:$BR$1570,BR107,$AF$7:$AF$1570,AF107,$BL$7:$BL$1570,"&lt;="&amp;BL107),"")</f>
        <v/>
      </c>
      <c r="AH107" s="65">
        <f>IF(AG107="",0,MAX(0,MIN(1,(IF(BR107="L1",Parameter!$K$5,Parameter!$K$6+Parameter!$K$7)-(AG107-AC107))/AC107)))</f>
        <v/>
      </c>
      <c r="AI107" s="55">
        <f>IF(LEFT(Cockpit!$I$5,1)="A",G107,IF(BT107=1,BU107,IF(LEFT(Cockpit!$I$5,1)="B",AM107,MAX(AM107,G107))))</f>
        <v/>
      </c>
      <c r="AJ107" s="55">
        <f>IF(BO107=1,0,ROUNDUP(AI107/BN107,0))</f>
        <v/>
      </c>
      <c r="AK107" s="64">
        <f>IF(BO107=1,IF(AI107&lt;=0,0,BP107*MAX(1,IF(G107&gt;0,AI107/G107,1))),AJ107*Q107)</f>
        <v/>
      </c>
      <c r="AL107" s="55">
        <f>AI107*F107</f>
        <v/>
      </c>
      <c r="AM107" s="55">
        <f>ROUNDUP(MAX(I107/IF(BS107&gt;0,BS107,MAX(0.1,N(Cockpit!$I$6))),BV107)/BN107,0)*BN107</f>
        <v/>
      </c>
      <c r="AN107" s="56">
        <f>IF(AK107&gt;0,I107/AK107,-1)</f>
        <v/>
      </c>
      <c r="AO107" s="56">
        <f>IF(AND(OR(BR107="L1",BR107="L23"),AK107&gt;0),SUMIFS($AK$7:$AK$1570,$BR$7:$BR$1570,BR107,$AN$7:$AN$1570,"&gt;"&amp;AN107)+SUMIFS($AK$7:$AK$1570,$BR$7:$BR$1570,BR107,$AN$7:$AN$1570,AN107,$BL$7:$BL$1570,"&lt;="&amp;BL107),"")</f>
        <v/>
      </c>
      <c r="AP107" s="65">
        <f>IF(AO107="",0,MAX(0,MIN(1,(IF(BR107="L1",Parameter!$K$5,Parameter!$K$6+Parameter!$K$7)-(AO107-AK107))/AK107)))</f>
        <v/>
      </c>
      <c r="AQ107" s="55">
        <f>IF(LEFT(Cockpit!$O$5,1)="A",G107,IF(BT107=1,BU107,IF(LEFT(Cockpit!$O$5,1)="B",AU107,MAX(AU107,G107))))</f>
        <v/>
      </c>
      <c r="AR107" s="55">
        <f>IF(BO107=1,0,ROUNDUP(AQ107/BN107,0))</f>
        <v/>
      </c>
      <c r="AS107" s="64">
        <f>IF(BO107=1,IF(AQ107&lt;=0,0,BP107*MAX(1,IF(G107&gt;0,AQ107/G107,1))),AR107*Q107)</f>
        <v/>
      </c>
      <c r="AT107" s="55">
        <f>AQ107*F107</f>
        <v/>
      </c>
      <c r="AU107" s="55">
        <f>ROUNDUP(MAX(I107/IF(BS107&gt;0,BS107,MAX(0.1,N(Cockpit!$O$6))),BV107)/BN107,0)*BN107</f>
        <v/>
      </c>
      <c r="AV107" s="56">
        <f>IF(AS107&gt;0,I107/AS107,-1)</f>
        <v/>
      </c>
      <c r="AW107" s="56">
        <f>IF(AND(OR(BR107="L1",BR107="L23"),AS107&gt;0),SUMIFS($AS$7:$AS$1570,$BR$7:$BR$1570,BR107,$AV$7:$AV$1570,"&gt;"&amp;AV107)+SUMIFS($AS$7:$AS$1570,$BR$7:$BR$1570,BR107,$AV$7:$AV$1570,AV107,$BL$7:$BL$1570,"&lt;="&amp;BL107),"")</f>
        <v/>
      </c>
      <c r="AX107" s="65">
        <f>IF(AW107="",0,MAX(0,MIN(1,(IF(BR107="L1",Parameter!$K$5,Parameter!$K$6+Parameter!$K$7)-(AW107-AS107))/AS107)))</f>
        <v/>
      </c>
      <c r="AY107" s="53">
        <f>IF(AC107&lt;=0,"",IF(BR107="Aussen","Aussenlager",IF(BR107="-","Nicht im Lift",IF(AH107&gt;=1,"Lift",IF(AH107&lt;=0,"Aussenlager","teilweise")))))</f>
        <v/>
      </c>
      <c r="AZ107" s="53">
        <f>IF(AK107&lt;=0,"",IF(BR107="Aussen","Aussenlager",IF(BR107="-","Nicht im Lift",IF(AP107&gt;=1,"Lift",IF(AP107&lt;=0,"Aussenlager","teilweise")))))</f>
        <v/>
      </c>
      <c r="BA107" s="53">
        <f>IF(AS107&lt;=0,"",IF(BR107="Aussen","Aussenlager",IF(BR107="-","Nicht im Lift",IF(AX107&gt;=1,"Lift",IF(AX107&lt;=0,"Aussenlager","teilweise")))))</f>
        <v/>
      </c>
      <c r="BB107" s="53">
        <f>IF(A107="","",IF(BK107=1,"Neu; ","")&amp;IF(AND(BK107=0,BF107&lt;0),"negativer Bestand (Export "&amp;BF107&amp;"); ","")&amp;IF(I107&lt;=0,"Kein Verbrauch; ","")&amp;IF(BO107=1,"Lose – Fläche geschätzt; ","")&amp;IF(G107&gt;AM107,"Überbestand "&amp;ROUND(G107-AM107,0)&amp;" Stk / CHF "&amp;ROUND((G107-AM107)*F107,0)&amp;"; ","")&amp;IF(AND(BT107=1,BU107&lt;BV107),"MAX &lt; MB+LG; ","")&amp;IF(AND(BZ107&gt;0,BY107*10&gt;BZ107),"zu hoch für Tablar; ","")&amp;IF(AND(BK107=0,OR(BT107=1,V107&lt;&gt;"",S107&lt;&gt;"",T107&lt;&gt;"",W107&lt;&gt;"")),"manuell übersteuert; ","")&amp;IF(AND(BO107=0,Q107=0),"Gebinde unbekannt; ","")&amp;IF(AND(BO107=0,N(T107)&lt;=0,N(P107)&lt;=0),"Menge pro Gebinde fehlt (Ist = 1 Gebinde); ","")&amp;BJ107)</f>
        <v/>
      </c>
      <c r="BC107" s="53" t="n"/>
      <c r="BD107" s="53" t="n"/>
      <c r="BE107" s="61" t="n"/>
      <c r="BF107" s="55" t="n">
        <v>12</v>
      </c>
      <c r="BG107" s="55" t="n">
        <v>25</v>
      </c>
      <c r="BH107" s="54" t="n">
        <v>2199.600000000002</v>
      </c>
      <c r="BI107" s="55" t="n">
        <v>90</v>
      </c>
      <c r="BJ107" s="53" t="inlineStr"/>
      <c r="BK107" s="58" t="n">
        <v>0</v>
      </c>
      <c r="BL107" s="58" t="n">
        <v>107</v>
      </c>
      <c r="BM107" s="53">
        <f>IF(S107&lt;&gt;"",UPPER(TRIM(S107)),IF(O107="","LOSE",O107))</f>
        <v/>
      </c>
      <c r="BN107" s="55">
        <f>IF(BM107="LOSE",1,IF(N(T107)&gt;0,T107,IF(N(P107)&gt;0,P107,MAX(1,G107))))</f>
        <v/>
      </c>
      <c r="BO107" s="58">
        <f>IF(BM107="LOSE",1,0)</f>
        <v/>
      </c>
      <c r="BP107" s="64">
        <f>IF(BO107=0,0,IF(N(R107)&gt;0,R107,IFERROR(VLOOKUP(D107,Parameter!$A$35:$C$64,3,0)+0,0)))</f>
        <v/>
      </c>
      <c r="BQ107" s="53">
        <f>IF(V107&lt;&gt;"",V107,U107)</f>
        <v/>
      </c>
      <c r="BR107" s="53">
        <f>IF(BQ107=1,"L1",IF(OR(BQ107=2,BQ107=3),"L23",IF(BQ107="Aussen","Aussen","-")))</f>
        <v/>
      </c>
      <c r="BS107" s="66">
        <f>IF(N(W107)&gt;0,W107,0)</f>
        <v/>
      </c>
      <c r="BT107" s="58">
        <f>IF(ISNUMBER(Z107),1,0)</f>
        <v/>
      </c>
      <c r="BU107" s="55">
        <f>N(Z107)</f>
        <v/>
      </c>
      <c r="BV107" s="55">
        <f>N(L107)+N(M107)</f>
        <v/>
      </c>
      <c r="BW107" s="55">
        <f>ROUNDUP(G107/BN107,0)</f>
        <v/>
      </c>
      <c r="BX107" s="55">
        <f>ROUNDUP(BU107/BN107,0)</f>
        <v/>
      </c>
      <c r="BY107" s="58">
        <f>IF(BO107=1,0,IFERROR(VLOOKUP(BM107,'Gebinde-Kategorie'!$A$5:$G$45,5,0)+0,0))</f>
        <v/>
      </c>
      <c r="BZ107" s="58">
        <f>IFERROR(IF(OR(BQ107=1,BQ107=2,BQ107=3),N(INDEX(Parameter!$I$5:$I$7,BQ107)),0),0)</f>
        <v/>
      </c>
    </row>
    <row r="108">
      <c r="A108" s="53" t="inlineStr">
        <is>
          <t>110024</t>
        </is>
      </c>
      <c r="B108" s="53" t="inlineStr">
        <is>
          <t>Zuleitungskabel Temperatursensor</t>
        </is>
      </c>
      <c r="C108" s="53" t="inlineStr">
        <is>
          <t>F</t>
        </is>
      </c>
      <c r="D108" s="53" t="inlineStr">
        <is>
          <t>KTL</t>
        </is>
      </c>
      <c r="E108" s="53" t="inlineStr">
        <is>
          <t>C</t>
        </is>
      </c>
      <c r="F108" s="54" t="n">
        <v>57.81</v>
      </c>
      <c r="G108" s="55">
        <f>MAX(0,IF(Parameter!$B$20="Jahresanfang 2025 + Export",BG108+BF108,BF108))</f>
        <v/>
      </c>
      <c r="H108" s="55">
        <f>G108*F108</f>
        <v/>
      </c>
      <c r="I108" s="55">
        <f>BI108*Parameter!$B$18</f>
        <v/>
      </c>
      <c r="J108" s="56" t="n">
        <v>32</v>
      </c>
      <c r="K108" s="57" t="n">
        <v>2.8125</v>
      </c>
      <c r="L108" s="55" t="n">
        <v>20</v>
      </c>
      <c r="M108" s="55" t="n">
        <v>55</v>
      </c>
      <c r="N108" s="58" t="n">
        <v>70</v>
      </c>
      <c r="O108" s="53" t="inlineStr">
        <is>
          <t>S52</t>
        </is>
      </c>
      <c r="P108" s="55" t="n">
        <v>50</v>
      </c>
      <c r="Q108" s="59">
        <f>IF(BO108=1,0,IFERROR(VLOOKUP(BM108,'Gebinde-Kategorie'!$A$5:$G$45,6,0)+0,0))</f>
        <v/>
      </c>
      <c r="R108" s="60" t="n"/>
      <c r="S108" s="61" t="n"/>
      <c r="T108" s="61" t="n"/>
      <c r="U108" s="53">
        <f>IF(A108="","",IF(IFERROR(VLOOKUP(D108,Parameter!$A$35:$C$64,2,0),"Nein")="2+3",IF(ISNUMBER(SEARCH("grosser Artikel",BJ108)),2,IFERROR(VLOOKUP(BM108,Parameter!$F$35:$G$64,2,0),2)),IF(OR(IFERROR(VLOOKUP(D108,Parameter!$A$35:$C$64,2,0),"Nein")="Nein",IFERROR(VLOOKUP(D108,Parameter!$A$35:$C$64,2,0),"Nein")=""),"-",VLOOKUP(D108,Parameter!$A$35:$C$64,2,0))))</f>
        <v/>
      </c>
      <c r="V108" s="61" t="n"/>
      <c r="W108" s="62" t="n"/>
      <c r="X108" s="55">
        <f>AM108</f>
        <v/>
      </c>
      <c r="Y108" s="55">
        <f>MAX(AM108,G108)</f>
        <v/>
      </c>
      <c r="Z108" s="63" t="n"/>
      <c r="AA108" s="55">
        <f>IF(LEFT(Cockpit!$C$5,1)="A",G108,IF(BT108=1,BU108,IF(LEFT(Cockpit!$C$5,1)="B",AE108,MAX(AE108,G108))))</f>
        <v/>
      </c>
      <c r="AB108" s="55">
        <f>IF(BO108=1,0,ROUNDUP(AA108/BN108,0))</f>
        <v/>
      </c>
      <c r="AC108" s="64">
        <f>IF(BO108=1,IF(AA108&lt;=0,0,BP108*MAX(1,IF(G108&gt;0,AA108/G108,1))),AB108*Q108)</f>
        <v/>
      </c>
      <c r="AD108" s="55">
        <f>AA108*F108</f>
        <v/>
      </c>
      <c r="AE108" s="55">
        <f>ROUNDUP(MAX(I108/IF(BS108&gt;0,BS108,MAX(0.1,N(Cockpit!$C$6))),BV108)/BN108,0)*BN108</f>
        <v/>
      </c>
      <c r="AF108" s="56">
        <f>IF(AC108&gt;0,I108/AC108,-1)</f>
        <v/>
      </c>
      <c r="AG108" s="56">
        <f>IF(AND(OR(BR108="L1",BR108="L23"),AC108&gt;0),SUMIFS($AC$7:$AC$1570,$BR$7:$BR$1570,BR108,$AF$7:$AF$1570,"&gt;"&amp;AF108)+SUMIFS($AC$7:$AC$1570,$BR$7:$BR$1570,BR108,$AF$7:$AF$1570,AF108,$BL$7:$BL$1570,"&lt;="&amp;BL108),"")</f>
        <v/>
      </c>
      <c r="AH108" s="65">
        <f>IF(AG108="",0,MAX(0,MIN(1,(IF(BR108="L1",Parameter!$K$5,Parameter!$K$6+Parameter!$K$7)-(AG108-AC108))/AC108)))</f>
        <v/>
      </c>
      <c r="AI108" s="55">
        <f>IF(LEFT(Cockpit!$I$5,1)="A",G108,IF(BT108=1,BU108,IF(LEFT(Cockpit!$I$5,1)="B",AM108,MAX(AM108,G108))))</f>
        <v/>
      </c>
      <c r="AJ108" s="55">
        <f>IF(BO108=1,0,ROUNDUP(AI108/BN108,0))</f>
        <v/>
      </c>
      <c r="AK108" s="64">
        <f>IF(BO108=1,IF(AI108&lt;=0,0,BP108*MAX(1,IF(G108&gt;0,AI108/G108,1))),AJ108*Q108)</f>
        <v/>
      </c>
      <c r="AL108" s="55">
        <f>AI108*F108</f>
        <v/>
      </c>
      <c r="AM108" s="55">
        <f>ROUNDUP(MAX(I108/IF(BS108&gt;0,BS108,MAX(0.1,N(Cockpit!$I$6))),BV108)/BN108,0)*BN108</f>
        <v/>
      </c>
      <c r="AN108" s="56">
        <f>IF(AK108&gt;0,I108/AK108,-1)</f>
        <v/>
      </c>
      <c r="AO108" s="56">
        <f>IF(AND(OR(BR108="L1",BR108="L23"),AK108&gt;0),SUMIFS($AK$7:$AK$1570,$BR$7:$BR$1570,BR108,$AN$7:$AN$1570,"&gt;"&amp;AN108)+SUMIFS($AK$7:$AK$1570,$BR$7:$BR$1570,BR108,$AN$7:$AN$1570,AN108,$BL$7:$BL$1570,"&lt;="&amp;BL108),"")</f>
        <v/>
      </c>
      <c r="AP108" s="65">
        <f>IF(AO108="",0,MAX(0,MIN(1,(IF(BR108="L1",Parameter!$K$5,Parameter!$K$6+Parameter!$K$7)-(AO108-AK108))/AK108)))</f>
        <v/>
      </c>
      <c r="AQ108" s="55">
        <f>IF(LEFT(Cockpit!$O$5,1)="A",G108,IF(BT108=1,BU108,IF(LEFT(Cockpit!$O$5,1)="B",AU108,MAX(AU108,G108))))</f>
        <v/>
      </c>
      <c r="AR108" s="55">
        <f>IF(BO108=1,0,ROUNDUP(AQ108/BN108,0))</f>
        <v/>
      </c>
      <c r="AS108" s="64">
        <f>IF(BO108=1,IF(AQ108&lt;=0,0,BP108*MAX(1,IF(G108&gt;0,AQ108/G108,1))),AR108*Q108)</f>
        <v/>
      </c>
      <c r="AT108" s="55">
        <f>AQ108*F108</f>
        <v/>
      </c>
      <c r="AU108" s="55">
        <f>ROUNDUP(MAX(I108/IF(BS108&gt;0,BS108,MAX(0.1,N(Cockpit!$O$6))),BV108)/BN108,0)*BN108</f>
        <v/>
      </c>
      <c r="AV108" s="56">
        <f>IF(AS108&gt;0,I108/AS108,-1)</f>
        <v/>
      </c>
      <c r="AW108" s="56">
        <f>IF(AND(OR(BR108="L1",BR108="L23"),AS108&gt;0),SUMIFS($AS$7:$AS$1570,$BR$7:$BR$1570,BR108,$AV$7:$AV$1570,"&gt;"&amp;AV108)+SUMIFS($AS$7:$AS$1570,$BR$7:$BR$1570,BR108,$AV$7:$AV$1570,AV108,$BL$7:$BL$1570,"&lt;="&amp;BL108),"")</f>
        <v/>
      </c>
      <c r="AX108" s="65">
        <f>IF(AW108="",0,MAX(0,MIN(1,(IF(BR108="L1",Parameter!$K$5,Parameter!$K$6+Parameter!$K$7)-(AW108-AS108))/AS108)))</f>
        <v/>
      </c>
      <c r="AY108" s="53">
        <f>IF(AC108&lt;=0,"",IF(BR108="Aussen","Aussenlager",IF(BR108="-","Nicht im Lift",IF(AH108&gt;=1,"Lift",IF(AH108&lt;=0,"Aussenlager","teilweise")))))</f>
        <v/>
      </c>
      <c r="AZ108" s="53">
        <f>IF(AK108&lt;=0,"",IF(BR108="Aussen","Aussenlager",IF(BR108="-","Nicht im Lift",IF(AP108&gt;=1,"Lift",IF(AP108&lt;=0,"Aussenlager","teilweise")))))</f>
        <v/>
      </c>
      <c r="BA108" s="53">
        <f>IF(AS108&lt;=0,"",IF(BR108="Aussen","Aussenlager",IF(BR108="-","Nicht im Lift",IF(AX108&gt;=1,"Lift",IF(AX108&lt;=0,"Aussenlager","teilweise")))))</f>
        <v/>
      </c>
      <c r="BB108" s="53">
        <f>IF(A108="","",IF(BK108=1,"Neu; ","")&amp;IF(AND(BK108=0,BF108&lt;0),"negativer Bestand (Export "&amp;BF108&amp;"); ","")&amp;IF(I108&lt;=0,"Kein Verbrauch; ","")&amp;IF(BO108=1,"Lose – Fläche geschätzt; ","")&amp;IF(G108&gt;AM108,"Überbestand "&amp;ROUND(G108-AM108,0)&amp;" Stk / CHF "&amp;ROUND((G108-AM108)*F108,0)&amp;"; ","")&amp;IF(AND(BT108=1,BU108&lt;BV108),"MAX &lt; MB+LG; ","")&amp;IF(AND(BZ108&gt;0,BY108*10&gt;BZ108),"zu hoch für Tablar; ","")&amp;IF(AND(BK108=0,OR(BT108=1,V108&lt;&gt;"",S108&lt;&gt;"",T108&lt;&gt;"",W108&lt;&gt;"")),"manuell übersteuert; ","")&amp;IF(AND(BO108=0,Q108=0),"Gebinde unbekannt; ","")&amp;IF(AND(BO108=0,N(T108)&lt;=0,N(P108)&lt;=0),"Menge pro Gebinde fehlt (Ist = 1 Gebinde); ","")&amp;BJ108)</f>
        <v/>
      </c>
      <c r="BC108" s="53" t="n"/>
      <c r="BD108" s="53" t="n"/>
      <c r="BE108" s="61" t="n"/>
      <c r="BF108" s="55" t="n">
        <v>38</v>
      </c>
      <c r="BG108" s="55" t="n">
        <v>15</v>
      </c>
      <c r="BH108" s="54" t="n">
        <v>2184.179999999998</v>
      </c>
      <c r="BI108" s="55" t="n">
        <v>90</v>
      </c>
      <c r="BJ108" s="53" t="inlineStr"/>
      <c r="BK108" s="58" t="n">
        <v>0</v>
      </c>
      <c r="BL108" s="58" t="n">
        <v>108</v>
      </c>
      <c r="BM108" s="53">
        <f>IF(S108&lt;&gt;"",UPPER(TRIM(S108)),IF(O108="","LOSE",O108))</f>
        <v/>
      </c>
      <c r="BN108" s="55">
        <f>IF(BM108="LOSE",1,IF(N(T108)&gt;0,T108,IF(N(P108)&gt;0,P108,MAX(1,G108))))</f>
        <v/>
      </c>
      <c r="BO108" s="58">
        <f>IF(BM108="LOSE",1,0)</f>
        <v/>
      </c>
      <c r="BP108" s="64">
        <f>IF(BO108=0,0,IF(N(R108)&gt;0,R108,IFERROR(VLOOKUP(D108,Parameter!$A$35:$C$64,3,0)+0,0)))</f>
        <v/>
      </c>
      <c r="BQ108" s="53">
        <f>IF(V108&lt;&gt;"",V108,U108)</f>
        <v/>
      </c>
      <c r="BR108" s="53">
        <f>IF(BQ108=1,"L1",IF(OR(BQ108=2,BQ108=3),"L23",IF(BQ108="Aussen","Aussen","-")))</f>
        <v/>
      </c>
      <c r="BS108" s="66">
        <f>IF(N(W108)&gt;0,W108,0)</f>
        <v/>
      </c>
      <c r="BT108" s="58">
        <f>IF(ISNUMBER(Z108),1,0)</f>
        <v/>
      </c>
      <c r="BU108" s="55">
        <f>N(Z108)</f>
        <v/>
      </c>
      <c r="BV108" s="55">
        <f>N(L108)+N(M108)</f>
        <v/>
      </c>
      <c r="BW108" s="55">
        <f>ROUNDUP(G108/BN108,0)</f>
        <v/>
      </c>
      <c r="BX108" s="55">
        <f>ROUNDUP(BU108/BN108,0)</f>
        <v/>
      </c>
      <c r="BY108" s="58">
        <f>IF(BO108=1,0,IFERROR(VLOOKUP(BM108,'Gebinde-Kategorie'!$A$5:$G$45,5,0)+0,0))</f>
        <v/>
      </c>
      <c r="BZ108" s="58">
        <f>IFERROR(IF(OR(BQ108=1,BQ108=2,BQ108=3),N(INDEX(Parameter!$I$5:$I$7,BQ108)),0),0)</f>
        <v/>
      </c>
    </row>
    <row r="109">
      <c r="A109" s="53" t="inlineStr">
        <is>
          <t>106458</t>
        </is>
      </c>
      <c r="B109" s="53" t="inlineStr">
        <is>
          <t>Drucktransmitter</t>
        </is>
      </c>
      <c r="C109" s="53" t="inlineStr">
        <is>
          <t>F</t>
        </is>
      </c>
      <c r="D109" s="53" t="inlineStr">
        <is>
          <t>KTL</t>
        </is>
      </c>
      <c r="E109" s="53" t="inlineStr">
        <is>
          <t>C</t>
        </is>
      </c>
      <c r="F109" s="54" t="n">
        <v>251.24</v>
      </c>
      <c r="G109" s="55">
        <f>MAX(0,IF(Parameter!$B$20="Jahresanfang 2025 + Export",BG109+BF109,BF109))</f>
        <v/>
      </c>
      <c r="H109" s="55">
        <f>G109*F109</f>
        <v/>
      </c>
      <c r="I109" s="55">
        <f>BI109*Parameter!$B$18</f>
        <v/>
      </c>
      <c r="J109" s="56" t="n">
        <v>17</v>
      </c>
      <c r="K109" s="57" t="n">
        <v>0.9411764705882353</v>
      </c>
      <c r="L109" s="55" t="n">
        <v>2</v>
      </c>
      <c r="M109" s="55" t="n">
        <v>10</v>
      </c>
      <c r="N109" s="58" t="n">
        <v>35</v>
      </c>
      <c r="O109" s="53" t="inlineStr">
        <is>
          <t>S52</t>
        </is>
      </c>
      <c r="P109" s="55" t="n">
        <v>22</v>
      </c>
      <c r="Q109" s="59">
        <f>IF(BO109=1,0,IFERROR(VLOOKUP(BM109,'Gebinde-Kategorie'!$A$5:$G$45,6,0)+0,0))</f>
        <v/>
      </c>
      <c r="R109" s="60" t="n"/>
      <c r="S109" s="61" t="n"/>
      <c r="T109" s="61" t="n"/>
      <c r="U109" s="53">
        <f>IF(A109="","",IF(IFERROR(VLOOKUP(D109,Parameter!$A$35:$C$64,2,0),"Nein")="2+3",IF(ISNUMBER(SEARCH("grosser Artikel",BJ109)),2,IFERROR(VLOOKUP(BM109,Parameter!$F$35:$G$64,2,0),2)),IF(OR(IFERROR(VLOOKUP(D109,Parameter!$A$35:$C$64,2,0),"Nein")="Nein",IFERROR(VLOOKUP(D109,Parameter!$A$35:$C$64,2,0),"Nein")=""),"-",VLOOKUP(D109,Parameter!$A$35:$C$64,2,0))))</f>
        <v/>
      </c>
      <c r="V109" s="61" t="n"/>
      <c r="W109" s="62" t="n"/>
      <c r="X109" s="55">
        <f>AM109</f>
        <v/>
      </c>
      <c r="Y109" s="55">
        <f>MAX(AM109,G109)</f>
        <v/>
      </c>
      <c r="Z109" s="63" t="n"/>
      <c r="AA109" s="55">
        <f>IF(LEFT(Cockpit!$C$5,1)="A",G109,IF(BT109=1,BU109,IF(LEFT(Cockpit!$C$5,1)="B",AE109,MAX(AE109,G109))))</f>
        <v/>
      </c>
      <c r="AB109" s="55">
        <f>IF(BO109=1,0,ROUNDUP(AA109/BN109,0))</f>
        <v/>
      </c>
      <c r="AC109" s="64">
        <f>IF(BO109=1,IF(AA109&lt;=0,0,BP109*MAX(1,IF(G109&gt;0,AA109/G109,1))),AB109*Q109)</f>
        <v/>
      </c>
      <c r="AD109" s="55">
        <f>AA109*F109</f>
        <v/>
      </c>
      <c r="AE109" s="55">
        <f>ROUNDUP(MAX(I109/IF(BS109&gt;0,BS109,MAX(0.1,N(Cockpit!$C$6))),BV109)/BN109,0)*BN109</f>
        <v/>
      </c>
      <c r="AF109" s="56">
        <f>IF(AC109&gt;0,I109/AC109,-1)</f>
        <v/>
      </c>
      <c r="AG109" s="56">
        <f>IF(AND(OR(BR109="L1",BR109="L23"),AC109&gt;0),SUMIFS($AC$7:$AC$1570,$BR$7:$BR$1570,BR109,$AF$7:$AF$1570,"&gt;"&amp;AF109)+SUMIFS($AC$7:$AC$1570,$BR$7:$BR$1570,BR109,$AF$7:$AF$1570,AF109,$BL$7:$BL$1570,"&lt;="&amp;BL109),"")</f>
        <v/>
      </c>
      <c r="AH109" s="65">
        <f>IF(AG109="",0,MAX(0,MIN(1,(IF(BR109="L1",Parameter!$K$5,Parameter!$K$6+Parameter!$K$7)-(AG109-AC109))/AC109)))</f>
        <v/>
      </c>
      <c r="AI109" s="55">
        <f>IF(LEFT(Cockpit!$I$5,1)="A",G109,IF(BT109=1,BU109,IF(LEFT(Cockpit!$I$5,1)="B",AM109,MAX(AM109,G109))))</f>
        <v/>
      </c>
      <c r="AJ109" s="55">
        <f>IF(BO109=1,0,ROUNDUP(AI109/BN109,0))</f>
        <v/>
      </c>
      <c r="AK109" s="64">
        <f>IF(BO109=1,IF(AI109&lt;=0,0,BP109*MAX(1,IF(G109&gt;0,AI109/G109,1))),AJ109*Q109)</f>
        <v/>
      </c>
      <c r="AL109" s="55">
        <f>AI109*F109</f>
        <v/>
      </c>
      <c r="AM109" s="55">
        <f>ROUNDUP(MAX(I109/IF(BS109&gt;0,BS109,MAX(0.1,N(Cockpit!$I$6))),BV109)/BN109,0)*BN109</f>
        <v/>
      </c>
      <c r="AN109" s="56">
        <f>IF(AK109&gt;0,I109/AK109,-1)</f>
        <v/>
      </c>
      <c r="AO109" s="56">
        <f>IF(AND(OR(BR109="L1",BR109="L23"),AK109&gt;0),SUMIFS($AK$7:$AK$1570,$BR$7:$BR$1570,BR109,$AN$7:$AN$1570,"&gt;"&amp;AN109)+SUMIFS($AK$7:$AK$1570,$BR$7:$BR$1570,BR109,$AN$7:$AN$1570,AN109,$BL$7:$BL$1570,"&lt;="&amp;BL109),"")</f>
        <v/>
      </c>
      <c r="AP109" s="65">
        <f>IF(AO109="",0,MAX(0,MIN(1,(IF(BR109="L1",Parameter!$K$5,Parameter!$K$6+Parameter!$K$7)-(AO109-AK109))/AK109)))</f>
        <v/>
      </c>
      <c r="AQ109" s="55">
        <f>IF(LEFT(Cockpit!$O$5,1)="A",G109,IF(BT109=1,BU109,IF(LEFT(Cockpit!$O$5,1)="B",AU109,MAX(AU109,G109))))</f>
        <v/>
      </c>
      <c r="AR109" s="55">
        <f>IF(BO109=1,0,ROUNDUP(AQ109/BN109,0))</f>
        <v/>
      </c>
      <c r="AS109" s="64">
        <f>IF(BO109=1,IF(AQ109&lt;=0,0,BP109*MAX(1,IF(G109&gt;0,AQ109/G109,1))),AR109*Q109)</f>
        <v/>
      </c>
      <c r="AT109" s="55">
        <f>AQ109*F109</f>
        <v/>
      </c>
      <c r="AU109" s="55">
        <f>ROUNDUP(MAX(I109/IF(BS109&gt;0,BS109,MAX(0.1,N(Cockpit!$O$6))),BV109)/BN109,0)*BN109</f>
        <v/>
      </c>
      <c r="AV109" s="56">
        <f>IF(AS109&gt;0,I109/AS109,-1)</f>
        <v/>
      </c>
      <c r="AW109" s="56">
        <f>IF(AND(OR(BR109="L1",BR109="L23"),AS109&gt;0),SUMIFS($AS$7:$AS$1570,$BR$7:$BR$1570,BR109,$AV$7:$AV$1570,"&gt;"&amp;AV109)+SUMIFS($AS$7:$AS$1570,$BR$7:$BR$1570,BR109,$AV$7:$AV$1570,AV109,$BL$7:$BL$1570,"&lt;="&amp;BL109),"")</f>
        <v/>
      </c>
      <c r="AX109" s="65">
        <f>IF(AW109="",0,MAX(0,MIN(1,(IF(BR109="L1",Parameter!$K$5,Parameter!$K$6+Parameter!$K$7)-(AW109-AS109))/AS109)))</f>
        <v/>
      </c>
      <c r="AY109" s="53">
        <f>IF(AC109&lt;=0,"",IF(BR109="Aussen","Aussenlager",IF(BR109="-","Nicht im Lift",IF(AH109&gt;=1,"Lift",IF(AH109&lt;=0,"Aussenlager","teilweise")))))</f>
        <v/>
      </c>
      <c r="AZ109" s="53">
        <f>IF(AK109&lt;=0,"",IF(BR109="Aussen","Aussenlager",IF(BR109="-","Nicht im Lift",IF(AP109&gt;=1,"Lift",IF(AP109&lt;=0,"Aussenlager","teilweise")))))</f>
        <v/>
      </c>
      <c r="BA109" s="53">
        <f>IF(AS109&lt;=0,"",IF(BR109="Aussen","Aussenlager",IF(BR109="-","Nicht im Lift",IF(AX109&gt;=1,"Lift",IF(AX109&lt;=0,"Aussenlager","teilweise")))))</f>
        <v/>
      </c>
      <c r="BB109" s="53">
        <f>IF(A109="","",IF(BK109=1,"Neu; ","")&amp;IF(AND(BK109=0,BF109&lt;0),"negativer Bestand (Export "&amp;BF109&amp;"); ","")&amp;IF(I109&lt;=0,"Kein Verbrauch; ","")&amp;IF(BO109=1,"Lose – Fläche geschätzt; ","")&amp;IF(G109&gt;AM109,"Überbestand "&amp;ROUND(G109-AM109,0)&amp;" Stk / CHF "&amp;ROUND((G109-AM109)*F109,0)&amp;"; ","")&amp;IF(AND(BT109=1,BU109&lt;BV109),"MAX &lt; MB+LG; ","")&amp;IF(AND(BZ109&gt;0,BY109*10&gt;BZ109),"zu hoch für Tablar; ","")&amp;IF(AND(BK109=0,OR(BT109=1,V109&lt;&gt;"",S109&lt;&gt;"",T109&lt;&gt;"",W109&lt;&gt;"")),"manuell übersteuert; ","")&amp;IF(AND(BO109=0,Q109=0),"Gebinde unbekannt; ","")&amp;IF(AND(BO109=0,N(T109)&lt;=0,N(P109)&lt;=0),"Menge pro Gebinde fehlt (Ist = 1 Gebinde); ","")&amp;BJ109)</f>
        <v/>
      </c>
      <c r="BC109" s="53" t="n"/>
      <c r="BD109" s="53" t="n"/>
      <c r="BE109" s="61" t="n"/>
      <c r="BF109" s="55" t="n">
        <v>8</v>
      </c>
      <c r="BG109" s="55" t="n">
        <v>15</v>
      </c>
      <c r="BH109" s="54" t="n">
        <v>2138.62</v>
      </c>
      <c r="BI109" s="55" t="n">
        <v>16</v>
      </c>
      <c r="BJ109" s="53" t="inlineStr"/>
      <c r="BK109" s="58" t="n">
        <v>0</v>
      </c>
      <c r="BL109" s="58" t="n">
        <v>109</v>
      </c>
      <c r="BM109" s="53">
        <f>IF(S109&lt;&gt;"",UPPER(TRIM(S109)),IF(O109="","LOSE",O109))</f>
        <v/>
      </c>
      <c r="BN109" s="55">
        <f>IF(BM109="LOSE",1,IF(N(T109)&gt;0,T109,IF(N(P109)&gt;0,P109,MAX(1,G109))))</f>
        <v/>
      </c>
      <c r="BO109" s="58">
        <f>IF(BM109="LOSE",1,0)</f>
        <v/>
      </c>
      <c r="BP109" s="64">
        <f>IF(BO109=0,0,IF(N(R109)&gt;0,R109,IFERROR(VLOOKUP(D109,Parameter!$A$35:$C$64,3,0)+0,0)))</f>
        <v/>
      </c>
      <c r="BQ109" s="53">
        <f>IF(V109&lt;&gt;"",V109,U109)</f>
        <v/>
      </c>
      <c r="BR109" s="53">
        <f>IF(BQ109=1,"L1",IF(OR(BQ109=2,BQ109=3),"L23",IF(BQ109="Aussen","Aussen","-")))</f>
        <v/>
      </c>
      <c r="BS109" s="66">
        <f>IF(N(W109)&gt;0,W109,0)</f>
        <v/>
      </c>
      <c r="BT109" s="58">
        <f>IF(ISNUMBER(Z109),1,0)</f>
        <v/>
      </c>
      <c r="BU109" s="55">
        <f>N(Z109)</f>
        <v/>
      </c>
      <c r="BV109" s="55">
        <f>N(L109)+N(M109)</f>
        <v/>
      </c>
      <c r="BW109" s="55">
        <f>ROUNDUP(G109/BN109,0)</f>
        <v/>
      </c>
      <c r="BX109" s="55">
        <f>ROUNDUP(BU109/BN109,0)</f>
        <v/>
      </c>
      <c r="BY109" s="58">
        <f>IF(BO109=1,0,IFERROR(VLOOKUP(BM109,'Gebinde-Kategorie'!$A$5:$G$45,5,0)+0,0))</f>
        <v/>
      </c>
      <c r="BZ109" s="58">
        <f>IFERROR(IF(OR(BQ109=1,BQ109=2,BQ109=3),N(INDEX(Parameter!$I$5:$I$7,BQ109)),0),0)</f>
        <v/>
      </c>
    </row>
    <row r="110">
      <c r="A110" s="53" t="inlineStr">
        <is>
          <t>110875</t>
        </is>
      </c>
      <c r="B110" s="53" t="inlineStr">
        <is>
          <t>Digitalmanometer</t>
        </is>
      </c>
      <c r="C110" s="53" t="inlineStr">
        <is>
          <t>F</t>
        </is>
      </c>
      <c r="D110" s="53" t="inlineStr">
        <is>
          <t>KTL</t>
        </is>
      </c>
      <c r="E110" s="53" t="inlineStr">
        <is>
          <t>C</t>
        </is>
      </c>
      <c r="F110" s="54" t="n">
        <v>692.78</v>
      </c>
      <c r="G110" s="55">
        <f>MAX(0,IF(Parameter!$B$20="Jahresanfang 2025 + Export",BG110+BF110,BF110))</f>
        <v/>
      </c>
      <c r="H110" s="55">
        <f>G110*F110</f>
        <v/>
      </c>
      <c r="I110" s="55">
        <f>BI110*Parameter!$B$18</f>
        <v/>
      </c>
      <c r="J110" s="56" t="n">
        <v>2</v>
      </c>
      <c r="K110" s="57" t="n">
        <v>1</v>
      </c>
      <c r="L110" s="55" t="n">
        <v>0</v>
      </c>
      <c r="M110" s="55" t="n">
        <v>1</v>
      </c>
      <c r="N110" s="58" t="n">
        <v>31</v>
      </c>
      <c r="O110" s="53" t="inlineStr">
        <is>
          <t>S52</t>
        </is>
      </c>
      <c r="P110" s="55" t="n">
        <v>4</v>
      </c>
      <c r="Q110" s="59">
        <f>IF(BO110=1,0,IFERROR(VLOOKUP(BM110,'Gebinde-Kategorie'!$A$5:$G$45,6,0)+0,0))</f>
        <v/>
      </c>
      <c r="R110" s="60" t="n"/>
      <c r="S110" s="61" t="n"/>
      <c r="T110" s="61" t="n"/>
      <c r="U110" s="53">
        <f>IF(A110="","",IF(IFERROR(VLOOKUP(D110,Parameter!$A$35:$C$64,2,0),"Nein")="2+3",IF(ISNUMBER(SEARCH("grosser Artikel",BJ110)),2,IFERROR(VLOOKUP(BM110,Parameter!$F$35:$G$64,2,0),2)),IF(OR(IFERROR(VLOOKUP(D110,Parameter!$A$35:$C$64,2,0),"Nein")="Nein",IFERROR(VLOOKUP(D110,Parameter!$A$35:$C$64,2,0),"Nein")=""),"-",VLOOKUP(D110,Parameter!$A$35:$C$64,2,0))))</f>
        <v/>
      </c>
      <c r="V110" s="61" t="n"/>
      <c r="W110" s="62" t="n"/>
      <c r="X110" s="55">
        <f>AM110</f>
        <v/>
      </c>
      <c r="Y110" s="55">
        <f>MAX(AM110,G110)</f>
        <v/>
      </c>
      <c r="Z110" s="63" t="n"/>
      <c r="AA110" s="55">
        <f>IF(LEFT(Cockpit!$C$5,1)="A",G110,IF(BT110=1,BU110,IF(LEFT(Cockpit!$C$5,1)="B",AE110,MAX(AE110,G110))))</f>
        <v/>
      </c>
      <c r="AB110" s="55">
        <f>IF(BO110=1,0,ROUNDUP(AA110/BN110,0))</f>
        <v/>
      </c>
      <c r="AC110" s="64">
        <f>IF(BO110=1,IF(AA110&lt;=0,0,BP110*MAX(1,IF(G110&gt;0,AA110/G110,1))),AB110*Q110)</f>
        <v/>
      </c>
      <c r="AD110" s="55">
        <f>AA110*F110</f>
        <v/>
      </c>
      <c r="AE110" s="55">
        <f>ROUNDUP(MAX(I110/IF(BS110&gt;0,BS110,MAX(0.1,N(Cockpit!$C$6))),BV110)/BN110,0)*BN110</f>
        <v/>
      </c>
      <c r="AF110" s="56">
        <f>IF(AC110&gt;0,I110/AC110,-1)</f>
        <v/>
      </c>
      <c r="AG110" s="56">
        <f>IF(AND(OR(BR110="L1",BR110="L23"),AC110&gt;0),SUMIFS($AC$7:$AC$1570,$BR$7:$BR$1570,BR110,$AF$7:$AF$1570,"&gt;"&amp;AF110)+SUMIFS($AC$7:$AC$1570,$BR$7:$BR$1570,BR110,$AF$7:$AF$1570,AF110,$BL$7:$BL$1570,"&lt;="&amp;BL110),"")</f>
        <v/>
      </c>
      <c r="AH110" s="65">
        <f>IF(AG110="",0,MAX(0,MIN(1,(IF(BR110="L1",Parameter!$K$5,Parameter!$K$6+Parameter!$K$7)-(AG110-AC110))/AC110)))</f>
        <v/>
      </c>
      <c r="AI110" s="55">
        <f>IF(LEFT(Cockpit!$I$5,1)="A",G110,IF(BT110=1,BU110,IF(LEFT(Cockpit!$I$5,1)="B",AM110,MAX(AM110,G110))))</f>
        <v/>
      </c>
      <c r="AJ110" s="55">
        <f>IF(BO110=1,0,ROUNDUP(AI110/BN110,0))</f>
        <v/>
      </c>
      <c r="AK110" s="64">
        <f>IF(BO110=1,IF(AI110&lt;=0,0,BP110*MAX(1,IF(G110&gt;0,AI110/G110,1))),AJ110*Q110)</f>
        <v/>
      </c>
      <c r="AL110" s="55">
        <f>AI110*F110</f>
        <v/>
      </c>
      <c r="AM110" s="55">
        <f>ROUNDUP(MAX(I110/IF(BS110&gt;0,BS110,MAX(0.1,N(Cockpit!$I$6))),BV110)/BN110,0)*BN110</f>
        <v/>
      </c>
      <c r="AN110" s="56">
        <f>IF(AK110&gt;0,I110/AK110,-1)</f>
        <v/>
      </c>
      <c r="AO110" s="56">
        <f>IF(AND(OR(BR110="L1",BR110="L23"),AK110&gt;0),SUMIFS($AK$7:$AK$1570,$BR$7:$BR$1570,BR110,$AN$7:$AN$1570,"&gt;"&amp;AN110)+SUMIFS($AK$7:$AK$1570,$BR$7:$BR$1570,BR110,$AN$7:$AN$1570,AN110,$BL$7:$BL$1570,"&lt;="&amp;BL110),"")</f>
        <v/>
      </c>
      <c r="AP110" s="65">
        <f>IF(AO110="",0,MAX(0,MIN(1,(IF(BR110="L1",Parameter!$K$5,Parameter!$K$6+Parameter!$K$7)-(AO110-AK110))/AK110)))</f>
        <v/>
      </c>
      <c r="AQ110" s="55">
        <f>IF(LEFT(Cockpit!$O$5,1)="A",G110,IF(BT110=1,BU110,IF(LEFT(Cockpit!$O$5,1)="B",AU110,MAX(AU110,G110))))</f>
        <v/>
      </c>
      <c r="AR110" s="55">
        <f>IF(BO110=1,0,ROUNDUP(AQ110/BN110,0))</f>
        <v/>
      </c>
      <c r="AS110" s="64">
        <f>IF(BO110=1,IF(AQ110&lt;=0,0,BP110*MAX(1,IF(G110&gt;0,AQ110/G110,1))),AR110*Q110)</f>
        <v/>
      </c>
      <c r="AT110" s="55">
        <f>AQ110*F110</f>
        <v/>
      </c>
      <c r="AU110" s="55">
        <f>ROUNDUP(MAX(I110/IF(BS110&gt;0,BS110,MAX(0.1,N(Cockpit!$O$6))),BV110)/BN110,0)*BN110</f>
        <v/>
      </c>
      <c r="AV110" s="56">
        <f>IF(AS110&gt;0,I110/AS110,-1)</f>
        <v/>
      </c>
      <c r="AW110" s="56">
        <f>IF(AND(OR(BR110="L1",BR110="L23"),AS110&gt;0),SUMIFS($AS$7:$AS$1570,$BR$7:$BR$1570,BR110,$AV$7:$AV$1570,"&gt;"&amp;AV110)+SUMIFS($AS$7:$AS$1570,$BR$7:$BR$1570,BR110,$AV$7:$AV$1570,AV110,$BL$7:$BL$1570,"&lt;="&amp;BL110),"")</f>
        <v/>
      </c>
      <c r="AX110" s="65">
        <f>IF(AW110="",0,MAX(0,MIN(1,(IF(BR110="L1",Parameter!$K$5,Parameter!$K$6+Parameter!$K$7)-(AW110-AS110))/AS110)))</f>
        <v/>
      </c>
      <c r="AY110" s="53">
        <f>IF(AC110&lt;=0,"",IF(BR110="Aussen","Aussenlager",IF(BR110="-","Nicht im Lift",IF(AH110&gt;=1,"Lift",IF(AH110&lt;=0,"Aussenlager","teilweise")))))</f>
        <v/>
      </c>
      <c r="AZ110" s="53">
        <f>IF(AK110&lt;=0,"",IF(BR110="Aussen","Aussenlager",IF(BR110="-","Nicht im Lift",IF(AP110&gt;=1,"Lift",IF(AP110&lt;=0,"Aussenlager","teilweise")))))</f>
        <v/>
      </c>
      <c r="BA110" s="53">
        <f>IF(AS110&lt;=0,"",IF(BR110="Aussen","Aussenlager",IF(BR110="-","Nicht im Lift",IF(AX110&gt;=1,"Lift",IF(AX110&lt;=0,"Aussenlager","teilweise")))))</f>
        <v/>
      </c>
      <c r="BB110" s="53">
        <f>IF(A110="","",IF(BK110=1,"Neu; ","")&amp;IF(AND(BK110=0,BF110&lt;0),"negativer Bestand (Export "&amp;BF110&amp;"); ","")&amp;IF(I110&lt;=0,"Kein Verbrauch; ","")&amp;IF(BO110=1,"Lose – Fläche geschätzt; ","")&amp;IF(G110&gt;AM110,"Überbestand "&amp;ROUND(G110-AM110,0)&amp;" Stk / CHF "&amp;ROUND((G110-AM110)*F110,0)&amp;"; ","")&amp;IF(AND(BT110=1,BU110&lt;BV110),"MAX &lt; MB+LG; ","")&amp;IF(AND(BZ110&gt;0,BY110*10&gt;BZ110),"zu hoch für Tablar; ","")&amp;IF(AND(BK110=0,OR(BT110=1,V110&lt;&gt;"",S110&lt;&gt;"",T110&lt;&gt;"",W110&lt;&gt;"")),"manuell übersteuert; ","")&amp;IF(AND(BO110=0,Q110=0),"Gebinde unbekannt; ","")&amp;IF(AND(BO110=0,N(T110)&lt;=0,N(P110)&lt;=0),"Menge pro Gebinde fehlt (Ist = 1 Gebinde); ","")&amp;BJ110)</f>
        <v/>
      </c>
      <c r="BC110" s="53" t="n"/>
      <c r="BD110" s="53" t="n"/>
      <c r="BE110" s="61" t="n"/>
      <c r="BF110" s="55" t="n">
        <v>3</v>
      </c>
      <c r="BG110" s="55" t="n">
        <v>0</v>
      </c>
      <c r="BH110" s="54" t="n">
        <v>2078.34</v>
      </c>
      <c r="BI110" s="55" t="n">
        <v>2</v>
      </c>
      <c r="BJ110" s="53" t="inlineStr"/>
      <c r="BK110" s="58" t="n">
        <v>0</v>
      </c>
      <c r="BL110" s="58" t="n">
        <v>110</v>
      </c>
      <c r="BM110" s="53">
        <f>IF(S110&lt;&gt;"",UPPER(TRIM(S110)),IF(O110="","LOSE",O110))</f>
        <v/>
      </c>
      <c r="BN110" s="55">
        <f>IF(BM110="LOSE",1,IF(N(T110)&gt;0,T110,IF(N(P110)&gt;0,P110,MAX(1,G110))))</f>
        <v/>
      </c>
      <c r="BO110" s="58">
        <f>IF(BM110="LOSE",1,0)</f>
        <v/>
      </c>
      <c r="BP110" s="64">
        <f>IF(BO110=0,0,IF(N(R110)&gt;0,R110,IFERROR(VLOOKUP(D110,Parameter!$A$35:$C$64,3,0)+0,0)))</f>
        <v/>
      </c>
      <c r="BQ110" s="53">
        <f>IF(V110&lt;&gt;"",V110,U110)</f>
        <v/>
      </c>
      <c r="BR110" s="53">
        <f>IF(BQ110=1,"L1",IF(OR(BQ110=2,BQ110=3),"L23",IF(BQ110="Aussen","Aussen","-")))</f>
        <v/>
      </c>
      <c r="BS110" s="66">
        <f>IF(N(W110)&gt;0,W110,0)</f>
        <v/>
      </c>
      <c r="BT110" s="58">
        <f>IF(ISNUMBER(Z110),1,0)</f>
        <v/>
      </c>
      <c r="BU110" s="55">
        <f>N(Z110)</f>
        <v/>
      </c>
      <c r="BV110" s="55">
        <f>N(L110)+N(M110)</f>
        <v/>
      </c>
      <c r="BW110" s="55">
        <f>ROUNDUP(G110/BN110,0)</f>
        <v/>
      </c>
      <c r="BX110" s="55">
        <f>ROUNDUP(BU110/BN110,0)</f>
        <v/>
      </c>
      <c r="BY110" s="58">
        <f>IF(BO110=1,0,IFERROR(VLOOKUP(BM110,'Gebinde-Kategorie'!$A$5:$G$45,5,0)+0,0))</f>
        <v/>
      </c>
      <c r="BZ110" s="58">
        <f>IFERROR(IF(OR(BQ110=1,BQ110=2,BQ110=3),N(INDEX(Parameter!$I$5:$I$7,BQ110)),0),0)</f>
        <v/>
      </c>
    </row>
    <row r="111">
      <c r="A111" s="53" t="inlineStr">
        <is>
          <t>101679</t>
        </is>
      </c>
      <c r="B111" s="53" t="inlineStr">
        <is>
          <t>Ringschraube</t>
        </is>
      </c>
      <c r="C111" s="53" t="inlineStr">
        <is>
          <t>F</t>
        </is>
      </c>
      <c r="D111" s="53" t="inlineStr">
        <is>
          <t>KTL</t>
        </is>
      </c>
      <c r="E111" s="53" t="inlineStr">
        <is>
          <t>C</t>
        </is>
      </c>
      <c r="F111" s="54" t="n">
        <v>52.61</v>
      </c>
      <c r="G111" s="55">
        <f>MAX(0,IF(Parameter!$B$20="Jahresanfang 2025 + Export",BG111+BF111,BF111))</f>
        <v/>
      </c>
      <c r="H111" s="55">
        <f>G111*F111</f>
        <v/>
      </c>
      <c r="I111" s="55">
        <f>BI111*Parameter!$B$18</f>
        <v/>
      </c>
      <c r="J111" s="56" t="n">
        <v>25.5</v>
      </c>
      <c r="K111" s="57" t="n">
        <v>2.901960784313725</v>
      </c>
      <c r="L111" s="55" t="n">
        <v>5</v>
      </c>
      <c r="M111" s="55" t="n">
        <v>75</v>
      </c>
      <c r="N111" s="58" t="n">
        <v>21</v>
      </c>
      <c r="O111" s="53" t="inlineStr">
        <is>
          <t>S52</t>
        </is>
      </c>
      <c r="P111" s="55" t="n">
        <v>50</v>
      </c>
      <c r="Q111" s="59">
        <f>IF(BO111=1,0,IFERROR(VLOOKUP(BM111,'Gebinde-Kategorie'!$A$5:$G$45,6,0)+0,0))</f>
        <v/>
      </c>
      <c r="R111" s="60" t="n"/>
      <c r="S111" s="61" t="n"/>
      <c r="T111" s="61" t="n"/>
      <c r="U111" s="53">
        <f>IF(A111="","",IF(IFERROR(VLOOKUP(D111,Parameter!$A$35:$C$64,2,0),"Nein")="2+3",IF(ISNUMBER(SEARCH("grosser Artikel",BJ111)),2,IFERROR(VLOOKUP(BM111,Parameter!$F$35:$G$64,2,0),2)),IF(OR(IFERROR(VLOOKUP(D111,Parameter!$A$35:$C$64,2,0),"Nein")="Nein",IFERROR(VLOOKUP(D111,Parameter!$A$35:$C$64,2,0),"Nein")=""),"-",VLOOKUP(D111,Parameter!$A$35:$C$64,2,0))))</f>
        <v/>
      </c>
      <c r="V111" s="61" t="n"/>
      <c r="W111" s="62" t="n"/>
      <c r="X111" s="55">
        <f>AM111</f>
        <v/>
      </c>
      <c r="Y111" s="55">
        <f>MAX(AM111,G111)</f>
        <v/>
      </c>
      <c r="Z111" s="63" t="n"/>
      <c r="AA111" s="55">
        <f>IF(LEFT(Cockpit!$C$5,1)="A",G111,IF(BT111=1,BU111,IF(LEFT(Cockpit!$C$5,1)="B",AE111,MAX(AE111,G111))))</f>
        <v/>
      </c>
      <c r="AB111" s="55">
        <f>IF(BO111=1,0,ROUNDUP(AA111/BN111,0))</f>
        <v/>
      </c>
      <c r="AC111" s="64">
        <f>IF(BO111=1,IF(AA111&lt;=0,0,BP111*MAX(1,IF(G111&gt;0,AA111/G111,1))),AB111*Q111)</f>
        <v/>
      </c>
      <c r="AD111" s="55">
        <f>AA111*F111</f>
        <v/>
      </c>
      <c r="AE111" s="55">
        <f>ROUNDUP(MAX(I111/IF(BS111&gt;0,BS111,MAX(0.1,N(Cockpit!$C$6))),BV111)/BN111,0)*BN111</f>
        <v/>
      </c>
      <c r="AF111" s="56">
        <f>IF(AC111&gt;0,I111/AC111,-1)</f>
        <v/>
      </c>
      <c r="AG111" s="56">
        <f>IF(AND(OR(BR111="L1",BR111="L23"),AC111&gt;0),SUMIFS($AC$7:$AC$1570,$BR$7:$BR$1570,BR111,$AF$7:$AF$1570,"&gt;"&amp;AF111)+SUMIFS($AC$7:$AC$1570,$BR$7:$BR$1570,BR111,$AF$7:$AF$1570,AF111,$BL$7:$BL$1570,"&lt;="&amp;BL111),"")</f>
        <v/>
      </c>
      <c r="AH111" s="65">
        <f>IF(AG111="",0,MAX(0,MIN(1,(IF(BR111="L1",Parameter!$K$5,Parameter!$K$6+Parameter!$K$7)-(AG111-AC111))/AC111)))</f>
        <v/>
      </c>
      <c r="AI111" s="55">
        <f>IF(LEFT(Cockpit!$I$5,1)="A",G111,IF(BT111=1,BU111,IF(LEFT(Cockpit!$I$5,1)="B",AM111,MAX(AM111,G111))))</f>
        <v/>
      </c>
      <c r="AJ111" s="55">
        <f>IF(BO111=1,0,ROUNDUP(AI111/BN111,0))</f>
        <v/>
      </c>
      <c r="AK111" s="64">
        <f>IF(BO111=1,IF(AI111&lt;=0,0,BP111*MAX(1,IF(G111&gt;0,AI111/G111,1))),AJ111*Q111)</f>
        <v/>
      </c>
      <c r="AL111" s="55">
        <f>AI111*F111</f>
        <v/>
      </c>
      <c r="AM111" s="55">
        <f>ROUNDUP(MAX(I111/IF(BS111&gt;0,BS111,MAX(0.1,N(Cockpit!$I$6))),BV111)/BN111,0)*BN111</f>
        <v/>
      </c>
      <c r="AN111" s="56">
        <f>IF(AK111&gt;0,I111/AK111,-1)</f>
        <v/>
      </c>
      <c r="AO111" s="56">
        <f>IF(AND(OR(BR111="L1",BR111="L23"),AK111&gt;0),SUMIFS($AK$7:$AK$1570,$BR$7:$BR$1570,BR111,$AN$7:$AN$1570,"&gt;"&amp;AN111)+SUMIFS($AK$7:$AK$1570,$BR$7:$BR$1570,BR111,$AN$7:$AN$1570,AN111,$BL$7:$BL$1570,"&lt;="&amp;BL111),"")</f>
        <v/>
      </c>
      <c r="AP111" s="65">
        <f>IF(AO111="",0,MAX(0,MIN(1,(IF(BR111="L1",Parameter!$K$5,Parameter!$K$6+Parameter!$K$7)-(AO111-AK111))/AK111)))</f>
        <v/>
      </c>
      <c r="AQ111" s="55">
        <f>IF(LEFT(Cockpit!$O$5,1)="A",G111,IF(BT111=1,BU111,IF(LEFT(Cockpit!$O$5,1)="B",AU111,MAX(AU111,G111))))</f>
        <v/>
      </c>
      <c r="AR111" s="55">
        <f>IF(BO111=1,0,ROUNDUP(AQ111/BN111,0))</f>
        <v/>
      </c>
      <c r="AS111" s="64">
        <f>IF(BO111=1,IF(AQ111&lt;=0,0,BP111*MAX(1,IF(G111&gt;0,AQ111/G111,1))),AR111*Q111)</f>
        <v/>
      </c>
      <c r="AT111" s="55">
        <f>AQ111*F111</f>
        <v/>
      </c>
      <c r="AU111" s="55">
        <f>ROUNDUP(MAX(I111/IF(BS111&gt;0,BS111,MAX(0.1,N(Cockpit!$O$6))),BV111)/BN111,0)*BN111</f>
        <v/>
      </c>
      <c r="AV111" s="56">
        <f>IF(AS111&gt;0,I111/AS111,-1)</f>
        <v/>
      </c>
      <c r="AW111" s="56">
        <f>IF(AND(OR(BR111="L1",BR111="L23"),AS111&gt;0),SUMIFS($AS$7:$AS$1570,$BR$7:$BR$1570,BR111,$AV$7:$AV$1570,"&gt;"&amp;AV111)+SUMIFS($AS$7:$AS$1570,$BR$7:$BR$1570,BR111,$AV$7:$AV$1570,AV111,$BL$7:$BL$1570,"&lt;="&amp;BL111),"")</f>
        <v/>
      </c>
      <c r="AX111" s="65">
        <f>IF(AW111="",0,MAX(0,MIN(1,(IF(BR111="L1",Parameter!$K$5,Parameter!$K$6+Parameter!$K$7)-(AW111-AS111))/AS111)))</f>
        <v/>
      </c>
      <c r="AY111" s="53">
        <f>IF(AC111&lt;=0,"",IF(BR111="Aussen","Aussenlager",IF(BR111="-","Nicht im Lift",IF(AH111&gt;=1,"Lift",IF(AH111&lt;=0,"Aussenlager","teilweise")))))</f>
        <v/>
      </c>
      <c r="AZ111" s="53">
        <f>IF(AK111&lt;=0,"",IF(BR111="Aussen","Aussenlager",IF(BR111="-","Nicht im Lift",IF(AP111&gt;=1,"Lift",IF(AP111&lt;=0,"Aussenlager","teilweise")))))</f>
        <v/>
      </c>
      <c r="BA111" s="53">
        <f>IF(AS111&lt;=0,"",IF(BR111="Aussen","Aussenlager",IF(BR111="-","Nicht im Lift",IF(AX111&gt;=1,"Lift",IF(AX111&lt;=0,"Aussenlager","teilweise")))))</f>
        <v/>
      </c>
      <c r="BB111" s="53">
        <f>IF(A111="","",IF(BK111=1,"Neu; ","")&amp;IF(AND(BK111=0,BF111&lt;0),"negativer Bestand (Export "&amp;BF111&amp;"); ","")&amp;IF(I111&lt;=0,"Kein Verbrauch; ","")&amp;IF(BO111=1,"Lose – Fläche geschätzt; ","")&amp;IF(G111&gt;AM111,"Überbestand "&amp;ROUND(G111-AM111,0)&amp;" Stk / CHF "&amp;ROUND((G111-AM111)*F111,0)&amp;"; ","")&amp;IF(AND(BT111=1,BU111&lt;BV111),"MAX &lt; MB+LG; ","")&amp;IF(AND(BZ111&gt;0,BY111*10&gt;BZ111),"zu hoch für Tablar; ","")&amp;IF(AND(BK111=0,OR(BT111=1,V111&lt;&gt;"",S111&lt;&gt;"",T111&lt;&gt;"",W111&lt;&gt;"")),"manuell übersteuert; ","")&amp;IF(AND(BO111=0,Q111=0),"Gebinde unbekannt; ","")&amp;IF(AND(BO111=0,N(T111)&lt;=0,N(P111)&lt;=0),"Menge pro Gebinde fehlt (Ist = 1 Gebinde); ","")&amp;BJ111)</f>
        <v/>
      </c>
      <c r="BC111" s="53" t="n"/>
      <c r="BD111" s="53" t="n"/>
      <c r="BE111" s="61" t="n"/>
      <c r="BF111" s="55" t="n">
        <v>34</v>
      </c>
      <c r="BG111" s="55" t="n">
        <v>13</v>
      </c>
      <c r="BH111" s="54" t="n">
        <v>2066.829999999999</v>
      </c>
      <c r="BI111" s="55" t="n">
        <v>74</v>
      </c>
      <c r="BJ111" s="53" t="inlineStr"/>
      <c r="BK111" s="58" t="n">
        <v>0</v>
      </c>
      <c r="BL111" s="58" t="n">
        <v>111</v>
      </c>
      <c r="BM111" s="53">
        <f>IF(S111&lt;&gt;"",UPPER(TRIM(S111)),IF(O111="","LOSE",O111))</f>
        <v/>
      </c>
      <c r="BN111" s="55">
        <f>IF(BM111="LOSE",1,IF(N(T111)&gt;0,T111,IF(N(P111)&gt;0,P111,MAX(1,G111))))</f>
        <v/>
      </c>
      <c r="BO111" s="58">
        <f>IF(BM111="LOSE",1,0)</f>
        <v/>
      </c>
      <c r="BP111" s="64">
        <f>IF(BO111=0,0,IF(N(R111)&gt;0,R111,IFERROR(VLOOKUP(D111,Parameter!$A$35:$C$64,3,0)+0,0)))</f>
        <v/>
      </c>
      <c r="BQ111" s="53">
        <f>IF(V111&lt;&gt;"",V111,U111)</f>
        <v/>
      </c>
      <c r="BR111" s="53">
        <f>IF(BQ111=1,"L1",IF(OR(BQ111=2,BQ111=3),"L23",IF(BQ111="Aussen","Aussen","-")))</f>
        <v/>
      </c>
      <c r="BS111" s="66">
        <f>IF(N(W111)&gt;0,W111,0)</f>
        <v/>
      </c>
      <c r="BT111" s="58">
        <f>IF(ISNUMBER(Z111),1,0)</f>
        <v/>
      </c>
      <c r="BU111" s="55">
        <f>N(Z111)</f>
        <v/>
      </c>
      <c r="BV111" s="55">
        <f>N(L111)+N(M111)</f>
        <v/>
      </c>
      <c r="BW111" s="55">
        <f>ROUNDUP(G111/BN111,0)</f>
        <v/>
      </c>
      <c r="BX111" s="55">
        <f>ROUNDUP(BU111/BN111,0)</f>
        <v/>
      </c>
      <c r="BY111" s="58">
        <f>IF(BO111=1,0,IFERROR(VLOOKUP(BM111,'Gebinde-Kategorie'!$A$5:$G$45,5,0)+0,0))</f>
        <v/>
      </c>
      <c r="BZ111" s="58">
        <f>IFERROR(IF(OR(BQ111=1,BQ111=2,BQ111=3),N(INDEX(Parameter!$I$5:$I$7,BQ111)),0),0)</f>
        <v/>
      </c>
    </row>
    <row r="112">
      <c r="A112" s="53" t="inlineStr">
        <is>
          <t>105321</t>
        </is>
      </c>
      <c r="B112" s="53" t="inlineStr">
        <is>
          <t>Ventilsitzadapter SPGr10</t>
        </is>
      </c>
      <c r="C112" s="53" t="inlineStr">
        <is>
          <t>F</t>
        </is>
      </c>
      <c r="D112" s="53" t="inlineStr">
        <is>
          <t>PAL</t>
        </is>
      </c>
      <c r="E112" s="53" t="inlineStr">
        <is>
          <t>C</t>
        </is>
      </c>
      <c r="F112" s="54" t="n">
        <v>345.4</v>
      </c>
      <c r="G112" s="55">
        <f>MAX(0,IF(Parameter!$B$20="Jahresanfang 2025 + Export",BG112+BF112,BF112))</f>
        <v/>
      </c>
      <c r="H112" s="55">
        <f>G112*F112</f>
        <v/>
      </c>
      <c r="I112" s="55">
        <f>BI112*Parameter!$B$18</f>
        <v/>
      </c>
      <c r="J112" s="56" t="n">
        <v>28</v>
      </c>
      <c r="K112" s="57" t="n">
        <v>1.214285714285714</v>
      </c>
      <c r="L112" s="55" t="n">
        <v>10</v>
      </c>
      <c r="M112" s="55" t="n">
        <v>15</v>
      </c>
      <c r="N112" s="58" t="n">
        <v>98</v>
      </c>
      <c r="O112" s="53" t="inlineStr">
        <is>
          <t>S71</t>
        </is>
      </c>
      <c r="P112" s="55" t="n">
        <v>24</v>
      </c>
      <c r="Q112" s="59">
        <f>IF(BO112=1,0,IFERROR(VLOOKUP(BM112,'Gebinde-Kategorie'!$A$5:$G$45,6,0)+0,0))</f>
        <v/>
      </c>
      <c r="R112" s="60" t="n"/>
      <c r="S112" s="61" t="n"/>
      <c r="T112" s="61" t="n"/>
      <c r="U112" s="53">
        <f>IF(A112="","",IF(IFERROR(VLOOKUP(D112,Parameter!$A$35:$C$64,2,0),"Nein")="2+3",IF(ISNUMBER(SEARCH("grosser Artikel",BJ112)),2,IFERROR(VLOOKUP(BM112,Parameter!$F$35:$G$64,2,0),2)),IF(OR(IFERROR(VLOOKUP(D112,Parameter!$A$35:$C$64,2,0),"Nein")="Nein",IFERROR(VLOOKUP(D112,Parameter!$A$35:$C$64,2,0),"Nein")=""),"-",VLOOKUP(D112,Parameter!$A$35:$C$64,2,0))))</f>
        <v/>
      </c>
      <c r="V112" s="61" t="n"/>
      <c r="W112" s="62" t="n"/>
      <c r="X112" s="55">
        <f>AM112</f>
        <v/>
      </c>
      <c r="Y112" s="55">
        <f>MAX(AM112,G112)</f>
        <v/>
      </c>
      <c r="Z112" s="63" t="n"/>
      <c r="AA112" s="55">
        <f>IF(LEFT(Cockpit!$C$5,1)="A",G112,IF(BT112=1,BU112,IF(LEFT(Cockpit!$C$5,1)="B",AE112,MAX(AE112,G112))))</f>
        <v/>
      </c>
      <c r="AB112" s="55">
        <f>IF(BO112=1,0,ROUNDUP(AA112/BN112,0))</f>
        <v/>
      </c>
      <c r="AC112" s="64">
        <f>IF(BO112=1,IF(AA112&lt;=0,0,BP112*MAX(1,IF(G112&gt;0,AA112/G112,1))),AB112*Q112)</f>
        <v/>
      </c>
      <c r="AD112" s="55">
        <f>AA112*F112</f>
        <v/>
      </c>
      <c r="AE112" s="55">
        <f>ROUNDUP(MAX(I112/IF(BS112&gt;0,BS112,MAX(0.1,N(Cockpit!$C$6))),BV112)/BN112,0)*BN112</f>
        <v/>
      </c>
      <c r="AF112" s="56">
        <f>IF(AC112&gt;0,I112/AC112,-1)</f>
        <v/>
      </c>
      <c r="AG112" s="56">
        <f>IF(AND(OR(BR112="L1",BR112="L23"),AC112&gt;0),SUMIFS($AC$7:$AC$1570,$BR$7:$BR$1570,BR112,$AF$7:$AF$1570,"&gt;"&amp;AF112)+SUMIFS($AC$7:$AC$1570,$BR$7:$BR$1570,BR112,$AF$7:$AF$1570,AF112,$BL$7:$BL$1570,"&lt;="&amp;BL112),"")</f>
        <v/>
      </c>
      <c r="AH112" s="65">
        <f>IF(AG112="",0,MAX(0,MIN(1,(IF(BR112="L1",Parameter!$K$5,Parameter!$K$6+Parameter!$K$7)-(AG112-AC112))/AC112)))</f>
        <v/>
      </c>
      <c r="AI112" s="55">
        <f>IF(LEFT(Cockpit!$I$5,1)="A",G112,IF(BT112=1,BU112,IF(LEFT(Cockpit!$I$5,1)="B",AM112,MAX(AM112,G112))))</f>
        <v/>
      </c>
      <c r="AJ112" s="55">
        <f>IF(BO112=1,0,ROUNDUP(AI112/BN112,0))</f>
        <v/>
      </c>
      <c r="AK112" s="64">
        <f>IF(BO112=1,IF(AI112&lt;=0,0,BP112*MAX(1,IF(G112&gt;0,AI112/G112,1))),AJ112*Q112)</f>
        <v/>
      </c>
      <c r="AL112" s="55">
        <f>AI112*F112</f>
        <v/>
      </c>
      <c r="AM112" s="55">
        <f>ROUNDUP(MAX(I112/IF(BS112&gt;0,BS112,MAX(0.1,N(Cockpit!$I$6))),BV112)/BN112,0)*BN112</f>
        <v/>
      </c>
      <c r="AN112" s="56">
        <f>IF(AK112&gt;0,I112/AK112,-1)</f>
        <v/>
      </c>
      <c r="AO112" s="56">
        <f>IF(AND(OR(BR112="L1",BR112="L23"),AK112&gt;0),SUMIFS($AK$7:$AK$1570,$BR$7:$BR$1570,BR112,$AN$7:$AN$1570,"&gt;"&amp;AN112)+SUMIFS($AK$7:$AK$1570,$BR$7:$BR$1570,BR112,$AN$7:$AN$1570,AN112,$BL$7:$BL$1570,"&lt;="&amp;BL112),"")</f>
        <v/>
      </c>
      <c r="AP112" s="65">
        <f>IF(AO112="",0,MAX(0,MIN(1,(IF(BR112="L1",Parameter!$K$5,Parameter!$K$6+Parameter!$K$7)-(AO112-AK112))/AK112)))</f>
        <v/>
      </c>
      <c r="AQ112" s="55">
        <f>IF(LEFT(Cockpit!$O$5,1)="A",G112,IF(BT112=1,BU112,IF(LEFT(Cockpit!$O$5,1)="B",AU112,MAX(AU112,G112))))</f>
        <v/>
      </c>
      <c r="AR112" s="55">
        <f>IF(BO112=1,0,ROUNDUP(AQ112/BN112,0))</f>
        <v/>
      </c>
      <c r="AS112" s="64">
        <f>IF(BO112=1,IF(AQ112&lt;=0,0,BP112*MAX(1,IF(G112&gt;0,AQ112/G112,1))),AR112*Q112)</f>
        <v/>
      </c>
      <c r="AT112" s="55">
        <f>AQ112*F112</f>
        <v/>
      </c>
      <c r="AU112" s="55">
        <f>ROUNDUP(MAX(I112/IF(BS112&gt;0,BS112,MAX(0.1,N(Cockpit!$O$6))),BV112)/BN112,0)*BN112</f>
        <v/>
      </c>
      <c r="AV112" s="56">
        <f>IF(AS112&gt;0,I112/AS112,-1)</f>
        <v/>
      </c>
      <c r="AW112" s="56">
        <f>IF(AND(OR(BR112="L1",BR112="L23"),AS112&gt;0),SUMIFS($AS$7:$AS$1570,$BR$7:$BR$1570,BR112,$AV$7:$AV$1570,"&gt;"&amp;AV112)+SUMIFS($AS$7:$AS$1570,$BR$7:$BR$1570,BR112,$AV$7:$AV$1570,AV112,$BL$7:$BL$1570,"&lt;="&amp;BL112),"")</f>
        <v/>
      </c>
      <c r="AX112" s="65">
        <f>IF(AW112="",0,MAX(0,MIN(1,(IF(BR112="L1",Parameter!$K$5,Parameter!$K$6+Parameter!$K$7)-(AW112-AS112))/AS112)))</f>
        <v/>
      </c>
      <c r="AY112" s="53">
        <f>IF(AC112&lt;=0,"",IF(BR112="Aussen","Aussenlager",IF(BR112="-","Nicht im Lift",IF(AH112&gt;=1,"Lift",IF(AH112&lt;=0,"Aussenlager","teilweise")))))</f>
        <v/>
      </c>
      <c r="AZ112" s="53">
        <f>IF(AK112&lt;=0,"",IF(BR112="Aussen","Aussenlager",IF(BR112="-","Nicht im Lift",IF(AP112&gt;=1,"Lift",IF(AP112&lt;=0,"Aussenlager","teilweise")))))</f>
        <v/>
      </c>
      <c r="BA112" s="53">
        <f>IF(AS112&lt;=0,"",IF(BR112="Aussen","Aussenlager",IF(BR112="-","Nicht im Lift",IF(AX112&gt;=1,"Lift",IF(AX112&lt;=0,"Aussenlager","teilweise")))))</f>
        <v/>
      </c>
      <c r="BB112" s="53">
        <f>IF(A112="","",IF(BK112=1,"Neu; ","")&amp;IF(AND(BK112=0,BF112&lt;0),"negativer Bestand (Export "&amp;BF112&amp;"); ","")&amp;IF(I112&lt;=0,"Kein Verbrauch; ","")&amp;IF(BO112=1,"Lose – Fläche geschätzt; ","")&amp;IF(G112&gt;AM112,"Überbestand "&amp;ROUND(G112-AM112,0)&amp;" Stk / CHF "&amp;ROUND((G112-AM112)*F112,0)&amp;"; ","")&amp;IF(AND(BT112=1,BU112&lt;BV112),"MAX &lt; MB+LG; ","")&amp;IF(AND(BZ112&gt;0,BY112*10&gt;BZ112),"zu hoch für Tablar; ","")&amp;IF(AND(BK112=0,OR(BT112=1,V112&lt;&gt;"",S112&lt;&gt;"",T112&lt;&gt;"",W112&lt;&gt;"")),"manuell übersteuert; ","")&amp;IF(AND(BO112=0,Q112=0),"Gebinde unbekannt; ","")&amp;IF(AND(BO112=0,N(T112)&lt;=0,N(P112)&lt;=0),"Menge pro Gebinde fehlt (Ist = 1 Gebinde); ","")&amp;BJ112)</f>
        <v/>
      </c>
      <c r="BC112" s="53" t="n"/>
      <c r="BD112" s="53" t="n"/>
      <c r="BE112" s="61" t="n"/>
      <c r="BF112" s="55" t="n">
        <v>1</v>
      </c>
      <c r="BG112" s="55" t="n">
        <v>33</v>
      </c>
      <c r="BH112" s="54" t="n">
        <v>2056.759999999997</v>
      </c>
      <c r="BI112" s="55" t="n">
        <v>34</v>
      </c>
      <c r="BJ112" s="53" t="inlineStr"/>
      <c r="BK112" s="58" t="n">
        <v>0</v>
      </c>
      <c r="BL112" s="58" t="n">
        <v>112</v>
      </c>
      <c r="BM112" s="53">
        <f>IF(S112&lt;&gt;"",UPPER(TRIM(S112)),IF(O112="","LOSE",O112))</f>
        <v/>
      </c>
      <c r="BN112" s="55">
        <f>IF(BM112="LOSE",1,IF(N(T112)&gt;0,T112,IF(N(P112)&gt;0,P112,MAX(1,G112))))</f>
        <v/>
      </c>
      <c r="BO112" s="58">
        <f>IF(BM112="LOSE",1,0)</f>
        <v/>
      </c>
      <c r="BP112" s="64">
        <f>IF(BO112=0,0,IF(N(R112)&gt;0,R112,IFERROR(VLOOKUP(D112,Parameter!$A$35:$C$64,3,0)+0,0)))</f>
        <v/>
      </c>
      <c r="BQ112" s="53">
        <f>IF(V112&lt;&gt;"",V112,U112)</f>
        <v/>
      </c>
      <c r="BR112" s="53">
        <f>IF(BQ112=1,"L1",IF(OR(BQ112=2,BQ112=3),"L23",IF(BQ112="Aussen","Aussen","-")))</f>
        <v/>
      </c>
      <c r="BS112" s="66">
        <f>IF(N(W112)&gt;0,W112,0)</f>
        <v/>
      </c>
      <c r="BT112" s="58">
        <f>IF(ISNUMBER(Z112),1,0)</f>
        <v/>
      </c>
      <c r="BU112" s="55">
        <f>N(Z112)</f>
        <v/>
      </c>
      <c r="BV112" s="55">
        <f>N(L112)+N(M112)</f>
        <v/>
      </c>
      <c r="BW112" s="55">
        <f>ROUNDUP(G112/BN112,0)</f>
        <v/>
      </c>
      <c r="BX112" s="55">
        <f>ROUNDUP(BU112/BN112,0)</f>
        <v/>
      </c>
      <c r="BY112" s="58">
        <f>IF(BO112=1,0,IFERROR(VLOOKUP(BM112,'Gebinde-Kategorie'!$A$5:$G$45,5,0)+0,0))</f>
        <v/>
      </c>
      <c r="BZ112" s="58">
        <f>IFERROR(IF(OR(BQ112=1,BQ112=2,BQ112=3),N(INDEX(Parameter!$I$5:$I$7,BQ112)),0),0)</f>
        <v/>
      </c>
    </row>
    <row r="113">
      <c r="A113" s="53" t="inlineStr">
        <is>
          <t>103917</t>
        </is>
      </c>
      <c r="B113" s="53" t="inlineStr">
        <is>
          <t>Drucktransmitter</t>
        </is>
      </c>
      <c r="C113" s="53" t="inlineStr">
        <is>
          <t>F</t>
        </is>
      </c>
      <c r="D113" s="53" t="inlineStr">
        <is>
          <t>KTL</t>
        </is>
      </c>
      <c r="E113" s="53" t="inlineStr">
        <is>
          <t>C</t>
        </is>
      </c>
      <c r="F113" s="54" t="n">
        <v>100.28</v>
      </c>
      <c r="G113" s="55">
        <f>MAX(0,IF(Parameter!$B$20="Jahresanfang 2025 + Export",BG113+BF113,BF113))</f>
        <v/>
      </c>
      <c r="H113" s="55">
        <f>G113*F113</f>
        <v/>
      </c>
      <c r="I113" s="55">
        <f>BI113*Parameter!$B$18</f>
        <v/>
      </c>
      <c r="J113" s="56" t="n">
        <v>17.5</v>
      </c>
      <c r="K113" s="57" t="n">
        <v>3.657142857142857</v>
      </c>
      <c r="L113" s="55" t="n">
        <v>5</v>
      </c>
      <c r="M113" s="55" t="n">
        <v>40</v>
      </c>
      <c r="N113" s="58" t="n">
        <v>35</v>
      </c>
      <c r="O113" s="53" t="inlineStr">
        <is>
          <t>S63</t>
        </is>
      </c>
      <c r="P113" s="55" t="n">
        <v>76</v>
      </c>
      <c r="Q113" s="59">
        <f>IF(BO113=1,0,IFERROR(VLOOKUP(BM113,'Gebinde-Kategorie'!$A$5:$G$45,6,0)+0,0))</f>
        <v/>
      </c>
      <c r="R113" s="60" t="n"/>
      <c r="S113" s="61" t="n"/>
      <c r="T113" s="61" t="n"/>
      <c r="U113" s="53">
        <f>IF(A113="","",IF(IFERROR(VLOOKUP(D113,Parameter!$A$35:$C$64,2,0),"Nein")="2+3",IF(ISNUMBER(SEARCH("grosser Artikel",BJ113)),2,IFERROR(VLOOKUP(BM113,Parameter!$F$35:$G$64,2,0),2)),IF(OR(IFERROR(VLOOKUP(D113,Parameter!$A$35:$C$64,2,0),"Nein")="Nein",IFERROR(VLOOKUP(D113,Parameter!$A$35:$C$64,2,0),"Nein")=""),"-",VLOOKUP(D113,Parameter!$A$35:$C$64,2,0))))</f>
        <v/>
      </c>
      <c r="V113" s="61" t="n"/>
      <c r="W113" s="62" t="n"/>
      <c r="X113" s="55">
        <f>AM113</f>
        <v/>
      </c>
      <c r="Y113" s="55">
        <f>MAX(AM113,G113)</f>
        <v/>
      </c>
      <c r="Z113" s="63" t="n"/>
      <c r="AA113" s="55">
        <f>IF(LEFT(Cockpit!$C$5,1)="A",G113,IF(BT113=1,BU113,IF(LEFT(Cockpit!$C$5,1)="B",AE113,MAX(AE113,G113))))</f>
        <v/>
      </c>
      <c r="AB113" s="55">
        <f>IF(BO113=1,0,ROUNDUP(AA113/BN113,0))</f>
        <v/>
      </c>
      <c r="AC113" s="64">
        <f>IF(BO113=1,IF(AA113&lt;=0,0,BP113*MAX(1,IF(G113&gt;0,AA113/G113,1))),AB113*Q113)</f>
        <v/>
      </c>
      <c r="AD113" s="55">
        <f>AA113*F113</f>
        <v/>
      </c>
      <c r="AE113" s="55">
        <f>ROUNDUP(MAX(I113/IF(BS113&gt;0,BS113,MAX(0.1,N(Cockpit!$C$6))),BV113)/BN113,0)*BN113</f>
        <v/>
      </c>
      <c r="AF113" s="56">
        <f>IF(AC113&gt;0,I113/AC113,-1)</f>
        <v/>
      </c>
      <c r="AG113" s="56">
        <f>IF(AND(OR(BR113="L1",BR113="L23"),AC113&gt;0),SUMIFS($AC$7:$AC$1570,$BR$7:$BR$1570,BR113,$AF$7:$AF$1570,"&gt;"&amp;AF113)+SUMIFS($AC$7:$AC$1570,$BR$7:$BR$1570,BR113,$AF$7:$AF$1570,AF113,$BL$7:$BL$1570,"&lt;="&amp;BL113),"")</f>
        <v/>
      </c>
      <c r="AH113" s="65">
        <f>IF(AG113="",0,MAX(0,MIN(1,(IF(BR113="L1",Parameter!$K$5,Parameter!$K$6+Parameter!$K$7)-(AG113-AC113))/AC113)))</f>
        <v/>
      </c>
      <c r="AI113" s="55">
        <f>IF(LEFT(Cockpit!$I$5,1)="A",G113,IF(BT113=1,BU113,IF(LEFT(Cockpit!$I$5,1)="B",AM113,MAX(AM113,G113))))</f>
        <v/>
      </c>
      <c r="AJ113" s="55">
        <f>IF(BO113=1,0,ROUNDUP(AI113/BN113,0))</f>
        <v/>
      </c>
      <c r="AK113" s="64">
        <f>IF(BO113=1,IF(AI113&lt;=0,0,BP113*MAX(1,IF(G113&gt;0,AI113/G113,1))),AJ113*Q113)</f>
        <v/>
      </c>
      <c r="AL113" s="55">
        <f>AI113*F113</f>
        <v/>
      </c>
      <c r="AM113" s="55">
        <f>ROUNDUP(MAX(I113/IF(BS113&gt;0,BS113,MAX(0.1,N(Cockpit!$I$6))),BV113)/BN113,0)*BN113</f>
        <v/>
      </c>
      <c r="AN113" s="56">
        <f>IF(AK113&gt;0,I113/AK113,-1)</f>
        <v/>
      </c>
      <c r="AO113" s="56">
        <f>IF(AND(OR(BR113="L1",BR113="L23"),AK113&gt;0),SUMIFS($AK$7:$AK$1570,$BR$7:$BR$1570,BR113,$AN$7:$AN$1570,"&gt;"&amp;AN113)+SUMIFS($AK$7:$AK$1570,$BR$7:$BR$1570,BR113,$AN$7:$AN$1570,AN113,$BL$7:$BL$1570,"&lt;="&amp;BL113),"")</f>
        <v/>
      </c>
      <c r="AP113" s="65">
        <f>IF(AO113="",0,MAX(0,MIN(1,(IF(BR113="L1",Parameter!$K$5,Parameter!$K$6+Parameter!$K$7)-(AO113-AK113))/AK113)))</f>
        <v/>
      </c>
      <c r="AQ113" s="55">
        <f>IF(LEFT(Cockpit!$O$5,1)="A",G113,IF(BT113=1,BU113,IF(LEFT(Cockpit!$O$5,1)="B",AU113,MAX(AU113,G113))))</f>
        <v/>
      </c>
      <c r="AR113" s="55">
        <f>IF(BO113=1,0,ROUNDUP(AQ113/BN113,0))</f>
        <v/>
      </c>
      <c r="AS113" s="64">
        <f>IF(BO113=1,IF(AQ113&lt;=0,0,BP113*MAX(1,IF(G113&gt;0,AQ113/G113,1))),AR113*Q113)</f>
        <v/>
      </c>
      <c r="AT113" s="55">
        <f>AQ113*F113</f>
        <v/>
      </c>
      <c r="AU113" s="55">
        <f>ROUNDUP(MAX(I113/IF(BS113&gt;0,BS113,MAX(0.1,N(Cockpit!$O$6))),BV113)/BN113,0)*BN113</f>
        <v/>
      </c>
      <c r="AV113" s="56">
        <f>IF(AS113&gt;0,I113/AS113,-1)</f>
        <v/>
      </c>
      <c r="AW113" s="56">
        <f>IF(AND(OR(BR113="L1",BR113="L23"),AS113&gt;0),SUMIFS($AS$7:$AS$1570,$BR$7:$BR$1570,BR113,$AV$7:$AV$1570,"&gt;"&amp;AV113)+SUMIFS($AS$7:$AS$1570,$BR$7:$BR$1570,BR113,$AV$7:$AV$1570,AV113,$BL$7:$BL$1570,"&lt;="&amp;BL113),"")</f>
        <v/>
      </c>
      <c r="AX113" s="65">
        <f>IF(AW113="",0,MAX(0,MIN(1,(IF(BR113="L1",Parameter!$K$5,Parameter!$K$6+Parameter!$K$7)-(AW113-AS113))/AS113)))</f>
        <v/>
      </c>
      <c r="AY113" s="53">
        <f>IF(AC113&lt;=0,"",IF(BR113="Aussen","Aussenlager",IF(BR113="-","Nicht im Lift",IF(AH113&gt;=1,"Lift",IF(AH113&lt;=0,"Aussenlager","teilweise")))))</f>
        <v/>
      </c>
      <c r="AZ113" s="53">
        <f>IF(AK113&lt;=0,"",IF(BR113="Aussen","Aussenlager",IF(BR113="-","Nicht im Lift",IF(AP113&gt;=1,"Lift",IF(AP113&lt;=0,"Aussenlager","teilweise")))))</f>
        <v/>
      </c>
      <c r="BA113" s="53">
        <f>IF(AS113&lt;=0,"",IF(BR113="Aussen","Aussenlager",IF(BR113="-","Nicht im Lift",IF(AX113&gt;=1,"Lift",IF(AX113&lt;=0,"Aussenlager","teilweise")))))</f>
        <v/>
      </c>
      <c r="BB113" s="53">
        <f>IF(A113="","",IF(BK113=1,"Neu; ","")&amp;IF(AND(BK113=0,BF113&lt;0),"negativer Bestand (Export "&amp;BF113&amp;"); ","")&amp;IF(I113&lt;=0,"Kein Verbrauch; ","")&amp;IF(BO113=1,"Lose – Fläche geschätzt; ","")&amp;IF(G113&gt;AM113,"Überbestand "&amp;ROUND(G113-AM113,0)&amp;" Stk / CHF "&amp;ROUND((G113-AM113)*F113,0)&amp;"; ","")&amp;IF(AND(BT113=1,BU113&lt;BV113),"MAX &lt; MB+LG; ","")&amp;IF(AND(BZ113&gt;0,BY113*10&gt;BZ113),"zu hoch für Tablar; ","")&amp;IF(AND(BK113=0,OR(BT113=1,V113&lt;&gt;"",S113&lt;&gt;"",T113&lt;&gt;"",W113&lt;&gt;"")),"manuell übersteuert; ","")&amp;IF(AND(BO113=0,Q113=0),"Gebinde unbekannt; ","")&amp;IF(AND(BO113=0,N(T113)&lt;=0,N(P113)&lt;=0),"Menge pro Gebinde fehlt (Ist = 1 Gebinde); ","")&amp;BJ113)</f>
        <v/>
      </c>
      <c r="BC113" s="53" t="n"/>
      <c r="BD113" s="53" t="n"/>
      <c r="BE113" s="61" t="n"/>
      <c r="BF113" s="55" t="n">
        <v>19</v>
      </c>
      <c r="BG113" s="55" t="n">
        <v>20</v>
      </c>
      <c r="BH113" s="54" t="n">
        <v>2016.52</v>
      </c>
      <c r="BI113" s="55" t="n">
        <v>64</v>
      </c>
      <c r="BJ113" s="53" t="inlineStr"/>
      <c r="BK113" s="58" t="n">
        <v>0</v>
      </c>
      <c r="BL113" s="58" t="n">
        <v>113</v>
      </c>
      <c r="BM113" s="53">
        <f>IF(S113&lt;&gt;"",UPPER(TRIM(S113)),IF(O113="","LOSE",O113))</f>
        <v/>
      </c>
      <c r="BN113" s="55">
        <f>IF(BM113="LOSE",1,IF(N(T113)&gt;0,T113,IF(N(P113)&gt;0,P113,MAX(1,G113))))</f>
        <v/>
      </c>
      <c r="BO113" s="58">
        <f>IF(BM113="LOSE",1,0)</f>
        <v/>
      </c>
      <c r="BP113" s="64">
        <f>IF(BO113=0,0,IF(N(R113)&gt;0,R113,IFERROR(VLOOKUP(D113,Parameter!$A$35:$C$64,3,0)+0,0)))</f>
        <v/>
      </c>
      <c r="BQ113" s="53">
        <f>IF(V113&lt;&gt;"",V113,U113)</f>
        <v/>
      </c>
      <c r="BR113" s="53">
        <f>IF(BQ113=1,"L1",IF(OR(BQ113=2,BQ113=3),"L23",IF(BQ113="Aussen","Aussen","-")))</f>
        <v/>
      </c>
      <c r="BS113" s="66">
        <f>IF(N(W113)&gt;0,W113,0)</f>
        <v/>
      </c>
      <c r="BT113" s="58">
        <f>IF(ISNUMBER(Z113),1,0)</f>
        <v/>
      </c>
      <c r="BU113" s="55">
        <f>N(Z113)</f>
        <v/>
      </c>
      <c r="BV113" s="55">
        <f>N(L113)+N(M113)</f>
        <v/>
      </c>
      <c r="BW113" s="55">
        <f>ROUNDUP(G113/BN113,0)</f>
        <v/>
      </c>
      <c r="BX113" s="55">
        <f>ROUNDUP(BU113/BN113,0)</f>
        <v/>
      </c>
      <c r="BY113" s="58">
        <f>IF(BO113=1,0,IFERROR(VLOOKUP(BM113,'Gebinde-Kategorie'!$A$5:$G$45,5,0)+0,0))</f>
        <v/>
      </c>
      <c r="BZ113" s="58">
        <f>IFERROR(IF(OR(BQ113=1,BQ113=2,BQ113=3),N(INDEX(Parameter!$I$5:$I$7,BQ113)),0),0)</f>
        <v/>
      </c>
    </row>
    <row r="114">
      <c r="A114" s="53" t="inlineStr">
        <is>
          <t>106794</t>
        </is>
      </c>
      <c r="B114" s="53" t="inlineStr">
        <is>
          <t>Magnetspule</t>
        </is>
      </c>
      <c r="C114" s="53" t="inlineStr">
        <is>
          <t>F</t>
        </is>
      </c>
      <c r="D114" s="53" t="inlineStr">
        <is>
          <t>KTL</t>
        </is>
      </c>
      <c r="E114" s="53" t="inlineStr">
        <is>
          <t>C</t>
        </is>
      </c>
      <c r="F114" s="54" t="n">
        <v>107</v>
      </c>
      <c r="G114" s="55">
        <f>MAX(0,IF(Parameter!$B$20="Jahresanfang 2025 + Export",BG114+BF114,BF114))</f>
        <v/>
      </c>
      <c r="H114" s="55">
        <f>G114*F114</f>
        <v/>
      </c>
      <c r="I114" s="55">
        <f>BI114*Parameter!$B$18</f>
        <v/>
      </c>
      <c r="J114" s="56" t="n">
        <v>18.5</v>
      </c>
      <c r="K114" s="57" t="n">
        <v>3.189189189189189</v>
      </c>
      <c r="L114" s="55" t="n">
        <v>2</v>
      </c>
      <c r="M114" s="55" t="n">
        <v>35</v>
      </c>
      <c r="N114" s="58" t="n">
        <v>14</v>
      </c>
      <c r="O114" s="53" t="inlineStr">
        <is>
          <t>S52</t>
        </is>
      </c>
      <c r="P114" s="55" t="n">
        <v>18</v>
      </c>
      <c r="Q114" s="59">
        <f>IF(BO114=1,0,IFERROR(VLOOKUP(BM114,'Gebinde-Kategorie'!$A$5:$G$45,6,0)+0,0))</f>
        <v/>
      </c>
      <c r="R114" s="60" t="n"/>
      <c r="S114" s="61" t="n"/>
      <c r="T114" s="61" t="n"/>
      <c r="U114" s="53">
        <f>IF(A114="","",IF(IFERROR(VLOOKUP(D114,Parameter!$A$35:$C$64,2,0),"Nein")="2+3",IF(ISNUMBER(SEARCH("grosser Artikel",BJ114)),2,IFERROR(VLOOKUP(BM114,Parameter!$F$35:$G$64,2,0),2)),IF(OR(IFERROR(VLOOKUP(D114,Parameter!$A$35:$C$64,2,0),"Nein")="Nein",IFERROR(VLOOKUP(D114,Parameter!$A$35:$C$64,2,0),"Nein")=""),"-",VLOOKUP(D114,Parameter!$A$35:$C$64,2,0))))</f>
        <v/>
      </c>
      <c r="V114" s="61" t="n"/>
      <c r="W114" s="62" t="n"/>
      <c r="X114" s="55">
        <f>AM114</f>
        <v/>
      </c>
      <c r="Y114" s="55">
        <f>MAX(AM114,G114)</f>
        <v/>
      </c>
      <c r="Z114" s="63" t="n"/>
      <c r="AA114" s="55">
        <f>IF(LEFT(Cockpit!$C$5,1)="A",G114,IF(BT114=1,BU114,IF(LEFT(Cockpit!$C$5,1)="B",AE114,MAX(AE114,G114))))</f>
        <v/>
      </c>
      <c r="AB114" s="55">
        <f>IF(BO114=1,0,ROUNDUP(AA114/BN114,0))</f>
        <v/>
      </c>
      <c r="AC114" s="64">
        <f>IF(BO114=1,IF(AA114&lt;=0,0,BP114*MAX(1,IF(G114&gt;0,AA114/G114,1))),AB114*Q114)</f>
        <v/>
      </c>
      <c r="AD114" s="55">
        <f>AA114*F114</f>
        <v/>
      </c>
      <c r="AE114" s="55">
        <f>ROUNDUP(MAX(I114/IF(BS114&gt;0,BS114,MAX(0.1,N(Cockpit!$C$6))),BV114)/BN114,0)*BN114</f>
        <v/>
      </c>
      <c r="AF114" s="56">
        <f>IF(AC114&gt;0,I114/AC114,-1)</f>
        <v/>
      </c>
      <c r="AG114" s="56">
        <f>IF(AND(OR(BR114="L1",BR114="L23"),AC114&gt;0),SUMIFS($AC$7:$AC$1570,$BR$7:$BR$1570,BR114,$AF$7:$AF$1570,"&gt;"&amp;AF114)+SUMIFS($AC$7:$AC$1570,$BR$7:$BR$1570,BR114,$AF$7:$AF$1570,AF114,$BL$7:$BL$1570,"&lt;="&amp;BL114),"")</f>
        <v/>
      </c>
      <c r="AH114" s="65">
        <f>IF(AG114="",0,MAX(0,MIN(1,(IF(BR114="L1",Parameter!$K$5,Parameter!$K$6+Parameter!$K$7)-(AG114-AC114))/AC114)))</f>
        <v/>
      </c>
      <c r="AI114" s="55">
        <f>IF(LEFT(Cockpit!$I$5,1)="A",G114,IF(BT114=1,BU114,IF(LEFT(Cockpit!$I$5,1)="B",AM114,MAX(AM114,G114))))</f>
        <v/>
      </c>
      <c r="AJ114" s="55">
        <f>IF(BO114=1,0,ROUNDUP(AI114/BN114,0))</f>
        <v/>
      </c>
      <c r="AK114" s="64">
        <f>IF(BO114=1,IF(AI114&lt;=0,0,BP114*MAX(1,IF(G114&gt;0,AI114/G114,1))),AJ114*Q114)</f>
        <v/>
      </c>
      <c r="AL114" s="55">
        <f>AI114*F114</f>
        <v/>
      </c>
      <c r="AM114" s="55">
        <f>ROUNDUP(MAX(I114/IF(BS114&gt;0,BS114,MAX(0.1,N(Cockpit!$I$6))),BV114)/BN114,0)*BN114</f>
        <v/>
      </c>
      <c r="AN114" s="56">
        <f>IF(AK114&gt;0,I114/AK114,-1)</f>
        <v/>
      </c>
      <c r="AO114" s="56">
        <f>IF(AND(OR(BR114="L1",BR114="L23"),AK114&gt;0),SUMIFS($AK$7:$AK$1570,$BR$7:$BR$1570,BR114,$AN$7:$AN$1570,"&gt;"&amp;AN114)+SUMIFS($AK$7:$AK$1570,$BR$7:$BR$1570,BR114,$AN$7:$AN$1570,AN114,$BL$7:$BL$1570,"&lt;="&amp;BL114),"")</f>
        <v/>
      </c>
      <c r="AP114" s="65">
        <f>IF(AO114="",0,MAX(0,MIN(1,(IF(BR114="L1",Parameter!$K$5,Parameter!$K$6+Parameter!$K$7)-(AO114-AK114))/AK114)))</f>
        <v/>
      </c>
      <c r="AQ114" s="55">
        <f>IF(LEFT(Cockpit!$O$5,1)="A",G114,IF(BT114=1,BU114,IF(LEFT(Cockpit!$O$5,1)="B",AU114,MAX(AU114,G114))))</f>
        <v/>
      </c>
      <c r="AR114" s="55">
        <f>IF(BO114=1,0,ROUNDUP(AQ114/BN114,0))</f>
        <v/>
      </c>
      <c r="AS114" s="64">
        <f>IF(BO114=1,IF(AQ114&lt;=0,0,BP114*MAX(1,IF(G114&gt;0,AQ114/G114,1))),AR114*Q114)</f>
        <v/>
      </c>
      <c r="AT114" s="55">
        <f>AQ114*F114</f>
        <v/>
      </c>
      <c r="AU114" s="55">
        <f>ROUNDUP(MAX(I114/IF(BS114&gt;0,BS114,MAX(0.1,N(Cockpit!$O$6))),BV114)/BN114,0)*BN114</f>
        <v/>
      </c>
      <c r="AV114" s="56">
        <f>IF(AS114&gt;0,I114/AS114,-1)</f>
        <v/>
      </c>
      <c r="AW114" s="56">
        <f>IF(AND(OR(BR114="L1",BR114="L23"),AS114&gt;0),SUMIFS($AS$7:$AS$1570,$BR$7:$BR$1570,BR114,$AV$7:$AV$1570,"&gt;"&amp;AV114)+SUMIFS($AS$7:$AS$1570,$BR$7:$BR$1570,BR114,$AV$7:$AV$1570,AV114,$BL$7:$BL$1570,"&lt;="&amp;BL114),"")</f>
        <v/>
      </c>
      <c r="AX114" s="65">
        <f>IF(AW114="",0,MAX(0,MIN(1,(IF(BR114="L1",Parameter!$K$5,Parameter!$K$6+Parameter!$K$7)-(AW114-AS114))/AS114)))</f>
        <v/>
      </c>
      <c r="AY114" s="53">
        <f>IF(AC114&lt;=0,"",IF(BR114="Aussen","Aussenlager",IF(BR114="-","Nicht im Lift",IF(AH114&gt;=1,"Lift",IF(AH114&lt;=0,"Aussenlager","teilweise")))))</f>
        <v/>
      </c>
      <c r="AZ114" s="53">
        <f>IF(AK114&lt;=0,"",IF(BR114="Aussen","Aussenlager",IF(BR114="-","Nicht im Lift",IF(AP114&gt;=1,"Lift",IF(AP114&lt;=0,"Aussenlager","teilweise")))))</f>
        <v/>
      </c>
      <c r="BA114" s="53">
        <f>IF(AS114&lt;=0,"",IF(BR114="Aussen","Aussenlager",IF(BR114="-","Nicht im Lift",IF(AX114&gt;=1,"Lift",IF(AX114&lt;=0,"Aussenlager","teilweise")))))</f>
        <v/>
      </c>
      <c r="BB114" s="53">
        <f>IF(A114="","",IF(BK114=1,"Neu; ","")&amp;IF(AND(BK114=0,BF114&lt;0),"negativer Bestand (Export "&amp;BF114&amp;"); ","")&amp;IF(I114&lt;=0,"Kein Verbrauch; ","")&amp;IF(BO114=1,"Lose – Fläche geschätzt; ","")&amp;IF(G114&gt;AM114,"Überbestand "&amp;ROUND(G114-AM114,0)&amp;" Stk / CHF "&amp;ROUND((G114-AM114)*F114,0)&amp;"; ","")&amp;IF(AND(BT114=1,BU114&lt;BV114),"MAX &lt; MB+LG; ","")&amp;IF(AND(BZ114&gt;0,BY114*10&gt;BZ114),"zu hoch für Tablar; ","")&amp;IF(AND(BK114=0,OR(BT114=1,V114&lt;&gt;"",S114&lt;&gt;"",T114&lt;&gt;"",W114&lt;&gt;"")),"manuell übersteuert; ","")&amp;IF(AND(BO114=0,Q114=0),"Gebinde unbekannt; ","")&amp;IF(AND(BO114=0,N(T114)&lt;=0,N(P114)&lt;=0),"Menge pro Gebinde fehlt (Ist = 1 Gebinde); ","")&amp;BJ114)</f>
        <v/>
      </c>
      <c r="BC114" s="53" t="n"/>
      <c r="BD114" s="53" t="n"/>
      <c r="BE114" s="61" t="n"/>
      <c r="BF114" s="55" t="n">
        <v>18</v>
      </c>
      <c r="BG114" s="55" t="n">
        <v>7</v>
      </c>
      <c r="BH114" s="54" t="n">
        <v>1926</v>
      </c>
      <c r="BI114" s="55" t="n">
        <v>59</v>
      </c>
      <c r="BJ114" s="53" t="inlineStr"/>
      <c r="BK114" s="58" t="n">
        <v>0</v>
      </c>
      <c r="BL114" s="58" t="n">
        <v>114</v>
      </c>
      <c r="BM114" s="53">
        <f>IF(S114&lt;&gt;"",UPPER(TRIM(S114)),IF(O114="","LOSE",O114))</f>
        <v/>
      </c>
      <c r="BN114" s="55">
        <f>IF(BM114="LOSE",1,IF(N(T114)&gt;0,T114,IF(N(P114)&gt;0,P114,MAX(1,G114))))</f>
        <v/>
      </c>
      <c r="BO114" s="58">
        <f>IF(BM114="LOSE",1,0)</f>
        <v/>
      </c>
      <c r="BP114" s="64">
        <f>IF(BO114=0,0,IF(N(R114)&gt;0,R114,IFERROR(VLOOKUP(D114,Parameter!$A$35:$C$64,3,0)+0,0)))</f>
        <v/>
      </c>
      <c r="BQ114" s="53">
        <f>IF(V114&lt;&gt;"",V114,U114)</f>
        <v/>
      </c>
      <c r="BR114" s="53">
        <f>IF(BQ114=1,"L1",IF(OR(BQ114=2,BQ114=3),"L23",IF(BQ114="Aussen","Aussen","-")))</f>
        <v/>
      </c>
      <c r="BS114" s="66">
        <f>IF(N(W114)&gt;0,W114,0)</f>
        <v/>
      </c>
      <c r="BT114" s="58">
        <f>IF(ISNUMBER(Z114),1,0)</f>
        <v/>
      </c>
      <c r="BU114" s="55">
        <f>N(Z114)</f>
        <v/>
      </c>
      <c r="BV114" s="55">
        <f>N(L114)+N(M114)</f>
        <v/>
      </c>
      <c r="BW114" s="55">
        <f>ROUNDUP(G114/BN114,0)</f>
        <v/>
      </c>
      <c r="BX114" s="55">
        <f>ROUNDUP(BU114/BN114,0)</f>
        <v/>
      </c>
      <c r="BY114" s="58">
        <f>IF(BO114=1,0,IFERROR(VLOOKUP(BM114,'Gebinde-Kategorie'!$A$5:$G$45,5,0)+0,0))</f>
        <v/>
      </c>
      <c r="BZ114" s="58">
        <f>IFERROR(IF(OR(BQ114=1,BQ114=2,BQ114=3),N(INDEX(Parameter!$I$5:$I$7,BQ114)),0),0)</f>
        <v/>
      </c>
    </row>
    <row r="115">
      <c r="A115" s="53" t="inlineStr">
        <is>
          <t>005497</t>
        </is>
      </c>
      <c r="B115" s="53" t="inlineStr">
        <is>
          <t>Schlauchbündelung mit Klettverschluss</t>
        </is>
      </c>
      <c r="C115" s="53" t="inlineStr">
        <is>
          <t>F</t>
        </is>
      </c>
      <c r="D115" s="53" t="inlineStr">
        <is>
          <t>KTL</t>
        </is>
      </c>
      <c r="E115" s="53" t="inlineStr">
        <is>
          <t>C</t>
        </is>
      </c>
      <c r="F115" s="54" t="n">
        <v>13.66</v>
      </c>
      <c r="G115" s="55">
        <f>MAX(0,IF(Parameter!$B$20="Jahresanfang 2025 + Export",BG115+BF115,BF115))</f>
        <v/>
      </c>
      <c r="H115" s="55">
        <f>G115*F115</f>
        <v/>
      </c>
      <c r="I115" s="55">
        <f>BI115*Parameter!$B$18</f>
        <v/>
      </c>
      <c r="J115" s="56" t="n">
        <v>62.2</v>
      </c>
      <c r="K115" s="57" t="n">
        <v>7.189710610932475</v>
      </c>
      <c r="L115" s="55" t="n">
        <v>30</v>
      </c>
      <c r="M115" s="55" t="n">
        <v>265</v>
      </c>
      <c r="N115" s="58" t="n">
        <v>21</v>
      </c>
      <c r="O115" s="53" t="inlineStr">
        <is>
          <t>S63</t>
        </is>
      </c>
      <c r="P115" s="55" t="n">
        <v>91</v>
      </c>
      <c r="Q115" s="59">
        <f>IF(BO115=1,0,IFERROR(VLOOKUP(BM115,'Gebinde-Kategorie'!$A$5:$G$45,6,0)+0,0))</f>
        <v/>
      </c>
      <c r="R115" s="60" t="n"/>
      <c r="S115" s="61" t="n"/>
      <c r="T115" s="61" t="n"/>
      <c r="U115" s="53">
        <f>IF(A115="","",IF(IFERROR(VLOOKUP(D115,Parameter!$A$35:$C$64,2,0),"Nein")="2+3",IF(ISNUMBER(SEARCH("grosser Artikel",BJ115)),2,IFERROR(VLOOKUP(BM115,Parameter!$F$35:$G$64,2,0),2)),IF(OR(IFERROR(VLOOKUP(D115,Parameter!$A$35:$C$64,2,0),"Nein")="Nein",IFERROR(VLOOKUP(D115,Parameter!$A$35:$C$64,2,0),"Nein")=""),"-",VLOOKUP(D115,Parameter!$A$35:$C$64,2,0))))</f>
        <v/>
      </c>
      <c r="V115" s="61" t="n"/>
      <c r="W115" s="62" t="n"/>
      <c r="X115" s="55">
        <f>AM115</f>
        <v/>
      </c>
      <c r="Y115" s="55">
        <f>MAX(AM115,G115)</f>
        <v/>
      </c>
      <c r="Z115" s="63" t="n"/>
      <c r="AA115" s="55">
        <f>IF(LEFT(Cockpit!$C$5,1)="A",G115,IF(BT115=1,BU115,IF(LEFT(Cockpit!$C$5,1)="B",AE115,MAX(AE115,G115))))</f>
        <v/>
      </c>
      <c r="AB115" s="55">
        <f>IF(BO115=1,0,ROUNDUP(AA115/BN115,0))</f>
        <v/>
      </c>
      <c r="AC115" s="64">
        <f>IF(BO115=1,IF(AA115&lt;=0,0,BP115*MAX(1,IF(G115&gt;0,AA115/G115,1))),AB115*Q115)</f>
        <v/>
      </c>
      <c r="AD115" s="55">
        <f>AA115*F115</f>
        <v/>
      </c>
      <c r="AE115" s="55">
        <f>ROUNDUP(MAX(I115/IF(BS115&gt;0,BS115,MAX(0.1,N(Cockpit!$C$6))),BV115)/BN115,0)*BN115</f>
        <v/>
      </c>
      <c r="AF115" s="56">
        <f>IF(AC115&gt;0,I115/AC115,-1)</f>
        <v/>
      </c>
      <c r="AG115" s="56">
        <f>IF(AND(OR(BR115="L1",BR115="L23"),AC115&gt;0),SUMIFS($AC$7:$AC$1570,$BR$7:$BR$1570,BR115,$AF$7:$AF$1570,"&gt;"&amp;AF115)+SUMIFS($AC$7:$AC$1570,$BR$7:$BR$1570,BR115,$AF$7:$AF$1570,AF115,$BL$7:$BL$1570,"&lt;="&amp;BL115),"")</f>
        <v/>
      </c>
      <c r="AH115" s="65">
        <f>IF(AG115="",0,MAX(0,MIN(1,(IF(BR115="L1",Parameter!$K$5,Parameter!$K$6+Parameter!$K$7)-(AG115-AC115))/AC115)))</f>
        <v/>
      </c>
      <c r="AI115" s="55">
        <f>IF(LEFT(Cockpit!$I$5,1)="A",G115,IF(BT115=1,BU115,IF(LEFT(Cockpit!$I$5,1)="B",AM115,MAX(AM115,G115))))</f>
        <v/>
      </c>
      <c r="AJ115" s="55">
        <f>IF(BO115=1,0,ROUNDUP(AI115/BN115,0))</f>
        <v/>
      </c>
      <c r="AK115" s="64">
        <f>IF(BO115=1,IF(AI115&lt;=0,0,BP115*MAX(1,IF(G115&gt;0,AI115/G115,1))),AJ115*Q115)</f>
        <v/>
      </c>
      <c r="AL115" s="55">
        <f>AI115*F115</f>
        <v/>
      </c>
      <c r="AM115" s="55">
        <f>ROUNDUP(MAX(I115/IF(BS115&gt;0,BS115,MAX(0.1,N(Cockpit!$I$6))),BV115)/BN115,0)*BN115</f>
        <v/>
      </c>
      <c r="AN115" s="56">
        <f>IF(AK115&gt;0,I115/AK115,-1)</f>
        <v/>
      </c>
      <c r="AO115" s="56">
        <f>IF(AND(OR(BR115="L1",BR115="L23"),AK115&gt;0),SUMIFS($AK$7:$AK$1570,$BR$7:$BR$1570,BR115,$AN$7:$AN$1570,"&gt;"&amp;AN115)+SUMIFS($AK$7:$AK$1570,$BR$7:$BR$1570,BR115,$AN$7:$AN$1570,AN115,$BL$7:$BL$1570,"&lt;="&amp;BL115),"")</f>
        <v/>
      </c>
      <c r="AP115" s="65">
        <f>IF(AO115="",0,MAX(0,MIN(1,(IF(BR115="L1",Parameter!$K$5,Parameter!$K$6+Parameter!$K$7)-(AO115-AK115))/AK115)))</f>
        <v/>
      </c>
      <c r="AQ115" s="55">
        <f>IF(LEFT(Cockpit!$O$5,1)="A",G115,IF(BT115=1,BU115,IF(LEFT(Cockpit!$O$5,1)="B",AU115,MAX(AU115,G115))))</f>
        <v/>
      </c>
      <c r="AR115" s="55">
        <f>IF(BO115=1,0,ROUNDUP(AQ115/BN115,0))</f>
        <v/>
      </c>
      <c r="AS115" s="64">
        <f>IF(BO115=1,IF(AQ115&lt;=0,0,BP115*MAX(1,IF(G115&gt;0,AQ115/G115,1))),AR115*Q115)</f>
        <v/>
      </c>
      <c r="AT115" s="55">
        <f>AQ115*F115</f>
        <v/>
      </c>
      <c r="AU115" s="55">
        <f>ROUNDUP(MAX(I115/IF(BS115&gt;0,BS115,MAX(0.1,N(Cockpit!$O$6))),BV115)/BN115,0)*BN115</f>
        <v/>
      </c>
      <c r="AV115" s="56">
        <f>IF(AS115&gt;0,I115/AS115,-1)</f>
        <v/>
      </c>
      <c r="AW115" s="56">
        <f>IF(AND(OR(BR115="L1",BR115="L23"),AS115&gt;0),SUMIFS($AS$7:$AS$1570,$BR$7:$BR$1570,BR115,$AV$7:$AV$1570,"&gt;"&amp;AV115)+SUMIFS($AS$7:$AS$1570,$BR$7:$BR$1570,BR115,$AV$7:$AV$1570,AV115,$BL$7:$BL$1570,"&lt;="&amp;BL115),"")</f>
        <v/>
      </c>
      <c r="AX115" s="65">
        <f>IF(AW115="",0,MAX(0,MIN(1,(IF(BR115="L1",Parameter!$K$5,Parameter!$K$6+Parameter!$K$7)-(AW115-AS115))/AS115)))</f>
        <v/>
      </c>
      <c r="AY115" s="53">
        <f>IF(AC115&lt;=0,"",IF(BR115="Aussen","Aussenlager",IF(BR115="-","Nicht im Lift",IF(AH115&gt;=1,"Lift",IF(AH115&lt;=0,"Aussenlager","teilweise")))))</f>
        <v/>
      </c>
      <c r="AZ115" s="53">
        <f>IF(AK115&lt;=0,"",IF(BR115="Aussen","Aussenlager",IF(BR115="-","Nicht im Lift",IF(AP115&gt;=1,"Lift",IF(AP115&lt;=0,"Aussenlager","teilweise")))))</f>
        <v/>
      </c>
      <c r="BA115" s="53">
        <f>IF(AS115&lt;=0,"",IF(BR115="Aussen","Aussenlager",IF(BR115="-","Nicht im Lift",IF(AX115&gt;=1,"Lift",IF(AX115&lt;=0,"Aussenlager","teilweise")))))</f>
        <v/>
      </c>
      <c r="BB115" s="53">
        <f>IF(A115="","",IF(BK115=1,"Neu; ","")&amp;IF(AND(BK115=0,BF115&lt;0),"negativer Bestand (Export "&amp;BF115&amp;"); ","")&amp;IF(I115&lt;=0,"Kein Verbrauch; ","")&amp;IF(BO115=1,"Lose – Fläche geschätzt; ","")&amp;IF(G115&gt;AM115,"Überbestand "&amp;ROUND(G115-AM115,0)&amp;" Stk / CHF "&amp;ROUND((G115-AM115)*F115,0)&amp;"; ","")&amp;IF(AND(BT115=1,BU115&lt;BV115),"MAX &lt; MB+LG; ","")&amp;IF(AND(BZ115&gt;0,BY115*10&gt;BZ115),"zu hoch für Tablar; ","")&amp;IF(AND(BK115=0,OR(BT115=1,V115&lt;&gt;"",S115&lt;&gt;"",T115&lt;&gt;"",W115&lt;&gt;"")),"manuell übersteuert; ","")&amp;IF(AND(BO115=0,Q115=0),"Gebinde unbekannt; ","")&amp;IF(AND(BO115=0,N(T115)&lt;=0,N(P115)&lt;=0),"Menge pro Gebinde fehlt (Ist = 1 Gebinde); ","")&amp;BJ115)</f>
        <v/>
      </c>
      <c r="BC115" s="53" t="n"/>
      <c r="BD115" s="53" t="n"/>
      <c r="BE115" s="61" t="n"/>
      <c r="BF115" s="55" t="n">
        <v>147.8000000000001</v>
      </c>
      <c r="BG115" s="55" t="n">
        <v>47.30000000000001</v>
      </c>
      <c r="BH115" s="54" t="n">
        <v>1915.359999999998</v>
      </c>
      <c r="BI115" s="55" t="n">
        <v>447.2</v>
      </c>
      <c r="BJ115" s="53" t="inlineStr"/>
      <c r="BK115" s="58" t="n">
        <v>0</v>
      </c>
      <c r="BL115" s="58" t="n">
        <v>115</v>
      </c>
      <c r="BM115" s="53">
        <f>IF(S115&lt;&gt;"",UPPER(TRIM(S115)),IF(O115="","LOSE",O115))</f>
        <v/>
      </c>
      <c r="BN115" s="55">
        <f>IF(BM115="LOSE",1,IF(N(T115)&gt;0,T115,IF(N(P115)&gt;0,P115,MAX(1,G115))))</f>
        <v/>
      </c>
      <c r="BO115" s="58">
        <f>IF(BM115="LOSE",1,0)</f>
        <v/>
      </c>
      <c r="BP115" s="64">
        <f>IF(BO115=0,0,IF(N(R115)&gt;0,R115,IFERROR(VLOOKUP(D115,Parameter!$A$35:$C$64,3,0)+0,0)))</f>
        <v/>
      </c>
      <c r="BQ115" s="53">
        <f>IF(V115&lt;&gt;"",V115,U115)</f>
        <v/>
      </c>
      <c r="BR115" s="53">
        <f>IF(BQ115=1,"L1",IF(OR(BQ115=2,BQ115=3),"L23",IF(BQ115="Aussen","Aussen","-")))</f>
        <v/>
      </c>
      <c r="BS115" s="66">
        <f>IF(N(W115)&gt;0,W115,0)</f>
        <v/>
      </c>
      <c r="BT115" s="58">
        <f>IF(ISNUMBER(Z115),1,0)</f>
        <v/>
      </c>
      <c r="BU115" s="55">
        <f>N(Z115)</f>
        <v/>
      </c>
      <c r="BV115" s="55">
        <f>N(L115)+N(M115)</f>
        <v/>
      </c>
      <c r="BW115" s="55">
        <f>ROUNDUP(G115/BN115,0)</f>
        <v/>
      </c>
      <c r="BX115" s="55">
        <f>ROUNDUP(BU115/BN115,0)</f>
        <v/>
      </c>
      <c r="BY115" s="58">
        <f>IF(BO115=1,0,IFERROR(VLOOKUP(BM115,'Gebinde-Kategorie'!$A$5:$G$45,5,0)+0,0))</f>
        <v/>
      </c>
      <c r="BZ115" s="58">
        <f>IFERROR(IF(OR(BQ115=1,BQ115=2,BQ115=3),N(INDEX(Parameter!$I$5:$I$7,BQ115)),0),0)</f>
        <v/>
      </c>
    </row>
    <row r="116">
      <c r="A116" s="53" t="inlineStr">
        <is>
          <t>101538</t>
        </is>
      </c>
      <c r="B116" s="53" t="inlineStr">
        <is>
          <t>Verschlussstopfen</t>
        </is>
      </c>
      <c r="C116" s="53" t="inlineStr">
        <is>
          <t>F</t>
        </is>
      </c>
      <c r="D116" s="53" t="inlineStr">
        <is>
          <t>KTL</t>
        </is>
      </c>
      <c r="E116" s="53" t="inlineStr">
        <is>
          <t>C</t>
        </is>
      </c>
      <c r="F116" s="54" t="n">
        <v>9.17</v>
      </c>
      <c r="G116" s="55">
        <f>MAX(0,IF(Parameter!$B$20="Jahresanfang 2025 + Export",BG116+BF116,BF116))</f>
        <v/>
      </c>
      <c r="H116" s="55">
        <f>G116*F116</f>
        <v/>
      </c>
      <c r="I116" s="55">
        <f>BI116*Parameter!$B$18</f>
        <v/>
      </c>
      <c r="J116" s="56" t="n">
        <v>66</v>
      </c>
      <c r="K116" s="57" t="n">
        <v>4.681818181818182</v>
      </c>
      <c r="L116" s="55" t="n">
        <v>30</v>
      </c>
      <c r="M116" s="55" t="n">
        <v>265</v>
      </c>
      <c r="N116" s="58" t="n">
        <v>30</v>
      </c>
      <c r="O116" s="53" t="inlineStr">
        <is>
          <t>S21</t>
        </is>
      </c>
      <c r="P116" s="55" t="n">
        <v>58</v>
      </c>
      <c r="Q116" s="59">
        <f>IF(BO116=1,0,IFERROR(VLOOKUP(BM116,'Gebinde-Kategorie'!$A$5:$G$45,6,0)+0,0))</f>
        <v/>
      </c>
      <c r="R116" s="60" t="n"/>
      <c r="S116" s="61" t="n"/>
      <c r="T116" s="61" t="n"/>
      <c r="U116" s="53">
        <f>IF(A116="","",IF(IFERROR(VLOOKUP(D116,Parameter!$A$35:$C$64,2,0),"Nein")="2+3",IF(ISNUMBER(SEARCH("grosser Artikel",BJ116)),2,IFERROR(VLOOKUP(BM116,Parameter!$F$35:$G$64,2,0),2)),IF(OR(IFERROR(VLOOKUP(D116,Parameter!$A$35:$C$64,2,0),"Nein")="Nein",IFERROR(VLOOKUP(D116,Parameter!$A$35:$C$64,2,0),"Nein")=""),"-",VLOOKUP(D116,Parameter!$A$35:$C$64,2,0))))</f>
        <v/>
      </c>
      <c r="V116" s="61" t="n"/>
      <c r="W116" s="62" t="n"/>
      <c r="X116" s="55">
        <f>AM116</f>
        <v/>
      </c>
      <c r="Y116" s="55">
        <f>MAX(AM116,G116)</f>
        <v/>
      </c>
      <c r="Z116" s="63" t="n"/>
      <c r="AA116" s="55">
        <f>IF(LEFT(Cockpit!$C$5,1)="A",G116,IF(BT116=1,BU116,IF(LEFT(Cockpit!$C$5,1)="B",AE116,MAX(AE116,G116))))</f>
        <v/>
      </c>
      <c r="AB116" s="55">
        <f>IF(BO116=1,0,ROUNDUP(AA116/BN116,0))</f>
        <v/>
      </c>
      <c r="AC116" s="64">
        <f>IF(BO116=1,IF(AA116&lt;=0,0,BP116*MAX(1,IF(G116&gt;0,AA116/G116,1))),AB116*Q116)</f>
        <v/>
      </c>
      <c r="AD116" s="55">
        <f>AA116*F116</f>
        <v/>
      </c>
      <c r="AE116" s="55">
        <f>ROUNDUP(MAX(I116/IF(BS116&gt;0,BS116,MAX(0.1,N(Cockpit!$C$6))),BV116)/BN116,0)*BN116</f>
        <v/>
      </c>
      <c r="AF116" s="56">
        <f>IF(AC116&gt;0,I116/AC116,-1)</f>
        <v/>
      </c>
      <c r="AG116" s="56">
        <f>IF(AND(OR(BR116="L1",BR116="L23"),AC116&gt;0),SUMIFS($AC$7:$AC$1570,$BR$7:$BR$1570,BR116,$AF$7:$AF$1570,"&gt;"&amp;AF116)+SUMIFS($AC$7:$AC$1570,$BR$7:$BR$1570,BR116,$AF$7:$AF$1570,AF116,$BL$7:$BL$1570,"&lt;="&amp;BL116),"")</f>
        <v/>
      </c>
      <c r="AH116" s="65">
        <f>IF(AG116="",0,MAX(0,MIN(1,(IF(BR116="L1",Parameter!$K$5,Parameter!$K$6+Parameter!$K$7)-(AG116-AC116))/AC116)))</f>
        <v/>
      </c>
      <c r="AI116" s="55">
        <f>IF(LEFT(Cockpit!$I$5,1)="A",G116,IF(BT116=1,BU116,IF(LEFT(Cockpit!$I$5,1)="B",AM116,MAX(AM116,G116))))</f>
        <v/>
      </c>
      <c r="AJ116" s="55">
        <f>IF(BO116=1,0,ROUNDUP(AI116/BN116,0))</f>
        <v/>
      </c>
      <c r="AK116" s="64">
        <f>IF(BO116=1,IF(AI116&lt;=0,0,BP116*MAX(1,IF(G116&gt;0,AI116/G116,1))),AJ116*Q116)</f>
        <v/>
      </c>
      <c r="AL116" s="55">
        <f>AI116*F116</f>
        <v/>
      </c>
      <c r="AM116" s="55">
        <f>ROUNDUP(MAX(I116/IF(BS116&gt;0,BS116,MAX(0.1,N(Cockpit!$I$6))),BV116)/BN116,0)*BN116</f>
        <v/>
      </c>
      <c r="AN116" s="56">
        <f>IF(AK116&gt;0,I116/AK116,-1)</f>
        <v/>
      </c>
      <c r="AO116" s="56">
        <f>IF(AND(OR(BR116="L1",BR116="L23"),AK116&gt;0),SUMIFS($AK$7:$AK$1570,$BR$7:$BR$1570,BR116,$AN$7:$AN$1570,"&gt;"&amp;AN116)+SUMIFS($AK$7:$AK$1570,$BR$7:$BR$1570,BR116,$AN$7:$AN$1570,AN116,$BL$7:$BL$1570,"&lt;="&amp;BL116),"")</f>
        <v/>
      </c>
      <c r="AP116" s="65">
        <f>IF(AO116="",0,MAX(0,MIN(1,(IF(BR116="L1",Parameter!$K$5,Parameter!$K$6+Parameter!$K$7)-(AO116-AK116))/AK116)))</f>
        <v/>
      </c>
      <c r="AQ116" s="55">
        <f>IF(LEFT(Cockpit!$O$5,1)="A",G116,IF(BT116=1,BU116,IF(LEFT(Cockpit!$O$5,1)="B",AU116,MAX(AU116,G116))))</f>
        <v/>
      </c>
      <c r="AR116" s="55">
        <f>IF(BO116=1,0,ROUNDUP(AQ116/BN116,0))</f>
        <v/>
      </c>
      <c r="AS116" s="64">
        <f>IF(BO116=1,IF(AQ116&lt;=0,0,BP116*MAX(1,IF(G116&gt;0,AQ116/G116,1))),AR116*Q116)</f>
        <v/>
      </c>
      <c r="AT116" s="55">
        <f>AQ116*F116</f>
        <v/>
      </c>
      <c r="AU116" s="55">
        <f>ROUNDUP(MAX(I116/IF(BS116&gt;0,BS116,MAX(0.1,N(Cockpit!$O$6))),BV116)/BN116,0)*BN116</f>
        <v/>
      </c>
      <c r="AV116" s="56">
        <f>IF(AS116&gt;0,I116/AS116,-1)</f>
        <v/>
      </c>
      <c r="AW116" s="56">
        <f>IF(AND(OR(BR116="L1",BR116="L23"),AS116&gt;0),SUMIFS($AS$7:$AS$1570,$BR$7:$BR$1570,BR116,$AV$7:$AV$1570,"&gt;"&amp;AV116)+SUMIFS($AS$7:$AS$1570,$BR$7:$BR$1570,BR116,$AV$7:$AV$1570,AV116,$BL$7:$BL$1570,"&lt;="&amp;BL116),"")</f>
        <v/>
      </c>
      <c r="AX116" s="65">
        <f>IF(AW116="",0,MAX(0,MIN(1,(IF(BR116="L1",Parameter!$K$5,Parameter!$K$6+Parameter!$K$7)-(AW116-AS116))/AS116)))</f>
        <v/>
      </c>
      <c r="AY116" s="53">
        <f>IF(AC116&lt;=0,"",IF(BR116="Aussen","Aussenlager",IF(BR116="-","Nicht im Lift",IF(AH116&gt;=1,"Lift",IF(AH116&lt;=0,"Aussenlager","teilweise")))))</f>
        <v/>
      </c>
      <c r="AZ116" s="53">
        <f>IF(AK116&lt;=0,"",IF(BR116="Aussen","Aussenlager",IF(BR116="-","Nicht im Lift",IF(AP116&gt;=1,"Lift",IF(AP116&lt;=0,"Aussenlager","teilweise")))))</f>
        <v/>
      </c>
      <c r="BA116" s="53">
        <f>IF(AS116&lt;=0,"",IF(BR116="Aussen","Aussenlager",IF(BR116="-","Nicht im Lift",IF(AX116&gt;=1,"Lift",IF(AX116&lt;=0,"Aussenlager","teilweise")))))</f>
        <v/>
      </c>
      <c r="BB116" s="53">
        <f>IF(A116="","",IF(BK116=1,"Neu; ","")&amp;IF(AND(BK116=0,BF116&lt;0),"negativer Bestand (Export "&amp;BF116&amp;"); ","")&amp;IF(I116&lt;=0,"Kein Verbrauch; ","")&amp;IF(BO116=1,"Lose – Fläche geschätzt; ","")&amp;IF(G116&gt;AM116,"Überbestand "&amp;ROUND(G116-AM116,0)&amp;" Stk / CHF "&amp;ROUND((G116-AM116)*F116,0)&amp;"; ","")&amp;IF(AND(BT116=1,BU116&lt;BV116),"MAX &lt; MB+LG; ","")&amp;IF(AND(BZ116&gt;0,BY116*10&gt;BZ116),"zu hoch für Tablar; ","")&amp;IF(AND(BK116=0,OR(BT116=1,V116&lt;&gt;"",S116&lt;&gt;"",T116&lt;&gt;"",W116&lt;&gt;"")),"manuell übersteuert; ","")&amp;IF(AND(BO116=0,Q116=0),"Gebinde unbekannt; ","")&amp;IF(AND(BO116=0,N(T116)&lt;=0,N(P116)&lt;=0),"Menge pro Gebinde fehlt (Ist = 1 Gebinde); ","")&amp;BJ116)</f>
        <v/>
      </c>
      <c r="BC116" s="53" t="n"/>
      <c r="BD116" s="53" t="n"/>
      <c r="BE116" s="61" t="n"/>
      <c r="BF116" s="55" t="n">
        <v>220</v>
      </c>
      <c r="BG116" s="55" t="n">
        <v>46</v>
      </c>
      <c r="BH116" s="54" t="n">
        <v>1914.82</v>
      </c>
      <c r="BI116" s="55" t="n">
        <v>309</v>
      </c>
      <c r="BJ116" s="53" t="inlineStr"/>
      <c r="BK116" s="58" t="n">
        <v>0</v>
      </c>
      <c r="BL116" s="58" t="n">
        <v>116</v>
      </c>
      <c r="BM116" s="53">
        <f>IF(S116&lt;&gt;"",UPPER(TRIM(S116)),IF(O116="","LOSE",O116))</f>
        <v/>
      </c>
      <c r="BN116" s="55">
        <f>IF(BM116="LOSE",1,IF(N(T116)&gt;0,T116,IF(N(P116)&gt;0,P116,MAX(1,G116))))</f>
        <v/>
      </c>
      <c r="BO116" s="58">
        <f>IF(BM116="LOSE",1,0)</f>
        <v/>
      </c>
      <c r="BP116" s="64">
        <f>IF(BO116=0,0,IF(N(R116)&gt;0,R116,IFERROR(VLOOKUP(D116,Parameter!$A$35:$C$64,3,0)+0,0)))</f>
        <v/>
      </c>
      <c r="BQ116" s="53">
        <f>IF(V116&lt;&gt;"",V116,U116)</f>
        <v/>
      </c>
      <c r="BR116" s="53">
        <f>IF(BQ116=1,"L1",IF(OR(BQ116=2,BQ116=3),"L23",IF(BQ116="Aussen","Aussen","-")))</f>
        <v/>
      </c>
      <c r="BS116" s="66">
        <f>IF(N(W116)&gt;0,W116,0)</f>
        <v/>
      </c>
      <c r="BT116" s="58">
        <f>IF(ISNUMBER(Z116),1,0)</f>
        <v/>
      </c>
      <c r="BU116" s="55">
        <f>N(Z116)</f>
        <v/>
      </c>
      <c r="BV116" s="55">
        <f>N(L116)+N(M116)</f>
        <v/>
      </c>
      <c r="BW116" s="55">
        <f>ROUNDUP(G116/BN116,0)</f>
        <v/>
      </c>
      <c r="BX116" s="55">
        <f>ROUNDUP(BU116/BN116,0)</f>
        <v/>
      </c>
      <c r="BY116" s="58">
        <f>IF(BO116=1,0,IFERROR(VLOOKUP(BM116,'Gebinde-Kategorie'!$A$5:$G$45,5,0)+0,0))</f>
        <v/>
      </c>
      <c r="BZ116" s="58">
        <f>IFERROR(IF(OR(BQ116=1,BQ116=2,BQ116=3),N(INDEX(Parameter!$I$5:$I$7,BQ116)),0),0)</f>
        <v/>
      </c>
    </row>
    <row r="117">
      <c r="A117" s="53" t="inlineStr">
        <is>
          <t>111953</t>
        </is>
      </c>
      <c r="B117" s="53" t="inlineStr">
        <is>
          <t>PTFE Schlauch DN10</t>
        </is>
      </c>
      <c r="C117" s="53" t="inlineStr">
        <is>
          <t>F</t>
        </is>
      </c>
      <c r="D117" s="53" t="inlineStr">
        <is>
          <t>PAL</t>
        </is>
      </c>
      <c r="E117" s="53" t="inlineStr">
        <is>
          <t>C</t>
        </is>
      </c>
      <c r="F117" s="54" t="n">
        <v>127.1</v>
      </c>
      <c r="G117" s="55">
        <f>MAX(0,IF(Parameter!$B$20="Jahresanfang 2025 + Export",BG117+BF117,BF117))</f>
        <v/>
      </c>
      <c r="H117" s="55">
        <f>G117*F117</f>
        <v/>
      </c>
      <c r="I117" s="55">
        <f>BI117*Parameter!$B$18</f>
        <v/>
      </c>
      <c r="J117" s="56" t="n">
        <v>0</v>
      </c>
      <c r="K117" s="57" t="n">
        <v>0</v>
      </c>
      <c r="L117" s="55" t="n">
        <v>0</v>
      </c>
      <c r="M117" s="55" t="n">
        <v>1</v>
      </c>
      <c r="N117" s="58" t="n">
        <v>9999</v>
      </c>
      <c r="O117" s="53" t="inlineStr">
        <is>
          <t>LOSE</t>
        </is>
      </c>
      <c r="P117" s="55" t="n"/>
      <c r="Q117" s="59">
        <f>IF(BO117=1,0,IFERROR(VLOOKUP(BM117,'Gebinde-Kategorie'!$A$5:$G$45,6,0)+0,0))</f>
        <v/>
      </c>
      <c r="R117" s="60" t="n"/>
      <c r="S117" s="61" t="n"/>
      <c r="T117" s="61" t="n"/>
      <c r="U117" s="53">
        <f>IF(A117="","",IF(IFERROR(VLOOKUP(D117,Parameter!$A$35:$C$64,2,0),"Nein")="2+3",IF(ISNUMBER(SEARCH("grosser Artikel",BJ117)),2,IFERROR(VLOOKUP(BM117,Parameter!$F$35:$G$64,2,0),2)),IF(OR(IFERROR(VLOOKUP(D117,Parameter!$A$35:$C$64,2,0),"Nein")="Nein",IFERROR(VLOOKUP(D117,Parameter!$A$35:$C$64,2,0),"Nein")=""),"-",VLOOKUP(D117,Parameter!$A$35:$C$64,2,0))))</f>
        <v/>
      </c>
      <c r="V117" s="61" t="n"/>
      <c r="W117" s="62" t="n"/>
      <c r="X117" s="55">
        <f>AM117</f>
        <v/>
      </c>
      <c r="Y117" s="55">
        <f>MAX(AM117,G117)</f>
        <v/>
      </c>
      <c r="Z117" s="63" t="n"/>
      <c r="AA117" s="55">
        <f>IF(LEFT(Cockpit!$C$5,1)="A",G117,IF(BT117=1,BU117,IF(LEFT(Cockpit!$C$5,1)="B",AE117,MAX(AE117,G117))))</f>
        <v/>
      </c>
      <c r="AB117" s="55">
        <f>IF(BO117=1,0,ROUNDUP(AA117/BN117,0))</f>
        <v/>
      </c>
      <c r="AC117" s="64">
        <f>IF(BO117=1,IF(AA117&lt;=0,0,BP117*MAX(1,IF(G117&gt;0,AA117/G117,1))),AB117*Q117)</f>
        <v/>
      </c>
      <c r="AD117" s="55">
        <f>AA117*F117</f>
        <v/>
      </c>
      <c r="AE117" s="55">
        <f>ROUNDUP(MAX(I117/IF(BS117&gt;0,BS117,MAX(0.1,N(Cockpit!$C$6))),BV117)/BN117,0)*BN117</f>
        <v/>
      </c>
      <c r="AF117" s="56">
        <f>IF(AC117&gt;0,I117/AC117,-1)</f>
        <v/>
      </c>
      <c r="AG117" s="56">
        <f>IF(AND(OR(BR117="L1",BR117="L23"),AC117&gt;0),SUMIFS($AC$7:$AC$1570,$BR$7:$BR$1570,BR117,$AF$7:$AF$1570,"&gt;"&amp;AF117)+SUMIFS($AC$7:$AC$1570,$BR$7:$BR$1570,BR117,$AF$7:$AF$1570,AF117,$BL$7:$BL$1570,"&lt;="&amp;BL117),"")</f>
        <v/>
      </c>
      <c r="AH117" s="65">
        <f>IF(AG117="",0,MAX(0,MIN(1,(IF(BR117="L1",Parameter!$K$5,Parameter!$K$6+Parameter!$K$7)-(AG117-AC117))/AC117)))</f>
        <v/>
      </c>
      <c r="AI117" s="55">
        <f>IF(LEFT(Cockpit!$I$5,1)="A",G117,IF(BT117=1,BU117,IF(LEFT(Cockpit!$I$5,1)="B",AM117,MAX(AM117,G117))))</f>
        <v/>
      </c>
      <c r="AJ117" s="55">
        <f>IF(BO117=1,0,ROUNDUP(AI117/BN117,0))</f>
        <v/>
      </c>
      <c r="AK117" s="64">
        <f>IF(BO117=1,IF(AI117&lt;=0,0,BP117*MAX(1,IF(G117&gt;0,AI117/G117,1))),AJ117*Q117)</f>
        <v/>
      </c>
      <c r="AL117" s="55">
        <f>AI117*F117</f>
        <v/>
      </c>
      <c r="AM117" s="55">
        <f>ROUNDUP(MAX(I117/IF(BS117&gt;0,BS117,MAX(0.1,N(Cockpit!$I$6))),BV117)/BN117,0)*BN117</f>
        <v/>
      </c>
      <c r="AN117" s="56">
        <f>IF(AK117&gt;0,I117/AK117,-1)</f>
        <v/>
      </c>
      <c r="AO117" s="56">
        <f>IF(AND(OR(BR117="L1",BR117="L23"),AK117&gt;0),SUMIFS($AK$7:$AK$1570,$BR$7:$BR$1570,BR117,$AN$7:$AN$1570,"&gt;"&amp;AN117)+SUMIFS($AK$7:$AK$1570,$BR$7:$BR$1570,BR117,$AN$7:$AN$1570,AN117,$BL$7:$BL$1570,"&lt;="&amp;BL117),"")</f>
        <v/>
      </c>
      <c r="AP117" s="65">
        <f>IF(AO117="",0,MAX(0,MIN(1,(IF(BR117="L1",Parameter!$K$5,Parameter!$K$6+Parameter!$K$7)-(AO117-AK117))/AK117)))</f>
        <v/>
      </c>
      <c r="AQ117" s="55">
        <f>IF(LEFT(Cockpit!$O$5,1)="A",G117,IF(BT117=1,BU117,IF(LEFT(Cockpit!$O$5,1)="B",AU117,MAX(AU117,G117))))</f>
        <v/>
      </c>
      <c r="AR117" s="55">
        <f>IF(BO117=1,0,ROUNDUP(AQ117/BN117,0))</f>
        <v/>
      </c>
      <c r="AS117" s="64">
        <f>IF(BO117=1,IF(AQ117&lt;=0,0,BP117*MAX(1,IF(G117&gt;0,AQ117/G117,1))),AR117*Q117)</f>
        <v/>
      </c>
      <c r="AT117" s="55">
        <f>AQ117*F117</f>
        <v/>
      </c>
      <c r="AU117" s="55">
        <f>ROUNDUP(MAX(I117/IF(BS117&gt;0,BS117,MAX(0.1,N(Cockpit!$O$6))),BV117)/BN117,0)*BN117</f>
        <v/>
      </c>
      <c r="AV117" s="56">
        <f>IF(AS117&gt;0,I117/AS117,-1)</f>
        <v/>
      </c>
      <c r="AW117" s="56">
        <f>IF(AND(OR(BR117="L1",BR117="L23"),AS117&gt;0),SUMIFS($AS$7:$AS$1570,$BR$7:$BR$1570,BR117,$AV$7:$AV$1570,"&gt;"&amp;AV117)+SUMIFS($AS$7:$AS$1570,$BR$7:$BR$1570,BR117,$AV$7:$AV$1570,AV117,$BL$7:$BL$1570,"&lt;="&amp;BL117),"")</f>
        <v/>
      </c>
      <c r="AX117" s="65">
        <f>IF(AW117="",0,MAX(0,MIN(1,(IF(BR117="L1",Parameter!$K$5,Parameter!$K$6+Parameter!$K$7)-(AW117-AS117))/AS117)))</f>
        <v/>
      </c>
      <c r="AY117" s="53">
        <f>IF(AC117&lt;=0,"",IF(BR117="Aussen","Aussenlager",IF(BR117="-","Nicht im Lift",IF(AH117&gt;=1,"Lift",IF(AH117&lt;=0,"Aussenlager","teilweise")))))</f>
        <v/>
      </c>
      <c r="AZ117" s="53">
        <f>IF(AK117&lt;=0,"",IF(BR117="Aussen","Aussenlager",IF(BR117="-","Nicht im Lift",IF(AP117&gt;=1,"Lift",IF(AP117&lt;=0,"Aussenlager","teilweise")))))</f>
        <v/>
      </c>
      <c r="BA117" s="53">
        <f>IF(AS117&lt;=0,"",IF(BR117="Aussen","Aussenlager",IF(BR117="-","Nicht im Lift",IF(AX117&gt;=1,"Lift",IF(AX117&lt;=0,"Aussenlager","teilweise")))))</f>
        <v/>
      </c>
      <c r="BB117" s="53">
        <f>IF(A117="","",IF(BK117=1,"Neu; ","")&amp;IF(AND(BK117=0,BF117&lt;0),"negativer Bestand (Export "&amp;BF117&amp;"); ","")&amp;IF(I117&lt;=0,"Kein Verbrauch; ","")&amp;IF(BO117=1,"Lose – Fläche geschätzt; ","")&amp;IF(G117&gt;AM117,"Überbestand "&amp;ROUND(G117-AM117,0)&amp;" Stk / CHF "&amp;ROUND((G117-AM117)*F117,0)&amp;"; ","")&amp;IF(AND(BT117=1,BU117&lt;BV117),"MAX &lt; MB+LG; ","")&amp;IF(AND(BZ117&gt;0,BY117*10&gt;BZ117),"zu hoch für Tablar; ","")&amp;IF(AND(BK117=0,OR(BT117=1,V117&lt;&gt;"",S117&lt;&gt;"",T117&lt;&gt;"",W117&lt;&gt;"")),"manuell übersteuert; ","")&amp;IF(AND(BO117=0,Q117=0),"Gebinde unbekannt; ","")&amp;IF(AND(BO117=0,N(T117)&lt;=0,N(P117)&lt;=0),"Menge pro Gebinde fehlt (Ist = 1 Gebinde); ","")&amp;BJ117)</f>
        <v/>
      </c>
      <c r="BC117" s="53" t="n"/>
      <c r="BD117" s="53" t="n"/>
      <c r="BE117" s="61" t="n"/>
      <c r="BF117" s="55" t="n">
        <v>15</v>
      </c>
      <c r="BG117" s="55" t="n">
        <v>0</v>
      </c>
      <c r="BH117" s="54" t="n">
        <v>1906.5</v>
      </c>
      <c r="BI117" s="55" t="n">
        <v>0</v>
      </c>
      <c r="BJ117" s="53" t="inlineStr"/>
      <c r="BK117" s="58" t="n">
        <v>0</v>
      </c>
      <c r="BL117" s="58" t="n">
        <v>117</v>
      </c>
      <c r="BM117" s="53">
        <f>IF(S117&lt;&gt;"",UPPER(TRIM(S117)),IF(O117="","LOSE",O117))</f>
        <v/>
      </c>
      <c r="BN117" s="55">
        <f>IF(BM117="LOSE",1,IF(N(T117)&gt;0,T117,IF(N(P117)&gt;0,P117,MAX(1,G117))))</f>
        <v/>
      </c>
      <c r="BO117" s="58">
        <f>IF(BM117="LOSE",1,0)</f>
        <v/>
      </c>
      <c r="BP117" s="64">
        <f>IF(BO117=0,0,IF(N(R117)&gt;0,R117,IFERROR(VLOOKUP(D117,Parameter!$A$35:$C$64,3,0)+0,0)))</f>
        <v/>
      </c>
      <c r="BQ117" s="53">
        <f>IF(V117&lt;&gt;"",V117,U117)</f>
        <v/>
      </c>
      <c r="BR117" s="53">
        <f>IF(BQ117=1,"L1",IF(OR(BQ117=2,BQ117=3),"L23",IF(BQ117="Aussen","Aussen","-")))</f>
        <v/>
      </c>
      <c r="BS117" s="66">
        <f>IF(N(W117)&gt;0,W117,0)</f>
        <v/>
      </c>
      <c r="BT117" s="58">
        <f>IF(ISNUMBER(Z117),1,0)</f>
        <v/>
      </c>
      <c r="BU117" s="55">
        <f>N(Z117)</f>
        <v/>
      </c>
      <c r="BV117" s="55">
        <f>N(L117)+N(M117)</f>
        <v/>
      </c>
      <c r="BW117" s="55">
        <f>ROUNDUP(G117/BN117,0)</f>
        <v/>
      </c>
      <c r="BX117" s="55">
        <f>ROUNDUP(BU117/BN117,0)</f>
        <v/>
      </c>
      <c r="BY117" s="58">
        <f>IF(BO117=1,0,IFERROR(VLOOKUP(BM117,'Gebinde-Kategorie'!$A$5:$G$45,5,0)+0,0))</f>
        <v/>
      </c>
      <c r="BZ117" s="58">
        <f>IFERROR(IF(OR(BQ117=1,BQ117=2,BQ117=3),N(INDEX(Parameter!$I$5:$I$7,BQ117)),0),0)</f>
        <v/>
      </c>
    </row>
    <row r="118">
      <c r="A118" s="53" t="inlineStr">
        <is>
          <t>109381</t>
        </is>
      </c>
      <c r="B118" s="53" t="inlineStr">
        <is>
          <t>Gateway Modbus TCP Server / CAN</t>
        </is>
      </c>
      <c r="C118" s="53" t="inlineStr">
        <is>
          <t>F</t>
        </is>
      </c>
      <c r="D118" s="53" t="inlineStr">
        <is>
          <t>KTL</t>
        </is>
      </c>
      <c r="E118" s="53" t="inlineStr">
        <is>
          <t>C</t>
        </is>
      </c>
      <c r="F118" s="54" t="n">
        <v>348.07</v>
      </c>
      <c r="G118" s="55">
        <f>MAX(0,IF(Parameter!$B$20="Jahresanfang 2025 + Export",BG118+BF118,BF118))</f>
        <v/>
      </c>
      <c r="H118" s="55">
        <f>G118*F118</f>
        <v/>
      </c>
      <c r="I118" s="55">
        <f>BI118*Parameter!$B$18</f>
        <v/>
      </c>
      <c r="J118" s="56" t="n">
        <v>10</v>
      </c>
      <c r="K118" s="57" t="n">
        <v>2.4</v>
      </c>
      <c r="L118" s="55" t="n">
        <v>2</v>
      </c>
      <c r="M118" s="55" t="n">
        <v>15</v>
      </c>
      <c r="N118" s="58" t="n">
        <v>42</v>
      </c>
      <c r="O118" s="53" t="inlineStr">
        <is>
          <t>S51</t>
        </is>
      </c>
      <c r="P118" s="55" t="n">
        <v>12</v>
      </c>
      <c r="Q118" s="59">
        <f>IF(BO118=1,0,IFERROR(VLOOKUP(BM118,'Gebinde-Kategorie'!$A$5:$G$45,6,0)+0,0))</f>
        <v/>
      </c>
      <c r="R118" s="60" t="n"/>
      <c r="S118" s="61" t="n"/>
      <c r="T118" s="61" t="n"/>
      <c r="U118" s="53">
        <f>IF(A118="","",IF(IFERROR(VLOOKUP(D118,Parameter!$A$35:$C$64,2,0),"Nein")="2+3",IF(ISNUMBER(SEARCH("grosser Artikel",BJ118)),2,IFERROR(VLOOKUP(BM118,Parameter!$F$35:$G$64,2,0),2)),IF(OR(IFERROR(VLOOKUP(D118,Parameter!$A$35:$C$64,2,0),"Nein")="Nein",IFERROR(VLOOKUP(D118,Parameter!$A$35:$C$64,2,0),"Nein")=""),"-",VLOOKUP(D118,Parameter!$A$35:$C$64,2,0))))</f>
        <v/>
      </c>
      <c r="V118" s="61" t="n"/>
      <c r="W118" s="62" t="n"/>
      <c r="X118" s="55">
        <f>AM118</f>
        <v/>
      </c>
      <c r="Y118" s="55">
        <f>MAX(AM118,G118)</f>
        <v/>
      </c>
      <c r="Z118" s="63" t="n"/>
      <c r="AA118" s="55">
        <f>IF(LEFT(Cockpit!$C$5,1)="A",G118,IF(BT118=1,BU118,IF(LEFT(Cockpit!$C$5,1)="B",AE118,MAX(AE118,G118))))</f>
        <v/>
      </c>
      <c r="AB118" s="55">
        <f>IF(BO118=1,0,ROUNDUP(AA118/BN118,0))</f>
        <v/>
      </c>
      <c r="AC118" s="64">
        <f>IF(BO118=1,IF(AA118&lt;=0,0,BP118*MAX(1,IF(G118&gt;0,AA118/G118,1))),AB118*Q118)</f>
        <v/>
      </c>
      <c r="AD118" s="55">
        <f>AA118*F118</f>
        <v/>
      </c>
      <c r="AE118" s="55">
        <f>ROUNDUP(MAX(I118/IF(BS118&gt;0,BS118,MAX(0.1,N(Cockpit!$C$6))),BV118)/BN118,0)*BN118</f>
        <v/>
      </c>
      <c r="AF118" s="56">
        <f>IF(AC118&gt;0,I118/AC118,-1)</f>
        <v/>
      </c>
      <c r="AG118" s="56">
        <f>IF(AND(OR(BR118="L1",BR118="L23"),AC118&gt;0),SUMIFS($AC$7:$AC$1570,$BR$7:$BR$1570,BR118,$AF$7:$AF$1570,"&gt;"&amp;AF118)+SUMIFS($AC$7:$AC$1570,$BR$7:$BR$1570,BR118,$AF$7:$AF$1570,AF118,$BL$7:$BL$1570,"&lt;="&amp;BL118),"")</f>
        <v/>
      </c>
      <c r="AH118" s="65">
        <f>IF(AG118="",0,MAX(0,MIN(1,(IF(BR118="L1",Parameter!$K$5,Parameter!$K$6+Parameter!$K$7)-(AG118-AC118))/AC118)))</f>
        <v/>
      </c>
      <c r="AI118" s="55">
        <f>IF(LEFT(Cockpit!$I$5,1)="A",G118,IF(BT118=1,BU118,IF(LEFT(Cockpit!$I$5,1)="B",AM118,MAX(AM118,G118))))</f>
        <v/>
      </c>
      <c r="AJ118" s="55">
        <f>IF(BO118=1,0,ROUNDUP(AI118/BN118,0))</f>
        <v/>
      </c>
      <c r="AK118" s="64">
        <f>IF(BO118=1,IF(AI118&lt;=0,0,BP118*MAX(1,IF(G118&gt;0,AI118/G118,1))),AJ118*Q118)</f>
        <v/>
      </c>
      <c r="AL118" s="55">
        <f>AI118*F118</f>
        <v/>
      </c>
      <c r="AM118" s="55">
        <f>ROUNDUP(MAX(I118/IF(BS118&gt;0,BS118,MAX(0.1,N(Cockpit!$I$6))),BV118)/BN118,0)*BN118</f>
        <v/>
      </c>
      <c r="AN118" s="56">
        <f>IF(AK118&gt;0,I118/AK118,-1)</f>
        <v/>
      </c>
      <c r="AO118" s="56">
        <f>IF(AND(OR(BR118="L1",BR118="L23"),AK118&gt;0),SUMIFS($AK$7:$AK$1570,$BR$7:$BR$1570,BR118,$AN$7:$AN$1570,"&gt;"&amp;AN118)+SUMIFS($AK$7:$AK$1570,$BR$7:$BR$1570,BR118,$AN$7:$AN$1570,AN118,$BL$7:$BL$1570,"&lt;="&amp;BL118),"")</f>
        <v/>
      </c>
      <c r="AP118" s="65">
        <f>IF(AO118="",0,MAX(0,MIN(1,(IF(BR118="L1",Parameter!$K$5,Parameter!$K$6+Parameter!$K$7)-(AO118-AK118))/AK118)))</f>
        <v/>
      </c>
      <c r="AQ118" s="55">
        <f>IF(LEFT(Cockpit!$O$5,1)="A",G118,IF(BT118=1,BU118,IF(LEFT(Cockpit!$O$5,1)="B",AU118,MAX(AU118,G118))))</f>
        <v/>
      </c>
      <c r="AR118" s="55">
        <f>IF(BO118=1,0,ROUNDUP(AQ118/BN118,0))</f>
        <v/>
      </c>
      <c r="AS118" s="64">
        <f>IF(BO118=1,IF(AQ118&lt;=0,0,BP118*MAX(1,IF(G118&gt;0,AQ118/G118,1))),AR118*Q118)</f>
        <v/>
      </c>
      <c r="AT118" s="55">
        <f>AQ118*F118</f>
        <v/>
      </c>
      <c r="AU118" s="55">
        <f>ROUNDUP(MAX(I118/IF(BS118&gt;0,BS118,MAX(0.1,N(Cockpit!$O$6))),BV118)/BN118,0)*BN118</f>
        <v/>
      </c>
      <c r="AV118" s="56">
        <f>IF(AS118&gt;0,I118/AS118,-1)</f>
        <v/>
      </c>
      <c r="AW118" s="56">
        <f>IF(AND(OR(BR118="L1",BR118="L23"),AS118&gt;0),SUMIFS($AS$7:$AS$1570,$BR$7:$BR$1570,BR118,$AV$7:$AV$1570,"&gt;"&amp;AV118)+SUMIFS($AS$7:$AS$1570,$BR$7:$BR$1570,BR118,$AV$7:$AV$1570,AV118,$BL$7:$BL$1570,"&lt;="&amp;BL118),"")</f>
        <v/>
      </c>
      <c r="AX118" s="65">
        <f>IF(AW118="",0,MAX(0,MIN(1,(IF(BR118="L1",Parameter!$K$5,Parameter!$K$6+Parameter!$K$7)-(AW118-AS118))/AS118)))</f>
        <v/>
      </c>
      <c r="AY118" s="53">
        <f>IF(AC118&lt;=0,"",IF(BR118="Aussen","Aussenlager",IF(BR118="-","Nicht im Lift",IF(AH118&gt;=1,"Lift",IF(AH118&lt;=0,"Aussenlager","teilweise")))))</f>
        <v/>
      </c>
      <c r="AZ118" s="53">
        <f>IF(AK118&lt;=0,"",IF(BR118="Aussen","Aussenlager",IF(BR118="-","Nicht im Lift",IF(AP118&gt;=1,"Lift",IF(AP118&lt;=0,"Aussenlager","teilweise")))))</f>
        <v/>
      </c>
      <c r="BA118" s="53">
        <f>IF(AS118&lt;=0,"",IF(BR118="Aussen","Aussenlager",IF(BR118="-","Nicht im Lift",IF(AX118&gt;=1,"Lift",IF(AX118&lt;=0,"Aussenlager","teilweise")))))</f>
        <v/>
      </c>
      <c r="BB118" s="53">
        <f>IF(A118="","",IF(BK118=1,"Neu; ","")&amp;IF(AND(BK118=0,BF118&lt;0),"negativer Bestand (Export "&amp;BF118&amp;"); ","")&amp;IF(I118&lt;=0,"Kein Verbrauch; ","")&amp;IF(BO118=1,"Lose – Fläche geschätzt; ","")&amp;IF(G118&gt;AM118,"Überbestand "&amp;ROUND(G118-AM118,0)&amp;" Stk / CHF "&amp;ROUND((G118-AM118)*F118,0)&amp;"; ","")&amp;IF(AND(BT118=1,BU118&lt;BV118),"MAX &lt; MB+LG; ","")&amp;IF(AND(BZ118&gt;0,BY118*10&gt;BZ118),"zu hoch für Tablar; ","")&amp;IF(AND(BK118=0,OR(BT118=1,V118&lt;&gt;"",S118&lt;&gt;"",T118&lt;&gt;"",W118&lt;&gt;"")),"manuell übersteuert; ","")&amp;IF(AND(BO118=0,Q118=0),"Gebinde unbekannt; ","")&amp;IF(AND(BO118=0,N(T118)&lt;=0,N(P118)&lt;=0),"Menge pro Gebinde fehlt (Ist = 1 Gebinde); ","")&amp;BJ118)</f>
        <v/>
      </c>
      <c r="BC118" s="53" t="n"/>
      <c r="BD118" s="53" t="n"/>
      <c r="BE118" s="61" t="n"/>
      <c r="BF118" s="55" t="n">
        <v>5</v>
      </c>
      <c r="BG118" s="55" t="n">
        <v>12</v>
      </c>
      <c r="BH118" s="54" t="n">
        <v>1902.109999999993</v>
      </c>
      <c r="BI118" s="55" t="n">
        <v>24</v>
      </c>
      <c r="BJ118" s="53" t="inlineStr"/>
      <c r="BK118" s="58" t="n">
        <v>0</v>
      </c>
      <c r="BL118" s="58" t="n">
        <v>118</v>
      </c>
      <c r="BM118" s="53">
        <f>IF(S118&lt;&gt;"",UPPER(TRIM(S118)),IF(O118="","LOSE",O118))</f>
        <v/>
      </c>
      <c r="BN118" s="55">
        <f>IF(BM118="LOSE",1,IF(N(T118)&gt;0,T118,IF(N(P118)&gt;0,P118,MAX(1,G118))))</f>
        <v/>
      </c>
      <c r="BO118" s="58">
        <f>IF(BM118="LOSE",1,0)</f>
        <v/>
      </c>
      <c r="BP118" s="64">
        <f>IF(BO118=0,0,IF(N(R118)&gt;0,R118,IFERROR(VLOOKUP(D118,Parameter!$A$35:$C$64,3,0)+0,0)))</f>
        <v/>
      </c>
      <c r="BQ118" s="53">
        <f>IF(V118&lt;&gt;"",V118,U118)</f>
        <v/>
      </c>
      <c r="BR118" s="53">
        <f>IF(BQ118=1,"L1",IF(OR(BQ118=2,BQ118=3),"L23",IF(BQ118="Aussen","Aussen","-")))</f>
        <v/>
      </c>
      <c r="BS118" s="66">
        <f>IF(N(W118)&gt;0,W118,0)</f>
        <v/>
      </c>
      <c r="BT118" s="58">
        <f>IF(ISNUMBER(Z118),1,0)</f>
        <v/>
      </c>
      <c r="BU118" s="55">
        <f>N(Z118)</f>
        <v/>
      </c>
      <c r="BV118" s="55">
        <f>N(L118)+N(M118)</f>
        <v/>
      </c>
      <c r="BW118" s="55">
        <f>ROUNDUP(G118/BN118,0)</f>
        <v/>
      </c>
      <c r="BX118" s="55">
        <f>ROUNDUP(BU118/BN118,0)</f>
        <v/>
      </c>
      <c r="BY118" s="58">
        <f>IF(BO118=1,0,IFERROR(VLOOKUP(BM118,'Gebinde-Kategorie'!$A$5:$G$45,5,0)+0,0))</f>
        <v/>
      </c>
      <c r="BZ118" s="58">
        <f>IFERROR(IF(OR(BQ118=1,BQ118=2,BQ118=3),N(INDEX(Parameter!$I$5:$I$7,BQ118)),0),0)</f>
        <v/>
      </c>
    </row>
    <row r="119">
      <c r="A119" s="53" t="inlineStr">
        <is>
          <t>101634</t>
        </is>
      </c>
      <c r="B119" s="53" t="inlineStr">
        <is>
          <t>Rückschlagventil</t>
        </is>
      </c>
      <c r="C119" s="53" t="inlineStr">
        <is>
          <t>F</t>
        </is>
      </c>
      <c r="D119" s="53" t="inlineStr">
        <is>
          <t>KTL</t>
        </is>
      </c>
      <c r="E119" s="53" t="inlineStr">
        <is>
          <t>C</t>
        </is>
      </c>
      <c r="F119" s="54" t="n">
        <v>41.62</v>
      </c>
      <c r="G119" s="55">
        <f>MAX(0,IF(Parameter!$B$20="Jahresanfang 2025 + Export",BG119+BF119,BF119))</f>
        <v/>
      </c>
      <c r="H119" s="55">
        <f>G119*F119</f>
        <v/>
      </c>
      <c r="I119" s="55">
        <f>BI119*Parameter!$B$18</f>
        <v/>
      </c>
      <c r="J119" s="56" t="n">
        <v>220</v>
      </c>
      <c r="K119" s="57" t="n">
        <v>6</v>
      </c>
      <c r="L119" s="55" t="n">
        <v>77</v>
      </c>
      <c r="M119" s="55" t="n">
        <v>200</v>
      </c>
      <c r="N119" s="58" t="n">
        <v>21</v>
      </c>
      <c r="O119" s="53" t="inlineStr">
        <is>
          <t>S52</t>
        </is>
      </c>
      <c r="P119" s="55" t="n">
        <v>850</v>
      </c>
      <c r="Q119" s="59">
        <f>IF(BO119=1,0,IFERROR(VLOOKUP(BM119,'Gebinde-Kategorie'!$A$5:$G$45,6,0)+0,0))</f>
        <v/>
      </c>
      <c r="R119" s="60" t="n"/>
      <c r="S119" s="61" t="n"/>
      <c r="T119" s="61" t="n"/>
      <c r="U119" s="53">
        <f>IF(A119="","",IF(IFERROR(VLOOKUP(D119,Parameter!$A$35:$C$64,2,0),"Nein")="2+3",IF(ISNUMBER(SEARCH("grosser Artikel",BJ119)),2,IFERROR(VLOOKUP(BM119,Parameter!$F$35:$G$64,2,0),2)),IF(OR(IFERROR(VLOOKUP(D119,Parameter!$A$35:$C$64,2,0),"Nein")="Nein",IFERROR(VLOOKUP(D119,Parameter!$A$35:$C$64,2,0),"Nein")=""),"-",VLOOKUP(D119,Parameter!$A$35:$C$64,2,0))))</f>
        <v/>
      </c>
      <c r="V119" s="61" t="n"/>
      <c r="W119" s="62" t="n"/>
      <c r="X119" s="55">
        <f>AM119</f>
        <v/>
      </c>
      <c r="Y119" s="55">
        <f>MAX(AM119,G119)</f>
        <v/>
      </c>
      <c r="Z119" s="63" t="n"/>
      <c r="AA119" s="55">
        <f>IF(LEFT(Cockpit!$C$5,1)="A",G119,IF(BT119=1,BU119,IF(LEFT(Cockpit!$C$5,1)="B",AE119,MAX(AE119,G119))))</f>
        <v/>
      </c>
      <c r="AB119" s="55">
        <f>IF(BO119=1,0,ROUNDUP(AA119/BN119,0))</f>
        <v/>
      </c>
      <c r="AC119" s="64">
        <f>IF(BO119=1,IF(AA119&lt;=0,0,BP119*MAX(1,IF(G119&gt;0,AA119/G119,1))),AB119*Q119)</f>
        <v/>
      </c>
      <c r="AD119" s="55">
        <f>AA119*F119</f>
        <v/>
      </c>
      <c r="AE119" s="55">
        <f>ROUNDUP(MAX(I119/IF(BS119&gt;0,BS119,MAX(0.1,N(Cockpit!$C$6))),BV119)/BN119,0)*BN119</f>
        <v/>
      </c>
      <c r="AF119" s="56">
        <f>IF(AC119&gt;0,I119/AC119,-1)</f>
        <v/>
      </c>
      <c r="AG119" s="56">
        <f>IF(AND(OR(BR119="L1",BR119="L23"),AC119&gt;0),SUMIFS($AC$7:$AC$1570,$BR$7:$BR$1570,BR119,$AF$7:$AF$1570,"&gt;"&amp;AF119)+SUMIFS($AC$7:$AC$1570,$BR$7:$BR$1570,BR119,$AF$7:$AF$1570,AF119,$BL$7:$BL$1570,"&lt;="&amp;BL119),"")</f>
        <v/>
      </c>
      <c r="AH119" s="65">
        <f>IF(AG119="",0,MAX(0,MIN(1,(IF(BR119="L1",Parameter!$K$5,Parameter!$K$6+Parameter!$K$7)-(AG119-AC119))/AC119)))</f>
        <v/>
      </c>
      <c r="AI119" s="55">
        <f>IF(LEFT(Cockpit!$I$5,1)="A",G119,IF(BT119=1,BU119,IF(LEFT(Cockpit!$I$5,1)="B",AM119,MAX(AM119,G119))))</f>
        <v/>
      </c>
      <c r="AJ119" s="55">
        <f>IF(BO119=1,0,ROUNDUP(AI119/BN119,0))</f>
        <v/>
      </c>
      <c r="AK119" s="64">
        <f>IF(BO119=1,IF(AI119&lt;=0,0,BP119*MAX(1,IF(G119&gt;0,AI119/G119,1))),AJ119*Q119)</f>
        <v/>
      </c>
      <c r="AL119" s="55">
        <f>AI119*F119</f>
        <v/>
      </c>
      <c r="AM119" s="55">
        <f>ROUNDUP(MAX(I119/IF(BS119&gt;0,BS119,MAX(0.1,N(Cockpit!$I$6))),BV119)/BN119,0)*BN119</f>
        <v/>
      </c>
      <c r="AN119" s="56">
        <f>IF(AK119&gt;0,I119/AK119,-1)</f>
        <v/>
      </c>
      <c r="AO119" s="56">
        <f>IF(AND(OR(BR119="L1",BR119="L23"),AK119&gt;0),SUMIFS($AK$7:$AK$1570,$BR$7:$BR$1570,BR119,$AN$7:$AN$1570,"&gt;"&amp;AN119)+SUMIFS($AK$7:$AK$1570,$BR$7:$BR$1570,BR119,$AN$7:$AN$1570,AN119,$BL$7:$BL$1570,"&lt;="&amp;BL119),"")</f>
        <v/>
      </c>
      <c r="AP119" s="65">
        <f>IF(AO119="",0,MAX(0,MIN(1,(IF(BR119="L1",Parameter!$K$5,Parameter!$K$6+Parameter!$K$7)-(AO119-AK119))/AK119)))</f>
        <v/>
      </c>
      <c r="AQ119" s="55">
        <f>IF(LEFT(Cockpit!$O$5,1)="A",G119,IF(BT119=1,BU119,IF(LEFT(Cockpit!$O$5,1)="B",AU119,MAX(AU119,G119))))</f>
        <v/>
      </c>
      <c r="AR119" s="55">
        <f>IF(BO119=1,0,ROUNDUP(AQ119/BN119,0))</f>
        <v/>
      </c>
      <c r="AS119" s="64">
        <f>IF(BO119=1,IF(AQ119&lt;=0,0,BP119*MAX(1,IF(G119&gt;0,AQ119/G119,1))),AR119*Q119)</f>
        <v/>
      </c>
      <c r="AT119" s="55">
        <f>AQ119*F119</f>
        <v/>
      </c>
      <c r="AU119" s="55">
        <f>ROUNDUP(MAX(I119/IF(BS119&gt;0,BS119,MAX(0.1,N(Cockpit!$O$6))),BV119)/BN119,0)*BN119</f>
        <v/>
      </c>
      <c r="AV119" s="56">
        <f>IF(AS119&gt;0,I119/AS119,-1)</f>
        <v/>
      </c>
      <c r="AW119" s="56">
        <f>IF(AND(OR(BR119="L1",BR119="L23"),AS119&gt;0),SUMIFS($AS$7:$AS$1570,$BR$7:$BR$1570,BR119,$AV$7:$AV$1570,"&gt;"&amp;AV119)+SUMIFS($AS$7:$AS$1570,$BR$7:$BR$1570,BR119,$AV$7:$AV$1570,AV119,$BL$7:$BL$1570,"&lt;="&amp;BL119),"")</f>
        <v/>
      </c>
      <c r="AX119" s="65">
        <f>IF(AW119="",0,MAX(0,MIN(1,(IF(BR119="L1",Parameter!$K$5,Parameter!$K$6+Parameter!$K$7)-(AW119-AS119))/AS119)))</f>
        <v/>
      </c>
      <c r="AY119" s="53">
        <f>IF(AC119&lt;=0,"",IF(BR119="Aussen","Aussenlager",IF(BR119="-","Nicht im Lift",IF(AH119&gt;=1,"Lift",IF(AH119&lt;=0,"Aussenlager","teilweise")))))</f>
        <v/>
      </c>
      <c r="AZ119" s="53">
        <f>IF(AK119&lt;=0,"",IF(BR119="Aussen","Aussenlager",IF(BR119="-","Nicht im Lift",IF(AP119&gt;=1,"Lift",IF(AP119&lt;=0,"Aussenlager","teilweise")))))</f>
        <v/>
      </c>
      <c r="BA119" s="53">
        <f>IF(AS119&lt;=0,"",IF(BR119="Aussen","Aussenlager",IF(BR119="-","Nicht im Lift",IF(AX119&gt;=1,"Lift",IF(AX119&lt;=0,"Aussenlager","teilweise")))))</f>
        <v/>
      </c>
      <c r="BB119" s="53">
        <f>IF(A119="","",IF(BK119=1,"Neu; ","")&amp;IF(AND(BK119=0,BF119&lt;0),"negativer Bestand (Export "&amp;BF119&amp;"); ","")&amp;IF(I119&lt;=0,"Kein Verbrauch; ","")&amp;IF(BO119=1,"Lose – Fläche geschätzt; ","")&amp;IF(G119&gt;AM119,"Überbestand "&amp;ROUND(G119-AM119,0)&amp;" Stk / CHF "&amp;ROUND((G119-AM119)*F119,0)&amp;"; ","")&amp;IF(AND(BT119=1,BU119&lt;BV119),"MAX &lt; MB+LG; ","")&amp;IF(AND(BZ119&gt;0,BY119*10&gt;BZ119),"zu hoch für Tablar; ","")&amp;IF(AND(BK119=0,OR(BT119=1,V119&lt;&gt;"",S119&lt;&gt;"",T119&lt;&gt;"",W119&lt;&gt;"")),"manuell übersteuert; ","")&amp;IF(AND(BO119=0,Q119=0),"Gebinde unbekannt; ","")&amp;IF(AND(BO119=0,N(T119)&lt;=0,N(P119)&lt;=0),"Menge pro Gebinde fehlt (Ist = 1 Gebinde); ","")&amp;BJ119)</f>
        <v/>
      </c>
      <c r="BC119" s="53" t="n"/>
      <c r="BD119" s="53" t="n"/>
      <c r="BE119" s="61" t="n"/>
      <c r="BF119" s="55" t="n">
        <v>45</v>
      </c>
      <c r="BG119" s="55" t="n">
        <v>183</v>
      </c>
      <c r="BH119" s="54" t="n">
        <v>1852.620000000001</v>
      </c>
      <c r="BI119" s="55" t="n">
        <v>1320</v>
      </c>
      <c r="BJ119" s="53" t="inlineStr"/>
      <c r="BK119" s="58" t="n">
        <v>0</v>
      </c>
      <c r="BL119" s="58" t="n">
        <v>119</v>
      </c>
      <c r="BM119" s="53">
        <f>IF(S119&lt;&gt;"",UPPER(TRIM(S119)),IF(O119="","LOSE",O119))</f>
        <v/>
      </c>
      <c r="BN119" s="55">
        <f>IF(BM119="LOSE",1,IF(N(T119)&gt;0,T119,IF(N(P119)&gt;0,P119,MAX(1,G119))))</f>
        <v/>
      </c>
      <c r="BO119" s="58">
        <f>IF(BM119="LOSE",1,0)</f>
        <v/>
      </c>
      <c r="BP119" s="64">
        <f>IF(BO119=0,0,IF(N(R119)&gt;0,R119,IFERROR(VLOOKUP(D119,Parameter!$A$35:$C$64,3,0)+0,0)))</f>
        <v/>
      </c>
      <c r="BQ119" s="53">
        <f>IF(V119&lt;&gt;"",V119,U119)</f>
        <v/>
      </c>
      <c r="BR119" s="53">
        <f>IF(BQ119=1,"L1",IF(OR(BQ119=2,BQ119=3),"L23",IF(BQ119="Aussen","Aussen","-")))</f>
        <v/>
      </c>
      <c r="BS119" s="66">
        <f>IF(N(W119)&gt;0,W119,0)</f>
        <v/>
      </c>
      <c r="BT119" s="58">
        <f>IF(ISNUMBER(Z119),1,0)</f>
        <v/>
      </c>
      <c r="BU119" s="55">
        <f>N(Z119)</f>
        <v/>
      </c>
      <c r="BV119" s="55">
        <f>N(L119)+N(M119)</f>
        <v/>
      </c>
      <c r="BW119" s="55">
        <f>ROUNDUP(G119/BN119,0)</f>
        <v/>
      </c>
      <c r="BX119" s="55">
        <f>ROUNDUP(BU119/BN119,0)</f>
        <v/>
      </c>
      <c r="BY119" s="58">
        <f>IF(BO119=1,0,IFERROR(VLOOKUP(BM119,'Gebinde-Kategorie'!$A$5:$G$45,5,0)+0,0))</f>
        <v/>
      </c>
      <c r="BZ119" s="58">
        <f>IFERROR(IF(OR(BQ119=1,BQ119=2,BQ119=3),N(INDEX(Parameter!$I$5:$I$7,BQ119)),0),0)</f>
        <v/>
      </c>
    </row>
    <row r="120">
      <c r="A120" s="53" t="inlineStr">
        <is>
          <t>100852</t>
        </is>
      </c>
      <c r="B120" s="53" t="inlineStr">
        <is>
          <t>Ventilsitzeinsatz D70</t>
        </is>
      </c>
      <c r="C120" s="53" t="inlineStr">
        <is>
          <t>F</t>
        </is>
      </c>
      <c r="D120" s="53" t="inlineStr">
        <is>
          <t>PAL</t>
        </is>
      </c>
      <c r="E120" s="53" t="inlineStr">
        <is>
          <t>C</t>
        </is>
      </c>
      <c r="F120" s="54" t="n">
        <v>106.7</v>
      </c>
      <c r="G120" s="55">
        <f>MAX(0,IF(Parameter!$B$20="Jahresanfang 2025 + Export",BG120+BF120,BF120))</f>
        <v/>
      </c>
      <c r="H120" s="55">
        <f>G120*F120</f>
        <v/>
      </c>
      <c r="I120" s="55">
        <f>BI120*Parameter!$B$18</f>
        <v/>
      </c>
      <c r="J120" s="56" t="n">
        <v>83.5</v>
      </c>
      <c r="K120" s="57" t="n">
        <v>5.317365269461078</v>
      </c>
      <c r="L120" s="55" t="n">
        <v>25</v>
      </c>
      <c r="M120" s="55" t="n">
        <v>110</v>
      </c>
      <c r="N120" s="58" t="n">
        <v>21</v>
      </c>
      <c r="O120" s="53" t="inlineStr">
        <is>
          <t>S71</t>
        </is>
      </c>
      <c r="P120" s="55" t="n">
        <v>56</v>
      </c>
      <c r="Q120" s="59">
        <f>IF(BO120=1,0,IFERROR(VLOOKUP(BM120,'Gebinde-Kategorie'!$A$5:$G$45,6,0)+0,0))</f>
        <v/>
      </c>
      <c r="R120" s="60" t="n"/>
      <c r="S120" s="61" t="n"/>
      <c r="T120" s="61" t="n"/>
      <c r="U120" s="53">
        <f>IF(A120="","",IF(IFERROR(VLOOKUP(D120,Parameter!$A$35:$C$64,2,0),"Nein")="2+3",IF(ISNUMBER(SEARCH("grosser Artikel",BJ120)),2,IFERROR(VLOOKUP(BM120,Parameter!$F$35:$G$64,2,0),2)),IF(OR(IFERROR(VLOOKUP(D120,Parameter!$A$35:$C$64,2,0),"Nein")="Nein",IFERROR(VLOOKUP(D120,Parameter!$A$35:$C$64,2,0),"Nein")=""),"-",VLOOKUP(D120,Parameter!$A$35:$C$64,2,0))))</f>
        <v/>
      </c>
      <c r="V120" s="61" t="n"/>
      <c r="W120" s="62" t="n"/>
      <c r="X120" s="55">
        <f>AM120</f>
        <v/>
      </c>
      <c r="Y120" s="55">
        <f>MAX(AM120,G120)</f>
        <v/>
      </c>
      <c r="Z120" s="63" t="n"/>
      <c r="AA120" s="55">
        <f>IF(LEFT(Cockpit!$C$5,1)="A",G120,IF(BT120=1,BU120,IF(LEFT(Cockpit!$C$5,1)="B",AE120,MAX(AE120,G120))))</f>
        <v/>
      </c>
      <c r="AB120" s="55">
        <f>IF(BO120=1,0,ROUNDUP(AA120/BN120,0))</f>
        <v/>
      </c>
      <c r="AC120" s="64">
        <f>IF(BO120=1,IF(AA120&lt;=0,0,BP120*MAX(1,IF(G120&gt;0,AA120/G120,1))),AB120*Q120)</f>
        <v/>
      </c>
      <c r="AD120" s="55">
        <f>AA120*F120</f>
        <v/>
      </c>
      <c r="AE120" s="55">
        <f>ROUNDUP(MAX(I120/IF(BS120&gt;0,BS120,MAX(0.1,N(Cockpit!$C$6))),BV120)/BN120,0)*BN120</f>
        <v/>
      </c>
      <c r="AF120" s="56">
        <f>IF(AC120&gt;0,I120/AC120,-1)</f>
        <v/>
      </c>
      <c r="AG120" s="56">
        <f>IF(AND(OR(BR120="L1",BR120="L23"),AC120&gt;0),SUMIFS($AC$7:$AC$1570,$BR$7:$BR$1570,BR120,$AF$7:$AF$1570,"&gt;"&amp;AF120)+SUMIFS($AC$7:$AC$1570,$BR$7:$BR$1570,BR120,$AF$7:$AF$1570,AF120,$BL$7:$BL$1570,"&lt;="&amp;BL120),"")</f>
        <v/>
      </c>
      <c r="AH120" s="65">
        <f>IF(AG120="",0,MAX(0,MIN(1,(IF(BR120="L1",Parameter!$K$5,Parameter!$K$6+Parameter!$K$7)-(AG120-AC120))/AC120)))</f>
        <v/>
      </c>
      <c r="AI120" s="55">
        <f>IF(LEFT(Cockpit!$I$5,1)="A",G120,IF(BT120=1,BU120,IF(LEFT(Cockpit!$I$5,1)="B",AM120,MAX(AM120,G120))))</f>
        <v/>
      </c>
      <c r="AJ120" s="55">
        <f>IF(BO120=1,0,ROUNDUP(AI120/BN120,0))</f>
        <v/>
      </c>
      <c r="AK120" s="64">
        <f>IF(BO120=1,IF(AI120&lt;=0,0,BP120*MAX(1,IF(G120&gt;0,AI120/G120,1))),AJ120*Q120)</f>
        <v/>
      </c>
      <c r="AL120" s="55">
        <f>AI120*F120</f>
        <v/>
      </c>
      <c r="AM120" s="55">
        <f>ROUNDUP(MAX(I120/IF(BS120&gt;0,BS120,MAX(0.1,N(Cockpit!$I$6))),BV120)/BN120,0)*BN120</f>
        <v/>
      </c>
      <c r="AN120" s="56">
        <f>IF(AK120&gt;0,I120/AK120,-1)</f>
        <v/>
      </c>
      <c r="AO120" s="56">
        <f>IF(AND(OR(BR120="L1",BR120="L23"),AK120&gt;0),SUMIFS($AK$7:$AK$1570,$BR$7:$BR$1570,BR120,$AN$7:$AN$1570,"&gt;"&amp;AN120)+SUMIFS($AK$7:$AK$1570,$BR$7:$BR$1570,BR120,$AN$7:$AN$1570,AN120,$BL$7:$BL$1570,"&lt;="&amp;BL120),"")</f>
        <v/>
      </c>
      <c r="AP120" s="65">
        <f>IF(AO120="",0,MAX(0,MIN(1,(IF(BR120="L1",Parameter!$K$5,Parameter!$K$6+Parameter!$K$7)-(AO120-AK120))/AK120)))</f>
        <v/>
      </c>
      <c r="AQ120" s="55">
        <f>IF(LEFT(Cockpit!$O$5,1)="A",G120,IF(BT120=1,BU120,IF(LEFT(Cockpit!$O$5,1)="B",AU120,MAX(AU120,G120))))</f>
        <v/>
      </c>
      <c r="AR120" s="55">
        <f>IF(BO120=1,0,ROUNDUP(AQ120/BN120,0))</f>
        <v/>
      </c>
      <c r="AS120" s="64">
        <f>IF(BO120=1,IF(AQ120&lt;=0,0,BP120*MAX(1,IF(G120&gt;0,AQ120/G120,1))),AR120*Q120)</f>
        <v/>
      </c>
      <c r="AT120" s="55">
        <f>AQ120*F120</f>
        <v/>
      </c>
      <c r="AU120" s="55">
        <f>ROUNDUP(MAX(I120/IF(BS120&gt;0,BS120,MAX(0.1,N(Cockpit!$O$6))),BV120)/BN120,0)*BN120</f>
        <v/>
      </c>
      <c r="AV120" s="56">
        <f>IF(AS120&gt;0,I120/AS120,-1)</f>
        <v/>
      </c>
      <c r="AW120" s="56">
        <f>IF(AND(OR(BR120="L1",BR120="L23"),AS120&gt;0),SUMIFS($AS$7:$AS$1570,$BR$7:$BR$1570,BR120,$AV$7:$AV$1570,"&gt;"&amp;AV120)+SUMIFS($AS$7:$AS$1570,$BR$7:$BR$1570,BR120,$AV$7:$AV$1570,AV120,$BL$7:$BL$1570,"&lt;="&amp;BL120),"")</f>
        <v/>
      </c>
      <c r="AX120" s="65">
        <f>IF(AW120="",0,MAX(0,MIN(1,(IF(BR120="L1",Parameter!$K$5,Parameter!$K$6+Parameter!$K$7)-(AW120-AS120))/AS120)))</f>
        <v/>
      </c>
      <c r="AY120" s="53">
        <f>IF(AC120&lt;=0,"",IF(BR120="Aussen","Aussenlager",IF(BR120="-","Nicht im Lift",IF(AH120&gt;=1,"Lift",IF(AH120&lt;=0,"Aussenlager","teilweise")))))</f>
        <v/>
      </c>
      <c r="AZ120" s="53">
        <f>IF(AK120&lt;=0,"",IF(BR120="Aussen","Aussenlager",IF(BR120="-","Nicht im Lift",IF(AP120&gt;=1,"Lift",IF(AP120&lt;=0,"Aussenlager","teilweise")))))</f>
        <v/>
      </c>
      <c r="BA120" s="53">
        <f>IF(AS120&lt;=0,"",IF(BR120="Aussen","Aussenlager",IF(BR120="-","Nicht im Lift",IF(AX120&gt;=1,"Lift",IF(AX120&lt;=0,"Aussenlager","teilweise")))))</f>
        <v/>
      </c>
      <c r="BB120" s="53">
        <f>IF(A120="","",IF(BK120=1,"Neu; ","")&amp;IF(AND(BK120=0,BF120&lt;0),"negativer Bestand (Export "&amp;BF120&amp;"); ","")&amp;IF(I120&lt;=0,"Kein Verbrauch; ","")&amp;IF(BO120=1,"Lose – Fläche geschätzt; ","")&amp;IF(G120&gt;AM120,"Überbestand "&amp;ROUND(G120-AM120,0)&amp;" Stk / CHF "&amp;ROUND((G120-AM120)*F120,0)&amp;"; ","")&amp;IF(AND(BT120=1,BU120&lt;BV120),"MAX &lt; MB+LG; ","")&amp;IF(AND(BZ120&gt;0,BY120*10&gt;BZ120),"zu hoch für Tablar; ","")&amp;IF(AND(BK120=0,OR(BT120=1,V120&lt;&gt;"",S120&lt;&gt;"",T120&lt;&gt;"",W120&lt;&gt;"")),"manuell übersteuert; ","")&amp;IF(AND(BO120=0,Q120=0),"Gebinde unbekannt; ","")&amp;IF(AND(BO120=0,N(T120)&lt;=0,N(P120)&lt;=0),"Menge pro Gebinde fehlt (Ist = 1 Gebinde); ","")&amp;BJ120)</f>
        <v/>
      </c>
      <c r="BC120" s="53" t="n"/>
      <c r="BD120" s="53" t="n"/>
      <c r="BE120" s="61" t="n"/>
      <c r="BF120" s="55" t="n">
        <v>20</v>
      </c>
      <c r="BG120" s="55" t="n">
        <v>93</v>
      </c>
      <c r="BH120" s="54" t="n">
        <v>1844.199999999972</v>
      </c>
      <c r="BI120" s="55" t="n">
        <v>444</v>
      </c>
      <c r="BJ120" s="53" t="inlineStr">
        <is>
          <t>grosser Artikel &amp; nicht im KTL</t>
        </is>
      </c>
      <c r="BK120" s="58" t="n">
        <v>0</v>
      </c>
      <c r="BL120" s="58" t="n">
        <v>120</v>
      </c>
      <c r="BM120" s="53">
        <f>IF(S120&lt;&gt;"",UPPER(TRIM(S120)),IF(O120="","LOSE",O120))</f>
        <v/>
      </c>
      <c r="BN120" s="55">
        <f>IF(BM120="LOSE",1,IF(N(T120)&gt;0,T120,IF(N(P120)&gt;0,P120,MAX(1,G120))))</f>
        <v/>
      </c>
      <c r="BO120" s="58">
        <f>IF(BM120="LOSE",1,0)</f>
        <v/>
      </c>
      <c r="BP120" s="64">
        <f>IF(BO120=0,0,IF(N(R120)&gt;0,R120,IFERROR(VLOOKUP(D120,Parameter!$A$35:$C$64,3,0)+0,0)))</f>
        <v/>
      </c>
      <c r="BQ120" s="53">
        <f>IF(V120&lt;&gt;"",V120,U120)</f>
        <v/>
      </c>
      <c r="BR120" s="53">
        <f>IF(BQ120=1,"L1",IF(OR(BQ120=2,BQ120=3),"L23",IF(BQ120="Aussen","Aussen","-")))</f>
        <v/>
      </c>
      <c r="BS120" s="66">
        <f>IF(N(W120)&gt;0,W120,0)</f>
        <v/>
      </c>
      <c r="BT120" s="58">
        <f>IF(ISNUMBER(Z120),1,0)</f>
        <v/>
      </c>
      <c r="BU120" s="55">
        <f>N(Z120)</f>
        <v/>
      </c>
      <c r="BV120" s="55">
        <f>N(L120)+N(M120)</f>
        <v/>
      </c>
      <c r="BW120" s="55">
        <f>ROUNDUP(G120/BN120,0)</f>
        <v/>
      </c>
      <c r="BX120" s="55">
        <f>ROUNDUP(BU120/BN120,0)</f>
        <v/>
      </c>
      <c r="BY120" s="58">
        <f>IF(BO120=1,0,IFERROR(VLOOKUP(BM120,'Gebinde-Kategorie'!$A$5:$G$45,5,0)+0,0))</f>
        <v/>
      </c>
      <c r="BZ120" s="58">
        <f>IFERROR(IF(OR(BQ120=1,BQ120=2,BQ120=3),N(INDEX(Parameter!$I$5:$I$7,BQ120)),0),0)</f>
        <v/>
      </c>
    </row>
    <row r="121">
      <c r="A121" s="53" t="inlineStr">
        <is>
          <t>106904</t>
        </is>
      </c>
      <c r="B121" s="53" t="inlineStr">
        <is>
          <t>Sirenenelement</t>
        </is>
      </c>
      <c r="C121" s="53" t="inlineStr">
        <is>
          <t>F</t>
        </is>
      </c>
      <c r="D121" s="53" t="inlineStr">
        <is>
          <t>KTL</t>
        </is>
      </c>
      <c r="E121" s="53" t="inlineStr">
        <is>
          <t>C</t>
        </is>
      </c>
      <c r="F121" s="54" t="n">
        <v>59.19</v>
      </c>
      <c r="G121" s="55">
        <f>MAX(0,IF(Parameter!$B$20="Jahresanfang 2025 + Export",BG121+BF121,BF121))</f>
        <v/>
      </c>
      <c r="H121" s="55">
        <f>G121*F121</f>
        <v/>
      </c>
      <c r="I121" s="55">
        <f>BI121*Parameter!$B$18</f>
        <v/>
      </c>
      <c r="J121" s="56" t="n">
        <v>52</v>
      </c>
      <c r="K121" s="57" t="n">
        <v>1.134615384615385</v>
      </c>
      <c r="L121" s="55" t="n">
        <v>5</v>
      </c>
      <c r="M121" s="55" t="n">
        <v>50</v>
      </c>
      <c r="N121" s="58" t="n">
        <v>28</v>
      </c>
      <c r="O121" s="53" t="inlineStr">
        <is>
          <t>S52</t>
        </is>
      </c>
      <c r="P121" s="55" t="n">
        <v>12</v>
      </c>
      <c r="Q121" s="59">
        <f>IF(BO121=1,0,IFERROR(VLOOKUP(BM121,'Gebinde-Kategorie'!$A$5:$G$45,6,0)+0,0))</f>
        <v/>
      </c>
      <c r="R121" s="60" t="n"/>
      <c r="S121" s="61" t="n"/>
      <c r="T121" s="61" t="n"/>
      <c r="U121" s="53">
        <f>IF(A121="","",IF(IFERROR(VLOOKUP(D121,Parameter!$A$35:$C$64,2,0),"Nein")="2+3",IF(ISNUMBER(SEARCH("grosser Artikel",BJ121)),2,IFERROR(VLOOKUP(BM121,Parameter!$F$35:$G$64,2,0),2)),IF(OR(IFERROR(VLOOKUP(D121,Parameter!$A$35:$C$64,2,0),"Nein")="Nein",IFERROR(VLOOKUP(D121,Parameter!$A$35:$C$64,2,0),"Nein")=""),"-",VLOOKUP(D121,Parameter!$A$35:$C$64,2,0))))</f>
        <v/>
      </c>
      <c r="V121" s="61" t="n"/>
      <c r="W121" s="62" t="n"/>
      <c r="X121" s="55">
        <f>AM121</f>
        <v/>
      </c>
      <c r="Y121" s="55">
        <f>MAX(AM121,G121)</f>
        <v/>
      </c>
      <c r="Z121" s="63" t="n"/>
      <c r="AA121" s="55">
        <f>IF(LEFT(Cockpit!$C$5,1)="A",G121,IF(BT121=1,BU121,IF(LEFT(Cockpit!$C$5,1)="B",AE121,MAX(AE121,G121))))</f>
        <v/>
      </c>
      <c r="AB121" s="55">
        <f>IF(BO121=1,0,ROUNDUP(AA121/BN121,0))</f>
        <v/>
      </c>
      <c r="AC121" s="64">
        <f>IF(BO121=1,IF(AA121&lt;=0,0,BP121*MAX(1,IF(G121&gt;0,AA121/G121,1))),AB121*Q121)</f>
        <v/>
      </c>
      <c r="AD121" s="55">
        <f>AA121*F121</f>
        <v/>
      </c>
      <c r="AE121" s="55">
        <f>ROUNDUP(MAX(I121/IF(BS121&gt;0,BS121,MAX(0.1,N(Cockpit!$C$6))),BV121)/BN121,0)*BN121</f>
        <v/>
      </c>
      <c r="AF121" s="56">
        <f>IF(AC121&gt;0,I121/AC121,-1)</f>
        <v/>
      </c>
      <c r="AG121" s="56">
        <f>IF(AND(OR(BR121="L1",BR121="L23"),AC121&gt;0),SUMIFS($AC$7:$AC$1570,$BR$7:$BR$1570,BR121,$AF$7:$AF$1570,"&gt;"&amp;AF121)+SUMIFS($AC$7:$AC$1570,$BR$7:$BR$1570,BR121,$AF$7:$AF$1570,AF121,$BL$7:$BL$1570,"&lt;="&amp;BL121),"")</f>
        <v/>
      </c>
      <c r="AH121" s="65">
        <f>IF(AG121="",0,MAX(0,MIN(1,(IF(BR121="L1",Parameter!$K$5,Parameter!$K$6+Parameter!$K$7)-(AG121-AC121))/AC121)))</f>
        <v/>
      </c>
      <c r="AI121" s="55">
        <f>IF(LEFT(Cockpit!$I$5,1)="A",G121,IF(BT121=1,BU121,IF(LEFT(Cockpit!$I$5,1)="B",AM121,MAX(AM121,G121))))</f>
        <v/>
      </c>
      <c r="AJ121" s="55">
        <f>IF(BO121=1,0,ROUNDUP(AI121/BN121,0))</f>
        <v/>
      </c>
      <c r="AK121" s="64">
        <f>IF(BO121=1,IF(AI121&lt;=0,0,BP121*MAX(1,IF(G121&gt;0,AI121/G121,1))),AJ121*Q121)</f>
        <v/>
      </c>
      <c r="AL121" s="55">
        <f>AI121*F121</f>
        <v/>
      </c>
      <c r="AM121" s="55">
        <f>ROUNDUP(MAX(I121/IF(BS121&gt;0,BS121,MAX(0.1,N(Cockpit!$I$6))),BV121)/BN121,0)*BN121</f>
        <v/>
      </c>
      <c r="AN121" s="56">
        <f>IF(AK121&gt;0,I121/AK121,-1)</f>
        <v/>
      </c>
      <c r="AO121" s="56">
        <f>IF(AND(OR(BR121="L1",BR121="L23"),AK121&gt;0),SUMIFS($AK$7:$AK$1570,$BR$7:$BR$1570,BR121,$AN$7:$AN$1570,"&gt;"&amp;AN121)+SUMIFS($AK$7:$AK$1570,$BR$7:$BR$1570,BR121,$AN$7:$AN$1570,AN121,$BL$7:$BL$1570,"&lt;="&amp;BL121),"")</f>
        <v/>
      </c>
      <c r="AP121" s="65">
        <f>IF(AO121="",0,MAX(0,MIN(1,(IF(BR121="L1",Parameter!$K$5,Parameter!$K$6+Parameter!$K$7)-(AO121-AK121))/AK121)))</f>
        <v/>
      </c>
      <c r="AQ121" s="55">
        <f>IF(LEFT(Cockpit!$O$5,1)="A",G121,IF(BT121=1,BU121,IF(LEFT(Cockpit!$O$5,1)="B",AU121,MAX(AU121,G121))))</f>
        <v/>
      </c>
      <c r="AR121" s="55">
        <f>IF(BO121=1,0,ROUNDUP(AQ121/BN121,0))</f>
        <v/>
      </c>
      <c r="AS121" s="64">
        <f>IF(BO121=1,IF(AQ121&lt;=0,0,BP121*MAX(1,IF(G121&gt;0,AQ121/G121,1))),AR121*Q121)</f>
        <v/>
      </c>
      <c r="AT121" s="55">
        <f>AQ121*F121</f>
        <v/>
      </c>
      <c r="AU121" s="55">
        <f>ROUNDUP(MAX(I121/IF(BS121&gt;0,BS121,MAX(0.1,N(Cockpit!$O$6))),BV121)/BN121,0)*BN121</f>
        <v/>
      </c>
      <c r="AV121" s="56">
        <f>IF(AS121&gt;0,I121/AS121,-1)</f>
        <v/>
      </c>
      <c r="AW121" s="56">
        <f>IF(AND(OR(BR121="L1",BR121="L23"),AS121&gt;0),SUMIFS($AS$7:$AS$1570,$BR$7:$BR$1570,BR121,$AV$7:$AV$1570,"&gt;"&amp;AV121)+SUMIFS($AS$7:$AS$1570,$BR$7:$BR$1570,BR121,$AV$7:$AV$1570,AV121,$BL$7:$BL$1570,"&lt;="&amp;BL121),"")</f>
        <v/>
      </c>
      <c r="AX121" s="65">
        <f>IF(AW121="",0,MAX(0,MIN(1,(IF(BR121="L1",Parameter!$K$5,Parameter!$K$6+Parameter!$K$7)-(AW121-AS121))/AS121)))</f>
        <v/>
      </c>
      <c r="AY121" s="53">
        <f>IF(AC121&lt;=0,"",IF(BR121="Aussen","Aussenlager",IF(BR121="-","Nicht im Lift",IF(AH121&gt;=1,"Lift",IF(AH121&lt;=0,"Aussenlager","teilweise")))))</f>
        <v/>
      </c>
      <c r="AZ121" s="53">
        <f>IF(AK121&lt;=0,"",IF(BR121="Aussen","Aussenlager",IF(BR121="-","Nicht im Lift",IF(AP121&gt;=1,"Lift",IF(AP121&lt;=0,"Aussenlager","teilweise")))))</f>
        <v/>
      </c>
      <c r="BA121" s="53">
        <f>IF(AS121&lt;=0,"",IF(BR121="Aussen","Aussenlager",IF(BR121="-","Nicht im Lift",IF(AX121&gt;=1,"Lift",IF(AX121&lt;=0,"Aussenlager","teilweise")))))</f>
        <v/>
      </c>
      <c r="BB121" s="53">
        <f>IF(A121="","",IF(BK121=1,"Neu; ","")&amp;IF(AND(BK121=0,BF121&lt;0),"negativer Bestand (Export "&amp;BF121&amp;"); ","")&amp;IF(I121&lt;=0,"Kein Verbrauch; ","")&amp;IF(BO121=1,"Lose – Fläche geschätzt; ","")&amp;IF(G121&gt;AM121,"Überbestand "&amp;ROUND(G121-AM121,0)&amp;" Stk / CHF "&amp;ROUND((G121-AM121)*F121,0)&amp;"; ","")&amp;IF(AND(BT121=1,BU121&lt;BV121),"MAX &lt; MB+LG; ","")&amp;IF(AND(BZ121&gt;0,BY121*10&gt;BZ121),"zu hoch für Tablar; ","")&amp;IF(AND(BK121=0,OR(BT121=1,V121&lt;&gt;"",S121&lt;&gt;"",T121&lt;&gt;"",W121&lt;&gt;"")),"manuell übersteuert; ","")&amp;IF(AND(BO121=0,Q121=0),"Gebinde unbekannt; ","")&amp;IF(AND(BO121=0,N(T121)&lt;=0,N(P121)&lt;=0),"Menge pro Gebinde fehlt (Ist = 1 Gebinde); ","")&amp;BJ121)</f>
        <v/>
      </c>
      <c r="BC121" s="53" t="n"/>
      <c r="BD121" s="53" t="n"/>
      <c r="BE121" s="61" t="n"/>
      <c r="BF121" s="55" t="n">
        <v>31</v>
      </c>
      <c r="BG121" s="55" t="n">
        <v>28</v>
      </c>
      <c r="BH121" s="54" t="n">
        <v>1839.240000000003</v>
      </c>
      <c r="BI121" s="55" t="n">
        <v>59</v>
      </c>
      <c r="BJ121" s="53" t="inlineStr"/>
      <c r="BK121" s="58" t="n">
        <v>0</v>
      </c>
      <c r="BL121" s="58" t="n">
        <v>121</v>
      </c>
      <c r="BM121" s="53">
        <f>IF(S121&lt;&gt;"",UPPER(TRIM(S121)),IF(O121="","LOSE",O121))</f>
        <v/>
      </c>
      <c r="BN121" s="55">
        <f>IF(BM121="LOSE",1,IF(N(T121)&gt;0,T121,IF(N(P121)&gt;0,P121,MAX(1,G121))))</f>
        <v/>
      </c>
      <c r="BO121" s="58">
        <f>IF(BM121="LOSE",1,0)</f>
        <v/>
      </c>
      <c r="BP121" s="64">
        <f>IF(BO121=0,0,IF(N(R121)&gt;0,R121,IFERROR(VLOOKUP(D121,Parameter!$A$35:$C$64,3,0)+0,0)))</f>
        <v/>
      </c>
      <c r="BQ121" s="53">
        <f>IF(V121&lt;&gt;"",V121,U121)</f>
        <v/>
      </c>
      <c r="BR121" s="53">
        <f>IF(BQ121=1,"L1",IF(OR(BQ121=2,BQ121=3),"L23",IF(BQ121="Aussen","Aussen","-")))</f>
        <v/>
      </c>
      <c r="BS121" s="66">
        <f>IF(N(W121)&gt;0,W121,0)</f>
        <v/>
      </c>
      <c r="BT121" s="58">
        <f>IF(ISNUMBER(Z121),1,0)</f>
        <v/>
      </c>
      <c r="BU121" s="55">
        <f>N(Z121)</f>
        <v/>
      </c>
      <c r="BV121" s="55">
        <f>N(L121)+N(M121)</f>
        <v/>
      </c>
      <c r="BW121" s="55">
        <f>ROUNDUP(G121/BN121,0)</f>
        <v/>
      </c>
      <c r="BX121" s="55">
        <f>ROUNDUP(BU121/BN121,0)</f>
        <v/>
      </c>
      <c r="BY121" s="58">
        <f>IF(BO121=1,0,IFERROR(VLOOKUP(BM121,'Gebinde-Kategorie'!$A$5:$G$45,5,0)+0,0))</f>
        <v/>
      </c>
      <c r="BZ121" s="58">
        <f>IFERROR(IF(OR(BQ121=1,BQ121=2,BQ121=3),N(INDEX(Parameter!$I$5:$I$7,BQ121)),0),0)</f>
        <v/>
      </c>
    </row>
    <row r="122">
      <c r="A122" s="53" t="inlineStr">
        <is>
          <t>106727</t>
        </is>
      </c>
      <c r="B122" s="53" t="inlineStr">
        <is>
          <t>PTFE Schlauch DN10</t>
        </is>
      </c>
      <c r="C122" s="53" t="inlineStr">
        <is>
          <t>F</t>
        </is>
      </c>
      <c r="D122" s="53" t="inlineStr">
        <is>
          <t>PAL</t>
        </is>
      </c>
      <c r="E122" s="53" t="inlineStr">
        <is>
          <t>C</t>
        </is>
      </c>
      <c r="F122" s="54" t="n">
        <v>255.71</v>
      </c>
      <c r="G122" s="55">
        <f>MAX(0,IF(Parameter!$B$20="Jahresanfang 2025 + Export",BG122+BF122,BF122))</f>
        <v/>
      </c>
      <c r="H122" s="55">
        <f>G122*F122</f>
        <v/>
      </c>
      <c r="I122" s="55">
        <f>BI122*Parameter!$B$18</f>
        <v/>
      </c>
      <c r="J122" s="56" t="n">
        <v>19</v>
      </c>
      <c r="K122" s="57" t="n">
        <v>2.631578947368421</v>
      </c>
      <c r="L122" s="55" t="n">
        <v>10</v>
      </c>
      <c r="M122" s="55" t="n">
        <v>20</v>
      </c>
      <c r="N122" s="58" t="n">
        <v>40</v>
      </c>
      <c r="O122" s="53" t="inlineStr">
        <is>
          <t>S82</t>
        </is>
      </c>
      <c r="P122" s="55" t="n">
        <v>35</v>
      </c>
      <c r="Q122" s="59">
        <f>IF(BO122=1,0,IFERROR(VLOOKUP(BM122,'Gebinde-Kategorie'!$A$5:$G$45,6,0)+0,0))</f>
        <v/>
      </c>
      <c r="R122" s="60" t="n"/>
      <c r="S122" s="61" t="n"/>
      <c r="T122" s="61" t="n"/>
      <c r="U122" s="53">
        <f>IF(A122="","",IF(IFERROR(VLOOKUP(D122,Parameter!$A$35:$C$64,2,0),"Nein")="2+3",IF(ISNUMBER(SEARCH("grosser Artikel",BJ122)),2,IFERROR(VLOOKUP(BM122,Parameter!$F$35:$G$64,2,0),2)),IF(OR(IFERROR(VLOOKUP(D122,Parameter!$A$35:$C$64,2,0),"Nein")="Nein",IFERROR(VLOOKUP(D122,Parameter!$A$35:$C$64,2,0),"Nein")=""),"-",VLOOKUP(D122,Parameter!$A$35:$C$64,2,0))))</f>
        <v/>
      </c>
      <c r="V122" s="61" t="n"/>
      <c r="W122" s="62" t="n"/>
      <c r="X122" s="55">
        <f>AM122</f>
        <v/>
      </c>
      <c r="Y122" s="55">
        <f>MAX(AM122,G122)</f>
        <v/>
      </c>
      <c r="Z122" s="63" t="n"/>
      <c r="AA122" s="55">
        <f>IF(LEFT(Cockpit!$C$5,1)="A",G122,IF(BT122=1,BU122,IF(LEFT(Cockpit!$C$5,1)="B",AE122,MAX(AE122,G122))))</f>
        <v/>
      </c>
      <c r="AB122" s="55">
        <f>IF(BO122=1,0,ROUNDUP(AA122/BN122,0))</f>
        <v/>
      </c>
      <c r="AC122" s="64">
        <f>IF(BO122=1,IF(AA122&lt;=0,0,BP122*MAX(1,IF(G122&gt;0,AA122/G122,1))),AB122*Q122)</f>
        <v/>
      </c>
      <c r="AD122" s="55">
        <f>AA122*F122</f>
        <v/>
      </c>
      <c r="AE122" s="55">
        <f>ROUNDUP(MAX(I122/IF(BS122&gt;0,BS122,MAX(0.1,N(Cockpit!$C$6))),BV122)/BN122,0)*BN122</f>
        <v/>
      </c>
      <c r="AF122" s="56">
        <f>IF(AC122&gt;0,I122/AC122,-1)</f>
        <v/>
      </c>
      <c r="AG122" s="56">
        <f>IF(AND(OR(BR122="L1",BR122="L23"),AC122&gt;0),SUMIFS($AC$7:$AC$1570,$BR$7:$BR$1570,BR122,$AF$7:$AF$1570,"&gt;"&amp;AF122)+SUMIFS($AC$7:$AC$1570,$BR$7:$BR$1570,BR122,$AF$7:$AF$1570,AF122,$BL$7:$BL$1570,"&lt;="&amp;BL122),"")</f>
        <v/>
      </c>
      <c r="AH122" s="65">
        <f>IF(AG122="",0,MAX(0,MIN(1,(IF(BR122="L1",Parameter!$K$5,Parameter!$K$6+Parameter!$K$7)-(AG122-AC122))/AC122)))</f>
        <v/>
      </c>
      <c r="AI122" s="55">
        <f>IF(LEFT(Cockpit!$I$5,1)="A",G122,IF(BT122=1,BU122,IF(LEFT(Cockpit!$I$5,1)="B",AM122,MAX(AM122,G122))))</f>
        <v/>
      </c>
      <c r="AJ122" s="55">
        <f>IF(BO122=1,0,ROUNDUP(AI122/BN122,0))</f>
        <v/>
      </c>
      <c r="AK122" s="64">
        <f>IF(BO122=1,IF(AI122&lt;=0,0,BP122*MAX(1,IF(G122&gt;0,AI122/G122,1))),AJ122*Q122)</f>
        <v/>
      </c>
      <c r="AL122" s="55">
        <f>AI122*F122</f>
        <v/>
      </c>
      <c r="AM122" s="55">
        <f>ROUNDUP(MAX(I122/IF(BS122&gt;0,BS122,MAX(0.1,N(Cockpit!$I$6))),BV122)/BN122,0)*BN122</f>
        <v/>
      </c>
      <c r="AN122" s="56">
        <f>IF(AK122&gt;0,I122/AK122,-1)</f>
        <v/>
      </c>
      <c r="AO122" s="56">
        <f>IF(AND(OR(BR122="L1",BR122="L23"),AK122&gt;0),SUMIFS($AK$7:$AK$1570,$BR$7:$BR$1570,BR122,$AN$7:$AN$1570,"&gt;"&amp;AN122)+SUMIFS($AK$7:$AK$1570,$BR$7:$BR$1570,BR122,$AN$7:$AN$1570,AN122,$BL$7:$BL$1570,"&lt;="&amp;BL122),"")</f>
        <v/>
      </c>
      <c r="AP122" s="65">
        <f>IF(AO122="",0,MAX(0,MIN(1,(IF(BR122="L1",Parameter!$K$5,Parameter!$K$6+Parameter!$K$7)-(AO122-AK122))/AK122)))</f>
        <v/>
      </c>
      <c r="AQ122" s="55">
        <f>IF(LEFT(Cockpit!$O$5,1)="A",G122,IF(BT122=1,BU122,IF(LEFT(Cockpit!$O$5,1)="B",AU122,MAX(AU122,G122))))</f>
        <v/>
      </c>
      <c r="AR122" s="55">
        <f>IF(BO122=1,0,ROUNDUP(AQ122/BN122,0))</f>
        <v/>
      </c>
      <c r="AS122" s="64">
        <f>IF(BO122=1,IF(AQ122&lt;=0,0,BP122*MAX(1,IF(G122&gt;0,AQ122/G122,1))),AR122*Q122)</f>
        <v/>
      </c>
      <c r="AT122" s="55">
        <f>AQ122*F122</f>
        <v/>
      </c>
      <c r="AU122" s="55">
        <f>ROUNDUP(MAX(I122/IF(BS122&gt;0,BS122,MAX(0.1,N(Cockpit!$O$6))),BV122)/BN122,0)*BN122</f>
        <v/>
      </c>
      <c r="AV122" s="56">
        <f>IF(AS122&gt;0,I122/AS122,-1)</f>
        <v/>
      </c>
      <c r="AW122" s="56">
        <f>IF(AND(OR(BR122="L1",BR122="L23"),AS122&gt;0),SUMIFS($AS$7:$AS$1570,$BR$7:$BR$1570,BR122,$AV$7:$AV$1570,"&gt;"&amp;AV122)+SUMIFS($AS$7:$AS$1570,$BR$7:$BR$1570,BR122,$AV$7:$AV$1570,AV122,$BL$7:$BL$1570,"&lt;="&amp;BL122),"")</f>
        <v/>
      </c>
      <c r="AX122" s="65">
        <f>IF(AW122="",0,MAX(0,MIN(1,(IF(BR122="L1",Parameter!$K$5,Parameter!$K$6+Parameter!$K$7)-(AW122-AS122))/AS122)))</f>
        <v/>
      </c>
      <c r="AY122" s="53">
        <f>IF(AC122&lt;=0,"",IF(BR122="Aussen","Aussenlager",IF(BR122="-","Nicht im Lift",IF(AH122&gt;=1,"Lift",IF(AH122&lt;=0,"Aussenlager","teilweise")))))</f>
        <v/>
      </c>
      <c r="AZ122" s="53">
        <f>IF(AK122&lt;=0,"",IF(BR122="Aussen","Aussenlager",IF(BR122="-","Nicht im Lift",IF(AP122&gt;=1,"Lift",IF(AP122&lt;=0,"Aussenlager","teilweise")))))</f>
        <v/>
      </c>
      <c r="BA122" s="53">
        <f>IF(AS122&lt;=0,"",IF(BR122="Aussen","Aussenlager",IF(BR122="-","Nicht im Lift",IF(AX122&gt;=1,"Lift",IF(AX122&lt;=0,"Aussenlager","teilweise")))))</f>
        <v/>
      </c>
      <c r="BB122" s="53">
        <f>IF(A122="","",IF(BK122=1,"Neu; ","")&amp;IF(AND(BK122=0,BF122&lt;0),"negativer Bestand (Export "&amp;BF122&amp;"); ","")&amp;IF(I122&lt;=0,"Kein Verbrauch; ","")&amp;IF(BO122=1,"Lose – Fläche geschätzt; ","")&amp;IF(G122&gt;AM122,"Überbestand "&amp;ROUND(G122-AM122,0)&amp;" Stk / CHF "&amp;ROUND((G122-AM122)*F122,0)&amp;"; ","")&amp;IF(AND(BT122=1,BU122&lt;BV122),"MAX &lt; MB+LG; ","")&amp;IF(AND(BZ122&gt;0,BY122*10&gt;BZ122),"zu hoch für Tablar; ","")&amp;IF(AND(BK122=0,OR(BT122=1,V122&lt;&gt;"",S122&lt;&gt;"",T122&lt;&gt;"",W122&lt;&gt;"")),"manuell übersteuert; ","")&amp;IF(AND(BO122=0,Q122=0),"Gebinde unbekannt; ","")&amp;IF(AND(BO122=0,N(T122)&lt;=0,N(P122)&lt;=0),"Menge pro Gebinde fehlt (Ist = 1 Gebinde); ","")&amp;BJ122)</f>
        <v/>
      </c>
      <c r="BC122" s="53" t="n"/>
      <c r="BD122" s="53" t="n"/>
      <c r="BE122" s="61" t="n"/>
      <c r="BF122" s="55" t="n">
        <v>7</v>
      </c>
      <c r="BG122" s="55" t="n">
        <v>10</v>
      </c>
      <c r="BH122" s="54" t="n">
        <v>1826.969999999999</v>
      </c>
      <c r="BI122" s="55" t="n">
        <v>50</v>
      </c>
      <c r="BJ122" s="53" t="inlineStr">
        <is>
          <t>Überbestand</t>
        </is>
      </c>
      <c r="BK122" s="58" t="n">
        <v>0</v>
      </c>
      <c r="BL122" s="58" t="n">
        <v>122</v>
      </c>
      <c r="BM122" s="53">
        <f>IF(S122&lt;&gt;"",UPPER(TRIM(S122)),IF(O122="","LOSE",O122))</f>
        <v/>
      </c>
      <c r="BN122" s="55">
        <f>IF(BM122="LOSE",1,IF(N(T122)&gt;0,T122,IF(N(P122)&gt;0,P122,MAX(1,G122))))</f>
        <v/>
      </c>
      <c r="BO122" s="58">
        <f>IF(BM122="LOSE",1,0)</f>
        <v/>
      </c>
      <c r="BP122" s="64">
        <f>IF(BO122=0,0,IF(N(R122)&gt;0,R122,IFERROR(VLOOKUP(D122,Parameter!$A$35:$C$64,3,0)+0,0)))</f>
        <v/>
      </c>
      <c r="BQ122" s="53">
        <f>IF(V122&lt;&gt;"",V122,U122)</f>
        <v/>
      </c>
      <c r="BR122" s="53">
        <f>IF(BQ122=1,"L1",IF(OR(BQ122=2,BQ122=3),"L23",IF(BQ122="Aussen","Aussen","-")))</f>
        <v/>
      </c>
      <c r="BS122" s="66">
        <f>IF(N(W122)&gt;0,W122,0)</f>
        <v/>
      </c>
      <c r="BT122" s="58">
        <f>IF(ISNUMBER(Z122),1,0)</f>
        <v/>
      </c>
      <c r="BU122" s="55">
        <f>N(Z122)</f>
        <v/>
      </c>
      <c r="BV122" s="55">
        <f>N(L122)+N(M122)</f>
        <v/>
      </c>
      <c r="BW122" s="55">
        <f>ROUNDUP(G122/BN122,0)</f>
        <v/>
      </c>
      <c r="BX122" s="55">
        <f>ROUNDUP(BU122/BN122,0)</f>
        <v/>
      </c>
      <c r="BY122" s="58">
        <f>IF(BO122=1,0,IFERROR(VLOOKUP(BM122,'Gebinde-Kategorie'!$A$5:$G$45,5,0)+0,0))</f>
        <v/>
      </c>
      <c r="BZ122" s="58">
        <f>IFERROR(IF(OR(BQ122=1,BQ122=2,BQ122=3),N(INDEX(Parameter!$I$5:$I$7,BQ122)),0),0)</f>
        <v/>
      </c>
    </row>
    <row r="123">
      <c r="A123" s="53" t="inlineStr">
        <is>
          <t>001207</t>
        </is>
      </c>
      <c r="B123" s="53" t="inlineStr">
        <is>
          <t>Holzkiste Luftkompressor See</t>
        </is>
      </c>
      <c r="C123" s="53" t="inlineStr">
        <is>
          <t>G</t>
        </is>
      </c>
      <c r="D123" s="53" t="inlineStr">
        <is>
          <t>PAL</t>
        </is>
      </c>
      <c r="E123" s="53" t="inlineStr">
        <is>
          <t>C</t>
        </is>
      </c>
      <c r="F123" s="54" t="n">
        <v>606.9</v>
      </c>
      <c r="G123" s="55">
        <f>MAX(0,IF(Parameter!$B$20="Jahresanfang 2025 + Export",BG123+BF123,BF123))</f>
        <v/>
      </c>
      <c r="H123" s="55">
        <f>G123*F123</f>
        <v/>
      </c>
      <c r="I123" s="55">
        <f>BI123*Parameter!$B$18</f>
        <v/>
      </c>
      <c r="J123" s="56" t="n">
        <v>1.5</v>
      </c>
      <c r="K123" s="57" t="n">
        <v>4</v>
      </c>
      <c r="L123" s="55" t="n">
        <v>0</v>
      </c>
      <c r="M123" s="55" t="n">
        <v>1</v>
      </c>
      <c r="N123" s="58" t="n">
        <v>14</v>
      </c>
      <c r="O123" s="53" t="inlineStr">
        <is>
          <t>LOSE</t>
        </is>
      </c>
      <c r="P123" s="55" t="n"/>
      <c r="Q123" s="59">
        <f>IF(BO123=1,0,IFERROR(VLOOKUP(BM123,'Gebinde-Kategorie'!$A$5:$G$45,6,0)+0,0))</f>
        <v/>
      </c>
      <c r="R123" s="60" t="n"/>
      <c r="S123" s="61" t="n"/>
      <c r="T123" s="61" t="n"/>
      <c r="U123" s="53">
        <f>IF(A123="","",IF(IFERROR(VLOOKUP(D123,Parameter!$A$35:$C$64,2,0),"Nein")="2+3",IF(ISNUMBER(SEARCH("grosser Artikel",BJ123)),2,IFERROR(VLOOKUP(BM123,Parameter!$F$35:$G$64,2,0),2)),IF(OR(IFERROR(VLOOKUP(D123,Parameter!$A$35:$C$64,2,0),"Nein")="Nein",IFERROR(VLOOKUP(D123,Parameter!$A$35:$C$64,2,0),"Nein")=""),"-",VLOOKUP(D123,Parameter!$A$35:$C$64,2,0))))</f>
        <v/>
      </c>
      <c r="V123" s="61" t="n"/>
      <c r="W123" s="62" t="n"/>
      <c r="X123" s="55">
        <f>AM123</f>
        <v/>
      </c>
      <c r="Y123" s="55">
        <f>MAX(AM123,G123)</f>
        <v/>
      </c>
      <c r="Z123" s="63" t="n"/>
      <c r="AA123" s="55">
        <f>IF(LEFT(Cockpit!$C$5,1)="A",G123,IF(BT123=1,BU123,IF(LEFT(Cockpit!$C$5,1)="B",AE123,MAX(AE123,G123))))</f>
        <v/>
      </c>
      <c r="AB123" s="55">
        <f>IF(BO123=1,0,ROUNDUP(AA123/BN123,0))</f>
        <v/>
      </c>
      <c r="AC123" s="64">
        <f>IF(BO123=1,IF(AA123&lt;=0,0,BP123*MAX(1,IF(G123&gt;0,AA123/G123,1))),AB123*Q123)</f>
        <v/>
      </c>
      <c r="AD123" s="55">
        <f>AA123*F123</f>
        <v/>
      </c>
      <c r="AE123" s="55">
        <f>ROUNDUP(MAX(I123/IF(BS123&gt;0,BS123,MAX(0.1,N(Cockpit!$C$6))),BV123)/BN123,0)*BN123</f>
        <v/>
      </c>
      <c r="AF123" s="56">
        <f>IF(AC123&gt;0,I123/AC123,-1)</f>
        <v/>
      </c>
      <c r="AG123" s="56">
        <f>IF(AND(OR(BR123="L1",BR123="L23"),AC123&gt;0),SUMIFS($AC$7:$AC$1570,$BR$7:$BR$1570,BR123,$AF$7:$AF$1570,"&gt;"&amp;AF123)+SUMIFS($AC$7:$AC$1570,$BR$7:$BR$1570,BR123,$AF$7:$AF$1570,AF123,$BL$7:$BL$1570,"&lt;="&amp;BL123),"")</f>
        <v/>
      </c>
      <c r="AH123" s="65">
        <f>IF(AG123="",0,MAX(0,MIN(1,(IF(BR123="L1",Parameter!$K$5,Parameter!$K$6+Parameter!$K$7)-(AG123-AC123))/AC123)))</f>
        <v/>
      </c>
      <c r="AI123" s="55">
        <f>IF(LEFT(Cockpit!$I$5,1)="A",G123,IF(BT123=1,BU123,IF(LEFT(Cockpit!$I$5,1)="B",AM123,MAX(AM123,G123))))</f>
        <v/>
      </c>
      <c r="AJ123" s="55">
        <f>IF(BO123=1,0,ROUNDUP(AI123/BN123,0))</f>
        <v/>
      </c>
      <c r="AK123" s="64">
        <f>IF(BO123=1,IF(AI123&lt;=0,0,BP123*MAX(1,IF(G123&gt;0,AI123/G123,1))),AJ123*Q123)</f>
        <v/>
      </c>
      <c r="AL123" s="55">
        <f>AI123*F123</f>
        <v/>
      </c>
      <c r="AM123" s="55">
        <f>ROUNDUP(MAX(I123/IF(BS123&gt;0,BS123,MAX(0.1,N(Cockpit!$I$6))),BV123)/BN123,0)*BN123</f>
        <v/>
      </c>
      <c r="AN123" s="56">
        <f>IF(AK123&gt;0,I123/AK123,-1)</f>
        <v/>
      </c>
      <c r="AO123" s="56">
        <f>IF(AND(OR(BR123="L1",BR123="L23"),AK123&gt;0),SUMIFS($AK$7:$AK$1570,$BR$7:$BR$1570,BR123,$AN$7:$AN$1570,"&gt;"&amp;AN123)+SUMIFS($AK$7:$AK$1570,$BR$7:$BR$1570,BR123,$AN$7:$AN$1570,AN123,$BL$7:$BL$1570,"&lt;="&amp;BL123),"")</f>
        <v/>
      </c>
      <c r="AP123" s="65">
        <f>IF(AO123="",0,MAX(0,MIN(1,(IF(BR123="L1",Parameter!$K$5,Parameter!$K$6+Parameter!$K$7)-(AO123-AK123))/AK123)))</f>
        <v/>
      </c>
      <c r="AQ123" s="55">
        <f>IF(LEFT(Cockpit!$O$5,1)="A",G123,IF(BT123=1,BU123,IF(LEFT(Cockpit!$O$5,1)="B",AU123,MAX(AU123,G123))))</f>
        <v/>
      </c>
      <c r="AR123" s="55">
        <f>IF(BO123=1,0,ROUNDUP(AQ123/BN123,0))</f>
        <v/>
      </c>
      <c r="AS123" s="64">
        <f>IF(BO123=1,IF(AQ123&lt;=0,0,BP123*MAX(1,IF(G123&gt;0,AQ123/G123,1))),AR123*Q123)</f>
        <v/>
      </c>
      <c r="AT123" s="55">
        <f>AQ123*F123</f>
        <v/>
      </c>
      <c r="AU123" s="55">
        <f>ROUNDUP(MAX(I123/IF(BS123&gt;0,BS123,MAX(0.1,N(Cockpit!$O$6))),BV123)/BN123,0)*BN123</f>
        <v/>
      </c>
      <c r="AV123" s="56">
        <f>IF(AS123&gt;0,I123/AS123,-1)</f>
        <v/>
      </c>
      <c r="AW123" s="56">
        <f>IF(AND(OR(BR123="L1",BR123="L23"),AS123&gt;0),SUMIFS($AS$7:$AS$1570,$BR$7:$BR$1570,BR123,$AV$7:$AV$1570,"&gt;"&amp;AV123)+SUMIFS($AS$7:$AS$1570,$BR$7:$BR$1570,BR123,$AV$7:$AV$1570,AV123,$BL$7:$BL$1570,"&lt;="&amp;BL123),"")</f>
        <v/>
      </c>
      <c r="AX123" s="65">
        <f>IF(AW123="",0,MAX(0,MIN(1,(IF(BR123="L1",Parameter!$K$5,Parameter!$K$6+Parameter!$K$7)-(AW123-AS123))/AS123)))</f>
        <v/>
      </c>
      <c r="AY123" s="53">
        <f>IF(AC123&lt;=0,"",IF(BR123="Aussen","Aussenlager",IF(BR123="-","Nicht im Lift",IF(AH123&gt;=1,"Lift",IF(AH123&lt;=0,"Aussenlager","teilweise")))))</f>
        <v/>
      </c>
      <c r="AZ123" s="53">
        <f>IF(AK123&lt;=0,"",IF(BR123="Aussen","Aussenlager",IF(BR123="-","Nicht im Lift",IF(AP123&gt;=1,"Lift",IF(AP123&lt;=0,"Aussenlager","teilweise")))))</f>
        <v/>
      </c>
      <c r="BA123" s="53">
        <f>IF(AS123&lt;=0,"",IF(BR123="Aussen","Aussenlager",IF(BR123="-","Nicht im Lift",IF(AX123&gt;=1,"Lift",IF(AX123&lt;=0,"Aussenlager","teilweise")))))</f>
        <v/>
      </c>
      <c r="BB123" s="53">
        <f>IF(A123="","",IF(BK123=1,"Neu; ","")&amp;IF(AND(BK123=0,BF123&lt;0),"negativer Bestand (Export "&amp;BF123&amp;"); ","")&amp;IF(I123&lt;=0,"Kein Verbrauch; ","")&amp;IF(BO123=1,"Lose – Fläche geschätzt; ","")&amp;IF(G123&gt;AM123,"Überbestand "&amp;ROUND(G123-AM123,0)&amp;" Stk / CHF "&amp;ROUND((G123-AM123)*F123,0)&amp;"; ","")&amp;IF(AND(BT123=1,BU123&lt;BV123),"MAX &lt; MB+LG; ","")&amp;IF(AND(BZ123&gt;0,BY123*10&gt;BZ123),"zu hoch für Tablar; ","")&amp;IF(AND(BK123=0,OR(BT123=1,V123&lt;&gt;"",S123&lt;&gt;"",T123&lt;&gt;"",W123&lt;&gt;"")),"manuell übersteuert; ","")&amp;IF(AND(BO123=0,Q123=0),"Gebinde unbekannt; ","")&amp;IF(AND(BO123=0,N(T123)&lt;=0,N(P123)&lt;=0),"Menge pro Gebinde fehlt (Ist = 1 Gebinde); ","")&amp;BJ123)</f>
        <v/>
      </c>
      <c r="BC123" s="53" t="n"/>
      <c r="BD123" s="53" t="n"/>
      <c r="BE123" s="61" t="n"/>
      <c r="BF123" s="55" t="n">
        <v>3</v>
      </c>
      <c r="BG123" s="55" t="n">
        <v>0</v>
      </c>
      <c r="BH123" s="54" t="n">
        <v>1820.7</v>
      </c>
      <c r="BI123" s="55" t="n">
        <v>6</v>
      </c>
      <c r="BJ123" s="53" t="inlineStr"/>
      <c r="BK123" s="58" t="n">
        <v>0</v>
      </c>
      <c r="BL123" s="58" t="n">
        <v>123</v>
      </c>
      <c r="BM123" s="53">
        <f>IF(S123&lt;&gt;"",UPPER(TRIM(S123)),IF(O123="","LOSE",O123))</f>
        <v/>
      </c>
      <c r="BN123" s="55">
        <f>IF(BM123="LOSE",1,IF(N(T123)&gt;0,T123,IF(N(P123)&gt;0,P123,MAX(1,G123))))</f>
        <v/>
      </c>
      <c r="BO123" s="58">
        <f>IF(BM123="LOSE",1,0)</f>
        <v/>
      </c>
      <c r="BP123" s="64">
        <f>IF(BO123=0,0,IF(N(R123)&gt;0,R123,IFERROR(VLOOKUP(D123,Parameter!$A$35:$C$64,3,0)+0,0)))</f>
        <v/>
      </c>
      <c r="BQ123" s="53">
        <f>IF(V123&lt;&gt;"",V123,U123)</f>
        <v/>
      </c>
      <c r="BR123" s="53">
        <f>IF(BQ123=1,"L1",IF(OR(BQ123=2,BQ123=3),"L23",IF(BQ123="Aussen","Aussen","-")))</f>
        <v/>
      </c>
      <c r="BS123" s="66">
        <f>IF(N(W123)&gt;0,W123,0)</f>
        <v/>
      </c>
      <c r="BT123" s="58">
        <f>IF(ISNUMBER(Z123),1,0)</f>
        <v/>
      </c>
      <c r="BU123" s="55">
        <f>N(Z123)</f>
        <v/>
      </c>
      <c r="BV123" s="55">
        <f>N(L123)+N(M123)</f>
        <v/>
      </c>
      <c r="BW123" s="55">
        <f>ROUNDUP(G123/BN123,0)</f>
        <v/>
      </c>
      <c r="BX123" s="55">
        <f>ROUNDUP(BU123/BN123,0)</f>
        <v/>
      </c>
      <c r="BY123" s="58">
        <f>IF(BO123=1,0,IFERROR(VLOOKUP(BM123,'Gebinde-Kategorie'!$A$5:$G$45,5,0)+0,0))</f>
        <v/>
      </c>
      <c r="BZ123" s="58">
        <f>IFERROR(IF(OR(BQ123=1,BQ123=2,BQ123=3),N(INDEX(Parameter!$I$5:$I$7,BQ123)),0),0)</f>
        <v/>
      </c>
    </row>
    <row r="124">
      <c r="A124" s="53" t="inlineStr">
        <is>
          <t>106984</t>
        </is>
      </c>
      <c r="B124" s="53" t="inlineStr">
        <is>
          <t>Patch-Panel, RJ45-Buchse</t>
        </is>
      </c>
      <c r="C124" s="53" t="inlineStr">
        <is>
          <t>F</t>
        </is>
      </c>
      <c r="D124" s="53" t="inlineStr">
        <is>
          <t>KTL</t>
        </is>
      </c>
      <c r="E124" s="53" t="inlineStr">
        <is>
          <t>C</t>
        </is>
      </c>
      <c r="F124" s="54" t="n">
        <v>44.35</v>
      </c>
      <c r="G124" s="55">
        <f>MAX(0,IF(Parameter!$B$20="Jahresanfang 2025 + Export",BG124+BF124,BF124))</f>
        <v/>
      </c>
      <c r="H124" s="55">
        <f>G124*F124</f>
        <v/>
      </c>
      <c r="I124" s="55">
        <f>BI124*Parameter!$B$18</f>
        <v/>
      </c>
      <c r="J124" s="56" t="n">
        <v>10</v>
      </c>
      <c r="K124" s="57" t="n">
        <v>0</v>
      </c>
      <c r="L124" s="55" t="n">
        <v>0</v>
      </c>
      <c r="M124" s="55" t="n">
        <v>1</v>
      </c>
      <c r="N124" s="58" t="n">
        <v>42</v>
      </c>
      <c r="O124" s="53" t="inlineStr">
        <is>
          <t>S51</t>
        </is>
      </c>
      <c r="P124" s="55" t="n">
        <v>50</v>
      </c>
      <c r="Q124" s="59">
        <f>IF(BO124=1,0,IFERROR(VLOOKUP(BM124,'Gebinde-Kategorie'!$A$5:$G$45,6,0)+0,0))</f>
        <v/>
      </c>
      <c r="R124" s="60" t="n"/>
      <c r="S124" s="61" t="n"/>
      <c r="T124" s="61" t="n"/>
      <c r="U124" s="53">
        <f>IF(A124="","",IF(IFERROR(VLOOKUP(D124,Parameter!$A$35:$C$64,2,0),"Nein")="2+3",IF(ISNUMBER(SEARCH("grosser Artikel",BJ124)),2,IFERROR(VLOOKUP(BM124,Parameter!$F$35:$G$64,2,0),2)),IF(OR(IFERROR(VLOOKUP(D124,Parameter!$A$35:$C$64,2,0),"Nein")="Nein",IFERROR(VLOOKUP(D124,Parameter!$A$35:$C$64,2,0),"Nein")=""),"-",VLOOKUP(D124,Parameter!$A$35:$C$64,2,0))))</f>
        <v/>
      </c>
      <c r="V124" s="61" t="n"/>
      <c r="W124" s="62" t="n"/>
      <c r="X124" s="55">
        <f>AM124</f>
        <v/>
      </c>
      <c r="Y124" s="55">
        <f>MAX(AM124,G124)</f>
        <v/>
      </c>
      <c r="Z124" s="63" t="n"/>
      <c r="AA124" s="55">
        <f>IF(LEFT(Cockpit!$C$5,1)="A",G124,IF(BT124=1,BU124,IF(LEFT(Cockpit!$C$5,1)="B",AE124,MAX(AE124,G124))))</f>
        <v/>
      </c>
      <c r="AB124" s="55">
        <f>IF(BO124=1,0,ROUNDUP(AA124/BN124,0))</f>
        <v/>
      </c>
      <c r="AC124" s="64">
        <f>IF(BO124=1,IF(AA124&lt;=0,0,BP124*MAX(1,IF(G124&gt;0,AA124/G124,1))),AB124*Q124)</f>
        <v/>
      </c>
      <c r="AD124" s="55">
        <f>AA124*F124</f>
        <v/>
      </c>
      <c r="AE124" s="55">
        <f>ROUNDUP(MAX(I124/IF(BS124&gt;0,BS124,MAX(0.1,N(Cockpit!$C$6))),BV124)/BN124,0)*BN124</f>
        <v/>
      </c>
      <c r="AF124" s="56">
        <f>IF(AC124&gt;0,I124/AC124,-1)</f>
        <v/>
      </c>
      <c r="AG124" s="56">
        <f>IF(AND(OR(BR124="L1",BR124="L23"),AC124&gt;0),SUMIFS($AC$7:$AC$1570,$BR$7:$BR$1570,BR124,$AF$7:$AF$1570,"&gt;"&amp;AF124)+SUMIFS($AC$7:$AC$1570,$BR$7:$BR$1570,BR124,$AF$7:$AF$1570,AF124,$BL$7:$BL$1570,"&lt;="&amp;BL124),"")</f>
        <v/>
      </c>
      <c r="AH124" s="65">
        <f>IF(AG124="",0,MAX(0,MIN(1,(IF(BR124="L1",Parameter!$K$5,Parameter!$K$6+Parameter!$K$7)-(AG124-AC124))/AC124)))</f>
        <v/>
      </c>
      <c r="AI124" s="55">
        <f>IF(LEFT(Cockpit!$I$5,1)="A",G124,IF(BT124=1,BU124,IF(LEFT(Cockpit!$I$5,1)="B",AM124,MAX(AM124,G124))))</f>
        <v/>
      </c>
      <c r="AJ124" s="55">
        <f>IF(BO124=1,0,ROUNDUP(AI124/BN124,0))</f>
        <v/>
      </c>
      <c r="AK124" s="64">
        <f>IF(BO124=1,IF(AI124&lt;=0,0,BP124*MAX(1,IF(G124&gt;0,AI124/G124,1))),AJ124*Q124)</f>
        <v/>
      </c>
      <c r="AL124" s="55">
        <f>AI124*F124</f>
        <v/>
      </c>
      <c r="AM124" s="55">
        <f>ROUNDUP(MAX(I124/IF(BS124&gt;0,BS124,MAX(0.1,N(Cockpit!$I$6))),BV124)/BN124,0)*BN124</f>
        <v/>
      </c>
      <c r="AN124" s="56">
        <f>IF(AK124&gt;0,I124/AK124,-1)</f>
        <v/>
      </c>
      <c r="AO124" s="56">
        <f>IF(AND(OR(BR124="L1",BR124="L23"),AK124&gt;0),SUMIFS($AK$7:$AK$1570,$BR$7:$BR$1570,BR124,$AN$7:$AN$1570,"&gt;"&amp;AN124)+SUMIFS($AK$7:$AK$1570,$BR$7:$BR$1570,BR124,$AN$7:$AN$1570,AN124,$BL$7:$BL$1570,"&lt;="&amp;BL124),"")</f>
        <v/>
      </c>
      <c r="AP124" s="65">
        <f>IF(AO124="",0,MAX(0,MIN(1,(IF(BR124="L1",Parameter!$K$5,Parameter!$K$6+Parameter!$K$7)-(AO124-AK124))/AK124)))</f>
        <v/>
      </c>
      <c r="AQ124" s="55">
        <f>IF(LEFT(Cockpit!$O$5,1)="A",G124,IF(BT124=1,BU124,IF(LEFT(Cockpit!$O$5,1)="B",AU124,MAX(AU124,G124))))</f>
        <v/>
      </c>
      <c r="AR124" s="55">
        <f>IF(BO124=1,0,ROUNDUP(AQ124/BN124,0))</f>
        <v/>
      </c>
      <c r="AS124" s="64">
        <f>IF(BO124=1,IF(AQ124&lt;=0,0,BP124*MAX(1,IF(G124&gt;0,AQ124/G124,1))),AR124*Q124)</f>
        <v/>
      </c>
      <c r="AT124" s="55">
        <f>AQ124*F124</f>
        <v/>
      </c>
      <c r="AU124" s="55">
        <f>ROUNDUP(MAX(I124/IF(BS124&gt;0,BS124,MAX(0.1,N(Cockpit!$O$6))),BV124)/BN124,0)*BN124</f>
        <v/>
      </c>
      <c r="AV124" s="56">
        <f>IF(AS124&gt;0,I124/AS124,-1)</f>
        <v/>
      </c>
      <c r="AW124" s="56">
        <f>IF(AND(OR(BR124="L1",BR124="L23"),AS124&gt;0),SUMIFS($AS$7:$AS$1570,$BR$7:$BR$1570,BR124,$AV$7:$AV$1570,"&gt;"&amp;AV124)+SUMIFS($AS$7:$AS$1570,$BR$7:$BR$1570,BR124,$AV$7:$AV$1570,AV124,$BL$7:$BL$1570,"&lt;="&amp;BL124),"")</f>
        <v/>
      </c>
      <c r="AX124" s="65">
        <f>IF(AW124="",0,MAX(0,MIN(1,(IF(BR124="L1",Parameter!$K$5,Parameter!$K$6+Parameter!$K$7)-(AW124-AS124))/AS124)))</f>
        <v/>
      </c>
      <c r="AY124" s="53">
        <f>IF(AC124&lt;=0,"",IF(BR124="Aussen","Aussenlager",IF(BR124="-","Nicht im Lift",IF(AH124&gt;=1,"Lift",IF(AH124&lt;=0,"Aussenlager","teilweise")))))</f>
        <v/>
      </c>
      <c r="AZ124" s="53">
        <f>IF(AK124&lt;=0,"",IF(BR124="Aussen","Aussenlager",IF(BR124="-","Nicht im Lift",IF(AP124&gt;=1,"Lift",IF(AP124&lt;=0,"Aussenlager","teilweise")))))</f>
        <v/>
      </c>
      <c r="BA124" s="53">
        <f>IF(AS124&lt;=0,"",IF(BR124="Aussen","Aussenlager",IF(BR124="-","Nicht im Lift",IF(AX124&gt;=1,"Lift",IF(AX124&lt;=0,"Aussenlager","teilweise")))))</f>
        <v/>
      </c>
      <c r="BB124" s="53">
        <f>IF(A124="","",IF(BK124=1,"Neu; ","")&amp;IF(AND(BK124=0,BF124&lt;0),"negativer Bestand (Export "&amp;BF124&amp;"); ","")&amp;IF(I124&lt;=0,"Kein Verbrauch; ","")&amp;IF(BO124=1,"Lose – Fläche geschätzt; ","")&amp;IF(G124&gt;AM124,"Überbestand "&amp;ROUND(G124-AM124,0)&amp;" Stk / CHF "&amp;ROUND((G124-AM124)*F124,0)&amp;"; ","")&amp;IF(AND(BT124=1,BU124&lt;BV124),"MAX &lt; MB+LG; ","")&amp;IF(AND(BZ124&gt;0,BY124*10&gt;BZ124),"zu hoch für Tablar; ","")&amp;IF(AND(BK124=0,OR(BT124=1,V124&lt;&gt;"",S124&lt;&gt;"",T124&lt;&gt;"",W124&lt;&gt;"")),"manuell übersteuert; ","")&amp;IF(AND(BO124=0,Q124=0),"Gebinde unbekannt; ","")&amp;IF(AND(BO124=0,N(T124)&lt;=0,N(P124)&lt;=0),"Menge pro Gebinde fehlt (Ist = 1 Gebinde); ","")&amp;BJ124)</f>
        <v/>
      </c>
      <c r="BC124" s="53" t="n"/>
      <c r="BD124" s="53" t="n"/>
      <c r="BE124" s="61" t="n"/>
      <c r="BF124" s="55" t="n">
        <v>40</v>
      </c>
      <c r="BG124" s="55" t="n">
        <v>10</v>
      </c>
      <c r="BH124" s="54" t="n">
        <v>1795</v>
      </c>
      <c r="BI124" s="55" t="n">
        <v>0</v>
      </c>
      <c r="BJ124" s="53" t="inlineStr"/>
      <c r="BK124" s="58" t="n">
        <v>0</v>
      </c>
      <c r="BL124" s="58" t="n">
        <v>124</v>
      </c>
      <c r="BM124" s="53">
        <f>IF(S124&lt;&gt;"",UPPER(TRIM(S124)),IF(O124="","LOSE",O124))</f>
        <v/>
      </c>
      <c r="BN124" s="55">
        <f>IF(BM124="LOSE",1,IF(N(T124)&gt;0,T124,IF(N(P124)&gt;0,P124,MAX(1,G124))))</f>
        <v/>
      </c>
      <c r="BO124" s="58">
        <f>IF(BM124="LOSE",1,0)</f>
        <v/>
      </c>
      <c r="BP124" s="64">
        <f>IF(BO124=0,0,IF(N(R124)&gt;0,R124,IFERROR(VLOOKUP(D124,Parameter!$A$35:$C$64,3,0)+0,0)))</f>
        <v/>
      </c>
      <c r="BQ124" s="53">
        <f>IF(V124&lt;&gt;"",V124,U124)</f>
        <v/>
      </c>
      <c r="BR124" s="53">
        <f>IF(BQ124=1,"L1",IF(OR(BQ124=2,BQ124=3),"L23",IF(BQ124="Aussen","Aussen","-")))</f>
        <v/>
      </c>
      <c r="BS124" s="66">
        <f>IF(N(W124)&gt;0,W124,0)</f>
        <v/>
      </c>
      <c r="BT124" s="58">
        <f>IF(ISNUMBER(Z124),1,0)</f>
        <v/>
      </c>
      <c r="BU124" s="55">
        <f>N(Z124)</f>
        <v/>
      </c>
      <c r="BV124" s="55">
        <f>N(L124)+N(M124)</f>
        <v/>
      </c>
      <c r="BW124" s="55">
        <f>ROUNDUP(G124/BN124,0)</f>
        <v/>
      </c>
      <c r="BX124" s="55">
        <f>ROUNDUP(BU124/BN124,0)</f>
        <v/>
      </c>
      <c r="BY124" s="58">
        <f>IF(BO124=1,0,IFERROR(VLOOKUP(BM124,'Gebinde-Kategorie'!$A$5:$G$45,5,0)+0,0))</f>
        <v/>
      </c>
      <c r="BZ124" s="58">
        <f>IFERROR(IF(OR(BQ124=1,BQ124=2,BQ124=3),N(INDEX(Parameter!$I$5:$I$7,BQ124)),0),0)</f>
        <v/>
      </c>
    </row>
    <row r="125">
      <c r="A125" s="53" t="inlineStr">
        <is>
          <t>108527</t>
        </is>
      </c>
      <c r="B125" s="53" t="inlineStr">
        <is>
          <t>Spülluftblock BASE / SUB komplett</t>
        </is>
      </c>
      <c r="C125" s="53" t="inlineStr">
        <is>
          <t>F</t>
        </is>
      </c>
      <c r="D125" s="53" t="inlineStr">
        <is>
          <t>PAL</t>
        </is>
      </c>
      <c r="E125" s="53" t="inlineStr">
        <is>
          <t>C</t>
        </is>
      </c>
      <c r="F125" s="54" t="n">
        <v>583</v>
      </c>
      <c r="G125" s="55">
        <f>MAX(0,IF(Parameter!$B$20="Jahresanfang 2025 + Export",BG125+BF125,BF125))</f>
        <v/>
      </c>
      <c r="H125" s="55">
        <f>G125*F125</f>
        <v/>
      </c>
      <c r="I125" s="55">
        <f>BI125*Parameter!$B$18</f>
        <v/>
      </c>
      <c r="J125" s="56" t="n">
        <v>1.5</v>
      </c>
      <c r="K125" s="57" t="n">
        <v>1.333333333333333</v>
      </c>
      <c r="L125" s="55" t="n">
        <v>0</v>
      </c>
      <c r="M125" s="55" t="n">
        <v>1</v>
      </c>
      <c r="N125" s="58" t="n">
        <v>35</v>
      </c>
      <c r="O125" s="53" t="inlineStr">
        <is>
          <t>S61</t>
        </is>
      </c>
      <c r="P125" s="55" t="n">
        <v>7</v>
      </c>
      <c r="Q125" s="59">
        <f>IF(BO125=1,0,IFERROR(VLOOKUP(BM125,'Gebinde-Kategorie'!$A$5:$G$45,6,0)+0,0))</f>
        <v/>
      </c>
      <c r="R125" s="60" t="n"/>
      <c r="S125" s="61" t="n"/>
      <c r="T125" s="61" t="n"/>
      <c r="U125" s="53">
        <f>IF(A125="","",IF(IFERROR(VLOOKUP(D125,Parameter!$A$35:$C$64,2,0),"Nein")="2+3",IF(ISNUMBER(SEARCH("grosser Artikel",BJ125)),2,IFERROR(VLOOKUP(BM125,Parameter!$F$35:$G$64,2,0),2)),IF(OR(IFERROR(VLOOKUP(D125,Parameter!$A$35:$C$64,2,0),"Nein")="Nein",IFERROR(VLOOKUP(D125,Parameter!$A$35:$C$64,2,0),"Nein")=""),"-",VLOOKUP(D125,Parameter!$A$35:$C$64,2,0))))</f>
        <v/>
      </c>
      <c r="V125" s="61" t="n"/>
      <c r="W125" s="62" t="n"/>
      <c r="X125" s="55">
        <f>AM125</f>
        <v/>
      </c>
      <c r="Y125" s="55">
        <f>MAX(AM125,G125)</f>
        <v/>
      </c>
      <c r="Z125" s="63" t="n"/>
      <c r="AA125" s="55">
        <f>IF(LEFT(Cockpit!$C$5,1)="A",G125,IF(BT125=1,BU125,IF(LEFT(Cockpit!$C$5,1)="B",AE125,MAX(AE125,G125))))</f>
        <v/>
      </c>
      <c r="AB125" s="55">
        <f>IF(BO125=1,0,ROUNDUP(AA125/BN125,0))</f>
        <v/>
      </c>
      <c r="AC125" s="64">
        <f>IF(BO125=1,IF(AA125&lt;=0,0,BP125*MAX(1,IF(G125&gt;0,AA125/G125,1))),AB125*Q125)</f>
        <v/>
      </c>
      <c r="AD125" s="55">
        <f>AA125*F125</f>
        <v/>
      </c>
      <c r="AE125" s="55">
        <f>ROUNDUP(MAX(I125/IF(BS125&gt;0,BS125,MAX(0.1,N(Cockpit!$C$6))),BV125)/BN125,0)*BN125</f>
        <v/>
      </c>
      <c r="AF125" s="56">
        <f>IF(AC125&gt;0,I125/AC125,-1)</f>
        <v/>
      </c>
      <c r="AG125" s="56">
        <f>IF(AND(OR(BR125="L1",BR125="L23"),AC125&gt;0),SUMIFS($AC$7:$AC$1570,$BR$7:$BR$1570,BR125,$AF$7:$AF$1570,"&gt;"&amp;AF125)+SUMIFS($AC$7:$AC$1570,$BR$7:$BR$1570,BR125,$AF$7:$AF$1570,AF125,$BL$7:$BL$1570,"&lt;="&amp;BL125),"")</f>
        <v/>
      </c>
      <c r="AH125" s="65">
        <f>IF(AG125="",0,MAX(0,MIN(1,(IF(BR125="L1",Parameter!$K$5,Parameter!$K$6+Parameter!$K$7)-(AG125-AC125))/AC125)))</f>
        <v/>
      </c>
      <c r="AI125" s="55">
        <f>IF(LEFT(Cockpit!$I$5,1)="A",G125,IF(BT125=1,BU125,IF(LEFT(Cockpit!$I$5,1)="B",AM125,MAX(AM125,G125))))</f>
        <v/>
      </c>
      <c r="AJ125" s="55">
        <f>IF(BO125=1,0,ROUNDUP(AI125/BN125,0))</f>
        <v/>
      </c>
      <c r="AK125" s="64">
        <f>IF(BO125=1,IF(AI125&lt;=0,0,BP125*MAX(1,IF(G125&gt;0,AI125/G125,1))),AJ125*Q125)</f>
        <v/>
      </c>
      <c r="AL125" s="55">
        <f>AI125*F125</f>
        <v/>
      </c>
      <c r="AM125" s="55">
        <f>ROUNDUP(MAX(I125/IF(BS125&gt;0,BS125,MAX(0.1,N(Cockpit!$I$6))),BV125)/BN125,0)*BN125</f>
        <v/>
      </c>
      <c r="AN125" s="56">
        <f>IF(AK125&gt;0,I125/AK125,-1)</f>
        <v/>
      </c>
      <c r="AO125" s="56">
        <f>IF(AND(OR(BR125="L1",BR125="L23"),AK125&gt;0),SUMIFS($AK$7:$AK$1570,$BR$7:$BR$1570,BR125,$AN$7:$AN$1570,"&gt;"&amp;AN125)+SUMIFS($AK$7:$AK$1570,$BR$7:$BR$1570,BR125,$AN$7:$AN$1570,AN125,$BL$7:$BL$1570,"&lt;="&amp;BL125),"")</f>
        <v/>
      </c>
      <c r="AP125" s="65">
        <f>IF(AO125="",0,MAX(0,MIN(1,(IF(BR125="L1",Parameter!$K$5,Parameter!$K$6+Parameter!$K$7)-(AO125-AK125))/AK125)))</f>
        <v/>
      </c>
      <c r="AQ125" s="55">
        <f>IF(LEFT(Cockpit!$O$5,1)="A",G125,IF(BT125=1,BU125,IF(LEFT(Cockpit!$O$5,1)="B",AU125,MAX(AU125,G125))))</f>
        <v/>
      </c>
      <c r="AR125" s="55">
        <f>IF(BO125=1,0,ROUNDUP(AQ125/BN125,0))</f>
        <v/>
      </c>
      <c r="AS125" s="64">
        <f>IF(BO125=1,IF(AQ125&lt;=0,0,BP125*MAX(1,IF(G125&gt;0,AQ125/G125,1))),AR125*Q125)</f>
        <v/>
      </c>
      <c r="AT125" s="55">
        <f>AQ125*F125</f>
        <v/>
      </c>
      <c r="AU125" s="55">
        <f>ROUNDUP(MAX(I125/IF(BS125&gt;0,BS125,MAX(0.1,N(Cockpit!$O$6))),BV125)/BN125,0)*BN125</f>
        <v/>
      </c>
      <c r="AV125" s="56">
        <f>IF(AS125&gt;0,I125/AS125,-1)</f>
        <v/>
      </c>
      <c r="AW125" s="56">
        <f>IF(AND(OR(BR125="L1",BR125="L23"),AS125&gt;0),SUMIFS($AS$7:$AS$1570,$BR$7:$BR$1570,BR125,$AV$7:$AV$1570,"&gt;"&amp;AV125)+SUMIFS($AS$7:$AS$1570,$BR$7:$BR$1570,BR125,$AV$7:$AV$1570,AV125,$BL$7:$BL$1570,"&lt;="&amp;BL125),"")</f>
        <v/>
      </c>
      <c r="AX125" s="65">
        <f>IF(AW125="",0,MAX(0,MIN(1,(IF(BR125="L1",Parameter!$K$5,Parameter!$K$6+Parameter!$K$7)-(AW125-AS125))/AS125)))</f>
        <v/>
      </c>
      <c r="AY125" s="53">
        <f>IF(AC125&lt;=0,"",IF(BR125="Aussen","Aussenlager",IF(BR125="-","Nicht im Lift",IF(AH125&gt;=1,"Lift",IF(AH125&lt;=0,"Aussenlager","teilweise")))))</f>
        <v/>
      </c>
      <c r="AZ125" s="53">
        <f>IF(AK125&lt;=0,"",IF(BR125="Aussen","Aussenlager",IF(BR125="-","Nicht im Lift",IF(AP125&gt;=1,"Lift",IF(AP125&lt;=0,"Aussenlager","teilweise")))))</f>
        <v/>
      </c>
      <c r="BA125" s="53">
        <f>IF(AS125&lt;=0,"",IF(BR125="Aussen","Aussenlager",IF(BR125="-","Nicht im Lift",IF(AX125&gt;=1,"Lift",IF(AX125&lt;=0,"Aussenlager","teilweise")))))</f>
        <v/>
      </c>
      <c r="BB125" s="53">
        <f>IF(A125="","",IF(BK125=1,"Neu; ","")&amp;IF(AND(BK125=0,BF125&lt;0),"negativer Bestand (Export "&amp;BF125&amp;"); ","")&amp;IF(I125&lt;=0,"Kein Verbrauch; ","")&amp;IF(BO125=1,"Lose – Fläche geschätzt; ","")&amp;IF(G125&gt;AM125,"Überbestand "&amp;ROUND(G125-AM125,0)&amp;" Stk / CHF "&amp;ROUND((G125-AM125)*F125,0)&amp;"; ","")&amp;IF(AND(BT125=1,BU125&lt;BV125),"MAX &lt; MB+LG; ","")&amp;IF(AND(BZ125&gt;0,BY125*10&gt;BZ125),"zu hoch für Tablar; ","")&amp;IF(AND(BK125=0,OR(BT125=1,V125&lt;&gt;"",S125&lt;&gt;"",T125&lt;&gt;"",W125&lt;&gt;"")),"manuell übersteuert; ","")&amp;IF(AND(BO125=0,Q125=0),"Gebinde unbekannt; ","")&amp;IF(AND(BO125=0,N(T125)&lt;=0,N(P125)&lt;=0),"Menge pro Gebinde fehlt (Ist = 1 Gebinde); ","")&amp;BJ125)</f>
        <v/>
      </c>
      <c r="BC125" s="53" t="n"/>
      <c r="BD125" s="53" t="n"/>
      <c r="BE125" s="61" t="n"/>
      <c r="BF125" s="55" t="n">
        <v>3</v>
      </c>
      <c r="BG125" s="55" t="n">
        <v>2</v>
      </c>
      <c r="BH125" s="54" t="n">
        <v>1783</v>
      </c>
      <c r="BI125" s="55" t="n">
        <v>2</v>
      </c>
      <c r="BJ125" s="53" t="inlineStr"/>
      <c r="BK125" s="58" t="n">
        <v>0</v>
      </c>
      <c r="BL125" s="58" t="n">
        <v>125</v>
      </c>
      <c r="BM125" s="53">
        <f>IF(S125&lt;&gt;"",UPPER(TRIM(S125)),IF(O125="","LOSE",O125))</f>
        <v/>
      </c>
      <c r="BN125" s="55">
        <f>IF(BM125="LOSE",1,IF(N(T125)&gt;0,T125,IF(N(P125)&gt;0,P125,MAX(1,G125))))</f>
        <v/>
      </c>
      <c r="BO125" s="58">
        <f>IF(BM125="LOSE",1,0)</f>
        <v/>
      </c>
      <c r="BP125" s="64">
        <f>IF(BO125=0,0,IF(N(R125)&gt;0,R125,IFERROR(VLOOKUP(D125,Parameter!$A$35:$C$64,3,0)+0,0)))</f>
        <v/>
      </c>
      <c r="BQ125" s="53">
        <f>IF(V125&lt;&gt;"",V125,U125)</f>
        <v/>
      </c>
      <c r="BR125" s="53">
        <f>IF(BQ125=1,"L1",IF(OR(BQ125=2,BQ125=3),"L23",IF(BQ125="Aussen","Aussen","-")))</f>
        <v/>
      </c>
      <c r="BS125" s="66">
        <f>IF(N(W125)&gt;0,W125,0)</f>
        <v/>
      </c>
      <c r="BT125" s="58">
        <f>IF(ISNUMBER(Z125),1,0)</f>
        <v/>
      </c>
      <c r="BU125" s="55">
        <f>N(Z125)</f>
        <v/>
      </c>
      <c r="BV125" s="55">
        <f>N(L125)+N(M125)</f>
        <v/>
      </c>
      <c r="BW125" s="55">
        <f>ROUNDUP(G125/BN125,0)</f>
        <v/>
      </c>
      <c r="BX125" s="55">
        <f>ROUNDUP(BU125/BN125,0)</f>
        <v/>
      </c>
      <c r="BY125" s="58">
        <f>IF(BO125=1,0,IFERROR(VLOOKUP(BM125,'Gebinde-Kategorie'!$A$5:$G$45,5,0)+0,0))</f>
        <v/>
      </c>
      <c r="BZ125" s="58">
        <f>IFERROR(IF(OR(BQ125=1,BQ125=2,BQ125=3),N(INDEX(Parameter!$I$5:$I$7,BQ125)),0),0)</f>
        <v/>
      </c>
    </row>
    <row r="126">
      <c r="A126" s="53" t="inlineStr">
        <is>
          <t>108945</t>
        </is>
      </c>
      <c r="B126" s="53" t="inlineStr">
        <is>
          <t>Kranbahnprofil</t>
        </is>
      </c>
      <c r="C126" s="53" t="inlineStr">
        <is>
          <t>F</t>
        </is>
      </c>
      <c r="D126" s="53" t="inlineStr">
        <is>
          <t>LIFT1</t>
        </is>
      </c>
      <c r="E126" s="53" t="inlineStr">
        <is>
          <t>C</t>
        </is>
      </c>
      <c r="F126" s="54" t="n">
        <v>222.71</v>
      </c>
      <c r="G126" s="55">
        <f>MAX(0,IF(Parameter!$B$20="Jahresanfang 2025 + Export",BG126+BF126,BF126))</f>
        <v/>
      </c>
      <c r="H126" s="55">
        <f>G126*F126</f>
        <v/>
      </c>
      <c r="I126" s="55">
        <f>BI126*Parameter!$B$18</f>
        <v/>
      </c>
      <c r="J126" s="56" t="n">
        <v>4</v>
      </c>
      <c r="K126" s="57" t="n">
        <v>0</v>
      </c>
      <c r="L126" s="55" t="n">
        <v>0</v>
      </c>
      <c r="M126" s="55" t="n">
        <v>1</v>
      </c>
      <c r="N126" s="58" t="n">
        <v>42</v>
      </c>
      <c r="O126" s="53" t="inlineStr">
        <is>
          <t>LOSE</t>
        </is>
      </c>
      <c r="P126" s="55" t="n"/>
      <c r="Q126" s="59">
        <f>IF(BO126=1,0,IFERROR(VLOOKUP(BM126,'Gebinde-Kategorie'!$A$5:$G$45,6,0)+0,0))</f>
        <v/>
      </c>
      <c r="R126" s="60" t="n"/>
      <c r="S126" s="61" t="n"/>
      <c r="T126" s="61" t="n"/>
      <c r="U126" s="53">
        <f>IF(A126="","",IF(IFERROR(VLOOKUP(D126,Parameter!$A$35:$C$64,2,0),"Nein")="2+3",IF(ISNUMBER(SEARCH("grosser Artikel",BJ126)),2,IFERROR(VLOOKUP(BM126,Parameter!$F$35:$G$64,2,0),2)),IF(OR(IFERROR(VLOOKUP(D126,Parameter!$A$35:$C$64,2,0),"Nein")="Nein",IFERROR(VLOOKUP(D126,Parameter!$A$35:$C$64,2,0),"Nein")=""),"-",VLOOKUP(D126,Parameter!$A$35:$C$64,2,0))))</f>
        <v/>
      </c>
      <c r="V126" s="61" t="n"/>
      <c r="W126" s="62" t="n"/>
      <c r="X126" s="55">
        <f>AM126</f>
        <v/>
      </c>
      <c r="Y126" s="55">
        <f>MAX(AM126,G126)</f>
        <v/>
      </c>
      <c r="Z126" s="63" t="n"/>
      <c r="AA126" s="55">
        <f>IF(LEFT(Cockpit!$C$5,1)="A",G126,IF(BT126=1,BU126,IF(LEFT(Cockpit!$C$5,1)="B",AE126,MAX(AE126,G126))))</f>
        <v/>
      </c>
      <c r="AB126" s="55">
        <f>IF(BO126=1,0,ROUNDUP(AA126/BN126,0))</f>
        <v/>
      </c>
      <c r="AC126" s="64">
        <f>IF(BO126=1,IF(AA126&lt;=0,0,BP126*MAX(1,IF(G126&gt;0,AA126/G126,1))),AB126*Q126)</f>
        <v/>
      </c>
      <c r="AD126" s="55">
        <f>AA126*F126</f>
        <v/>
      </c>
      <c r="AE126" s="55">
        <f>ROUNDUP(MAX(I126/IF(BS126&gt;0,BS126,MAX(0.1,N(Cockpit!$C$6))),BV126)/BN126,0)*BN126</f>
        <v/>
      </c>
      <c r="AF126" s="56">
        <f>IF(AC126&gt;0,I126/AC126,-1)</f>
        <v/>
      </c>
      <c r="AG126" s="56">
        <f>IF(AND(OR(BR126="L1",BR126="L23"),AC126&gt;0),SUMIFS($AC$7:$AC$1570,$BR$7:$BR$1570,BR126,$AF$7:$AF$1570,"&gt;"&amp;AF126)+SUMIFS($AC$7:$AC$1570,$BR$7:$BR$1570,BR126,$AF$7:$AF$1570,AF126,$BL$7:$BL$1570,"&lt;="&amp;BL126),"")</f>
        <v/>
      </c>
      <c r="AH126" s="65">
        <f>IF(AG126="",0,MAX(0,MIN(1,(IF(BR126="L1",Parameter!$K$5,Parameter!$K$6+Parameter!$K$7)-(AG126-AC126))/AC126)))</f>
        <v/>
      </c>
      <c r="AI126" s="55">
        <f>IF(LEFT(Cockpit!$I$5,1)="A",G126,IF(BT126=1,BU126,IF(LEFT(Cockpit!$I$5,1)="B",AM126,MAX(AM126,G126))))</f>
        <v/>
      </c>
      <c r="AJ126" s="55">
        <f>IF(BO126=1,0,ROUNDUP(AI126/BN126,0))</f>
        <v/>
      </c>
      <c r="AK126" s="64">
        <f>IF(BO126=1,IF(AI126&lt;=0,0,BP126*MAX(1,IF(G126&gt;0,AI126/G126,1))),AJ126*Q126)</f>
        <v/>
      </c>
      <c r="AL126" s="55">
        <f>AI126*F126</f>
        <v/>
      </c>
      <c r="AM126" s="55">
        <f>ROUNDUP(MAX(I126/IF(BS126&gt;0,BS126,MAX(0.1,N(Cockpit!$I$6))),BV126)/BN126,0)*BN126</f>
        <v/>
      </c>
      <c r="AN126" s="56">
        <f>IF(AK126&gt;0,I126/AK126,-1)</f>
        <v/>
      </c>
      <c r="AO126" s="56">
        <f>IF(AND(OR(BR126="L1",BR126="L23"),AK126&gt;0),SUMIFS($AK$7:$AK$1570,$BR$7:$BR$1570,BR126,$AN$7:$AN$1570,"&gt;"&amp;AN126)+SUMIFS($AK$7:$AK$1570,$BR$7:$BR$1570,BR126,$AN$7:$AN$1570,AN126,$BL$7:$BL$1570,"&lt;="&amp;BL126),"")</f>
        <v/>
      </c>
      <c r="AP126" s="65">
        <f>IF(AO126="",0,MAX(0,MIN(1,(IF(BR126="L1",Parameter!$K$5,Parameter!$K$6+Parameter!$K$7)-(AO126-AK126))/AK126)))</f>
        <v/>
      </c>
      <c r="AQ126" s="55">
        <f>IF(LEFT(Cockpit!$O$5,1)="A",G126,IF(BT126=1,BU126,IF(LEFT(Cockpit!$O$5,1)="B",AU126,MAX(AU126,G126))))</f>
        <v/>
      </c>
      <c r="AR126" s="55">
        <f>IF(BO126=1,0,ROUNDUP(AQ126/BN126,0))</f>
        <v/>
      </c>
      <c r="AS126" s="64">
        <f>IF(BO126=1,IF(AQ126&lt;=0,0,BP126*MAX(1,IF(G126&gt;0,AQ126/G126,1))),AR126*Q126)</f>
        <v/>
      </c>
      <c r="AT126" s="55">
        <f>AQ126*F126</f>
        <v/>
      </c>
      <c r="AU126" s="55">
        <f>ROUNDUP(MAX(I126/IF(BS126&gt;0,BS126,MAX(0.1,N(Cockpit!$O$6))),BV126)/BN126,0)*BN126</f>
        <v/>
      </c>
      <c r="AV126" s="56">
        <f>IF(AS126&gt;0,I126/AS126,-1)</f>
        <v/>
      </c>
      <c r="AW126" s="56">
        <f>IF(AND(OR(BR126="L1",BR126="L23"),AS126&gt;0),SUMIFS($AS$7:$AS$1570,$BR$7:$BR$1570,BR126,$AV$7:$AV$1570,"&gt;"&amp;AV126)+SUMIFS($AS$7:$AS$1570,$BR$7:$BR$1570,BR126,$AV$7:$AV$1570,AV126,$BL$7:$BL$1570,"&lt;="&amp;BL126),"")</f>
        <v/>
      </c>
      <c r="AX126" s="65">
        <f>IF(AW126="",0,MAX(0,MIN(1,(IF(BR126="L1",Parameter!$K$5,Parameter!$K$6+Parameter!$K$7)-(AW126-AS126))/AS126)))</f>
        <v/>
      </c>
      <c r="AY126" s="53">
        <f>IF(AC126&lt;=0,"",IF(BR126="Aussen","Aussenlager",IF(BR126="-","Nicht im Lift",IF(AH126&gt;=1,"Lift",IF(AH126&lt;=0,"Aussenlager","teilweise")))))</f>
        <v/>
      </c>
      <c r="AZ126" s="53">
        <f>IF(AK126&lt;=0,"",IF(BR126="Aussen","Aussenlager",IF(BR126="-","Nicht im Lift",IF(AP126&gt;=1,"Lift",IF(AP126&lt;=0,"Aussenlager","teilweise")))))</f>
        <v/>
      </c>
      <c r="BA126" s="53">
        <f>IF(AS126&lt;=0,"",IF(BR126="Aussen","Aussenlager",IF(BR126="-","Nicht im Lift",IF(AX126&gt;=1,"Lift",IF(AX126&lt;=0,"Aussenlager","teilweise")))))</f>
        <v/>
      </c>
      <c r="BB126" s="53">
        <f>IF(A126="","",IF(BK126=1,"Neu; ","")&amp;IF(AND(BK126=0,BF126&lt;0),"negativer Bestand (Export "&amp;BF126&amp;"); ","")&amp;IF(I126&lt;=0,"Kein Verbrauch; ","")&amp;IF(BO126=1,"Lose – Fläche geschätzt; ","")&amp;IF(G126&gt;AM126,"Überbestand "&amp;ROUND(G126-AM126,0)&amp;" Stk / CHF "&amp;ROUND((G126-AM126)*F126,0)&amp;"; ","")&amp;IF(AND(BT126=1,BU126&lt;BV126),"MAX &lt; MB+LG; ","")&amp;IF(AND(BZ126&gt;0,BY126*10&gt;BZ126),"zu hoch für Tablar; ","")&amp;IF(AND(BK126=0,OR(BT126=1,V126&lt;&gt;"",S126&lt;&gt;"",T126&lt;&gt;"",W126&lt;&gt;"")),"manuell übersteuert; ","")&amp;IF(AND(BO126=0,Q126=0),"Gebinde unbekannt; ","")&amp;IF(AND(BO126=0,N(T126)&lt;=0,N(P126)&lt;=0),"Menge pro Gebinde fehlt (Ist = 1 Gebinde); ","")&amp;BJ126)</f>
        <v/>
      </c>
      <c r="BC126" s="53" t="n"/>
      <c r="BD126" s="53" t="n"/>
      <c r="BE126" s="61" t="n"/>
      <c r="BF126" s="55" t="n">
        <v>8</v>
      </c>
      <c r="BG126" s="55" t="n">
        <v>0</v>
      </c>
      <c r="BH126" s="54" t="n">
        <v>1781.68</v>
      </c>
      <c r="BI126" s="55" t="n">
        <v>0</v>
      </c>
      <c r="BJ126" s="53" t="inlineStr"/>
      <c r="BK126" s="58" t="n">
        <v>0</v>
      </c>
      <c r="BL126" s="58" t="n">
        <v>126</v>
      </c>
      <c r="BM126" s="53">
        <f>IF(S126&lt;&gt;"",UPPER(TRIM(S126)),IF(O126="","LOSE",O126))</f>
        <v/>
      </c>
      <c r="BN126" s="55">
        <f>IF(BM126="LOSE",1,IF(N(T126)&gt;0,T126,IF(N(P126)&gt;0,P126,MAX(1,G126))))</f>
        <v/>
      </c>
      <c r="BO126" s="58">
        <f>IF(BM126="LOSE",1,0)</f>
        <v/>
      </c>
      <c r="BP126" s="64">
        <f>IF(BO126=0,0,IF(N(R126)&gt;0,R126,IFERROR(VLOOKUP(D126,Parameter!$A$35:$C$64,3,0)+0,0)))</f>
        <v/>
      </c>
      <c r="BQ126" s="53">
        <f>IF(V126&lt;&gt;"",V126,U126)</f>
        <v/>
      </c>
      <c r="BR126" s="53">
        <f>IF(BQ126=1,"L1",IF(OR(BQ126=2,BQ126=3),"L23",IF(BQ126="Aussen","Aussen","-")))</f>
        <v/>
      </c>
      <c r="BS126" s="66">
        <f>IF(N(W126)&gt;0,W126,0)</f>
        <v/>
      </c>
      <c r="BT126" s="58">
        <f>IF(ISNUMBER(Z126),1,0)</f>
        <v/>
      </c>
      <c r="BU126" s="55">
        <f>N(Z126)</f>
        <v/>
      </c>
      <c r="BV126" s="55">
        <f>N(L126)+N(M126)</f>
        <v/>
      </c>
      <c r="BW126" s="55">
        <f>ROUNDUP(G126/BN126,0)</f>
        <v/>
      </c>
      <c r="BX126" s="55">
        <f>ROUNDUP(BU126/BN126,0)</f>
        <v/>
      </c>
      <c r="BY126" s="58">
        <f>IF(BO126=1,0,IFERROR(VLOOKUP(BM126,'Gebinde-Kategorie'!$A$5:$G$45,5,0)+0,0))</f>
        <v/>
      </c>
      <c r="BZ126" s="58">
        <f>IFERROR(IF(OR(BQ126=1,BQ126=2,BQ126=3),N(INDEX(Parameter!$I$5:$I$7,BQ126)),0),0)</f>
        <v/>
      </c>
    </row>
    <row r="127">
      <c r="A127" s="53" t="inlineStr">
        <is>
          <t>001114</t>
        </is>
      </c>
      <c r="B127" s="53" t="inlineStr">
        <is>
          <t>Palette Typ 0</t>
        </is>
      </c>
      <c r="C127" s="53" t="inlineStr">
        <is>
          <t>F</t>
        </is>
      </c>
      <c r="D127" s="53" t="inlineStr">
        <is>
          <t>PAL</t>
        </is>
      </c>
      <c r="E127" s="53" t="inlineStr">
        <is>
          <t>C</t>
        </is>
      </c>
      <c r="F127" s="54" t="n">
        <v>19.53</v>
      </c>
      <c r="G127" s="55">
        <f>MAX(0,IF(Parameter!$B$20="Jahresanfang 2025 + Export",BG127+BF127,BF127))</f>
        <v/>
      </c>
      <c r="H127" s="55">
        <f>G127*F127</f>
        <v/>
      </c>
      <c r="I127" s="55">
        <f>BI127*Parameter!$B$18</f>
        <v/>
      </c>
      <c r="J127" s="56" t="n">
        <v>89</v>
      </c>
      <c r="K127" s="57" t="n">
        <v>0.2808988764044944</v>
      </c>
      <c r="L127" s="55" t="n">
        <v>1</v>
      </c>
      <c r="M127" s="55" t="n">
        <v>25</v>
      </c>
      <c r="N127" s="58" t="n">
        <v>21</v>
      </c>
      <c r="O127" s="53" t="inlineStr">
        <is>
          <t>LOSE</t>
        </is>
      </c>
      <c r="P127" s="55" t="n"/>
      <c r="Q127" s="59">
        <f>IF(BO127=1,0,IFERROR(VLOOKUP(BM127,'Gebinde-Kategorie'!$A$5:$G$45,6,0)+0,0))</f>
        <v/>
      </c>
      <c r="R127" s="60" t="n"/>
      <c r="S127" s="61" t="n"/>
      <c r="T127" s="61" t="n"/>
      <c r="U127" s="53">
        <f>IF(A127="","",IF(IFERROR(VLOOKUP(D127,Parameter!$A$35:$C$64,2,0),"Nein")="2+3",IF(ISNUMBER(SEARCH("grosser Artikel",BJ127)),2,IFERROR(VLOOKUP(BM127,Parameter!$F$35:$G$64,2,0),2)),IF(OR(IFERROR(VLOOKUP(D127,Parameter!$A$35:$C$64,2,0),"Nein")="Nein",IFERROR(VLOOKUP(D127,Parameter!$A$35:$C$64,2,0),"Nein")=""),"-",VLOOKUP(D127,Parameter!$A$35:$C$64,2,0))))</f>
        <v/>
      </c>
      <c r="V127" s="61" t="n"/>
      <c r="W127" s="62" t="n"/>
      <c r="X127" s="55">
        <f>AM127</f>
        <v/>
      </c>
      <c r="Y127" s="55">
        <f>MAX(AM127,G127)</f>
        <v/>
      </c>
      <c r="Z127" s="63" t="n"/>
      <c r="AA127" s="55">
        <f>IF(LEFT(Cockpit!$C$5,1)="A",G127,IF(BT127=1,BU127,IF(LEFT(Cockpit!$C$5,1)="B",AE127,MAX(AE127,G127))))</f>
        <v/>
      </c>
      <c r="AB127" s="55">
        <f>IF(BO127=1,0,ROUNDUP(AA127/BN127,0))</f>
        <v/>
      </c>
      <c r="AC127" s="64">
        <f>IF(BO127=1,IF(AA127&lt;=0,0,BP127*MAX(1,IF(G127&gt;0,AA127/G127,1))),AB127*Q127)</f>
        <v/>
      </c>
      <c r="AD127" s="55">
        <f>AA127*F127</f>
        <v/>
      </c>
      <c r="AE127" s="55">
        <f>ROUNDUP(MAX(I127/IF(BS127&gt;0,BS127,MAX(0.1,N(Cockpit!$C$6))),BV127)/BN127,0)*BN127</f>
        <v/>
      </c>
      <c r="AF127" s="56">
        <f>IF(AC127&gt;0,I127/AC127,-1)</f>
        <v/>
      </c>
      <c r="AG127" s="56">
        <f>IF(AND(OR(BR127="L1",BR127="L23"),AC127&gt;0),SUMIFS($AC$7:$AC$1570,$BR$7:$BR$1570,BR127,$AF$7:$AF$1570,"&gt;"&amp;AF127)+SUMIFS($AC$7:$AC$1570,$BR$7:$BR$1570,BR127,$AF$7:$AF$1570,AF127,$BL$7:$BL$1570,"&lt;="&amp;BL127),"")</f>
        <v/>
      </c>
      <c r="AH127" s="65">
        <f>IF(AG127="",0,MAX(0,MIN(1,(IF(BR127="L1",Parameter!$K$5,Parameter!$K$6+Parameter!$K$7)-(AG127-AC127))/AC127)))</f>
        <v/>
      </c>
      <c r="AI127" s="55">
        <f>IF(LEFT(Cockpit!$I$5,1)="A",G127,IF(BT127=1,BU127,IF(LEFT(Cockpit!$I$5,1)="B",AM127,MAX(AM127,G127))))</f>
        <v/>
      </c>
      <c r="AJ127" s="55">
        <f>IF(BO127=1,0,ROUNDUP(AI127/BN127,0))</f>
        <v/>
      </c>
      <c r="AK127" s="64">
        <f>IF(BO127=1,IF(AI127&lt;=0,0,BP127*MAX(1,IF(G127&gt;0,AI127/G127,1))),AJ127*Q127)</f>
        <v/>
      </c>
      <c r="AL127" s="55">
        <f>AI127*F127</f>
        <v/>
      </c>
      <c r="AM127" s="55">
        <f>ROUNDUP(MAX(I127/IF(BS127&gt;0,BS127,MAX(0.1,N(Cockpit!$I$6))),BV127)/BN127,0)*BN127</f>
        <v/>
      </c>
      <c r="AN127" s="56">
        <f>IF(AK127&gt;0,I127/AK127,-1)</f>
        <v/>
      </c>
      <c r="AO127" s="56">
        <f>IF(AND(OR(BR127="L1",BR127="L23"),AK127&gt;0),SUMIFS($AK$7:$AK$1570,$BR$7:$BR$1570,BR127,$AN$7:$AN$1570,"&gt;"&amp;AN127)+SUMIFS($AK$7:$AK$1570,$BR$7:$BR$1570,BR127,$AN$7:$AN$1570,AN127,$BL$7:$BL$1570,"&lt;="&amp;BL127),"")</f>
        <v/>
      </c>
      <c r="AP127" s="65">
        <f>IF(AO127="",0,MAX(0,MIN(1,(IF(BR127="L1",Parameter!$K$5,Parameter!$K$6+Parameter!$K$7)-(AO127-AK127))/AK127)))</f>
        <v/>
      </c>
      <c r="AQ127" s="55">
        <f>IF(LEFT(Cockpit!$O$5,1)="A",G127,IF(BT127=1,BU127,IF(LEFT(Cockpit!$O$5,1)="B",AU127,MAX(AU127,G127))))</f>
        <v/>
      </c>
      <c r="AR127" s="55">
        <f>IF(BO127=1,0,ROUNDUP(AQ127/BN127,0))</f>
        <v/>
      </c>
      <c r="AS127" s="64">
        <f>IF(BO127=1,IF(AQ127&lt;=0,0,BP127*MAX(1,IF(G127&gt;0,AQ127/G127,1))),AR127*Q127)</f>
        <v/>
      </c>
      <c r="AT127" s="55">
        <f>AQ127*F127</f>
        <v/>
      </c>
      <c r="AU127" s="55">
        <f>ROUNDUP(MAX(I127/IF(BS127&gt;0,BS127,MAX(0.1,N(Cockpit!$O$6))),BV127)/BN127,0)*BN127</f>
        <v/>
      </c>
      <c r="AV127" s="56">
        <f>IF(AS127&gt;0,I127/AS127,-1)</f>
        <v/>
      </c>
      <c r="AW127" s="56">
        <f>IF(AND(OR(BR127="L1",BR127="L23"),AS127&gt;0),SUMIFS($AS$7:$AS$1570,$BR$7:$BR$1570,BR127,$AV$7:$AV$1570,"&gt;"&amp;AV127)+SUMIFS($AS$7:$AS$1570,$BR$7:$BR$1570,BR127,$AV$7:$AV$1570,AV127,$BL$7:$BL$1570,"&lt;="&amp;BL127),"")</f>
        <v/>
      </c>
      <c r="AX127" s="65">
        <f>IF(AW127="",0,MAX(0,MIN(1,(IF(BR127="L1",Parameter!$K$5,Parameter!$K$6+Parameter!$K$7)-(AW127-AS127))/AS127)))</f>
        <v/>
      </c>
      <c r="AY127" s="53">
        <f>IF(AC127&lt;=0,"",IF(BR127="Aussen","Aussenlager",IF(BR127="-","Nicht im Lift",IF(AH127&gt;=1,"Lift",IF(AH127&lt;=0,"Aussenlager","teilweise")))))</f>
        <v/>
      </c>
      <c r="AZ127" s="53">
        <f>IF(AK127&lt;=0,"",IF(BR127="Aussen","Aussenlager",IF(BR127="-","Nicht im Lift",IF(AP127&gt;=1,"Lift",IF(AP127&lt;=0,"Aussenlager","teilweise")))))</f>
        <v/>
      </c>
      <c r="BA127" s="53">
        <f>IF(AS127&lt;=0,"",IF(BR127="Aussen","Aussenlager",IF(BR127="-","Nicht im Lift",IF(AX127&gt;=1,"Lift",IF(AX127&lt;=0,"Aussenlager","teilweise")))))</f>
        <v/>
      </c>
      <c r="BB127" s="53">
        <f>IF(A127="","",IF(BK127=1,"Neu; ","")&amp;IF(AND(BK127=0,BF127&lt;0),"negativer Bestand (Export "&amp;BF127&amp;"); ","")&amp;IF(I127&lt;=0,"Kein Verbrauch; ","")&amp;IF(BO127=1,"Lose – Fläche geschätzt; ","")&amp;IF(G127&gt;AM127,"Überbestand "&amp;ROUND(G127-AM127,0)&amp;" Stk / CHF "&amp;ROUND((G127-AM127)*F127,0)&amp;"; ","")&amp;IF(AND(BT127=1,BU127&lt;BV127),"MAX &lt; MB+LG; ","")&amp;IF(AND(BZ127&gt;0,BY127*10&gt;BZ127),"zu hoch für Tablar; ","")&amp;IF(AND(BK127=0,OR(BT127=1,V127&lt;&gt;"",S127&lt;&gt;"",T127&lt;&gt;"",W127&lt;&gt;"")),"manuell übersteuert; ","")&amp;IF(AND(BO127=0,Q127=0),"Gebinde unbekannt; ","")&amp;IF(AND(BO127=0,N(T127)&lt;=0,N(P127)&lt;=0),"Menge pro Gebinde fehlt (Ist = 1 Gebinde); ","")&amp;BJ127)</f>
        <v/>
      </c>
      <c r="BC127" s="53" t="n"/>
      <c r="BD127" s="53" t="n"/>
      <c r="BE127" s="61" t="n"/>
      <c r="BF127" s="55" t="n">
        <v>91</v>
      </c>
      <c r="BG127" s="55" t="n">
        <v>22</v>
      </c>
      <c r="BH127" s="54" t="n">
        <v>1776.13</v>
      </c>
      <c r="BI127" s="55" t="n">
        <v>25</v>
      </c>
      <c r="BJ127" s="53" t="inlineStr"/>
      <c r="BK127" s="58" t="n">
        <v>0</v>
      </c>
      <c r="BL127" s="58" t="n">
        <v>127</v>
      </c>
      <c r="BM127" s="53">
        <f>IF(S127&lt;&gt;"",UPPER(TRIM(S127)),IF(O127="","LOSE",O127))</f>
        <v/>
      </c>
      <c r="BN127" s="55">
        <f>IF(BM127="LOSE",1,IF(N(T127)&gt;0,T127,IF(N(P127)&gt;0,P127,MAX(1,G127))))</f>
        <v/>
      </c>
      <c r="BO127" s="58">
        <f>IF(BM127="LOSE",1,0)</f>
        <v/>
      </c>
      <c r="BP127" s="64">
        <f>IF(BO127=0,0,IF(N(R127)&gt;0,R127,IFERROR(VLOOKUP(D127,Parameter!$A$35:$C$64,3,0)+0,0)))</f>
        <v/>
      </c>
      <c r="BQ127" s="53">
        <f>IF(V127&lt;&gt;"",V127,U127)</f>
        <v/>
      </c>
      <c r="BR127" s="53">
        <f>IF(BQ127=1,"L1",IF(OR(BQ127=2,BQ127=3),"L23",IF(BQ127="Aussen","Aussen","-")))</f>
        <v/>
      </c>
      <c r="BS127" s="66">
        <f>IF(N(W127)&gt;0,W127,0)</f>
        <v/>
      </c>
      <c r="BT127" s="58">
        <f>IF(ISNUMBER(Z127),1,0)</f>
        <v/>
      </c>
      <c r="BU127" s="55">
        <f>N(Z127)</f>
        <v/>
      </c>
      <c r="BV127" s="55">
        <f>N(L127)+N(M127)</f>
        <v/>
      </c>
      <c r="BW127" s="55">
        <f>ROUNDUP(G127/BN127,0)</f>
        <v/>
      </c>
      <c r="BX127" s="55">
        <f>ROUNDUP(BU127/BN127,0)</f>
        <v/>
      </c>
      <c r="BY127" s="58">
        <f>IF(BO127=1,0,IFERROR(VLOOKUP(BM127,'Gebinde-Kategorie'!$A$5:$G$45,5,0)+0,0))</f>
        <v/>
      </c>
      <c r="BZ127" s="58">
        <f>IFERROR(IF(OR(BQ127=1,BQ127=2,BQ127=3),N(INDEX(Parameter!$I$5:$I$7,BQ127)),0),0)</f>
        <v/>
      </c>
    </row>
    <row r="128">
      <c r="A128" s="53" t="inlineStr">
        <is>
          <t>103918</t>
        </is>
      </c>
      <c r="B128" s="53" t="inlineStr">
        <is>
          <t>Drucktransmitter</t>
        </is>
      </c>
      <c r="C128" s="53" t="inlineStr">
        <is>
          <t>F</t>
        </is>
      </c>
      <c r="D128" s="53" t="inlineStr">
        <is>
          <t>KTL</t>
        </is>
      </c>
      <c r="E128" s="53" t="inlineStr">
        <is>
          <t>C</t>
        </is>
      </c>
      <c r="F128" s="54" t="n">
        <v>110.3</v>
      </c>
      <c r="G128" s="55">
        <f>MAX(0,IF(Parameter!$B$20="Jahresanfang 2025 + Export",BG128+BF128,BF128))</f>
        <v/>
      </c>
      <c r="H128" s="55">
        <f>G128*F128</f>
        <v/>
      </c>
      <c r="I128" s="55">
        <f>BI128*Parameter!$B$18</f>
        <v/>
      </c>
      <c r="J128" s="56" t="n">
        <v>26.5</v>
      </c>
      <c r="K128" s="57" t="n">
        <v>2.754716981132075</v>
      </c>
      <c r="L128" s="55" t="n">
        <v>10</v>
      </c>
      <c r="M128" s="55" t="n">
        <v>40</v>
      </c>
      <c r="N128" s="58" t="n">
        <v>35</v>
      </c>
      <c r="O128" s="53" t="inlineStr">
        <is>
          <t>S62</t>
        </is>
      </c>
      <c r="P128" s="55" t="n">
        <v>75</v>
      </c>
      <c r="Q128" s="59">
        <f>IF(BO128=1,0,IFERROR(VLOOKUP(BM128,'Gebinde-Kategorie'!$A$5:$G$45,6,0)+0,0))</f>
        <v/>
      </c>
      <c r="R128" s="60" t="n"/>
      <c r="S128" s="61" t="n"/>
      <c r="T128" s="61" t="n"/>
      <c r="U128" s="53">
        <f>IF(A128="","",IF(IFERROR(VLOOKUP(D128,Parameter!$A$35:$C$64,2,0),"Nein")="2+3",IF(ISNUMBER(SEARCH("grosser Artikel",BJ128)),2,IFERROR(VLOOKUP(BM128,Parameter!$F$35:$G$64,2,0),2)),IF(OR(IFERROR(VLOOKUP(D128,Parameter!$A$35:$C$64,2,0),"Nein")="Nein",IFERROR(VLOOKUP(D128,Parameter!$A$35:$C$64,2,0),"Nein")=""),"-",VLOOKUP(D128,Parameter!$A$35:$C$64,2,0))))</f>
        <v/>
      </c>
      <c r="V128" s="61" t="n"/>
      <c r="W128" s="62" t="n"/>
      <c r="X128" s="55">
        <f>AM128</f>
        <v/>
      </c>
      <c r="Y128" s="55">
        <f>MAX(AM128,G128)</f>
        <v/>
      </c>
      <c r="Z128" s="63" t="n"/>
      <c r="AA128" s="55">
        <f>IF(LEFT(Cockpit!$C$5,1)="A",G128,IF(BT128=1,BU128,IF(LEFT(Cockpit!$C$5,1)="B",AE128,MAX(AE128,G128))))</f>
        <v/>
      </c>
      <c r="AB128" s="55">
        <f>IF(BO128=1,0,ROUNDUP(AA128/BN128,0))</f>
        <v/>
      </c>
      <c r="AC128" s="64">
        <f>IF(BO128=1,IF(AA128&lt;=0,0,BP128*MAX(1,IF(G128&gt;0,AA128/G128,1))),AB128*Q128)</f>
        <v/>
      </c>
      <c r="AD128" s="55">
        <f>AA128*F128</f>
        <v/>
      </c>
      <c r="AE128" s="55">
        <f>ROUNDUP(MAX(I128/IF(BS128&gt;0,BS128,MAX(0.1,N(Cockpit!$C$6))),BV128)/BN128,0)*BN128</f>
        <v/>
      </c>
      <c r="AF128" s="56">
        <f>IF(AC128&gt;0,I128/AC128,-1)</f>
        <v/>
      </c>
      <c r="AG128" s="56">
        <f>IF(AND(OR(BR128="L1",BR128="L23"),AC128&gt;0),SUMIFS($AC$7:$AC$1570,$BR$7:$BR$1570,BR128,$AF$7:$AF$1570,"&gt;"&amp;AF128)+SUMIFS($AC$7:$AC$1570,$BR$7:$BR$1570,BR128,$AF$7:$AF$1570,AF128,$BL$7:$BL$1570,"&lt;="&amp;BL128),"")</f>
        <v/>
      </c>
      <c r="AH128" s="65">
        <f>IF(AG128="",0,MAX(0,MIN(1,(IF(BR128="L1",Parameter!$K$5,Parameter!$K$6+Parameter!$K$7)-(AG128-AC128))/AC128)))</f>
        <v/>
      </c>
      <c r="AI128" s="55">
        <f>IF(LEFT(Cockpit!$I$5,1)="A",G128,IF(BT128=1,BU128,IF(LEFT(Cockpit!$I$5,1)="B",AM128,MAX(AM128,G128))))</f>
        <v/>
      </c>
      <c r="AJ128" s="55">
        <f>IF(BO128=1,0,ROUNDUP(AI128/BN128,0))</f>
        <v/>
      </c>
      <c r="AK128" s="64">
        <f>IF(BO128=1,IF(AI128&lt;=0,0,BP128*MAX(1,IF(G128&gt;0,AI128/G128,1))),AJ128*Q128)</f>
        <v/>
      </c>
      <c r="AL128" s="55">
        <f>AI128*F128</f>
        <v/>
      </c>
      <c r="AM128" s="55">
        <f>ROUNDUP(MAX(I128/IF(BS128&gt;0,BS128,MAX(0.1,N(Cockpit!$I$6))),BV128)/BN128,0)*BN128</f>
        <v/>
      </c>
      <c r="AN128" s="56">
        <f>IF(AK128&gt;0,I128/AK128,-1)</f>
        <v/>
      </c>
      <c r="AO128" s="56">
        <f>IF(AND(OR(BR128="L1",BR128="L23"),AK128&gt;0),SUMIFS($AK$7:$AK$1570,$BR$7:$BR$1570,BR128,$AN$7:$AN$1570,"&gt;"&amp;AN128)+SUMIFS($AK$7:$AK$1570,$BR$7:$BR$1570,BR128,$AN$7:$AN$1570,AN128,$BL$7:$BL$1570,"&lt;="&amp;BL128),"")</f>
        <v/>
      </c>
      <c r="AP128" s="65">
        <f>IF(AO128="",0,MAX(0,MIN(1,(IF(BR128="L1",Parameter!$K$5,Parameter!$K$6+Parameter!$K$7)-(AO128-AK128))/AK128)))</f>
        <v/>
      </c>
      <c r="AQ128" s="55">
        <f>IF(LEFT(Cockpit!$O$5,1)="A",G128,IF(BT128=1,BU128,IF(LEFT(Cockpit!$O$5,1)="B",AU128,MAX(AU128,G128))))</f>
        <v/>
      </c>
      <c r="AR128" s="55">
        <f>IF(BO128=1,0,ROUNDUP(AQ128/BN128,0))</f>
        <v/>
      </c>
      <c r="AS128" s="64">
        <f>IF(BO128=1,IF(AQ128&lt;=0,0,BP128*MAX(1,IF(G128&gt;0,AQ128/G128,1))),AR128*Q128)</f>
        <v/>
      </c>
      <c r="AT128" s="55">
        <f>AQ128*F128</f>
        <v/>
      </c>
      <c r="AU128" s="55">
        <f>ROUNDUP(MAX(I128/IF(BS128&gt;0,BS128,MAX(0.1,N(Cockpit!$O$6))),BV128)/BN128,0)*BN128</f>
        <v/>
      </c>
      <c r="AV128" s="56">
        <f>IF(AS128&gt;0,I128/AS128,-1)</f>
        <v/>
      </c>
      <c r="AW128" s="56">
        <f>IF(AND(OR(BR128="L1",BR128="L23"),AS128&gt;0),SUMIFS($AS$7:$AS$1570,$BR$7:$BR$1570,BR128,$AV$7:$AV$1570,"&gt;"&amp;AV128)+SUMIFS($AS$7:$AS$1570,$BR$7:$BR$1570,BR128,$AV$7:$AV$1570,AV128,$BL$7:$BL$1570,"&lt;="&amp;BL128),"")</f>
        <v/>
      </c>
      <c r="AX128" s="65">
        <f>IF(AW128="",0,MAX(0,MIN(1,(IF(BR128="L1",Parameter!$K$5,Parameter!$K$6+Parameter!$K$7)-(AW128-AS128))/AS128)))</f>
        <v/>
      </c>
      <c r="AY128" s="53">
        <f>IF(AC128&lt;=0,"",IF(BR128="Aussen","Aussenlager",IF(BR128="-","Nicht im Lift",IF(AH128&gt;=1,"Lift",IF(AH128&lt;=0,"Aussenlager","teilweise")))))</f>
        <v/>
      </c>
      <c r="AZ128" s="53">
        <f>IF(AK128&lt;=0,"",IF(BR128="Aussen","Aussenlager",IF(BR128="-","Nicht im Lift",IF(AP128&gt;=1,"Lift",IF(AP128&lt;=0,"Aussenlager","teilweise")))))</f>
        <v/>
      </c>
      <c r="BA128" s="53">
        <f>IF(AS128&lt;=0,"",IF(BR128="Aussen","Aussenlager",IF(BR128="-","Nicht im Lift",IF(AX128&gt;=1,"Lift",IF(AX128&lt;=0,"Aussenlager","teilweise")))))</f>
        <v/>
      </c>
      <c r="BB128" s="53">
        <f>IF(A128="","",IF(BK128=1,"Neu; ","")&amp;IF(AND(BK128=0,BF128&lt;0),"negativer Bestand (Export "&amp;BF128&amp;"); ","")&amp;IF(I128&lt;=0,"Kein Verbrauch; ","")&amp;IF(BO128=1,"Lose – Fläche geschätzt; ","")&amp;IF(G128&gt;AM128,"Überbestand "&amp;ROUND(G128-AM128,0)&amp;" Stk / CHF "&amp;ROUND((G128-AM128)*F128,0)&amp;"; ","")&amp;IF(AND(BT128=1,BU128&lt;BV128),"MAX &lt; MB+LG; ","")&amp;IF(AND(BZ128&gt;0,BY128*10&gt;BZ128),"zu hoch für Tablar; ","")&amp;IF(AND(BK128=0,OR(BT128=1,V128&lt;&gt;"",S128&lt;&gt;"",T128&lt;&gt;"",W128&lt;&gt;"")),"manuell übersteuert; ","")&amp;IF(AND(BO128=0,Q128=0),"Gebinde unbekannt; ","")&amp;IF(AND(BO128=0,N(T128)&lt;=0,N(P128)&lt;=0),"Menge pro Gebinde fehlt (Ist = 1 Gebinde); ","")&amp;BJ128)</f>
        <v/>
      </c>
      <c r="BC128" s="53" t="n"/>
      <c r="BD128" s="53" t="n"/>
      <c r="BE128" s="61" t="n"/>
      <c r="BF128" s="55" t="n">
        <v>11</v>
      </c>
      <c r="BG128" s="55" t="n">
        <v>33</v>
      </c>
      <c r="BH128" s="54" t="n">
        <v>1770.009999999998</v>
      </c>
      <c r="BI128" s="55" t="n">
        <v>73</v>
      </c>
      <c r="BJ128" s="53" t="inlineStr"/>
      <c r="BK128" s="58" t="n">
        <v>0</v>
      </c>
      <c r="BL128" s="58" t="n">
        <v>128</v>
      </c>
      <c r="BM128" s="53">
        <f>IF(S128&lt;&gt;"",UPPER(TRIM(S128)),IF(O128="","LOSE",O128))</f>
        <v/>
      </c>
      <c r="BN128" s="55">
        <f>IF(BM128="LOSE",1,IF(N(T128)&gt;0,T128,IF(N(P128)&gt;0,P128,MAX(1,G128))))</f>
        <v/>
      </c>
      <c r="BO128" s="58">
        <f>IF(BM128="LOSE",1,0)</f>
        <v/>
      </c>
      <c r="BP128" s="64">
        <f>IF(BO128=0,0,IF(N(R128)&gt;0,R128,IFERROR(VLOOKUP(D128,Parameter!$A$35:$C$64,3,0)+0,0)))</f>
        <v/>
      </c>
      <c r="BQ128" s="53">
        <f>IF(V128&lt;&gt;"",V128,U128)</f>
        <v/>
      </c>
      <c r="BR128" s="53">
        <f>IF(BQ128=1,"L1",IF(OR(BQ128=2,BQ128=3),"L23",IF(BQ128="Aussen","Aussen","-")))</f>
        <v/>
      </c>
      <c r="BS128" s="66">
        <f>IF(N(W128)&gt;0,W128,0)</f>
        <v/>
      </c>
      <c r="BT128" s="58">
        <f>IF(ISNUMBER(Z128),1,0)</f>
        <v/>
      </c>
      <c r="BU128" s="55">
        <f>N(Z128)</f>
        <v/>
      </c>
      <c r="BV128" s="55">
        <f>N(L128)+N(M128)</f>
        <v/>
      </c>
      <c r="BW128" s="55">
        <f>ROUNDUP(G128/BN128,0)</f>
        <v/>
      </c>
      <c r="BX128" s="55">
        <f>ROUNDUP(BU128/BN128,0)</f>
        <v/>
      </c>
      <c r="BY128" s="58">
        <f>IF(BO128=1,0,IFERROR(VLOOKUP(BM128,'Gebinde-Kategorie'!$A$5:$G$45,5,0)+0,0))</f>
        <v/>
      </c>
      <c r="BZ128" s="58">
        <f>IFERROR(IF(OR(BQ128=1,BQ128=2,BQ128=3),N(INDEX(Parameter!$I$5:$I$7,BQ128)),0),0)</f>
        <v/>
      </c>
    </row>
    <row r="129">
      <c r="A129" s="53" t="inlineStr">
        <is>
          <t>105457</t>
        </is>
      </c>
      <c r="B129" s="53" t="inlineStr">
        <is>
          <t>O-Ring</t>
        </is>
      </c>
      <c r="C129" s="53" t="inlineStr">
        <is>
          <t>F</t>
        </is>
      </c>
      <c r="D129" s="53" t="inlineStr">
        <is>
          <t>KTL</t>
        </is>
      </c>
      <c r="E129" s="53" t="inlineStr">
        <is>
          <t>C</t>
        </is>
      </c>
      <c r="F129" s="54" t="n">
        <v>3.7</v>
      </c>
      <c r="G129" s="55">
        <f>MAX(0,IF(Parameter!$B$20="Jahresanfang 2025 + Export",BG129+BF129,BF129))</f>
        <v/>
      </c>
      <c r="H129" s="55">
        <f>G129*F129</f>
        <v/>
      </c>
      <c r="I129" s="55">
        <f>BI129*Parameter!$B$18</f>
        <v/>
      </c>
      <c r="J129" s="56" t="n">
        <v>214</v>
      </c>
      <c r="K129" s="57" t="n">
        <v>3.219626168224299</v>
      </c>
      <c r="L129" s="55" t="n">
        <v>26</v>
      </c>
      <c r="M129" s="55" t="n">
        <v>690</v>
      </c>
      <c r="N129" s="58" t="n">
        <v>14</v>
      </c>
      <c r="O129" s="53" t="inlineStr">
        <is>
          <t>S52</t>
        </is>
      </c>
      <c r="P129" s="55" t="n">
        <v>331</v>
      </c>
      <c r="Q129" s="59">
        <f>IF(BO129=1,0,IFERROR(VLOOKUP(BM129,'Gebinde-Kategorie'!$A$5:$G$45,6,0)+0,0))</f>
        <v/>
      </c>
      <c r="R129" s="60" t="n"/>
      <c r="S129" s="61" t="n"/>
      <c r="T129" s="61" t="n"/>
      <c r="U129" s="53">
        <f>IF(A129="","",IF(IFERROR(VLOOKUP(D129,Parameter!$A$35:$C$64,2,0),"Nein")="2+3",IF(ISNUMBER(SEARCH("grosser Artikel",BJ129)),2,IFERROR(VLOOKUP(BM129,Parameter!$F$35:$G$64,2,0),2)),IF(OR(IFERROR(VLOOKUP(D129,Parameter!$A$35:$C$64,2,0),"Nein")="Nein",IFERROR(VLOOKUP(D129,Parameter!$A$35:$C$64,2,0),"Nein")=""),"-",VLOOKUP(D129,Parameter!$A$35:$C$64,2,0))))</f>
        <v/>
      </c>
      <c r="V129" s="61" t="n"/>
      <c r="W129" s="62" t="n"/>
      <c r="X129" s="55">
        <f>AM129</f>
        <v/>
      </c>
      <c r="Y129" s="55">
        <f>MAX(AM129,G129)</f>
        <v/>
      </c>
      <c r="Z129" s="63" t="n"/>
      <c r="AA129" s="55">
        <f>IF(LEFT(Cockpit!$C$5,1)="A",G129,IF(BT129=1,BU129,IF(LEFT(Cockpit!$C$5,1)="B",AE129,MAX(AE129,G129))))</f>
        <v/>
      </c>
      <c r="AB129" s="55">
        <f>IF(BO129=1,0,ROUNDUP(AA129/BN129,0))</f>
        <v/>
      </c>
      <c r="AC129" s="64">
        <f>IF(BO129=1,IF(AA129&lt;=0,0,BP129*MAX(1,IF(G129&gt;0,AA129/G129,1))),AB129*Q129)</f>
        <v/>
      </c>
      <c r="AD129" s="55">
        <f>AA129*F129</f>
        <v/>
      </c>
      <c r="AE129" s="55">
        <f>ROUNDUP(MAX(I129/IF(BS129&gt;0,BS129,MAX(0.1,N(Cockpit!$C$6))),BV129)/BN129,0)*BN129</f>
        <v/>
      </c>
      <c r="AF129" s="56">
        <f>IF(AC129&gt;0,I129/AC129,-1)</f>
        <v/>
      </c>
      <c r="AG129" s="56">
        <f>IF(AND(OR(BR129="L1",BR129="L23"),AC129&gt;0),SUMIFS($AC$7:$AC$1570,$BR$7:$BR$1570,BR129,$AF$7:$AF$1570,"&gt;"&amp;AF129)+SUMIFS($AC$7:$AC$1570,$BR$7:$BR$1570,BR129,$AF$7:$AF$1570,AF129,$BL$7:$BL$1570,"&lt;="&amp;BL129),"")</f>
        <v/>
      </c>
      <c r="AH129" s="65">
        <f>IF(AG129="",0,MAX(0,MIN(1,(IF(BR129="L1",Parameter!$K$5,Parameter!$K$6+Parameter!$K$7)-(AG129-AC129))/AC129)))</f>
        <v/>
      </c>
      <c r="AI129" s="55">
        <f>IF(LEFT(Cockpit!$I$5,1)="A",G129,IF(BT129=1,BU129,IF(LEFT(Cockpit!$I$5,1)="B",AM129,MAX(AM129,G129))))</f>
        <v/>
      </c>
      <c r="AJ129" s="55">
        <f>IF(BO129=1,0,ROUNDUP(AI129/BN129,0))</f>
        <v/>
      </c>
      <c r="AK129" s="64">
        <f>IF(BO129=1,IF(AI129&lt;=0,0,BP129*MAX(1,IF(G129&gt;0,AI129/G129,1))),AJ129*Q129)</f>
        <v/>
      </c>
      <c r="AL129" s="55">
        <f>AI129*F129</f>
        <v/>
      </c>
      <c r="AM129" s="55">
        <f>ROUNDUP(MAX(I129/IF(BS129&gt;0,BS129,MAX(0.1,N(Cockpit!$I$6))),BV129)/BN129,0)*BN129</f>
        <v/>
      </c>
      <c r="AN129" s="56">
        <f>IF(AK129&gt;0,I129/AK129,-1)</f>
        <v/>
      </c>
      <c r="AO129" s="56">
        <f>IF(AND(OR(BR129="L1",BR129="L23"),AK129&gt;0),SUMIFS($AK$7:$AK$1570,$BR$7:$BR$1570,BR129,$AN$7:$AN$1570,"&gt;"&amp;AN129)+SUMIFS($AK$7:$AK$1570,$BR$7:$BR$1570,BR129,$AN$7:$AN$1570,AN129,$BL$7:$BL$1570,"&lt;="&amp;BL129),"")</f>
        <v/>
      </c>
      <c r="AP129" s="65">
        <f>IF(AO129="",0,MAX(0,MIN(1,(IF(BR129="L1",Parameter!$K$5,Parameter!$K$6+Parameter!$K$7)-(AO129-AK129))/AK129)))</f>
        <v/>
      </c>
      <c r="AQ129" s="55">
        <f>IF(LEFT(Cockpit!$O$5,1)="A",G129,IF(BT129=1,BU129,IF(LEFT(Cockpit!$O$5,1)="B",AU129,MAX(AU129,G129))))</f>
        <v/>
      </c>
      <c r="AR129" s="55">
        <f>IF(BO129=1,0,ROUNDUP(AQ129/BN129,0))</f>
        <v/>
      </c>
      <c r="AS129" s="64">
        <f>IF(BO129=1,IF(AQ129&lt;=0,0,BP129*MAX(1,IF(G129&gt;0,AQ129/G129,1))),AR129*Q129)</f>
        <v/>
      </c>
      <c r="AT129" s="55">
        <f>AQ129*F129</f>
        <v/>
      </c>
      <c r="AU129" s="55">
        <f>ROUNDUP(MAX(I129/IF(BS129&gt;0,BS129,MAX(0.1,N(Cockpit!$O$6))),BV129)/BN129,0)*BN129</f>
        <v/>
      </c>
      <c r="AV129" s="56">
        <f>IF(AS129&gt;0,I129/AS129,-1)</f>
        <v/>
      </c>
      <c r="AW129" s="56">
        <f>IF(AND(OR(BR129="L1",BR129="L23"),AS129&gt;0),SUMIFS($AS$7:$AS$1570,$BR$7:$BR$1570,BR129,$AV$7:$AV$1570,"&gt;"&amp;AV129)+SUMIFS($AS$7:$AS$1570,$BR$7:$BR$1570,BR129,$AV$7:$AV$1570,AV129,$BL$7:$BL$1570,"&lt;="&amp;BL129),"")</f>
        <v/>
      </c>
      <c r="AX129" s="65">
        <f>IF(AW129="",0,MAX(0,MIN(1,(IF(BR129="L1",Parameter!$K$5,Parameter!$K$6+Parameter!$K$7)-(AW129-AS129))/AS129)))</f>
        <v/>
      </c>
      <c r="AY129" s="53">
        <f>IF(AC129&lt;=0,"",IF(BR129="Aussen","Aussenlager",IF(BR129="-","Nicht im Lift",IF(AH129&gt;=1,"Lift",IF(AH129&lt;=0,"Aussenlager","teilweise")))))</f>
        <v/>
      </c>
      <c r="AZ129" s="53">
        <f>IF(AK129&lt;=0,"",IF(BR129="Aussen","Aussenlager",IF(BR129="-","Nicht im Lift",IF(AP129&gt;=1,"Lift",IF(AP129&lt;=0,"Aussenlager","teilweise")))))</f>
        <v/>
      </c>
      <c r="BA129" s="53">
        <f>IF(AS129&lt;=0,"",IF(BR129="Aussen","Aussenlager",IF(BR129="-","Nicht im Lift",IF(AX129&gt;=1,"Lift",IF(AX129&lt;=0,"Aussenlager","teilweise")))))</f>
        <v/>
      </c>
      <c r="BB129" s="53">
        <f>IF(A129="","",IF(BK129=1,"Neu; ","")&amp;IF(AND(BK129=0,BF129&lt;0),"negativer Bestand (Export "&amp;BF129&amp;"); ","")&amp;IF(I129&lt;=0,"Kein Verbrauch; ","")&amp;IF(BO129=1,"Lose – Fläche geschätzt; ","")&amp;IF(G129&gt;AM129,"Überbestand "&amp;ROUND(G129-AM129,0)&amp;" Stk / CHF "&amp;ROUND((G129-AM129)*F129,0)&amp;"; ","")&amp;IF(AND(BT129=1,BU129&lt;BV129),"MAX &lt; MB+LG; ","")&amp;IF(AND(BZ129&gt;0,BY129*10&gt;BZ129),"zu hoch für Tablar; ","")&amp;IF(AND(BK129=0,OR(BT129=1,V129&lt;&gt;"",S129&lt;&gt;"",T129&lt;&gt;"",W129&lt;&gt;"")),"manuell übersteuert; ","")&amp;IF(AND(BO129=0,Q129=0),"Gebinde unbekannt; ","")&amp;IF(AND(BO129=0,N(T129)&lt;=0,N(P129)&lt;=0),"Menge pro Gebinde fehlt (Ist = 1 Gebinde); ","")&amp;BJ129)</f>
        <v/>
      </c>
      <c r="BC129" s="53" t="n"/>
      <c r="BD129" s="53" t="n"/>
      <c r="BE129" s="61" t="n"/>
      <c r="BF129" s="55" t="n">
        <v>487</v>
      </c>
      <c r="BG129" s="55" t="n">
        <v>114</v>
      </c>
      <c r="BH129" s="54" t="n">
        <v>1761.239999999997</v>
      </c>
      <c r="BI129" s="55" t="n">
        <v>689</v>
      </c>
      <c r="BJ129" s="53" t="inlineStr"/>
      <c r="BK129" s="58" t="n">
        <v>0</v>
      </c>
      <c r="BL129" s="58" t="n">
        <v>129</v>
      </c>
      <c r="BM129" s="53">
        <f>IF(S129&lt;&gt;"",UPPER(TRIM(S129)),IF(O129="","LOSE",O129))</f>
        <v/>
      </c>
      <c r="BN129" s="55">
        <f>IF(BM129="LOSE",1,IF(N(T129)&gt;0,T129,IF(N(P129)&gt;0,P129,MAX(1,G129))))</f>
        <v/>
      </c>
      <c r="BO129" s="58">
        <f>IF(BM129="LOSE",1,0)</f>
        <v/>
      </c>
      <c r="BP129" s="64">
        <f>IF(BO129=0,0,IF(N(R129)&gt;0,R129,IFERROR(VLOOKUP(D129,Parameter!$A$35:$C$64,3,0)+0,0)))</f>
        <v/>
      </c>
      <c r="BQ129" s="53">
        <f>IF(V129&lt;&gt;"",V129,U129)</f>
        <v/>
      </c>
      <c r="BR129" s="53">
        <f>IF(BQ129=1,"L1",IF(OR(BQ129=2,BQ129=3),"L23",IF(BQ129="Aussen","Aussen","-")))</f>
        <v/>
      </c>
      <c r="BS129" s="66">
        <f>IF(N(W129)&gt;0,W129,0)</f>
        <v/>
      </c>
      <c r="BT129" s="58">
        <f>IF(ISNUMBER(Z129),1,0)</f>
        <v/>
      </c>
      <c r="BU129" s="55">
        <f>N(Z129)</f>
        <v/>
      </c>
      <c r="BV129" s="55">
        <f>N(L129)+N(M129)</f>
        <v/>
      </c>
      <c r="BW129" s="55">
        <f>ROUNDUP(G129/BN129,0)</f>
        <v/>
      </c>
      <c r="BX129" s="55">
        <f>ROUNDUP(BU129/BN129,0)</f>
        <v/>
      </c>
      <c r="BY129" s="58">
        <f>IF(BO129=1,0,IFERROR(VLOOKUP(BM129,'Gebinde-Kategorie'!$A$5:$G$45,5,0)+0,0))</f>
        <v/>
      </c>
      <c r="BZ129" s="58">
        <f>IFERROR(IF(OR(BQ129=1,BQ129=2,BQ129=3),N(INDEX(Parameter!$I$5:$I$7,BQ129)),0),0)</f>
        <v/>
      </c>
    </row>
    <row r="130">
      <c r="A130" s="53" t="inlineStr">
        <is>
          <t>100762</t>
        </is>
      </c>
      <c r="B130" s="53" t="inlineStr">
        <is>
          <t>Austrittsdüse</t>
        </is>
      </c>
      <c r="C130" s="53" t="inlineStr">
        <is>
          <t>F</t>
        </is>
      </c>
      <c r="D130" s="53" t="inlineStr">
        <is>
          <t>LIFT1</t>
        </is>
      </c>
      <c r="E130" s="53" t="inlineStr">
        <is>
          <t>C</t>
        </is>
      </c>
      <c r="F130" s="54" t="n">
        <v>3280</v>
      </c>
      <c r="G130" s="55">
        <f>MAX(0,IF(Parameter!$B$20="Jahresanfang 2025 + Export",BG130+BF130,BF130))</f>
        <v/>
      </c>
      <c r="H130" s="55">
        <f>G130*F130</f>
        <v/>
      </c>
      <c r="I130" s="55">
        <f>BI130*Parameter!$B$18</f>
        <v/>
      </c>
      <c r="J130" s="56" t="n">
        <v>0.5</v>
      </c>
      <c r="K130" s="57" t="n">
        <v>6</v>
      </c>
      <c r="L130" s="55" t="n">
        <v>0</v>
      </c>
      <c r="M130" s="55" t="n">
        <v>1</v>
      </c>
      <c r="N130" s="58" t="n">
        <v>58</v>
      </c>
      <c r="O130" s="53" t="inlineStr">
        <is>
          <t>LOSE</t>
        </is>
      </c>
      <c r="P130" s="55" t="n"/>
      <c r="Q130" s="59">
        <f>IF(BO130=1,0,IFERROR(VLOOKUP(BM130,'Gebinde-Kategorie'!$A$5:$G$45,6,0)+0,0))</f>
        <v/>
      </c>
      <c r="R130" s="60" t="n"/>
      <c r="S130" s="61" t="n"/>
      <c r="T130" s="61" t="n"/>
      <c r="U130" s="53">
        <f>IF(A130="","",IF(IFERROR(VLOOKUP(D130,Parameter!$A$35:$C$64,2,0),"Nein")="2+3",IF(ISNUMBER(SEARCH("grosser Artikel",BJ130)),2,IFERROR(VLOOKUP(BM130,Parameter!$F$35:$G$64,2,0),2)),IF(OR(IFERROR(VLOOKUP(D130,Parameter!$A$35:$C$64,2,0),"Nein")="Nein",IFERROR(VLOOKUP(D130,Parameter!$A$35:$C$64,2,0),"Nein")=""),"-",VLOOKUP(D130,Parameter!$A$35:$C$64,2,0))))</f>
        <v/>
      </c>
      <c r="V130" s="61" t="n"/>
      <c r="W130" s="62" t="n"/>
      <c r="X130" s="55">
        <f>AM130</f>
        <v/>
      </c>
      <c r="Y130" s="55">
        <f>MAX(AM130,G130)</f>
        <v/>
      </c>
      <c r="Z130" s="63" t="n"/>
      <c r="AA130" s="55">
        <f>IF(LEFT(Cockpit!$C$5,1)="A",G130,IF(BT130=1,BU130,IF(LEFT(Cockpit!$C$5,1)="B",AE130,MAX(AE130,G130))))</f>
        <v/>
      </c>
      <c r="AB130" s="55">
        <f>IF(BO130=1,0,ROUNDUP(AA130/BN130,0))</f>
        <v/>
      </c>
      <c r="AC130" s="64">
        <f>IF(BO130=1,IF(AA130&lt;=0,0,BP130*MAX(1,IF(G130&gt;0,AA130/G130,1))),AB130*Q130)</f>
        <v/>
      </c>
      <c r="AD130" s="55">
        <f>AA130*F130</f>
        <v/>
      </c>
      <c r="AE130" s="55">
        <f>ROUNDUP(MAX(I130/IF(BS130&gt;0,BS130,MAX(0.1,N(Cockpit!$C$6))),BV130)/BN130,0)*BN130</f>
        <v/>
      </c>
      <c r="AF130" s="56">
        <f>IF(AC130&gt;0,I130/AC130,-1)</f>
        <v/>
      </c>
      <c r="AG130" s="56">
        <f>IF(AND(OR(BR130="L1",BR130="L23"),AC130&gt;0),SUMIFS($AC$7:$AC$1570,$BR$7:$BR$1570,BR130,$AF$7:$AF$1570,"&gt;"&amp;AF130)+SUMIFS($AC$7:$AC$1570,$BR$7:$BR$1570,BR130,$AF$7:$AF$1570,AF130,$BL$7:$BL$1570,"&lt;="&amp;BL130),"")</f>
        <v/>
      </c>
      <c r="AH130" s="65">
        <f>IF(AG130="",0,MAX(0,MIN(1,(IF(BR130="L1",Parameter!$K$5,Parameter!$K$6+Parameter!$K$7)-(AG130-AC130))/AC130)))</f>
        <v/>
      </c>
      <c r="AI130" s="55">
        <f>IF(LEFT(Cockpit!$I$5,1)="A",G130,IF(BT130=1,BU130,IF(LEFT(Cockpit!$I$5,1)="B",AM130,MAX(AM130,G130))))</f>
        <v/>
      </c>
      <c r="AJ130" s="55">
        <f>IF(BO130=1,0,ROUNDUP(AI130/BN130,0))</f>
        <v/>
      </c>
      <c r="AK130" s="64">
        <f>IF(BO130=1,IF(AI130&lt;=0,0,BP130*MAX(1,IF(G130&gt;0,AI130/G130,1))),AJ130*Q130)</f>
        <v/>
      </c>
      <c r="AL130" s="55">
        <f>AI130*F130</f>
        <v/>
      </c>
      <c r="AM130" s="55">
        <f>ROUNDUP(MAX(I130/IF(BS130&gt;0,BS130,MAX(0.1,N(Cockpit!$I$6))),BV130)/BN130,0)*BN130</f>
        <v/>
      </c>
      <c r="AN130" s="56">
        <f>IF(AK130&gt;0,I130/AK130,-1)</f>
        <v/>
      </c>
      <c r="AO130" s="56">
        <f>IF(AND(OR(BR130="L1",BR130="L23"),AK130&gt;0),SUMIFS($AK$7:$AK$1570,$BR$7:$BR$1570,BR130,$AN$7:$AN$1570,"&gt;"&amp;AN130)+SUMIFS($AK$7:$AK$1570,$BR$7:$BR$1570,BR130,$AN$7:$AN$1570,AN130,$BL$7:$BL$1570,"&lt;="&amp;BL130),"")</f>
        <v/>
      </c>
      <c r="AP130" s="65">
        <f>IF(AO130="",0,MAX(0,MIN(1,(IF(BR130="L1",Parameter!$K$5,Parameter!$K$6+Parameter!$K$7)-(AO130-AK130))/AK130)))</f>
        <v/>
      </c>
      <c r="AQ130" s="55">
        <f>IF(LEFT(Cockpit!$O$5,1)="A",G130,IF(BT130=1,BU130,IF(LEFT(Cockpit!$O$5,1)="B",AU130,MAX(AU130,G130))))</f>
        <v/>
      </c>
      <c r="AR130" s="55">
        <f>IF(BO130=1,0,ROUNDUP(AQ130/BN130,0))</f>
        <v/>
      </c>
      <c r="AS130" s="64">
        <f>IF(BO130=1,IF(AQ130&lt;=0,0,BP130*MAX(1,IF(G130&gt;0,AQ130/G130,1))),AR130*Q130)</f>
        <v/>
      </c>
      <c r="AT130" s="55">
        <f>AQ130*F130</f>
        <v/>
      </c>
      <c r="AU130" s="55">
        <f>ROUNDUP(MAX(I130/IF(BS130&gt;0,BS130,MAX(0.1,N(Cockpit!$O$6))),BV130)/BN130,0)*BN130</f>
        <v/>
      </c>
      <c r="AV130" s="56">
        <f>IF(AS130&gt;0,I130/AS130,-1)</f>
        <v/>
      </c>
      <c r="AW130" s="56">
        <f>IF(AND(OR(BR130="L1",BR130="L23"),AS130&gt;0),SUMIFS($AS$7:$AS$1570,$BR$7:$BR$1570,BR130,$AV$7:$AV$1570,"&gt;"&amp;AV130)+SUMIFS($AS$7:$AS$1570,$BR$7:$BR$1570,BR130,$AV$7:$AV$1570,AV130,$BL$7:$BL$1570,"&lt;="&amp;BL130),"")</f>
        <v/>
      </c>
      <c r="AX130" s="65">
        <f>IF(AW130="",0,MAX(0,MIN(1,(IF(BR130="L1",Parameter!$K$5,Parameter!$K$6+Parameter!$K$7)-(AW130-AS130))/AS130)))</f>
        <v/>
      </c>
      <c r="AY130" s="53">
        <f>IF(AC130&lt;=0,"",IF(BR130="Aussen","Aussenlager",IF(BR130="-","Nicht im Lift",IF(AH130&gt;=1,"Lift",IF(AH130&lt;=0,"Aussenlager","teilweise")))))</f>
        <v/>
      </c>
      <c r="AZ130" s="53">
        <f>IF(AK130&lt;=0,"",IF(BR130="Aussen","Aussenlager",IF(BR130="-","Nicht im Lift",IF(AP130&gt;=1,"Lift",IF(AP130&lt;=0,"Aussenlager","teilweise")))))</f>
        <v/>
      </c>
      <c r="BA130" s="53">
        <f>IF(AS130&lt;=0,"",IF(BR130="Aussen","Aussenlager",IF(BR130="-","Nicht im Lift",IF(AX130&gt;=1,"Lift",IF(AX130&lt;=0,"Aussenlager","teilweise")))))</f>
        <v/>
      </c>
      <c r="BB130" s="53">
        <f>IF(A130="","",IF(BK130=1,"Neu; ","")&amp;IF(AND(BK130=0,BF130&lt;0),"negativer Bestand (Export "&amp;BF130&amp;"); ","")&amp;IF(I130&lt;=0,"Kein Verbrauch; ","")&amp;IF(BO130=1,"Lose – Fläche geschätzt; ","")&amp;IF(G130&gt;AM130,"Überbestand "&amp;ROUND(G130-AM130,0)&amp;" Stk / CHF "&amp;ROUND((G130-AM130)*F130,0)&amp;"; ","")&amp;IF(AND(BT130=1,BU130&lt;BV130),"MAX &lt; MB+LG; ","")&amp;IF(AND(BZ130&gt;0,BY130*10&gt;BZ130),"zu hoch für Tablar; ","")&amp;IF(AND(BK130=0,OR(BT130=1,V130&lt;&gt;"",S130&lt;&gt;"",T130&lt;&gt;"",W130&lt;&gt;"")),"manuell übersteuert; ","")&amp;IF(AND(BO130=0,Q130=0),"Gebinde unbekannt; ","")&amp;IF(AND(BO130=0,N(T130)&lt;=0,N(P130)&lt;=0),"Menge pro Gebinde fehlt (Ist = 1 Gebinde); ","")&amp;BJ130)</f>
        <v/>
      </c>
      <c r="BC130" s="53" t="n"/>
      <c r="BD130" s="53" t="n"/>
      <c r="BE130" s="61" t="n"/>
      <c r="BF130" s="55" t="n">
        <v>0</v>
      </c>
      <c r="BG130" s="55" t="n">
        <v>1</v>
      </c>
      <c r="BH130" s="54" t="n">
        <v>1745</v>
      </c>
      <c r="BI130" s="55" t="n">
        <v>3</v>
      </c>
      <c r="BJ130" s="53" t="inlineStr"/>
      <c r="BK130" s="58" t="n">
        <v>0</v>
      </c>
      <c r="BL130" s="58" t="n">
        <v>130</v>
      </c>
      <c r="BM130" s="53">
        <f>IF(S130&lt;&gt;"",UPPER(TRIM(S130)),IF(O130="","LOSE",O130))</f>
        <v/>
      </c>
      <c r="BN130" s="55">
        <f>IF(BM130="LOSE",1,IF(N(T130)&gt;0,T130,IF(N(P130)&gt;0,P130,MAX(1,G130))))</f>
        <v/>
      </c>
      <c r="BO130" s="58">
        <f>IF(BM130="LOSE",1,0)</f>
        <v/>
      </c>
      <c r="BP130" s="64">
        <f>IF(BO130=0,0,IF(N(R130)&gt;0,R130,IFERROR(VLOOKUP(D130,Parameter!$A$35:$C$64,3,0)+0,0)))</f>
        <v/>
      </c>
      <c r="BQ130" s="53">
        <f>IF(V130&lt;&gt;"",V130,U130)</f>
        <v/>
      </c>
      <c r="BR130" s="53">
        <f>IF(BQ130=1,"L1",IF(OR(BQ130=2,BQ130=3),"L23",IF(BQ130="Aussen","Aussen","-")))</f>
        <v/>
      </c>
      <c r="BS130" s="66">
        <f>IF(N(W130)&gt;0,W130,0)</f>
        <v/>
      </c>
      <c r="BT130" s="58">
        <f>IF(ISNUMBER(Z130),1,0)</f>
        <v/>
      </c>
      <c r="BU130" s="55">
        <f>N(Z130)</f>
        <v/>
      </c>
      <c r="BV130" s="55">
        <f>N(L130)+N(M130)</f>
        <v/>
      </c>
      <c r="BW130" s="55">
        <f>ROUNDUP(G130/BN130,0)</f>
        <v/>
      </c>
      <c r="BX130" s="55">
        <f>ROUNDUP(BU130/BN130,0)</f>
        <v/>
      </c>
      <c r="BY130" s="58">
        <f>IF(BO130=1,0,IFERROR(VLOOKUP(BM130,'Gebinde-Kategorie'!$A$5:$G$45,5,0)+0,0))</f>
        <v/>
      </c>
      <c r="BZ130" s="58">
        <f>IFERROR(IF(OR(BQ130=1,BQ130=2,BQ130=3),N(INDEX(Parameter!$I$5:$I$7,BQ130)),0),0)</f>
        <v/>
      </c>
    </row>
    <row r="131">
      <c r="A131" s="53" t="inlineStr">
        <is>
          <t>100893</t>
        </is>
      </c>
      <c r="B131" s="53" t="inlineStr">
        <is>
          <t>Druckfeder</t>
        </is>
      </c>
      <c r="C131" s="53" t="inlineStr">
        <is>
          <t>F</t>
        </is>
      </c>
      <c r="D131" s="53" t="inlineStr">
        <is>
          <t>PAL</t>
        </is>
      </c>
      <c r="E131" s="53" t="inlineStr">
        <is>
          <t>C</t>
        </is>
      </c>
      <c r="F131" s="54" t="n">
        <v>2.89</v>
      </c>
      <c r="G131" s="55">
        <f>MAX(0,IF(Parameter!$B$20="Jahresanfang 2025 + Export",BG131+BF131,BF131))</f>
        <v/>
      </c>
      <c r="H131" s="55">
        <f>G131*F131</f>
        <v/>
      </c>
      <c r="I131" s="55">
        <f>BI131*Parameter!$B$18</f>
        <v/>
      </c>
      <c r="J131" s="56" t="n">
        <v>333</v>
      </c>
      <c r="K131" s="57" t="n">
        <v>2.393393393393394</v>
      </c>
      <c r="L131" s="55" t="n">
        <v>112</v>
      </c>
      <c r="M131" s="55" t="n">
        <v>800</v>
      </c>
      <c r="N131" s="58" t="n">
        <v>51</v>
      </c>
      <c r="O131" s="53" t="inlineStr">
        <is>
          <t>S63</t>
        </is>
      </c>
      <c r="P131" s="55" t="n">
        <v>250</v>
      </c>
      <c r="Q131" s="59">
        <f>IF(BO131=1,0,IFERROR(VLOOKUP(BM131,'Gebinde-Kategorie'!$A$5:$G$45,6,0)+0,0))</f>
        <v/>
      </c>
      <c r="R131" s="60" t="n"/>
      <c r="S131" s="61" t="n"/>
      <c r="T131" s="61" t="n"/>
      <c r="U131" s="53">
        <f>IF(A131="","",IF(IFERROR(VLOOKUP(D131,Parameter!$A$35:$C$64,2,0),"Nein")="2+3",IF(ISNUMBER(SEARCH("grosser Artikel",BJ131)),2,IFERROR(VLOOKUP(BM131,Parameter!$F$35:$G$64,2,0),2)),IF(OR(IFERROR(VLOOKUP(D131,Parameter!$A$35:$C$64,2,0),"Nein")="Nein",IFERROR(VLOOKUP(D131,Parameter!$A$35:$C$64,2,0),"Nein")=""),"-",VLOOKUP(D131,Parameter!$A$35:$C$64,2,0))))</f>
        <v/>
      </c>
      <c r="V131" s="61" t="n"/>
      <c r="W131" s="62" t="n"/>
      <c r="X131" s="55">
        <f>AM131</f>
        <v/>
      </c>
      <c r="Y131" s="55">
        <f>MAX(AM131,G131)</f>
        <v/>
      </c>
      <c r="Z131" s="63" t="n"/>
      <c r="AA131" s="55">
        <f>IF(LEFT(Cockpit!$C$5,1)="A",G131,IF(BT131=1,BU131,IF(LEFT(Cockpit!$C$5,1)="B",AE131,MAX(AE131,G131))))</f>
        <v/>
      </c>
      <c r="AB131" s="55">
        <f>IF(BO131=1,0,ROUNDUP(AA131/BN131,0))</f>
        <v/>
      </c>
      <c r="AC131" s="64">
        <f>IF(BO131=1,IF(AA131&lt;=0,0,BP131*MAX(1,IF(G131&gt;0,AA131/G131,1))),AB131*Q131)</f>
        <v/>
      </c>
      <c r="AD131" s="55">
        <f>AA131*F131</f>
        <v/>
      </c>
      <c r="AE131" s="55">
        <f>ROUNDUP(MAX(I131/IF(BS131&gt;0,BS131,MAX(0.1,N(Cockpit!$C$6))),BV131)/BN131,0)*BN131</f>
        <v/>
      </c>
      <c r="AF131" s="56">
        <f>IF(AC131&gt;0,I131/AC131,-1)</f>
        <v/>
      </c>
      <c r="AG131" s="56">
        <f>IF(AND(OR(BR131="L1",BR131="L23"),AC131&gt;0),SUMIFS($AC$7:$AC$1570,$BR$7:$BR$1570,BR131,$AF$7:$AF$1570,"&gt;"&amp;AF131)+SUMIFS($AC$7:$AC$1570,$BR$7:$BR$1570,BR131,$AF$7:$AF$1570,AF131,$BL$7:$BL$1570,"&lt;="&amp;BL131),"")</f>
        <v/>
      </c>
      <c r="AH131" s="65">
        <f>IF(AG131="",0,MAX(0,MIN(1,(IF(BR131="L1",Parameter!$K$5,Parameter!$K$6+Parameter!$K$7)-(AG131-AC131))/AC131)))</f>
        <v/>
      </c>
      <c r="AI131" s="55">
        <f>IF(LEFT(Cockpit!$I$5,1)="A",G131,IF(BT131=1,BU131,IF(LEFT(Cockpit!$I$5,1)="B",AM131,MAX(AM131,G131))))</f>
        <v/>
      </c>
      <c r="AJ131" s="55">
        <f>IF(BO131=1,0,ROUNDUP(AI131/BN131,0))</f>
        <v/>
      </c>
      <c r="AK131" s="64">
        <f>IF(BO131=1,IF(AI131&lt;=0,0,BP131*MAX(1,IF(G131&gt;0,AI131/G131,1))),AJ131*Q131)</f>
        <v/>
      </c>
      <c r="AL131" s="55">
        <f>AI131*F131</f>
        <v/>
      </c>
      <c r="AM131" s="55">
        <f>ROUNDUP(MAX(I131/IF(BS131&gt;0,BS131,MAX(0.1,N(Cockpit!$I$6))),BV131)/BN131,0)*BN131</f>
        <v/>
      </c>
      <c r="AN131" s="56">
        <f>IF(AK131&gt;0,I131/AK131,-1)</f>
        <v/>
      </c>
      <c r="AO131" s="56">
        <f>IF(AND(OR(BR131="L1",BR131="L23"),AK131&gt;0),SUMIFS($AK$7:$AK$1570,$BR$7:$BR$1570,BR131,$AN$7:$AN$1570,"&gt;"&amp;AN131)+SUMIFS($AK$7:$AK$1570,$BR$7:$BR$1570,BR131,$AN$7:$AN$1570,AN131,$BL$7:$BL$1570,"&lt;="&amp;BL131),"")</f>
        <v/>
      </c>
      <c r="AP131" s="65">
        <f>IF(AO131="",0,MAX(0,MIN(1,(IF(BR131="L1",Parameter!$K$5,Parameter!$K$6+Parameter!$K$7)-(AO131-AK131))/AK131)))</f>
        <v/>
      </c>
      <c r="AQ131" s="55">
        <f>IF(LEFT(Cockpit!$O$5,1)="A",G131,IF(BT131=1,BU131,IF(LEFT(Cockpit!$O$5,1)="B",AU131,MAX(AU131,G131))))</f>
        <v/>
      </c>
      <c r="AR131" s="55">
        <f>IF(BO131=1,0,ROUNDUP(AQ131/BN131,0))</f>
        <v/>
      </c>
      <c r="AS131" s="64">
        <f>IF(BO131=1,IF(AQ131&lt;=0,0,BP131*MAX(1,IF(G131&gt;0,AQ131/G131,1))),AR131*Q131)</f>
        <v/>
      </c>
      <c r="AT131" s="55">
        <f>AQ131*F131</f>
        <v/>
      </c>
      <c r="AU131" s="55">
        <f>ROUNDUP(MAX(I131/IF(BS131&gt;0,BS131,MAX(0.1,N(Cockpit!$O$6))),BV131)/BN131,0)*BN131</f>
        <v/>
      </c>
      <c r="AV131" s="56">
        <f>IF(AS131&gt;0,I131/AS131,-1)</f>
        <v/>
      </c>
      <c r="AW131" s="56">
        <f>IF(AND(OR(BR131="L1",BR131="L23"),AS131&gt;0),SUMIFS($AS$7:$AS$1570,$BR$7:$BR$1570,BR131,$AV$7:$AV$1570,"&gt;"&amp;AV131)+SUMIFS($AS$7:$AS$1570,$BR$7:$BR$1570,BR131,$AV$7:$AV$1570,AV131,$BL$7:$BL$1570,"&lt;="&amp;BL131),"")</f>
        <v/>
      </c>
      <c r="AX131" s="65">
        <f>IF(AW131="",0,MAX(0,MIN(1,(IF(BR131="L1",Parameter!$K$5,Parameter!$K$6+Parameter!$K$7)-(AW131-AS131))/AS131)))</f>
        <v/>
      </c>
      <c r="AY131" s="53">
        <f>IF(AC131&lt;=0,"",IF(BR131="Aussen","Aussenlager",IF(BR131="-","Nicht im Lift",IF(AH131&gt;=1,"Lift",IF(AH131&lt;=0,"Aussenlager","teilweise")))))</f>
        <v/>
      </c>
      <c r="AZ131" s="53">
        <f>IF(AK131&lt;=0,"",IF(BR131="Aussen","Aussenlager",IF(BR131="-","Nicht im Lift",IF(AP131&gt;=1,"Lift",IF(AP131&lt;=0,"Aussenlager","teilweise")))))</f>
        <v/>
      </c>
      <c r="BA131" s="53">
        <f>IF(AS131&lt;=0,"",IF(BR131="Aussen","Aussenlager",IF(BR131="-","Nicht im Lift",IF(AX131&gt;=1,"Lift",IF(AX131&lt;=0,"Aussenlager","teilweise")))))</f>
        <v/>
      </c>
      <c r="BB131" s="53">
        <f>IF(A131="","",IF(BK131=1,"Neu; ","")&amp;IF(AND(BK131=0,BF131&lt;0),"negativer Bestand (Export "&amp;BF131&amp;"); ","")&amp;IF(I131&lt;=0,"Kein Verbrauch; ","")&amp;IF(BO131=1,"Lose – Fläche geschätzt; ","")&amp;IF(G131&gt;AM131,"Überbestand "&amp;ROUND(G131-AM131,0)&amp;" Stk / CHF "&amp;ROUND((G131-AM131)*F131,0)&amp;"; ","")&amp;IF(AND(BT131=1,BU131&lt;BV131),"MAX &lt; MB+LG; ","")&amp;IF(AND(BZ131&gt;0,BY131*10&gt;BZ131),"zu hoch für Tablar; ","")&amp;IF(AND(BK131=0,OR(BT131=1,V131&lt;&gt;"",S131&lt;&gt;"",T131&lt;&gt;"",W131&lt;&gt;"")),"manuell übersteuert; ","")&amp;IF(AND(BO131=0,Q131=0),"Gebinde unbekannt; ","")&amp;IF(AND(BO131=0,N(T131)&lt;=0,N(P131)&lt;=0),"Menge pro Gebinde fehlt (Ist = 1 Gebinde); ","")&amp;BJ131)</f>
        <v/>
      </c>
      <c r="BC131" s="53" t="n"/>
      <c r="BD131" s="53" t="n"/>
      <c r="BE131" s="61" t="n"/>
      <c r="BF131" s="55" t="n">
        <v>567</v>
      </c>
      <c r="BG131" s="55" t="n">
        <v>225</v>
      </c>
      <c r="BH131" s="54" t="n">
        <v>1734.110000000001</v>
      </c>
      <c r="BI131" s="55" t="n">
        <v>797</v>
      </c>
      <c r="BJ131" s="53" t="inlineStr">
        <is>
          <t>gehört dieser Artikel ins KTL ?</t>
        </is>
      </c>
      <c r="BK131" s="58" t="n">
        <v>0</v>
      </c>
      <c r="BL131" s="58" t="n">
        <v>131</v>
      </c>
      <c r="BM131" s="53">
        <f>IF(S131&lt;&gt;"",UPPER(TRIM(S131)),IF(O131="","LOSE",O131))</f>
        <v/>
      </c>
      <c r="BN131" s="55">
        <f>IF(BM131="LOSE",1,IF(N(T131)&gt;0,T131,IF(N(P131)&gt;0,P131,MAX(1,G131))))</f>
        <v/>
      </c>
      <c r="BO131" s="58">
        <f>IF(BM131="LOSE",1,0)</f>
        <v/>
      </c>
      <c r="BP131" s="64">
        <f>IF(BO131=0,0,IF(N(R131)&gt;0,R131,IFERROR(VLOOKUP(D131,Parameter!$A$35:$C$64,3,0)+0,0)))</f>
        <v/>
      </c>
      <c r="BQ131" s="53">
        <f>IF(V131&lt;&gt;"",V131,U131)</f>
        <v/>
      </c>
      <c r="BR131" s="53">
        <f>IF(BQ131=1,"L1",IF(OR(BQ131=2,BQ131=3),"L23",IF(BQ131="Aussen","Aussen","-")))</f>
        <v/>
      </c>
      <c r="BS131" s="66">
        <f>IF(N(W131)&gt;0,W131,0)</f>
        <v/>
      </c>
      <c r="BT131" s="58">
        <f>IF(ISNUMBER(Z131),1,0)</f>
        <v/>
      </c>
      <c r="BU131" s="55">
        <f>N(Z131)</f>
        <v/>
      </c>
      <c r="BV131" s="55">
        <f>N(L131)+N(M131)</f>
        <v/>
      </c>
      <c r="BW131" s="55">
        <f>ROUNDUP(G131/BN131,0)</f>
        <v/>
      </c>
      <c r="BX131" s="55">
        <f>ROUNDUP(BU131/BN131,0)</f>
        <v/>
      </c>
      <c r="BY131" s="58">
        <f>IF(BO131=1,0,IFERROR(VLOOKUP(BM131,'Gebinde-Kategorie'!$A$5:$G$45,5,0)+0,0))</f>
        <v/>
      </c>
      <c r="BZ131" s="58">
        <f>IFERROR(IF(OR(BQ131=1,BQ131=2,BQ131=3),N(INDEX(Parameter!$I$5:$I$7,BQ131)),0),0)</f>
        <v/>
      </c>
    </row>
    <row r="132">
      <c r="A132" s="53" t="inlineStr">
        <is>
          <t>106009</t>
        </is>
      </c>
      <c r="B132" s="53" t="inlineStr">
        <is>
          <t>O-Ring</t>
        </is>
      </c>
      <c r="C132" s="53" t="inlineStr">
        <is>
          <t>F</t>
        </is>
      </c>
      <c r="D132" s="53" t="inlineStr">
        <is>
          <t>KTL</t>
        </is>
      </c>
      <c r="E132" s="53" t="inlineStr">
        <is>
          <t>C</t>
        </is>
      </c>
      <c r="F132" s="54" t="n">
        <v>7.89</v>
      </c>
      <c r="G132" s="55">
        <f>MAX(0,IF(Parameter!$B$20="Jahresanfang 2025 + Export",BG132+BF132,BF132))</f>
        <v/>
      </c>
      <c r="H132" s="55">
        <f>G132*F132</f>
        <v/>
      </c>
      <c r="I132" s="55">
        <f>BI132*Parameter!$B$18</f>
        <v/>
      </c>
      <c r="J132" s="56" t="n">
        <v>72.5</v>
      </c>
      <c r="K132" s="57" t="n">
        <v>5.393103448275862</v>
      </c>
      <c r="L132" s="55" t="n">
        <v>15</v>
      </c>
      <c r="M132" s="55" t="n">
        <v>390</v>
      </c>
      <c r="N132" s="58" t="n">
        <v>14</v>
      </c>
      <c r="O132" s="53" t="inlineStr">
        <is>
          <t>S41</t>
        </is>
      </c>
      <c r="P132" s="55" t="n">
        <v>178</v>
      </c>
      <c r="Q132" s="59">
        <f>IF(BO132=1,0,IFERROR(VLOOKUP(BM132,'Gebinde-Kategorie'!$A$5:$G$45,6,0)+0,0))</f>
        <v/>
      </c>
      <c r="R132" s="60" t="n"/>
      <c r="S132" s="61" t="n"/>
      <c r="T132" s="61" t="n"/>
      <c r="U132" s="53">
        <f>IF(A132="","",IF(IFERROR(VLOOKUP(D132,Parameter!$A$35:$C$64,2,0),"Nein")="2+3",IF(ISNUMBER(SEARCH("grosser Artikel",BJ132)),2,IFERROR(VLOOKUP(BM132,Parameter!$F$35:$G$64,2,0),2)),IF(OR(IFERROR(VLOOKUP(D132,Parameter!$A$35:$C$64,2,0),"Nein")="Nein",IFERROR(VLOOKUP(D132,Parameter!$A$35:$C$64,2,0),"Nein")=""),"-",VLOOKUP(D132,Parameter!$A$35:$C$64,2,0))))</f>
        <v/>
      </c>
      <c r="V132" s="61" t="n"/>
      <c r="W132" s="62" t="n"/>
      <c r="X132" s="55">
        <f>AM132</f>
        <v/>
      </c>
      <c r="Y132" s="55">
        <f>MAX(AM132,G132)</f>
        <v/>
      </c>
      <c r="Z132" s="63" t="n"/>
      <c r="AA132" s="55">
        <f>IF(LEFT(Cockpit!$C$5,1)="A",G132,IF(BT132=1,BU132,IF(LEFT(Cockpit!$C$5,1)="B",AE132,MAX(AE132,G132))))</f>
        <v/>
      </c>
      <c r="AB132" s="55">
        <f>IF(BO132=1,0,ROUNDUP(AA132/BN132,0))</f>
        <v/>
      </c>
      <c r="AC132" s="64">
        <f>IF(BO132=1,IF(AA132&lt;=0,0,BP132*MAX(1,IF(G132&gt;0,AA132/G132,1))),AB132*Q132)</f>
        <v/>
      </c>
      <c r="AD132" s="55">
        <f>AA132*F132</f>
        <v/>
      </c>
      <c r="AE132" s="55">
        <f>ROUNDUP(MAX(I132/IF(BS132&gt;0,BS132,MAX(0.1,N(Cockpit!$C$6))),BV132)/BN132,0)*BN132</f>
        <v/>
      </c>
      <c r="AF132" s="56">
        <f>IF(AC132&gt;0,I132/AC132,-1)</f>
        <v/>
      </c>
      <c r="AG132" s="56">
        <f>IF(AND(OR(BR132="L1",BR132="L23"),AC132&gt;0),SUMIFS($AC$7:$AC$1570,$BR$7:$BR$1570,BR132,$AF$7:$AF$1570,"&gt;"&amp;AF132)+SUMIFS($AC$7:$AC$1570,$BR$7:$BR$1570,BR132,$AF$7:$AF$1570,AF132,$BL$7:$BL$1570,"&lt;="&amp;BL132),"")</f>
        <v/>
      </c>
      <c r="AH132" s="65">
        <f>IF(AG132="",0,MAX(0,MIN(1,(IF(BR132="L1",Parameter!$K$5,Parameter!$K$6+Parameter!$K$7)-(AG132-AC132))/AC132)))</f>
        <v/>
      </c>
      <c r="AI132" s="55">
        <f>IF(LEFT(Cockpit!$I$5,1)="A",G132,IF(BT132=1,BU132,IF(LEFT(Cockpit!$I$5,1)="B",AM132,MAX(AM132,G132))))</f>
        <v/>
      </c>
      <c r="AJ132" s="55">
        <f>IF(BO132=1,0,ROUNDUP(AI132/BN132,0))</f>
        <v/>
      </c>
      <c r="AK132" s="64">
        <f>IF(BO132=1,IF(AI132&lt;=0,0,BP132*MAX(1,IF(G132&gt;0,AI132/G132,1))),AJ132*Q132)</f>
        <v/>
      </c>
      <c r="AL132" s="55">
        <f>AI132*F132</f>
        <v/>
      </c>
      <c r="AM132" s="55">
        <f>ROUNDUP(MAX(I132/IF(BS132&gt;0,BS132,MAX(0.1,N(Cockpit!$I$6))),BV132)/BN132,0)*BN132</f>
        <v/>
      </c>
      <c r="AN132" s="56">
        <f>IF(AK132&gt;0,I132/AK132,-1)</f>
        <v/>
      </c>
      <c r="AO132" s="56">
        <f>IF(AND(OR(BR132="L1",BR132="L23"),AK132&gt;0),SUMIFS($AK$7:$AK$1570,$BR$7:$BR$1570,BR132,$AN$7:$AN$1570,"&gt;"&amp;AN132)+SUMIFS($AK$7:$AK$1570,$BR$7:$BR$1570,BR132,$AN$7:$AN$1570,AN132,$BL$7:$BL$1570,"&lt;="&amp;BL132),"")</f>
        <v/>
      </c>
      <c r="AP132" s="65">
        <f>IF(AO132="",0,MAX(0,MIN(1,(IF(BR132="L1",Parameter!$K$5,Parameter!$K$6+Parameter!$K$7)-(AO132-AK132))/AK132)))</f>
        <v/>
      </c>
      <c r="AQ132" s="55">
        <f>IF(LEFT(Cockpit!$O$5,1)="A",G132,IF(BT132=1,BU132,IF(LEFT(Cockpit!$O$5,1)="B",AU132,MAX(AU132,G132))))</f>
        <v/>
      </c>
      <c r="AR132" s="55">
        <f>IF(BO132=1,0,ROUNDUP(AQ132/BN132,0))</f>
        <v/>
      </c>
      <c r="AS132" s="64">
        <f>IF(BO132=1,IF(AQ132&lt;=0,0,BP132*MAX(1,IF(G132&gt;0,AQ132/G132,1))),AR132*Q132)</f>
        <v/>
      </c>
      <c r="AT132" s="55">
        <f>AQ132*F132</f>
        <v/>
      </c>
      <c r="AU132" s="55">
        <f>ROUNDUP(MAX(I132/IF(BS132&gt;0,BS132,MAX(0.1,N(Cockpit!$O$6))),BV132)/BN132,0)*BN132</f>
        <v/>
      </c>
      <c r="AV132" s="56">
        <f>IF(AS132&gt;0,I132/AS132,-1)</f>
        <v/>
      </c>
      <c r="AW132" s="56">
        <f>IF(AND(OR(BR132="L1",BR132="L23"),AS132&gt;0),SUMIFS($AS$7:$AS$1570,$BR$7:$BR$1570,BR132,$AV$7:$AV$1570,"&gt;"&amp;AV132)+SUMIFS($AS$7:$AS$1570,$BR$7:$BR$1570,BR132,$AV$7:$AV$1570,AV132,$BL$7:$BL$1570,"&lt;="&amp;BL132),"")</f>
        <v/>
      </c>
      <c r="AX132" s="65">
        <f>IF(AW132="",0,MAX(0,MIN(1,(IF(BR132="L1",Parameter!$K$5,Parameter!$K$6+Parameter!$K$7)-(AW132-AS132))/AS132)))</f>
        <v/>
      </c>
      <c r="AY132" s="53">
        <f>IF(AC132&lt;=0,"",IF(BR132="Aussen","Aussenlager",IF(BR132="-","Nicht im Lift",IF(AH132&gt;=1,"Lift",IF(AH132&lt;=0,"Aussenlager","teilweise")))))</f>
        <v/>
      </c>
      <c r="AZ132" s="53">
        <f>IF(AK132&lt;=0,"",IF(BR132="Aussen","Aussenlager",IF(BR132="-","Nicht im Lift",IF(AP132&gt;=1,"Lift",IF(AP132&lt;=0,"Aussenlager","teilweise")))))</f>
        <v/>
      </c>
      <c r="BA132" s="53">
        <f>IF(AS132&lt;=0,"",IF(BR132="Aussen","Aussenlager",IF(BR132="-","Nicht im Lift",IF(AX132&gt;=1,"Lift",IF(AX132&lt;=0,"Aussenlager","teilweise")))))</f>
        <v/>
      </c>
      <c r="BB132" s="53">
        <f>IF(A132="","",IF(BK132=1,"Neu; ","")&amp;IF(AND(BK132=0,BF132&lt;0),"negativer Bestand (Export "&amp;BF132&amp;"); ","")&amp;IF(I132&lt;=0,"Kein Verbrauch; ","")&amp;IF(BO132=1,"Lose – Fläche geschätzt; ","")&amp;IF(G132&gt;AM132,"Überbestand "&amp;ROUND(G132-AM132,0)&amp;" Stk / CHF "&amp;ROUND((G132-AM132)*F132,0)&amp;"; ","")&amp;IF(AND(BT132=1,BU132&lt;BV132),"MAX &lt; MB+LG; ","")&amp;IF(AND(BZ132&gt;0,BY132*10&gt;BZ132),"zu hoch für Tablar; ","")&amp;IF(AND(BK132=0,OR(BT132=1,V132&lt;&gt;"",S132&lt;&gt;"",T132&lt;&gt;"",W132&lt;&gt;"")),"manuell übersteuert; ","")&amp;IF(AND(BO132=0,Q132=0),"Gebinde unbekannt; ","")&amp;IF(AND(BO132=0,N(T132)&lt;=0,N(P132)&lt;=0),"Menge pro Gebinde fehlt (Ist = 1 Gebinde); ","")&amp;BJ132)</f>
        <v/>
      </c>
      <c r="BC132" s="53" t="n"/>
      <c r="BD132" s="53" t="n"/>
      <c r="BE132" s="61" t="n"/>
      <c r="BF132" s="55" t="n">
        <v>217</v>
      </c>
      <c r="BG132" s="55" t="n">
        <v>46</v>
      </c>
      <c r="BH132" s="54" t="n">
        <v>1710.09</v>
      </c>
      <c r="BI132" s="55" t="n">
        <v>391</v>
      </c>
      <c r="BJ132" s="53" t="inlineStr"/>
      <c r="BK132" s="58" t="n">
        <v>0</v>
      </c>
      <c r="BL132" s="58" t="n">
        <v>132</v>
      </c>
      <c r="BM132" s="53">
        <f>IF(S132&lt;&gt;"",UPPER(TRIM(S132)),IF(O132="","LOSE",O132))</f>
        <v/>
      </c>
      <c r="BN132" s="55">
        <f>IF(BM132="LOSE",1,IF(N(T132)&gt;0,T132,IF(N(P132)&gt;0,P132,MAX(1,G132))))</f>
        <v/>
      </c>
      <c r="BO132" s="58">
        <f>IF(BM132="LOSE",1,0)</f>
        <v/>
      </c>
      <c r="BP132" s="64">
        <f>IF(BO132=0,0,IF(N(R132)&gt;0,R132,IFERROR(VLOOKUP(D132,Parameter!$A$35:$C$64,3,0)+0,0)))</f>
        <v/>
      </c>
      <c r="BQ132" s="53">
        <f>IF(V132&lt;&gt;"",V132,U132)</f>
        <v/>
      </c>
      <c r="BR132" s="53">
        <f>IF(BQ132=1,"L1",IF(OR(BQ132=2,BQ132=3),"L23",IF(BQ132="Aussen","Aussen","-")))</f>
        <v/>
      </c>
      <c r="BS132" s="66">
        <f>IF(N(W132)&gt;0,W132,0)</f>
        <v/>
      </c>
      <c r="BT132" s="58">
        <f>IF(ISNUMBER(Z132),1,0)</f>
        <v/>
      </c>
      <c r="BU132" s="55">
        <f>N(Z132)</f>
        <v/>
      </c>
      <c r="BV132" s="55">
        <f>N(L132)+N(M132)</f>
        <v/>
      </c>
      <c r="BW132" s="55">
        <f>ROUNDUP(G132/BN132,0)</f>
        <v/>
      </c>
      <c r="BX132" s="55">
        <f>ROUNDUP(BU132/BN132,0)</f>
        <v/>
      </c>
      <c r="BY132" s="58">
        <f>IF(BO132=1,0,IFERROR(VLOOKUP(BM132,'Gebinde-Kategorie'!$A$5:$G$45,5,0)+0,0))</f>
        <v/>
      </c>
      <c r="BZ132" s="58">
        <f>IFERROR(IF(OR(BQ132=1,BQ132=2,BQ132=3),N(INDEX(Parameter!$I$5:$I$7,BQ132)),0),0)</f>
        <v/>
      </c>
    </row>
    <row r="133">
      <c r="A133" s="53" t="inlineStr">
        <is>
          <t>100187</t>
        </is>
      </c>
      <c r="B133" s="53" t="inlineStr">
        <is>
          <t>Dichtscheibe</t>
        </is>
      </c>
      <c r="C133" s="53" t="inlineStr">
        <is>
          <t>F</t>
        </is>
      </c>
      <c r="D133" s="53" t="inlineStr">
        <is>
          <t>KTL</t>
        </is>
      </c>
      <c r="E133" s="53" t="inlineStr">
        <is>
          <t>C</t>
        </is>
      </c>
      <c r="F133" s="54" t="n">
        <v>1.3</v>
      </c>
      <c r="G133" s="55">
        <f>MAX(0,IF(Parameter!$B$20="Jahresanfang 2025 + Export",BG133+BF133,BF133))</f>
        <v/>
      </c>
      <c r="H133" s="55">
        <f>G133*F133</f>
        <v/>
      </c>
      <c r="I133" s="55">
        <f>BI133*Parameter!$B$18</f>
        <v/>
      </c>
      <c r="J133" s="56" t="n">
        <v>739</v>
      </c>
      <c r="K133" s="57" t="n">
        <v>3.208389715832206</v>
      </c>
      <c r="L133" s="55" t="n">
        <v>100</v>
      </c>
      <c r="M133" s="55" t="n">
        <v>2145</v>
      </c>
      <c r="N133" s="58" t="n">
        <v>14</v>
      </c>
      <c r="O133" s="53" t="inlineStr">
        <is>
          <t>S33</t>
        </is>
      </c>
      <c r="P133" s="55" t="n">
        <v>1988</v>
      </c>
      <c r="Q133" s="59">
        <f>IF(BO133=1,0,IFERROR(VLOOKUP(BM133,'Gebinde-Kategorie'!$A$5:$G$45,6,0)+0,0))</f>
        <v/>
      </c>
      <c r="R133" s="60" t="n"/>
      <c r="S133" s="61" t="n"/>
      <c r="T133" s="61" t="n"/>
      <c r="U133" s="53">
        <f>IF(A133="","",IF(IFERROR(VLOOKUP(D133,Parameter!$A$35:$C$64,2,0),"Nein")="2+3",IF(ISNUMBER(SEARCH("grosser Artikel",BJ133)),2,IFERROR(VLOOKUP(BM133,Parameter!$F$35:$G$64,2,0),2)),IF(OR(IFERROR(VLOOKUP(D133,Parameter!$A$35:$C$64,2,0),"Nein")="Nein",IFERROR(VLOOKUP(D133,Parameter!$A$35:$C$64,2,0),"Nein")=""),"-",VLOOKUP(D133,Parameter!$A$35:$C$64,2,0))))</f>
        <v/>
      </c>
      <c r="V133" s="61" t="n"/>
      <c r="W133" s="62" t="n"/>
      <c r="X133" s="55">
        <f>AM133</f>
        <v/>
      </c>
      <c r="Y133" s="55">
        <f>MAX(AM133,G133)</f>
        <v/>
      </c>
      <c r="Z133" s="63" t="n"/>
      <c r="AA133" s="55">
        <f>IF(LEFT(Cockpit!$C$5,1)="A",G133,IF(BT133=1,BU133,IF(LEFT(Cockpit!$C$5,1)="B",AE133,MAX(AE133,G133))))</f>
        <v/>
      </c>
      <c r="AB133" s="55">
        <f>IF(BO133=1,0,ROUNDUP(AA133/BN133,0))</f>
        <v/>
      </c>
      <c r="AC133" s="64">
        <f>IF(BO133=1,IF(AA133&lt;=0,0,BP133*MAX(1,IF(G133&gt;0,AA133/G133,1))),AB133*Q133)</f>
        <v/>
      </c>
      <c r="AD133" s="55">
        <f>AA133*F133</f>
        <v/>
      </c>
      <c r="AE133" s="55">
        <f>ROUNDUP(MAX(I133/IF(BS133&gt;0,BS133,MAX(0.1,N(Cockpit!$C$6))),BV133)/BN133,0)*BN133</f>
        <v/>
      </c>
      <c r="AF133" s="56">
        <f>IF(AC133&gt;0,I133/AC133,-1)</f>
        <v/>
      </c>
      <c r="AG133" s="56">
        <f>IF(AND(OR(BR133="L1",BR133="L23"),AC133&gt;0),SUMIFS($AC$7:$AC$1570,$BR$7:$BR$1570,BR133,$AF$7:$AF$1570,"&gt;"&amp;AF133)+SUMIFS($AC$7:$AC$1570,$BR$7:$BR$1570,BR133,$AF$7:$AF$1570,AF133,$BL$7:$BL$1570,"&lt;="&amp;BL133),"")</f>
        <v/>
      </c>
      <c r="AH133" s="65">
        <f>IF(AG133="",0,MAX(0,MIN(1,(IF(BR133="L1",Parameter!$K$5,Parameter!$K$6+Parameter!$K$7)-(AG133-AC133))/AC133)))</f>
        <v/>
      </c>
      <c r="AI133" s="55">
        <f>IF(LEFT(Cockpit!$I$5,1)="A",G133,IF(BT133=1,BU133,IF(LEFT(Cockpit!$I$5,1)="B",AM133,MAX(AM133,G133))))</f>
        <v/>
      </c>
      <c r="AJ133" s="55">
        <f>IF(BO133=1,0,ROUNDUP(AI133/BN133,0))</f>
        <v/>
      </c>
      <c r="AK133" s="64">
        <f>IF(BO133=1,IF(AI133&lt;=0,0,BP133*MAX(1,IF(G133&gt;0,AI133/G133,1))),AJ133*Q133)</f>
        <v/>
      </c>
      <c r="AL133" s="55">
        <f>AI133*F133</f>
        <v/>
      </c>
      <c r="AM133" s="55">
        <f>ROUNDUP(MAX(I133/IF(BS133&gt;0,BS133,MAX(0.1,N(Cockpit!$I$6))),BV133)/BN133,0)*BN133</f>
        <v/>
      </c>
      <c r="AN133" s="56">
        <f>IF(AK133&gt;0,I133/AK133,-1)</f>
        <v/>
      </c>
      <c r="AO133" s="56">
        <f>IF(AND(OR(BR133="L1",BR133="L23"),AK133&gt;0),SUMIFS($AK$7:$AK$1570,$BR$7:$BR$1570,BR133,$AN$7:$AN$1570,"&gt;"&amp;AN133)+SUMIFS($AK$7:$AK$1570,$BR$7:$BR$1570,BR133,$AN$7:$AN$1570,AN133,$BL$7:$BL$1570,"&lt;="&amp;BL133),"")</f>
        <v/>
      </c>
      <c r="AP133" s="65">
        <f>IF(AO133="",0,MAX(0,MIN(1,(IF(BR133="L1",Parameter!$K$5,Parameter!$K$6+Parameter!$K$7)-(AO133-AK133))/AK133)))</f>
        <v/>
      </c>
      <c r="AQ133" s="55">
        <f>IF(LEFT(Cockpit!$O$5,1)="A",G133,IF(BT133=1,BU133,IF(LEFT(Cockpit!$O$5,1)="B",AU133,MAX(AU133,G133))))</f>
        <v/>
      </c>
      <c r="AR133" s="55">
        <f>IF(BO133=1,0,ROUNDUP(AQ133/BN133,0))</f>
        <v/>
      </c>
      <c r="AS133" s="64">
        <f>IF(BO133=1,IF(AQ133&lt;=0,0,BP133*MAX(1,IF(G133&gt;0,AQ133/G133,1))),AR133*Q133)</f>
        <v/>
      </c>
      <c r="AT133" s="55">
        <f>AQ133*F133</f>
        <v/>
      </c>
      <c r="AU133" s="55">
        <f>ROUNDUP(MAX(I133/IF(BS133&gt;0,BS133,MAX(0.1,N(Cockpit!$O$6))),BV133)/BN133,0)*BN133</f>
        <v/>
      </c>
      <c r="AV133" s="56">
        <f>IF(AS133&gt;0,I133/AS133,-1)</f>
        <v/>
      </c>
      <c r="AW133" s="56">
        <f>IF(AND(OR(BR133="L1",BR133="L23"),AS133&gt;0),SUMIFS($AS$7:$AS$1570,$BR$7:$BR$1570,BR133,$AV$7:$AV$1570,"&gt;"&amp;AV133)+SUMIFS($AS$7:$AS$1570,$BR$7:$BR$1570,BR133,$AV$7:$AV$1570,AV133,$BL$7:$BL$1570,"&lt;="&amp;BL133),"")</f>
        <v/>
      </c>
      <c r="AX133" s="65">
        <f>IF(AW133="",0,MAX(0,MIN(1,(IF(BR133="L1",Parameter!$K$5,Parameter!$K$6+Parameter!$K$7)-(AW133-AS133))/AS133)))</f>
        <v/>
      </c>
      <c r="AY133" s="53">
        <f>IF(AC133&lt;=0,"",IF(BR133="Aussen","Aussenlager",IF(BR133="-","Nicht im Lift",IF(AH133&gt;=1,"Lift",IF(AH133&lt;=0,"Aussenlager","teilweise")))))</f>
        <v/>
      </c>
      <c r="AZ133" s="53">
        <f>IF(AK133&lt;=0,"",IF(BR133="Aussen","Aussenlager",IF(BR133="-","Nicht im Lift",IF(AP133&gt;=1,"Lift",IF(AP133&lt;=0,"Aussenlager","teilweise")))))</f>
        <v/>
      </c>
      <c r="BA133" s="53">
        <f>IF(AS133&lt;=0,"",IF(BR133="Aussen","Aussenlager",IF(BR133="-","Nicht im Lift",IF(AX133&gt;=1,"Lift",IF(AX133&lt;=0,"Aussenlager","teilweise")))))</f>
        <v/>
      </c>
      <c r="BB133" s="53">
        <f>IF(A133="","",IF(BK133=1,"Neu; ","")&amp;IF(AND(BK133=0,BF133&lt;0),"negativer Bestand (Export "&amp;BF133&amp;"); ","")&amp;IF(I133&lt;=0,"Kein Verbrauch; ","")&amp;IF(BO133=1,"Lose – Fläche geschätzt; ","")&amp;IF(G133&gt;AM133,"Überbestand "&amp;ROUND(G133-AM133,0)&amp;" Stk / CHF "&amp;ROUND((G133-AM133)*F133,0)&amp;"; ","")&amp;IF(AND(BT133=1,BU133&lt;BV133),"MAX &lt; MB+LG; ","")&amp;IF(AND(BZ133&gt;0,BY133*10&gt;BZ133),"zu hoch für Tablar; ","")&amp;IF(AND(BK133=0,OR(BT133=1,V133&lt;&gt;"",S133&lt;&gt;"",T133&lt;&gt;"",W133&lt;&gt;"")),"manuell übersteuert; ","")&amp;IF(AND(BO133=0,Q133=0),"Gebinde unbekannt; ","")&amp;IF(AND(BO133=0,N(T133)&lt;=0,N(P133)&lt;=0),"Menge pro Gebinde fehlt (Ist = 1 Gebinde); ","")&amp;BJ133)</f>
        <v/>
      </c>
      <c r="BC133" s="53" t="n"/>
      <c r="BD133" s="53" t="n"/>
      <c r="BE133" s="61" t="n"/>
      <c r="BF133" s="55" t="n">
        <v>1387</v>
      </c>
      <c r="BG133" s="55" t="n">
        <v>670</v>
      </c>
      <c r="BH133" s="54" t="n">
        <v>1675.100000000009</v>
      </c>
      <c r="BI133" s="55" t="n">
        <v>2371</v>
      </c>
      <c r="BJ133" s="53" t="inlineStr"/>
      <c r="BK133" s="58" t="n">
        <v>0</v>
      </c>
      <c r="BL133" s="58" t="n">
        <v>133</v>
      </c>
      <c r="BM133" s="53">
        <f>IF(S133&lt;&gt;"",UPPER(TRIM(S133)),IF(O133="","LOSE",O133))</f>
        <v/>
      </c>
      <c r="BN133" s="55">
        <f>IF(BM133="LOSE",1,IF(N(T133)&gt;0,T133,IF(N(P133)&gt;0,P133,MAX(1,G133))))</f>
        <v/>
      </c>
      <c r="BO133" s="58">
        <f>IF(BM133="LOSE",1,0)</f>
        <v/>
      </c>
      <c r="BP133" s="64">
        <f>IF(BO133=0,0,IF(N(R133)&gt;0,R133,IFERROR(VLOOKUP(D133,Parameter!$A$35:$C$64,3,0)+0,0)))</f>
        <v/>
      </c>
      <c r="BQ133" s="53">
        <f>IF(V133&lt;&gt;"",V133,U133)</f>
        <v/>
      </c>
      <c r="BR133" s="53">
        <f>IF(BQ133=1,"L1",IF(OR(BQ133=2,BQ133=3),"L23",IF(BQ133="Aussen","Aussen","-")))</f>
        <v/>
      </c>
      <c r="BS133" s="66">
        <f>IF(N(W133)&gt;0,W133,0)</f>
        <v/>
      </c>
      <c r="BT133" s="58">
        <f>IF(ISNUMBER(Z133),1,0)</f>
        <v/>
      </c>
      <c r="BU133" s="55">
        <f>N(Z133)</f>
        <v/>
      </c>
      <c r="BV133" s="55">
        <f>N(L133)+N(M133)</f>
        <v/>
      </c>
      <c r="BW133" s="55">
        <f>ROUNDUP(G133/BN133,0)</f>
        <v/>
      </c>
      <c r="BX133" s="55">
        <f>ROUNDUP(BU133/BN133,0)</f>
        <v/>
      </c>
      <c r="BY133" s="58">
        <f>IF(BO133=1,0,IFERROR(VLOOKUP(BM133,'Gebinde-Kategorie'!$A$5:$G$45,5,0)+0,0))</f>
        <v/>
      </c>
      <c r="BZ133" s="58">
        <f>IFERROR(IF(OR(BQ133=1,BQ133=2,BQ133=3),N(INDEX(Parameter!$I$5:$I$7,BQ133)),0),0)</f>
        <v/>
      </c>
    </row>
    <row r="134">
      <c r="A134" s="53" t="inlineStr">
        <is>
          <t>106496</t>
        </is>
      </c>
      <c r="B134" s="53" t="inlineStr">
        <is>
          <t>Magnetventil</t>
        </is>
      </c>
      <c r="C134" s="53" t="inlineStr">
        <is>
          <t>F</t>
        </is>
      </c>
      <c r="D134" s="53" t="inlineStr">
        <is>
          <t>KTL</t>
        </is>
      </c>
      <c r="E134" s="53" t="inlineStr">
        <is>
          <t>C</t>
        </is>
      </c>
      <c r="F134" s="54" t="n">
        <v>332.74</v>
      </c>
      <c r="G134" s="55">
        <f>MAX(0,IF(Parameter!$B$20="Jahresanfang 2025 + Export",BG134+BF134,BF134))</f>
        <v/>
      </c>
      <c r="H134" s="55">
        <f>G134*F134</f>
        <v/>
      </c>
      <c r="I134" s="55">
        <f>BI134*Parameter!$B$18</f>
        <v/>
      </c>
      <c r="J134" s="56" t="n">
        <v>18.5</v>
      </c>
      <c r="K134" s="57" t="n">
        <v>0.3783783783783784</v>
      </c>
      <c r="L134" s="55" t="n">
        <v>2</v>
      </c>
      <c r="M134" s="55" t="n">
        <v>5</v>
      </c>
      <c r="N134" s="58" t="n">
        <v>105</v>
      </c>
      <c r="O134" s="53" t="inlineStr">
        <is>
          <t>S51</t>
        </is>
      </c>
      <c r="P134" s="55" t="n">
        <v>16</v>
      </c>
      <c r="Q134" s="59">
        <f>IF(BO134=1,0,IFERROR(VLOOKUP(BM134,'Gebinde-Kategorie'!$A$5:$G$45,6,0)+0,0))</f>
        <v/>
      </c>
      <c r="R134" s="60" t="n"/>
      <c r="S134" s="61" t="n"/>
      <c r="T134" s="61" t="n"/>
      <c r="U134" s="53">
        <f>IF(A134="","",IF(IFERROR(VLOOKUP(D134,Parameter!$A$35:$C$64,2,0),"Nein")="2+3",IF(ISNUMBER(SEARCH("grosser Artikel",BJ134)),2,IFERROR(VLOOKUP(BM134,Parameter!$F$35:$G$64,2,0),2)),IF(OR(IFERROR(VLOOKUP(D134,Parameter!$A$35:$C$64,2,0),"Nein")="Nein",IFERROR(VLOOKUP(D134,Parameter!$A$35:$C$64,2,0),"Nein")=""),"-",VLOOKUP(D134,Parameter!$A$35:$C$64,2,0))))</f>
        <v/>
      </c>
      <c r="V134" s="61" t="n"/>
      <c r="W134" s="62" t="n"/>
      <c r="X134" s="55">
        <f>AM134</f>
        <v/>
      </c>
      <c r="Y134" s="55">
        <f>MAX(AM134,G134)</f>
        <v/>
      </c>
      <c r="Z134" s="63" t="n"/>
      <c r="AA134" s="55">
        <f>IF(LEFT(Cockpit!$C$5,1)="A",G134,IF(BT134=1,BU134,IF(LEFT(Cockpit!$C$5,1)="B",AE134,MAX(AE134,G134))))</f>
        <v/>
      </c>
      <c r="AB134" s="55">
        <f>IF(BO134=1,0,ROUNDUP(AA134/BN134,0))</f>
        <v/>
      </c>
      <c r="AC134" s="64">
        <f>IF(BO134=1,IF(AA134&lt;=0,0,BP134*MAX(1,IF(G134&gt;0,AA134/G134,1))),AB134*Q134)</f>
        <v/>
      </c>
      <c r="AD134" s="55">
        <f>AA134*F134</f>
        <v/>
      </c>
      <c r="AE134" s="55">
        <f>ROUNDUP(MAX(I134/IF(BS134&gt;0,BS134,MAX(0.1,N(Cockpit!$C$6))),BV134)/BN134,0)*BN134</f>
        <v/>
      </c>
      <c r="AF134" s="56">
        <f>IF(AC134&gt;0,I134/AC134,-1)</f>
        <v/>
      </c>
      <c r="AG134" s="56">
        <f>IF(AND(OR(BR134="L1",BR134="L23"),AC134&gt;0),SUMIFS($AC$7:$AC$1570,$BR$7:$BR$1570,BR134,$AF$7:$AF$1570,"&gt;"&amp;AF134)+SUMIFS($AC$7:$AC$1570,$BR$7:$BR$1570,BR134,$AF$7:$AF$1570,AF134,$BL$7:$BL$1570,"&lt;="&amp;BL134),"")</f>
        <v/>
      </c>
      <c r="AH134" s="65">
        <f>IF(AG134="",0,MAX(0,MIN(1,(IF(BR134="L1",Parameter!$K$5,Parameter!$K$6+Parameter!$K$7)-(AG134-AC134))/AC134)))</f>
        <v/>
      </c>
      <c r="AI134" s="55">
        <f>IF(LEFT(Cockpit!$I$5,1)="A",G134,IF(BT134=1,BU134,IF(LEFT(Cockpit!$I$5,1)="B",AM134,MAX(AM134,G134))))</f>
        <v/>
      </c>
      <c r="AJ134" s="55">
        <f>IF(BO134=1,0,ROUNDUP(AI134/BN134,0))</f>
        <v/>
      </c>
      <c r="AK134" s="64">
        <f>IF(BO134=1,IF(AI134&lt;=0,0,BP134*MAX(1,IF(G134&gt;0,AI134/G134,1))),AJ134*Q134)</f>
        <v/>
      </c>
      <c r="AL134" s="55">
        <f>AI134*F134</f>
        <v/>
      </c>
      <c r="AM134" s="55">
        <f>ROUNDUP(MAX(I134/IF(BS134&gt;0,BS134,MAX(0.1,N(Cockpit!$I$6))),BV134)/BN134,0)*BN134</f>
        <v/>
      </c>
      <c r="AN134" s="56">
        <f>IF(AK134&gt;0,I134/AK134,-1)</f>
        <v/>
      </c>
      <c r="AO134" s="56">
        <f>IF(AND(OR(BR134="L1",BR134="L23"),AK134&gt;0),SUMIFS($AK$7:$AK$1570,$BR$7:$BR$1570,BR134,$AN$7:$AN$1570,"&gt;"&amp;AN134)+SUMIFS($AK$7:$AK$1570,$BR$7:$BR$1570,BR134,$AN$7:$AN$1570,AN134,$BL$7:$BL$1570,"&lt;="&amp;BL134),"")</f>
        <v/>
      </c>
      <c r="AP134" s="65">
        <f>IF(AO134="",0,MAX(0,MIN(1,(IF(BR134="L1",Parameter!$K$5,Parameter!$K$6+Parameter!$K$7)-(AO134-AK134))/AK134)))</f>
        <v/>
      </c>
      <c r="AQ134" s="55">
        <f>IF(LEFT(Cockpit!$O$5,1)="A",G134,IF(BT134=1,BU134,IF(LEFT(Cockpit!$O$5,1)="B",AU134,MAX(AU134,G134))))</f>
        <v/>
      </c>
      <c r="AR134" s="55">
        <f>IF(BO134=1,0,ROUNDUP(AQ134/BN134,0))</f>
        <v/>
      </c>
      <c r="AS134" s="64">
        <f>IF(BO134=1,IF(AQ134&lt;=0,0,BP134*MAX(1,IF(G134&gt;0,AQ134/G134,1))),AR134*Q134)</f>
        <v/>
      </c>
      <c r="AT134" s="55">
        <f>AQ134*F134</f>
        <v/>
      </c>
      <c r="AU134" s="55">
        <f>ROUNDUP(MAX(I134/IF(BS134&gt;0,BS134,MAX(0.1,N(Cockpit!$O$6))),BV134)/BN134,0)*BN134</f>
        <v/>
      </c>
      <c r="AV134" s="56">
        <f>IF(AS134&gt;0,I134/AS134,-1)</f>
        <v/>
      </c>
      <c r="AW134" s="56">
        <f>IF(AND(OR(BR134="L1",BR134="L23"),AS134&gt;0),SUMIFS($AS$7:$AS$1570,$BR$7:$BR$1570,BR134,$AV$7:$AV$1570,"&gt;"&amp;AV134)+SUMIFS($AS$7:$AS$1570,$BR$7:$BR$1570,BR134,$AV$7:$AV$1570,AV134,$BL$7:$BL$1570,"&lt;="&amp;BL134),"")</f>
        <v/>
      </c>
      <c r="AX134" s="65">
        <f>IF(AW134="",0,MAX(0,MIN(1,(IF(BR134="L1",Parameter!$K$5,Parameter!$K$6+Parameter!$K$7)-(AW134-AS134))/AS134)))</f>
        <v/>
      </c>
      <c r="AY134" s="53">
        <f>IF(AC134&lt;=0,"",IF(BR134="Aussen","Aussenlager",IF(BR134="-","Nicht im Lift",IF(AH134&gt;=1,"Lift",IF(AH134&lt;=0,"Aussenlager","teilweise")))))</f>
        <v/>
      </c>
      <c r="AZ134" s="53">
        <f>IF(AK134&lt;=0,"",IF(BR134="Aussen","Aussenlager",IF(BR134="-","Nicht im Lift",IF(AP134&gt;=1,"Lift",IF(AP134&lt;=0,"Aussenlager","teilweise")))))</f>
        <v/>
      </c>
      <c r="BA134" s="53">
        <f>IF(AS134&lt;=0,"",IF(BR134="Aussen","Aussenlager",IF(BR134="-","Nicht im Lift",IF(AX134&gt;=1,"Lift",IF(AX134&lt;=0,"Aussenlager","teilweise")))))</f>
        <v/>
      </c>
      <c r="BB134" s="53">
        <f>IF(A134="","",IF(BK134=1,"Neu; ","")&amp;IF(AND(BK134=0,BF134&lt;0),"negativer Bestand (Export "&amp;BF134&amp;"); ","")&amp;IF(I134&lt;=0,"Kein Verbrauch; ","")&amp;IF(BO134=1,"Lose – Fläche geschätzt; ","")&amp;IF(G134&gt;AM134,"Überbestand "&amp;ROUND(G134-AM134,0)&amp;" Stk / CHF "&amp;ROUND((G134-AM134)*F134,0)&amp;"; ","")&amp;IF(AND(BT134=1,BU134&lt;BV134),"MAX &lt; MB+LG; ","")&amp;IF(AND(BZ134&gt;0,BY134*10&gt;BZ134),"zu hoch für Tablar; ","")&amp;IF(AND(BK134=0,OR(BT134=1,V134&lt;&gt;"",S134&lt;&gt;"",T134&lt;&gt;"",W134&lt;&gt;"")),"manuell übersteuert; ","")&amp;IF(AND(BO134=0,Q134=0),"Gebinde unbekannt; ","")&amp;IF(AND(BO134=0,N(T134)&lt;=0,N(P134)&lt;=0),"Menge pro Gebinde fehlt (Ist = 1 Gebinde); ","")&amp;BJ134)</f>
        <v/>
      </c>
      <c r="BC134" s="53" t="n"/>
      <c r="BD134" s="53" t="n"/>
      <c r="BE134" s="61" t="n"/>
      <c r="BF134" s="55" t="n">
        <v>5</v>
      </c>
      <c r="BG134" s="55" t="n">
        <v>17</v>
      </c>
      <c r="BH134" s="54" t="n">
        <v>1663.19</v>
      </c>
      <c r="BI134" s="55" t="n">
        <v>7</v>
      </c>
      <c r="BJ134" s="53" t="inlineStr"/>
      <c r="BK134" s="58" t="n">
        <v>0</v>
      </c>
      <c r="BL134" s="58" t="n">
        <v>134</v>
      </c>
      <c r="BM134" s="53">
        <f>IF(S134&lt;&gt;"",UPPER(TRIM(S134)),IF(O134="","LOSE",O134))</f>
        <v/>
      </c>
      <c r="BN134" s="55">
        <f>IF(BM134="LOSE",1,IF(N(T134)&gt;0,T134,IF(N(P134)&gt;0,P134,MAX(1,G134))))</f>
        <v/>
      </c>
      <c r="BO134" s="58">
        <f>IF(BM134="LOSE",1,0)</f>
        <v/>
      </c>
      <c r="BP134" s="64">
        <f>IF(BO134=0,0,IF(N(R134)&gt;0,R134,IFERROR(VLOOKUP(D134,Parameter!$A$35:$C$64,3,0)+0,0)))</f>
        <v/>
      </c>
      <c r="BQ134" s="53">
        <f>IF(V134&lt;&gt;"",V134,U134)</f>
        <v/>
      </c>
      <c r="BR134" s="53">
        <f>IF(BQ134=1,"L1",IF(OR(BQ134=2,BQ134=3),"L23",IF(BQ134="Aussen","Aussen","-")))</f>
        <v/>
      </c>
      <c r="BS134" s="66">
        <f>IF(N(W134)&gt;0,W134,0)</f>
        <v/>
      </c>
      <c r="BT134" s="58">
        <f>IF(ISNUMBER(Z134),1,0)</f>
        <v/>
      </c>
      <c r="BU134" s="55">
        <f>N(Z134)</f>
        <v/>
      </c>
      <c r="BV134" s="55">
        <f>N(L134)+N(M134)</f>
        <v/>
      </c>
      <c r="BW134" s="55">
        <f>ROUNDUP(G134/BN134,0)</f>
        <v/>
      </c>
      <c r="BX134" s="55">
        <f>ROUNDUP(BU134/BN134,0)</f>
        <v/>
      </c>
      <c r="BY134" s="58">
        <f>IF(BO134=1,0,IFERROR(VLOOKUP(BM134,'Gebinde-Kategorie'!$A$5:$G$45,5,0)+0,0))</f>
        <v/>
      </c>
      <c r="BZ134" s="58">
        <f>IFERROR(IF(OR(BQ134=1,BQ134=2,BQ134=3),N(INDEX(Parameter!$I$5:$I$7,BQ134)),0),0)</f>
        <v/>
      </c>
    </row>
    <row r="135">
      <c r="A135" s="53" t="inlineStr">
        <is>
          <t>005541</t>
        </is>
      </c>
      <c r="B135" s="53" t="inlineStr">
        <is>
          <t>PTFE Schlauch DN6</t>
        </is>
      </c>
      <c r="C135" s="53" t="inlineStr">
        <is>
          <t>F</t>
        </is>
      </c>
      <c r="D135" s="53" t="inlineStr">
        <is>
          <t>PAL</t>
        </is>
      </c>
      <c r="E135" s="53" t="inlineStr">
        <is>
          <t>C</t>
        </is>
      </c>
      <c r="F135" s="54" t="n">
        <v>112.45</v>
      </c>
      <c r="G135" s="55">
        <f>MAX(0,IF(Parameter!$B$20="Jahresanfang 2025 + Export",BG135+BF135,BF135))</f>
        <v/>
      </c>
      <c r="H135" s="55">
        <f>G135*F135</f>
        <v/>
      </c>
      <c r="I135" s="55">
        <f>BI135*Parameter!$B$18</f>
        <v/>
      </c>
      <c r="J135" s="56" t="n">
        <v>124.5</v>
      </c>
      <c r="K135" s="57" t="n">
        <v>2.530120481927711</v>
      </c>
      <c r="L135" s="55" t="n">
        <v>18</v>
      </c>
      <c r="M135" s="55" t="n">
        <v>100</v>
      </c>
      <c r="N135" s="58" t="n">
        <v>21</v>
      </c>
      <c r="O135" s="53" t="inlineStr">
        <is>
          <t>S71</t>
        </is>
      </c>
      <c r="P135" s="55" t="n">
        <v>60</v>
      </c>
      <c r="Q135" s="59">
        <f>IF(BO135=1,0,IFERROR(VLOOKUP(BM135,'Gebinde-Kategorie'!$A$5:$G$45,6,0)+0,0))</f>
        <v/>
      </c>
      <c r="R135" s="60" t="n"/>
      <c r="S135" s="61" t="n"/>
      <c r="T135" s="61" t="n"/>
      <c r="U135" s="53">
        <f>IF(A135="","",IF(IFERROR(VLOOKUP(D135,Parameter!$A$35:$C$64,2,0),"Nein")="2+3",IF(ISNUMBER(SEARCH("grosser Artikel",BJ135)),2,IFERROR(VLOOKUP(BM135,Parameter!$F$35:$G$64,2,0),2)),IF(OR(IFERROR(VLOOKUP(D135,Parameter!$A$35:$C$64,2,0),"Nein")="Nein",IFERROR(VLOOKUP(D135,Parameter!$A$35:$C$64,2,0),"Nein")=""),"-",VLOOKUP(D135,Parameter!$A$35:$C$64,2,0))))</f>
        <v/>
      </c>
      <c r="V135" s="61" t="n"/>
      <c r="W135" s="62" t="n"/>
      <c r="X135" s="55">
        <f>AM135</f>
        <v/>
      </c>
      <c r="Y135" s="55">
        <f>MAX(AM135,G135)</f>
        <v/>
      </c>
      <c r="Z135" s="63" t="n"/>
      <c r="AA135" s="55">
        <f>IF(LEFT(Cockpit!$C$5,1)="A",G135,IF(BT135=1,BU135,IF(LEFT(Cockpit!$C$5,1)="B",AE135,MAX(AE135,G135))))</f>
        <v/>
      </c>
      <c r="AB135" s="55">
        <f>IF(BO135=1,0,ROUNDUP(AA135/BN135,0))</f>
        <v/>
      </c>
      <c r="AC135" s="64">
        <f>IF(BO135=1,IF(AA135&lt;=0,0,BP135*MAX(1,IF(G135&gt;0,AA135/G135,1))),AB135*Q135)</f>
        <v/>
      </c>
      <c r="AD135" s="55">
        <f>AA135*F135</f>
        <v/>
      </c>
      <c r="AE135" s="55">
        <f>ROUNDUP(MAX(I135/IF(BS135&gt;0,BS135,MAX(0.1,N(Cockpit!$C$6))),BV135)/BN135,0)*BN135</f>
        <v/>
      </c>
      <c r="AF135" s="56">
        <f>IF(AC135&gt;0,I135/AC135,-1)</f>
        <v/>
      </c>
      <c r="AG135" s="56">
        <f>IF(AND(OR(BR135="L1",BR135="L23"),AC135&gt;0),SUMIFS($AC$7:$AC$1570,$BR$7:$BR$1570,BR135,$AF$7:$AF$1570,"&gt;"&amp;AF135)+SUMIFS($AC$7:$AC$1570,$BR$7:$BR$1570,BR135,$AF$7:$AF$1570,AF135,$BL$7:$BL$1570,"&lt;="&amp;BL135),"")</f>
        <v/>
      </c>
      <c r="AH135" s="65">
        <f>IF(AG135="",0,MAX(0,MIN(1,(IF(BR135="L1",Parameter!$K$5,Parameter!$K$6+Parameter!$K$7)-(AG135-AC135))/AC135)))</f>
        <v/>
      </c>
      <c r="AI135" s="55">
        <f>IF(LEFT(Cockpit!$I$5,1)="A",G135,IF(BT135=1,BU135,IF(LEFT(Cockpit!$I$5,1)="B",AM135,MAX(AM135,G135))))</f>
        <v/>
      </c>
      <c r="AJ135" s="55">
        <f>IF(BO135=1,0,ROUNDUP(AI135/BN135,0))</f>
        <v/>
      </c>
      <c r="AK135" s="64">
        <f>IF(BO135=1,IF(AI135&lt;=0,0,BP135*MAX(1,IF(G135&gt;0,AI135/G135,1))),AJ135*Q135)</f>
        <v/>
      </c>
      <c r="AL135" s="55">
        <f>AI135*F135</f>
        <v/>
      </c>
      <c r="AM135" s="55">
        <f>ROUNDUP(MAX(I135/IF(BS135&gt;0,BS135,MAX(0.1,N(Cockpit!$I$6))),BV135)/BN135,0)*BN135</f>
        <v/>
      </c>
      <c r="AN135" s="56">
        <f>IF(AK135&gt;0,I135/AK135,-1)</f>
        <v/>
      </c>
      <c r="AO135" s="56">
        <f>IF(AND(OR(BR135="L1",BR135="L23"),AK135&gt;0),SUMIFS($AK$7:$AK$1570,$BR$7:$BR$1570,BR135,$AN$7:$AN$1570,"&gt;"&amp;AN135)+SUMIFS($AK$7:$AK$1570,$BR$7:$BR$1570,BR135,$AN$7:$AN$1570,AN135,$BL$7:$BL$1570,"&lt;="&amp;BL135),"")</f>
        <v/>
      </c>
      <c r="AP135" s="65">
        <f>IF(AO135="",0,MAX(0,MIN(1,(IF(BR135="L1",Parameter!$K$5,Parameter!$K$6+Parameter!$K$7)-(AO135-AK135))/AK135)))</f>
        <v/>
      </c>
      <c r="AQ135" s="55">
        <f>IF(LEFT(Cockpit!$O$5,1)="A",G135,IF(BT135=1,BU135,IF(LEFT(Cockpit!$O$5,1)="B",AU135,MAX(AU135,G135))))</f>
        <v/>
      </c>
      <c r="AR135" s="55">
        <f>IF(BO135=1,0,ROUNDUP(AQ135/BN135,0))</f>
        <v/>
      </c>
      <c r="AS135" s="64">
        <f>IF(BO135=1,IF(AQ135&lt;=0,0,BP135*MAX(1,IF(G135&gt;0,AQ135/G135,1))),AR135*Q135)</f>
        <v/>
      </c>
      <c r="AT135" s="55">
        <f>AQ135*F135</f>
        <v/>
      </c>
      <c r="AU135" s="55">
        <f>ROUNDUP(MAX(I135/IF(BS135&gt;0,BS135,MAX(0.1,N(Cockpit!$O$6))),BV135)/BN135,0)*BN135</f>
        <v/>
      </c>
      <c r="AV135" s="56">
        <f>IF(AS135&gt;0,I135/AS135,-1)</f>
        <v/>
      </c>
      <c r="AW135" s="56">
        <f>IF(AND(OR(BR135="L1",BR135="L23"),AS135&gt;0),SUMIFS($AS$7:$AS$1570,$BR$7:$BR$1570,BR135,$AV$7:$AV$1570,"&gt;"&amp;AV135)+SUMIFS($AS$7:$AS$1570,$BR$7:$BR$1570,BR135,$AV$7:$AV$1570,AV135,$BL$7:$BL$1570,"&lt;="&amp;BL135),"")</f>
        <v/>
      </c>
      <c r="AX135" s="65">
        <f>IF(AW135="",0,MAX(0,MIN(1,(IF(BR135="L1",Parameter!$K$5,Parameter!$K$6+Parameter!$K$7)-(AW135-AS135))/AS135)))</f>
        <v/>
      </c>
      <c r="AY135" s="53">
        <f>IF(AC135&lt;=0,"",IF(BR135="Aussen","Aussenlager",IF(BR135="-","Nicht im Lift",IF(AH135&gt;=1,"Lift",IF(AH135&lt;=0,"Aussenlager","teilweise")))))</f>
        <v/>
      </c>
      <c r="AZ135" s="53">
        <f>IF(AK135&lt;=0,"",IF(BR135="Aussen","Aussenlager",IF(BR135="-","Nicht im Lift",IF(AP135&gt;=1,"Lift",IF(AP135&lt;=0,"Aussenlager","teilweise")))))</f>
        <v/>
      </c>
      <c r="BA135" s="53">
        <f>IF(AS135&lt;=0,"",IF(BR135="Aussen","Aussenlager",IF(BR135="-","Nicht im Lift",IF(AX135&gt;=1,"Lift",IF(AX135&lt;=0,"Aussenlager","teilweise")))))</f>
        <v/>
      </c>
      <c r="BB135" s="53">
        <f>IF(A135="","",IF(BK135=1,"Neu; ","")&amp;IF(AND(BK135=0,BF135&lt;0),"negativer Bestand (Export "&amp;BF135&amp;"); ","")&amp;IF(I135&lt;=0,"Kein Verbrauch; ","")&amp;IF(BO135=1,"Lose – Fläche geschätzt; ","")&amp;IF(G135&gt;AM135,"Überbestand "&amp;ROUND(G135-AM135,0)&amp;" Stk / CHF "&amp;ROUND((G135-AM135)*F135,0)&amp;"; ","")&amp;IF(AND(BT135=1,BU135&lt;BV135),"MAX &lt; MB+LG; ","")&amp;IF(AND(BZ135&gt;0,BY135*10&gt;BZ135),"zu hoch für Tablar; ","")&amp;IF(AND(BK135=0,OR(BT135=1,V135&lt;&gt;"",S135&lt;&gt;"",T135&lt;&gt;"",W135&lt;&gt;"")),"manuell übersteuert; ","")&amp;IF(AND(BO135=0,Q135=0),"Gebinde unbekannt; ","")&amp;IF(AND(BO135=0,N(T135)&lt;=0,N(P135)&lt;=0),"Menge pro Gebinde fehlt (Ist = 1 Gebinde); ","")&amp;BJ135)</f>
        <v/>
      </c>
      <c r="BC135" s="53" t="n"/>
      <c r="BD135" s="53" t="n"/>
      <c r="BE135" s="61" t="n"/>
      <c r="BF135" s="55" t="n">
        <v>20</v>
      </c>
      <c r="BG135" s="55" t="n">
        <v>106</v>
      </c>
      <c r="BH135" s="54" t="n">
        <v>1645.25000000001</v>
      </c>
      <c r="BI135" s="55" t="n">
        <v>315</v>
      </c>
      <c r="BJ135" s="53" t="inlineStr"/>
      <c r="BK135" s="58" t="n">
        <v>0</v>
      </c>
      <c r="BL135" s="58" t="n">
        <v>135</v>
      </c>
      <c r="BM135" s="53">
        <f>IF(S135&lt;&gt;"",UPPER(TRIM(S135)),IF(O135="","LOSE",O135))</f>
        <v/>
      </c>
      <c r="BN135" s="55">
        <f>IF(BM135="LOSE",1,IF(N(T135)&gt;0,T135,IF(N(P135)&gt;0,P135,MAX(1,G135))))</f>
        <v/>
      </c>
      <c r="BO135" s="58">
        <f>IF(BM135="LOSE",1,0)</f>
        <v/>
      </c>
      <c r="BP135" s="64">
        <f>IF(BO135=0,0,IF(N(R135)&gt;0,R135,IFERROR(VLOOKUP(D135,Parameter!$A$35:$C$64,3,0)+0,0)))</f>
        <v/>
      </c>
      <c r="BQ135" s="53">
        <f>IF(V135&lt;&gt;"",V135,U135)</f>
        <v/>
      </c>
      <c r="BR135" s="53">
        <f>IF(BQ135=1,"L1",IF(OR(BQ135=2,BQ135=3),"L23",IF(BQ135="Aussen","Aussen","-")))</f>
        <v/>
      </c>
      <c r="BS135" s="66">
        <f>IF(N(W135)&gt;0,W135,0)</f>
        <v/>
      </c>
      <c r="BT135" s="58">
        <f>IF(ISNUMBER(Z135),1,0)</f>
        <v/>
      </c>
      <c r="BU135" s="55">
        <f>N(Z135)</f>
        <v/>
      </c>
      <c r="BV135" s="55">
        <f>N(L135)+N(M135)</f>
        <v/>
      </c>
      <c r="BW135" s="55">
        <f>ROUNDUP(G135/BN135,0)</f>
        <v/>
      </c>
      <c r="BX135" s="55">
        <f>ROUNDUP(BU135/BN135,0)</f>
        <v/>
      </c>
      <c r="BY135" s="58">
        <f>IF(BO135=1,0,IFERROR(VLOOKUP(BM135,'Gebinde-Kategorie'!$A$5:$G$45,5,0)+0,0))</f>
        <v/>
      </c>
      <c r="BZ135" s="58">
        <f>IFERROR(IF(OR(BQ135=1,BQ135=2,BQ135=3),N(INDEX(Parameter!$I$5:$I$7,BQ135)),0),0)</f>
        <v/>
      </c>
    </row>
    <row r="136">
      <c r="A136" s="53" t="inlineStr">
        <is>
          <t>109378</t>
        </is>
      </c>
      <c r="B136" s="53" t="inlineStr">
        <is>
          <t>Spülluftmodul Gehäuse komplett</t>
        </is>
      </c>
      <c r="C136" s="53" t="inlineStr">
        <is>
          <t>F</t>
        </is>
      </c>
      <c r="D136" s="53" t="inlineStr">
        <is>
          <t>PAL</t>
        </is>
      </c>
      <c r="E136" s="53" t="inlineStr">
        <is>
          <t>C</t>
        </is>
      </c>
      <c r="F136" s="54" t="n">
        <v>96.48999999999999</v>
      </c>
      <c r="G136" s="55">
        <f>MAX(0,IF(Parameter!$B$20="Jahresanfang 2025 + Export",BG136+BF136,BF136))</f>
        <v/>
      </c>
      <c r="H136" s="55">
        <f>G136*F136</f>
        <v/>
      </c>
      <c r="I136" s="55">
        <f>BI136*Parameter!$B$18</f>
        <v/>
      </c>
      <c r="J136" s="56" t="n">
        <v>34.5</v>
      </c>
      <c r="K136" s="57" t="n">
        <v>4.376811594202898</v>
      </c>
      <c r="L136" s="55" t="n">
        <v>15</v>
      </c>
      <c r="M136" s="55" t="n">
        <v>60</v>
      </c>
      <c r="N136" s="58" t="n">
        <v>28</v>
      </c>
      <c r="O136" s="53" t="inlineStr">
        <is>
          <t>S71</t>
        </is>
      </c>
      <c r="P136" s="55" t="n">
        <v>12</v>
      </c>
      <c r="Q136" s="59">
        <f>IF(BO136=1,0,IFERROR(VLOOKUP(BM136,'Gebinde-Kategorie'!$A$5:$G$45,6,0)+0,0))</f>
        <v/>
      </c>
      <c r="R136" s="60" t="n"/>
      <c r="S136" s="61" t="n"/>
      <c r="T136" s="61" t="n"/>
      <c r="U136" s="53">
        <f>IF(A136="","",IF(IFERROR(VLOOKUP(D136,Parameter!$A$35:$C$64,2,0),"Nein")="2+3",IF(ISNUMBER(SEARCH("grosser Artikel",BJ136)),2,IFERROR(VLOOKUP(BM136,Parameter!$F$35:$G$64,2,0),2)),IF(OR(IFERROR(VLOOKUP(D136,Parameter!$A$35:$C$64,2,0),"Nein")="Nein",IFERROR(VLOOKUP(D136,Parameter!$A$35:$C$64,2,0),"Nein")=""),"-",VLOOKUP(D136,Parameter!$A$35:$C$64,2,0))))</f>
        <v/>
      </c>
      <c r="V136" s="61" t="n"/>
      <c r="W136" s="62" t="n"/>
      <c r="X136" s="55">
        <f>AM136</f>
        <v/>
      </c>
      <c r="Y136" s="55">
        <f>MAX(AM136,G136)</f>
        <v/>
      </c>
      <c r="Z136" s="63" t="n"/>
      <c r="AA136" s="55">
        <f>IF(LEFT(Cockpit!$C$5,1)="A",G136,IF(BT136=1,BU136,IF(LEFT(Cockpit!$C$5,1)="B",AE136,MAX(AE136,G136))))</f>
        <v/>
      </c>
      <c r="AB136" s="55">
        <f>IF(BO136=1,0,ROUNDUP(AA136/BN136,0))</f>
        <v/>
      </c>
      <c r="AC136" s="64">
        <f>IF(BO136=1,IF(AA136&lt;=0,0,BP136*MAX(1,IF(G136&gt;0,AA136/G136,1))),AB136*Q136)</f>
        <v/>
      </c>
      <c r="AD136" s="55">
        <f>AA136*F136</f>
        <v/>
      </c>
      <c r="AE136" s="55">
        <f>ROUNDUP(MAX(I136/IF(BS136&gt;0,BS136,MAX(0.1,N(Cockpit!$C$6))),BV136)/BN136,0)*BN136</f>
        <v/>
      </c>
      <c r="AF136" s="56">
        <f>IF(AC136&gt;0,I136/AC136,-1)</f>
        <v/>
      </c>
      <c r="AG136" s="56">
        <f>IF(AND(OR(BR136="L1",BR136="L23"),AC136&gt;0),SUMIFS($AC$7:$AC$1570,$BR$7:$BR$1570,BR136,$AF$7:$AF$1570,"&gt;"&amp;AF136)+SUMIFS($AC$7:$AC$1570,$BR$7:$BR$1570,BR136,$AF$7:$AF$1570,AF136,$BL$7:$BL$1570,"&lt;="&amp;BL136),"")</f>
        <v/>
      </c>
      <c r="AH136" s="65">
        <f>IF(AG136="",0,MAX(0,MIN(1,(IF(BR136="L1",Parameter!$K$5,Parameter!$K$6+Parameter!$K$7)-(AG136-AC136))/AC136)))</f>
        <v/>
      </c>
      <c r="AI136" s="55">
        <f>IF(LEFT(Cockpit!$I$5,1)="A",G136,IF(BT136=1,BU136,IF(LEFT(Cockpit!$I$5,1)="B",AM136,MAX(AM136,G136))))</f>
        <v/>
      </c>
      <c r="AJ136" s="55">
        <f>IF(BO136=1,0,ROUNDUP(AI136/BN136,0))</f>
        <v/>
      </c>
      <c r="AK136" s="64">
        <f>IF(BO136=1,IF(AI136&lt;=0,0,BP136*MAX(1,IF(G136&gt;0,AI136/G136,1))),AJ136*Q136)</f>
        <v/>
      </c>
      <c r="AL136" s="55">
        <f>AI136*F136</f>
        <v/>
      </c>
      <c r="AM136" s="55">
        <f>ROUNDUP(MAX(I136/IF(BS136&gt;0,BS136,MAX(0.1,N(Cockpit!$I$6))),BV136)/BN136,0)*BN136</f>
        <v/>
      </c>
      <c r="AN136" s="56">
        <f>IF(AK136&gt;0,I136/AK136,-1)</f>
        <v/>
      </c>
      <c r="AO136" s="56">
        <f>IF(AND(OR(BR136="L1",BR136="L23"),AK136&gt;0),SUMIFS($AK$7:$AK$1570,$BR$7:$BR$1570,BR136,$AN$7:$AN$1570,"&gt;"&amp;AN136)+SUMIFS($AK$7:$AK$1570,$BR$7:$BR$1570,BR136,$AN$7:$AN$1570,AN136,$BL$7:$BL$1570,"&lt;="&amp;BL136),"")</f>
        <v/>
      </c>
      <c r="AP136" s="65">
        <f>IF(AO136="",0,MAX(0,MIN(1,(IF(BR136="L1",Parameter!$K$5,Parameter!$K$6+Parameter!$K$7)-(AO136-AK136))/AK136)))</f>
        <v/>
      </c>
      <c r="AQ136" s="55">
        <f>IF(LEFT(Cockpit!$O$5,1)="A",G136,IF(BT136=1,BU136,IF(LEFT(Cockpit!$O$5,1)="B",AU136,MAX(AU136,G136))))</f>
        <v/>
      </c>
      <c r="AR136" s="55">
        <f>IF(BO136=1,0,ROUNDUP(AQ136/BN136,0))</f>
        <v/>
      </c>
      <c r="AS136" s="64">
        <f>IF(BO136=1,IF(AQ136&lt;=0,0,BP136*MAX(1,IF(G136&gt;0,AQ136/G136,1))),AR136*Q136)</f>
        <v/>
      </c>
      <c r="AT136" s="55">
        <f>AQ136*F136</f>
        <v/>
      </c>
      <c r="AU136" s="55">
        <f>ROUNDUP(MAX(I136/IF(BS136&gt;0,BS136,MAX(0.1,N(Cockpit!$O$6))),BV136)/BN136,0)*BN136</f>
        <v/>
      </c>
      <c r="AV136" s="56">
        <f>IF(AS136&gt;0,I136/AS136,-1)</f>
        <v/>
      </c>
      <c r="AW136" s="56">
        <f>IF(AND(OR(BR136="L1",BR136="L23"),AS136&gt;0),SUMIFS($AS$7:$AS$1570,$BR$7:$BR$1570,BR136,$AV$7:$AV$1570,"&gt;"&amp;AV136)+SUMIFS($AS$7:$AS$1570,$BR$7:$BR$1570,BR136,$AV$7:$AV$1570,AV136,$BL$7:$BL$1570,"&lt;="&amp;BL136),"")</f>
        <v/>
      </c>
      <c r="AX136" s="65">
        <f>IF(AW136="",0,MAX(0,MIN(1,(IF(BR136="L1",Parameter!$K$5,Parameter!$K$6+Parameter!$K$7)-(AW136-AS136))/AS136)))</f>
        <v/>
      </c>
      <c r="AY136" s="53">
        <f>IF(AC136&lt;=0,"",IF(BR136="Aussen","Aussenlager",IF(BR136="-","Nicht im Lift",IF(AH136&gt;=1,"Lift",IF(AH136&lt;=0,"Aussenlager","teilweise")))))</f>
        <v/>
      </c>
      <c r="AZ136" s="53">
        <f>IF(AK136&lt;=0,"",IF(BR136="Aussen","Aussenlager",IF(BR136="-","Nicht im Lift",IF(AP136&gt;=1,"Lift",IF(AP136&lt;=0,"Aussenlager","teilweise")))))</f>
        <v/>
      </c>
      <c r="BA136" s="53">
        <f>IF(AS136&lt;=0,"",IF(BR136="Aussen","Aussenlager",IF(BR136="-","Nicht im Lift",IF(AX136&gt;=1,"Lift",IF(AX136&lt;=0,"Aussenlager","teilweise")))))</f>
        <v/>
      </c>
      <c r="BB136" s="53">
        <f>IF(A136="","",IF(BK136=1,"Neu; ","")&amp;IF(AND(BK136=0,BF136&lt;0),"negativer Bestand (Export "&amp;BF136&amp;"); ","")&amp;IF(I136&lt;=0,"Kein Verbrauch; ","")&amp;IF(BO136=1,"Lose – Fläche geschätzt; ","")&amp;IF(G136&gt;AM136,"Überbestand "&amp;ROUND(G136-AM136,0)&amp;" Stk / CHF "&amp;ROUND((G136-AM136)*F136,0)&amp;"; ","")&amp;IF(AND(BT136=1,BU136&lt;BV136),"MAX &lt; MB+LG; ","")&amp;IF(AND(BZ136&gt;0,BY136*10&gt;BZ136),"zu hoch für Tablar; ","")&amp;IF(AND(BK136=0,OR(BT136=1,V136&lt;&gt;"",S136&lt;&gt;"",T136&lt;&gt;"",W136&lt;&gt;"")),"manuell übersteuert; ","")&amp;IF(AND(BO136=0,Q136=0),"Gebinde unbekannt; ","")&amp;IF(AND(BO136=0,N(T136)&lt;=0,N(P136)&lt;=0),"Menge pro Gebinde fehlt (Ist = 1 Gebinde); ","")&amp;BJ136)</f>
        <v/>
      </c>
      <c r="BC136" s="53" t="n"/>
      <c r="BD136" s="53" t="n"/>
      <c r="BE136" s="61" t="n"/>
      <c r="BF136" s="55" t="n">
        <v>19</v>
      </c>
      <c r="BG136" s="55" t="n">
        <v>30</v>
      </c>
      <c r="BH136" s="54" t="n">
        <v>1630.51</v>
      </c>
      <c r="BI136" s="55" t="n">
        <v>151</v>
      </c>
      <c r="BJ136" s="53" t="inlineStr"/>
      <c r="BK136" s="58" t="n">
        <v>0</v>
      </c>
      <c r="BL136" s="58" t="n">
        <v>136</v>
      </c>
      <c r="BM136" s="53">
        <f>IF(S136&lt;&gt;"",UPPER(TRIM(S136)),IF(O136="","LOSE",O136))</f>
        <v/>
      </c>
      <c r="BN136" s="55">
        <f>IF(BM136="LOSE",1,IF(N(T136)&gt;0,T136,IF(N(P136)&gt;0,P136,MAX(1,G136))))</f>
        <v/>
      </c>
      <c r="BO136" s="58">
        <f>IF(BM136="LOSE",1,0)</f>
        <v/>
      </c>
      <c r="BP136" s="64">
        <f>IF(BO136=0,0,IF(N(R136)&gt;0,R136,IFERROR(VLOOKUP(D136,Parameter!$A$35:$C$64,3,0)+0,0)))</f>
        <v/>
      </c>
      <c r="BQ136" s="53">
        <f>IF(V136&lt;&gt;"",V136,U136)</f>
        <v/>
      </c>
      <c r="BR136" s="53">
        <f>IF(BQ136=1,"L1",IF(OR(BQ136=2,BQ136=3),"L23",IF(BQ136="Aussen","Aussen","-")))</f>
        <v/>
      </c>
      <c r="BS136" s="66">
        <f>IF(N(W136)&gt;0,W136,0)</f>
        <v/>
      </c>
      <c r="BT136" s="58">
        <f>IF(ISNUMBER(Z136),1,0)</f>
        <v/>
      </c>
      <c r="BU136" s="55">
        <f>N(Z136)</f>
        <v/>
      </c>
      <c r="BV136" s="55">
        <f>N(L136)+N(M136)</f>
        <v/>
      </c>
      <c r="BW136" s="55">
        <f>ROUNDUP(G136/BN136,0)</f>
        <v/>
      </c>
      <c r="BX136" s="55">
        <f>ROUNDUP(BU136/BN136,0)</f>
        <v/>
      </c>
      <c r="BY136" s="58">
        <f>IF(BO136=1,0,IFERROR(VLOOKUP(BM136,'Gebinde-Kategorie'!$A$5:$G$45,5,0)+0,0))</f>
        <v/>
      </c>
      <c r="BZ136" s="58">
        <f>IFERROR(IF(OR(BQ136=1,BQ136=2,BQ136=3),N(INDEX(Parameter!$I$5:$I$7,BQ136)),0),0)</f>
        <v/>
      </c>
    </row>
    <row r="137">
      <c r="A137" s="53" t="inlineStr">
        <is>
          <t>005040</t>
        </is>
      </c>
      <c r="B137" s="53" t="inlineStr">
        <is>
          <t>Ringwellschlauch</t>
        </is>
      </c>
      <c r="C137" s="53" t="inlineStr">
        <is>
          <t>F</t>
        </is>
      </c>
      <c r="D137" s="53" t="inlineStr">
        <is>
          <t>PAL</t>
        </is>
      </c>
      <c r="E137" s="53" t="inlineStr">
        <is>
          <t>C</t>
        </is>
      </c>
      <c r="F137" s="54" t="n">
        <v>120.56</v>
      </c>
      <c r="G137" s="55">
        <f>MAX(0,IF(Parameter!$B$20="Jahresanfang 2025 + Export",BG137+BF137,BF137))</f>
        <v/>
      </c>
      <c r="H137" s="55">
        <f>G137*F137</f>
        <v/>
      </c>
      <c r="I137" s="55">
        <f>BI137*Parameter!$B$18</f>
        <v/>
      </c>
      <c r="J137" s="56" t="n">
        <v>13</v>
      </c>
      <c r="K137" s="57" t="n">
        <v>0</v>
      </c>
      <c r="L137" s="55" t="n">
        <v>0</v>
      </c>
      <c r="M137" s="55" t="n">
        <v>1</v>
      </c>
      <c r="N137" s="58" t="n">
        <v>77</v>
      </c>
      <c r="O137" s="53" t="inlineStr">
        <is>
          <t>S62</t>
        </is>
      </c>
      <c r="P137" s="55" t="n">
        <v>15</v>
      </c>
      <c r="Q137" s="59">
        <f>IF(BO137=1,0,IFERROR(VLOOKUP(BM137,'Gebinde-Kategorie'!$A$5:$G$45,6,0)+0,0))</f>
        <v/>
      </c>
      <c r="R137" s="60" t="n"/>
      <c r="S137" s="61" t="n"/>
      <c r="T137" s="61" t="n"/>
      <c r="U137" s="53">
        <f>IF(A137="","",IF(IFERROR(VLOOKUP(D137,Parameter!$A$35:$C$64,2,0),"Nein")="2+3",IF(ISNUMBER(SEARCH("grosser Artikel",BJ137)),2,IFERROR(VLOOKUP(BM137,Parameter!$F$35:$G$64,2,0),2)),IF(OR(IFERROR(VLOOKUP(D137,Parameter!$A$35:$C$64,2,0),"Nein")="Nein",IFERROR(VLOOKUP(D137,Parameter!$A$35:$C$64,2,0),"Nein")=""),"-",VLOOKUP(D137,Parameter!$A$35:$C$64,2,0))))</f>
        <v/>
      </c>
      <c r="V137" s="61" t="n"/>
      <c r="W137" s="62" t="n"/>
      <c r="X137" s="55">
        <f>AM137</f>
        <v/>
      </c>
      <c r="Y137" s="55">
        <f>MAX(AM137,G137)</f>
        <v/>
      </c>
      <c r="Z137" s="63" t="n"/>
      <c r="AA137" s="55">
        <f>IF(LEFT(Cockpit!$C$5,1)="A",G137,IF(BT137=1,BU137,IF(LEFT(Cockpit!$C$5,1)="B",AE137,MAX(AE137,G137))))</f>
        <v/>
      </c>
      <c r="AB137" s="55">
        <f>IF(BO137=1,0,ROUNDUP(AA137/BN137,0))</f>
        <v/>
      </c>
      <c r="AC137" s="64">
        <f>IF(BO137=1,IF(AA137&lt;=0,0,BP137*MAX(1,IF(G137&gt;0,AA137/G137,1))),AB137*Q137)</f>
        <v/>
      </c>
      <c r="AD137" s="55">
        <f>AA137*F137</f>
        <v/>
      </c>
      <c r="AE137" s="55">
        <f>ROUNDUP(MAX(I137/IF(BS137&gt;0,BS137,MAX(0.1,N(Cockpit!$C$6))),BV137)/BN137,0)*BN137</f>
        <v/>
      </c>
      <c r="AF137" s="56">
        <f>IF(AC137&gt;0,I137/AC137,-1)</f>
        <v/>
      </c>
      <c r="AG137" s="56">
        <f>IF(AND(OR(BR137="L1",BR137="L23"),AC137&gt;0),SUMIFS($AC$7:$AC$1570,$BR$7:$BR$1570,BR137,$AF$7:$AF$1570,"&gt;"&amp;AF137)+SUMIFS($AC$7:$AC$1570,$BR$7:$BR$1570,BR137,$AF$7:$AF$1570,AF137,$BL$7:$BL$1570,"&lt;="&amp;BL137),"")</f>
        <v/>
      </c>
      <c r="AH137" s="65">
        <f>IF(AG137="",0,MAX(0,MIN(1,(IF(BR137="L1",Parameter!$K$5,Parameter!$K$6+Parameter!$K$7)-(AG137-AC137))/AC137)))</f>
        <v/>
      </c>
      <c r="AI137" s="55">
        <f>IF(LEFT(Cockpit!$I$5,1)="A",G137,IF(BT137=1,BU137,IF(LEFT(Cockpit!$I$5,1)="B",AM137,MAX(AM137,G137))))</f>
        <v/>
      </c>
      <c r="AJ137" s="55">
        <f>IF(BO137=1,0,ROUNDUP(AI137/BN137,0))</f>
        <v/>
      </c>
      <c r="AK137" s="64">
        <f>IF(BO137=1,IF(AI137&lt;=0,0,BP137*MAX(1,IF(G137&gt;0,AI137/G137,1))),AJ137*Q137)</f>
        <v/>
      </c>
      <c r="AL137" s="55">
        <f>AI137*F137</f>
        <v/>
      </c>
      <c r="AM137" s="55">
        <f>ROUNDUP(MAX(I137/IF(BS137&gt;0,BS137,MAX(0.1,N(Cockpit!$I$6))),BV137)/BN137,0)*BN137</f>
        <v/>
      </c>
      <c r="AN137" s="56">
        <f>IF(AK137&gt;0,I137/AK137,-1)</f>
        <v/>
      </c>
      <c r="AO137" s="56">
        <f>IF(AND(OR(BR137="L1",BR137="L23"),AK137&gt;0),SUMIFS($AK$7:$AK$1570,$BR$7:$BR$1570,BR137,$AN$7:$AN$1570,"&gt;"&amp;AN137)+SUMIFS($AK$7:$AK$1570,$BR$7:$BR$1570,BR137,$AN$7:$AN$1570,AN137,$BL$7:$BL$1570,"&lt;="&amp;BL137),"")</f>
        <v/>
      </c>
      <c r="AP137" s="65">
        <f>IF(AO137="",0,MAX(0,MIN(1,(IF(BR137="L1",Parameter!$K$5,Parameter!$K$6+Parameter!$K$7)-(AO137-AK137))/AK137)))</f>
        <v/>
      </c>
      <c r="AQ137" s="55">
        <f>IF(LEFT(Cockpit!$O$5,1)="A",G137,IF(BT137=1,BU137,IF(LEFT(Cockpit!$O$5,1)="B",AU137,MAX(AU137,G137))))</f>
        <v/>
      </c>
      <c r="AR137" s="55">
        <f>IF(BO137=1,0,ROUNDUP(AQ137/BN137,0))</f>
        <v/>
      </c>
      <c r="AS137" s="64">
        <f>IF(BO137=1,IF(AQ137&lt;=0,0,BP137*MAX(1,IF(G137&gt;0,AQ137/G137,1))),AR137*Q137)</f>
        <v/>
      </c>
      <c r="AT137" s="55">
        <f>AQ137*F137</f>
        <v/>
      </c>
      <c r="AU137" s="55">
        <f>ROUNDUP(MAX(I137/IF(BS137&gt;0,BS137,MAX(0.1,N(Cockpit!$O$6))),BV137)/BN137,0)*BN137</f>
        <v/>
      </c>
      <c r="AV137" s="56">
        <f>IF(AS137&gt;0,I137/AS137,-1)</f>
        <v/>
      </c>
      <c r="AW137" s="56">
        <f>IF(AND(OR(BR137="L1",BR137="L23"),AS137&gt;0),SUMIFS($AS$7:$AS$1570,$BR$7:$BR$1570,BR137,$AV$7:$AV$1570,"&gt;"&amp;AV137)+SUMIFS($AS$7:$AS$1570,$BR$7:$BR$1570,BR137,$AV$7:$AV$1570,AV137,$BL$7:$BL$1570,"&lt;="&amp;BL137),"")</f>
        <v/>
      </c>
      <c r="AX137" s="65">
        <f>IF(AW137="",0,MAX(0,MIN(1,(IF(BR137="L1",Parameter!$K$5,Parameter!$K$6+Parameter!$K$7)-(AW137-AS137))/AS137)))</f>
        <v/>
      </c>
      <c r="AY137" s="53">
        <f>IF(AC137&lt;=0,"",IF(BR137="Aussen","Aussenlager",IF(BR137="-","Nicht im Lift",IF(AH137&gt;=1,"Lift",IF(AH137&lt;=0,"Aussenlager","teilweise")))))</f>
        <v/>
      </c>
      <c r="AZ137" s="53">
        <f>IF(AK137&lt;=0,"",IF(BR137="Aussen","Aussenlager",IF(BR137="-","Nicht im Lift",IF(AP137&gt;=1,"Lift",IF(AP137&lt;=0,"Aussenlager","teilweise")))))</f>
        <v/>
      </c>
      <c r="BA137" s="53">
        <f>IF(AS137&lt;=0,"",IF(BR137="Aussen","Aussenlager",IF(BR137="-","Nicht im Lift",IF(AX137&gt;=1,"Lift",IF(AX137&lt;=0,"Aussenlager","teilweise")))))</f>
        <v/>
      </c>
      <c r="BB137" s="53">
        <f>IF(A137="","",IF(BK137=1,"Neu; ","")&amp;IF(AND(BK137=0,BF137&lt;0),"negativer Bestand (Export "&amp;BF137&amp;"); ","")&amp;IF(I137&lt;=0,"Kein Verbrauch; ","")&amp;IF(BO137=1,"Lose – Fläche geschätzt; ","")&amp;IF(G137&gt;AM137,"Überbestand "&amp;ROUND(G137-AM137,0)&amp;" Stk / CHF "&amp;ROUND((G137-AM137)*F137,0)&amp;"; ","")&amp;IF(AND(BT137=1,BU137&lt;BV137),"MAX &lt; MB+LG; ","")&amp;IF(AND(BZ137&gt;0,BY137*10&gt;BZ137),"zu hoch für Tablar; ","")&amp;IF(AND(BK137=0,OR(BT137=1,V137&lt;&gt;"",S137&lt;&gt;"",T137&lt;&gt;"",W137&lt;&gt;"")),"manuell übersteuert; ","")&amp;IF(AND(BO137=0,Q137=0),"Gebinde unbekannt; ","")&amp;IF(AND(BO137=0,N(T137)&lt;=0,N(P137)&lt;=0),"Menge pro Gebinde fehlt (Ist = 1 Gebinde); ","")&amp;BJ137)</f>
        <v/>
      </c>
      <c r="BC137" s="53" t="n"/>
      <c r="BD137" s="53" t="n"/>
      <c r="BE137" s="61" t="n"/>
      <c r="BF137" s="55" t="n">
        <v>13</v>
      </c>
      <c r="BG137" s="55" t="n">
        <v>13</v>
      </c>
      <c r="BH137" s="54" t="n">
        <v>1567.28</v>
      </c>
      <c r="BI137" s="55" t="n">
        <v>0</v>
      </c>
      <c r="BJ137" s="53" t="inlineStr"/>
      <c r="BK137" s="58" t="n">
        <v>0</v>
      </c>
      <c r="BL137" s="58" t="n">
        <v>137</v>
      </c>
      <c r="BM137" s="53">
        <f>IF(S137&lt;&gt;"",UPPER(TRIM(S137)),IF(O137="","LOSE",O137))</f>
        <v/>
      </c>
      <c r="BN137" s="55">
        <f>IF(BM137="LOSE",1,IF(N(T137)&gt;0,T137,IF(N(P137)&gt;0,P137,MAX(1,G137))))</f>
        <v/>
      </c>
      <c r="BO137" s="58">
        <f>IF(BM137="LOSE",1,0)</f>
        <v/>
      </c>
      <c r="BP137" s="64">
        <f>IF(BO137=0,0,IF(N(R137)&gt;0,R137,IFERROR(VLOOKUP(D137,Parameter!$A$35:$C$64,3,0)+0,0)))</f>
        <v/>
      </c>
      <c r="BQ137" s="53">
        <f>IF(V137&lt;&gt;"",V137,U137)</f>
        <v/>
      </c>
      <c r="BR137" s="53">
        <f>IF(BQ137=1,"L1",IF(OR(BQ137=2,BQ137=3),"L23",IF(BQ137="Aussen","Aussen","-")))</f>
        <v/>
      </c>
      <c r="BS137" s="66">
        <f>IF(N(W137)&gt;0,W137,0)</f>
        <v/>
      </c>
      <c r="BT137" s="58">
        <f>IF(ISNUMBER(Z137),1,0)</f>
        <v/>
      </c>
      <c r="BU137" s="55">
        <f>N(Z137)</f>
        <v/>
      </c>
      <c r="BV137" s="55">
        <f>N(L137)+N(M137)</f>
        <v/>
      </c>
      <c r="BW137" s="55">
        <f>ROUNDUP(G137/BN137,0)</f>
        <v/>
      </c>
      <c r="BX137" s="55">
        <f>ROUNDUP(BU137/BN137,0)</f>
        <v/>
      </c>
      <c r="BY137" s="58">
        <f>IF(BO137=1,0,IFERROR(VLOOKUP(BM137,'Gebinde-Kategorie'!$A$5:$G$45,5,0)+0,0))</f>
        <v/>
      </c>
      <c r="BZ137" s="58">
        <f>IFERROR(IF(OR(BQ137=1,BQ137=2,BQ137=3),N(INDEX(Parameter!$I$5:$I$7,BQ137)),0),0)</f>
        <v/>
      </c>
    </row>
    <row r="138">
      <c r="A138" s="53" t="inlineStr">
        <is>
          <t>109495</t>
        </is>
      </c>
      <c r="B138" s="53" t="inlineStr">
        <is>
          <t>Nadelventil</t>
        </is>
      </c>
      <c r="C138" s="53" t="inlineStr">
        <is>
          <t>F</t>
        </is>
      </c>
      <c r="D138" s="53" t="inlineStr">
        <is>
          <t>KTL</t>
        </is>
      </c>
      <c r="E138" s="53" t="inlineStr">
        <is>
          <t>C</t>
        </is>
      </c>
      <c r="F138" s="54" t="n">
        <v>138.33</v>
      </c>
      <c r="G138" s="55">
        <f>MAX(0,IF(Parameter!$B$20="Jahresanfang 2025 + Export",BG138+BF138,BF138))</f>
        <v/>
      </c>
      <c r="H138" s="55">
        <f>G138*F138</f>
        <v/>
      </c>
      <c r="I138" s="55">
        <f>BI138*Parameter!$B$18</f>
        <v/>
      </c>
      <c r="J138" s="56" t="n">
        <v>33.5</v>
      </c>
      <c r="K138" s="57" t="n">
        <v>0.746268656716418</v>
      </c>
      <c r="L138" s="55" t="n">
        <v>1</v>
      </c>
      <c r="M138" s="55" t="n">
        <v>25</v>
      </c>
      <c r="N138" s="58" t="n">
        <v>28</v>
      </c>
      <c r="O138" s="53" t="inlineStr">
        <is>
          <t>S41</t>
        </is>
      </c>
      <c r="P138" s="55" t="n">
        <v>20</v>
      </c>
      <c r="Q138" s="59">
        <f>IF(BO138=1,0,IFERROR(VLOOKUP(BM138,'Gebinde-Kategorie'!$A$5:$G$45,6,0)+0,0))</f>
        <v/>
      </c>
      <c r="R138" s="60" t="n"/>
      <c r="S138" s="61" t="n"/>
      <c r="T138" s="61" t="n"/>
      <c r="U138" s="53">
        <f>IF(A138="","",IF(IFERROR(VLOOKUP(D138,Parameter!$A$35:$C$64,2,0),"Nein")="2+3",IF(ISNUMBER(SEARCH("grosser Artikel",BJ138)),2,IFERROR(VLOOKUP(BM138,Parameter!$F$35:$G$64,2,0),2)),IF(OR(IFERROR(VLOOKUP(D138,Parameter!$A$35:$C$64,2,0),"Nein")="Nein",IFERROR(VLOOKUP(D138,Parameter!$A$35:$C$64,2,0),"Nein")=""),"-",VLOOKUP(D138,Parameter!$A$35:$C$64,2,0))))</f>
        <v/>
      </c>
      <c r="V138" s="61" t="n"/>
      <c r="W138" s="62" t="n"/>
      <c r="X138" s="55">
        <f>AM138</f>
        <v/>
      </c>
      <c r="Y138" s="55">
        <f>MAX(AM138,G138)</f>
        <v/>
      </c>
      <c r="Z138" s="63" t="n"/>
      <c r="AA138" s="55">
        <f>IF(LEFT(Cockpit!$C$5,1)="A",G138,IF(BT138=1,BU138,IF(LEFT(Cockpit!$C$5,1)="B",AE138,MAX(AE138,G138))))</f>
        <v/>
      </c>
      <c r="AB138" s="55">
        <f>IF(BO138=1,0,ROUNDUP(AA138/BN138,0))</f>
        <v/>
      </c>
      <c r="AC138" s="64">
        <f>IF(BO138=1,IF(AA138&lt;=0,0,BP138*MAX(1,IF(G138&gt;0,AA138/G138,1))),AB138*Q138)</f>
        <v/>
      </c>
      <c r="AD138" s="55">
        <f>AA138*F138</f>
        <v/>
      </c>
      <c r="AE138" s="55">
        <f>ROUNDUP(MAX(I138/IF(BS138&gt;0,BS138,MAX(0.1,N(Cockpit!$C$6))),BV138)/BN138,0)*BN138</f>
        <v/>
      </c>
      <c r="AF138" s="56">
        <f>IF(AC138&gt;0,I138/AC138,-1)</f>
        <v/>
      </c>
      <c r="AG138" s="56">
        <f>IF(AND(OR(BR138="L1",BR138="L23"),AC138&gt;0),SUMIFS($AC$7:$AC$1570,$BR$7:$BR$1570,BR138,$AF$7:$AF$1570,"&gt;"&amp;AF138)+SUMIFS($AC$7:$AC$1570,$BR$7:$BR$1570,BR138,$AF$7:$AF$1570,AF138,$BL$7:$BL$1570,"&lt;="&amp;BL138),"")</f>
        <v/>
      </c>
      <c r="AH138" s="65">
        <f>IF(AG138="",0,MAX(0,MIN(1,(IF(BR138="L1",Parameter!$K$5,Parameter!$K$6+Parameter!$K$7)-(AG138-AC138))/AC138)))</f>
        <v/>
      </c>
      <c r="AI138" s="55">
        <f>IF(LEFT(Cockpit!$I$5,1)="A",G138,IF(BT138=1,BU138,IF(LEFT(Cockpit!$I$5,1)="B",AM138,MAX(AM138,G138))))</f>
        <v/>
      </c>
      <c r="AJ138" s="55">
        <f>IF(BO138=1,0,ROUNDUP(AI138/BN138,0))</f>
        <v/>
      </c>
      <c r="AK138" s="64">
        <f>IF(BO138=1,IF(AI138&lt;=0,0,BP138*MAX(1,IF(G138&gt;0,AI138/G138,1))),AJ138*Q138)</f>
        <v/>
      </c>
      <c r="AL138" s="55">
        <f>AI138*F138</f>
        <v/>
      </c>
      <c r="AM138" s="55">
        <f>ROUNDUP(MAX(I138/IF(BS138&gt;0,BS138,MAX(0.1,N(Cockpit!$I$6))),BV138)/BN138,0)*BN138</f>
        <v/>
      </c>
      <c r="AN138" s="56">
        <f>IF(AK138&gt;0,I138/AK138,-1)</f>
        <v/>
      </c>
      <c r="AO138" s="56">
        <f>IF(AND(OR(BR138="L1",BR138="L23"),AK138&gt;0),SUMIFS($AK$7:$AK$1570,$BR$7:$BR$1570,BR138,$AN$7:$AN$1570,"&gt;"&amp;AN138)+SUMIFS($AK$7:$AK$1570,$BR$7:$BR$1570,BR138,$AN$7:$AN$1570,AN138,$BL$7:$BL$1570,"&lt;="&amp;BL138),"")</f>
        <v/>
      </c>
      <c r="AP138" s="65">
        <f>IF(AO138="",0,MAX(0,MIN(1,(IF(BR138="L1",Parameter!$K$5,Parameter!$K$6+Parameter!$K$7)-(AO138-AK138))/AK138)))</f>
        <v/>
      </c>
      <c r="AQ138" s="55">
        <f>IF(LEFT(Cockpit!$O$5,1)="A",G138,IF(BT138=1,BU138,IF(LEFT(Cockpit!$O$5,1)="B",AU138,MAX(AU138,G138))))</f>
        <v/>
      </c>
      <c r="AR138" s="55">
        <f>IF(BO138=1,0,ROUNDUP(AQ138/BN138,0))</f>
        <v/>
      </c>
      <c r="AS138" s="64">
        <f>IF(BO138=1,IF(AQ138&lt;=0,0,BP138*MAX(1,IF(G138&gt;0,AQ138/G138,1))),AR138*Q138)</f>
        <v/>
      </c>
      <c r="AT138" s="55">
        <f>AQ138*F138</f>
        <v/>
      </c>
      <c r="AU138" s="55">
        <f>ROUNDUP(MAX(I138/IF(BS138&gt;0,BS138,MAX(0.1,N(Cockpit!$O$6))),BV138)/BN138,0)*BN138</f>
        <v/>
      </c>
      <c r="AV138" s="56">
        <f>IF(AS138&gt;0,I138/AS138,-1)</f>
        <v/>
      </c>
      <c r="AW138" s="56">
        <f>IF(AND(OR(BR138="L1",BR138="L23"),AS138&gt;0),SUMIFS($AS$7:$AS$1570,$BR$7:$BR$1570,BR138,$AV$7:$AV$1570,"&gt;"&amp;AV138)+SUMIFS($AS$7:$AS$1570,$BR$7:$BR$1570,BR138,$AV$7:$AV$1570,AV138,$BL$7:$BL$1570,"&lt;="&amp;BL138),"")</f>
        <v/>
      </c>
      <c r="AX138" s="65">
        <f>IF(AW138="",0,MAX(0,MIN(1,(IF(BR138="L1",Parameter!$K$5,Parameter!$K$6+Parameter!$K$7)-(AW138-AS138))/AS138)))</f>
        <v/>
      </c>
      <c r="AY138" s="53">
        <f>IF(AC138&lt;=0,"",IF(BR138="Aussen","Aussenlager",IF(BR138="-","Nicht im Lift",IF(AH138&gt;=1,"Lift",IF(AH138&lt;=0,"Aussenlager","teilweise")))))</f>
        <v/>
      </c>
      <c r="AZ138" s="53">
        <f>IF(AK138&lt;=0,"",IF(BR138="Aussen","Aussenlager",IF(BR138="-","Nicht im Lift",IF(AP138&gt;=1,"Lift",IF(AP138&lt;=0,"Aussenlager","teilweise")))))</f>
        <v/>
      </c>
      <c r="BA138" s="53">
        <f>IF(AS138&lt;=0,"",IF(BR138="Aussen","Aussenlager",IF(BR138="-","Nicht im Lift",IF(AX138&gt;=1,"Lift",IF(AX138&lt;=0,"Aussenlager","teilweise")))))</f>
        <v/>
      </c>
      <c r="BB138" s="53">
        <f>IF(A138="","",IF(BK138=1,"Neu; ","")&amp;IF(AND(BK138=0,BF138&lt;0),"negativer Bestand (Export "&amp;BF138&amp;"); ","")&amp;IF(I138&lt;=0,"Kein Verbrauch; ","")&amp;IF(BO138=1,"Lose – Fläche geschätzt; ","")&amp;IF(G138&gt;AM138,"Überbestand "&amp;ROUND(G138-AM138,0)&amp;" Stk / CHF "&amp;ROUND((G138-AM138)*F138,0)&amp;"; ","")&amp;IF(AND(BT138=1,BU138&lt;BV138),"MAX &lt; MB+LG; ","")&amp;IF(AND(BZ138&gt;0,BY138*10&gt;BZ138),"zu hoch für Tablar; ","")&amp;IF(AND(BK138=0,OR(BT138=1,V138&lt;&gt;"",S138&lt;&gt;"",T138&lt;&gt;"",W138&lt;&gt;"")),"manuell übersteuert; ","")&amp;IF(AND(BO138=0,Q138=0),"Gebinde unbekannt; ","")&amp;IF(AND(BO138=0,N(T138)&lt;=0,N(P138)&lt;=0),"Menge pro Gebinde fehlt (Ist = 1 Gebinde); ","")&amp;BJ138)</f>
        <v/>
      </c>
      <c r="BC138" s="53" t="n"/>
      <c r="BD138" s="53" t="n"/>
      <c r="BE138" s="61" t="n"/>
      <c r="BF138" s="55" t="n">
        <v>11</v>
      </c>
      <c r="BG138" s="55" t="n">
        <v>46</v>
      </c>
      <c r="BH138" s="54" t="n">
        <v>1567.17</v>
      </c>
      <c r="BI138" s="55" t="n">
        <v>25</v>
      </c>
      <c r="BJ138" s="53" t="inlineStr"/>
      <c r="BK138" s="58" t="n">
        <v>0</v>
      </c>
      <c r="BL138" s="58" t="n">
        <v>138</v>
      </c>
      <c r="BM138" s="53">
        <f>IF(S138&lt;&gt;"",UPPER(TRIM(S138)),IF(O138="","LOSE",O138))</f>
        <v/>
      </c>
      <c r="BN138" s="55">
        <f>IF(BM138="LOSE",1,IF(N(T138)&gt;0,T138,IF(N(P138)&gt;0,P138,MAX(1,G138))))</f>
        <v/>
      </c>
      <c r="BO138" s="58">
        <f>IF(BM138="LOSE",1,0)</f>
        <v/>
      </c>
      <c r="BP138" s="64">
        <f>IF(BO138=0,0,IF(N(R138)&gt;0,R138,IFERROR(VLOOKUP(D138,Parameter!$A$35:$C$64,3,0)+0,0)))</f>
        <v/>
      </c>
      <c r="BQ138" s="53">
        <f>IF(V138&lt;&gt;"",V138,U138)</f>
        <v/>
      </c>
      <c r="BR138" s="53">
        <f>IF(BQ138=1,"L1",IF(OR(BQ138=2,BQ138=3),"L23",IF(BQ138="Aussen","Aussen","-")))</f>
        <v/>
      </c>
      <c r="BS138" s="66">
        <f>IF(N(W138)&gt;0,W138,0)</f>
        <v/>
      </c>
      <c r="BT138" s="58">
        <f>IF(ISNUMBER(Z138),1,0)</f>
        <v/>
      </c>
      <c r="BU138" s="55">
        <f>N(Z138)</f>
        <v/>
      </c>
      <c r="BV138" s="55">
        <f>N(L138)+N(M138)</f>
        <v/>
      </c>
      <c r="BW138" s="55">
        <f>ROUNDUP(G138/BN138,0)</f>
        <v/>
      </c>
      <c r="BX138" s="55">
        <f>ROUNDUP(BU138/BN138,0)</f>
        <v/>
      </c>
      <c r="BY138" s="58">
        <f>IF(BO138=1,0,IFERROR(VLOOKUP(BM138,'Gebinde-Kategorie'!$A$5:$G$45,5,0)+0,0))</f>
        <v/>
      </c>
      <c r="BZ138" s="58">
        <f>IFERROR(IF(OR(BQ138=1,BQ138=2,BQ138=3),N(INDEX(Parameter!$I$5:$I$7,BQ138)),0),0)</f>
        <v/>
      </c>
    </row>
    <row r="139">
      <c r="A139" s="53" t="inlineStr">
        <is>
          <t>109201</t>
        </is>
      </c>
      <c r="B139" s="53" t="inlineStr">
        <is>
          <t>Fahrwerk GISKB II</t>
        </is>
      </c>
      <c r="C139" s="53" t="inlineStr">
        <is>
          <t>F</t>
        </is>
      </c>
      <c r="D139" s="53" t="inlineStr">
        <is>
          <t>PAL</t>
        </is>
      </c>
      <c r="E139" s="53" t="inlineStr">
        <is>
          <t>C</t>
        </is>
      </c>
      <c r="F139" s="54" t="n">
        <v>116.64</v>
      </c>
      <c r="G139" s="55">
        <f>MAX(0,IF(Parameter!$B$20="Jahresanfang 2025 + Export",BG139+BF139,BF139))</f>
        <v/>
      </c>
      <c r="H139" s="55">
        <f>G139*F139</f>
        <v/>
      </c>
      <c r="I139" s="55">
        <f>BI139*Parameter!$B$18</f>
        <v/>
      </c>
      <c r="J139" s="56" t="n">
        <v>37.5</v>
      </c>
      <c r="K139" s="57" t="n">
        <v>4.186666666666667</v>
      </c>
      <c r="L139" s="55" t="n">
        <v>3</v>
      </c>
      <c r="M139" s="55" t="n">
        <v>25</v>
      </c>
      <c r="N139" s="58" t="n">
        <v>7</v>
      </c>
      <c r="O139" s="53" t="inlineStr">
        <is>
          <t>S71</t>
        </is>
      </c>
      <c r="P139" s="55" t="n">
        <v>60</v>
      </c>
      <c r="Q139" s="59">
        <f>IF(BO139=1,0,IFERROR(VLOOKUP(BM139,'Gebinde-Kategorie'!$A$5:$G$45,6,0)+0,0))</f>
        <v/>
      </c>
      <c r="R139" s="60" t="n"/>
      <c r="S139" s="61" t="n"/>
      <c r="T139" s="61" t="n"/>
      <c r="U139" s="53">
        <f>IF(A139="","",IF(IFERROR(VLOOKUP(D139,Parameter!$A$35:$C$64,2,0),"Nein")="2+3",IF(ISNUMBER(SEARCH("grosser Artikel",BJ139)),2,IFERROR(VLOOKUP(BM139,Parameter!$F$35:$G$64,2,0),2)),IF(OR(IFERROR(VLOOKUP(D139,Parameter!$A$35:$C$64,2,0),"Nein")="Nein",IFERROR(VLOOKUP(D139,Parameter!$A$35:$C$64,2,0),"Nein")=""),"-",VLOOKUP(D139,Parameter!$A$35:$C$64,2,0))))</f>
        <v/>
      </c>
      <c r="V139" s="61" t="n"/>
      <c r="W139" s="62" t="n"/>
      <c r="X139" s="55">
        <f>AM139</f>
        <v/>
      </c>
      <c r="Y139" s="55">
        <f>MAX(AM139,G139)</f>
        <v/>
      </c>
      <c r="Z139" s="63" t="n"/>
      <c r="AA139" s="55">
        <f>IF(LEFT(Cockpit!$C$5,1)="A",G139,IF(BT139=1,BU139,IF(LEFT(Cockpit!$C$5,1)="B",AE139,MAX(AE139,G139))))</f>
        <v/>
      </c>
      <c r="AB139" s="55">
        <f>IF(BO139=1,0,ROUNDUP(AA139/BN139,0))</f>
        <v/>
      </c>
      <c r="AC139" s="64">
        <f>IF(BO139=1,IF(AA139&lt;=0,0,BP139*MAX(1,IF(G139&gt;0,AA139/G139,1))),AB139*Q139)</f>
        <v/>
      </c>
      <c r="AD139" s="55">
        <f>AA139*F139</f>
        <v/>
      </c>
      <c r="AE139" s="55">
        <f>ROUNDUP(MAX(I139/IF(BS139&gt;0,BS139,MAX(0.1,N(Cockpit!$C$6))),BV139)/BN139,0)*BN139</f>
        <v/>
      </c>
      <c r="AF139" s="56">
        <f>IF(AC139&gt;0,I139/AC139,-1)</f>
        <v/>
      </c>
      <c r="AG139" s="56">
        <f>IF(AND(OR(BR139="L1",BR139="L23"),AC139&gt;0),SUMIFS($AC$7:$AC$1570,$BR$7:$BR$1570,BR139,$AF$7:$AF$1570,"&gt;"&amp;AF139)+SUMIFS($AC$7:$AC$1570,$BR$7:$BR$1570,BR139,$AF$7:$AF$1570,AF139,$BL$7:$BL$1570,"&lt;="&amp;BL139),"")</f>
        <v/>
      </c>
      <c r="AH139" s="65">
        <f>IF(AG139="",0,MAX(0,MIN(1,(IF(BR139="L1",Parameter!$K$5,Parameter!$K$6+Parameter!$K$7)-(AG139-AC139))/AC139)))</f>
        <v/>
      </c>
      <c r="AI139" s="55">
        <f>IF(LEFT(Cockpit!$I$5,1)="A",G139,IF(BT139=1,BU139,IF(LEFT(Cockpit!$I$5,1)="B",AM139,MAX(AM139,G139))))</f>
        <v/>
      </c>
      <c r="AJ139" s="55">
        <f>IF(BO139=1,0,ROUNDUP(AI139/BN139,0))</f>
        <v/>
      </c>
      <c r="AK139" s="64">
        <f>IF(BO139=1,IF(AI139&lt;=0,0,BP139*MAX(1,IF(G139&gt;0,AI139/G139,1))),AJ139*Q139)</f>
        <v/>
      </c>
      <c r="AL139" s="55">
        <f>AI139*F139</f>
        <v/>
      </c>
      <c r="AM139" s="55">
        <f>ROUNDUP(MAX(I139/IF(BS139&gt;0,BS139,MAX(0.1,N(Cockpit!$I$6))),BV139)/BN139,0)*BN139</f>
        <v/>
      </c>
      <c r="AN139" s="56">
        <f>IF(AK139&gt;0,I139/AK139,-1)</f>
        <v/>
      </c>
      <c r="AO139" s="56">
        <f>IF(AND(OR(BR139="L1",BR139="L23"),AK139&gt;0),SUMIFS($AK$7:$AK$1570,$BR$7:$BR$1570,BR139,$AN$7:$AN$1570,"&gt;"&amp;AN139)+SUMIFS($AK$7:$AK$1570,$BR$7:$BR$1570,BR139,$AN$7:$AN$1570,AN139,$BL$7:$BL$1570,"&lt;="&amp;BL139),"")</f>
        <v/>
      </c>
      <c r="AP139" s="65">
        <f>IF(AO139="",0,MAX(0,MIN(1,(IF(BR139="L1",Parameter!$K$5,Parameter!$K$6+Parameter!$K$7)-(AO139-AK139))/AK139)))</f>
        <v/>
      </c>
      <c r="AQ139" s="55">
        <f>IF(LEFT(Cockpit!$O$5,1)="A",G139,IF(BT139=1,BU139,IF(LEFT(Cockpit!$O$5,1)="B",AU139,MAX(AU139,G139))))</f>
        <v/>
      </c>
      <c r="AR139" s="55">
        <f>IF(BO139=1,0,ROUNDUP(AQ139/BN139,0))</f>
        <v/>
      </c>
      <c r="AS139" s="64">
        <f>IF(BO139=1,IF(AQ139&lt;=0,0,BP139*MAX(1,IF(G139&gt;0,AQ139/G139,1))),AR139*Q139)</f>
        <v/>
      </c>
      <c r="AT139" s="55">
        <f>AQ139*F139</f>
        <v/>
      </c>
      <c r="AU139" s="55">
        <f>ROUNDUP(MAX(I139/IF(BS139&gt;0,BS139,MAX(0.1,N(Cockpit!$O$6))),BV139)/BN139,0)*BN139</f>
        <v/>
      </c>
      <c r="AV139" s="56">
        <f>IF(AS139&gt;0,I139/AS139,-1)</f>
        <v/>
      </c>
      <c r="AW139" s="56">
        <f>IF(AND(OR(BR139="L1",BR139="L23"),AS139&gt;0),SUMIFS($AS$7:$AS$1570,$BR$7:$BR$1570,BR139,$AV$7:$AV$1570,"&gt;"&amp;AV139)+SUMIFS($AS$7:$AS$1570,$BR$7:$BR$1570,BR139,$AV$7:$AV$1570,AV139,$BL$7:$BL$1570,"&lt;="&amp;BL139),"")</f>
        <v/>
      </c>
      <c r="AX139" s="65">
        <f>IF(AW139="",0,MAX(0,MIN(1,(IF(BR139="L1",Parameter!$K$5,Parameter!$K$6+Parameter!$K$7)-(AW139-AS139))/AS139)))</f>
        <v/>
      </c>
      <c r="AY139" s="53">
        <f>IF(AC139&lt;=0,"",IF(BR139="Aussen","Aussenlager",IF(BR139="-","Nicht im Lift",IF(AH139&gt;=1,"Lift",IF(AH139&lt;=0,"Aussenlager","teilweise")))))</f>
        <v/>
      </c>
      <c r="AZ139" s="53">
        <f>IF(AK139&lt;=0,"",IF(BR139="Aussen","Aussenlager",IF(BR139="-","Nicht im Lift",IF(AP139&gt;=1,"Lift",IF(AP139&lt;=0,"Aussenlager","teilweise")))))</f>
        <v/>
      </c>
      <c r="BA139" s="53">
        <f>IF(AS139&lt;=0,"",IF(BR139="Aussen","Aussenlager",IF(BR139="-","Nicht im Lift",IF(AX139&gt;=1,"Lift",IF(AX139&lt;=0,"Aussenlager","teilweise")))))</f>
        <v/>
      </c>
      <c r="BB139" s="53">
        <f>IF(A139="","",IF(BK139=1,"Neu; ","")&amp;IF(AND(BK139=0,BF139&lt;0),"negativer Bestand (Export "&amp;BF139&amp;"); ","")&amp;IF(I139&lt;=0,"Kein Verbrauch; ","")&amp;IF(BO139=1,"Lose – Fläche geschätzt; ","")&amp;IF(G139&gt;AM139,"Überbestand "&amp;ROUND(G139-AM139,0)&amp;" Stk / CHF "&amp;ROUND((G139-AM139)*F139,0)&amp;"; ","")&amp;IF(AND(BT139=1,BU139&lt;BV139),"MAX &lt; MB+LG; ","")&amp;IF(AND(BZ139&gt;0,BY139*10&gt;BZ139),"zu hoch für Tablar; ","")&amp;IF(AND(BK139=0,OR(BT139=1,V139&lt;&gt;"",S139&lt;&gt;"",T139&lt;&gt;"",W139&lt;&gt;"")),"manuell übersteuert; ","")&amp;IF(AND(BO139=0,Q139=0),"Gebinde unbekannt; ","")&amp;IF(AND(BO139=0,N(T139)&lt;=0,N(P139)&lt;=0),"Menge pro Gebinde fehlt (Ist = 1 Gebinde); ","")&amp;BJ139)</f>
        <v/>
      </c>
      <c r="BC139" s="53" t="n"/>
      <c r="BD139" s="53" t="n"/>
      <c r="BE139" s="61" t="n"/>
      <c r="BF139" s="55" t="n">
        <v>13</v>
      </c>
      <c r="BG139" s="55" t="n">
        <v>18</v>
      </c>
      <c r="BH139" s="54" t="n">
        <v>1547.819999999999</v>
      </c>
      <c r="BI139" s="55" t="n">
        <v>157</v>
      </c>
      <c r="BJ139" s="53" t="inlineStr"/>
      <c r="BK139" s="58" t="n">
        <v>0</v>
      </c>
      <c r="BL139" s="58" t="n">
        <v>139</v>
      </c>
      <c r="BM139" s="53">
        <f>IF(S139&lt;&gt;"",UPPER(TRIM(S139)),IF(O139="","LOSE",O139))</f>
        <v/>
      </c>
      <c r="BN139" s="55">
        <f>IF(BM139="LOSE",1,IF(N(T139)&gt;0,T139,IF(N(P139)&gt;0,P139,MAX(1,G139))))</f>
        <v/>
      </c>
      <c r="BO139" s="58">
        <f>IF(BM139="LOSE",1,0)</f>
        <v/>
      </c>
      <c r="BP139" s="64">
        <f>IF(BO139=0,0,IF(N(R139)&gt;0,R139,IFERROR(VLOOKUP(D139,Parameter!$A$35:$C$64,3,0)+0,0)))</f>
        <v/>
      </c>
      <c r="BQ139" s="53">
        <f>IF(V139&lt;&gt;"",V139,U139)</f>
        <v/>
      </c>
      <c r="BR139" s="53">
        <f>IF(BQ139=1,"L1",IF(OR(BQ139=2,BQ139=3),"L23",IF(BQ139="Aussen","Aussen","-")))</f>
        <v/>
      </c>
      <c r="BS139" s="66">
        <f>IF(N(W139)&gt;0,W139,0)</f>
        <v/>
      </c>
      <c r="BT139" s="58">
        <f>IF(ISNUMBER(Z139),1,0)</f>
        <v/>
      </c>
      <c r="BU139" s="55">
        <f>N(Z139)</f>
        <v/>
      </c>
      <c r="BV139" s="55">
        <f>N(L139)+N(M139)</f>
        <v/>
      </c>
      <c r="BW139" s="55">
        <f>ROUNDUP(G139/BN139,0)</f>
        <v/>
      </c>
      <c r="BX139" s="55">
        <f>ROUNDUP(BU139/BN139,0)</f>
        <v/>
      </c>
      <c r="BY139" s="58">
        <f>IF(BO139=1,0,IFERROR(VLOOKUP(BM139,'Gebinde-Kategorie'!$A$5:$G$45,5,0)+0,0))</f>
        <v/>
      </c>
      <c r="BZ139" s="58">
        <f>IFERROR(IF(OR(BQ139=1,BQ139=2,BQ139=3),N(INDEX(Parameter!$I$5:$I$7,BQ139)),0),0)</f>
        <v/>
      </c>
    </row>
    <row r="140">
      <c r="A140" s="53" t="inlineStr">
        <is>
          <t>005101</t>
        </is>
      </c>
      <c r="B140" s="53" t="inlineStr">
        <is>
          <t>SPS Ethernet-Kommunikationsmodul</t>
        </is>
      </c>
      <c r="C140" s="53" t="inlineStr">
        <is>
          <t>F</t>
        </is>
      </c>
      <c r="D140" s="53" t="inlineStr">
        <is>
          <t>KTL</t>
        </is>
      </c>
      <c r="E140" s="53" t="inlineStr">
        <is>
          <t>C</t>
        </is>
      </c>
      <c r="F140" s="54" t="n">
        <v>371.25</v>
      </c>
      <c r="G140" s="55">
        <f>MAX(0,IF(Parameter!$B$20="Jahresanfang 2025 + Export",BG140+BF140,BF140))</f>
        <v/>
      </c>
      <c r="H140" s="55">
        <f>G140*F140</f>
        <v/>
      </c>
      <c r="I140" s="55">
        <f>BI140*Parameter!$B$18</f>
        <v/>
      </c>
      <c r="J140" s="56" t="n">
        <v>3</v>
      </c>
      <c r="K140" s="57" t="n">
        <v>0</v>
      </c>
      <c r="L140" s="55" t="n">
        <v>0</v>
      </c>
      <c r="M140" s="55" t="n">
        <v>1</v>
      </c>
      <c r="N140" s="58" t="n">
        <v>21</v>
      </c>
      <c r="O140" s="53" t="inlineStr">
        <is>
          <t>S41</t>
        </is>
      </c>
      <c r="P140" s="55" t="n">
        <v>1</v>
      </c>
      <c r="Q140" s="59">
        <f>IF(BO140=1,0,IFERROR(VLOOKUP(BM140,'Gebinde-Kategorie'!$A$5:$G$45,6,0)+0,0))</f>
        <v/>
      </c>
      <c r="R140" s="60" t="n"/>
      <c r="S140" s="61" t="n"/>
      <c r="T140" s="61" t="n"/>
      <c r="U140" s="53">
        <f>IF(A140="","",IF(IFERROR(VLOOKUP(D140,Parameter!$A$35:$C$64,2,0),"Nein")="2+3",IF(ISNUMBER(SEARCH("grosser Artikel",BJ140)),2,IFERROR(VLOOKUP(BM140,Parameter!$F$35:$G$64,2,0),2)),IF(OR(IFERROR(VLOOKUP(D140,Parameter!$A$35:$C$64,2,0),"Nein")="Nein",IFERROR(VLOOKUP(D140,Parameter!$A$35:$C$64,2,0),"Nein")=""),"-",VLOOKUP(D140,Parameter!$A$35:$C$64,2,0))))</f>
        <v/>
      </c>
      <c r="V140" s="61" t="n"/>
      <c r="W140" s="62" t="n"/>
      <c r="X140" s="55">
        <f>AM140</f>
        <v/>
      </c>
      <c r="Y140" s="55">
        <f>MAX(AM140,G140)</f>
        <v/>
      </c>
      <c r="Z140" s="63" t="n"/>
      <c r="AA140" s="55">
        <f>IF(LEFT(Cockpit!$C$5,1)="A",G140,IF(BT140=1,BU140,IF(LEFT(Cockpit!$C$5,1)="B",AE140,MAX(AE140,G140))))</f>
        <v/>
      </c>
      <c r="AB140" s="55">
        <f>IF(BO140=1,0,ROUNDUP(AA140/BN140,0))</f>
        <v/>
      </c>
      <c r="AC140" s="64">
        <f>IF(BO140=1,IF(AA140&lt;=0,0,BP140*MAX(1,IF(G140&gt;0,AA140/G140,1))),AB140*Q140)</f>
        <v/>
      </c>
      <c r="AD140" s="55">
        <f>AA140*F140</f>
        <v/>
      </c>
      <c r="AE140" s="55">
        <f>ROUNDUP(MAX(I140/IF(BS140&gt;0,BS140,MAX(0.1,N(Cockpit!$C$6))),BV140)/BN140,0)*BN140</f>
        <v/>
      </c>
      <c r="AF140" s="56">
        <f>IF(AC140&gt;0,I140/AC140,-1)</f>
        <v/>
      </c>
      <c r="AG140" s="56">
        <f>IF(AND(OR(BR140="L1",BR140="L23"),AC140&gt;0),SUMIFS($AC$7:$AC$1570,$BR$7:$BR$1570,BR140,$AF$7:$AF$1570,"&gt;"&amp;AF140)+SUMIFS($AC$7:$AC$1570,$BR$7:$BR$1570,BR140,$AF$7:$AF$1570,AF140,$BL$7:$BL$1570,"&lt;="&amp;BL140),"")</f>
        <v/>
      </c>
      <c r="AH140" s="65">
        <f>IF(AG140="",0,MAX(0,MIN(1,(IF(BR140="L1",Parameter!$K$5,Parameter!$K$6+Parameter!$K$7)-(AG140-AC140))/AC140)))</f>
        <v/>
      </c>
      <c r="AI140" s="55">
        <f>IF(LEFT(Cockpit!$I$5,1)="A",G140,IF(BT140=1,BU140,IF(LEFT(Cockpit!$I$5,1)="B",AM140,MAX(AM140,G140))))</f>
        <v/>
      </c>
      <c r="AJ140" s="55">
        <f>IF(BO140=1,0,ROUNDUP(AI140/BN140,0))</f>
        <v/>
      </c>
      <c r="AK140" s="64">
        <f>IF(BO140=1,IF(AI140&lt;=0,0,BP140*MAX(1,IF(G140&gt;0,AI140/G140,1))),AJ140*Q140)</f>
        <v/>
      </c>
      <c r="AL140" s="55">
        <f>AI140*F140</f>
        <v/>
      </c>
      <c r="AM140" s="55">
        <f>ROUNDUP(MAX(I140/IF(BS140&gt;0,BS140,MAX(0.1,N(Cockpit!$I$6))),BV140)/BN140,0)*BN140</f>
        <v/>
      </c>
      <c r="AN140" s="56">
        <f>IF(AK140&gt;0,I140/AK140,-1)</f>
        <v/>
      </c>
      <c r="AO140" s="56">
        <f>IF(AND(OR(BR140="L1",BR140="L23"),AK140&gt;0),SUMIFS($AK$7:$AK$1570,$BR$7:$BR$1570,BR140,$AN$7:$AN$1570,"&gt;"&amp;AN140)+SUMIFS($AK$7:$AK$1570,$BR$7:$BR$1570,BR140,$AN$7:$AN$1570,AN140,$BL$7:$BL$1570,"&lt;="&amp;BL140),"")</f>
        <v/>
      </c>
      <c r="AP140" s="65">
        <f>IF(AO140="",0,MAX(0,MIN(1,(IF(BR140="L1",Parameter!$K$5,Parameter!$K$6+Parameter!$K$7)-(AO140-AK140))/AK140)))</f>
        <v/>
      </c>
      <c r="AQ140" s="55">
        <f>IF(LEFT(Cockpit!$O$5,1)="A",G140,IF(BT140=1,BU140,IF(LEFT(Cockpit!$O$5,1)="B",AU140,MAX(AU140,G140))))</f>
        <v/>
      </c>
      <c r="AR140" s="55">
        <f>IF(BO140=1,0,ROUNDUP(AQ140/BN140,0))</f>
        <v/>
      </c>
      <c r="AS140" s="64">
        <f>IF(BO140=1,IF(AQ140&lt;=0,0,BP140*MAX(1,IF(G140&gt;0,AQ140/G140,1))),AR140*Q140)</f>
        <v/>
      </c>
      <c r="AT140" s="55">
        <f>AQ140*F140</f>
        <v/>
      </c>
      <c r="AU140" s="55">
        <f>ROUNDUP(MAX(I140/IF(BS140&gt;0,BS140,MAX(0.1,N(Cockpit!$O$6))),BV140)/BN140,0)*BN140</f>
        <v/>
      </c>
      <c r="AV140" s="56">
        <f>IF(AS140&gt;0,I140/AS140,-1)</f>
        <v/>
      </c>
      <c r="AW140" s="56">
        <f>IF(AND(OR(BR140="L1",BR140="L23"),AS140&gt;0),SUMIFS($AS$7:$AS$1570,$BR$7:$BR$1570,BR140,$AV$7:$AV$1570,"&gt;"&amp;AV140)+SUMIFS($AS$7:$AS$1570,$BR$7:$BR$1570,BR140,$AV$7:$AV$1570,AV140,$BL$7:$BL$1570,"&lt;="&amp;BL140),"")</f>
        <v/>
      </c>
      <c r="AX140" s="65">
        <f>IF(AW140="",0,MAX(0,MIN(1,(IF(BR140="L1",Parameter!$K$5,Parameter!$K$6+Parameter!$K$7)-(AW140-AS140))/AS140)))</f>
        <v/>
      </c>
      <c r="AY140" s="53">
        <f>IF(AC140&lt;=0,"",IF(BR140="Aussen","Aussenlager",IF(BR140="-","Nicht im Lift",IF(AH140&gt;=1,"Lift",IF(AH140&lt;=0,"Aussenlager","teilweise")))))</f>
        <v/>
      </c>
      <c r="AZ140" s="53">
        <f>IF(AK140&lt;=0,"",IF(BR140="Aussen","Aussenlager",IF(BR140="-","Nicht im Lift",IF(AP140&gt;=1,"Lift",IF(AP140&lt;=0,"Aussenlager","teilweise")))))</f>
        <v/>
      </c>
      <c r="BA140" s="53">
        <f>IF(AS140&lt;=0,"",IF(BR140="Aussen","Aussenlager",IF(BR140="-","Nicht im Lift",IF(AX140&gt;=1,"Lift",IF(AX140&lt;=0,"Aussenlager","teilweise")))))</f>
        <v/>
      </c>
      <c r="BB140" s="53">
        <f>IF(A140="","",IF(BK140=1,"Neu; ","")&amp;IF(AND(BK140=0,BF140&lt;0),"negativer Bestand (Export "&amp;BF140&amp;"); ","")&amp;IF(I140&lt;=0,"Kein Verbrauch; ","")&amp;IF(BO140=1,"Lose – Fläche geschätzt; ","")&amp;IF(G140&gt;AM140,"Überbestand "&amp;ROUND(G140-AM140,0)&amp;" Stk / CHF "&amp;ROUND((G140-AM140)*F140,0)&amp;"; ","")&amp;IF(AND(BT140=1,BU140&lt;BV140),"MAX &lt; MB+LG; ","")&amp;IF(AND(BZ140&gt;0,BY140*10&gt;BZ140),"zu hoch für Tablar; ","")&amp;IF(AND(BK140=0,OR(BT140=1,V140&lt;&gt;"",S140&lt;&gt;"",T140&lt;&gt;"",W140&lt;&gt;"")),"manuell übersteuert; ","")&amp;IF(AND(BO140=0,Q140=0),"Gebinde unbekannt; ","")&amp;IF(AND(BO140=0,N(T140)&lt;=0,N(P140)&lt;=0),"Menge pro Gebinde fehlt (Ist = 1 Gebinde); ","")&amp;BJ140)</f>
        <v/>
      </c>
      <c r="BC140" s="53" t="n"/>
      <c r="BD140" s="53" t="n"/>
      <c r="BE140" s="61" t="n"/>
      <c r="BF140" s="55" t="n">
        <v>4</v>
      </c>
      <c r="BG140" s="55" t="n">
        <v>1</v>
      </c>
      <c r="BH140" s="54" t="n">
        <v>1487.25</v>
      </c>
      <c r="BI140" s="55" t="n">
        <v>0</v>
      </c>
      <c r="BJ140" s="53" t="inlineStr"/>
      <c r="BK140" s="58" t="n">
        <v>0</v>
      </c>
      <c r="BL140" s="58" t="n">
        <v>140</v>
      </c>
      <c r="BM140" s="53">
        <f>IF(S140&lt;&gt;"",UPPER(TRIM(S140)),IF(O140="","LOSE",O140))</f>
        <v/>
      </c>
      <c r="BN140" s="55">
        <f>IF(BM140="LOSE",1,IF(N(T140)&gt;0,T140,IF(N(P140)&gt;0,P140,MAX(1,G140))))</f>
        <v/>
      </c>
      <c r="BO140" s="58">
        <f>IF(BM140="LOSE",1,0)</f>
        <v/>
      </c>
      <c r="BP140" s="64">
        <f>IF(BO140=0,0,IF(N(R140)&gt;0,R140,IFERROR(VLOOKUP(D140,Parameter!$A$35:$C$64,3,0)+0,0)))</f>
        <v/>
      </c>
      <c r="BQ140" s="53">
        <f>IF(V140&lt;&gt;"",V140,U140)</f>
        <v/>
      </c>
      <c r="BR140" s="53">
        <f>IF(BQ140=1,"L1",IF(OR(BQ140=2,BQ140=3),"L23",IF(BQ140="Aussen","Aussen","-")))</f>
        <v/>
      </c>
      <c r="BS140" s="66">
        <f>IF(N(W140)&gt;0,W140,0)</f>
        <v/>
      </c>
      <c r="BT140" s="58">
        <f>IF(ISNUMBER(Z140),1,0)</f>
        <v/>
      </c>
      <c r="BU140" s="55">
        <f>N(Z140)</f>
        <v/>
      </c>
      <c r="BV140" s="55">
        <f>N(L140)+N(M140)</f>
        <v/>
      </c>
      <c r="BW140" s="55">
        <f>ROUNDUP(G140/BN140,0)</f>
        <v/>
      </c>
      <c r="BX140" s="55">
        <f>ROUNDUP(BU140/BN140,0)</f>
        <v/>
      </c>
      <c r="BY140" s="58">
        <f>IF(BO140=1,0,IFERROR(VLOOKUP(BM140,'Gebinde-Kategorie'!$A$5:$G$45,5,0)+0,0))</f>
        <v/>
      </c>
      <c r="BZ140" s="58">
        <f>IFERROR(IF(OR(BQ140=1,BQ140=2,BQ140=3),N(INDEX(Parameter!$I$5:$I$7,BQ140)),0),0)</f>
        <v/>
      </c>
    </row>
    <row r="141">
      <c r="A141" s="53" t="inlineStr">
        <is>
          <t>101574</t>
        </is>
      </c>
      <c r="B141" s="53" t="inlineStr">
        <is>
          <t>Stützring</t>
        </is>
      </c>
      <c r="C141" s="53" t="inlineStr">
        <is>
          <t>F</t>
        </is>
      </c>
      <c r="D141" s="53" t="inlineStr">
        <is>
          <t>KTL</t>
        </is>
      </c>
      <c r="E141" s="53" t="inlineStr">
        <is>
          <t>C</t>
        </is>
      </c>
      <c r="F141" s="54" t="n">
        <v>1.64</v>
      </c>
      <c r="G141" s="55">
        <f>MAX(0,IF(Parameter!$B$20="Jahresanfang 2025 + Export",BG141+BF141,BF141))</f>
        <v/>
      </c>
      <c r="H141" s="55">
        <f>G141*F141</f>
        <v/>
      </c>
      <c r="I141" s="55">
        <f>BI141*Parameter!$B$18</f>
        <v/>
      </c>
      <c r="J141" s="56" t="n">
        <v>1050.5</v>
      </c>
      <c r="K141" s="57" t="n">
        <v>4.024750118990957</v>
      </c>
      <c r="L141" s="55" t="n">
        <v>83</v>
      </c>
      <c r="M141" s="55" t="n">
        <v>2500</v>
      </c>
      <c r="N141" s="58" t="n">
        <v>7</v>
      </c>
      <c r="O141" s="53" t="inlineStr">
        <is>
          <t>S63</t>
        </is>
      </c>
      <c r="P141" s="55" t="n">
        <v>3358</v>
      </c>
      <c r="Q141" s="59">
        <f>IF(BO141=1,0,IFERROR(VLOOKUP(BM141,'Gebinde-Kategorie'!$A$5:$G$45,6,0)+0,0))</f>
        <v/>
      </c>
      <c r="R141" s="60" t="n"/>
      <c r="S141" s="61" t="n"/>
      <c r="T141" s="61" t="n"/>
      <c r="U141" s="53">
        <f>IF(A141="","",IF(IFERROR(VLOOKUP(D141,Parameter!$A$35:$C$64,2,0),"Nein")="2+3",IF(ISNUMBER(SEARCH("grosser Artikel",BJ141)),2,IFERROR(VLOOKUP(BM141,Parameter!$F$35:$G$64,2,0),2)),IF(OR(IFERROR(VLOOKUP(D141,Parameter!$A$35:$C$64,2,0),"Nein")="Nein",IFERROR(VLOOKUP(D141,Parameter!$A$35:$C$64,2,0),"Nein")=""),"-",VLOOKUP(D141,Parameter!$A$35:$C$64,2,0))))</f>
        <v/>
      </c>
      <c r="V141" s="61" t="n"/>
      <c r="W141" s="62" t="n"/>
      <c r="X141" s="55">
        <f>AM141</f>
        <v/>
      </c>
      <c r="Y141" s="55">
        <f>MAX(AM141,G141)</f>
        <v/>
      </c>
      <c r="Z141" s="63" t="n"/>
      <c r="AA141" s="55">
        <f>IF(LEFT(Cockpit!$C$5,1)="A",G141,IF(BT141=1,BU141,IF(LEFT(Cockpit!$C$5,1)="B",AE141,MAX(AE141,G141))))</f>
        <v/>
      </c>
      <c r="AB141" s="55">
        <f>IF(BO141=1,0,ROUNDUP(AA141/BN141,0))</f>
        <v/>
      </c>
      <c r="AC141" s="64">
        <f>IF(BO141=1,IF(AA141&lt;=0,0,BP141*MAX(1,IF(G141&gt;0,AA141/G141,1))),AB141*Q141)</f>
        <v/>
      </c>
      <c r="AD141" s="55">
        <f>AA141*F141</f>
        <v/>
      </c>
      <c r="AE141" s="55">
        <f>ROUNDUP(MAX(I141/IF(BS141&gt;0,BS141,MAX(0.1,N(Cockpit!$C$6))),BV141)/BN141,0)*BN141</f>
        <v/>
      </c>
      <c r="AF141" s="56">
        <f>IF(AC141&gt;0,I141/AC141,-1)</f>
        <v/>
      </c>
      <c r="AG141" s="56">
        <f>IF(AND(OR(BR141="L1",BR141="L23"),AC141&gt;0),SUMIFS($AC$7:$AC$1570,$BR$7:$BR$1570,BR141,$AF$7:$AF$1570,"&gt;"&amp;AF141)+SUMIFS($AC$7:$AC$1570,$BR$7:$BR$1570,BR141,$AF$7:$AF$1570,AF141,$BL$7:$BL$1570,"&lt;="&amp;BL141),"")</f>
        <v/>
      </c>
      <c r="AH141" s="65">
        <f>IF(AG141="",0,MAX(0,MIN(1,(IF(BR141="L1",Parameter!$K$5,Parameter!$K$6+Parameter!$K$7)-(AG141-AC141))/AC141)))</f>
        <v/>
      </c>
      <c r="AI141" s="55">
        <f>IF(LEFT(Cockpit!$I$5,1)="A",G141,IF(BT141=1,BU141,IF(LEFT(Cockpit!$I$5,1)="B",AM141,MAX(AM141,G141))))</f>
        <v/>
      </c>
      <c r="AJ141" s="55">
        <f>IF(BO141=1,0,ROUNDUP(AI141/BN141,0))</f>
        <v/>
      </c>
      <c r="AK141" s="64">
        <f>IF(BO141=1,IF(AI141&lt;=0,0,BP141*MAX(1,IF(G141&gt;0,AI141/G141,1))),AJ141*Q141)</f>
        <v/>
      </c>
      <c r="AL141" s="55">
        <f>AI141*F141</f>
        <v/>
      </c>
      <c r="AM141" s="55">
        <f>ROUNDUP(MAX(I141/IF(BS141&gt;0,BS141,MAX(0.1,N(Cockpit!$I$6))),BV141)/BN141,0)*BN141</f>
        <v/>
      </c>
      <c r="AN141" s="56">
        <f>IF(AK141&gt;0,I141/AK141,-1)</f>
        <v/>
      </c>
      <c r="AO141" s="56">
        <f>IF(AND(OR(BR141="L1",BR141="L23"),AK141&gt;0),SUMIFS($AK$7:$AK$1570,$BR$7:$BR$1570,BR141,$AN$7:$AN$1570,"&gt;"&amp;AN141)+SUMIFS($AK$7:$AK$1570,$BR$7:$BR$1570,BR141,$AN$7:$AN$1570,AN141,$BL$7:$BL$1570,"&lt;="&amp;BL141),"")</f>
        <v/>
      </c>
      <c r="AP141" s="65">
        <f>IF(AO141="",0,MAX(0,MIN(1,(IF(BR141="L1",Parameter!$K$5,Parameter!$K$6+Parameter!$K$7)-(AO141-AK141))/AK141)))</f>
        <v/>
      </c>
      <c r="AQ141" s="55">
        <f>IF(LEFT(Cockpit!$O$5,1)="A",G141,IF(BT141=1,BU141,IF(LEFT(Cockpit!$O$5,1)="B",AU141,MAX(AU141,G141))))</f>
        <v/>
      </c>
      <c r="AR141" s="55">
        <f>IF(BO141=1,0,ROUNDUP(AQ141/BN141,0))</f>
        <v/>
      </c>
      <c r="AS141" s="64">
        <f>IF(BO141=1,IF(AQ141&lt;=0,0,BP141*MAX(1,IF(G141&gt;0,AQ141/G141,1))),AR141*Q141)</f>
        <v/>
      </c>
      <c r="AT141" s="55">
        <f>AQ141*F141</f>
        <v/>
      </c>
      <c r="AU141" s="55">
        <f>ROUNDUP(MAX(I141/IF(BS141&gt;0,BS141,MAX(0.1,N(Cockpit!$O$6))),BV141)/BN141,0)*BN141</f>
        <v/>
      </c>
      <c r="AV141" s="56">
        <f>IF(AS141&gt;0,I141/AS141,-1)</f>
        <v/>
      </c>
      <c r="AW141" s="56">
        <f>IF(AND(OR(BR141="L1",BR141="L23"),AS141&gt;0),SUMIFS($AS$7:$AS$1570,$BR$7:$BR$1570,BR141,$AV$7:$AV$1570,"&gt;"&amp;AV141)+SUMIFS($AS$7:$AS$1570,$BR$7:$BR$1570,BR141,$AV$7:$AV$1570,AV141,$BL$7:$BL$1570,"&lt;="&amp;BL141),"")</f>
        <v/>
      </c>
      <c r="AX141" s="65">
        <f>IF(AW141="",0,MAX(0,MIN(1,(IF(BR141="L1",Parameter!$K$5,Parameter!$K$6+Parameter!$K$7)-(AW141-AS141))/AS141)))</f>
        <v/>
      </c>
      <c r="AY141" s="53">
        <f>IF(AC141&lt;=0,"",IF(BR141="Aussen","Aussenlager",IF(BR141="-","Nicht im Lift",IF(AH141&gt;=1,"Lift",IF(AH141&lt;=0,"Aussenlager","teilweise")))))</f>
        <v/>
      </c>
      <c r="AZ141" s="53">
        <f>IF(AK141&lt;=0,"",IF(BR141="Aussen","Aussenlager",IF(BR141="-","Nicht im Lift",IF(AP141&gt;=1,"Lift",IF(AP141&lt;=0,"Aussenlager","teilweise")))))</f>
        <v/>
      </c>
      <c r="BA141" s="53">
        <f>IF(AS141&lt;=0,"",IF(BR141="Aussen","Aussenlager",IF(BR141="-","Nicht im Lift",IF(AX141&gt;=1,"Lift",IF(AX141&lt;=0,"Aussenlager","teilweise")))))</f>
        <v/>
      </c>
      <c r="BB141" s="53">
        <f>IF(A141="","",IF(BK141=1,"Neu; ","")&amp;IF(AND(BK141=0,BF141&lt;0),"negativer Bestand (Export "&amp;BF141&amp;"); ","")&amp;IF(I141&lt;=0,"Kein Verbrauch; ","")&amp;IF(BO141=1,"Lose – Fläche geschätzt; ","")&amp;IF(G141&gt;AM141,"Überbestand "&amp;ROUND(G141-AM141,0)&amp;" Stk / CHF "&amp;ROUND((G141-AM141)*F141,0)&amp;"; ","")&amp;IF(AND(BT141=1,BU141&lt;BV141),"MAX &lt; MB+LG; ","")&amp;IF(AND(BZ141&gt;0,BY141*10&gt;BZ141),"zu hoch für Tablar; ","")&amp;IF(AND(BK141=0,OR(BT141=1,V141&lt;&gt;"",S141&lt;&gt;"",T141&lt;&gt;"",W141&lt;&gt;"")),"manuell übersteuert; ","")&amp;IF(AND(BO141=0,Q141=0),"Gebinde unbekannt; ","")&amp;IF(AND(BO141=0,N(T141)&lt;=0,N(P141)&lt;=0),"Menge pro Gebinde fehlt (Ist = 1 Gebinde); ","")&amp;BJ141)</f>
        <v/>
      </c>
      <c r="BC141" s="53" t="n"/>
      <c r="BD141" s="53" t="n"/>
      <c r="BE141" s="61" t="n"/>
      <c r="BF141" s="55" t="n">
        <v>902</v>
      </c>
      <c r="BG141" s="55" t="n">
        <v>637</v>
      </c>
      <c r="BH141" s="54" t="n">
        <v>1466.800000000004</v>
      </c>
      <c r="BI141" s="55" t="n">
        <v>4228</v>
      </c>
      <c r="BJ141" s="53" t="inlineStr"/>
      <c r="BK141" s="58" t="n">
        <v>0</v>
      </c>
      <c r="BL141" s="58" t="n">
        <v>141</v>
      </c>
      <c r="BM141" s="53">
        <f>IF(S141&lt;&gt;"",UPPER(TRIM(S141)),IF(O141="","LOSE",O141))</f>
        <v/>
      </c>
      <c r="BN141" s="55">
        <f>IF(BM141="LOSE",1,IF(N(T141)&gt;0,T141,IF(N(P141)&gt;0,P141,MAX(1,G141))))</f>
        <v/>
      </c>
      <c r="BO141" s="58">
        <f>IF(BM141="LOSE",1,0)</f>
        <v/>
      </c>
      <c r="BP141" s="64">
        <f>IF(BO141=0,0,IF(N(R141)&gt;0,R141,IFERROR(VLOOKUP(D141,Parameter!$A$35:$C$64,3,0)+0,0)))</f>
        <v/>
      </c>
      <c r="BQ141" s="53">
        <f>IF(V141&lt;&gt;"",V141,U141)</f>
        <v/>
      </c>
      <c r="BR141" s="53">
        <f>IF(BQ141=1,"L1",IF(OR(BQ141=2,BQ141=3),"L23",IF(BQ141="Aussen","Aussen","-")))</f>
        <v/>
      </c>
      <c r="BS141" s="66">
        <f>IF(N(W141)&gt;0,W141,0)</f>
        <v/>
      </c>
      <c r="BT141" s="58">
        <f>IF(ISNUMBER(Z141),1,0)</f>
        <v/>
      </c>
      <c r="BU141" s="55">
        <f>N(Z141)</f>
        <v/>
      </c>
      <c r="BV141" s="55">
        <f>N(L141)+N(M141)</f>
        <v/>
      </c>
      <c r="BW141" s="55">
        <f>ROUNDUP(G141/BN141,0)</f>
        <v/>
      </c>
      <c r="BX141" s="55">
        <f>ROUNDUP(BU141/BN141,0)</f>
        <v/>
      </c>
      <c r="BY141" s="58">
        <f>IF(BO141=1,0,IFERROR(VLOOKUP(BM141,'Gebinde-Kategorie'!$A$5:$G$45,5,0)+0,0))</f>
        <v/>
      </c>
      <c r="BZ141" s="58">
        <f>IFERROR(IF(OR(BQ141=1,BQ141=2,BQ141=3),N(INDEX(Parameter!$I$5:$I$7,BQ141)),0),0)</f>
        <v/>
      </c>
    </row>
    <row r="142">
      <c r="A142" s="53" t="inlineStr">
        <is>
          <t>001124</t>
        </is>
      </c>
      <c r="B142" s="53" t="inlineStr">
        <is>
          <t>Holzkiste Steuerschrank gross</t>
        </is>
      </c>
      <c r="C142" s="53" t="inlineStr">
        <is>
          <t>F</t>
        </is>
      </c>
      <c r="D142" s="53" t="inlineStr">
        <is>
          <t>PAL</t>
        </is>
      </c>
      <c r="E142" s="53" t="inlineStr">
        <is>
          <t>C</t>
        </is>
      </c>
      <c r="F142" s="54" t="n">
        <v>365.35</v>
      </c>
      <c r="G142" s="55">
        <f>MAX(0,IF(Parameter!$B$20="Jahresanfang 2025 + Export",BG142+BF142,BF142))</f>
        <v/>
      </c>
      <c r="H142" s="55">
        <f>G142*F142</f>
        <v/>
      </c>
      <c r="I142" s="55">
        <f>BI142*Parameter!$B$18</f>
        <v/>
      </c>
      <c r="J142" s="56" t="n">
        <v>0</v>
      </c>
      <c r="K142" s="57" t="n">
        <v>0</v>
      </c>
      <c r="L142" s="55" t="n">
        <v>0</v>
      </c>
      <c r="M142" s="55" t="n">
        <v>1</v>
      </c>
      <c r="N142" s="58" t="n">
        <v>14</v>
      </c>
      <c r="O142" s="53" t="inlineStr">
        <is>
          <t>LOSE</t>
        </is>
      </c>
      <c r="P142" s="55" t="n"/>
      <c r="Q142" s="59">
        <f>IF(BO142=1,0,IFERROR(VLOOKUP(BM142,'Gebinde-Kategorie'!$A$5:$G$45,6,0)+0,0))</f>
        <v/>
      </c>
      <c r="R142" s="60" t="n"/>
      <c r="S142" s="61" t="n"/>
      <c r="T142" s="61" t="n"/>
      <c r="U142" s="53">
        <f>IF(A142="","",IF(IFERROR(VLOOKUP(D142,Parameter!$A$35:$C$64,2,0),"Nein")="2+3",IF(ISNUMBER(SEARCH("grosser Artikel",BJ142)),2,IFERROR(VLOOKUP(BM142,Parameter!$F$35:$G$64,2,0),2)),IF(OR(IFERROR(VLOOKUP(D142,Parameter!$A$35:$C$64,2,0),"Nein")="Nein",IFERROR(VLOOKUP(D142,Parameter!$A$35:$C$64,2,0),"Nein")=""),"-",VLOOKUP(D142,Parameter!$A$35:$C$64,2,0))))</f>
        <v/>
      </c>
      <c r="V142" s="61" t="n"/>
      <c r="W142" s="62" t="n"/>
      <c r="X142" s="55">
        <f>AM142</f>
        <v/>
      </c>
      <c r="Y142" s="55">
        <f>MAX(AM142,G142)</f>
        <v/>
      </c>
      <c r="Z142" s="63" t="n"/>
      <c r="AA142" s="55">
        <f>IF(LEFT(Cockpit!$C$5,1)="A",G142,IF(BT142=1,BU142,IF(LEFT(Cockpit!$C$5,1)="B",AE142,MAX(AE142,G142))))</f>
        <v/>
      </c>
      <c r="AB142" s="55">
        <f>IF(BO142=1,0,ROUNDUP(AA142/BN142,0))</f>
        <v/>
      </c>
      <c r="AC142" s="64">
        <f>IF(BO142=1,IF(AA142&lt;=0,0,BP142*MAX(1,IF(G142&gt;0,AA142/G142,1))),AB142*Q142)</f>
        <v/>
      </c>
      <c r="AD142" s="55">
        <f>AA142*F142</f>
        <v/>
      </c>
      <c r="AE142" s="55">
        <f>ROUNDUP(MAX(I142/IF(BS142&gt;0,BS142,MAX(0.1,N(Cockpit!$C$6))),BV142)/BN142,0)*BN142</f>
        <v/>
      </c>
      <c r="AF142" s="56">
        <f>IF(AC142&gt;0,I142/AC142,-1)</f>
        <v/>
      </c>
      <c r="AG142" s="56">
        <f>IF(AND(OR(BR142="L1",BR142="L23"),AC142&gt;0),SUMIFS($AC$7:$AC$1570,$BR$7:$BR$1570,BR142,$AF$7:$AF$1570,"&gt;"&amp;AF142)+SUMIFS($AC$7:$AC$1570,$BR$7:$BR$1570,BR142,$AF$7:$AF$1570,AF142,$BL$7:$BL$1570,"&lt;="&amp;BL142),"")</f>
        <v/>
      </c>
      <c r="AH142" s="65">
        <f>IF(AG142="",0,MAX(0,MIN(1,(IF(BR142="L1",Parameter!$K$5,Parameter!$K$6+Parameter!$K$7)-(AG142-AC142))/AC142)))</f>
        <v/>
      </c>
      <c r="AI142" s="55">
        <f>IF(LEFT(Cockpit!$I$5,1)="A",G142,IF(BT142=1,BU142,IF(LEFT(Cockpit!$I$5,1)="B",AM142,MAX(AM142,G142))))</f>
        <v/>
      </c>
      <c r="AJ142" s="55">
        <f>IF(BO142=1,0,ROUNDUP(AI142/BN142,0))</f>
        <v/>
      </c>
      <c r="AK142" s="64">
        <f>IF(BO142=1,IF(AI142&lt;=0,0,BP142*MAX(1,IF(G142&gt;0,AI142/G142,1))),AJ142*Q142)</f>
        <v/>
      </c>
      <c r="AL142" s="55">
        <f>AI142*F142</f>
        <v/>
      </c>
      <c r="AM142" s="55">
        <f>ROUNDUP(MAX(I142/IF(BS142&gt;0,BS142,MAX(0.1,N(Cockpit!$I$6))),BV142)/BN142,0)*BN142</f>
        <v/>
      </c>
      <c r="AN142" s="56">
        <f>IF(AK142&gt;0,I142/AK142,-1)</f>
        <v/>
      </c>
      <c r="AO142" s="56">
        <f>IF(AND(OR(BR142="L1",BR142="L23"),AK142&gt;0),SUMIFS($AK$7:$AK$1570,$BR$7:$BR$1570,BR142,$AN$7:$AN$1570,"&gt;"&amp;AN142)+SUMIFS($AK$7:$AK$1570,$BR$7:$BR$1570,BR142,$AN$7:$AN$1570,AN142,$BL$7:$BL$1570,"&lt;="&amp;BL142),"")</f>
        <v/>
      </c>
      <c r="AP142" s="65">
        <f>IF(AO142="",0,MAX(0,MIN(1,(IF(BR142="L1",Parameter!$K$5,Parameter!$K$6+Parameter!$K$7)-(AO142-AK142))/AK142)))</f>
        <v/>
      </c>
      <c r="AQ142" s="55">
        <f>IF(LEFT(Cockpit!$O$5,1)="A",G142,IF(BT142=1,BU142,IF(LEFT(Cockpit!$O$5,1)="B",AU142,MAX(AU142,G142))))</f>
        <v/>
      </c>
      <c r="AR142" s="55">
        <f>IF(BO142=1,0,ROUNDUP(AQ142/BN142,0))</f>
        <v/>
      </c>
      <c r="AS142" s="64">
        <f>IF(BO142=1,IF(AQ142&lt;=0,0,BP142*MAX(1,IF(G142&gt;0,AQ142/G142,1))),AR142*Q142)</f>
        <v/>
      </c>
      <c r="AT142" s="55">
        <f>AQ142*F142</f>
        <v/>
      </c>
      <c r="AU142" s="55">
        <f>ROUNDUP(MAX(I142/IF(BS142&gt;0,BS142,MAX(0.1,N(Cockpit!$O$6))),BV142)/BN142,0)*BN142</f>
        <v/>
      </c>
      <c r="AV142" s="56">
        <f>IF(AS142&gt;0,I142/AS142,-1)</f>
        <v/>
      </c>
      <c r="AW142" s="56">
        <f>IF(AND(OR(BR142="L1",BR142="L23"),AS142&gt;0),SUMIFS($AS$7:$AS$1570,$BR$7:$BR$1570,BR142,$AV$7:$AV$1570,"&gt;"&amp;AV142)+SUMIFS($AS$7:$AS$1570,$BR$7:$BR$1570,BR142,$AV$7:$AV$1570,AV142,$BL$7:$BL$1570,"&lt;="&amp;BL142),"")</f>
        <v/>
      </c>
      <c r="AX142" s="65">
        <f>IF(AW142="",0,MAX(0,MIN(1,(IF(BR142="L1",Parameter!$K$5,Parameter!$K$6+Parameter!$K$7)-(AW142-AS142))/AS142)))</f>
        <v/>
      </c>
      <c r="AY142" s="53">
        <f>IF(AC142&lt;=0,"",IF(BR142="Aussen","Aussenlager",IF(BR142="-","Nicht im Lift",IF(AH142&gt;=1,"Lift",IF(AH142&lt;=0,"Aussenlager","teilweise")))))</f>
        <v/>
      </c>
      <c r="AZ142" s="53">
        <f>IF(AK142&lt;=0,"",IF(BR142="Aussen","Aussenlager",IF(BR142="-","Nicht im Lift",IF(AP142&gt;=1,"Lift",IF(AP142&lt;=0,"Aussenlager","teilweise")))))</f>
        <v/>
      </c>
      <c r="BA142" s="53">
        <f>IF(AS142&lt;=0,"",IF(BR142="Aussen","Aussenlager",IF(BR142="-","Nicht im Lift",IF(AX142&gt;=1,"Lift",IF(AX142&lt;=0,"Aussenlager","teilweise")))))</f>
        <v/>
      </c>
      <c r="BB142" s="53">
        <f>IF(A142="","",IF(BK142=1,"Neu; ","")&amp;IF(AND(BK142=0,BF142&lt;0),"negativer Bestand (Export "&amp;BF142&amp;"); ","")&amp;IF(I142&lt;=0,"Kein Verbrauch; ","")&amp;IF(BO142=1,"Lose – Fläche geschätzt; ","")&amp;IF(G142&gt;AM142,"Überbestand "&amp;ROUND(G142-AM142,0)&amp;" Stk / CHF "&amp;ROUND((G142-AM142)*F142,0)&amp;"; ","")&amp;IF(AND(BT142=1,BU142&lt;BV142),"MAX &lt; MB+LG; ","")&amp;IF(AND(BZ142&gt;0,BY142*10&gt;BZ142),"zu hoch für Tablar; ","")&amp;IF(AND(BK142=0,OR(BT142=1,V142&lt;&gt;"",S142&lt;&gt;"",T142&lt;&gt;"",W142&lt;&gt;"")),"manuell übersteuert; ","")&amp;IF(AND(BO142=0,Q142=0),"Gebinde unbekannt; ","")&amp;IF(AND(BO142=0,N(T142)&lt;=0,N(P142)&lt;=0),"Menge pro Gebinde fehlt (Ist = 1 Gebinde); ","")&amp;BJ142)</f>
        <v/>
      </c>
      <c r="BC142" s="53" t="n"/>
      <c r="BD142" s="53" t="n"/>
      <c r="BE142" s="61" t="n"/>
      <c r="BF142" s="55" t="n">
        <v>4</v>
      </c>
      <c r="BG142" s="55" t="n">
        <v>0</v>
      </c>
      <c r="BH142" s="54" t="n">
        <v>1461.4</v>
      </c>
      <c r="BI142" s="55" t="n">
        <v>0</v>
      </c>
      <c r="BJ142" s="53" t="inlineStr"/>
      <c r="BK142" s="58" t="n">
        <v>0</v>
      </c>
      <c r="BL142" s="58" t="n">
        <v>142</v>
      </c>
      <c r="BM142" s="53">
        <f>IF(S142&lt;&gt;"",UPPER(TRIM(S142)),IF(O142="","LOSE",O142))</f>
        <v/>
      </c>
      <c r="BN142" s="55">
        <f>IF(BM142="LOSE",1,IF(N(T142)&gt;0,T142,IF(N(P142)&gt;0,P142,MAX(1,G142))))</f>
        <v/>
      </c>
      <c r="BO142" s="58">
        <f>IF(BM142="LOSE",1,0)</f>
        <v/>
      </c>
      <c r="BP142" s="64">
        <f>IF(BO142=0,0,IF(N(R142)&gt;0,R142,IFERROR(VLOOKUP(D142,Parameter!$A$35:$C$64,3,0)+0,0)))</f>
        <v/>
      </c>
      <c r="BQ142" s="53">
        <f>IF(V142&lt;&gt;"",V142,U142)</f>
        <v/>
      </c>
      <c r="BR142" s="53">
        <f>IF(BQ142=1,"L1",IF(OR(BQ142=2,BQ142=3),"L23",IF(BQ142="Aussen","Aussen","-")))</f>
        <v/>
      </c>
      <c r="BS142" s="66">
        <f>IF(N(W142)&gt;0,W142,0)</f>
        <v/>
      </c>
      <c r="BT142" s="58">
        <f>IF(ISNUMBER(Z142),1,0)</f>
        <v/>
      </c>
      <c r="BU142" s="55">
        <f>N(Z142)</f>
        <v/>
      </c>
      <c r="BV142" s="55">
        <f>N(L142)+N(M142)</f>
        <v/>
      </c>
      <c r="BW142" s="55">
        <f>ROUNDUP(G142/BN142,0)</f>
        <v/>
      </c>
      <c r="BX142" s="55">
        <f>ROUNDUP(BU142/BN142,0)</f>
        <v/>
      </c>
      <c r="BY142" s="58">
        <f>IF(BO142=1,0,IFERROR(VLOOKUP(BM142,'Gebinde-Kategorie'!$A$5:$G$45,5,0)+0,0))</f>
        <v/>
      </c>
      <c r="BZ142" s="58">
        <f>IFERROR(IF(OR(BQ142=1,BQ142=2,BQ142=3),N(INDEX(Parameter!$I$5:$I$7,BQ142)),0),0)</f>
        <v/>
      </c>
    </row>
    <row r="143">
      <c r="A143" s="53" t="inlineStr">
        <is>
          <t>110106</t>
        </is>
      </c>
      <c r="B143" s="53" t="inlineStr">
        <is>
          <t>Faltenfilter</t>
        </is>
      </c>
      <c r="C143" s="53" t="inlineStr">
        <is>
          <t>F</t>
        </is>
      </c>
      <c r="D143" s="53" t="inlineStr">
        <is>
          <t>PAL</t>
        </is>
      </c>
      <c r="E143" s="53" t="inlineStr">
        <is>
          <t>C</t>
        </is>
      </c>
      <c r="F143" s="54" t="n">
        <v>65.52</v>
      </c>
      <c r="G143" s="55">
        <f>MAX(0,IF(Parameter!$B$20="Jahresanfang 2025 + Export",BG143+BF143,BF143))</f>
        <v/>
      </c>
      <c r="H143" s="55">
        <f>G143*F143</f>
        <v/>
      </c>
      <c r="I143" s="55">
        <f>BI143*Parameter!$B$18</f>
        <v/>
      </c>
      <c r="J143" s="56" t="n">
        <v>38</v>
      </c>
      <c r="K143" s="57" t="n">
        <v>0.2105263157894737</v>
      </c>
      <c r="L143" s="55" t="n">
        <v>0</v>
      </c>
      <c r="M143" s="55" t="n">
        <v>10</v>
      </c>
      <c r="N143" s="58" t="n">
        <v>28</v>
      </c>
      <c r="O143" s="53" t="inlineStr">
        <is>
          <t>S71</t>
        </is>
      </c>
      <c r="P143" s="55" t="n">
        <v>50</v>
      </c>
      <c r="Q143" s="59">
        <f>IF(BO143=1,0,IFERROR(VLOOKUP(BM143,'Gebinde-Kategorie'!$A$5:$G$45,6,0)+0,0))</f>
        <v/>
      </c>
      <c r="R143" s="60" t="n"/>
      <c r="S143" s="61" t="n"/>
      <c r="T143" s="61" t="n"/>
      <c r="U143" s="53">
        <f>IF(A143="","",IF(IFERROR(VLOOKUP(D143,Parameter!$A$35:$C$64,2,0),"Nein")="2+3",IF(ISNUMBER(SEARCH("grosser Artikel",BJ143)),2,IFERROR(VLOOKUP(BM143,Parameter!$F$35:$G$64,2,0),2)),IF(OR(IFERROR(VLOOKUP(D143,Parameter!$A$35:$C$64,2,0),"Nein")="Nein",IFERROR(VLOOKUP(D143,Parameter!$A$35:$C$64,2,0),"Nein")=""),"-",VLOOKUP(D143,Parameter!$A$35:$C$64,2,0))))</f>
        <v/>
      </c>
      <c r="V143" s="61" t="n"/>
      <c r="W143" s="62" t="n"/>
      <c r="X143" s="55">
        <f>AM143</f>
        <v/>
      </c>
      <c r="Y143" s="55">
        <f>MAX(AM143,G143)</f>
        <v/>
      </c>
      <c r="Z143" s="63" t="n"/>
      <c r="AA143" s="55">
        <f>IF(LEFT(Cockpit!$C$5,1)="A",G143,IF(BT143=1,BU143,IF(LEFT(Cockpit!$C$5,1)="B",AE143,MAX(AE143,G143))))</f>
        <v/>
      </c>
      <c r="AB143" s="55">
        <f>IF(BO143=1,0,ROUNDUP(AA143/BN143,0))</f>
        <v/>
      </c>
      <c r="AC143" s="64">
        <f>IF(BO143=1,IF(AA143&lt;=0,0,BP143*MAX(1,IF(G143&gt;0,AA143/G143,1))),AB143*Q143)</f>
        <v/>
      </c>
      <c r="AD143" s="55">
        <f>AA143*F143</f>
        <v/>
      </c>
      <c r="AE143" s="55">
        <f>ROUNDUP(MAX(I143/IF(BS143&gt;0,BS143,MAX(0.1,N(Cockpit!$C$6))),BV143)/BN143,0)*BN143</f>
        <v/>
      </c>
      <c r="AF143" s="56">
        <f>IF(AC143&gt;0,I143/AC143,-1)</f>
        <v/>
      </c>
      <c r="AG143" s="56">
        <f>IF(AND(OR(BR143="L1",BR143="L23"),AC143&gt;0),SUMIFS($AC$7:$AC$1570,$BR$7:$BR$1570,BR143,$AF$7:$AF$1570,"&gt;"&amp;AF143)+SUMIFS($AC$7:$AC$1570,$BR$7:$BR$1570,BR143,$AF$7:$AF$1570,AF143,$BL$7:$BL$1570,"&lt;="&amp;BL143),"")</f>
        <v/>
      </c>
      <c r="AH143" s="65">
        <f>IF(AG143="",0,MAX(0,MIN(1,(IF(BR143="L1",Parameter!$K$5,Parameter!$K$6+Parameter!$K$7)-(AG143-AC143))/AC143)))</f>
        <v/>
      </c>
      <c r="AI143" s="55">
        <f>IF(LEFT(Cockpit!$I$5,1)="A",G143,IF(BT143=1,BU143,IF(LEFT(Cockpit!$I$5,1)="B",AM143,MAX(AM143,G143))))</f>
        <v/>
      </c>
      <c r="AJ143" s="55">
        <f>IF(BO143=1,0,ROUNDUP(AI143/BN143,0))</f>
        <v/>
      </c>
      <c r="AK143" s="64">
        <f>IF(BO143=1,IF(AI143&lt;=0,0,BP143*MAX(1,IF(G143&gt;0,AI143/G143,1))),AJ143*Q143)</f>
        <v/>
      </c>
      <c r="AL143" s="55">
        <f>AI143*F143</f>
        <v/>
      </c>
      <c r="AM143" s="55">
        <f>ROUNDUP(MAX(I143/IF(BS143&gt;0,BS143,MAX(0.1,N(Cockpit!$I$6))),BV143)/BN143,0)*BN143</f>
        <v/>
      </c>
      <c r="AN143" s="56">
        <f>IF(AK143&gt;0,I143/AK143,-1)</f>
        <v/>
      </c>
      <c r="AO143" s="56">
        <f>IF(AND(OR(BR143="L1",BR143="L23"),AK143&gt;0),SUMIFS($AK$7:$AK$1570,$BR$7:$BR$1570,BR143,$AN$7:$AN$1570,"&gt;"&amp;AN143)+SUMIFS($AK$7:$AK$1570,$BR$7:$BR$1570,BR143,$AN$7:$AN$1570,AN143,$BL$7:$BL$1570,"&lt;="&amp;BL143),"")</f>
        <v/>
      </c>
      <c r="AP143" s="65">
        <f>IF(AO143="",0,MAX(0,MIN(1,(IF(BR143="L1",Parameter!$K$5,Parameter!$K$6+Parameter!$K$7)-(AO143-AK143))/AK143)))</f>
        <v/>
      </c>
      <c r="AQ143" s="55">
        <f>IF(LEFT(Cockpit!$O$5,1)="A",G143,IF(BT143=1,BU143,IF(LEFT(Cockpit!$O$5,1)="B",AU143,MAX(AU143,G143))))</f>
        <v/>
      </c>
      <c r="AR143" s="55">
        <f>IF(BO143=1,0,ROUNDUP(AQ143/BN143,0))</f>
        <v/>
      </c>
      <c r="AS143" s="64">
        <f>IF(BO143=1,IF(AQ143&lt;=0,0,BP143*MAX(1,IF(G143&gt;0,AQ143/G143,1))),AR143*Q143)</f>
        <v/>
      </c>
      <c r="AT143" s="55">
        <f>AQ143*F143</f>
        <v/>
      </c>
      <c r="AU143" s="55">
        <f>ROUNDUP(MAX(I143/IF(BS143&gt;0,BS143,MAX(0.1,N(Cockpit!$O$6))),BV143)/BN143,0)*BN143</f>
        <v/>
      </c>
      <c r="AV143" s="56">
        <f>IF(AS143&gt;0,I143/AS143,-1)</f>
        <v/>
      </c>
      <c r="AW143" s="56">
        <f>IF(AND(OR(BR143="L1",BR143="L23"),AS143&gt;0),SUMIFS($AS$7:$AS$1570,$BR$7:$BR$1570,BR143,$AV$7:$AV$1570,"&gt;"&amp;AV143)+SUMIFS($AS$7:$AS$1570,$BR$7:$BR$1570,BR143,$AV$7:$AV$1570,AV143,$BL$7:$BL$1570,"&lt;="&amp;BL143),"")</f>
        <v/>
      </c>
      <c r="AX143" s="65">
        <f>IF(AW143="",0,MAX(0,MIN(1,(IF(BR143="L1",Parameter!$K$5,Parameter!$K$6+Parameter!$K$7)-(AW143-AS143))/AS143)))</f>
        <v/>
      </c>
      <c r="AY143" s="53">
        <f>IF(AC143&lt;=0,"",IF(BR143="Aussen","Aussenlager",IF(BR143="-","Nicht im Lift",IF(AH143&gt;=1,"Lift",IF(AH143&lt;=0,"Aussenlager","teilweise")))))</f>
        <v/>
      </c>
      <c r="AZ143" s="53">
        <f>IF(AK143&lt;=0,"",IF(BR143="Aussen","Aussenlager",IF(BR143="-","Nicht im Lift",IF(AP143&gt;=1,"Lift",IF(AP143&lt;=0,"Aussenlager","teilweise")))))</f>
        <v/>
      </c>
      <c r="BA143" s="53">
        <f>IF(AS143&lt;=0,"",IF(BR143="Aussen","Aussenlager",IF(BR143="-","Nicht im Lift",IF(AX143&gt;=1,"Lift",IF(AX143&lt;=0,"Aussenlager","teilweise")))))</f>
        <v/>
      </c>
      <c r="BB143" s="53">
        <f>IF(A143="","",IF(BK143=1,"Neu; ","")&amp;IF(AND(BK143=0,BF143&lt;0),"negativer Bestand (Export "&amp;BF143&amp;"); ","")&amp;IF(I143&lt;=0,"Kein Verbrauch; ","")&amp;IF(BO143=1,"Lose – Fläche geschätzt; ","")&amp;IF(G143&gt;AM143,"Überbestand "&amp;ROUND(G143-AM143,0)&amp;" Stk / CHF "&amp;ROUND((G143-AM143)*F143,0)&amp;"; ","")&amp;IF(AND(BT143=1,BU143&lt;BV143),"MAX &lt; MB+LG; ","")&amp;IF(AND(BZ143&gt;0,BY143*10&gt;BZ143),"zu hoch für Tablar; ","")&amp;IF(AND(BK143=0,OR(BT143=1,V143&lt;&gt;"",S143&lt;&gt;"",T143&lt;&gt;"",W143&lt;&gt;"")),"manuell übersteuert; ","")&amp;IF(AND(BO143=0,Q143=0),"Gebinde unbekannt; ","")&amp;IF(AND(BO143=0,N(T143)&lt;=0,N(P143)&lt;=0),"Menge pro Gebinde fehlt (Ist = 1 Gebinde); ","")&amp;BJ143)</f>
        <v/>
      </c>
      <c r="BC143" s="53" t="n"/>
      <c r="BD143" s="53" t="n"/>
      <c r="BE143" s="61" t="n"/>
      <c r="BF143" s="55" t="n">
        <v>24</v>
      </c>
      <c r="BG143" s="55" t="n">
        <v>26</v>
      </c>
      <c r="BH143" s="54" t="n">
        <v>1431.56</v>
      </c>
      <c r="BI143" s="55" t="n">
        <v>8</v>
      </c>
      <c r="BJ143" s="53" t="inlineStr"/>
      <c r="BK143" s="58" t="n">
        <v>0</v>
      </c>
      <c r="BL143" s="58" t="n">
        <v>143</v>
      </c>
      <c r="BM143" s="53">
        <f>IF(S143&lt;&gt;"",UPPER(TRIM(S143)),IF(O143="","LOSE",O143))</f>
        <v/>
      </c>
      <c r="BN143" s="55">
        <f>IF(BM143="LOSE",1,IF(N(T143)&gt;0,T143,IF(N(P143)&gt;0,P143,MAX(1,G143))))</f>
        <v/>
      </c>
      <c r="BO143" s="58">
        <f>IF(BM143="LOSE",1,0)</f>
        <v/>
      </c>
      <c r="BP143" s="64">
        <f>IF(BO143=0,0,IF(N(R143)&gt;0,R143,IFERROR(VLOOKUP(D143,Parameter!$A$35:$C$64,3,0)+0,0)))</f>
        <v/>
      </c>
      <c r="BQ143" s="53">
        <f>IF(V143&lt;&gt;"",V143,U143)</f>
        <v/>
      </c>
      <c r="BR143" s="53">
        <f>IF(BQ143=1,"L1",IF(OR(BQ143=2,BQ143=3),"L23",IF(BQ143="Aussen","Aussen","-")))</f>
        <v/>
      </c>
      <c r="BS143" s="66">
        <f>IF(N(W143)&gt;0,W143,0)</f>
        <v/>
      </c>
      <c r="BT143" s="58">
        <f>IF(ISNUMBER(Z143),1,0)</f>
        <v/>
      </c>
      <c r="BU143" s="55">
        <f>N(Z143)</f>
        <v/>
      </c>
      <c r="BV143" s="55">
        <f>N(L143)+N(M143)</f>
        <v/>
      </c>
      <c r="BW143" s="55">
        <f>ROUNDUP(G143/BN143,0)</f>
        <v/>
      </c>
      <c r="BX143" s="55">
        <f>ROUNDUP(BU143/BN143,0)</f>
        <v/>
      </c>
      <c r="BY143" s="58">
        <f>IF(BO143=1,0,IFERROR(VLOOKUP(BM143,'Gebinde-Kategorie'!$A$5:$G$45,5,0)+0,0))</f>
        <v/>
      </c>
      <c r="BZ143" s="58">
        <f>IFERROR(IF(OR(BQ143=1,BQ143=2,BQ143=3),N(INDEX(Parameter!$I$5:$I$7,BQ143)),0),0)</f>
        <v/>
      </c>
    </row>
    <row r="144">
      <c r="A144" s="53" t="inlineStr">
        <is>
          <t>110866</t>
        </is>
      </c>
      <c r="B144" s="53" t="inlineStr">
        <is>
          <t>Verbunddichtring</t>
        </is>
      </c>
      <c r="C144" s="53" t="inlineStr">
        <is>
          <t>F</t>
        </is>
      </c>
      <c r="D144" s="53" t="inlineStr">
        <is>
          <t>KTL</t>
        </is>
      </c>
      <c r="E144" s="53" t="inlineStr">
        <is>
          <t>C</t>
        </is>
      </c>
      <c r="F144" s="54" t="n">
        <v>6.9</v>
      </c>
      <c r="G144" s="55">
        <f>MAX(0,IF(Parameter!$B$20="Jahresanfang 2025 + Export",BG144+BF144,BF144))</f>
        <v/>
      </c>
      <c r="H144" s="55">
        <f>G144*F144</f>
        <v/>
      </c>
      <c r="I144" s="55">
        <f>BI144*Parameter!$B$18</f>
        <v/>
      </c>
      <c r="J144" s="56" t="n">
        <v>8</v>
      </c>
      <c r="K144" s="57" t="n">
        <v>5</v>
      </c>
      <c r="L144" s="55" t="n">
        <v>1</v>
      </c>
      <c r="M144" s="55" t="n">
        <v>40</v>
      </c>
      <c r="N144" s="58" t="n">
        <v>14</v>
      </c>
      <c r="O144" s="53" t="inlineStr">
        <is>
          <t>S22</t>
        </is>
      </c>
      <c r="P144" s="55" t="n">
        <v>30</v>
      </c>
      <c r="Q144" s="59">
        <f>IF(BO144=1,0,IFERROR(VLOOKUP(BM144,'Gebinde-Kategorie'!$A$5:$G$45,6,0)+0,0))</f>
        <v/>
      </c>
      <c r="R144" s="60" t="n"/>
      <c r="S144" s="61" t="n"/>
      <c r="T144" s="61" t="n"/>
      <c r="U144" s="53">
        <f>IF(A144="","",IF(IFERROR(VLOOKUP(D144,Parameter!$A$35:$C$64,2,0),"Nein")="2+3",IF(ISNUMBER(SEARCH("grosser Artikel",BJ144)),2,IFERROR(VLOOKUP(BM144,Parameter!$F$35:$G$64,2,0),2)),IF(OR(IFERROR(VLOOKUP(D144,Parameter!$A$35:$C$64,2,0),"Nein")="Nein",IFERROR(VLOOKUP(D144,Parameter!$A$35:$C$64,2,0),"Nein")=""),"-",VLOOKUP(D144,Parameter!$A$35:$C$64,2,0))))</f>
        <v/>
      </c>
      <c r="V144" s="61" t="n"/>
      <c r="W144" s="62" t="n"/>
      <c r="X144" s="55">
        <f>AM144</f>
        <v/>
      </c>
      <c r="Y144" s="55">
        <f>MAX(AM144,G144)</f>
        <v/>
      </c>
      <c r="Z144" s="63" t="n"/>
      <c r="AA144" s="55">
        <f>IF(LEFT(Cockpit!$C$5,1)="A",G144,IF(BT144=1,BU144,IF(LEFT(Cockpit!$C$5,1)="B",AE144,MAX(AE144,G144))))</f>
        <v/>
      </c>
      <c r="AB144" s="55">
        <f>IF(BO144=1,0,ROUNDUP(AA144/BN144,0))</f>
        <v/>
      </c>
      <c r="AC144" s="64">
        <f>IF(BO144=1,IF(AA144&lt;=0,0,BP144*MAX(1,IF(G144&gt;0,AA144/G144,1))),AB144*Q144)</f>
        <v/>
      </c>
      <c r="AD144" s="55">
        <f>AA144*F144</f>
        <v/>
      </c>
      <c r="AE144" s="55">
        <f>ROUNDUP(MAX(I144/IF(BS144&gt;0,BS144,MAX(0.1,N(Cockpit!$C$6))),BV144)/BN144,0)*BN144</f>
        <v/>
      </c>
      <c r="AF144" s="56">
        <f>IF(AC144&gt;0,I144/AC144,-1)</f>
        <v/>
      </c>
      <c r="AG144" s="56">
        <f>IF(AND(OR(BR144="L1",BR144="L23"),AC144&gt;0),SUMIFS($AC$7:$AC$1570,$BR$7:$BR$1570,BR144,$AF$7:$AF$1570,"&gt;"&amp;AF144)+SUMIFS($AC$7:$AC$1570,$BR$7:$BR$1570,BR144,$AF$7:$AF$1570,AF144,$BL$7:$BL$1570,"&lt;="&amp;BL144),"")</f>
        <v/>
      </c>
      <c r="AH144" s="65">
        <f>IF(AG144="",0,MAX(0,MIN(1,(IF(BR144="L1",Parameter!$K$5,Parameter!$K$6+Parameter!$K$7)-(AG144-AC144))/AC144)))</f>
        <v/>
      </c>
      <c r="AI144" s="55">
        <f>IF(LEFT(Cockpit!$I$5,1)="A",G144,IF(BT144=1,BU144,IF(LEFT(Cockpit!$I$5,1)="B",AM144,MAX(AM144,G144))))</f>
        <v/>
      </c>
      <c r="AJ144" s="55">
        <f>IF(BO144=1,0,ROUNDUP(AI144/BN144,0))</f>
        <v/>
      </c>
      <c r="AK144" s="64">
        <f>IF(BO144=1,IF(AI144&lt;=0,0,BP144*MAX(1,IF(G144&gt;0,AI144/G144,1))),AJ144*Q144)</f>
        <v/>
      </c>
      <c r="AL144" s="55">
        <f>AI144*F144</f>
        <v/>
      </c>
      <c r="AM144" s="55">
        <f>ROUNDUP(MAX(I144/IF(BS144&gt;0,BS144,MAX(0.1,N(Cockpit!$I$6))),BV144)/BN144,0)*BN144</f>
        <v/>
      </c>
      <c r="AN144" s="56">
        <f>IF(AK144&gt;0,I144/AK144,-1)</f>
        <v/>
      </c>
      <c r="AO144" s="56">
        <f>IF(AND(OR(BR144="L1",BR144="L23"),AK144&gt;0),SUMIFS($AK$7:$AK$1570,$BR$7:$BR$1570,BR144,$AN$7:$AN$1570,"&gt;"&amp;AN144)+SUMIFS($AK$7:$AK$1570,$BR$7:$BR$1570,BR144,$AN$7:$AN$1570,AN144,$BL$7:$BL$1570,"&lt;="&amp;BL144),"")</f>
        <v/>
      </c>
      <c r="AP144" s="65">
        <f>IF(AO144="",0,MAX(0,MIN(1,(IF(BR144="L1",Parameter!$K$5,Parameter!$K$6+Parameter!$K$7)-(AO144-AK144))/AK144)))</f>
        <v/>
      </c>
      <c r="AQ144" s="55">
        <f>IF(LEFT(Cockpit!$O$5,1)="A",G144,IF(BT144=1,BU144,IF(LEFT(Cockpit!$O$5,1)="B",AU144,MAX(AU144,G144))))</f>
        <v/>
      </c>
      <c r="AR144" s="55">
        <f>IF(BO144=1,0,ROUNDUP(AQ144/BN144,0))</f>
        <v/>
      </c>
      <c r="AS144" s="64">
        <f>IF(BO144=1,IF(AQ144&lt;=0,0,BP144*MAX(1,IF(G144&gt;0,AQ144/G144,1))),AR144*Q144)</f>
        <v/>
      </c>
      <c r="AT144" s="55">
        <f>AQ144*F144</f>
        <v/>
      </c>
      <c r="AU144" s="55">
        <f>ROUNDUP(MAX(I144/IF(BS144&gt;0,BS144,MAX(0.1,N(Cockpit!$O$6))),BV144)/BN144,0)*BN144</f>
        <v/>
      </c>
      <c r="AV144" s="56">
        <f>IF(AS144&gt;0,I144/AS144,-1)</f>
        <v/>
      </c>
      <c r="AW144" s="56">
        <f>IF(AND(OR(BR144="L1",BR144="L23"),AS144&gt;0),SUMIFS($AS$7:$AS$1570,$BR$7:$BR$1570,BR144,$AV$7:$AV$1570,"&gt;"&amp;AV144)+SUMIFS($AS$7:$AS$1570,$BR$7:$BR$1570,BR144,$AV$7:$AV$1570,AV144,$BL$7:$BL$1570,"&lt;="&amp;BL144),"")</f>
        <v/>
      </c>
      <c r="AX144" s="65">
        <f>IF(AW144="",0,MAX(0,MIN(1,(IF(BR144="L1",Parameter!$K$5,Parameter!$K$6+Parameter!$K$7)-(AW144-AS144))/AS144)))</f>
        <v/>
      </c>
      <c r="AY144" s="53">
        <f>IF(AC144&lt;=0,"",IF(BR144="Aussen","Aussenlager",IF(BR144="-","Nicht im Lift",IF(AH144&gt;=1,"Lift",IF(AH144&lt;=0,"Aussenlager","teilweise")))))</f>
        <v/>
      </c>
      <c r="AZ144" s="53">
        <f>IF(AK144&lt;=0,"",IF(BR144="Aussen","Aussenlager",IF(BR144="-","Nicht im Lift",IF(AP144&gt;=1,"Lift",IF(AP144&lt;=0,"Aussenlager","teilweise")))))</f>
        <v/>
      </c>
      <c r="BA144" s="53">
        <f>IF(AS144&lt;=0,"",IF(BR144="Aussen","Aussenlager",IF(BR144="-","Nicht im Lift",IF(AX144&gt;=1,"Lift",IF(AX144&lt;=0,"Aussenlager","teilweise")))))</f>
        <v/>
      </c>
      <c r="BB144" s="53">
        <f>IF(A144="","",IF(BK144=1,"Neu; ","")&amp;IF(AND(BK144=0,BF144&lt;0),"negativer Bestand (Export "&amp;BF144&amp;"); ","")&amp;IF(I144&lt;=0,"Kein Verbrauch; ","")&amp;IF(BO144=1,"Lose – Fläche geschätzt; ","")&amp;IF(G144&gt;AM144,"Überbestand "&amp;ROUND(G144-AM144,0)&amp;" Stk / CHF "&amp;ROUND((G144-AM144)*F144,0)&amp;"; ","")&amp;IF(AND(BT144=1,BU144&lt;BV144),"MAX &lt; MB+LG; ","")&amp;IF(AND(BZ144&gt;0,BY144*10&gt;BZ144),"zu hoch für Tablar; ","")&amp;IF(AND(BK144=0,OR(BT144=1,V144&lt;&gt;"",S144&lt;&gt;"",T144&lt;&gt;"",W144&lt;&gt;"")),"manuell übersteuert; ","")&amp;IF(AND(BO144=0,Q144=0),"Gebinde unbekannt; ","")&amp;IF(AND(BO144=0,N(T144)&lt;=0,N(P144)&lt;=0),"Menge pro Gebinde fehlt (Ist = 1 Gebinde); ","")&amp;BJ144)</f>
        <v/>
      </c>
      <c r="BC144" s="53" t="n"/>
      <c r="BD144" s="53" t="n"/>
      <c r="BE144" s="61" t="n"/>
      <c r="BF144" s="55" t="n">
        <v>207</v>
      </c>
      <c r="BG144" s="55" t="n">
        <v>0</v>
      </c>
      <c r="BH144" s="54" t="n">
        <v>1428.28</v>
      </c>
      <c r="BI144" s="55" t="n">
        <v>40</v>
      </c>
      <c r="BJ144" s="53" t="inlineStr"/>
      <c r="BK144" s="58" t="n">
        <v>0</v>
      </c>
      <c r="BL144" s="58" t="n">
        <v>144</v>
      </c>
      <c r="BM144" s="53">
        <f>IF(S144&lt;&gt;"",UPPER(TRIM(S144)),IF(O144="","LOSE",O144))</f>
        <v/>
      </c>
      <c r="BN144" s="55">
        <f>IF(BM144="LOSE",1,IF(N(T144)&gt;0,T144,IF(N(P144)&gt;0,P144,MAX(1,G144))))</f>
        <v/>
      </c>
      <c r="BO144" s="58">
        <f>IF(BM144="LOSE",1,0)</f>
        <v/>
      </c>
      <c r="BP144" s="64">
        <f>IF(BO144=0,0,IF(N(R144)&gt;0,R144,IFERROR(VLOOKUP(D144,Parameter!$A$35:$C$64,3,0)+0,0)))</f>
        <v/>
      </c>
      <c r="BQ144" s="53">
        <f>IF(V144&lt;&gt;"",V144,U144)</f>
        <v/>
      </c>
      <c r="BR144" s="53">
        <f>IF(BQ144=1,"L1",IF(OR(BQ144=2,BQ144=3),"L23",IF(BQ144="Aussen","Aussen","-")))</f>
        <v/>
      </c>
      <c r="BS144" s="66">
        <f>IF(N(W144)&gt;0,W144,0)</f>
        <v/>
      </c>
      <c r="BT144" s="58">
        <f>IF(ISNUMBER(Z144),1,0)</f>
        <v/>
      </c>
      <c r="BU144" s="55">
        <f>N(Z144)</f>
        <v/>
      </c>
      <c r="BV144" s="55">
        <f>N(L144)+N(M144)</f>
        <v/>
      </c>
      <c r="BW144" s="55">
        <f>ROUNDUP(G144/BN144,0)</f>
        <v/>
      </c>
      <c r="BX144" s="55">
        <f>ROUNDUP(BU144/BN144,0)</f>
        <v/>
      </c>
      <c r="BY144" s="58">
        <f>IF(BO144=1,0,IFERROR(VLOOKUP(BM144,'Gebinde-Kategorie'!$A$5:$G$45,5,0)+0,0))</f>
        <v/>
      </c>
      <c r="BZ144" s="58">
        <f>IFERROR(IF(OR(BQ144=1,BQ144=2,BQ144=3),N(INDEX(Parameter!$I$5:$I$7,BQ144)),0),0)</f>
        <v/>
      </c>
    </row>
    <row r="145">
      <c r="A145" s="53" t="inlineStr">
        <is>
          <t>106622</t>
        </is>
      </c>
      <c r="B145" s="53" t="inlineStr">
        <is>
          <t>Bolzen</t>
        </is>
      </c>
      <c r="C145" s="53" t="inlineStr">
        <is>
          <t>F</t>
        </is>
      </c>
      <c r="D145" s="53" t="inlineStr">
        <is>
          <t>KTL</t>
        </is>
      </c>
      <c r="E145" s="53" t="inlineStr">
        <is>
          <t>C</t>
        </is>
      </c>
      <c r="F145" s="54" t="n">
        <v>8.710000000000001</v>
      </c>
      <c r="G145" s="55">
        <f>MAX(0,IF(Parameter!$B$20="Jahresanfang 2025 + Export",BG145+BF145,BF145))</f>
        <v/>
      </c>
      <c r="H145" s="55">
        <f>G145*F145</f>
        <v/>
      </c>
      <c r="I145" s="55">
        <f>BI145*Parameter!$B$18</f>
        <v/>
      </c>
      <c r="J145" s="56" t="n">
        <v>86</v>
      </c>
      <c r="K145" s="57" t="n">
        <v>1.558139534883721</v>
      </c>
      <c r="L145" s="55" t="n">
        <v>20</v>
      </c>
      <c r="M145" s="55" t="n">
        <v>135</v>
      </c>
      <c r="N145" s="58" t="n">
        <v>56</v>
      </c>
      <c r="O145" s="53" t="inlineStr">
        <is>
          <t>S32</t>
        </is>
      </c>
      <c r="P145" s="55" t="n">
        <v>91</v>
      </c>
      <c r="Q145" s="59">
        <f>IF(BO145=1,0,IFERROR(VLOOKUP(BM145,'Gebinde-Kategorie'!$A$5:$G$45,6,0)+0,0))</f>
        <v/>
      </c>
      <c r="R145" s="60" t="n"/>
      <c r="S145" s="61" t="n"/>
      <c r="T145" s="61" t="n"/>
      <c r="U145" s="53">
        <f>IF(A145="","",IF(IFERROR(VLOOKUP(D145,Parameter!$A$35:$C$64,2,0),"Nein")="2+3",IF(ISNUMBER(SEARCH("grosser Artikel",BJ145)),2,IFERROR(VLOOKUP(BM145,Parameter!$F$35:$G$64,2,0),2)),IF(OR(IFERROR(VLOOKUP(D145,Parameter!$A$35:$C$64,2,0),"Nein")="Nein",IFERROR(VLOOKUP(D145,Parameter!$A$35:$C$64,2,0),"Nein")=""),"-",VLOOKUP(D145,Parameter!$A$35:$C$64,2,0))))</f>
        <v/>
      </c>
      <c r="V145" s="61" t="n"/>
      <c r="W145" s="62" t="n"/>
      <c r="X145" s="55">
        <f>AM145</f>
        <v/>
      </c>
      <c r="Y145" s="55">
        <f>MAX(AM145,G145)</f>
        <v/>
      </c>
      <c r="Z145" s="63" t="n"/>
      <c r="AA145" s="55">
        <f>IF(LEFT(Cockpit!$C$5,1)="A",G145,IF(BT145=1,BU145,IF(LEFT(Cockpit!$C$5,1)="B",AE145,MAX(AE145,G145))))</f>
        <v/>
      </c>
      <c r="AB145" s="55">
        <f>IF(BO145=1,0,ROUNDUP(AA145/BN145,0))</f>
        <v/>
      </c>
      <c r="AC145" s="64">
        <f>IF(BO145=1,IF(AA145&lt;=0,0,BP145*MAX(1,IF(G145&gt;0,AA145/G145,1))),AB145*Q145)</f>
        <v/>
      </c>
      <c r="AD145" s="55">
        <f>AA145*F145</f>
        <v/>
      </c>
      <c r="AE145" s="55">
        <f>ROUNDUP(MAX(I145/IF(BS145&gt;0,BS145,MAX(0.1,N(Cockpit!$C$6))),BV145)/BN145,0)*BN145</f>
        <v/>
      </c>
      <c r="AF145" s="56">
        <f>IF(AC145&gt;0,I145/AC145,-1)</f>
        <v/>
      </c>
      <c r="AG145" s="56">
        <f>IF(AND(OR(BR145="L1",BR145="L23"),AC145&gt;0),SUMIFS($AC$7:$AC$1570,$BR$7:$BR$1570,BR145,$AF$7:$AF$1570,"&gt;"&amp;AF145)+SUMIFS($AC$7:$AC$1570,$BR$7:$BR$1570,BR145,$AF$7:$AF$1570,AF145,$BL$7:$BL$1570,"&lt;="&amp;BL145),"")</f>
        <v/>
      </c>
      <c r="AH145" s="65">
        <f>IF(AG145="",0,MAX(0,MIN(1,(IF(BR145="L1",Parameter!$K$5,Parameter!$K$6+Parameter!$K$7)-(AG145-AC145))/AC145)))</f>
        <v/>
      </c>
      <c r="AI145" s="55">
        <f>IF(LEFT(Cockpit!$I$5,1)="A",G145,IF(BT145=1,BU145,IF(LEFT(Cockpit!$I$5,1)="B",AM145,MAX(AM145,G145))))</f>
        <v/>
      </c>
      <c r="AJ145" s="55">
        <f>IF(BO145=1,0,ROUNDUP(AI145/BN145,0))</f>
        <v/>
      </c>
      <c r="AK145" s="64">
        <f>IF(BO145=1,IF(AI145&lt;=0,0,BP145*MAX(1,IF(G145&gt;0,AI145/G145,1))),AJ145*Q145)</f>
        <v/>
      </c>
      <c r="AL145" s="55">
        <f>AI145*F145</f>
        <v/>
      </c>
      <c r="AM145" s="55">
        <f>ROUNDUP(MAX(I145/IF(BS145&gt;0,BS145,MAX(0.1,N(Cockpit!$I$6))),BV145)/BN145,0)*BN145</f>
        <v/>
      </c>
      <c r="AN145" s="56">
        <f>IF(AK145&gt;0,I145/AK145,-1)</f>
        <v/>
      </c>
      <c r="AO145" s="56">
        <f>IF(AND(OR(BR145="L1",BR145="L23"),AK145&gt;0),SUMIFS($AK$7:$AK$1570,$BR$7:$BR$1570,BR145,$AN$7:$AN$1570,"&gt;"&amp;AN145)+SUMIFS($AK$7:$AK$1570,$BR$7:$BR$1570,BR145,$AN$7:$AN$1570,AN145,$BL$7:$BL$1570,"&lt;="&amp;BL145),"")</f>
        <v/>
      </c>
      <c r="AP145" s="65">
        <f>IF(AO145="",0,MAX(0,MIN(1,(IF(BR145="L1",Parameter!$K$5,Parameter!$K$6+Parameter!$K$7)-(AO145-AK145))/AK145)))</f>
        <v/>
      </c>
      <c r="AQ145" s="55">
        <f>IF(LEFT(Cockpit!$O$5,1)="A",G145,IF(BT145=1,BU145,IF(LEFT(Cockpit!$O$5,1)="B",AU145,MAX(AU145,G145))))</f>
        <v/>
      </c>
      <c r="AR145" s="55">
        <f>IF(BO145=1,0,ROUNDUP(AQ145/BN145,0))</f>
        <v/>
      </c>
      <c r="AS145" s="64">
        <f>IF(BO145=1,IF(AQ145&lt;=0,0,BP145*MAX(1,IF(G145&gt;0,AQ145/G145,1))),AR145*Q145)</f>
        <v/>
      </c>
      <c r="AT145" s="55">
        <f>AQ145*F145</f>
        <v/>
      </c>
      <c r="AU145" s="55">
        <f>ROUNDUP(MAX(I145/IF(BS145&gt;0,BS145,MAX(0.1,N(Cockpit!$O$6))),BV145)/BN145,0)*BN145</f>
        <v/>
      </c>
      <c r="AV145" s="56">
        <f>IF(AS145&gt;0,I145/AS145,-1)</f>
        <v/>
      </c>
      <c r="AW145" s="56">
        <f>IF(AND(OR(BR145="L1",BR145="L23"),AS145&gt;0),SUMIFS($AS$7:$AS$1570,$BR$7:$BR$1570,BR145,$AV$7:$AV$1570,"&gt;"&amp;AV145)+SUMIFS($AS$7:$AS$1570,$BR$7:$BR$1570,BR145,$AV$7:$AV$1570,AV145,$BL$7:$BL$1570,"&lt;="&amp;BL145),"")</f>
        <v/>
      </c>
      <c r="AX145" s="65">
        <f>IF(AW145="",0,MAX(0,MIN(1,(IF(BR145="L1",Parameter!$K$5,Parameter!$K$6+Parameter!$K$7)-(AW145-AS145))/AS145)))</f>
        <v/>
      </c>
      <c r="AY145" s="53">
        <f>IF(AC145&lt;=0,"",IF(BR145="Aussen","Aussenlager",IF(BR145="-","Nicht im Lift",IF(AH145&gt;=1,"Lift",IF(AH145&lt;=0,"Aussenlager","teilweise")))))</f>
        <v/>
      </c>
      <c r="AZ145" s="53">
        <f>IF(AK145&lt;=0,"",IF(BR145="Aussen","Aussenlager",IF(BR145="-","Nicht im Lift",IF(AP145&gt;=1,"Lift",IF(AP145&lt;=0,"Aussenlager","teilweise")))))</f>
        <v/>
      </c>
      <c r="BA145" s="53">
        <f>IF(AS145&lt;=0,"",IF(BR145="Aussen","Aussenlager",IF(BR145="-","Nicht im Lift",IF(AX145&gt;=1,"Lift",IF(AX145&lt;=0,"Aussenlager","teilweise")))))</f>
        <v/>
      </c>
      <c r="BB145" s="53">
        <f>IF(A145="","",IF(BK145=1,"Neu; ","")&amp;IF(AND(BK145=0,BF145&lt;0),"negativer Bestand (Export "&amp;BF145&amp;"); ","")&amp;IF(I145&lt;=0,"Kein Verbrauch; ","")&amp;IF(BO145=1,"Lose – Fläche geschätzt; ","")&amp;IF(G145&gt;AM145,"Überbestand "&amp;ROUND(G145-AM145,0)&amp;" Stk / CHF "&amp;ROUND((G145-AM145)*F145,0)&amp;"; ","")&amp;IF(AND(BT145=1,BU145&lt;BV145),"MAX &lt; MB+LG; ","")&amp;IF(AND(BZ145&gt;0,BY145*10&gt;BZ145),"zu hoch für Tablar; ","")&amp;IF(AND(BK145=0,OR(BT145=1,V145&lt;&gt;"",S145&lt;&gt;"",T145&lt;&gt;"",W145&lt;&gt;"")),"manuell übersteuert; ","")&amp;IF(AND(BO145=0,Q145=0),"Gebinde unbekannt; ","")&amp;IF(AND(BO145=0,N(T145)&lt;=0,N(P145)&lt;=0),"Menge pro Gebinde fehlt (Ist = 1 Gebinde); ","")&amp;BJ145)</f>
        <v/>
      </c>
      <c r="BC145" s="53" t="n"/>
      <c r="BD145" s="53" t="n"/>
      <c r="BE145" s="61" t="n"/>
      <c r="BF145" s="55" t="n">
        <v>165</v>
      </c>
      <c r="BG145" s="55" t="n">
        <v>32</v>
      </c>
      <c r="BH145" s="54" t="n">
        <v>1394.190000000002</v>
      </c>
      <c r="BI145" s="55" t="n">
        <v>134</v>
      </c>
      <c r="BJ145" s="53" t="inlineStr"/>
      <c r="BK145" s="58" t="n">
        <v>0</v>
      </c>
      <c r="BL145" s="58" t="n">
        <v>145</v>
      </c>
      <c r="BM145" s="53">
        <f>IF(S145&lt;&gt;"",UPPER(TRIM(S145)),IF(O145="","LOSE",O145))</f>
        <v/>
      </c>
      <c r="BN145" s="55">
        <f>IF(BM145="LOSE",1,IF(N(T145)&gt;0,T145,IF(N(P145)&gt;0,P145,MAX(1,G145))))</f>
        <v/>
      </c>
      <c r="BO145" s="58">
        <f>IF(BM145="LOSE",1,0)</f>
        <v/>
      </c>
      <c r="BP145" s="64">
        <f>IF(BO145=0,0,IF(N(R145)&gt;0,R145,IFERROR(VLOOKUP(D145,Parameter!$A$35:$C$64,3,0)+0,0)))</f>
        <v/>
      </c>
      <c r="BQ145" s="53">
        <f>IF(V145&lt;&gt;"",V145,U145)</f>
        <v/>
      </c>
      <c r="BR145" s="53">
        <f>IF(BQ145=1,"L1",IF(OR(BQ145=2,BQ145=3),"L23",IF(BQ145="Aussen","Aussen","-")))</f>
        <v/>
      </c>
      <c r="BS145" s="66">
        <f>IF(N(W145)&gt;0,W145,0)</f>
        <v/>
      </c>
      <c r="BT145" s="58">
        <f>IF(ISNUMBER(Z145),1,0)</f>
        <v/>
      </c>
      <c r="BU145" s="55">
        <f>N(Z145)</f>
        <v/>
      </c>
      <c r="BV145" s="55">
        <f>N(L145)+N(M145)</f>
        <v/>
      </c>
      <c r="BW145" s="55">
        <f>ROUNDUP(G145/BN145,0)</f>
        <v/>
      </c>
      <c r="BX145" s="55">
        <f>ROUNDUP(BU145/BN145,0)</f>
        <v/>
      </c>
      <c r="BY145" s="58">
        <f>IF(BO145=1,0,IFERROR(VLOOKUP(BM145,'Gebinde-Kategorie'!$A$5:$G$45,5,0)+0,0))</f>
        <v/>
      </c>
      <c r="BZ145" s="58">
        <f>IFERROR(IF(OR(BQ145=1,BQ145=2,BQ145=3),N(INDEX(Parameter!$I$5:$I$7,BQ145)),0),0)</f>
        <v/>
      </c>
    </row>
    <row r="146">
      <c r="A146" s="53" t="inlineStr">
        <is>
          <t>108541</t>
        </is>
      </c>
      <c r="B146" s="53" t="inlineStr">
        <is>
          <t>Stickstoffblock SUB komplett</t>
        </is>
      </c>
      <c r="C146" s="53" t="inlineStr">
        <is>
          <t>F</t>
        </is>
      </c>
      <c r="D146" s="53" t="inlineStr">
        <is>
          <t>PAL</t>
        </is>
      </c>
      <c r="E146" s="53" t="inlineStr">
        <is>
          <t>C</t>
        </is>
      </c>
      <c r="F146" s="54" t="n">
        <v>1394</v>
      </c>
      <c r="G146" s="55">
        <f>MAX(0,IF(Parameter!$B$20="Jahresanfang 2025 + Export",BG146+BF146,BF146))</f>
        <v/>
      </c>
      <c r="H146" s="55">
        <f>G146*F146</f>
        <v/>
      </c>
      <c r="I146" s="55">
        <f>BI146*Parameter!$B$18</f>
        <v/>
      </c>
      <c r="J146" s="56" t="n">
        <v>1</v>
      </c>
      <c r="K146" s="57" t="n">
        <v>0</v>
      </c>
      <c r="L146" s="55" t="n">
        <v>0</v>
      </c>
      <c r="M146" s="55" t="n">
        <v>1</v>
      </c>
      <c r="N146" s="58" t="n">
        <v>70</v>
      </c>
      <c r="O146" s="53" t="inlineStr">
        <is>
          <t>S51</t>
        </is>
      </c>
      <c r="P146" s="55" t="n">
        <v>2</v>
      </c>
      <c r="Q146" s="59">
        <f>IF(BO146=1,0,IFERROR(VLOOKUP(BM146,'Gebinde-Kategorie'!$A$5:$G$45,6,0)+0,0))</f>
        <v/>
      </c>
      <c r="R146" s="60" t="n"/>
      <c r="S146" s="61" t="n"/>
      <c r="T146" s="61" t="n"/>
      <c r="U146" s="53">
        <f>IF(A146="","",IF(IFERROR(VLOOKUP(D146,Parameter!$A$35:$C$64,2,0),"Nein")="2+3",IF(ISNUMBER(SEARCH("grosser Artikel",BJ146)),2,IFERROR(VLOOKUP(BM146,Parameter!$F$35:$G$64,2,0),2)),IF(OR(IFERROR(VLOOKUP(D146,Parameter!$A$35:$C$64,2,0),"Nein")="Nein",IFERROR(VLOOKUP(D146,Parameter!$A$35:$C$64,2,0),"Nein")=""),"-",VLOOKUP(D146,Parameter!$A$35:$C$64,2,0))))</f>
        <v/>
      </c>
      <c r="V146" s="61" t="n"/>
      <c r="W146" s="62" t="n"/>
      <c r="X146" s="55">
        <f>AM146</f>
        <v/>
      </c>
      <c r="Y146" s="55">
        <f>MAX(AM146,G146)</f>
        <v/>
      </c>
      <c r="Z146" s="63" t="n"/>
      <c r="AA146" s="55">
        <f>IF(LEFT(Cockpit!$C$5,1)="A",G146,IF(BT146=1,BU146,IF(LEFT(Cockpit!$C$5,1)="B",AE146,MAX(AE146,G146))))</f>
        <v/>
      </c>
      <c r="AB146" s="55">
        <f>IF(BO146=1,0,ROUNDUP(AA146/BN146,0))</f>
        <v/>
      </c>
      <c r="AC146" s="64">
        <f>IF(BO146=1,IF(AA146&lt;=0,0,BP146*MAX(1,IF(G146&gt;0,AA146/G146,1))),AB146*Q146)</f>
        <v/>
      </c>
      <c r="AD146" s="55">
        <f>AA146*F146</f>
        <v/>
      </c>
      <c r="AE146" s="55">
        <f>ROUNDUP(MAX(I146/IF(BS146&gt;0,BS146,MAX(0.1,N(Cockpit!$C$6))),BV146)/BN146,0)*BN146</f>
        <v/>
      </c>
      <c r="AF146" s="56">
        <f>IF(AC146&gt;0,I146/AC146,-1)</f>
        <v/>
      </c>
      <c r="AG146" s="56">
        <f>IF(AND(OR(BR146="L1",BR146="L23"),AC146&gt;0),SUMIFS($AC$7:$AC$1570,$BR$7:$BR$1570,BR146,$AF$7:$AF$1570,"&gt;"&amp;AF146)+SUMIFS($AC$7:$AC$1570,$BR$7:$BR$1570,BR146,$AF$7:$AF$1570,AF146,$BL$7:$BL$1570,"&lt;="&amp;BL146),"")</f>
        <v/>
      </c>
      <c r="AH146" s="65">
        <f>IF(AG146="",0,MAX(0,MIN(1,(IF(BR146="L1",Parameter!$K$5,Parameter!$K$6+Parameter!$K$7)-(AG146-AC146))/AC146)))</f>
        <v/>
      </c>
      <c r="AI146" s="55">
        <f>IF(LEFT(Cockpit!$I$5,1)="A",G146,IF(BT146=1,BU146,IF(LEFT(Cockpit!$I$5,1)="B",AM146,MAX(AM146,G146))))</f>
        <v/>
      </c>
      <c r="AJ146" s="55">
        <f>IF(BO146=1,0,ROUNDUP(AI146/BN146,0))</f>
        <v/>
      </c>
      <c r="AK146" s="64">
        <f>IF(BO146=1,IF(AI146&lt;=0,0,BP146*MAX(1,IF(G146&gt;0,AI146/G146,1))),AJ146*Q146)</f>
        <v/>
      </c>
      <c r="AL146" s="55">
        <f>AI146*F146</f>
        <v/>
      </c>
      <c r="AM146" s="55">
        <f>ROUNDUP(MAX(I146/IF(BS146&gt;0,BS146,MAX(0.1,N(Cockpit!$I$6))),BV146)/BN146,0)*BN146</f>
        <v/>
      </c>
      <c r="AN146" s="56">
        <f>IF(AK146&gt;0,I146/AK146,-1)</f>
        <v/>
      </c>
      <c r="AO146" s="56">
        <f>IF(AND(OR(BR146="L1",BR146="L23"),AK146&gt;0),SUMIFS($AK$7:$AK$1570,$BR$7:$BR$1570,BR146,$AN$7:$AN$1570,"&gt;"&amp;AN146)+SUMIFS($AK$7:$AK$1570,$BR$7:$BR$1570,BR146,$AN$7:$AN$1570,AN146,$BL$7:$BL$1570,"&lt;="&amp;BL146),"")</f>
        <v/>
      </c>
      <c r="AP146" s="65">
        <f>IF(AO146="",0,MAX(0,MIN(1,(IF(BR146="L1",Parameter!$K$5,Parameter!$K$6+Parameter!$K$7)-(AO146-AK146))/AK146)))</f>
        <v/>
      </c>
      <c r="AQ146" s="55">
        <f>IF(LEFT(Cockpit!$O$5,1)="A",G146,IF(BT146=1,BU146,IF(LEFT(Cockpit!$O$5,1)="B",AU146,MAX(AU146,G146))))</f>
        <v/>
      </c>
      <c r="AR146" s="55">
        <f>IF(BO146=1,0,ROUNDUP(AQ146/BN146,0))</f>
        <v/>
      </c>
      <c r="AS146" s="64">
        <f>IF(BO146=1,IF(AQ146&lt;=0,0,BP146*MAX(1,IF(G146&gt;0,AQ146/G146,1))),AR146*Q146)</f>
        <v/>
      </c>
      <c r="AT146" s="55">
        <f>AQ146*F146</f>
        <v/>
      </c>
      <c r="AU146" s="55">
        <f>ROUNDUP(MAX(I146/IF(BS146&gt;0,BS146,MAX(0.1,N(Cockpit!$O$6))),BV146)/BN146,0)*BN146</f>
        <v/>
      </c>
      <c r="AV146" s="56">
        <f>IF(AS146&gt;0,I146/AS146,-1)</f>
        <v/>
      </c>
      <c r="AW146" s="56">
        <f>IF(AND(OR(BR146="L1",BR146="L23"),AS146&gt;0),SUMIFS($AS$7:$AS$1570,$BR$7:$BR$1570,BR146,$AV$7:$AV$1570,"&gt;"&amp;AV146)+SUMIFS($AS$7:$AS$1570,$BR$7:$BR$1570,BR146,$AV$7:$AV$1570,AV146,$BL$7:$BL$1570,"&lt;="&amp;BL146),"")</f>
        <v/>
      </c>
      <c r="AX146" s="65">
        <f>IF(AW146="",0,MAX(0,MIN(1,(IF(BR146="L1",Parameter!$K$5,Parameter!$K$6+Parameter!$K$7)-(AW146-AS146))/AS146)))</f>
        <v/>
      </c>
      <c r="AY146" s="53">
        <f>IF(AC146&lt;=0,"",IF(BR146="Aussen","Aussenlager",IF(BR146="-","Nicht im Lift",IF(AH146&gt;=1,"Lift",IF(AH146&lt;=0,"Aussenlager","teilweise")))))</f>
        <v/>
      </c>
      <c r="AZ146" s="53">
        <f>IF(AK146&lt;=0,"",IF(BR146="Aussen","Aussenlager",IF(BR146="-","Nicht im Lift",IF(AP146&gt;=1,"Lift",IF(AP146&lt;=0,"Aussenlager","teilweise")))))</f>
        <v/>
      </c>
      <c r="BA146" s="53">
        <f>IF(AS146&lt;=0,"",IF(BR146="Aussen","Aussenlager",IF(BR146="-","Nicht im Lift",IF(AX146&gt;=1,"Lift",IF(AX146&lt;=0,"Aussenlager","teilweise")))))</f>
        <v/>
      </c>
      <c r="BB146" s="53">
        <f>IF(A146="","",IF(BK146=1,"Neu; ","")&amp;IF(AND(BK146=0,BF146&lt;0),"negativer Bestand (Export "&amp;BF146&amp;"); ","")&amp;IF(I146&lt;=0,"Kein Verbrauch; ","")&amp;IF(BO146=1,"Lose – Fläche geschätzt; ","")&amp;IF(G146&gt;AM146,"Überbestand "&amp;ROUND(G146-AM146,0)&amp;" Stk / CHF "&amp;ROUND((G146-AM146)*F146,0)&amp;"; ","")&amp;IF(AND(BT146=1,BU146&lt;BV146),"MAX &lt; MB+LG; ","")&amp;IF(AND(BZ146&gt;0,BY146*10&gt;BZ146),"zu hoch für Tablar; ","")&amp;IF(AND(BK146=0,OR(BT146=1,V146&lt;&gt;"",S146&lt;&gt;"",T146&lt;&gt;"",W146&lt;&gt;"")),"manuell übersteuert; ","")&amp;IF(AND(BO146=0,Q146=0),"Gebinde unbekannt; ","")&amp;IF(AND(BO146=0,N(T146)&lt;=0,N(P146)&lt;=0),"Menge pro Gebinde fehlt (Ist = 1 Gebinde); ","")&amp;BJ146)</f>
        <v/>
      </c>
      <c r="BC146" s="53" t="n"/>
      <c r="BD146" s="53" t="n"/>
      <c r="BE146" s="61" t="n"/>
      <c r="BF146" s="55" t="n">
        <v>1</v>
      </c>
      <c r="BG146" s="55" t="n">
        <v>0</v>
      </c>
      <c r="BH146" s="54" t="n">
        <v>1394</v>
      </c>
      <c r="BI146" s="55" t="n">
        <v>0</v>
      </c>
      <c r="BJ146" s="53" t="inlineStr"/>
      <c r="BK146" s="58" t="n">
        <v>0</v>
      </c>
      <c r="BL146" s="58" t="n">
        <v>146</v>
      </c>
      <c r="BM146" s="53">
        <f>IF(S146&lt;&gt;"",UPPER(TRIM(S146)),IF(O146="","LOSE",O146))</f>
        <v/>
      </c>
      <c r="BN146" s="55">
        <f>IF(BM146="LOSE",1,IF(N(T146)&gt;0,T146,IF(N(P146)&gt;0,P146,MAX(1,G146))))</f>
        <v/>
      </c>
      <c r="BO146" s="58">
        <f>IF(BM146="LOSE",1,0)</f>
        <v/>
      </c>
      <c r="BP146" s="64">
        <f>IF(BO146=0,0,IF(N(R146)&gt;0,R146,IFERROR(VLOOKUP(D146,Parameter!$A$35:$C$64,3,0)+0,0)))</f>
        <v/>
      </c>
      <c r="BQ146" s="53">
        <f>IF(V146&lt;&gt;"",V146,U146)</f>
        <v/>
      </c>
      <c r="BR146" s="53">
        <f>IF(BQ146=1,"L1",IF(OR(BQ146=2,BQ146=3),"L23",IF(BQ146="Aussen","Aussen","-")))</f>
        <v/>
      </c>
      <c r="BS146" s="66">
        <f>IF(N(W146)&gt;0,W146,0)</f>
        <v/>
      </c>
      <c r="BT146" s="58">
        <f>IF(ISNUMBER(Z146),1,0)</f>
        <v/>
      </c>
      <c r="BU146" s="55">
        <f>N(Z146)</f>
        <v/>
      </c>
      <c r="BV146" s="55">
        <f>N(L146)+N(M146)</f>
        <v/>
      </c>
      <c r="BW146" s="55">
        <f>ROUNDUP(G146/BN146,0)</f>
        <v/>
      </c>
      <c r="BX146" s="55">
        <f>ROUNDUP(BU146/BN146,0)</f>
        <v/>
      </c>
      <c r="BY146" s="58">
        <f>IF(BO146=1,0,IFERROR(VLOOKUP(BM146,'Gebinde-Kategorie'!$A$5:$G$45,5,0)+0,0))</f>
        <v/>
      </c>
      <c r="BZ146" s="58">
        <f>IFERROR(IF(OR(BQ146=1,BQ146=2,BQ146=3),N(INDEX(Parameter!$I$5:$I$7,BQ146)),0),0)</f>
        <v/>
      </c>
    </row>
    <row r="147">
      <c r="A147" s="53" t="inlineStr">
        <is>
          <t>110991</t>
        </is>
      </c>
      <c r="B147" s="53" t="inlineStr">
        <is>
          <t>Distanzhülse</t>
        </is>
      </c>
      <c r="C147" s="53" t="inlineStr">
        <is>
          <t>F</t>
        </is>
      </c>
      <c r="D147" s="53" t="inlineStr">
        <is>
          <t>PAL</t>
        </is>
      </c>
      <c r="E147" s="53" t="inlineStr">
        <is>
          <t>C</t>
        </is>
      </c>
      <c r="F147" s="54" t="n">
        <v>23</v>
      </c>
      <c r="G147" s="55">
        <f>MAX(0,IF(Parameter!$B$20="Jahresanfang 2025 + Export",BG147+BF147,BF147))</f>
        <v/>
      </c>
      <c r="H147" s="55">
        <f>G147*F147</f>
        <v/>
      </c>
      <c r="I147" s="55">
        <f>BI147*Parameter!$B$18</f>
        <v/>
      </c>
      <c r="J147" s="56" t="n">
        <v>5</v>
      </c>
      <c r="K147" s="57" t="n">
        <v>0</v>
      </c>
      <c r="L147" s="55" t="n">
        <v>0</v>
      </c>
      <c r="M147" s="55" t="n">
        <v>1</v>
      </c>
      <c r="N147" s="58" t="n">
        <v>28</v>
      </c>
      <c r="O147" s="53" t="inlineStr">
        <is>
          <t>LOSE</t>
        </is>
      </c>
      <c r="P147" s="55" t="n"/>
      <c r="Q147" s="59">
        <f>IF(BO147=1,0,IFERROR(VLOOKUP(BM147,'Gebinde-Kategorie'!$A$5:$G$45,6,0)+0,0))</f>
        <v/>
      </c>
      <c r="R147" s="60" t="n"/>
      <c r="S147" s="61" t="n"/>
      <c r="T147" s="61" t="n"/>
      <c r="U147" s="53">
        <f>IF(A147="","",IF(IFERROR(VLOOKUP(D147,Parameter!$A$35:$C$64,2,0),"Nein")="2+3",IF(ISNUMBER(SEARCH("grosser Artikel",BJ147)),2,IFERROR(VLOOKUP(BM147,Parameter!$F$35:$G$64,2,0),2)),IF(OR(IFERROR(VLOOKUP(D147,Parameter!$A$35:$C$64,2,0),"Nein")="Nein",IFERROR(VLOOKUP(D147,Parameter!$A$35:$C$64,2,0),"Nein")=""),"-",VLOOKUP(D147,Parameter!$A$35:$C$64,2,0))))</f>
        <v/>
      </c>
      <c r="V147" s="61" t="n"/>
      <c r="W147" s="62" t="n"/>
      <c r="X147" s="55">
        <f>AM147</f>
        <v/>
      </c>
      <c r="Y147" s="55">
        <f>MAX(AM147,G147)</f>
        <v/>
      </c>
      <c r="Z147" s="63" t="n"/>
      <c r="AA147" s="55">
        <f>IF(LEFT(Cockpit!$C$5,1)="A",G147,IF(BT147=1,BU147,IF(LEFT(Cockpit!$C$5,1)="B",AE147,MAX(AE147,G147))))</f>
        <v/>
      </c>
      <c r="AB147" s="55">
        <f>IF(BO147=1,0,ROUNDUP(AA147/BN147,0))</f>
        <v/>
      </c>
      <c r="AC147" s="64">
        <f>IF(BO147=1,IF(AA147&lt;=0,0,BP147*MAX(1,IF(G147&gt;0,AA147/G147,1))),AB147*Q147)</f>
        <v/>
      </c>
      <c r="AD147" s="55">
        <f>AA147*F147</f>
        <v/>
      </c>
      <c r="AE147" s="55">
        <f>ROUNDUP(MAX(I147/IF(BS147&gt;0,BS147,MAX(0.1,N(Cockpit!$C$6))),BV147)/BN147,0)*BN147</f>
        <v/>
      </c>
      <c r="AF147" s="56">
        <f>IF(AC147&gt;0,I147/AC147,-1)</f>
        <v/>
      </c>
      <c r="AG147" s="56">
        <f>IF(AND(OR(BR147="L1",BR147="L23"),AC147&gt;0),SUMIFS($AC$7:$AC$1570,$BR$7:$BR$1570,BR147,$AF$7:$AF$1570,"&gt;"&amp;AF147)+SUMIFS($AC$7:$AC$1570,$BR$7:$BR$1570,BR147,$AF$7:$AF$1570,AF147,$BL$7:$BL$1570,"&lt;="&amp;BL147),"")</f>
        <v/>
      </c>
      <c r="AH147" s="65">
        <f>IF(AG147="",0,MAX(0,MIN(1,(IF(BR147="L1",Parameter!$K$5,Parameter!$K$6+Parameter!$K$7)-(AG147-AC147))/AC147)))</f>
        <v/>
      </c>
      <c r="AI147" s="55">
        <f>IF(LEFT(Cockpit!$I$5,1)="A",G147,IF(BT147=1,BU147,IF(LEFT(Cockpit!$I$5,1)="B",AM147,MAX(AM147,G147))))</f>
        <v/>
      </c>
      <c r="AJ147" s="55">
        <f>IF(BO147=1,0,ROUNDUP(AI147/BN147,0))</f>
        <v/>
      </c>
      <c r="AK147" s="64">
        <f>IF(BO147=1,IF(AI147&lt;=0,0,BP147*MAX(1,IF(G147&gt;0,AI147/G147,1))),AJ147*Q147)</f>
        <v/>
      </c>
      <c r="AL147" s="55">
        <f>AI147*F147</f>
        <v/>
      </c>
      <c r="AM147" s="55">
        <f>ROUNDUP(MAX(I147/IF(BS147&gt;0,BS147,MAX(0.1,N(Cockpit!$I$6))),BV147)/BN147,0)*BN147</f>
        <v/>
      </c>
      <c r="AN147" s="56">
        <f>IF(AK147&gt;0,I147/AK147,-1)</f>
        <v/>
      </c>
      <c r="AO147" s="56">
        <f>IF(AND(OR(BR147="L1",BR147="L23"),AK147&gt;0),SUMIFS($AK$7:$AK$1570,$BR$7:$BR$1570,BR147,$AN$7:$AN$1570,"&gt;"&amp;AN147)+SUMIFS($AK$7:$AK$1570,$BR$7:$BR$1570,BR147,$AN$7:$AN$1570,AN147,$BL$7:$BL$1570,"&lt;="&amp;BL147),"")</f>
        <v/>
      </c>
      <c r="AP147" s="65">
        <f>IF(AO147="",0,MAX(0,MIN(1,(IF(BR147="L1",Parameter!$K$5,Parameter!$K$6+Parameter!$K$7)-(AO147-AK147))/AK147)))</f>
        <v/>
      </c>
      <c r="AQ147" s="55">
        <f>IF(LEFT(Cockpit!$O$5,1)="A",G147,IF(BT147=1,BU147,IF(LEFT(Cockpit!$O$5,1)="B",AU147,MAX(AU147,G147))))</f>
        <v/>
      </c>
      <c r="AR147" s="55">
        <f>IF(BO147=1,0,ROUNDUP(AQ147/BN147,0))</f>
        <v/>
      </c>
      <c r="AS147" s="64">
        <f>IF(BO147=1,IF(AQ147&lt;=0,0,BP147*MAX(1,IF(G147&gt;0,AQ147/G147,1))),AR147*Q147)</f>
        <v/>
      </c>
      <c r="AT147" s="55">
        <f>AQ147*F147</f>
        <v/>
      </c>
      <c r="AU147" s="55">
        <f>ROUNDUP(MAX(I147/IF(BS147&gt;0,BS147,MAX(0.1,N(Cockpit!$O$6))),BV147)/BN147,0)*BN147</f>
        <v/>
      </c>
      <c r="AV147" s="56">
        <f>IF(AS147&gt;0,I147/AS147,-1)</f>
        <v/>
      </c>
      <c r="AW147" s="56">
        <f>IF(AND(OR(BR147="L1",BR147="L23"),AS147&gt;0),SUMIFS($AS$7:$AS$1570,$BR$7:$BR$1570,BR147,$AV$7:$AV$1570,"&gt;"&amp;AV147)+SUMIFS($AS$7:$AS$1570,$BR$7:$BR$1570,BR147,$AV$7:$AV$1570,AV147,$BL$7:$BL$1570,"&lt;="&amp;BL147),"")</f>
        <v/>
      </c>
      <c r="AX147" s="65">
        <f>IF(AW147="",0,MAX(0,MIN(1,(IF(BR147="L1",Parameter!$K$5,Parameter!$K$6+Parameter!$K$7)-(AW147-AS147))/AS147)))</f>
        <v/>
      </c>
      <c r="AY147" s="53">
        <f>IF(AC147&lt;=0,"",IF(BR147="Aussen","Aussenlager",IF(BR147="-","Nicht im Lift",IF(AH147&gt;=1,"Lift",IF(AH147&lt;=0,"Aussenlager","teilweise")))))</f>
        <v/>
      </c>
      <c r="AZ147" s="53">
        <f>IF(AK147&lt;=0,"",IF(BR147="Aussen","Aussenlager",IF(BR147="-","Nicht im Lift",IF(AP147&gt;=1,"Lift",IF(AP147&lt;=0,"Aussenlager","teilweise")))))</f>
        <v/>
      </c>
      <c r="BA147" s="53">
        <f>IF(AS147&lt;=0,"",IF(BR147="Aussen","Aussenlager",IF(BR147="-","Nicht im Lift",IF(AX147&gt;=1,"Lift",IF(AX147&lt;=0,"Aussenlager","teilweise")))))</f>
        <v/>
      </c>
      <c r="BB147" s="53">
        <f>IF(A147="","",IF(BK147=1,"Neu; ","")&amp;IF(AND(BK147=0,BF147&lt;0),"negativer Bestand (Export "&amp;BF147&amp;"); ","")&amp;IF(I147&lt;=0,"Kein Verbrauch; ","")&amp;IF(BO147=1,"Lose – Fläche geschätzt; ","")&amp;IF(G147&gt;AM147,"Überbestand "&amp;ROUND(G147-AM147,0)&amp;" Stk / CHF "&amp;ROUND((G147-AM147)*F147,0)&amp;"; ","")&amp;IF(AND(BT147=1,BU147&lt;BV147),"MAX &lt; MB+LG; ","")&amp;IF(AND(BZ147&gt;0,BY147*10&gt;BZ147),"zu hoch für Tablar; ","")&amp;IF(AND(BK147=0,OR(BT147=1,V147&lt;&gt;"",S147&lt;&gt;"",T147&lt;&gt;"",W147&lt;&gt;"")),"manuell übersteuert; ","")&amp;IF(AND(BO147=0,Q147=0),"Gebinde unbekannt; ","")&amp;IF(AND(BO147=0,N(T147)&lt;=0,N(P147)&lt;=0),"Menge pro Gebinde fehlt (Ist = 1 Gebinde); ","")&amp;BJ147)</f>
        <v/>
      </c>
      <c r="BC147" s="53" t="n"/>
      <c r="BD147" s="53" t="n"/>
      <c r="BE147" s="61" t="n"/>
      <c r="BF147" s="55" t="n">
        <v>60</v>
      </c>
      <c r="BG147" s="55" t="n">
        <v>0</v>
      </c>
      <c r="BH147" s="54" t="n">
        <v>1380</v>
      </c>
      <c r="BI147" s="55" t="n">
        <v>0</v>
      </c>
      <c r="BJ147" s="53" t="inlineStr"/>
      <c r="BK147" s="58" t="n">
        <v>0</v>
      </c>
      <c r="BL147" s="58" t="n">
        <v>147</v>
      </c>
      <c r="BM147" s="53">
        <f>IF(S147&lt;&gt;"",UPPER(TRIM(S147)),IF(O147="","LOSE",O147))</f>
        <v/>
      </c>
      <c r="BN147" s="55">
        <f>IF(BM147="LOSE",1,IF(N(T147)&gt;0,T147,IF(N(P147)&gt;0,P147,MAX(1,G147))))</f>
        <v/>
      </c>
      <c r="BO147" s="58">
        <f>IF(BM147="LOSE",1,0)</f>
        <v/>
      </c>
      <c r="BP147" s="64">
        <f>IF(BO147=0,0,IF(N(R147)&gt;0,R147,IFERROR(VLOOKUP(D147,Parameter!$A$35:$C$64,3,0)+0,0)))</f>
        <v/>
      </c>
      <c r="BQ147" s="53">
        <f>IF(V147&lt;&gt;"",V147,U147)</f>
        <v/>
      </c>
      <c r="BR147" s="53">
        <f>IF(BQ147=1,"L1",IF(OR(BQ147=2,BQ147=3),"L23",IF(BQ147="Aussen","Aussen","-")))</f>
        <v/>
      </c>
      <c r="BS147" s="66">
        <f>IF(N(W147)&gt;0,W147,0)</f>
        <v/>
      </c>
      <c r="BT147" s="58">
        <f>IF(ISNUMBER(Z147),1,0)</f>
        <v/>
      </c>
      <c r="BU147" s="55">
        <f>N(Z147)</f>
        <v/>
      </c>
      <c r="BV147" s="55">
        <f>N(L147)+N(M147)</f>
        <v/>
      </c>
      <c r="BW147" s="55">
        <f>ROUNDUP(G147/BN147,0)</f>
        <v/>
      </c>
      <c r="BX147" s="55">
        <f>ROUNDUP(BU147/BN147,0)</f>
        <v/>
      </c>
      <c r="BY147" s="58">
        <f>IF(BO147=1,0,IFERROR(VLOOKUP(BM147,'Gebinde-Kategorie'!$A$5:$G$45,5,0)+0,0))</f>
        <v/>
      </c>
      <c r="BZ147" s="58">
        <f>IFERROR(IF(OR(BQ147=1,BQ147=2,BQ147=3),N(INDEX(Parameter!$I$5:$I$7,BQ147)),0),0)</f>
        <v/>
      </c>
    </row>
    <row r="148">
      <c r="A148" s="53" t="inlineStr">
        <is>
          <t>005102</t>
        </is>
      </c>
      <c r="B148" s="53" t="inlineStr">
        <is>
          <t>SPS Profibus DP-Slavemodul</t>
        </is>
      </c>
      <c r="C148" s="53" t="inlineStr">
        <is>
          <t>F</t>
        </is>
      </c>
      <c r="D148" s="53" t="inlineStr">
        <is>
          <t>KTL</t>
        </is>
      </c>
      <c r="E148" s="53" t="inlineStr">
        <is>
          <t>C</t>
        </is>
      </c>
      <c r="F148" s="54" t="n">
        <v>227.16</v>
      </c>
      <c r="G148" s="55">
        <f>MAX(0,IF(Parameter!$B$20="Jahresanfang 2025 + Export",BG148+BF148,BF148))</f>
        <v/>
      </c>
      <c r="H148" s="55">
        <f>G148*F148</f>
        <v/>
      </c>
      <c r="I148" s="55">
        <f>BI148*Parameter!$B$18</f>
        <v/>
      </c>
      <c r="J148" s="56" t="n">
        <v>5</v>
      </c>
      <c r="K148" s="57" t="n">
        <v>0</v>
      </c>
      <c r="L148" s="55" t="n">
        <v>0</v>
      </c>
      <c r="M148" s="55" t="n">
        <v>1</v>
      </c>
      <c r="N148" s="58" t="n">
        <v>14</v>
      </c>
      <c r="O148" s="53" t="inlineStr">
        <is>
          <t>S62</t>
        </is>
      </c>
      <c r="P148" s="55" t="n">
        <v>8</v>
      </c>
      <c r="Q148" s="59">
        <f>IF(BO148=1,0,IFERROR(VLOOKUP(BM148,'Gebinde-Kategorie'!$A$5:$G$45,6,0)+0,0))</f>
        <v/>
      </c>
      <c r="R148" s="60" t="n"/>
      <c r="S148" s="61" t="n"/>
      <c r="T148" s="61" t="n"/>
      <c r="U148" s="53">
        <f>IF(A148="","",IF(IFERROR(VLOOKUP(D148,Parameter!$A$35:$C$64,2,0),"Nein")="2+3",IF(ISNUMBER(SEARCH("grosser Artikel",BJ148)),2,IFERROR(VLOOKUP(BM148,Parameter!$F$35:$G$64,2,0),2)),IF(OR(IFERROR(VLOOKUP(D148,Parameter!$A$35:$C$64,2,0),"Nein")="Nein",IFERROR(VLOOKUP(D148,Parameter!$A$35:$C$64,2,0),"Nein")=""),"-",VLOOKUP(D148,Parameter!$A$35:$C$64,2,0))))</f>
        <v/>
      </c>
      <c r="V148" s="61" t="n"/>
      <c r="W148" s="62" t="n"/>
      <c r="X148" s="55">
        <f>AM148</f>
        <v/>
      </c>
      <c r="Y148" s="55">
        <f>MAX(AM148,G148)</f>
        <v/>
      </c>
      <c r="Z148" s="63" t="n"/>
      <c r="AA148" s="55">
        <f>IF(LEFT(Cockpit!$C$5,1)="A",G148,IF(BT148=1,BU148,IF(LEFT(Cockpit!$C$5,1)="B",AE148,MAX(AE148,G148))))</f>
        <v/>
      </c>
      <c r="AB148" s="55">
        <f>IF(BO148=1,0,ROUNDUP(AA148/BN148,0))</f>
        <v/>
      </c>
      <c r="AC148" s="64">
        <f>IF(BO148=1,IF(AA148&lt;=0,0,BP148*MAX(1,IF(G148&gt;0,AA148/G148,1))),AB148*Q148)</f>
        <v/>
      </c>
      <c r="AD148" s="55">
        <f>AA148*F148</f>
        <v/>
      </c>
      <c r="AE148" s="55">
        <f>ROUNDUP(MAX(I148/IF(BS148&gt;0,BS148,MAX(0.1,N(Cockpit!$C$6))),BV148)/BN148,0)*BN148</f>
        <v/>
      </c>
      <c r="AF148" s="56">
        <f>IF(AC148&gt;0,I148/AC148,-1)</f>
        <v/>
      </c>
      <c r="AG148" s="56">
        <f>IF(AND(OR(BR148="L1",BR148="L23"),AC148&gt;0),SUMIFS($AC$7:$AC$1570,$BR$7:$BR$1570,BR148,$AF$7:$AF$1570,"&gt;"&amp;AF148)+SUMIFS($AC$7:$AC$1570,$BR$7:$BR$1570,BR148,$AF$7:$AF$1570,AF148,$BL$7:$BL$1570,"&lt;="&amp;BL148),"")</f>
        <v/>
      </c>
      <c r="AH148" s="65">
        <f>IF(AG148="",0,MAX(0,MIN(1,(IF(BR148="L1",Parameter!$K$5,Parameter!$K$6+Parameter!$K$7)-(AG148-AC148))/AC148)))</f>
        <v/>
      </c>
      <c r="AI148" s="55">
        <f>IF(LEFT(Cockpit!$I$5,1)="A",G148,IF(BT148=1,BU148,IF(LEFT(Cockpit!$I$5,1)="B",AM148,MAX(AM148,G148))))</f>
        <v/>
      </c>
      <c r="AJ148" s="55">
        <f>IF(BO148=1,0,ROUNDUP(AI148/BN148,0))</f>
        <v/>
      </c>
      <c r="AK148" s="64">
        <f>IF(BO148=1,IF(AI148&lt;=0,0,BP148*MAX(1,IF(G148&gt;0,AI148/G148,1))),AJ148*Q148)</f>
        <v/>
      </c>
      <c r="AL148" s="55">
        <f>AI148*F148</f>
        <v/>
      </c>
      <c r="AM148" s="55">
        <f>ROUNDUP(MAX(I148/IF(BS148&gt;0,BS148,MAX(0.1,N(Cockpit!$I$6))),BV148)/BN148,0)*BN148</f>
        <v/>
      </c>
      <c r="AN148" s="56">
        <f>IF(AK148&gt;0,I148/AK148,-1)</f>
        <v/>
      </c>
      <c r="AO148" s="56">
        <f>IF(AND(OR(BR148="L1",BR148="L23"),AK148&gt;0),SUMIFS($AK$7:$AK$1570,$BR$7:$BR$1570,BR148,$AN$7:$AN$1570,"&gt;"&amp;AN148)+SUMIFS($AK$7:$AK$1570,$BR$7:$BR$1570,BR148,$AN$7:$AN$1570,AN148,$BL$7:$BL$1570,"&lt;="&amp;BL148),"")</f>
        <v/>
      </c>
      <c r="AP148" s="65">
        <f>IF(AO148="",0,MAX(0,MIN(1,(IF(BR148="L1",Parameter!$K$5,Parameter!$K$6+Parameter!$K$7)-(AO148-AK148))/AK148)))</f>
        <v/>
      </c>
      <c r="AQ148" s="55">
        <f>IF(LEFT(Cockpit!$O$5,1)="A",G148,IF(BT148=1,BU148,IF(LEFT(Cockpit!$O$5,1)="B",AU148,MAX(AU148,G148))))</f>
        <v/>
      </c>
      <c r="AR148" s="55">
        <f>IF(BO148=1,0,ROUNDUP(AQ148/BN148,0))</f>
        <v/>
      </c>
      <c r="AS148" s="64">
        <f>IF(BO148=1,IF(AQ148&lt;=0,0,BP148*MAX(1,IF(G148&gt;0,AQ148/G148,1))),AR148*Q148)</f>
        <v/>
      </c>
      <c r="AT148" s="55">
        <f>AQ148*F148</f>
        <v/>
      </c>
      <c r="AU148" s="55">
        <f>ROUNDUP(MAX(I148/IF(BS148&gt;0,BS148,MAX(0.1,N(Cockpit!$O$6))),BV148)/BN148,0)*BN148</f>
        <v/>
      </c>
      <c r="AV148" s="56">
        <f>IF(AS148&gt;0,I148/AS148,-1)</f>
        <v/>
      </c>
      <c r="AW148" s="56">
        <f>IF(AND(OR(BR148="L1",BR148="L23"),AS148&gt;0),SUMIFS($AS$7:$AS$1570,$BR$7:$BR$1570,BR148,$AV$7:$AV$1570,"&gt;"&amp;AV148)+SUMIFS($AS$7:$AS$1570,$BR$7:$BR$1570,BR148,$AV$7:$AV$1570,AV148,$BL$7:$BL$1570,"&lt;="&amp;BL148),"")</f>
        <v/>
      </c>
      <c r="AX148" s="65">
        <f>IF(AW148="",0,MAX(0,MIN(1,(IF(BR148="L1",Parameter!$K$5,Parameter!$K$6+Parameter!$K$7)-(AW148-AS148))/AS148)))</f>
        <v/>
      </c>
      <c r="AY148" s="53">
        <f>IF(AC148&lt;=0,"",IF(BR148="Aussen","Aussenlager",IF(BR148="-","Nicht im Lift",IF(AH148&gt;=1,"Lift",IF(AH148&lt;=0,"Aussenlager","teilweise")))))</f>
        <v/>
      </c>
      <c r="AZ148" s="53">
        <f>IF(AK148&lt;=0,"",IF(BR148="Aussen","Aussenlager",IF(BR148="-","Nicht im Lift",IF(AP148&gt;=1,"Lift",IF(AP148&lt;=0,"Aussenlager","teilweise")))))</f>
        <v/>
      </c>
      <c r="BA148" s="53">
        <f>IF(AS148&lt;=0,"",IF(BR148="Aussen","Aussenlager",IF(BR148="-","Nicht im Lift",IF(AX148&gt;=1,"Lift",IF(AX148&lt;=0,"Aussenlager","teilweise")))))</f>
        <v/>
      </c>
      <c r="BB148" s="53">
        <f>IF(A148="","",IF(BK148=1,"Neu; ","")&amp;IF(AND(BK148=0,BF148&lt;0),"negativer Bestand (Export "&amp;BF148&amp;"); ","")&amp;IF(I148&lt;=0,"Kein Verbrauch; ","")&amp;IF(BO148=1,"Lose – Fläche geschätzt; ","")&amp;IF(G148&gt;AM148,"Überbestand "&amp;ROUND(G148-AM148,0)&amp;" Stk / CHF "&amp;ROUND((G148-AM148)*F148,0)&amp;"; ","")&amp;IF(AND(BT148=1,BU148&lt;BV148),"MAX &lt; MB+LG; ","")&amp;IF(AND(BZ148&gt;0,BY148*10&gt;BZ148),"zu hoch für Tablar; ","")&amp;IF(AND(BK148=0,OR(BT148=1,V148&lt;&gt;"",S148&lt;&gt;"",T148&lt;&gt;"",W148&lt;&gt;"")),"manuell übersteuert; ","")&amp;IF(AND(BO148=0,Q148=0),"Gebinde unbekannt; ","")&amp;IF(AND(BO148=0,N(T148)&lt;=0,N(P148)&lt;=0),"Menge pro Gebinde fehlt (Ist = 1 Gebinde); ","")&amp;BJ148)</f>
        <v/>
      </c>
      <c r="BC148" s="53" t="n"/>
      <c r="BD148" s="53" t="n"/>
      <c r="BE148" s="61" t="n"/>
      <c r="BF148" s="55" t="n">
        <v>6</v>
      </c>
      <c r="BG148" s="55" t="n">
        <v>2</v>
      </c>
      <c r="BH148" s="54" t="n">
        <v>1362.96</v>
      </c>
      <c r="BI148" s="55" t="n">
        <v>0</v>
      </c>
      <c r="BJ148" s="53" t="inlineStr"/>
      <c r="BK148" s="58" t="n">
        <v>0</v>
      </c>
      <c r="BL148" s="58" t="n">
        <v>148</v>
      </c>
      <c r="BM148" s="53">
        <f>IF(S148&lt;&gt;"",UPPER(TRIM(S148)),IF(O148="","LOSE",O148))</f>
        <v/>
      </c>
      <c r="BN148" s="55">
        <f>IF(BM148="LOSE",1,IF(N(T148)&gt;0,T148,IF(N(P148)&gt;0,P148,MAX(1,G148))))</f>
        <v/>
      </c>
      <c r="BO148" s="58">
        <f>IF(BM148="LOSE",1,0)</f>
        <v/>
      </c>
      <c r="BP148" s="64">
        <f>IF(BO148=0,0,IF(N(R148)&gt;0,R148,IFERROR(VLOOKUP(D148,Parameter!$A$35:$C$64,3,0)+0,0)))</f>
        <v/>
      </c>
      <c r="BQ148" s="53">
        <f>IF(V148&lt;&gt;"",V148,U148)</f>
        <v/>
      </c>
      <c r="BR148" s="53">
        <f>IF(BQ148=1,"L1",IF(OR(BQ148=2,BQ148=3),"L23",IF(BQ148="Aussen","Aussen","-")))</f>
        <v/>
      </c>
      <c r="BS148" s="66">
        <f>IF(N(W148)&gt;0,W148,0)</f>
        <v/>
      </c>
      <c r="BT148" s="58">
        <f>IF(ISNUMBER(Z148),1,0)</f>
        <v/>
      </c>
      <c r="BU148" s="55">
        <f>N(Z148)</f>
        <v/>
      </c>
      <c r="BV148" s="55">
        <f>N(L148)+N(M148)</f>
        <v/>
      </c>
      <c r="BW148" s="55">
        <f>ROUNDUP(G148/BN148,0)</f>
        <v/>
      </c>
      <c r="BX148" s="55">
        <f>ROUNDUP(BU148/BN148,0)</f>
        <v/>
      </c>
      <c r="BY148" s="58">
        <f>IF(BO148=1,0,IFERROR(VLOOKUP(BM148,'Gebinde-Kategorie'!$A$5:$G$45,5,0)+0,0))</f>
        <v/>
      </c>
      <c r="BZ148" s="58">
        <f>IFERROR(IF(OR(BQ148=1,BQ148=2,BQ148=3),N(INDEX(Parameter!$I$5:$I$7,BQ148)),0),0)</f>
        <v/>
      </c>
    </row>
    <row r="149">
      <c r="A149" s="53" t="inlineStr">
        <is>
          <t>101477</t>
        </is>
      </c>
      <c r="B149" s="53" t="inlineStr">
        <is>
          <t>Befestigungsring</t>
        </is>
      </c>
      <c r="C149" s="53" t="inlineStr">
        <is>
          <t>F</t>
        </is>
      </c>
      <c r="D149" s="53" t="inlineStr">
        <is>
          <t>KTL</t>
        </is>
      </c>
      <c r="E149" s="53" t="inlineStr">
        <is>
          <t>C</t>
        </is>
      </c>
      <c r="F149" s="54" t="n">
        <v>50.41</v>
      </c>
      <c r="G149" s="55">
        <f>MAX(0,IF(Parameter!$B$20="Jahresanfang 2025 + Export",BG149+BF149,BF149))</f>
        <v/>
      </c>
      <c r="H149" s="55">
        <f>G149*F149</f>
        <v/>
      </c>
      <c r="I149" s="55">
        <f>BI149*Parameter!$B$18</f>
        <v/>
      </c>
      <c r="J149" s="56" t="n">
        <v>34.5</v>
      </c>
      <c r="K149" s="57" t="n">
        <v>1.710144927536232</v>
      </c>
      <c r="L149" s="55" t="n">
        <v>10</v>
      </c>
      <c r="M149" s="55" t="n">
        <v>60</v>
      </c>
      <c r="N149" s="58" t="n">
        <v>35</v>
      </c>
      <c r="O149" s="53" t="inlineStr">
        <is>
          <t>S62</t>
        </is>
      </c>
      <c r="P149" s="55" t="n">
        <v>16</v>
      </c>
      <c r="Q149" s="59">
        <f>IF(BO149=1,0,IFERROR(VLOOKUP(BM149,'Gebinde-Kategorie'!$A$5:$G$45,6,0)+0,0))</f>
        <v/>
      </c>
      <c r="R149" s="60" t="n"/>
      <c r="S149" s="61" t="n"/>
      <c r="T149" s="61" t="n"/>
      <c r="U149" s="53">
        <f>IF(A149="","",IF(IFERROR(VLOOKUP(D149,Parameter!$A$35:$C$64,2,0),"Nein")="2+3",IF(ISNUMBER(SEARCH("grosser Artikel",BJ149)),2,IFERROR(VLOOKUP(BM149,Parameter!$F$35:$G$64,2,0),2)),IF(OR(IFERROR(VLOOKUP(D149,Parameter!$A$35:$C$64,2,0),"Nein")="Nein",IFERROR(VLOOKUP(D149,Parameter!$A$35:$C$64,2,0),"Nein")=""),"-",VLOOKUP(D149,Parameter!$A$35:$C$64,2,0))))</f>
        <v/>
      </c>
      <c r="V149" s="61" t="n"/>
      <c r="W149" s="62" t="n"/>
      <c r="X149" s="55">
        <f>AM149</f>
        <v/>
      </c>
      <c r="Y149" s="55">
        <f>MAX(AM149,G149)</f>
        <v/>
      </c>
      <c r="Z149" s="63" t="n"/>
      <c r="AA149" s="55">
        <f>IF(LEFT(Cockpit!$C$5,1)="A",G149,IF(BT149=1,BU149,IF(LEFT(Cockpit!$C$5,1)="B",AE149,MAX(AE149,G149))))</f>
        <v/>
      </c>
      <c r="AB149" s="55">
        <f>IF(BO149=1,0,ROUNDUP(AA149/BN149,0))</f>
        <v/>
      </c>
      <c r="AC149" s="64">
        <f>IF(BO149=1,IF(AA149&lt;=0,0,BP149*MAX(1,IF(G149&gt;0,AA149/G149,1))),AB149*Q149)</f>
        <v/>
      </c>
      <c r="AD149" s="55">
        <f>AA149*F149</f>
        <v/>
      </c>
      <c r="AE149" s="55">
        <f>ROUNDUP(MAX(I149/IF(BS149&gt;0,BS149,MAX(0.1,N(Cockpit!$C$6))),BV149)/BN149,0)*BN149</f>
        <v/>
      </c>
      <c r="AF149" s="56">
        <f>IF(AC149&gt;0,I149/AC149,-1)</f>
        <v/>
      </c>
      <c r="AG149" s="56">
        <f>IF(AND(OR(BR149="L1",BR149="L23"),AC149&gt;0),SUMIFS($AC$7:$AC$1570,$BR$7:$BR$1570,BR149,$AF$7:$AF$1570,"&gt;"&amp;AF149)+SUMIFS($AC$7:$AC$1570,$BR$7:$BR$1570,BR149,$AF$7:$AF$1570,AF149,$BL$7:$BL$1570,"&lt;="&amp;BL149),"")</f>
        <v/>
      </c>
      <c r="AH149" s="65">
        <f>IF(AG149="",0,MAX(0,MIN(1,(IF(BR149="L1",Parameter!$K$5,Parameter!$K$6+Parameter!$K$7)-(AG149-AC149))/AC149)))</f>
        <v/>
      </c>
      <c r="AI149" s="55">
        <f>IF(LEFT(Cockpit!$I$5,1)="A",G149,IF(BT149=1,BU149,IF(LEFT(Cockpit!$I$5,1)="B",AM149,MAX(AM149,G149))))</f>
        <v/>
      </c>
      <c r="AJ149" s="55">
        <f>IF(BO149=1,0,ROUNDUP(AI149/BN149,0))</f>
        <v/>
      </c>
      <c r="AK149" s="64">
        <f>IF(BO149=1,IF(AI149&lt;=0,0,BP149*MAX(1,IF(G149&gt;0,AI149/G149,1))),AJ149*Q149)</f>
        <v/>
      </c>
      <c r="AL149" s="55">
        <f>AI149*F149</f>
        <v/>
      </c>
      <c r="AM149" s="55">
        <f>ROUNDUP(MAX(I149/IF(BS149&gt;0,BS149,MAX(0.1,N(Cockpit!$I$6))),BV149)/BN149,0)*BN149</f>
        <v/>
      </c>
      <c r="AN149" s="56">
        <f>IF(AK149&gt;0,I149/AK149,-1)</f>
        <v/>
      </c>
      <c r="AO149" s="56">
        <f>IF(AND(OR(BR149="L1",BR149="L23"),AK149&gt;0),SUMIFS($AK$7:$AK$1570,$BR$7:$BR$1570,BR149,$AN$7:$AN$1570,"&gt;"&amp;AN149)+SUMIFS($AK$7:$AK$1570,$BR$7:$BR$1570,BR149,$AN$7:$AN$1570,AN149,$BL$7:$BL$1570,"&lt;="&amp;BL149),"")</f>
        <v/>
      </c>
      <c r="AP149" s="65">
        <f>IF(AO149="",0,MAX(0,MIN(1,(IF(BR149="L1",Parameter!$K$5,Parameter!$K$6+Parameter!$K$7)-(AO149-AK149))/AK149)))</f>
        <v/>
      </c>
      <c r="AQ149" s="55">
        <f>IF(LEFT(Cockpit!$O$5,1)="A",G149,IF(BT149=1,BU149,IF(LEFT(Cockpit!$O$5,1)="B",AU149,MAX(AU149,G149))))</f>
        <v/>
      </c>
      <c r="AR149" s="55">
        <f>IF(BO149=1,0,ROUNDUP(AQ149/BN149,0))</f>
        <v/>
      </c>
      <c r="AS149" s="64">
        <f>IF(BO149=1,IF(AQ149&lt;=0,0,BP149*MAX(1,IF(G149&gt;0,AQ149/G149,1))),AR149*Q149)</f>
        <v/>
      </c>
      <c r="AT149" s="55">
        <f>AQ149*F149</f>
        <v/>
      </c>
      <c r="AU149" s="55">
        <f>ROUNDUP(MAX(I149/IF(BS149&gt;0,BS149,MAX(0.1,N(Cockpit!$O$6))),BV149)/BN149,0)*BN149</f>
        <v/>
      </c>
      <c r="AV149" s="56">
        <f>IF(AS149&gt;0,I149/AS149,-1)</f>
        <v/>
      </c>
      <c r="AW149" s="56">
        <f>IF(AND(OR(BR149="L1",BR149="L23"),AS149&gt;0),SUMIFS($AS$7:$AS$1570,$BR$7:$BR$1570,BR149,$AV$7:$AV$1570,"&gt;"&amp;AV149)+SUMIFS($AS$7:$AS$1570,$BR$7:$BR$1570,BR149,$AV$7:$AV$1570,AV149,$BL$7:$BL$1570,"&lt;="&amp;BL149),"")</f>
        <v/>
      </c>
      <c r="AX149" s="65">
        <f>IF(AW149="",0,MAX(0,MIN(1,(IF(BR149="L1",Parameter!$K$5,Parameter!$K$6+Parameter!$K$7)-(AW149-AS149))/AS149)))</f>
        <v/>
      </c>
      <c r="AY149" s="53">
        <f>IF(AC149&lt;=0,"",IF(BR149="Aussen","Aussenlager",IF(BR149="-","Nicht im Lift",IF(AH149&gt;=1,"Lift",IF(AH149&lt;=0,"Aussenlager","teilweise")))))</f>
        <v/>
      </c>
      <c r="AZ149" s="53">
        <f>IF(AK149&lt;=0,"",IF(BR149="Aussen","Aussenlager",IF(BR149="-","Nicht im Lift",IF(AP149&gt;=1,"Lift",IF(AP149&lt;=0,"Aussenlager","teilweise")))))</f>
        <v/>
      </c>
      <c r="BA149" s="53">
        <f>IF(AS149&lt;=0,"",IF(BR149="Aussen","Aussenlager",IF(BR149="-","Nicht im Lift",IF(AX149&gt;=1,"Lift",IF(AX149&lt;=0,"Aussenlager","teilweise")))))</f>
        <v/>
      </c>
      <c r="BB149" s="53">
        <f>IF(A149="","",IF(BK149=1,"Neu; ","")&amp;IF(AND(BK149=0,BF149&lt;0),"negativer Bestand (Export "&amp;BF149&amp;"); ","")&amp;IF(I149&lt;=0,"Kein Verbrauch; ","")&amp;IF(BO149=1,"Lose – Fläche geschätzt; ","")&amp;IF(G149&gt;AM149,"Überbestand "&amp;ROUND(G149-AM149,0)&amp;" Stk / CHF "&amp;ROUND((G149-AM149)*F149,0)&amp;"; ","")&amp;IF(AND(BT149=1,BU149&lt;BV149),"MAX &lt; MB+LG; ","")&amp;IF(AND(BZ149&gt;0,BY149*10&gt;BZ149),"zu hoch für Tablar; ","")&amp;IF(AND(BK149=0,OR(BT149=1,V149&lt;&gt;"",S149&lt;&gt;"",T149&lt;&gt;"",W149&lt;&gt;"")),"manuell übersteuert; ","")&amp;IF(AND(BO149=0,Q149=0),"Gebinde unbekannt; ","")&amp;IF(AND(BO149=0,N(T149)&lt;=0,N(P149)&lt;=0),"Menge pro Gebinde fehlt (Ist = 1 Gebinde); ","")&amp;BJ149)</f>
        <v/>
      </c>
      <c r="BC149" s="53" t="n"/>
      <c r="BD149" s="53" t="n"/>
      <c r="BE149" s="61" t="n"/>
      <c r="BF149" s="55" t="n">
        <v>25</v>
      </c>
      <c r="BG149" s="55" t="n">
        <v>14</v>
      </c>
      <c r="BH149" s="54" t="n">
        <v>1353.349999999999</v>
      </c>
      <c r="BI149" s="55" t="n">
        <v>59</v>
      </c>
      <c r="BJ149" s="53" t="inlineStr"/>
      <c r="BK149" s="58" t="n">
        <v>0</v>
      </c>
      <c r="BL149" s="58" t="n">
        <v>149</v>
      </c>
      <c r="BM149" s="53">
        <f>IF(S149&lt;&gt;"",UPPER(TRIM(S149)),IF(O149="","LOSE",O149))</f>
        <v/>
      </c>
      <c r="BN149" s="55">
        <f>IF(BM149="LOSE",1,IF(N(T149)&gt;0,T149,IF(N(P149)&gt;0,P149,MAX(1,G149))))</f>
        <v/>
      </c>
      <c r="BO149" s="58">
        <f>IF(BM149="LOSE",1,0)</f>
        <v/>
      </c>
      <c r="BP149" s="64">
        <f>IF(BO149=0,0,IF(N(R149)&gt;0,R149,IFERROR(VLOOKUP(D149,Parameter!$A$35:$C$64,3,0)+0,0)))</f>
        <v/>
      </c>
      <c r="BQ149" s="53">
        <f>IF(V149&lt;&gt;"",V149,U149)</f>
        <v/>
      </c>
      <c r="BR149" s="53">
        <f>IF(BQ149=1,"L1",IF(OR(BQ149=2,BQ149=3),"L23",IF(BQ149="Aussen","Aussen","-")))</f>
        <v/>
      </c>
      <c r="BS149" s="66">
        <f>IF(N(W149)&gt;0,W149,0)</f>
        <v/>
      </c>
      <c r="BT149" s="58">
        <f>IF(ISNUMBER(Z149),1,0)</f>
        <v/>
      </c>
      <c r="BU149" s="55">
        <f>N(Z149)</f>
        <v/>
      </c>
      <c r="BV149" s="55">
        <f>N(L149)+N(M149)</f>
        <v/>
      </c>
      <c r="BW149" s="55">
        <f>ROUNDUP(G149/BN149,0)</f>
        <v/>
      </c>
      <c r="BX149" s="55">
        <f>ROUNDUP(BU149/BN149,0)</f>
        <v/>
      </c>
      <c r="BY149" s="58">
        <f>IF(BO149=1,0,IFERROR(VLOOKUP(BM149,'Gebinde-Kategorie'!$A$5:$G$45,5,0)+0,0))</f>
        <v/>
      </c>
      <c r="BZ149" s="58">
        <f>IFERROR(IF(OR(BQ149=1,BQ149=2,BQ149=3),N(INDEX(Parameter!$I$5:$I$7,BQ149)),0),0)</f>
        <v/>
      </c>
    </row>
    <row r="150">
      <c r="A150" s="53" t="inlineStr">
        <is>
          <t>107997</t>
        </is>
      </c>
      <c r="B150" s="53" t="inlineStr">
        <is>
          <t>Adapter Stahl verzinkt</t>
        </is>
      </c>
      <c r="C150" s="53" t="inlineStr">
        <is>
          <t>F</t>
        </is>
      </c>
      <c r="D150" s="53" t="inlineStr">
        <is>
          <t>KTL</t>
        </is>
      </c>
      <c r="E150" s="53" t="inlineStr">
        <is>
          <t>C</t>
        </is>
      </c>
      <c r="F150" s="54" t="n">
        <v>4.04</v>
      </c>
      <c r="G150" s="55">
        <f>MAX(0,IF(Parameter!$B$20="Jahresanfang 2025 + Export",BG150+BF150,BF150))</f>
        <v/>
      </c>
      <c r="H150" s="55">
        <f>G150*F150</f>
        <v/>
      </c>
      <c r="I150" s="55">
        <f>BI150*Parameter!$B$18</f>
        <v/>
      </c>
      <c r="J150" s="56" t="n">
        <v>57</v>
      </c>
      <c r="K150" s="57" t="n">
        <v>3.491228070175439</v>
      </c>
      <c r="L150" s="55" t="n">
        <v>11</v>
      </c>
      <c r="M150" s="55" t="n">
        <v>200</v>
      </c>
      <c r="N150" s="58" t="n">
        <v>21</v>
      </c>
      <c r="O150" s="53" t="inlineStr">
        <is>
          <t>S51</t>
        </is>
      </c>
      <c r="P150" s="55" t="n">
        <v>71</v>
      </c>
      <c r="Q150" s="59">
        <f>IF(BO150=1,0,IFERROR(VLOOKUP(BM150,'Gebinde-Kategorie'!$A$5:$G$45,6,0)+0,0))</f>
        <v/>
      </c>
      <c r="R150" s="60" t="n"/>
      <c r="S150" s="61" t="n"/>
      <c r="T150" s="61" t="n"/>
      <c r="U150" s="53">
        <f>IF(A150="","",IF(IFERROR(VLOOKUP(D150,Parameter!$A$35:$C$64,2,0),"Nein")="2+3",IF(ISNUMBER(SEARCH("grosser Artikel",BJ150)),2,IFERROR(VLOOKUP(BM150,Parameter!$F$35:$G$64,2,0),2)),IF(OR(IFERROR(VLOOKUP(D150,Parameter!$A$35:$C$64,2,0),"Nein")="Nein",IFERROR(VLOOKUP(D150,Parameter!$A$35:$C$64,2,0),"Nein")=""),"-",VLOOKUP(D150,Parameter!$A$35:$C$64,2,0))))</f>
        <v/>
      </c>
      <c r="V150" s="61" t="n"/>
      <c r="W150" s="62" t="n"/>
      <c r="X150" s="55">
        <f>AM150</f>
        <v/>
      </c>
      <c r="Y150" s="55">
        <f>MAX(AM150,G150)</f>
        <v/>
      </c>
      <c r="Z150" s="63" t="n"/>
      <c r="AA150" s="55">
        <f>IF(LEFT(Cockpit!$C$5,1)="A",G150,IF(BT150=1,BU150,IF(LEFT(Cockpit!$C$5,1)="B",AE150,MAX(AE150,G150))))</f>
        <v/>
      </c>
      <c r="AB150" s="55">
        <f>IF(BO150=1,0,ROUNDUP(AA150/BN150,0))</f>
        <v/>
      </c>
      <c r="AC150" s="64">
        <f>IF(BO150=1,IF(AA150&lt;=0,0,BP150*MAX(1,IF(G150&gt;0,AA150/G150,1))),AB150*Q150)</f>
        <v/>
      </c>
      <c r="AD150" s="55">
        <f>AA150*F150</f>
        <v/>
      </c>
      <c r="AE150" s="55">
        <f>ROUNDUP(MAX(I150/IF(BS150&gt;0,BS150,MAX(0.1,N(Cockpit!$C$6))),BV150)/BN150,0)*BN150</f>
        <v/>
      </c>
      <c r="AF150" s="56">
        <f>IF(AC150&gt;0,I150/AC150,-1)</f>
        <v/>
      </c>
      <c r="AG150" s="56">
        <f>IF(AND(OR(BR150="L1",BR150="L23"),AC150&gt;0),SUMIFS($AC$7:$AC$1570,$BR$7:$BR$1570,BR150,$AF$7:$AF$1570,"&gt;"&amp;AF150)+SUMIFS($AC$7:$AC$1570,$BR$7:$BR$1570,BR150,$AF$7:$AF$1570,AF150,$BL$7:$BL$1570,"&lt;="&amp;BL150),"")</f>
        <v/>
      </c>
      <c r="AH150" s="65">
        <f>IF(AG150="",0,MAX(0,MIN(1,(IF(BR150="L1",Parameter!$K$5,Parameter!$K$6+Parameter!$K$7)-(AG150-AC150))/AC150)))</f>
        <v/>
      </c>
      <c r="AI150" s="55">
        <f>IF(LEFT(Cockpit!$I$5,1)="A",G150,IF(BT150=1,BU150,IF(LEFT(Cockpit!$I$5,1)="B",AM150,MAX(AM150,G150))))</f>
        <v/>
      </c>
      <c r="AJ150" s="55">
        <f>IF(BO150=1,0,ROUNDUP(AI150/BN150,0))</f>
        <v/>
      </c>
      <c r="AK150" s="64">
        <f>IF(BO150=1,IF(AI150&lt;=0,0,BP150*MAX(1,IF(G150&gt;0,AI150/G150,1))),AJ150*Q150)</f>
        <v/>
      </c>
      <c r="AL150" s="55">
        <f>AI150*F150</f>
        <v/>
      </c>
      <c r="AM150" s="55">
        <f>ROUNDUP(MAX(I150/IF(BS150&gt;0,BS150,MAX(0.1,N(Cockpit!$I$6))),BV150)/BN150,0)*BN150</f>
        <v/>
      </c>
      <c r="AN150" s="56">
        <f>IF(AK150&gt;0,I150/AK150,-1)</f>
        <v/>
      </c>
      <c r="AO150" s="56">
        <f>IF(AND(OR(BR150="L1",BR150="L23"),AK150&gt;0),SUMIFS($AK$7:$AK$1570,$BR$7:$BR$1570,BR150,$AN$7:$AN$1570,"&gt;"&amp;AN150)+SUMIFS($AK$7:$AK$1570,$BR$7:$BR$1570,BR150,$AN$7:$AN$1570,AN150,$BL$7:$BL$1570,"&lt;="&amp;BL150),"")</f>
        <v/>
      </c>
      <c r="AP150" s="65">
        <f>IF(AO150="",0,MAX(0,MIN(1,(IF(BR150="L1",Parameter!$K$5,Parameter!$K$6+Parameter!$K$7)-(AO150-AK150))/AK150)))</f>
        <v/>
      </c>
      <c r="AQ150" s="55">
        <f>IF(LEFT(Cockpit!$O$5,1)="A",G150,IF(BT150=1,BU150,IF(LEFT(Cockpit!$O$5,1)="B",AU150,MAX(AU150,G150))))</f>
        <v/>
      </c>
      <c r="AR150" s="55">
        <f>IF(BO150=1,0,ROUNDUP(AQ150/BN150,0))</f>
        <v/>
      </c>
      <c r="AS150" s="64">
        <f>IF(BO150=1,IF(AQ150&lt;=0,0,BP150*MAX(1,IF(G150&gt;0,AQ150/G150,1))),AR150*Q150)</f>
        <v/>
      </c>
      <c r="AT150" s="55">
        <f>AQ150*F150</f>
        <v/>
      </c>
      <c r="AU150" s="55">
        <f>ROUNDUP(MAX(I150/IF(BS150&gt;0,BS150,MAX(0.1,N(Cockpit!$O$6))),BV150)/BN150,0)*BN150</f>
        <v/>
      </c>
      <c r="AV150" s="56">
        <f>IF(AS150&gt;0,I150/AS150,-1)</f>
        <v/>
      </c>
      <c r="AW150" s="56">
        <f>IF(AND(OR(BR150="L1",BR150="L23"),AS150&gt;0),SUMIFS($AS$7:$AS$1570,$BR$7:$BR$1570,BR150,$AV$7:$AV$1570,"&gt;"&amp;AV150)+SUMIFS($AS$7:$AS$1570,$BR$7:$BR$1570,BR150,$AV$7:$AV$1570,AV150,$BL$7:$BL$1570,"&lt;="&amp;BL150),"")</f>
        <v/>
      </c>
      <c r="AX150" s="65">
        <f>IF(AW150="",0,MAX(0,MIN(1,(IF(BR150="L1",Parameter!$K$5,Parameter!$K$6+Parameter!$K$7)-(AW150-AS150))/AS150)))</f>
        <v/>
      </c>
      <c r="AY150" s="53">
        <f>IF(AC150&lt;=0,"",IF(BR150="Aussen","Aussenlager",IF(BR150="-","Nicht im Lift",IF(AH150&gt;=1,"Lift",IF(AH150&lt;=0,"Aussenlager","teilweise")))))</f>
        <v/>
      </c>
      <c r="AZ150" s="53">
        <f>IF(AK150&lt;=0,"",IF(BR150="Aussen","Aussenlager",IF(BR150="-","Nicht im Lift",IF(AP150&gt;=1,"Lift",IF(AP150&lt;=0,"Aussenlager","teilweise")))))</f>
        <v/>
      </c>
      <c r="BA150" s="53">
        <f>IF(AS150&lt;=0,"",IF(BR150="Aussen","Aussenlager",IF(BR150="-","Nicht im Lift",IF(AX150&gt;=1,"Lift",IF(AX150&lt;=0,"Aussenlager","teilweise")))))</f>
        <v/>
      </c>
      <c r="BB150" s="53">
        <f>IF(A150="","",IF(BK150=1,"Neu; ","")&amp;IF(AND(BK150=0,BF150&lt;0),"negativer Bestand (Export "&amp;BF150&amp;"); ","")&amp;IF(I150&lt;=0,"Kein Verbrauch; ","")&amp;IF(BO150=1,"Lose – Fläche geschätzt; ","")&amp;IF(G150&gt;AM150,"Überbestand "&amp;ROUND(G150-AM150,0)&amp;" Stk / CHF "&amp;ROUND((G150-AM150)*F150,0)&amp;"; ","")&amp;IF(AND(BT150=1,BU150&lt;BV150),"MAX &lt; MB+LG; ","")&amp;IF(AND(BZ150&gt;0,BY150*10&gt;BZ150),"zu hoch für Tablar; ","")&amp;IF(AND(BK150=0,OR(BT150=1,V150&lt;&gt;"",S150&lt;&gt;"",T150&lt;&gt;"",W150&lt;&gt;"")),"manuell übersteuert; ","")&amp;IF(AND(BO150=0,Q150=0),"Gebinde unbekannt; ","")&amp;IF(AND(BO150=0,N(T150)&lt;=0,N(P150)&lt;=0),"Menge pro Gebinde fehlt (Ist = 1 Gebinde); ","")&amp;BJ150)</f>
        <v/>
      </c>
      <c r="BC150" s="53" t="n"/>
      <c r="BD150" s="53" t="n"/>
      <c r="BE150" s="61" t="n"/>
      <c r="BF150" s="55" t="n">
        <v>340</v>
      </c>
      <c r="BG150" s="55" t="n">
        <v>57</v>
      </c>
      <c r="BH150" s="54" t="n">
        <v>1338.26</v>
      </c>
      <c r="BI150" s="55" t="n">
        <v>199</v>
      </c>
      <c r="BJ150" s="53" t="inlineStr"/>
      <c r="BK150" s="58" t="n">
        <v>0</v>
      </c>
      <c r="BL150" s="58" t="n">
        <v>150</v>
      </c>
      <c r="BM150" s="53">
        <f>IF(S150&lt;&gt;"",UPPER(TRIM(S150)),IF(O150="","LOSE",O150))</f>
        <v/>
      </c>
      <c r="BN150" s="55">
        <f>IF(BM150="LOSE",1,IF(N(T150)&gt;0,T150,IF(N(P150)&gt;0,P150,MAX(1,G150))))</f>
        <v/>
      </c>
      <c r="BO150" s="58">
        <f>IF(BM150="LOSE",1,0)</f>
        <v/>
      </c>
      <c r="BP150" s="64">
        <f>IF(BO150=0,0,IF(N(R150)&gt;0,R150,IFERROR(VLOOKUP(D150,Parameter!$A$35:$C$64,3,0)+0,0)))</f>
        <v/>
      </c>
      <c r="BQ150" s="53">
        <f>IF(V150&lt;&gt;"",V150,U150)</f>
        <v/>
      </c>
      <c r="BR150" s="53">
        <f>IF(BQ150=1,"L1",IF(OR(BQ150=2,BQ150=3),"L23",IF(BQ150="Aussen","Aussen","-")))</f>
        <v/>
      </c>
      <c r="BS150" s="66">
        <f>IF(N(W150)&gt;0,W150,0)</f>
        <v/>
      </c>
      <c r="BT150" s="58">
        <f>IF(ISNUMBER(Z150),1,0)</f>
        <v/>
      </c>
      <c r="BU150" s="55">
        <f>N(Z150)</f>
        <v/>
      </c>
      <c r="BV150" s="55">
        <f>N(L150)+N(M150)</f>
        <v/>
      </c>
      <c r="BW150" s="55">
        <f>ROUNDUP(G150/BN150,0)</f>
        <v/>
      </c>
      <c r="BX150" s="55">
        <f>ROUNDUP(BU150/BN150,0)</f>
        <v/>
      </c>
      <c r="BY150" s="58">
        <f>IF(BO150=1,0,IFERROR(VLOOKUP(BM150,'Gebinde-Kategorie'!$A$5:$G$45,5,0)+0,0))</f>
        <v/>
      </c>
      <c r="BZ150" s="58">
        <f>IFERROR(IF(OR(BQ150=1,BQ150=2,BQ150=3),N(INDEX(Parameter!$I$5:$I$7,BQ150)),0),0)</f>
        <v/>
      </c>
    </row>
    <row r="151">
      <c r="A151" s="53" t="inlineStr">
        <is>
          <t>005069</t>
        </is>
      </c>
      <c r="B151" s="53" t="inlineStr">
        <is>
          <t>Hochdruck-Ganzmetallschlauch CH4</t>
        </is>
      </c>
      <c r="C151" s="53" t="inlineStr">
        <is>
          <t>F</t>
        </is>
      </c>
      <c r="D151" s="53" t="inlineStr">
        <is>
          <t>PAL</t>
        </is>
      </c>
      <c r="E151" s="53" t="inlineStr">
        <is>
          <t>C</t>
        </is>
      </c>
      <c r="F151" s="54" t="n">
        <v>444.6</v>
      </c>
      <c r="G151" s="55">
        <f>MAX(0,IF(Parameter!$B$20="Jahresanfang 2025 + Export",BG151+BF151,BF151))</f>
        <v/>
      </c>
      <c r="H151" s="55">
        <f>G151*F151</f>
        <v/>
      </c>
      <c r="I151" s="55">
        <f>BI151*Parameter!$B$18</f>
        <v/>
      </c>
      <c r="J151" s="56" t="n">
        <v>0</v>
      </c>
      <c r="K151" s="57" t="n">
        <v>0</v>
      </c>
      <c r="L151" s="55" t="n">
        <v>0</v>
      </c>
      <c r="M151" s="55" t="n">
        <v>5</v>
      </c>
      <c r="N151" s="58" t="n">
        <v>28</v>
      </c>
      <c r="O151" s="53" t="inlineStr">
        <is>
          <t>LOSE</t>
        </is>
      </c>
      <c r="P151" s="55" t="n"/>
      <c r="Q151" s="59">
        <f>IF(BO151=1,0,IFERROR(VLOOKUP(BM151,'Gebinde-Kategorie'!$A$5:$G$45,6,0)+0,0))</f>
        <v/>
      </c>
      <c r="R151" s="60" t="n"/>
      <c r="S151" s="61" t="n"/>
      <c r="T151" s="61" t="n"/>
      <c r="U151" s="53">
        <f>IF(A151="","",IF(IFERROR(VLOOKUP(D151,Parameter!$A$35:$C$64,2,0),"Nein")="2+3",IF(ISNUMBER(SEARCH("grosser Artikel",BJ151)),2,IFERROR(VLOOKUP(BM151,Parameter!$F$35:$G$64,2,0),2)),IF(OR(IFERROR(VLOOKUP(D151,Parameter!$A$35:$C$64,2,0),"Nein")="Nein",IFERROR(VLOOKUP(D151,Parameter!$A$35:$C$64,2,0),"Nein")=""),"-",VLOOKUP(D151,Parameter!$A$35:$C$64,2,0))))</f>
        <v/>
      </c>
      <c r="V151" s="61" t="n"/>
      <c r="W151" s="62" t="n"/>
      <c r="X151" s="55">
        <f>AM151</f>
        <v/>
      </c>
      <c r="Y151" s="55">
        <f>MAX(AM151,G151)</f>
        <v/>
      </c>
      <c r="Z151" s="63" t="n"/>
      <c r="AA151" s="55">
        <f>IF(LEFT(Cockpit!$C$5,1)="A",G151,IF(BT151=1,BU151,IF(LEFT(Cockpit!$C$5,1)="B",AE151,MAX(AE151,G151))))</f>
        <v/>
      </c>
      <c r="AB151" s="55">
        <f>IF(BO151=1,0,ROUNDUP(AA151/BN151,0))</f>
        <v/>
      </c>
      <c r="AC151" s="64">
        <f>IF(BO151=1,IF(AA151&lt;=0,0,BP151*MAX(1,IF(G151&gt;0,AA151/G151,1))),AB151*Q151)</f>
        <v/>
      </c>
      <c r="AD151" s="55">
        <f>AA151*F151</f>
        <v/>
      </c>
      <c r="AE151" s="55">
        <f>ROUNDUP(MAX(I151/IF(BS151&gt;0,BS151,MAX(0.1,N(Cockpit!$C$6))),BV151)/BN151,0)*BN151</f>
        <v/>
      </c>
      <c r="AF151" s="56">
        <f>IF(AC151&gt;0,I151/AC151,-1)</f>
        <v/>
      </c>
      <c r="AG151" s="56">
        <f>IF(AND(OR(BR151="L1",BR151="L23"),AC151&gt;0),SUMIFS($AC$7:$AC$1570,$BR$7:$BR$1570,BR151,$AF$7:$AF$1570,"&gt;"&amp;AF151)+SUMIFS($AC$7:$AC$1570,$BR$7:$BR$1570,BR151,$AF$7:$AF$1570,AF151,$BL$7:$BL$1570,"&lt;="&amp;BL151),"")</f>
        <v/>
      </c>
      <c r="AH151" s="65">
        <f>IF(AG151="",0,MAX(0,MIN(1,(IF(BR151="L1",Parameter!$K$5,Parameter!$K$6+Parameter!$K$7)-(AG151-AC151))/AC151)))</f>
        <v/>
      </c>
      <c r="AI151" s="55">
        <f>IF(LEFT(Cockpit!$I$5,1)="A",G151,IF(BT151=1,BU151,IF(LEFT(Cockpit!$I$5,1)="B",AM151,MAX(AM151,G151))))</f>
        <v/>
      </c>
      <c r="AJ151" s="55">
        <f>IF(BO151=1,0,ROUNDUP(AI151/BN151,0))</f>
        <v/>
      </c>
      <c r="AK151" s="64">
        <f>IF(BO151=1,IF(AI151&lt;=0,0,BP151*MAX(1,IF(G151&gt;0,AI151/G151,1))),AJ151*Q151)</f>
        <v/>
      </c>
      <c r="AL151" s="55">
        <f>AI151*F151</f>
        <v/>
      </c>
      <c r="AM151" s="55">
        <f>ROUNDUP(MAX(I151/IF(BS151&gt;0,BS151,MAX(0.1,N(Cockpit!$I$6))),BV151)/BN151,0)*BN151</f>
        <v/>
      </c>
      <c r="AN151" s="56">
        <f>IF(AK151&gt;0,I151/AK151,-1)</f>
        <v/>
      </c>
      <c r="AO151" s="56">
        <f>IF(AND(OR(BR151="L1",BR151="L23"),AK151&gt;0),SUMIFS($AK$7:$AK$1570,$BR$7:$BR$1570,BR151,$AN$7:$AN$1570,"&gt;"&amp;AN151)+SUMIFS($AK$7:$AK$1570,$BR$7:$BR$1570,BR151,$AN$7:$AN$1570,AN151,$BL$7:$BL$1570,"&lt;="&amp;BL151),"")</f>
        <v/>
      </c>
      <c r="AP151" s="65">
        <f>IF(AO151="",0,MAX(0,MIN(1,(IF(BR151="L1",Parameter!$K$5,Parameter!$K$6+Parameter!$K$7)-(AO151-AK151))/AK151)))</f>
        <v/>
      </c>
      <c r="AQ151" s="55">
        <f>IF(LEFT(Cockpit!$O$5,1)="A",G151,IF(BT151=1,BU151,IF(LEFT(Cockpit!$O$5,1)="B",AU151,MAX(AU151,G151))))</f>
        <v/>
      </c>
      <c r="AR151" s="55">
        <f>IF(BO151=1,0,ROUNDUP(AQ151/BN151,0))</f>
        <v/>
      </c>
      <c r="AS151" s="64">
        <f>IF(BO151=1,IF(AQ151&lt;=0,0,BP151*MAX(1,IF(G151&gt;0,AQ151/G151,1))),AR151*Q151)</f>
        <v/>
      </c>
      <c r="AT151" s="55">
        <f>AQ151*F151</f>
        <v/>
      </c>
      <c r="AU151" s="55">
        <f>ROUNDUP(MAX(I151/IF(BS151&gt;0,BS151,MAX(0.1,N(Cockpit!$O$6))),BV151)/BN151,0)*BN151</f>
        <v/>
      </c>
      <c r="AV151" s="56">
        <f>IF(AS151&gt;0,I151/AS151,-1)</f>
        <v/>
      </c>
      <c r="AW151" s="56">
        <f>IF(AND(OR(BR151="L1",BR151="L23"),AS151&gt;0),SUMIFS($AS$7:$AS$1570,$BR$7:$BR$1570,BR151,$AV$7:$AV$1570,"&gt;"&amp;AV151)+SUMIFS($AS$7:$AS$1570,$BR$7:$BR$1570,BR151,$AV$7:$AV$1570,AV151,$BL$7:$BL$1570,"&lt;="&amp;BL151),"")</f>
        <v/>
      </c>
      <c r="AX151" s="65">
        <f>IF(AW151="",0,MAX(0,MIN(1,(IF(BR151="L1",Parameter!$K$5,Parameter!$K$6+Parameter!$K$7)-(AW151-AS151))/AS151)))</f>
        <v/>
      </c>
      <c r="AY151" s="53">
        <f>IF(AC151&lt;=0,"",IF(BR151="Aussen","Aussenlager",IF(BR151="-","Nicht im Lift",IF(AH151&gt;=1,"Lift",IF(AH151&lt;=0,"Aussenlager","teilweise")))))</f>
        <v/>
      </c>
      <c r="AZ151" s="53">
        <f>IF(AK151&lt;=0,"",IF(BR151="Aussen","Aussenlager",IF(BR151="-","Nicht im Lift",IF(AP151&gt;=1,"Lift",IF(AP151&lt;=0,"Aussenlager","teilweise")))))</f>
        <v/>
      </c>
      <c r="BA151" s="53">
        <f>IF(AS151&lt;=0,"",IF(BR151="Aussen","Aussenlager",IF(BR151="-","Nicht im Lift",IF(AX151&gt;=1,"Lift",IF(AX151&lt;=0,"Aussenlager","teilweise")))))</f>
        <v/>
      </c>
      <c r="BB151" s="53">
        <f>IF(A151="","",IF(BK151=1,"Neu; ","")&amp;IF(AND(BK151=0,BF151&lt;0),"negativer Bestand (Export "&amp;BF151&amp;"); ","")&amp;IF(I151&lt;=0,"Kein Verbrauch; ","")&amp;IF(BO151=1,"Lose – Fläche geschätzt; ","")&amp;IF(G151&gt;AM151,"Überbestand "&amp;ROUND(G151-AM151,0)&amp;" Stk / CHF "&amp;ROUND((G151-AM151)*F151,0)&amp;"; ","")&amp;IF(AND(BT151=1,BU151&lt;BV151),"MAX &lt; MB+LG; ","")&amp;IF(AND(BZ151&gt;0,BY151*10&gt;BZ151),"zu hoch für Tablar; ","")&amp;IF(AND(BK151=0,OR(BT151=1,V151&lt;&gt;"",S151&lt;&gt;"",T151&lt;&gt;"",W151&lt;&gt;"")),"manuell übersteuert; ","")&amp;IF(AND(BO151=0,Q151=0),"Gebinde unbekannt; ","")&amp;IF(AND(BO151=0,N(T151)&lt;=0,N(P151)&lt;=0),"Menge pro Gebinde fehlt (Ist = 1 Gebinde); ","")&amp;BJ151)</f>
        <v/>
      </c>
      <c r="BC151" s="53" t="n"/>
      <c r="BD151" s="53" t="n"/>
      <c r="BE151" s="61" t="n"/>
      <c r="BF151" s="55" t="n">
        <v>3</v>
      </c>
      <c r="BG151" s="55" t="n">
        <v>0</v>
      </c>
      <c r="BH151" s="54" t="n">
        <v>1333.8</v>
      </c>
      <c r="BI151" s="55" t="n">
        <v>3</v>
      </c>
      <c r="BJ151" s="53" t="inlineStr"/>
      <c r="BK151" s="58" t="n">
        <v>0</v>
      </c>
      <c r="BL151" s="58" t="n">
        <v>151</v>
      </c>
      <c r="BM151" s="53">
        <f>IF(S151&lt;&gt;"",UPPER(TRIM(S151)),IF(O151="","LOSE",O151))</f>
        <v/>
      </c>
      <c r="BN151" s="55">
        <f>IF(BM151="LOSE",1,IF(N(T151)&gt;0,T151,IF(N(P151)&gt;0,P151,MAX(1,G151))))</f>
        <v/>
      </c>
      <c r="BO151" s="58">
        <f>IF(BM151="LOSE",1,0)</f>
        <v/>
      </c>
      <c r="BP151" s="64">
        <f>IF(BO151=0,0,IF(N(R151)&gt;0,R151,IFERROR(VLOOKUP(D151,Parameter!$A$35:$C$64,3,0)+0,0)))</f>
        <v/>
      </c>
      <c r="BQ151" s="53">
        <f>IF(V151&lt;&gt;"",V151,U151)</f>
        <v/>
      </c>
      <c r="BR151" s="53">
        <f>IF(BQ151=1,"L1",IF(OR(BQ151=2,BQ151=3),"L23",IF(BQ151="Aussen","Aussen","-")))</f>
        <v/>
      </c>
      <c r="BS151" s="66">
        <f>IF(N(W151)&gt;0,W151,0)</f>
        <v/>
      </c>
      <c r="BT151" s="58">
        <f>IF(ISNUMBER(Z151),1,0)</f>
        <v/>
      </c>
      <c r="BU151" s="55">
        <f>N(Z151)</f>
        <v/>
      </c>
      <c r="BV151" s="55">
        <f>N(L151)+N(M151)</f>
        <v/>
      </c>
      <c r="BW151" s="55">
        <f>ROUNDUP(G151/BN151,0)</f>
        <v/>
      </c>
      <c r="BX151" s="55">
        <f>ROUNDUP(BU151/BN151,0)</f>
        <v/>
      </c>
      <c r="BY151" s="58">
        <f>IF(BO151=1,0,IFERROR(VLOOKUP(BM151,'Gebinde-Kategorie'!$A$5:$G$45,5,0)+0,0))</f>
        <v/>
      </c>
      <c r="BZ151" s="58">
        <f>IFERROR(IF(OR(BQ151=1,BQ151=2,BQ151=3),N(INDEX(Parameter!$I$5:$I$7,BQ151)),0),0)</f>
        <v/>
      </c>
    </row>
    <row r="152">
      <c r="A152" s="53" t="inlineStr">
        <is>
          <t>107713</t>
        </is>
      </c>
      <c r="B152" s="53" t="inlineStr">
        <is>
          <t>Spannungsüberwachung</t>
        </is>
      </c>
      <c r="C152" s="53" t="inlineStr">
        <is>
          <t>F</t>
        </is>
      </c>
      <c r="D152" s="53" t="inlineStr">
        <is>
          <t>KTL</t>
        </is>
      </c>
      <c r="E152" s="53" t="inlineStr">
        <is>
          <t>C</t>
        </is>
      </c>
      <c r="F152" s="54" t="n">
        <v>32.83</v>
      </c>
      <c r="G152" s="55">
        <f>MAX(0,IF(Parameter!$B$20="Jahresanfang 2025 + Export",BG152+BF152,BF152))</f>
        <v/>
      </c>
      <c r="H152" s="55">
        <f>G152*F152</f>
        <v/>
      </c>
      <c r="I152" s="55">
        <f>BI152*Parameter!$B$18</f>
        <v/>
      </c>
      <c r="J152" s="56" t="n">
        <v>2</v>
      </c>
      <c r="K152" s="57" t="n">
        <v>0</v>
      </c>
      <c r="L152" s="55" t="n">
        <v>0</v>
      </c>
      <c r="M152" s="55" t="n">
        <v>1</v>
      </c>
      <c r="N152" s="58" t="n">
        <v>28</v>
      </c>
      <c r="O152" s="53" t="inlineStr">
        <is>
          <t>S51</t>
        </is>
      </c>
      <c r="P152" s="55" t="n">
        <v>50</v>
      </c>
      <c r="Q152" s="59">
        <f>IF(BO152=1,0,IFERROR(VLOOKUP(BM152,'Gebinde-Kategorie'!$A$5:$G$45,6,0)+0,0))</f>
        <v/>
      </c>
      <c r="R152" s="60" t="n"/>
      <c r="S152" s="61" t="n"/>
      <c r="T152" s="61" t="n"/>
      <c r="U152" s="53">
        <f>IF(A152="","",IF(IFERROR(VLOOKUP(D152,Parameter!$A$35:$C$64,2,0),"Nein")="2+3",IF(ISNUMBER(SEARCH("grosser Artikel",BJ152)),2,IFERROR(VLOOKUP(BM152,Parameter!$F$35:$G$64,2,0),2)),IF(OR(IFERROR(VLOOKUP(D152,Parameter!$A$35:$C$64,2,0),"Nein")="Nein",IFERROR(VLOOKUP(D152,Parameter!$A$35:$C$64,2,0),"Nein")=""),"-",VLOOKUP(D152,Parameter!$A$35:$C$64,2,0))))</f>
        <v/>
      </c>
      <c r="V152" s="61" t="n"/>
      <c r="W152" s="62" t="n"/>
      <c r="X152" s="55">
        <f>AM152</f>
        <v/>
      </c>
      <c r="Y152" s="55">
        <f>MAX(AM152,G152)</f>
        <v/>
      </c>
      <c r="Z152" s="63" t="n"/>
      <c r="AA152" s="55">
        <f>IF(LEFT(Cockpit!$C$5,1)="A",G152,IF(BT152=1,BU152,IF(LEFT(Cockpit!$C$5,1)="B",AE152,MAX(AE152,G152))))</f>
        <v/>
      </c>
      <c r="AB152" s="55">
        <f>IF(BO152=1,0,ROUNDUP(AA152/BN152,0))</f>
        <v/>
      </c>
      <c r="AC152" s="64">
        <f>IF(BO152=1,IF(AA152&lt;=0,0,BP152*MAX(1,IF(G152&gt;0,AA152/G152,1))),AB152*Q152)</f>
        <v/>
      </c>
      <c r="AD152" s="55">
        <f>AA152*F152</f>
        <v/>
      </c>
      <c r="AE152" s="55">
        <f>ROUNDUP(MAX(I152/IF(BS152&gt;0,BS152,MAX(0.1,N(Cockpit!$C$6))),BV152)/BN152,0)*BN152</f>
        <v/>
      </c>
      <c r="AF152" s="56">
        <f>IF(AC152&gt;0,I152/AC152,-1)</f>
        <v/>
      </c>
      <c r="AG152" s="56">
        <f>IF(AND(OR(BR152="L1",BR152="L23"),AC152&gt;0),SUMIFS($AC$7:$AC$1570,$BR$7:$BR$1570,BR152,$AF$7:$AF$1570,"&gt;"&amp;AF152)+SUMIFS($AC$7:$AC$1570,$BR$7:$BR$1570,BR152,$AF$7:$AF$1570,AF152,$BL$7:$BL$1570,"&lt;="&amp;BL152),"")</f>
        <v/>
      </c>
      <c r="AH152" s="65">
        <f>IF(AG152="",0,MAX(0,MIN(1,(IF(BR152="L1",Parameter!$K$5,Parameter!$K$6+Parameter!$K$7)-(AG152-AC152))/AC152)))</f>
        <v/>
      </c>
      <c r="AI152" s="55">
        <f>IF(LEFT(Cockpit!$I$5,1)="A",G152,IF(BT152=1,BU152,IF(LEFT(Cockpit!$I$5,1)="B",AM152,MAX(AM152,G152))))</f>
        <v/>
      </c>
      <c r="AJ152" s="55">
        <f>IF(BO152=1,0,ROUNDUP(AI152/BN152,0))</f>
        <v/>
      </c>
      <c r="AK152" s="64">
        <f>IF(BO152=1,IF(AI152&lt;=0,0,BP152*MAX(1,IF(G152&gt;0,AI152/G152,1))),AJ152*Q152)</f>
        <v/>
      </c>
      <c r="AL152" s="55">
        <f>AI152*F152</f>
        <v/>
      </c>
      <c r="AM152" s="55">
        <f>ROUNDUP(MAX(I152/IF(BS152&gt;0,BS152,MAX(0.1,N(Cockpit!$I$6))),BV152)/BN152,0)*BN152</f>
        <v/>
      </c>
      <c r="AN152" s="56">
        <f>IF(AK152&gt;0,I152/AK152,-1)</f>
        <v/>
      </c>
      <c r="AO152" s="56">
        <f>IF(AND(OR(BR152="L1",BR152="L23"),AK152&gt;0),SUMIFS($AK$7:$AK$1570,$BR$7:$BR$1570,BR152,$AN$7:$AN$1570,"&gt;"&amp;AN152)+SUMIFS($AK$7:$AK$1570,$BR$7:$BR$1570,BR152,$AN$7:$AN$1570,AN152,$BL$7:$BL$1570,"&lt;="&amp;BL152),"")</f>
        <v/>
      </c>
      <c r="AP152" s="65">
        <f>IF(AO152="",0,MAX(0,MIN(1,(IF(BR152="L1",Parameter!$K$5,Parameter!$K$6+Parameter!$K$7)-(AO152-AK152))/AK152)))</f>
        <v/>
      </c>
      <c r="AQ152" s="55">
        <f>IF(LEFT(Cockpit!$O$5,1)="A",G152,IF(BT152=1,BU152,IF(LEFT(Cockpit!$O$5,1)="B",AU152,MAX(AU152,G152))))</f>
        <v/>
      </c>
      <c r="AR152" s="55">
        <f>IF(BO152=1,0,ROUNDUP(AQ152/BN152,0))</f>
        <v/>
      </c>
      <c r="AS152" s="64">
        <f>IF(BO152=1,IF(AQ152&lt;=0,0,BP152*MAX(1,IF(G152&gt;0,AQ152/G152,1))),AR152*Q152)</f>
        <v/>
      </c>
      <c r="AT152" s="55">
        <f>AQ152*F152</f>
        <v/>
      </c>
      <c r="AU152" s="55">
        <f>ROUNDUP(MAX(I152/IF(BS152&gt;0,BS152,MAX(0.1,N(Cockpit!$O$6))),BV152)/BN152,0)*BN152</f>
        <v/>
      </c>
      <c r="AV152" s="56">
        <f>IF(AS152&gt;0,I152/AS152,-1)</f>
        <v/>
      </c>
      <c r="AW152" s="56">
        <f>IF(AND(OR(BR152="L1",BR152="L23"),AS152&gt;0),SUMIFS($AS$7:$AS$1570,$BR$7:$BR$1570,BR152,$AV$7:$AV$1570,"&gt;"&amp;AV152)+SUMIFS($AS$7:$AS$1570,$BR$7:$BR$1570,BR152,$AV$7:$AV$1570,AV152,$BL$7:$BL$1570,"&lt;="&amp;BL152),"")</f>
        <v/>
      </c>
      <c r="AX152" s="65">
        <f>IF(AW152="",0,MAX(0,MIN(1,(IF(BR152="L1",Parameter!$K$5,Parameter!$K$6+Parameter!$K$7)-(AW152-AS152))/AS152)))</f>
        <v/>
      </c>
      <c r="AY152" s="53">
        <f>IF(AC152&lt;=0,"",IF(BR152="Aussen","Aussenlager",IF(BR152="-","Nicht im Lift",IF(AH152&gt;=1,"Lift",IF(AH152&lt;=0,"Aussenlager","teilweise")))))</f>
        <v/>
      </c>
      <c r="AZ152" s="53">
        <f>IF(AK152&lt;=0,"",IF(BR152="Aussen","Aussenlager",IF(BR152="-","Nicht im Lift",IF(AP152&gt;=1,"Lift",IF(AP152&lt;=0,"Aussenlager","teilweise")))))</f>
        <v/>
      </c>
      <c r="BA152" s="53">
        <f>IF(AS152&lt;=0,"",IF(BR152="Aussen","Aussenlager",IF(BR152="-","Nicht im Lift",IF(AX152&gt;=1,"Lift",IF(AX152&lt;=0,"Aussenlager","teilweise")))))</f>
        <v/>
      </c>
      <c r="BB152" s="53">
        <f>IF(A152="","",IF(BK152=1,"Neu; ","")&amp;IF(AND(BK152=0,BF152&lt;0),"negativer Bestand (Export "&amp;BF152&amp;"); ","")&amp;IF(I152&lt;=0,"Kein Verbrauch; ","")&amp;IF(BO152=1,"Lose – Fläche geschätzt; ","")&amp;IF(G152&gt;AM152,"Überbestand "&amp;ROUND(G152-AM152,0)&amp;" Stk / CHF "&amp;ROUND((G152-AM152)*F152,0)&amp;"; ","")&amp;IF(AND(BT152=1,BU152&lt;BV152),"MAX &lt; MB+LG; ","")&amp;IF(AND(BZ152&gt;0,BY152*10&gt;BZ152),"zu hoch für Tablar; ","")&amp;IF(AND(BK152=0,OR(BT152=1,V152&lt;&gt;"",S152&lt;&gt;"",T152&lt;&gt;"",W152&lt;&gt;"")),"manuell übersteuert; ","")&amp;IF(AND(BO152=0,Q152=0),"Gebinde unbekannt; ","")&amp;IF(AND(BO152=0,N(T152)&lt;=0,N(P152)&lt;=0),"Menge pro Gebinde fehlt (Ist = 1 Gebinde); ","")&amp;BJ152)</f>
        <v/>
      </c>
      <c r="BC152" s="53" t="n"/>
      <c r="BD152" s="53" t="n"/>
      <c r="BE152" s="61" t="n"/>
      <c r="BF152" s="55" t="n">
        <v>40</v>
      </c>
      <c r="BG152" s="55" t="n">
        <v>2</v>
      </c>
      <c r="BH152" s="54" t="n">
        <v>1322.06</v>
      </c>
      <c r="BI152" s="55" t="n">
        <v>0</v>
      </c>
      <c r="BJ152" s="53" t="inlineStr">
        <is>
          <t>Neuer Art.</t>
        </is>
      </c>
      <c r="BK152" s="58" t="n">
        <v>0</v>
      </c>
      <c r="BL152" s="58" t="n">
        <v>152</v>
      </c>
      <c r="BM152" s="53">
        <f>IF(S152&lt;&gt;"",UPPER(TRIM(S152)),IF(O152="","LOSE",O152))</f>
        <v/>
      </c>
      <c r="BN152" s="55">
        <f>IF(BM152="LOSE",1,IF(N(T152)&gt;0,T152,IF(N(P152)&gt;0,P152,MAX(1,G152))))</f>
        <v/>
      </c>
      <c r="BO152" s="58">
        <f>IF(BM152="LOSE",1,0)</f>
        <v/>
      </c>
      <c r="BP152" s="64">
        <f>IF(BO152=0,0,IF(N(R152)&gt;0,R152,IFERROR(VLOOKUP(D152,Parameter!$A$35:$C$64,3,0)+0,0)))</f>
        <v/>
      </c>
      <c r="BQ152" s="53">
        <f>IF(V152&lt;&gt;"",V152,U152)</f>
        <v/>
      </c>
      <c r="BR152" s="53">
        <f>IF(BQ152=1,"L1",IF(OR(BQ152=2,BQ152=3),"L23",IF(BQ152="Aussen","Aussen","-")))</f>
        <v/>
      </c>
      <c r="BS152" s="66">
        <f>IF(N(W152)&gt;0,W152,0)</f>
        <v/>
      </c>
      <c r="BT152" s="58">
        <f>IF(ISNUMBER(Z152),1,0)</f>
        <v/>
      </c>
      <c r="BU152" s="55">
        <f>N(Z152)</f>
        <v/>
      </c>
      <c r="BV152" s="55">
        <f>N(L152)+N(M152)</f>
        <v/>
      </c>
      <c r="BW152" s="55">
        <f>ROUNDUP(G152/BN152,0)</f>
        <v/>
      </c>
      <c r="BX152" s="55">
        <f>ROUNDUP(BU152/BN152,0)</f>
        <v/>
      </c>
      <c r="BY152" s="58">
        <f>IF(BO152=1,0,IFERROR(VLOOKUP(BM152,'Gebinde-Kategorie'!$A$5:$G$45,5,0)+0,0))</f>
        <v/>
      </c>
      <c r="BZ152" s="58">
        <f>IFERROR(IF(OR(BQ152=1,BQ152=2,BQ152=3),N(INDEX(Parameter!$I$5:$I$7,BQ152)),0),0)</f>
        <v/>
      </c>
    </row>
    <row r="153">
      <c r="A153" s="53" t="inlineStr">
        <is>
          <t>005201</t>
        </is>
      </c>
      <c r="B153" s="53" t="inlineStr">
        <is>
          <t>Druckregelstrecke O2</t>
        </is>
      </c>
      <c r="C153" s="53" t="inlineStr">
        <is>
          <t>F</t>
        </is>
      </c>
      <c r="D153" s="53" t="inlineStr">
        <is>
          <t>PAL</t>
        </is>
      </c>
      <c r="E153" s="53" t="inlineStr">
        <is>
          <t>C</t>
        </is>
      </c>
      <c r="F153" s="54" t="n">
        <v>2753.47</v>
      </c>
      <c r="G153" s="55">
        <f>MAX(0,IF(Parameter!$B$20="Jahresanfang 2025 + Export",BG153+BF153,BF153))</f>
        <v/>
      </c>
      <c r="H153" s="55">
        <f>G153*F153</f>
        <v/>
      </c>
      <c r="I153" s="55">
        <f>BI153*Parameter!$B$18</f>
        <v/>
      </c>
      <c r="J153" s="56" t="n">
        <v>2.5</v>
      </c>
      <c r="K153" s="57" t="n">
        <v>0.8</v>
      </c>
      <c r="L153" s="55" t="n">
        <v>1</v>
      </c>
      <c r="M153" s="55" t="n">
        <v>1</v>
      </c>
      <c r="N153" s="58" t="n">
        <v>56</v>
      </c>
      <c r="O153" s="53" t="inlineStr">
        <is>
          <t>LOSE</t>
        </is>
      </c>
      <c r="P153" s="55" t="n"/>
      <c r="Q153" s="59">
        <f>IF(BO153=1,0,IFERROR(VLOOKUP(BM153,'Gebinde-Kategorie'!$A$5:$G$45,6,0)+0,0))</f>
        <v/>
      </c>
      <c r="R153" s="60" t="n"/>
      <c r="S153" s="61" t="n"/>
      <c r="T153" s="61" t="n"/>
      <c r="U153" s="53">
        <f>IF(A153="","",IF(IFERROR(VLOOKUP(D153,Parameter!$A$35:$C$64,2,0),"Nein")="2+3",IF(ISNUMBER(SEARCH("grosser Artikel",BJ153)),2,IFERROR(VLOOKUP(BM153,Parameter!$F$35:$G$64,2,0),2)),IF(OR(IFERROR(VLOOKUP(D153,Parameter!$A$35:$C$64,2,0),"Nein")="Nein",IFERROR(VLOOKUP(D153,Parameter!$A$35:$C$64,2,0),"Nein")=""),"-",VLOOKUP(D153,Parameter!$A$35:$C$64,2,0))))</f>
        <v/>
      </c>
      <c r="V153" s="61" t="n"/>
      <c r="W153" s="62" t="n"/>
      <c r="X153" s="55">
        <f>AM153</f>
        <v/>
      </c>
      <c r="Y153" s="55">
        <f>MAX(AM153,G153)</f>
        <v/>
      </c>
      <c r="Z153" s="63" t="n"/>
      <c r="AA153" s="55">
        <f>IF(LEFT(Cockpit!$C$5,1)="A",G153,IF(BT153=1,BU153,IF(LEFT(Cockpit!$C$5,1)="B",AE153,MAX(AE153,G153))))</f>
        <v/>
      </c>
      <c r="AB153" s="55">
        <f>IF(BO153=1,0,ROUNDUP(AA153/BN153,0))</f>
        <v/>
      </c>
      <c r="AC153" s="64">
        <f>IF(BO153=1,IF(AA153&lt;=0,0,BP153*MAX(1,IF(G153&gt;0,AA153/G153,1))),AB153*Q153)</f>
        <v/>
      </c>
      <c r="AD153" s="55">
        <f>AA153*F153</f>
        <v/>
      </c>
      <c r="AE153" s="55">
        <f>ROUNDUP(MAX(I153/IF(BS153&gt;0,BS153,MAX(0.1,N(Cockpit!$C$6))),BV153)/BN153,0)*BN153</f>
        <v/>
      </c>
      <c r="AF153" s="56">
        <f>IF(AC153&gt;0,I153/AC153,-1)</f>
        <v/>
      </c>
      <c r="AG153" s="56">
        <f>IF(AND(OR(BR153="L1",BR153="L23"),AC153&gt;0),SUMIFS($AC$7:$AC$1570,$BR$7:$BR$1570,BR153,$AF$7:$AF$1570,"&gt;"&amp;AF153)+SUMIFS($AC$7:$AC$1570,$BR$7:$BR$1570,BR153,$AF$7:$AF$1570,AF153,$BL$7:$BL$1570,"&lt;="&amp;BL153),"")</f>
        <v/>
      </c>
      <c r="AH153" s="65">
        <f>IF(AG153="",0,MAX(0,MIN(1,(IF(BR153="L1",Parameter!$K$5,Parameter!$K$6+Parameter!$K$7)-(AG153-AC153))/AC153)))</f>
        <v/>
      </c>
      <c r="AI153" s="55">
        <f>IF(LEFT(Cockpit!$I$5,1)="A",G153,IF(BT153=1,BU153,IF(LEFT(Cockpit!$I$5,1)="B",AM153,MAX(AM153,G153))))</f>
        <v/>
      </c>
      <c r="AJ153" s="55">
        <f>IF(BO153=1,0,ROUNDUP(AI153/BN153,0))</f>
        <v/>
      </c>
      <c r="AK153" s="64">
        <f>IF(BO153=1,IF(AI153&lt;=0,0,BP153*MAX(1,IF(G153&gt;0,AI153/G153,1))),AJ153*Q153)</f>
        <v/>
      </c>
      <c r="AL153" s="55">
        <f>AI153*F153</f>
        <v/>
      </c>
      <c r="AM153" s="55">
        <f>ROUNDUP(MAX(I153/IF(BS153&gt;0,BS153,MAX(0.1,N(Cockpit!$I$6))),BV153)/BN153,0)*BN153</f>
        <v/>
      </c>
      <c r="AN153" s="56">
        <f>IF(AK153&gt;0,I153/AK153,-1)</f>
        <v/>
      </c>
      <c r="AO153" s="56">
        <f>IF(AND(OR(BR153="L1",BR153="L23"),AK153&gt;0),SUMIFS($AK$7:$AK$1570,$BR$7:$BR$1570,BR153,$AN$7:$AN$1570,"&gt;"&amp;AN153)+SUMIFS($AK$7:$AK$1570,$BR$7:$BR$1570,BR153,$AN$7:$AN$1570,AN153,$BL$7:$BL$1570,"&lt;="&amp;BL153),"")</f>
        <v/>
      </c>
      <c r="AP153" s="65">
        <f>IF(AO153="",0,MAX(0,MIN(1,(IF(BR153="L1",Parameter!$K$5,Parameter!$K$6+Parameter!$K$7)-(AO153-AK153))/AK153)))</f>
        <v/>
      </c>
      <c r="AQ153" s="55">
        <f>IF(LEFT(Cockpit!$O$5,1)="A",G153,IF(BT153=1,BU153,IF(LEFT(Cockpit!$O$5,1)="B",AU153,MAX(AU153,G153))))</f>
        <v/>
      </c>
      <c r="AR153" s="55">
        <f>IF(BO153=1,0,ROUNDUP(AQ153/BN153,0))</f>
        <v/>
      </c>
      <c r="AS153" s="64">
        <f>IF(BO153=1,IF(AQ153&lt;=0,0,BP153*MAX(1,IF(G153&gt;0,AQ153/G153,1))),AR153*Q153)</f>
        <v/>
      </c>
      <c r="AT153" s="55">
        <f>AQ153*F153</f>
        <v/>
      </c>
      <c r="AU153" s="55">
        <f>ROUNDUP(MAX(I153/IF(BS153&gt;0,BS153,MAX(0.1,N(Cockpit!$O$6))),BV153)/BN153,0)*BN153</f>
        <v/>
      </c>
      <c r="AV153" s="56">
        <f>IF(AS153&gt;0,I153/AS153,-1)</f>
        <v/>
      </c>
      <c r="AW153" s="56">
        <f>IF(AND(OR(BR153="L1",BR153="L23"),AS153&gt;0),SUMIFS($AS$7:$AS$1570,$BR$7:$BR$1570,BR153,$AV$7:$AV$1570,"&gt;"&amp;AV153)+SUMIFS($AS$7:$AS$1570,$BR$7:$BR$1570,BR153,$AV$7:$AV$1570,AV153,$BL$7:$BL$1570,"&lt;="&amp;BL153),"")</f>
        <v/>
      </c>
      <c r="AX153" s="65">
        <f>IF(AW153="",0,MAX(0,MIN(1,(IF(BR153="L1",Parameter!$K$5,Parameter!$K$6+Parameter!$K$7)-(AW153-AS153))/AS153)))</f>
        <v/>
      </c>
      <c r="AY153" s="53">
        <f>IF(AC153&lt;=0,"",IF(BR153="Aussen","Aussenlager",IF(BR153="-","Nicht im Lift",IF(AH153&gt;=1,"Lift",IF(AH153&lt;=0,"Aussenlager","teilweise")))))</f>
        <v/>
      </c>
      <c r="AZ153" s="53">
        <f>IF(AK153&lt;=0,"",IF(BR153="Aussen","Aussenlager",IF(BR153="-","Nicht im Lift",IF(AP153&gt;=1,"Lift",IF(AP153&lt;=0,"Aussenlager","teilweise")))))</f>
        <v/>
      </c>
      <c r="BA153" s="53">
        <f>IF(AS153&lt;=0,"",IF(BR153="Aussen","Aussenlager",IF(BR153="-","Nicht im Lift",IF(AX153&gt;=1,"Lift",IF(AX153&lt;=0,"Aussenlager","teilweise")))))</f>
        <v/>
      </c>
      <c r="BB153" s="53">
        <f>IF(A153="","",IF(BK153=1,"Neu; ","")&amp;IF(AND(BK153=0,BF153&lt;0),"negativer Bestand (Export "&amp;BF153&amp;"); ","")&amp;IF(I153&lt;=0,"Kein Verbrauch; ","")&amp;IF(BO153=1,"Lose – Fläche geschätzt; ","")&amp;IF(G153&gt;AM153,"Überbestand "&amp;ROUND(G153-AM153,0)&amp;" Stk / CHF "&amp;ROUND((G153-AM153)*F153,0)&amp;"; ","")&amp;IF(AND(BT153=1,BU153&lt;BV153),"MAX &lt; MB+LG; ","")&amp;IF(AND(BZ153&gt;0,BY153*10&gt;BZ153),"zu hoch für Tablar; ","")&amp;IF(AND(BK153=0,OR(BT153=1,V153&lt;&gt;"",S153&lt;&gt;"",T153&lt;&gt;"",W153&lt;&gt;"")),"manuell übersteuert; ","")&amp;IF(AND(BO153=0,Q153=0),"Gebinde unbekannt; ","")&amp;IF(AND(BO153=0,N(T153)&lt;=0,N(P153)&lt;=0),"Menge pro Gebinde fehlt (Ist = 1 Gebinde); ","")&amp;BJ153)</f>
        <v/>
      </c>
      <c r="BC153" s="53" t="n"/>
      <c r="BD153" s="53" t="n"/>
      <c r="BE153" s="61" t="n"/>
      <c r="BF153" s="55" t="n">
        <v>0</v>
      </c>
      <c r="BG153" s="55" t="n">
        <v>3</v>
      </c>
      <c r="BH153" s="54" t="n">
        <v>1295.399999999998</v>
      </c>
      <c r="BI153" s="55" t="n">
        <v>2</v>
      </c>
      <c r="BJ153" s="53" t="inlineStr"/>
      <c r="BK153" s="58" t="n">
        <v>0</v>
      </c>
      <c r="BL153" s="58" t="n">
        <v>153</v>
      </c>
      <c r="BM153" s="53">
        <f>IF(S153&lt;&gt;"",UPPER(TRIM(S153)),IF(O153="","LOSE",O153))</f>
        <v/>
      </c>
      <c r="BN153" s="55">
        <f>IF(BM153="LOSE",1,IF(N(T153)&gt;0,T153,IF(N(P153)&gt;0,P153,MAX(1,G153))))</f>
        <v/>
      </c>
      <c r="BO153" s="58">
        <f>IF(BM153="LOSE",1,0)</f>
        <v/>
      </c>
      <c r="BP153" s="64">
        <f>IF(BO153=0,0,IF(N(R153)&gt;0,R153,IFERROR(VLOOKUP(D153,Parameter!$A$35:$C$64,3,0)+0,0)))</f>
        <v/>
      </c>
      <c r="BQ153" s="53">
        <f>IF(V153&lt;&gt;"",V153,U153)</f>
        <v/>
      </c>
      <c r="BR153" s="53">
        <f>IF(BQ153=1,"L1",IF(OR(BQ153=2,BQ153=3),"L23",IF(BQ153="Aussen","Aussen","-")))</f>
        <v/>
      </c>
      <c r="BS153" s="66">
        <f>IF(N(W153)&gt;0,W153,0)</f>
        <v/>
      </c>
      <c r="BT153" s="58">
        <f>IF(ISNUMBER(Z153),1,0)</f>
        <v/>
      </c>
      <c r="BU153" s="55">
        <f>N(Z153)</f>
        <v/>
      </c>
      <c r="BV153" s="55">
        <f>N(L153)+N(M153)</f>
        <v/>
      </c>
      <c r="BW153" s="55">
        <f>ROUNDUP(G153/BN153,0)</f>
        <v/>
      </c>
      <c r="BX153" s="55">
        <f>ROUNDUP(BU153/BN153,0)</f>
        <v/>
      </c>
      <c r="BY153" s="58">
        <f>IF(BO153=1,0,IFERROR(VLOOKUP(BM153,'Gebinde-Kategorie'!$A$5:$G$45,5,0)+0,0))</f>
        <v/>
      </c>
      <c r="BZ153" s="58">
        <f>IFERROR(IF(OR(BQ153=1,BQ153=2,BQ153=3),N(INDEX(Parameter!$I$5:$I$7,BQ153)),0),0)</f>
        <v/>
      </c>
    </row>
    <row r="154">
      <c r="A154" s="53" t="inlineStr">
        <is>
          <t>109124</t>
        </is>
      </c>
      <c r="B154" s="53" t="inlineStr">
        <is>
          <t>Verpackung Spülluftmodul</t>
        </is>
      </c>
      <c r="C154" s="53" t="inlineStr">
        <is>
          <t>F</t>
        </is>
      </c>
      <c r="D154" s="53" t="inlineStr">
        <is>
          <t>PAL</t>
        </is>
      </c>
      <c r="E154" s="53" t="inlineStr">
        <is>
          <t>C</t>
        </is>
      </c>
      <c r="F154" s="54" t="n">
        <v>66.47</v>
      </c>
      <c r="G154" s="55">
        <f>MAX(0,IF(Parameter!$B$20="Jahresanfang 2025 + Export",BG154+BF154,BF154))</f>
        <v/>
      </c>
      <c r="H154" s="55">
        <f>G154*F154</f>
        <v/>
      </c>
      <c r="I154" s="55">
        <f>BI154*Parameter!$B$18</f>
        <v/>
      </c>
      <c r="J154" s="56" t="n">
        <v>26.5</v>
      </c>
      <c r="K154" s="57" t="n">
        <v>0.03773584905660377</v>
      </c>
      <c r="L154" s="55" t="n">
        <v>0</v>
      </c>
      <c r="M154" s="55" t="n">
        <v>1</v>
      </c>
      <c r="N154" s="58" t="n">
        <v>56</v>
      </c>
      <c r="O154" s="53" t="inlineStr">
        <is>
          <t>LOSE</t>
        </is>
      </c>
      <c r="P154" s="55" t="n"/>
      <c r="Q154" s="59">
        <f>IF(BO154=1,0,IFERROR(VLOOKUP(BM154,'Gebinde-Kategorie'!$A$5:$G$45,6,0)+0,0))</f>
        <v/>
      </c>
      <c r="R154" s="60" t="n"/>
      <c r="S154" s="61" t="n"/>
      <c r="T154" s="61" t="n"/>
      <c r="U154" s="53">
        <f>IF(A154="","",IF(IFERROR(VLOOKUP(D154,Parameter!$A$35:$C$64,2,0),"Nein")="2+3",IF(ISNUMBER(SEARCH("grosser Artikel",BJ154)),2,IFERROR(VLOOKUP(BM154,Parameter!$F$35:$G$64,2,0),2)),IF(OR(IFERROR(VLOOKUP(D154,Parameter!$A$35:$C$64,2,0),"Nein")="Nein",IFERROR(VLOOKUP(D154,Parameter!$A$35:$C$64,2,0),"Nein")=""),"-",VLOOKUP(D154,Parameter!$A$35:$C$64,2,0))))</f>
        <v/>
      </c>
      <c r="V154" s="61" t="n"/>
      <c r="W154" s="62" t="n"/>
      <c r="X154" s="55">
        <f>AM154</f>
        <v/>
      </c>
      <c r="Y154" s="55">
        <f>MAX(AM154,G154)</f>
        <v/>
      </c>
      <c r="Z154" s="63" t="n"/>
      <c r="AA154" s="55">
        <f>IF(LEFT(Cockpit!$C$5,1)="A",G154,IF(BT154=1,BU154,IF(LEFT(Cockpit!$C$5,1)="B",AE154,MAX(AE154,G154))))</f>
        <v/>
      </c>
      <c r="AB154" s="55">
        <f>IF(BO154=1,0,ROUNDUP(AA154/BN154,0))</f>
        <v/>
      </c>
      <c r="AC154" s="64">
        <f>IF(BO154=1,IF(AA154&lt;=0,0,BP154*MAX(1,IF(G154&gt;0,AA154/G154,1))),AB154*Q154)</f>
        <v/>
      </c>
      <c r="AD154" s="55">
        <f>AA154*F154</f>
        <v/>
      </c>
      <c r="AE154" s="55">
        <f>ROUNDUP(MAX(I154/IF(BS154&gt;0,BS154,MAX(0.1,N(Cockpit!$C$6))),BV154)/BN154,0)*BN154</f>
        <v/>
      </c>
      <c r="AF154" s="56">
        <f>IF(AC154&gt;0,I154/AC154,-1)</f>
        <v/>
      </c>
      <c r="AG154" s="56">
        <f>IF(AND(OR(BR154="L1",BR154="L23"),AC154&gt;0),SUMIFS($AC$7:$AC$1570,$BR$7:$BR$1570,BR154,$AF$7:$AF$1570,"&gt;"&amp;AF154)+SUMIFS($AC$7:$AC$1570,$BR$7:$BR$1570,BR154,$AF$7:$AF$1570,AF154,$BL$7:$BL$1570,"&lt;="&amp;BL154),"")</f>
        <v/>
      </c>
      <c r="AH154" s="65">
        <f>IF(AG154="",0,MAX(0,MIN(1,(IF(BR154="L1",Parameter!$K$5,Parameter!$K$6+Parameter!$K$7)-(AG154-AC154))/AC154)))</f>
        <v/>
      </c>
      <c r="AI154" s="55">
        <f>IF(LEFT(Cockpit!$I$5,1)="A",G154,IF(BT154=1,BU154,IF(LEFT(Cockpit!$I$5,1)="B",AM154,MAX(AM154,G154))))</f>
        <v/>
      </c>
      <c r="AJ154" s="55">
        <f>IF(BO154=1,0,ROUNDUP(AI154/BN154,0))</f>
        <v/>
      </c>
      <c r="AK154" s="64">
        <f>IF(BO154=1,IF(AI154&lt;=0,0,BP154*MAX(1,IF(G154&gt;0,AI154/G154,1))),AJ154*Q154)</f>
        <v/>
      </c>
      <c r="AL154" s="55">
        <f>AI154*F154</f>
        <v/>
      </c>
      <c r="AM154" s="55">
        <f>ROUNDUP(MAX(I154/IF(BS154&gt;0,BS154,MAX(0.1,N(Cockpit!$I$6))),BV154)/BN154,0)*BN154</f>
        <v/>
      </c>
      <c r="AN154" s="56">
        <f>IF(AK154&gt;0,I154/AK154,-1)</f>
        <v/>
      </c>
      <c r="AO154" s="56">
        <f>IF(AND(OR(BR154="L1",BR154="L23"),AK154&gt;0),SUMIFS($AK$7:$AK$1570,$BR$7:$BR$1570,BR154,$AN$7:$AN$1570,"&gt;"&amp;AN154)+SUMIFS($AK$7:$AK$1570,$BR$7:$BR$1570,BR154,$AN$7:$AN$1570,AN154,$BL$7:$BL$1570,"&lt;="&amp;BL154),"")</f>
        <v/>
      </c>
      <c r="AP154" s="65">
        <f>IF(AO154="",0,MAX(0,MIN(1,(IF(BR154="L1",Parameter!$K$5,Parameter!$K$6+Parameter!$K$7)-(AO154-AK154))/AK154)))</f>
        <v/>
      </c>
      <c r="AQ154" s="55">
        <f>IF(LEFT(Cockpit!$O$5,1)="A",G154,IF(BT154=1,BU154,IF(LEFT(Cockpit!$O$5,1)="B",AU154,MAX(AU154,G154))))</f>
        <v/>
      </c>
      <c r="AR154" s="55">
        <f>IF(BO154=1,0,ROUNDUP(AQ154/BN154,0))</f>
        <v/>
      </c>
      <c r="AS154" s="64">
        <f>IF(BO154=1,IF(AQ154&lt;=0,0,BP154*MAX(1,IF(G154&gt;0,AQ154/G154,1))),AR154*Q154)</f>
        <v/>
      </c>
      <c r="AT154" s="55">
        <f>AQ154*F154</f>
        <v/>
      </c>
      <c r="AU154" s="55">
        <f>ROUNDUP(MAX(I154/IF(BS154&gt;0,BS154,MAX(0.1,N(Cockpit!$O$6))),BV154)/BN154,0)*BN154</f>
        <v/>
      </c>
      <c r="AV154" s="56">
        <f>IF(AS154&gt;0,I154/AS154,-1)</f>
        <v/>
      </c>
      <c r="AW154" s="56">
        <f>IF(AND(OR(BR154="L1",BR154="L23"),AS154&gt;0),SUMIFS($AS$7:$AS$1570,$BR$7:$BR$1570,BR154,$AV$7:$AV$1570,"&gt;"&amp;AV154)+SUMIFS($AS$7:$AS$1570,$BR$7:$BR$1570,BR154,$AV$7:$AV$1570,AV154,$BL$7:$BL$1570,"&lt;="&amp;BL154),"")</f>
        <v/>
      </c>
      <c r="AX154" s="65">
        <f>IF(AW154="",0,MAX(0,MIN(1,(IF(BR154="L1",Parameter!$K$5,Parameter!$K$6+Parameter!$K$7)-(AW154-AS154))/AS154)))</f>
        <v/>
      </c>
      <c r="AY154" s="53">
        <f>IF(AC154&lt;=0,"",IF(BR154="Aussen","Aussenlager",IF(BR154="-","Nicht im Lift",IF(AH154&gt;=1,"Lift",IF(AH154&lt;=0,"Aussenlager","teilweise")))))</f>
        <v/>
      </c>
      <c r="AZ154" s="53">
        <f>IF(AK154&lt;=0,"",IF(BR154="Aussen","Aussenlager",IF(BR154="-","Nicht im Lift",IF(AP154&gt;=1,"Lift",IF(AP154&lt;=0,"Aussenlager","teilweise")))))</f>
        <v/>
      </c>
      <c r="BA154" s="53">
        <f>IF(AS154&lt;=0,"",IF(BR154="Aussen","Aussenlager",IF(BR154="-","Nicht im Lift",IF(AX154&gt;=1,"Lift",IF(AX154&lt;=0,"Aussenlager","teilweise")))))</f>
        <v/>
      </c>
      <c r="BB154" s="53">
        <f>IF(A154="","",IF(BK154=1,"Neu; ","")&amp;IF(AND(BK154=0,BF154&lt;0),"negativer Bestand (Export "&amp;BF154&amp;"); ","")&amp;IF(I154&lt;=0,"Kein Verbrauch; ","")&amp;IF(BO154=1,"Lose – Fläche geschätzt; ","")&amp;IF(G154&gt;AM154,"Überbestand "&amp;ROUND(G154-AM154,0)&amp;" Stk / CHF "&amp;ROUND((G154-AM154)*F154,0)&amp;"; ","")&amp;IF(AND(BT154=1,BU154&lt;BV154),"MAX &lt; MB+LG; ","")&amp;IF(AND(BZ154&gt;0,BY154*10&gt;BZ154),"zu hoch für Tablar; ","")&amp;IF(AND(BK154=0,OR(BT154=1,V154&lt;&gt;"",S154&lt;&gt;"",T154&lt;&gt;"",W154&lt;&gt;"")),"manuell übersteuert; ","")&amp;IF(AND(BO154=0,Q154=0),"Gebinde unbekannt; ","")&amp;IF(AND(BO154=0,N(T154)&lt;=0,N(P154)&lt;=0),"Menge pro Gebinde fehlt (Ist = 1 Gebinde); ","")&amp;BJ154)</f>
        <v/>
      </c>
      <c r="BC154" s="53" t="n"/>
      <c r="BD154" s="53" t="n"/>
      <c r="BE154" s="61" t="n"/>
      <c r="BF154" s="55" t="n">
        <v>19</v>
      </c>
      <c r="BG154" s="55" t="n">
        <v>17</v>
      </c>
      <c r="BH154" s="54" t="n">
        <v>1283.5</v>
      </c>
      <c r="BI154" s="55" t="n">
        <v>1</v>
      </c>
      <c r="BJ154" s="53" t="inlineStr"/>
      <c r="BK154" s="58" t="n">
        <v>0</v>
      </c>
      <c r="BL154" s="58" t="n">
        <v>154</v>
      </c>
      <c r="BM154" s="53">
        <f>IF(S154&lt;&gt;"",UPPER(TRIM(S154)),IF(O154="","LOSE",O154))</f>
        <v/>
      </c>
      <c r="BN154" s="55">
        <f>IF(BM154="LOSE",1,IF(N(T154)&gt;0,T154,IF(N(P154)&gt;0,P154,MAX(1,G154))))</f>
        <v/>
      </c>
      <c r="BO154" s="58">
        <f>IF(BM154="LOSE",1,0)</f>
        <v/>
      </c>
      <c r="BP154" s="64">
        <f>IF(BO154=0,0,IF(N(R154)&gt;0,R154,IFERROR(VLOOKUP(D154,Parameter!$A$35:$C$64,3,0)+0,0)))</f>
        <v/>
      </c>
      <c r="BQ154" s="53">
        <f>IF(V154&lt;&gt;"",V154,U154)</f>
        <v/>
      </c>
      <c r="BR154" s="53">
        <f>IF(BQ154=1,"L1",IF(OR(BQ154=2,BQ154=3),"L23",IF(BQ154="Aussen","Aussen","-")))</f>
        <v/>
      </c>
      <c r="BS154" s="66">
        <f>IF(N(W154)&gt;0,W154,0)</f>
        <v/>
      </c>
      <c r="BT154" s="58">
        <f>IF(ISNUMBER(Z154),1,0)</f>
        <v/>
      </c>
      <c r="BU154" s="55">
        <f>N(Z154)</f>
        <v/>
      </c>
      <c r="BV154" s="55">
        <f>N(L154)+N(M154)</f>
        <v/>
      </c>
      <c r="BW154" s="55">
        <f>ROUNDUP(G154/BN154,0)</f>
        <v/>
      </c>
      <c r="BX154" s="55">
        <f>ROUNDUP(BU154/BN154,0)</f>
        <v/>
      </c>
      <c r="BY154" s="58">
        <f>IF(BO154=1,0,IFERROR(VLOOKUP(BM154,'Gebinde-Kategorie'!$A$5:$G$45,5,0)+0,0))</f>
        <v/>
      </c>
      <c r="BZ154" s="58">
        <f>IFERROR(IF(OR(BQ154=1,BQ154=2,BQ154=3),N(INDEX(Parameter!$I$5:$I$7,BQ154)),0),0)</f>
        <v/>
      </c>
    </row>
    <row r="155">
      <c r="A155" s="53" t="inlineStr">
        <is>
          <t>106385</t>
        </is>
      </c>
      <c r="B155" s="53" t="inlineStr">
        <is>
          <t>Zugstange</t>
        </is>
      </c>
      <c r="C155" s="53" t="inlineStr">
        <is>
          <t>F</t>
        </is>
      </c>
      <c r="D155" s="53" t="inlineStr">
        <is>
          <t>PAL</t>
        </is>
      </c>
      <c r="E155" s="53" t="inlineStr">
        <is>
          <t>C</t>
        </is>
      </c>
      <c r="F155" s="54" t="n">
        <v>57.07</v>
      </c>
      <c r="G155" s="55">
        <f>MAX(0,IF(Parameter!$B$20="Jahresanfang 2025 + Export",BG155+BF155,BF155))</f>
        <v/>
      </c>
      <c r="H155" s="55">
        <f>G155*F155</f>
        <v/>
      </c>
      <c r="I155" s="55">
        <f>BI155*Parameter!$B$18</f>
        <v/>
      </c>
      <c r="J155" s="56" t="n">
        <v>163.5</v>
      </c>
      <c r="K155" s="57" t="n">
        <v>2.37308868501529</v>
      </c>
      <c r="L155" s="55" t="n">
        <v>80</v>
      </c>
      <c r="M155" s="55" t="n">
        <v>135</v>
      </c>
      <c r="N155" s="58" t="n">
        <v>70</v>
      </c>
      <c r="O155" s="53" t="inlineStr">
        <is>
          <t>S71</t>
        </is>
      </c>
      <c r="P155" s="55" t="n">
        <v>150</v>
      </c>
      <c r="Q155" s="59">
        <f>IF(BO155=1,0,IFERROR(VLOOKUP(BM155,'Gebinde-Kategorie'!$A$5:$G$45,6,0)+0,0))</f>
        <v/>
      </c>
      <c r="R155" s="60" t="n"/>
      <c r="S155" s="61" t="n"/>
      <c r="T155" s="61" t="n"/>
      <c r="U155" s="53">
        <f>IF(A155="","",IF(IFERROR(VLOOKUP(D155,Parameter!$A$35:$C$64,2,0),"Nein")="2+3",IF(ISNUMBER(SEARCH("grosser Artikel",BJ155)),2,IFERROR(VLOOKUP(BM155,Parameter!$F$35:$G$64,2,0),2)),IF(OR(IFERROR(VLOOKUP(D155,Parameter!$A$35:$C$64,2,0),"Nein")="Nein",IFERROR(VLOOKUP(D155,Parameter!$A$35:$C$64,2,0),"Nein")=""),"-",VLOOKUP(D155,Parameter!$A$35:$C$64,2,0))))</f>
        <v/>
      </c>
      <c r="V155" s="61" t="n"/>
      <c r="W155" s="62" t="n"/>
      <c r="X155" s="55">
        <f>AM155</f>
        <v/>
      </c>
      <c r="Y155" s="55">
        <f>MAX(AM155,G155)</f>
        <v/>
      </c>
      <c r="Z155" s="63" t="n"/>
      <c r="AA155" s="55">
        <f>IF(LEFT(Cockpit!$C$5,1)="A",G155,IF(BT155=1,BU155,IF(LEFT(Cockpit!$C$5,1)="B",AE155,MAX(AE155,G155))))</f>
        <v/>
      </c>
      <c r="AB155" s="55">
        <f>IF(BO155=1,0,ROUNDUP(AA155/BN155,0))</f>
        <v/>
      </c>
      <c r="AC155" s="64">
        <f>IF(BO155=1,IF(AA155&lt;=0,0,BP155*MAX(1,IF(G155&gt;0,AA155/G155,1))),AB155*Q155)</f>
        <v/>
      </c>
      <c r="AD155" s="55">
        <f>AA155*F155</f>
        <v/>
      </c>
      <c r="AE155" s="55">
        <f>ROUNDUP(MAX(I155/IF(BS155&gt;0,BS155,MAX(0.1,N(Cockpit!$C$6))),BV155)/BN155,0)*BN155</f>
        <v/>
      </c>
      <c r="AF155" s="56">
        <f>IF(AC155&gt;0,I155/AC155,-1)</f>
        <v/>
      </c>
      <c r="AG155" s="56">
        <f>IF(AND(OR(BR155="L1",BR155="L23"),AC155&gt;0),SUMIFS($AC$7:$AC$1570,$BR$7:$BR$1570,BR155,$AF$7:$AF$1570,"&gt;"&amp;AF155)+SUMIFS($AC$7:$AC$1570,$BR$7:$BR$1570,BR155,$AF$7:$AF$1570,AF155,$BL$7:$BL$1570,"&lt;="&amp;BL155),"")</f>
        <v/>
      </c>
      <c r="AH155" s="65">
        <f>IF(AG155="",0,MAX(0,MIN(1,(IF(BR155="L1",Parameter!$K$5,Parameter!$K$6+Parameter!$K$7)-(AG155-AC155))/AC155)))</f>
        <v/>
      </c>
      <c r="AI155" s="55">
        <f>IF(LEFT(Cockpit!$I$5,1)="A",G155,IF(BT155=1,BU155,IF(LEFT(Cockpit!$I$5,1)="B",AM155,MAX(AM155,G155))))</f>
        <v/>
      </c>
      <c r="AJ155" s="55">
        <f>IF(BO155=1,0,ROUNDUP(AI155/BN155,0))</f>
        <v/>
      </c>
      <c r="AK155" s="64">
        <f>IF(BO155=1,IF(AI155&lt;=0,0,BP155*MAX(1,IF(G155&gt;0,AI155/G155,1))),AJ155*Q155)</f>
        <v/>
      </c>
      <c r="AL155" s="55">
        <f>AI155*F155</f>
        <v/>
      </c>
      <c r="AM155" s="55">
        <f>ROUNDUP(MAX(I155/IF(BS155&gt;0,BS155,MAX(0.1,N(Cockpit!$I$6))),BV155)/BN155,0)*BN155</f>
        <v/>
      </c>
      <c r="AN155" s="56">
        <f>IF(AK155&gt;0,I155/AK155,-1)</f>
        <v/>
      </c>
      <c r="AO155" s="56">
        <f>IF(AND(OR(BR155="L1",BR155="L23"),AK155&gt;0),SUMIFS($AK$7:$AK$1570,$BR$7:$BR$1570,BR155,$AN$7:$AN$1570,"&gt;"&amp;AN155)+SUMIFS($AK$7:$AK$1570,$BR$7:$BR$1570,BR155,$AN$7:$AN$1570,AN155,$BL$7:$BL$1570,"&lt;="&amp;BL155),"")</f>
        <v/>
      </c>
      <c r="AP155" s="65">
        <f>IF(AO155="",0,MAX(0,MIN(1,(IF(BR155="L1",Parameter!$K$5,Parameter!$K$6+Parameter!$K$7)-(AO155-AK155))/AK155)))</f>
        <v/>
      </c>
      <c r="AQ155" s="55">
        <f>IF(LEFT(Cockpit!$O$5,1)="A",G155,IF(BT155=1,BU155,IF(LEFT(Cockpit!$O$5,1)="B",AU155,MAX(AU155,G155))))</f>
        <v/>
      </c>
      <c r="AR155" s="55">
        <f>IF(BO155=1,0,ROUNDUP(AQ155/BN155,0))</f>
        <v/>
      </c>
      <c r="AS155" s="64">
        <f>IF(BO155=1,IF(AQ155&lt;=0,0,BP155*MAX(1,IF(G155&gt;0,AQ155/G155,1))),AR155*Q155)</f>
        <v/>
      </c>
      <c r="AT155" s="55">
        <f>AQ155*F155</f>
        <v/>
      </c>
      <c r="AU155" s="55">
        <f>ROUNDUP(MAX(I155/IF(BS155&gt;0,BS155,MAX(0.1,N(Cockpit!$O$6))),BV155)/BN155,0)*BN155</f>
        <v/>
      </c>
      <c r="AV155" s="56">
        <f>IF(AS155&gt;0,I155/AS155,-1)</f>
        <v/>
      </c>
      <c r="AW155" s="56">
        <f>IF(AND(OR(BR155="L1",BR155="L23"),AS155&gt;0),SUMIFS($AS$7:$AS$1570,$BR$7:$BR$1570,BR155,$AV$7:$AV$1570,"&gt;"&amp;AV155)+SUMIFS($AS$7:$AS$1570,$BR$7:$BR$1570,BR155,$AV$7:$AV$1570,AV155,$BL$7:$BL$1570,"&lt;="&amp;BL155),"")</f>
        <v/>
      </c>
      <c r="AX155" s="65">
        <f>IF(AW155="",0,MAX(0,MIN(1,(IF(BR155="L1",Parameter!$K$5,Parameter!$K$6+Parameter!$K$7)-(AW155-AS155))/AS155)))</f>
        <v/>
      </c>
      <c r="AY155" s="53">
        <f>IF(AC155&lt;=0,"",IF(BR155="Aussen","Aussenlager",IF(BR155="-","Nicht im Lift",IF(AH155&gt;=1,"Lift",IF(AH155&lt;=0,"Aussenlager","teilweise")))))</f>
        <v/>
      </c>
      <c r="AZ155" s="53">
        <f>IF(AK155&lt;=0,"",IF(BR155="Aussen","Aussenlager",IF(BR155="-","Nicht im Lift",IF(AP155&gt;=1,"Lift",IF(AP155&lt;=0,"Aussenlager","teilweise")))))</f>
        <v/>
      </c>
      <c r="BA155" s="53">
        <f>IF(AS155&lt;=0,"",IF(BR155="Aussen","Aussenlager",IF(BR155="-","Nicht im Lift",IF(AX155&gt;=1,"Lift",IF(AX155&lt;=0,"Aussenlager","teilweise")))))</f>
        <v/>
      </c>
      <c r="BB155" s="53">
        <f>IF(A155="","",IF(BK155=1,"Neu; ","")&amp;IF(AND(BK155=0,BF155&lt;0),"negativer Bestand (Export "&amp;BF155&amp;"); ","")&amp;IF(I155&lt;=0,"Kein Verbrauch; ","")&amp;IF(BO155=1,"Lose – Fläche geschätzt; ","")&amp;IF(G155&gt;AM155,"Überbestand "&amp;ROUND(G155-AM155,0)&amp;" Stk / CHF "&amp;ROUND((G155-AM155)*F155,0)&amp;"; ","")&amp;IF(AND(BT155=1,BU155&lt;BV155),"MAX &lt; MB+LG; ","")&amp;IF(AND(BZ155&gt;0,BY155*10&gt;BZ155),"zu hoch für Tablar; ","")&amp;IF(AND(BK155=0,OR(BT155=1,V155&lt;&gt;"",S155&lt;&gt;"",T155&lt;&gt;"",W155&lt;&gt;"")),"manuell übersteuert; ","")&amp;IF(AND(BO155=0,Q155=0),"Gebinde unbekannt; ","")&amp;IF(AND(BO155=0,N(T155)&lt;=0,N(P155)&lt;=0),"Menge pro Gebinde fehlt (Ist = 1 Gebinde); ","")&amp;BJ155)</f>
        <v/>
      </c>
      <c r="BC155" s="53" t="n"/>
      <c r="BD155" s="53" t="n"/>
      <c r="BE155" s="61" t="n"/>
      <c r="BF155" s="55" t="n">
        <v>27</v>
      </c>
      <c r="BG155" s="55" t="n">
        <v>97</v>
      </c>
      <c r="BH155" s="54" t="n">
        <v>1272.2</v>
      </c>
      <c r="BI155" s="55" t="n">
        <v>388</v>
      </c>
      <c r="BJ155" s="53" t="inlineStr">
        <is>
          <t>grosser Artikel &amp; nicht im KTL</t>
        </is>
      </c>
      <c r="BK155" s="58" t="n">
        <v>0</v>
      </c>
      <c r="BL155" s="58" t="n">
        <v>155</v>
      </c>
      <c r="BM155" s="53">
        <f>IF(S155&lt;&gt;"",UPPER(TRIM(S155)),IF(O155="","LOSE",O155))</f>
        <v/>
      </c>
      <c r="BN155" s="55">
        <f>IF(BM155="LOSE",1,IF(N(T155)&gt;0,T155,IF(N(P155)&gt;0,P155,MAX(1,G155))))</f>
        <v/>
      </c>
      <c r="BO155" s="58">
        <f>IF(BM155="LOSE",1,0)</f>
        <v/>
      </c>
      <c r="BP155" s="64">
        <f>IF(BO155=0,0,IF(N(R155)&gt;0,R155,IFERROR(VLOOKUP(D155,Parameter!$A$35:$C$64,3,0)+0,0)))</f>
        <v/>
      </c>
      <c r="BQ155" s="53">
        <f>IF(V155&lt;&gt;"",V155,U155)</f>
        <v/>
      </c>
      <c r="BR155" s="53">
        <f>IF(BQ155=1,"L1",IF(OR(BQ155=2,BQ155=3),"L23",IF(BQ155="Aussen","Aussen","-")))</f>
        <v/>
      </c>
      <c r="BS155" s="66">
        <f>IF(N(W155)&gt;0,W155,0)</f>
        <v/>
      </c>
      <c r="BT155" s="58">
        <f>IF(ISNUMBER(Z155),1,0)</f>
        <v/>
      </c>
      <c r="BU155" s="55">
        <f>N(Z155)</f>
        <v/>
      </c>
      <c r="BV155" s="55">
        <f>N(L155)+N(M155)</f>
        <v/>
      </c>
      <c r="BW155" s="55">
        <f>ROUNDUP(G155/BN155,0)</f>
        <v/>
      </c>
      <c r="BX155" s="55">
        <f>ROUNDUP(BU155/BN155,0)</f>
        <v/>
      </c>
      <c r="BY155" s="58">
        <f>IF(BO155=1,0,IFERROR(VLOOKUP(BM155,'Gebinde-Kategorie'!$A$5:$G$45,5,0)+0,0))</f>
        <v/>
      </c>
      <c r="BZ155" s="58">
        <f>IFERROR(IF(OR(BQ155=1,BQ155=2,BQ155=3),N(INDEX(Parameter!$I$5:$I$7,BQ155)),0),0)</f>
        <v/>
      </c>
    </row>
    <row r="156">
      <c r="A156" s="53" t="inlineStr">
        <is>
          <t>109189</t>
        </is>
      </c>
      <c r="B156" s="53" t="inlineStr">
        <is>
          <t>Einschraubadapter Edelstahl</t>
        </is>
      </c>
      <c r="C156" s="53" t="inlineStr">
        <is>
          <t>F</t>
        </is>
      </c>
      <c r="D156" s="53" t="inlineStr">
        <is>
          <t>KTL</t>
        </is>
      </c>
      <c r="E156" s="53" t="inlineStr">
        <is>
          <t>C</t>
        </is>
      </c>
      <c r="F156" s="54" t="n">
        <v>45.59</v>
      </c>
      <c r="G156" s="55">
        <f>MAX(0,IF(Parameter!$B$20="Jahresanfang 2025 + Export",BG156+BF156,BF156))</f>
        <v/>
      </c>
      <c r="H156" s="55">
        <f>G156*F156</f>
        <v/>
      </c>
      <c r="I156" s="55">
        <f>BI156*Parameter!$B$18</f>
        <v/>
      </c>
      <c r="J156" s="56" t="n">
        <v>33.5</v>
      </c>
      <c r="K156" s="57" t="n">
        <v>2.059701492537314</v>
      </c>
      <c r="L156" s="55" t="n">
        <v>2</v>
      </c>
      <c r="M156" s="55" t="n">
        <v>60</v>
      </c>
      <c r="N156" s="58" t="n">
        <v>10</v>
      </c>
      <c r="O156" s="53" t="inlineStr">
        <is>
          <t>S51</t>
        </is>
      </c>
      <c r="P156" s="55" t="n">
        <v>107</v>
      </c>
      <c r="Q156" s="59">
        <f>IF(BO156=1,0,IFERROR(VLOOKUP(BM156,'Gebinde-Kategorie'!$A$5:$G$45,6,0)+0,0))</f>
        <v/>
      </c>
      <c r="R156" s="60" t="n"/>
      <c r="S156" s="61" t="n"/>
      <c r="T156" s="61" t="n"/>
      <c r="U156" s="53">
        <f>IF(A156="","",IF(IFERROR(VLOOKUP(D156,Parameter!$A$35:$C$64,2,0),"Nein")="2+3",IF(ISNUMBER(SEARCH("grosser Artikel",BJ156)),2,IFERROR(VLOOKUP(BM156,Parameter!$F$35:$G$64,2,0),2)),IF(OR(IFERROR(VLOOKUP(D156,Parameter!$A$35:$C$64,2,0),"Nein")="Nein",IFERROR(VLOOKUP(D156,Parameter!$A$35:$C$64,2,0),"Nein")=""),"-",VLOOKUP(D156,Parameter!$A$35:$C$64,2,0))))</f>
        <v/>
      </c>
      <c r="V156" s="61" t="n"/>
      <c r="W156" s="62" t="n"/>
      <c r="X156" s="55">
        <f>AM156</f>
        <v/>
      </c>
      <c r="Y156" s="55">
        <f>MAX(AM156,G156)</f>
        <v/>
      </c>
      <c r="Z156" s="63" t="n"/>
      <c r="AA156" s="55">
        <f>IF(LEFT(Cockpit!$C$5,1)="A",G156,IF(BT156=1,BU156,IF(LEFT(Cockpit!$C$5,1)="B",AE156,MAX(AE156,G156))))</f>
        <v/>
      </c>
      <c r="AB156" s="55">
        <f>IF(BO156=1,0,ROUNDUP(AA156/BN156,0))</f>
        <v/>
      </c>
      <c r="AC156" s="64">
        <f>IF(BO156=1,IF(AA156&lt;=0,0,BP156*MAX(1,IF(G156&gt;0,AA156/G156,1))),AB156*Q156)</f>
        <v/>
      </c>
      <c r="AD156" s="55">
        <f>AA156*F156</f>
        <v/>
      </c>
      <c r="AE156" s="55">
        <f>ROUNDUP(MAX(I156/IF(BS156&gt;0,BS156,MAX(0.1,N(Cockpit!$C$6))),BV156)/BN156,0)*BN156</f>
        <v/>
      </c>
      <c r="AF156" s="56">
        <f>IF(AC156&gt;0,I156/AC156,-1)</f>
        <v/>
      </c>
      <c r="AG156" s="56">
        <f>IF(AND(OR(BR156="L1",BR156="L23"),AC156&gt;0),SUMIFS($AC$7:$AC$1570,$BR$7:$BR$1570,BR156,$AF$7:$AF$1570,"&gt;"&amp;AF156)+SUMIFS($AC$7:$AC$1570,$BR$7:$BR$1570,BR156,$AF$7:$AF$1570,AF156,$BL$7:$BL$1570,"&lt;="&amp;BL156),"")</f>
        <v/>
      </c>
      <c r="AH156" s="65">
        <f>IF(AG156="",0,MAX(0,MIN(1,(IF(BR156="L1",Parameter!$K$5,Parameter!$K$6+Parameter!$K$7)-(AG156-AC156))/AC156)))</f>
        <v/>
      </c>
      <c r="AI156" s="55">
        <f>IF(LEFT(Cockpit!$I$5,1)="A",G156,IF(BT156=1,BU156,IF(LEFT(Cockpit!$I$5,1)="B",AM156,MAX(AM156,G156))))</f>
        <v/>
      </c>
      <c r="AJ156" s="55">
        <f>IF(BO156=1,0,ROUNDUP(AI156/BN156,0))</f>
        <v/>
      </c>
      <c r="AK156" s="64">
        <f>IF(BO156=1,IF(AI156&lt;=0,0,BP156*MAX(1,IF(G156&gt;0,AI156/G156,1))),AJ156*Q156)</f>
        <v/>
      </c>
      <c r="AL156" s="55">
        <f>AI156*F156</f>
        <v/>
      </c>
      <c r="AM156" s="55">
        <f>ROUNDUP(MAX(I156/IF(BS156&gt;0,BS156,MAX(0.1,N(Cockpit!$I$6))),BV156)/BN156,0)*BN156</f>
        <v/>
      </c>
      <c r="AN156" s="56">
        <f>IF(AK156&gt;0,I156/AK156,-1)</f>
        <v/>
      </c>
      <c r="AO156" s="56">
        <f>IF(AND(OR(BR156="L1",BR156="L23"),AK156&gt;0),SUMIFS($AK$7:$AK$1570,$BR$7:$BR$1570,BR156,$AN$7:$AN$1570,"&gt;"&amp;AN156)+SUMIFS($AK$7:$AK$1570,$BR$7:$BR$1570,BR156,$AN$7:$AN$1570,AN156,$BL$7:$BL$1570,"&lt;="&amp;BL156),"")</f>
        <v/>
      </c>
      <c r="AP156" s="65">
        <f>IF(AO156="",0,MAX(0,MIN(1,(IF(BR156="L1",Parameter!$K$5,Parameter!$K$6+Parameter!$K$7)-(AO156-AK156))/AK156)))</f>
        <v/>
      </c>
      <c r="AQ156" s="55">
        <f>IF(LEFT(Cockpit!$O$5,1)="A",G156,IF(BT156=1,BU156,IF(LEFT(Cockpit!$O$5,1)="B",AU156,MAX(AU156,G156))))</f>
        <v/>
      </c>
      <c r="AR156" s="55">
        <f>IF(BO156=1,0,ROUNDUP(AQ156/BN156,0))</f>
        <v/>
      </c>
      <c r="AS156" s="64">
        <f>IF(BO156=1,IF(AQ156&lt;=0,0,BP156*MAX(1,IF(G156&gt;0,AQ156/G156,1))),AR156*Q156)</f>
        <v/>
      </c>
      <c r="AT156" s="55">
        <f>AQ156*F156</f>
        <v/>
      </c>
      <c r="AU156" s="55">
        <f>ROUNDUP(MAX(I156/IF(BS156&gt;0,BS156,MAX(0.1,N(Cockpit!$O$6))),BV156)/BN156,0)*BN156</f>
        <v/>
      </c>
      <c r="AV156" s="56">
        <f>IF(AS156&gt;0,I156/AS156,-1)</f>
        <v/>
      </c>
      <c r="AW156" s="56">
        <f>IF(AND(OR(BR156="L1",BR156="L23"),AS156&gt;0),SUMIFS($AS$7:$AS$1570,$BR$7:$BR$1570,BR156,$AV$7:$AV$1570,"&gt;"&amp;AV156)+SUMIFS($AS$7:$AS$1570,$BR$7:$BR$1570,BR156,$AV$7:$AV$1570,AV156,$BL$7:$BL$1570,"&lt;="&amp;BL156),"")</f>
        <v/>
      </c>
      <c r="AX156" s="65">
        <f>IF(AW156="",0,MAX(0,MIN(1,(IF(BR156="L1",Parameter!$K$5,Parameter!$K$6+Parameter!$K$7)-(AW156-AS156))/AS156)))</f>
        <v/>
      </c>
      <c r="AY156" s="53">
        <f>IF(AC156&lt;=0,"",IF(BR156="Aussen","Aussenlager",IF(BR156="-","Nicht im Lift",IF(AH156&gt;=1,"Lift",IF(AH156&lt;=0,"Aussenlager","teilweise")))))</f>
        <v/>
      </c>
      <c r="AZ156" s="53">
        <f>IF(AK156&lt;=0,"",IF(BR156="Aussen","Aussenlager",IF(BR156="-","Nicht im Lift",IF(AP156&gt;=1,"Lift",IF(AP156&lt;=0,"Aussenlager","teilweise")))))</f>
        <v/>
      </c>
      <c r="BA156" s="53">
        <f>IF(AS156&lt;=0,"",IF(BR156="Aussen","Aussenlager",IF(BR156="-","Nicht im Lift",IF(AX156&gt;=1,"Lift",IF(AX156&lt;=0,"Aussenlager","teilweise")))))</f>
        <v/>
      </c>
      <c r="BB156" s="53">
        <f>IF(A156="","",IF(BK156=1,"Neu; ","")&amp;IF(AND(BK156=0,BF156&lt;0),"negativer Bestand (Export "&amp;BF156&amp;"); ","")&amp;IF(I156&lt;=0,"Kein Verbrauch; ","")&amp;IF(BO156=1,"Lose – Fläche geschätzt; ","")&amp;IF(G156&gt;AM156,"Überbestand "&amp;ROUND(G156-AM156,0)&amp;" Stk / CHF "&amp;ROUND((G156-AM156)*F156,0)&amp;"; ","")&amp;IF(AND(BT156=1,BU156&lt;BV156),"MAX &lt; MB+LG; ","")&amp;IF(AND(BZ156&gt;0,BY156*10&gt;BZ156),"zu hoch für Tablar; ","")&amp;IF(AND(BK156=0,OR(BT156=1,V156&lt;&gt;"",S156&lt;&gt;"",T156&lt;&gt;"",W156&lt;&gt;"")),"manuell übersteuert; ","")&amp;IF(AND(BO156=0,Q156=0),"Gebinde unbekannt; ","")&amp;IF(AND(BO156=0,N(T156)&lt;=0,N(P156)&lt;=0),"Menge pro Gebinde fehlt (Ist = 1 Gebinde); ","")&amp;BJ156)</f>
        <v/>
      </c>
      <c r="BC156" s="53" t="n"/>
      <c r="BD156" s="53" t="n"/>
      <c r="BE156" s="61" t="n"/>
      <c r="BF156" s="55" t="n">
        <v>26</v>
      </c>
      <c r="BG156" s="55" t="n">
        <v>38</v>
      </c>
      <c r="BH156" s="54" t="n">
        <v>1269.699999999999</v>
      </c>
      <c r="BI156" s="55" t="n">
        <v>69</v>
      </c>
      <c r="BJ156" s="53" t="inlineStr"/>
      <c r="BK156" s="58" t="n">
        <v>0</v>
      </c>
      <c r="BL156" s="58" t="n">
        <v>156</v>
      </c>
      <c r="BM156" s="53">
        <f>IF(S156&lt;&gt;"",UPPER(TRIM(S156)),IF(O156="","LOSE",O156))</f>
        <v/>
      </c>
      <c r="BN156" s="55">
        <f>IF(BM156="LOSE",1,IF(N(T156)&gt;0,T156,IF(N(P156)&gt;0,P156,MAX(1,G156))))</f>
        <v/>
      </c>
      <c r="BO156" s="58">
        <f>IF(BM156="LOSE",1,0)</f>
        <v/>
      </c>
      <c r="BP156" s="64">
        <f>IF(BO156=0,0,IF(N(R156)&gt;0,R156,IFERROR(VLOOKUP(D156,Parameter!$A$35:$C$64,3,0)+0,0)))</f>
        <v/>
      </c>
      <c r="BQ156" s="53">
        <f>IF(V156&lt;&gt;"",V156,U156)</f>
        <v/>
      </c>
      <c r="BR156" s="53">
        <f>IF(BQ156=1,"L1",IF(OR(BQ156=2,BQ156=3),"L23",IF(BQ156="Aussen","Aussen","-")))</f>
        <v/>
      </c>
      <c r="BS156" s="66">
        <f>IF(N(W156)&gt;0,W156,0)</f>
        <v/>
      </c>
      <c r="BT156" s="58">
        <f>IF(ISNUMBER(Z156),1,0)</f>
        <v/>
      </c>
      <c r="BU156" s="55">
        <f>N(Z156)</f>
        <v/>
      </c>
      <c r="BV156" s="55">
        <f>N(L156)+N(M156)</f>
        <v/>
      </c>
      <c r="BW156" s="55">
        <f>ROUNDUP(G156/BN156,0)</f>
        <v/>
      </c>
      <c r="BX156" s="55">
        <f>ROUNDUP(BU156/BN156,0)</f>
        <v/>
      </c>
      <c r="BY156" s="58">
        <f>IF(BO156=1,0,IFERROR(VLOOKUP(BM156,'Gebinde-Kategorie'!$A$5:$G$45,5,0)+0,0))</f>
        <v/>
      </c>
      <c r="BZ156" s="58">
        <f>IFERROR(IF(OR(BQ156=1,BQ156=2,BQ156=3),N(INDEX(Parameter!$I$5:$I$7,BQ156)),0),0)</f>
        <v/>
      </c>
    </row>
    <row r="157">
      <c r="A157" s="53" t="inlineStr">
        <is>
          <t>108322</t>
        </is>
      </c>
      <c r="B157" s="53" t="inlineStr">
        <is>
          <t>Gasvorwärmer</t>
        </is>
      </c>
      <c r="C157" s="53" t="inlineStr">
        <is>
          <t>F</t>
        </is>
      </c>
      <c r="D157" s="53" t="inlineStr">
        <is>
          <t>PAL</t>
        </is>
      </c>
      <c r="E157" s="53" t="inlineStr">
        <is>
          <t>C</t>
        </is>
      </c>
      <c r="F157" s="54" t="n">
        <v>421.59</v>
      </c>
      <c r="G157" s="55">
        <f>MAX(0,IF(Parameter!$B$20="Jahresanfang 2025 + Export",BG157+BF157,BF157))</f>
        <v/>
      </c>
      <c r="H157" s="55">
        <f>G157*F157</f>
        <v/>
      </c>
      <c r="I157" s="55">
        <f>BI157*Parameter!$B$18</f>
        <v/>
      </c>
      <c r="J157" s="56" t="n">
        <v>5.5</v>
      </c>
      <c r="K157" s="57" t="n">
        <v>0</v>
      </c>
      <c r="L157" s="55" t="n">
        <v>0</v>
      </c>
      <c r="M157" s="55" t="n">
        <v>1</v>
      </c>
      <c r="N157" s="58" t="n">
        <v>30</v>
      </c>
      <c r="O157" s="53" t="inlineStr">
        <is>
          <t>S71</t>
        </is>
      </c>
      <c r="P157" s="55" t="n">
        <v>7</v>
      </c>
      <c r="Q157" s="59">
        <f>IF(BO157=1,0,IFERROR(VLOOKUP(BM157,'Gebinde-Kategorie'!$A$5:$G$45,6,0)+0,0))</f>
        <v/>
      </c>
      <c r="R157" s="60" t="n"/>
      <c r="S157" s="61" t="n"/>
      <c r="T157" s="61" t="n"/>
      <c r="U157" s="53">
        <f>IF(A157="","",IF(IFERROR(VLOOKUP(D157,Parameter!$A$35:$C$64,2,0),"Nein")="2+3",IF(ISNUMBER(SEARCH("grosser Artikel",BJ157)),2,IFERROR(VLOOKUP(BM157,Parameter!$F$35:$G$64,2,0),2)),IF(OR(IFERROR(VLOOKUP(D157,Parameter!$A$35:$C$64,2,0),"Nein")="Nein",IFERROR(VLOOKUP(D157,Parameter!$A$35:$C$64,2,0),"Nein")=""),"-",VLOOKUP(D157,Parameter!$A$35:$C$64,2,0))))</f>
        <v/>
      </c>
      <c r="V157" s="61" t="n"/>
      <c r="W157" s="62" t="n"/>
      <c r="X157" s="55">
        <f>AM157</f>
        <v/>
      </c>
      <c r="Y157" s="55">
        <f>MAX(AM157,G157)</f>
        <v/>
      </c>
      <c r="Z157" s="63" t="n"/>
      <c r="AA157" s="55">
        <f>IF(LEFT(Cockpit!$C$5,1)="A",G157,IF(BT157=1,BU157,IF(LEFT(Cockpit!$C$5,1)="B",AE157,MAX(AE157,G157))))</f>
        <v/>
      </c>
      <c r="AB157" s="55">
        <f>IF(BO157=1,0,ROUNDUP(AA157/BN157,0))</f>
        <v/>
      </c>
      <c r="AC157" s="64">
        <f>IF(BO157=1,IF(AA157&lt;=0,0,BP157*MAX(1,IF(G157&gt;0,AA157/G157,1))),AB157*Q157)</f>
        <v/>
      </c>
      <c r="AD157" s="55">
        <f>AA157*F157</f>
        <v/>
      </c>
      <c r="AE157" s="55">
        <f>ROUNDUP(MAX(I157/IF(BS157&gt;0,BS157,MAX(0.1,N(Cockpit!$C$6))),BV157)/BN157,0)*BN157</f>
        <v/>
      </c>
      <c r="AF157" s="56">
        <f>IF(AC157&gt;0,I157/AC157,-1)</f>
        <v/>
      </c>
      <c r="AG157" s="56">
        <f>IF(AND(OR(BR157="L1",BR157="L23"),AC157&gt;0),SUMIFS($AC$7:$AC$1570,$BR$7:$BR$1570,BR157,$AF$7:$AF$1570,"&gt;"&amp;AF157)+SUMIFS($AC$7:$AC$1570,$BR$7:$BR$1570,BR157,$AF$7:$AF$1570,AF157,$BL$7:$BL$1570,"&lt;="&amp;BL157),"")</f>
        <v/>
      </c>
      <c r="AH157" s="65">
        <f>IF(AG157="",0,MAX(0,MIN(1,(IF(BR157="L1",Parameter!$K$5,Parameter!$K$6+Parameter!$K$7)-(AG157-AC157))/AC157)))</f>
        <v/>
      </c>
      <c r="AI157" s="55">
        <f>IF(LEFT(Cockpit!$I$5,1)="A",G157,IF(BT157=1,BU157,IF(LEFT(Cockpit!$I$5,1)="B",AM157,MAX(AM157,G157))))</f>
        <v/>
      </c>
      <c r="AJ157" s="55">
        <f>IF(BO157=1,0,ROUNDUP(AI157/BN157,0))</f>
        <v/>
      </c>
      <c r="AK157" s="64">
        <f>IF(BO157=1,IF(AI157&lt;=0,0,BP157*MAX(1,IF(G157&gt;0,AI157/G157,1))),AJ157*Q157)</f>
        <v/>
      </c>
      <c r="AL157" s="55">
        <f>AI157*F157</f>
        <v/>
      </c>
      <c r="AM157" s="55">
        <f>ROUNDUP(MAX(I157/IF(BS157&gt;0,BS157,MAX(0.1,N(Cockpit!$I$6))),BV157)/BN157,0)*BN157</f>
        <v/>
      </c>
      <c r="AN157" s="56">
        <f>IF(AK157&gt;0,I157/AK157,-1)</f>
        <v/>
      </c>
      <c r="AO157" s="56">
        <f>IF(AND(OR(BR157="L1",BR157="L23"),AK157&gt;0),SUMIFS($AK$7:$AK$1570,$BR$7:$BR$1570,BR157,$AN$7:$AN$1570,"&gt;"&amp;AN157)+SUMIFS($AK$7:$AK$1570,$BR$7:$BR$1570,BR157,$AN$7:$AN$1570,AN157,$BL$7:$BL$1570,"&lt;="&amp;BL157),"")</f>
        <v/>
      </c>
      <c r="AP157" s="65">
        <f>IF(AO157="",0,MAX(0,MIN(1,(IF(BR157="L1",Parameter!$K$5,Parameter!$K$6+Parameter!$K$7)-(AO157-AK157))/AK157)))</f>
        <v/>
      </c>
      <c r="AQ157" s="55">
        <f>IF(LEFT(Cockpit!$O$5,1)="A",G157,IF(BT157=1,BU157,IF(LEFT(Cockpit!$O$5,1)="B",AU157,MAX(AU157,G157))))</f>
        <v/>
      </c>
      <c r="AR157" s="55">
        <f>IF(BO157=1,0,ROUNDUP(AQ157/BN157,0))</f>
        <v/>
      </c>
      <c r="AS157" s="64">
        <f>IF(BO157=1,IF(AQ157&lt;=0,0,BP157*MAX(1,IF(G157&gt;0,AQ157/G157,1))),AR157*Q157)</f>
        <v/>
      </c>
      <c r="AT157" s="55">
        <f>AQ157*F157</f>
        <v/>
      </c>
      <c r="AU157" s="55">
        <f>ROUNDUP(MAX(I157/IF(BS157&gt;0,BS157,MAX(0.1,N(Cockpit!$O$6))),BV157)/BN157,0)*BN157</f>
        <v/>
      </c>
      <c r="AV157" s="56">
        <f>IF(AS157&gt;0,I157/AS157,-1)</f>
        <v/>
      </c>
      <c r="AW157" s="56">
        <f>IF(AND(OR(BR157="L1",BR157="L23"),AS157&gt;0),SUMIFS($AS$7:$AS$1570,$BR$7:$BR$1570,BR157,$AV$7:$AV$1570,"&gt;"&amp;AV157)+SUMIFS($AS$7:$AS$1570,$BR$7:$BR$1570,BR157,$AV$7:$AV$1570,AV157,$BL$7:$BL$1570,"&lt;="&amp;BL157),"")</f>
        <v/>
      </c>
      <c r="AX157" s="65">
        <f>IF(AW157="",0,MAX(0,MIN(1,(IF(BR157="L1",Parameter!$K$5,Parameter!$K$6+Parameter!$K$7)-(AW157-AS157))/AS157)))</f>
        <v/>
      </c>
      <c r="AY157" s="53">
        <f>IF(AC157&lt;=0,"",IF(BR157="Aussen","Aussenlager",IF(BR157="-","Nicht im Lift",IF(AH157&gt;=1,"Lift",IF(AH157&lt;=0,"Aussenlager","teilweise")))))</f>
        <v/>
      </c>
      <c r="AZ157" s="53">
        <f>IF(AK157&lt;=0,"",IF(BR157="Aussen","Aussenlager",IF(BR157="-","Nicht im Lift",IF(AP157&gt;=1,"Lift",IF(AP157&lt;=0,"Aussenlager","teilweise")))))</f>
        <v/>
      </c>
      <c r="BA157" s="53">
        <f>IF(AS157&lt;=0,"",IF(BR157="Aussen","Aussenlager",IF(BR157="-","Nicht im Lift",IF(AX157&gt;=1,"Lift",IF(AX157&lt;=0,"Aussenlager","teilweise")))))</f>
        <v/>
      </c>
      <c r="BB157" s="53">
        <f>IF(A157="","",IF(BK157=1,"Neu; ","")&amp;IF(AND(BK157=0,BF157&lt;0),"negativer Bestand (Export "&amp;BF157&amp;"); ","")&amp;IF(I157&lt;=0,"Kein Verbrauch; ","")&amp;IF(BO157=1,"Lose – Fläche geschätzt; ","")&amp;IF(G157&gt;AM157,"Überbestand "&amp;ROUND(G157-AM157,0)&amp;" Stk / CHF "&amp;ROUND((G157-AM157)*F157,0)&amp;"; ","")&amp;IF(AND(BT157=1,BU157&lt;BV157),"MAX &lt; MB+LG; ","")&amp;IF(AND(BZ157&gt;0,BY157*10&gt;BZ157),"zu hoch für Tablar; ","")&amp;IF(AND(BK157=0,OR(BT157=1,V157&lt;&gt;"",S157&lt;&gt;"",T157&lt;&gt;"",W157&lt;&gt;"")),"manuell übersteuert; ","")&amp;IF(AND(BO157=0,Q157=0),"Gebinde unbekannt; ","")&amp;IF(AND(BO157=0,N(T157)&lt;=0,N(P157)&lt;=0),"Menge pro Gebinde fehlt (Ist = 1 Gebinde); ","")&amp;BJ157)</f>
        <v/>
      </c>
      <c r="BC157" s="53" t="n"/>
      <c r="BD157" s="53" t="n"/>
      <c r="BE157" s="61" t="n"/>
      <c r="BF157" s="55" t="n">
        <v>3</v>
      </c>
      <c r="BG157" s="55" t="n">
        <v>4</v>
      </c>
      <c r="BH157" s="54" t="n">
        <v>1264.77</v>
      </c>
      <c r="BI157" s="55" t="n">
        <v>0</v>
      </c>
      <c r="BJ157" s="53" t="inlineStr">
        <is>
          <t>grosser Artikel &amp; nicht im KTL</t>
        </is>
      </c>
      <c r="BK157" s="58" t="n">
        <v>0</v>
      </c>
      <c r="BL157" s="58" t="n">
        <v>157</v>
      </c>
      <c r="BM157" s="53">
        <f>IF(S157&lt;&gt;"",UPPER(TRIM(S157)),IF(O157="","LOSE",O157))</f>
        <v/>
      </c>
      <c r="BN157" s="55">
        <f>IF(BM157="LOSE",1,IF(N(T157)&gt;0,T157,IF(N(P157)&gt;0,P157,MAX(1,G157))))</f>
        <v/>
      </c>
      <c r="BO157" s="58">
        <f>IF(BM157="LOSE",1,0)</f>
        <v/>
      </c>
      <c r="BP157" s="64">
        <f>IF(BO157=0,0,IF(N(R157)&gt;0,R157,IFERROR(VLOOKUP(D157,Parameter!$A$35:$C$64,3,0)+0,0)))</f>
        <v/>
      </c>
      <c r="BQ157" s="53">
        <f>IF(V157&lt;&gt;"",V157,U157)</f>
        <v/>
      </c>
      <c r="BR157" s="53">
        <f>IF(BQ157=1,"L1",IF(OR(BQ157=2,BQ157=3),"L23",IF(BQ157="Aussen","Aussen","-")))</f>
        <v/>
      </c>
      <c r="BS157" s="66">
        <f>IF(N(W157)&gt;0,W157,0)</f>
        <v/>
      </c>
      <c r="BT157" s="58">
        <f>IF(ISNUMBER(Z157),1,0)</f>
        <v/>
      </c>
      <c r="BU157" s="55">
        <f>N(Z157)</f>
        <v/>
      </c>
      <c r="BV157" s="55">
        <f>N(L157)+N(M157)</f>
        <v/>
      </c>
      <c r="BW157" s="55">
        <f>ROUNDUP(G157/BN157,0)</f>
        <v/>
      </c>
      <c r="BX157" s="55">
        <f>ROUNDUP(BU157/BN157,0)</f>
        <v/>
      </c>
      <c r="BY157" s="58">
        <f>IF(BO157=1,0,IFERROR(VLOOKUP(BM157,'Gebinde-Kategorie'!$A$5:$G$45,5,0)+0,0))</f>
        <v/>
      </c>
      <c r="BZ157" s="58">
        <f>IFERROR(IF(OR(BQ157=1,BQ157=2,BQ157=3),N(INDEX(Parameter!$I$5:$I$7,BQ157)),0),0)</f>
        <v/>
      </c>
    </row>
    <row r="158">
      <c r="A158" s="53" t="inlineStr">
        <is>
          <t>102884</t>
        </is>
      </c>
      <c r="B158" s="53" t="inlineStr">
        <is>
          <t>Rapid Kettenglied</t>
        </is>
      </c>
      <c r="C158" s="53" t="inlineStr">
        <is>
          <t>F</t>
        </is>
      </c>
      <c r="D158" s="53" t="inlineStr">
        <is>
          <t>KTL</t>
        </is>
      </c>
      <c r="E158" s="53" t="inlineStr">
        <is>
          <t>C</t>
        </is>
      </c>
      <c r="F158" s="54" t="n">
        <v>4.82</v>
      </c>
      <c r="G158" s="55">
        <f>MAX(0,IF(Parameter!$B$20="Jahresanfang 2025 + Export",BG158+BF158,BF158))</f>
        <v/>
      </c>
      <c r="H158" s="55">
        <f>G158*F158</f>
        <v/>
      </c>
      <c r="I158" s="55">
        <f>BI158*Parameter!$B$18</f>
        <v/>
      </c>
      <c r="J158" s="56" t="n">
        <v>85.5</v>
      </c>
      <c r="K158" s="57" t="n">
        <v>4.514619883040936</v>
      </c>
      <c r="L158" s="55" t="n">
        <v>15</v>
      </c>
      <c r="M158" s="55" t="n">
        <v>390</v>
      </c>
      <c r="N158" s="58" t="n">
        <v>14</v>
      </c>
      <c r="O158" s="53" t="inlineStr">
        <is>
          <t>S52</t>
        </is>
      </c>
      <c r="P158" s="55" t="n">
        <v>131</v>
      </c>
      <c r="Q158" s="59">
        <f>IF(BO158=1,0,IFERROR(VLOOKUP(BM158,'Gebinde-Kategorie'!$A$5:$G$45,6,0)+0,0))</f>
        <v/>
      </c>
      <c r="R158" s="60" t="n"/>
      <c r="S158" s="61" t="n"/>
      <c r="T158" s="61" t="n"/>
      <c r="U158" s="53">
        <f>IF(A158="","",IF(IFERROR(VLOOKUP(D158,Parameter!$A$35:$C$64,2,0),"Nein")="2+3",IF(ISNUMBER(SEARCH("grosser Artikel",BJ158)),2,IFERROR(VLOOKUP(BM158,Parameter!$F$35:$G$64,2,0),2)),IF(OR(IFERROR(VLOOKUP(D158,Parameter!$A$35:$C$64,2,0),"Nein")="Nein",IFERROR(VLOOKUP(D158,Parameter!$A$35:$C$64,2,0),"Nein")=""),"-",VLOOKUP(D158,Parameter!$A$35:$C$64,2,0))))</f>
        <v/>
      </c>
      <c r="V158" s="61" t="n"/>
      <c r="W158" s="62" t="n"/>
      <c r="X158" s="55">
        <f>AM158</f>
        <v/>
      </c>
      <c r="Y158" s="55">
        <f>MAX(AM158,G158)</f>
        <v/>
      </c>
      <c r="Z158" s="63" t="n"/>
      <c r="AA158" s="55">
        <f>IF(LEFT(Cockpit!$C$5,1)="A",G158,IF(BT158=1,BU158,IF(LEFT(Cockpit!$C$5,1)="B",AE158,MAX(AE158,G158))))</f>
        <v/>
      </c>
      <c r="AB158" s="55">
        <f>IF(BO158=1,0,ROUNDUP(AA158/BN158,0))</f>
        <v/>
      </c>
      <c r="AC158" s="64">
        <f>IF(BO158=1,IF(AA158&lt;=0,0,BP158*MAX(1,IF(G158&gt;0,AA158/G158,1))),AB158*Q158)</f>
        <v/>
      </c>
      <c r="AD158" s="55">
        <f>AA158*F158</f>
        <v/>
      </c>
      <c r="AE158" s="55">
        <f>ROUNDUP(MAX(I158/IF(BS158&gt;0,BS158,MAX(0.1,N(Cockpit!$C$6))),BV158)/BN158,0)*BN158</f>
        <v/>
      </c>
      <c r="AF158" s="56">
        <f>IF(AC158&gt;0,I158/AC158,-1)</f>
        <v/>
      </c>
      <c r="AG158" s="56">
        <f>IF(AND(OR(BR158="L1",BR158="L23"),AC158&gt;0),SUMIFS($AC$7:$AC$1570,$BR$7:$BR$1570,BR158,$AF$7:$AF$1570,"&gt;"&amp;AF158)+SUMIFS($AC$7:$AC$1570,$BR$7:$BR$1570,BR158,$AF$7:$AF$1570,AF158,$BL$7:$BL$1570,"&lt;="&amp;BL158),"")</f>
        <v/>
      </c>
      <c r="AH158" s="65">
        <f>IF(AG158="",0,MAX(0,MIN(1,(IF(BR158="L1",Parameter!$K$5,Parameter!$K$6+Parameter!$K$7)-(AG158-AC158))/AC158)))</f>
        <v/>
      </c>
      <c r="AI158" s="55">
        <f>IF(LEFT(Cockpit!$I$5,1)="A",G158,IF(BT158=1,BU158,IF(LEFT(Cockpit!$I$5,1)="B",AM158,MAX(AM158,G158))))</f>
        <v/>
      </c>
      <c r="AJ158" s="55">
        <f>IF(BO158=1,0,ROUNDUP(AI158/BN158,0))</f>
        <v/>
      </c>
      <c r="AK158" s="64">
        <f>IF(BO158=1,IF(AI158&lt;=0,0,BP158*MAX(1,IF(G158&gt;0,AI158/G158,1))),AJ158*Q158)</f>
        <v/>
      </c>
      <c r="AL158" s="55">
        <f>AI158*F158</f>
        <v/>
      </c>
      <c r="AM158" s="55">
        <f>ROUNDUP(MAX(I158/IF(BS158&gt;0,BS158,MAX(0.1,N(Cockpit!$I$6))),BV158)/BN158,0)*BN158</f>
        <v/>
      </c>
      <c r="AN158" s="56">
        <f>IF(AK158&gt;0,I158/AK158,-1)</f>
        <v/>
      </c>
      <c r="AO158" s="56">
        <f>IF(AND(OR(BR158="L1",BR158="L23"),AK158&gt;0),SUMIFS($AK$7:$AK$1570,$BR$7:$BR$1570,BR158,$AN$7:$AN$1570,"&gt;"&amp;AN158)+SUMIFS($AK$7:$AK$1570,$BR$7:$BR$1570,BR158,$AN$7:$AN$1570,AN158,$BL$7:$BL$1570,"&lt;="&amp;BL158),"")</f>
        <v/>
      </c>
      <c r="AP158" s="65">
        <f>IF(AO158="",0,MAX(0,MIN(1,(IF(BR158="L1",Parameter!$K$5,Parameter!$K$6+Parameter!$K$7)-(AO158-AK158))/AK158)))</f>
        <v/>
      </c>
      <c r="AQ158" s="55">
        <f>IF(LEFT(Cockpit!$O$5,1)="A",G158,IF(BT158=1,BU158,IF(LEFT(Cockpit!$O$5,1)="B",AU158,MAX(AU158,G158))))</f>
        <v/>
      </c>
      <c r="AR158" s="55">
        <f>IF(BO158=1,0,ROUNDUP(AQ158/BN158,0))</f>
        <v/>
      </c>
      <c r="AS158" s="64">
        <f>IF(BO158=1,IF(AQ158&lt;=0,0,BP158*MAX(1,IF(G158&gt;0,AQ158/G158,1))),AR158*Q158)</f>
        <v/>
      </c>
      <c r="AT158" s="55">
        <f>AQ158*F158</f>
        <v/>
      </c>
      <c r="AU158" s="55">
        <f>ROUNDUP(MAX(I158/IF(BS158&gt;0,BS158,MAX(0.1,N(Cockpit!$O$6))),BV158)/BN158,0)*BN158</f>
        <v/>
      </c>
      <c r="AV158" s="56">
        <f>IF(AS158&gt;0,I158/AS158,-1)</f>
        <v/>
      </c>
      <c r="AW158" s="56">
        <f>IF(AND(OR(BR158="L1",BR158="L23"),AS158&gt;0),SUMIFS($AS$7:$AS$1570,$BR$7:$BR$1570,BR158,$AV$7:$AV$1570,"&gt;"&amp;AV158)+SUMIFS($AS$7:$AS$1570,$BR$7:$BR$1570,BR158,$AV$7:$AV$1570,AV158,$BL$7:$BL$1570,"&lt;="&amp;BL158),"")</f>
        <v/>
      </c>
      <c r="AX158" s="65">
        <f>IF(AW158="",0,MAX(0,MIN(1,(IF(BR158="L1",Parameter!$K$5,Parameter!$K$6+Parameter!$K$7)-(AW158-AS158))/AS158)))</f>
        <v/>
      </c>
      <c r="AY158" s="53">
        <f>IF(AC158&lt;=0,"",IF(BR158="Aussen","Aussenlager",IF(BR158="-","Nicht im Lift",IF(AH158&gt;=1,"Lift",IF(AH158&lt;=0,"Aussenlager","teilweise")))))</f>
        <v/>
      </c>
      <c r="AZ158" s="53">
        <f>IF(AK158&lt;=0,"",IF(BR158="Aussen","Aussenlager",IF(BR158="-","Nicht im Lift",IF(AP158&gt;=1,"Lift",IF(AP158&lt;=0,"Aussenlager","teilweise")))))</f>
        <v/>
      </c>
      <c r="BA158" s="53">
        <f>IF(AS158&lt;=0,"",IF(BR158="Aussen","Aussenlager",IF(BR158="-","Nicht im Lift",IF(AX158&gt;=1,"Lift",IF(AX158&lt;=0,"Aussenlager","teilweise")))))</f>
        <v/>
      </c>
      <c r="BB158" s="53">
        <f>IF(A158="","",IF(BK158=1,"Neu; ","")&amp;IF(AND(BK158=0,BF158&lt;0),"negativer Bestand (Export "&amp;BF158&amp;"); ","")&amp;IF(I158&lt;=0,"Kein Verbrauch; ","")&amp;IF(BO158=1,"Lose – Fläche geschätzt; ","")&amp;IF(G158&gt;AM158,"Überbestand "&amp;ROUND(G158-AM158,0)&amp;" Stk / CHF "&amp;ROUND((G158-AM158)*F158,0)&amp;"; ","")&amp;IF(AND(BT158=1,BU158&lt;BV158),"MAX &lt; MB+LG; ","")&amp;IF(AND(BZ158&gt;0,BY158*10&gt;BZ158),"zu hoch für Tablar; ","")&amp;IF(AND(BK158=0,OR(BT158=1,V158&lt;&gt;"",S158&lt;&gt;"",T158&lt;&gt;"",W158&lt;&gt;"")),"manuell übersteuert; ","")&amp;IF(AND(BO158=0,Q158=0),"Gebinde unbekannt; ","")&amp;IF(AND(BO158=0,N(T158)&lt;=0,N(P158)&lt;=0),"Menge pro Gebinde fehlt (Ist = 1 Gebinde); ","")&amp;BJ158)</f>
        <v/>
      </c>
      <c r="BC158" s="53" t="n"/>
      <c r="BD158" s="53" t="n"/>
      <c r="BE158" s="61" t="n"/>
      <c r="BF158" s="55" t="n">
        <v>259</v>
      </c>
      <c r="BG158" s="55" t="n">
        <v>80</v>
      </c>
      <c r="BH158" s="54" t="n">
        <v>1249.1</v>
      </c>
      <c r="BI158" s="55" t="n">
        <v>386</v>
      </c>
      <c r="BJ158" s="53" t="inlineStr"/>
      <c r="BK158" s="58" t="n">
        <v>0</v>
      </c>
      <c r="BL158" s="58" t="n">
        <v>158</v>
      </c>
      <c r="BM158" s="53">
        <f>IF(S158&lt;&gt;"",UPPER(TRIM(S158)),IF(O158="","LOSE",O158))</f>
        <v/>
      </c>
      <c r="BN158" s="55">
        <f>IF(BM158="LOSE",1,IF(N(T158)&gt;0,T158,IF(N(P158)&gt;0,P158,MAX(1,G158))))</f>
        <v/>
      </c>
      <c r="BO158" s="58">
        <f>IF(BM158="LOSE",1,0)</f>
        <v/>
      </c>
      <c r="BP158" s="64">
        <f>IF(BO158=0,0,IF(N(R158)&gt;0,R158,IFERROR(VLOOKUP(D158,Parameter!$A$35:$C$64,3,0)+0,0)))</f>
        <v/>
      </c>
      <c r="BQ158" s="53">
        <f>IF(V158&lt;&gt;"",V158,U158)</f>
        <v/>
      </c>
      <c r="BR158" s="53">
        <f>IF(BQ158=1,"L1",IF(OR(BQ158=2,BQ158=3),"L23",IF(BQ158="Aussen","Aussen","-")))</f>
        <v/>
      </c>
      <c r="BS158" s="66">
        <f>IF(N(W158)&gt;0,W158,0)</f>
        <v/>
      </c>
      <c r="BT158" s="58">
        <f>IF(ISNUMBER(Z158),1,0)</f>
        <v/>
      </c>
      <c r="BU158" s="55">
        <f>N(Z158)</f>
        <v/>
      </c>
      <c r="BV158" s="55">
        <f>N(L158)+N(M158)</f>
        <v/>
      </c>
      <c r="BW158" s="55">
        <f>ROUNDUP(G158/BN158,0)</f>
        <v/>
      </c>
      <c r="BX158" s="55">
        <f>ROUNDUP(BU158/BN158,0)</f>
        <v/>
      </c>
      <c r="BY158" s="58">
        <f>IF(BO158=1,0,IFERROR(VLOOKUP(BM158,'Gebinde-Kategorie'!$A$5:$G$45,5,0)+0,0))</f>
        <v/>
      </c>
      <c r="BZ158" s="58">
        <f>IFERROR(IF(OR(BQ158=1,BQ158=2,BQ158=3),N(INDEX(Parameter!$I$5:$I$7,BQ158)),0),0)</f>
        <v/>
      </c>
    </row>
    <row r="159">
      <c r="A159" s="53" t="inlineStr">
        <is>
          <t>109376</t>
        </is>
      </c>
      <c r="B159" s="53" t="inlineStr">
        <is>
          <t>Unterstützungsblech Spülluftmodul</t>
        </is>
      </c>
      <c r="C159" s="53" t="inlineStr">
        <is>
          <t>F</t>
        </is>
      </c>
      <c r="D159" s="53" t="inlineStr">
        <is>
          <t>PAL</t>
        </is>
      </c>
      <c r="E159" s="53" t="inlineStr">
        <is>
          <t>C</t>
        </is>
      </c>
      <c r="F159" s="54" t="n">
        <v>103.6</v>
      </c>
      <c r="G159" s="55">
        <f>MAX(0,IF(Parameter!$B$20="Jahresanfang 2025 + Export",BG159+BF159,BF159))</f>
        <v/>
      </c>
      <c r="H159" s="55">
        <f>G159*F159</f>
        <v/>
      </c>
      <c r="I159" s="55">
        <f>BI159*Parameter!$B$18</f>
        <v/>
      </c>
      <c r="J159" s="56" t="n">
        <v>35.5</v>
      </c>
      <c r="K159" s="57" t="n">
        <v>4.253521126760563</v>
      </c>
      <c r="L159" s="55" t="n">
        <v>15</v>
      </c>
      <c r="M159" s="55" t="n">
        <v>55</v>
      </c>
      <c r="N159" s="58" t="n">
        <v>28</v>
      </c>
      <c r="O159" s="53" t="inlineStr">
        <is>
          <t>LOSE</t>
        </is>
      </c>
      <c r="P159" s="55" t="n"/>
      <c r="Q159" s="59">
        <f>IF(BO159=1,0,IFERROR(VLOOKUP(BM159,'Gebinde-Kategorie'!$A$5:$G$45,6,0)+0,0))</f>
        <v/>
      </c>
      <c r="R159" s="60" t="n"/>
      <c r="S159" s="61" t="n"/>
      <c r="T159" s="61" t="n"/>
      <c r="U159" s="53">
        <f>IF(A159="","",IF(IFERROR(VLOOKUP(D159,Parameter!$A$35:$C$64,2,0),"Nein")="2+3",IF(ISNUMBER(SEARCH("grosser Artikel",BJ159)),2,IFERROR(VLOOKUP(BM159,Parameter!$F$35:$G$64,2,0),2)),IF(OR(IFERROR(VLOOKUP(D159,Parameter!$A$35:$C$64,2,0),"Nein")="Nein",IFERROR(VLOOKUP(D159,Parameter!$A$35:$C$64,2,0),"Nein")=""),"-",VLOOKUP(D159,Parameter!$A$35:$C$64,2,0))))</f>
        <v/>
      </c>
      <c r="V159" s="61" t="n"/>
      <c r="W159" s="62" t="n"/>
      <c r="X159" s="55">
        <f>AM159</f>
        <v/>
      </c>
      <c r="Y159" s="55">
        <f>MAX(AM159,G159)</f>
        <v/>
      </c>
      <c r="Z159" s="63" t="n"/>
      <c r="AA159" s="55">
        <f>IF(LEFT(Cockpit!$C$5,1)="A",G159,IF(BT159=1,BU159,IF(LEFT(Cockpit!$C$5,1)="B",AE159,MAX(AE159,G159))))</f>
        <v/>
      </c>
      <c r="AB159" s="55">
        <f>IF(BO159=1,0,ROUNDUP(AA159/BN159,0))</f>
        <v/>
      </c>
      <c r="AC159" s="64">
        <f>IF(BO159=1,IF(AA159&lt;=0,0,BP159*MAX(1,IF(G159&gt;0,AA159/G159,1))),AB159*Q159)</f>
        <v/>
      </c>
      <c r="AD159" s="55">
        <f>AA159*F159</f>
        <v/>
      </c>
      <c r="AE159" s="55">
        <f>ROUNDUP(MAX(I159/IF(BS159&gt;0,BS159,MAX(0.1,N(Cockpit!$C$6))),BV159)/BN159,0)*BN159</f>
        <v/>
      </c>
      <c r="AF159" s="56">
        <f>IF(AC159&gt;0,I159/AC159,-1)</f>
        <v/>
      </c>
      <c r="AG159" s="56">
        <f>IF(AND(OR(BR159="L1",BR159="L23"),AC159&gt;0),SUMIFS($AC$7:$AC$1570,$BR$7:$BR$1570,BR159,$AF$7:$AF$1570,"&gt;"&amp;AF159)+SUMIFS($AC$7:$AC$1570,$BR$7:$BR$1570,BR159,$AF$7:$AF$1570,AF159,$BL$7:$BL$1570,"&lt;="&amp;BL159),"")</f>
        <v/>
      </c>
      <c r="AH159" s="65">
        <f>IF(AG159="",0,MAX(0,MIN(1,(IF(BR159="L1",Parameter!$K$5,Parameter!$K$6+Parameter!$K$7)-(AG159-AC159))/AC159)))</f>
        <v/>
      </c>
      <c r="AI159" s="55">
        <f>IF(LEFT(Cockpit!$I$5,1)="A",G159,IF(BT159=1,BU159,IF(LEFT(Cockpit!$I$5,1)="B",AM159,MAX(AM159,G159))))</f>
        <v/>
      </c>
      <c r="AJ159" s="55">
        <f>IF(BO159=1,0,ROUNDUP(AI159/BN159,0))</f>
        <v/>
      </c>
      <c r="AK159" s="64">
        <f>IF(BO159=1,IF(AI159&lt;=0,0,BP159*MAX(1,IF(G159&gt;0,AI159/G159,1))),AJ159*Q159)</f>
        <v/>
      </c>
      <c r="AL159" s="55">
        <f>AI159*F159</f>
        <v/>
      </c>
      <c r="AM159" s="55">
        <f>ROUNDUP(MAX(I159/IF(BS159&gt;0,BS159,MAX(0.1,N(Cockpit!$I$6))),BV159)/BN159,0)*BN159</f>
        <v/>
      </c>
      <c r="AN159" s="56">
        <f>IF(AK159&gt;0,I159/AK159,-1)</f>
        <v/>
      </c>
      <c r="AO159" s="56">
        <f>IF(AND(OR(BR159="L1",BR159="L23"),AK159&gt;0),SUMIFS($AK$7:$AK$1570,$BR$7:$BR$1570,BR159,$AN$7:$AN$1570,"&gt;"&amp;AN159)+SUMIFS($AK$7:$AK$1570,$BR$7:$BR$1570,BR159,$AN$7:$AN$1570,AN159,$BL$7:$BL$1570,"&lt;="&amp;BL159),"")</f>
        <v/>
      </c>
      <c r="AP159" s="65">
        <f>IF(AO159="",0,MAX(0,MIN(1,(IF(BR159="L1",Parameter!$K$5,Parameter!$K$6+Parameter!$K$7)-(AO159-AK159))/AK159)))</f>
        <v/>
      </c>
      <c r="AQ159" s="55">
        <f>IF(LEFT(Cockpit!$O$5,1)="A",G159,IF(BT159=1,BU159,IF(LEFT(Cockpit!$O$5,1)="B",AU159,MAX(AU159,G159))))</f>
        <v/>
      </c>
      <c r="AR159" s="55">
        <f>IF(BO159=1,0,ROUNDUP(AQ159/BN159,0))</f>
        <v/>
      </c>
      <c r="AS159" s="64">
        <f>IF(BO159=1,IF(AQ159&lt;=0,0,BP159*MAX(1,IF(G159&gt;0,AQ159/G159,1))),AR159*Q159)</f>
        <v/>
      </c>
      <c r="AT159" s="55">
        <f>AQ159*F159</f>
        <v/>
      </c>
      <c r="AU159" s="55">
        <f>ROUNDUP(MAX(I159/IF(BS159&gt;0,BS159,MAX(0.1,N(Cockpit!$O$6))),BV159)/BN159,0)*BN159</f>
        <v/>
      </c>
      <c r="AV159" s="56">
        <f>IF(AS159&gt;0,I159/AS159,-1)</f>
        <v/>
      </c>
      <c r="AW159" s="56">
        <f>IF(AND(OR(BR159="L1",BR159="L23"),AS159&gt;0),SUMIFS($AS$7:$AS$1570,$BR$7:$BR$1570,BR159,$AV$7:$AV$1570,"&gt;"&amp;AV159)+SUMIFS($AS$7:$AS$1570,$BR$7:$BR$1570,BR159,$AV$7:$AV$1570,AV159,$BL$7:$BL$1570,"&lt;="&amp;BL159),"")</f>
        <v/>
      </c>
      <c r="AX159" s="65">
        <f>IF(AW159="",0,MAX(0,MIN(1,(IF(BR159="L1",Parameter!$K$5,Parameter!$K$6+Parameter!$K$7)-(AW159-AS159))/AS159)))</f>
        <v/>
      </c>
      <c r="AY159" s="53">
        <f>IF(AC159&lt;=0,"",IF(BR159="Aussen","Aussenlager",IF(BR159="-","Nicht im Lift",IF(AH159&gt;=1,"Lift",IF(AH159&lt;=0,"Aussenlager","teilweise")))))</f>
        <v/>
      </c>
      <c r="AZ159" s="53">
        <f>IF(AK159&lt;=0,"",IF(BR159="Aussen","Aussenlager",IF(BR159="-","Nicht im Lift",IF(AP159&gt;=1,"Lift",IF(AP159&lt;=0,"Aussenlager","teilweise")))))</f>
        <v/>
      </c>
      <c r="BA159" s="53">
        <f>IF(AS159&lt;=0,"",IF(BR159="Aussen","Aussenlager",IF(BR159="-","Nicht im Lift",IF(AX159&gt;=1,"Lift",IF(AX159&lt;=0,"Aussenlager","teilweise")))))</f>
        <v/>
      </c>
      <c r="BB159" s="53">
        <f>IF(A159="","",IF(BK159=1,"Neu; ","")&amp;IF(AND(BK159=0,BF159&lt;0),"negativer Bestand (Export "&amp;BF159&amp;"); ","")&amp;IF(I159&lt;=0,"Kein Verbrauch; ","")&amp;IF(BO159=1,"Lose – Fläche geschätzt; ","")&amp;IF(G159&gt;AM159,"Überbestand "&amp;ROUND(G159-AM159,0)&amp;" Stk / CHF "&amp;ROUND((G159-AM159)*F159,0)&amp;"; ","")&amp;IF(AND(BT159=1,BU159&lt;BV159),"MAX &lt; MB+LG; ","")&amp;IF(AND(BZ159&gt;0,BY159*10&gt;BZ159),"zu hoch für Tablar; ","")&amp;IF(AND(BK159=0,OR(BT159=1,V159&lt;&gt;"",S159&lt;&gt;"",T159&lt;&gt;"",W159&lt;&gt;"")),"manuell übersteuert; ","")&amp;IF(AND(BO159=0,Q159=0),"Gebinde unbekannt; ","")&amp;IF(AND(BO159=0,N(T159)&lt;=0,N(P159)&lt;=0),"Menge pro Gebinde fehlt (Ist = 1 Gebinde); ","")&amp;BJ159)</f>
        <v/>
      </c>
      <c r="BC159" s="53" t="n"/>
      <c r="BD159" s="53" t="n"/>
      <c r="BE159" s="61" t="n"/>
      <c r="BF159" s="55" t="n">
        <v>14</v>
      </c>
      <c r="BG159" s="55" t="n">
        <v>31</v>
      </c>
      <c r="BH159" s="54" t="n">
        <v>1244.25</v>
      </c>
      <c r="BI159" s="55" t="n">
        <v>151</v>
      </c>
      <c r="BJ159" s="53" t="inlineStr"/>
      <c r="BK159" s="58" t="n">
        <v>0</v>
      </c>
      <c r="BL159" s="58" t="n">
        <v>159</v>
      </c>
      <c r="BM159" s="53">
        <f>IF(S159&lt;&gt;"",UPPER(TRIM(S159)),IF(O159="","LOSE",O159))</f>
        <v/>
      </c>
      <c r="BN159" s="55">
        <f>IF(BM159="LOSE",1,IF(N(T159)&gt;0,T159,IF(N(P159)&gt;0,P159,MAX(1,G159))))</f>
        <v/>
      </c>
      <c r="BO159" s="58">
        <f>IF(BM159="LOSE",1,0)</f>
        <v/>
      </c>
      <c r="BP159" s="64">
        <f>IF(BO159=0,0,IF(N(R159)&gt;0,R159,IFERROR(VLOOKUP(D159,Parameter!$A$35:$C$64,3,0)+0,0)))</f>
        <v/>
      </c>
      <c r="BQ159" s="53">
        <f>IF(V159&lt;&gt;"",V159,U159)</f>
        <v/>
      </c>
      <c r="BR159" s="53">
        <f>IF(BQ159=1,"L1",IF(OR(BQ159=2,BQ159=3),"L23",IF(BQ159="Aussen","Aussen","-")))</f>
        <v/>
      </c>
      <c r="BS159" s="66">
        <f>IF(N(W159)&gt;0,W159,0)</f>
        <v/>
      </c>
      <c r="BT159" s="58">
        <f>IF(ISNUMBER(Z159),1,0)</f>
        <v/>
      </c>
      <c r="BU159" s="55">
        <f>N(Z159)</f>
        <v/>
      </c>
      <c r="BV159" s="55">
        <f>N(L159)+N(M159)</f>
        <v/>
      </c>
      <c r="BW159" s="55">
        <f>ROUNDUP(G159/BN159,0)</f>
        <v/>
      </c>
      <c r="BX159" s="55">
        <f>ROUNDUP(BU159/BN159,0)</f>
        <v/>
      </c>
      <c r="BY159" s="58">
        <f>IF(BO159=1,0,IFERROR(VLOOKUP(BM159,'Gebinde-Kategorie'!$A$5:$G$45,5,0)+0,0))</f>
        <v/>
      </c>
      <c r="BZ159" s="58">
        <f>IFERROR(IF(OR(BQ159=1,BQ159=2,BQ159=3),N(INDEX(Parameter!$I$5:$I$7,BQ159)),0),0)</f>
        <v/>
      </c>
    </row>
    <row r="160">
      <c r="A160" s="53" t="inlineStr">
        <is>
          <t>101916</t>
        </is>
      </c>
      <c r="B160" s="53" t="inlineStr">
        <is>
          <t>Drehmomentschlüssel</t>
        </is>
      </c>
      <c r="C160" s="53" t="inlineStr">
        <is>
          <t>F</t>
        </is>
      </c>
      <c r="D160" s="53" t="inlineStr">
        <is>
          <t>KTL</t>
        </is>
      </c>
      <c r="E160" s="53" t="inlineStr">
        <is>
          <t>C</t>
        </is>
      </c>
      <c r="F160" s="54" t="n">
        <v>598.49</v>
      </c>
      <c r="G160" s="55">
        <f>MAX(0,IF(Parameter!$B$20="Jahresanfang 2025 + Export",BG160+BF160,BF160))</f>
        <v/>
      </c>
      <c r="H160" s="55">
        <f>G160*F160</f>
        <v/>
      </c>
      <c r="I160" s="55">
        <f>BI160*Parameter!$B$18</f>
        <v/>
      </c>
      <c r="J160" s="56" t="n">
        <v>6.5</v>
      </c>
      <c r="K160" s="57" t="n">
        <v>3.230769230769231</v>
      </c>
      <c r="L160" s="55" t="n">
        <v>1</v>
      </c>
      <c r="M160" s="55" t="n">
        <v>1</v>
      </c>
      <c r="N160" s="58" t="n">
        <v>14</v>
      </c>
      <c r="O160" s="53" t="inlineStr">
        <is>
          <t>S71</t>
        </is>
      </c>
      <c r="P160" s="55" t="n">
        <v>12</v>
      </c>
      <c r="Q160" s="59">
        <f>IF(BO160=1,0,IFERROR(VLOOKUP(BM160,'Gebinde-Kategorie'!$A$5:$G$45,6,0)+0,0))</f>
        <v/>
      </c>
      <c r="R160" s="60" t="n"/>
      <c r="S160" s="61" t="n"/>
      <c r="T160" s="61" t="n"/>
      <c r="U160" s="53">
        <f>IF(A160="","",IF(IFERROR(VLOOKUP(D160,Parameter!$A$35:$C$64,2,0),"Nein")="2+3",IF(ISNUMBER(SEARCH("grosser Artikel",BJ160)),2,IFERROR(VLOOKUP(BM160,Parameter!$F$35:$G$64,2,0),2)),IF(OR(IFERROR(VLOOKUP(D160,Parameter!$A$35:$C$64,2,0),"Nein")="Nein",IFERROR(VLOOKUP(D160,Parameter!$A$35:$C$64,2,0),"Nein")=""),"-",VLOOKUP(D160,Parameter!$A$35:$C$64,2,0))))</f>
        <v/>
      </c>
      <c r="V160" s="61" t="n"/>
      <c r="W160" s="62" t="n"/>
      <c r="X160" s="55">
        <f>AM160</f>
        <v/>
      </c>
      <c r="Y160" s="55">
        <f>MAX(AM160,G160)</f>
        <v/>
      </c>
      <c r="Z160" s="63" t="n"/>
      <c r="AA160" s="55">
        <f>IF(LEFT(Cockpit!$C$5,1)="A",G160,IF(BT160=1,BU160,IF(LEFT(Cockpit!$C$5,1)="B",AE160,MAX(AE160,G160))))</f>
        <v/>
      </c>
      <c r="AB160" s="55">
        <f>IF(BO160=1,0,ROUNDUP(AA160/BN160,0))</f>
        <v/>
      </c>
      <c r="AC160" s="64">
        <f>IF(BO160=1,IF(AA160&lt;=0,0,BP160*MAX(1,IF(G160&gt;0,AA160/G160,1))),AB160*Q160)</f>
        <v/>
      </c>
      <c r="AD160" s="55">
        <f>AA160*F160</f>
        <v/>
      </c>
      <c r="AE160" s="55">
        <f>ROUNDUP(MAX(I160/IF(BS160&gt;0,BS160,MAX(0.1,N(Cockpit!$C$6))),BV160)/BN160,0)*BN160</f>
        <v/>
      </c>
      <c r="AF160" s="56">
        <f>IF(AC160&gt;0,I160/AC160,-1)</f>
        <v/>
      </c>
      <c r="AG160" s="56">
        <f>IF(AND(OR(BR160="L1",BR160="L23"),AC160&gt;0),SUMIFS($AC$7:$AC$1570,$BR$7:$BR$1570,BR160,$AF$7:$AF$1570,"&gt;"&amp;AF160)+SUMIFS($AC$7:$AC$1570,$BR$7:$BR$1570,BR160,$AF$7:$AF$1570,AF160,$BL$7:$BL$1570,"&lt;="&amp;BL160),"")</f>
        <v/>
      </c>
      <c r="AH160" s="65">
        <f>IF(AG160="",0,MAX(0,MIN(1,(IF(BR160="L1",Parameter!$K$5,Parameter!$K$6+Parameter!$K$7)-(AG160-AC160))/AC160)))</f>
        <v/>
      </c>
      <c r="AI160" s="55">
        <f>IF(LEFT(Cockpit!$I$5,1)="A",G160,IF(BT160=1,BU160,IF(LEFT(Cockpit!$I$5,1)="B",AM160,MAX(AM160,G160))))</f>
        <v/>
      </c>
      <c r="AJ160" s="55">
        <f>IF(BO160=1,0,ROUNDUP(AI160/BN160,0))</f>
        <v/>
      </c>
      <c r="AK160" s="64">
        <f>IF(BO160=1,IF(AI160&lt;=0,0,BP160*MAX(1,IF(G160&gt;0,AI160/G160,1))),AJ160*Q160)</f>
        <v/>
      </c>
      <c r="AL160" s="55">
        <f>AI160*F160</f>
        <v/>
      </c>
      <c r="AM160" s="55">
        <f>ROUNDUP(MAX(I160/IF(BS160&gt;0,BS160,MAX(0.1,N(Cockpit!$I$6))),BV160)/BN160,0)*BN160</f>
        <v/>
      </c>
      <c r="AN160" s="56">
        <f>IF(AK160&gt;0,I160/AK160,-1)</f>
        <v/>
      </c>
      <c r="AO160" s="56">
        <f>IF(AND(OR(BR160="L1",BR160="L23"),AK160&gt;0),SUMIFS($AK$7:$AK$1570,$BR$7:$BR$1570,BR160,$AN$7:$AN$1570,"&gt;"&amp;AN160)+SUMIFS($AK$7:$AK$1570,$BR$7:$BR$1570,BR160,$AN$7:$AN$1570,AN160,$BL$7:$BL$1570,"&lt;="&amp;BL160),"")</f>
        <v/>
      </c>
      <c r="AP160" s="65">
        <f>IF(AO160="",0,MAX(0,MIN(1,(IF(BR160="L1",Parameter!$K$5,Parameter!$K$6+Parameter!$K$7)-(AO160-AK160))/AK160)))</f>
        <v/>
      </c>
      <c r="AQ160" s="55">
        <f>IF(LEFT(Cockpit!$O$5,1)="A",G160,IF(BT160=1,BU160,IF(LEFT(Cockpit!$O$5,1)="B",AU160,MAX(AU160,G160))))</f>
        <v/>
      </c>
      <c r="AR160" s="55">
        <f>IF(BO160=1,0,ROUNDUP(AQ160/BN160,0))</f>
        <v/>
      </c>
      <c r="AS160" s="64">
        <f>IF(BO160=1,IF(AQ160&lt;=0,0,BP160*MAX(1,IF(G160&gt;0,AQ160/G160,1))),AR160*Q160)</f>
        <v/>
      </c>
      <c r="AT160" s="55">
        <f>AQ160*F160</f>
        <v/>
      </c>
      <c r="AU160" s="55">
        <f>ROUNDUP(MAX(I160/IF(BS160&gt;0,BS160,MAX(0.1,N(Cockpit!$O$6))),BV160)/BN160,0)*BN160</f>
        <v/>
      </c>
      <c r="AV160" s="56">
        <f>IF(AS160&gt;0,I160/AS160,-1)</f>
        <v/>
      </c>
      <c r="AW160" s="56">
        <f>IF(AND(OR(BR160="L1",BR160="L23"),AS160&gt;0),SUMIFS($AS$7:$AS$1570,$BR$7:$BR$1570,BR160,$AV$7:$AV$1570,"&gt;"&amp;AV160)+SUMIFS($AS$7:$AS$1570,$BR$7:$BR$1570,BR160,$AV$7:$AV$1570,AV160,$BL$7:$BL$1570,"&lt;="&amp;BL160),"")</f>
        <v/>
      </c>
      <c r="AX160" s="65">
        <f>IF(AW160="",0,MAX(0,MIN(1,(IF(BR160="L1",Parameter!$K$5,Parameter!$K$6+Parameter!$K$7)-(AW160-AS160))/AS160)))</f>
        <v/>
      </c>
      <c r="AY160" s="53">
        <f>IF(AC160&lt;=0,"",IF(BR160="Aussen","Aussenlager",IF(BR160="-","Nicht im Lift",IF(AH160&gt;=1,"Lift",IF(AH160&lt;=0,"Aussenlager","teilweise")))))</f>
        <v/>
      </c>
      <c r="AZ160" s="53">
        <f>IF(AK160&lt;=0,"",IF(BR160="Aussen","Aussenlager",IF(BR160="-","Nicht im Lift",IF(AP160&gt;=1,"Lift",IF(AP160&lt;=0,"Aussenlager","teilweise")))))</f>
        <v/>
      </c>
      <c r="BA160" s="53">
        <f>IF(AS160&lt;=0,"",IF(BR160="Aussen","Aussenlager",IF(BR160="-","Nicht im Lift",IF(AX160&gt;=1,"Lift",IF(AX160&lt;=0,"Aussenlager","teilweise")))))</f>
        <v/>
      </c>
      <c r="BB160" s="53">
        <f>IF(A160="","",IF(BK160=1,"Neu; ","")&amp;IF(AND(BK160=0,BF160&lt;0),"negativer Bestand (Export "&amp;BF160&amp;"); ","")&amp;IF(I160&lt;=0,"Kein Verbrauch; ","")&amp;IF(BO160=1,"Lose – Fläche geschätzt; ","")&amp;IF(G160&gt;AM160,"Überbestand "&amp;ROUND(G160-AM160,0)&amp;" Stk / CHF "&amp;ROUND((G160-AM160)*F160,0)&amp;"; ","")&amp;IF(AND(BT160=1,BU160&lt;BV160),"MAX &lt; MB+LG; ","")&amp;IF(AND(BZ160&gt;0,BY160*10&gt;BZ160),"zu hoch für Tablar; ","")&amp;IF(AND(BK160=0,OR(BT160=1,V160&lt;&gt;"",S160&lt;&gt;"",T160&lt;&gt;"",W160&lt;&gt;"")),"manuell übersteuert; ","")&amp;IF(AND(BO160=0,Q160=0),"Gebinde unbekannt; ","")&amp;IF(AND(BO160=0,N(T160)&lt;=0,N(P160)&lt;=0),"Menge pro Gebinde fehlt (Ist = 1 Gebinde); ","")&amp;BJ160)</f>
        <v/>
      </c>
      <c r="BC160" s="53" t="n"/>
      <c r="BD160" s="53" t="n"/>
      <c r="BE160" s="61" t="n"/>
      <c r="BF160" s="55" t="n">
        <v>2</v>
      </c>
      <c r="BG160" s="55" t="n">
        <v>5</v>
      </c>
      <c r="BH160" s="54" t="n">
        <v>1225.109999999999</v>
      </c>
      <c r="BI160" s="55" t="n">
        <v>21</v>
      </c>
      <c r="BJ160" s="53" t="inlineStr">
        <is>
          <t>länger als die Kisten</t>
        </is>
      </c>
      <c r="BK160" s="58" t="n">
        <v>0</v>
      </c>
      <c r="BL160" s="58" t="n">
        <v>160</v>
      </c>
      <c r="BM160" s="53">
        <f>IF(S160&lt;&gt;"",UPPER(TRIM(S160)),IF(O160="","LOSE",O160))</f>
        <v/>
      </c>
      <c r="BN160" s="55">
        <f>IF(BM160="LOSE",1,IF(N(T160)&gt;0,T160,IF(N(P160)&gt;0,P160,MAX(1,G160))))</f>
        <v/>
      </c>
      <c r="BO160" s="58">
        <f>IF(BM160="LOSE",1,0)</f>
        <v/>
      </c>
      <c r="BP160" s="64">
        <f>IF(BO160=0,0,IF(N(R160)&gt;0,R160,IFERROR(VLOOKUP(D160,Parameter!$A$35:$C$64,3,0)+0,0)))</f>
        <v/>
      </c>
      <c r="BQ160" s="53">
        <f>IF(V160&lt;&gt;"",V160,U160)</f>
        <v/>
      </c>
      <c r="BR160" s="53">
        <f>IF(BQ160=1,"L1",IF(OR(BQ160=2,BQ160=3),"L23",IF(BQ160="Aussen","Aussen","-")))</f>
        <v/>
      </c>
      <c r="BS160" s="66">
        <f>IF(N(W160)&gt;0,W160,0)</f>
        <v/>
      </c>
      <c r="BT160" s="58">
        <f>IF(ISNUMBER(Z160),1,0)</f>
        <v/>
      </c>
      <c r="BU160" s="55">
        <f>N(Z160)</f>
        <v/>
      </c>
      <c r="BV160" s="55">
        <f>N(L160)+N(M160)</f>
        <v/>
      </c>
      <c r="BW160" s="55">
        <f>ROUNDUP(G160/BN160,0)</f>
        <v/>
      </c>
      <c r="BX160" s="55">
        <f>ROUNDUP(BU160/BN160,0)</f>
        <v/>
      </c>
      <c r="BY160" s="58">
        <f>IF(BO160=1,0,IFERROR(VLOOKUP(BM160,'Gebinde-Kategorie'!$A$5:$G$45,5,0)+0,0))</f>
        <v/>
      </c>
      <c r="BZ160" s="58">
        <f>IFERROR(IF(OR(BQ160=1,BQ160=2,BQ160=3),N(INDEX(Parameter!$I$5:$I$7,BQ160)),0),0)</f>
        <v/>
      </c>
    </row>
    <row r="161">
      <c r="A161" s="53" t="inlineStr">
        <is>
          <t>111957</t>
        </is>
      </c>
      <c r="B161" s="53" t="inlineStr">
        <is>
          <t>Flaschenanschluss Ventil</t>
        </is>
      </c>
      <c r="C161" s="53" t="inlineStr">
        <is>
          <t>F</t>
        </is>
      </c>
      <c r="D161" s="53" t="inlineStr">
        <is>
          <t>KTL</t>
        </is>
      </c>
      <c r="E161" s="53" t="inlineStr">
        <is>
          <t>C</t>
        </is>
      </c>
      <c r="F161" s="54" t="n">
        <v>51</v>
      </c>
      <c r="G161" s="55">
        <f>MAX(0,IF(Parameter!$B$20="Jahresanfang 2025 + Export",BG161+BF161,BF161))</f>
        <v/>
      </c>
      <c r="H161" s="55">
        <f>G161*F161</f>
        <v/>
      </c>
      <c r="I161" s="55">
        <f>BI161*Parameter!$B$18</f>
        <v/>
      </c>
      <c r="J161" s="56" t="n">
        <v>0</v>
      </c>
      <c r="K161" s="57" t="n">
        <v>0</v>
      </c>
      <c r="L161" s="55" t="n">
        <v>0</v>
      </c>
      <c r="M161" s="55" t="n">
        <v>1</v>
      </c>
      <c r="N161" s="58" t="n">
        <v>9999</v>
      </c>
      <c r="O161" s="53" t="inlineStr">
        <is>
          <t>LOSE</t>
        </is>
      </c>
      <c r="P161" s="55" t="n"/>
      <c r="Q161" s="59">
        <f>IF(BO161=1,0,IFERROR(VLOOKUP(BM161,'Gebinde-Kategorie'!$A$5:$G$45,6,0)+0,0))</f>
        <v/>
      </c>
      <c r="R161" s="60" t="n"/>
      <c r="S161" s="61" t="n"/>
      <c r="T161" s="61" t="n"/>
      <c r="U161" s="53">
        <f>IF(A161="","",IF(IFERROR(VLOOKUP(D161,Parameter!$A$35:$C$64,2,0),"Nein")="2+3",IF(ISNUMBER(SEARCH("grosser Artikel",BJ161)),2,IFERROR(VLOOKUP(BM161,Parameter!$F$35:$G$64,2,0),2)),IF(OR(IFERROR(VLOOKUP(D161,Parameter!$A$35:$C$64,2,0),"Nein")="Nein",IFERROR(VLOOKUP(D161,Parameter!$A$35:$C$64,2,0),"Nein")=""),"-",VLOOKUP(D161,Parameter!$A$35:$C$64,2,0))))</f>
        <v/>
      </c>
      <c r="V161" s="61" t="n"/>
      <c r="W161" s="62" t="n"/>
      <c r="X161" s="55">
        <f>AM161</f>
        <v/>
      </c>
      <c r="Y161" s="55">
        <f>MAX(AM161,G161)</f>
        <v/>
      </c>
      <c r="Z161" s="63" t="n"/>
      <c r="AA161" s="55">
        <f>IF(LEFT(Cockpit!$C$5,1)="A",G161,IF(BT161=1,BU161,IF(LEFT(Cockpit!$C$5,1)="B",AE161,MAX(AE161,G161))))</f>
        <v/>
      </c>
      <c r="AB161" s="55">
        <f>IF(BO161=1,0,ROUNDUP(AA161/BN161,0))</f>
        <v/>
      </c>
      <c r="AC161" s="64">
        <f>IF(BO161=1,IF(AA161&lt;=0,0,BP161*MAX(1,IF(G161&gt;0,AA161/G161,1))),AB161*Q161)</f>
        <v/>
      </c>
      <c r="AD161" s="55">
        <f>AA161*F161</f>
        <v/>
      </c>
      <c r="AE161" s="55">
        <f>ROUNDUP(MAX(I161/IF(BS161&gt;0,BS161,MAX(0.1,N(Cockpit!$C$6))),BV161)/BN161,0)*BN161</f>
        <v/>
      </c>
      <c r="AF161" s="56">
        <f>IF(AC161&gt;0,I161/AC161,-1)</f>
        <v/>
      </c>
      <c r="AG161" s="56">
        <f>IF(AND(OR(BR161="L1",BR161="L23"),AC161&gt;0),SUMIFS($AC$7:$AC$1570,$BR$7:$BR$1570,BR161,$AF$7:$AF$1570,"&gt;"&amp;AF161)+SUMIFS($AC$7:$AC$1570,$BR$7:$BR$1570,BR161,$AF$7:$AF$1570,AF161,$BL$7:$BL$1570,"&lt;="&amp;BL161),"")</f>
        <v/>
      </c>
      <c r="AH161" s="65">
        <f>IF(AG161="",0,MAX(0,MIN(1,(IF(BR161="L1",Parameter!$K$5,Parameter!$K$6+Parameter!$K$7)-(AG161-AC161))/AC161)))</f>
        <v/>
      </c>
      <c r="AI161" s="55">
        <f>IF(LEFT(Cockpit!$I$5,1)="A",G161,IF(BT161=1,BU161,IF(LEFT(Cockpit!$I$5,1)="B",AM161,MAX(AM161,G161))))</f>
        <v/>
      </c>
      <c r="AJ161" s="55">
        <f>IF(BO161=1,0,ROUNDUP(AI161/BN161,0))</f>
        <v/>
      </c>
      <c r="AK161" s="64">
        <f>IF(BO161=1,IF(AI161&lt;=0,0,BP161*MAX(1,IF(G161&gt;0,AI161/G161,1))),AJ161*Q161)</f>
        <v/>
      </c>
      <c r="AL161" s="55">
        <f>AI161*F161</f>
        <v/>
      </c>
      <c r="AM161" s="55">
        <f>ROUNDUP(MAX(I161/IF(BS161&gt;0,BS161,MAX(0.1,N(Cockpit!$I$6))),BV161)/BN161,0)*BN161</f>
        <v/>
      </c>
      <c r="AN161" s="56">
        <f>IF(AK161&gt;0,I161/AK161,-1)</f>
        <v/>
      </c>
      <c r="AO161" s="56">
        <f>IF(AND(OR(BR161="L1",BR161="L23"),AK161&gt;0),SUMIFS($AK$7:$AK$1570,$BR$7:$BR$1570,BR161,$AN$7:$AN$1570,"&gt;"&amp;AN161)+SUMIFS($AK$7:$AK$1570,$BR$7:$BR$1570,BR161,$AN$7:$AN$1570,AN161,$BL$7:$BL$1570,"&lt;="&amp;BL161),"")</f>
        <v/>
      </c>
      <c r="AP161" s="65">
        <f>IF(AO161="",0,MAX(0,MIN(1,(IF(BR161="L1",Parameter!$K$5,Parameter!$K$6+Parameter!$K$7)-(AO161-AK161))/AK161)))</f>
        <v/>
      </c>
      <c r="AQ161" s="55">
        <f>IF(LEFT(Cockpit!$O$5,1)="A",G161,IF(BT161=1,BU161,IF(LEFT(Cockpit!$O$5,1)="B",AU161,MAX(AU161,G161))))</f>
        <v/>
      </c>
      <c r="AR161" s="55">
        <f>IF(BO161=1,0,ROUNDUP(AQ161/BN161,0))</f>
        <v/>
      </c>
      <c r="AS161" s="64">
        <f>IF(BO161=1,IF(AQ161&lt;=0,0,BP161*MAX(1,IF(G161&gt;0,AQ161/G161,1))),AR161*Q161)</f>
        <v/>
      </c>
      <c r="AT161" s="55">
        <f>AQ161*F161</f>
        <v/>
      </c>
      <c r="AU161" s="55">
        <f>ROUNDUP(MAX(I161/IF(BS161&gt;0,BS161,MAX(0.1,N(Cockpit!$O$6))),BV161)/BN161,0)*BN161</f>
        <v/>
      </c>
      <c r="AV161" s="56">
        <f>IF(AS161&gt;0,I161/AS161,-1)</f>
        <v/>
      </c>
      <c r="AW161" s="56">
        <f>IF(AND(OR(BR161="L1",BR161="L23"),AS161&gt;0),SUMIFS($AS$7:$AS$1570,$BR$7:$BR$1570,BR161,$AV$7:$AV$1570,"&gt;"&amp;AV161)+SUMIFS($AS$7:$AS$1570,$BR$7:$BR$1570,BR161,$AV$7:$AV$1570,AV161,$BL$7:$BL$1570,"&lt;="&amp;BL161),"")</f>
        <v/>
      </c>
      <c r="AX161" s="65">
        <f>IF(AW161="",0,MAX(0,MIN(1,(IF(BR161="L1",Parameter!$K$5,Parameter!$K$6+Parameter!$K$7)-(AW161-AS161))/AS161)))</f>
        <v/>
      </c>
      <c r="AY161" s="53">
        <f>IF(AC161&lt;=0,"",IF(BR161="Aussen","Aussenlager",IF(BR161="-","Nicht im Lift",IF(AH161&gt;=1,"Lift",IF(AH161&lt;=0,"Aussenlager","teilweise")))))</f>
        <v/>
      </c>
      <c r="AZ161" s="53">
        <f>IF(AK161&lt;=0,"",IF(BR161="Aussen","Aussenlager",IF(BR161="-","Nicht im Lift",IF(AP161&gt;=1,"Lift",IF(AP161&lt;=0,"Aussenlager","teilweise")))))</f>
        <v/>
      </c>
      <c r="BA161" s="53">
        <f>IF(AS161&lt;=0,"",IF(BR161="Aussen","Aussenlager",IF(BR161="-","Nicht im Lift",IF(AX161&gt;=1,"Lift",IF(AX161&lt;=0,"Aussenlager","teilweise")))))</f>
        <v/>
      </c>
      <c r="BB161" s="53">
        <f>IF(A161="","",IF(BK161=1,"Neu; ","")&amp;IF(AND(BK161=0,BF161&lt;0),"negativer Bestand (Export "&amp;BF161&amp;"); ","")&amp;IF(I161&lt;=0,"Kein Verbrauch; ","")&amp;IF(BO161=1,"Lose – Fläche geschätzt; ","")&amp;IF(G161&gt;AM161,"Überbestand "&amp;ROUND(G161-AM161,0)&amp;" Stk / CHF "&amp;ROUND((G161-AM161)*F161,0)&amp;"; ","")&amp;IF(AND(BT161=1,BU161&lt;BV161),"MAX &lt; MB+LG; ","")&amp;IF(AND(BZ161&gt;0,BY161*10&gt;BZ161),"zu hoch für Tablar; ","")&amp;IF(AND(BK161=0,OR(BT161=1,V161&lt;&gt;"",S161&lt;&gt;"",T161&lt;&gt;"",W161&lt;&gt;"")),"manuell übersteuert; ","")&amp;IF(AND(BO161=0,Q161=0),"Gebinde unbekannt; ","")&amp;IF(AND(BO161=0,N(T161)&lt;=0,N(P161)&lt;=0),"Menge pro Gebinde fehlt (Ist = 1 Gebinde); ","")&amp;BJ161)</f>
        <v/>
      </c>
      <c r="BC161" s="53" t="n"/>
      <c r="BD161" s="53" t="n"/>
      <c r="BE161" s="61" t="n"/>
      <c r="BF161" s="55" t="n">
        <v>24</v>
      </c>
      <c r="BG161" s="55" t="n">
        <v>0</v>
      </c>
      <c r="BH161" s="54" t="n">
        <v>1224</v>
      </c>
      <c r="BI161" s="55" t="n">
        <v>0</v>
      </c>
      <c r="BJ161" s="53" t="inlineStr"/>
      <c r="BK161" s="58" t="n">
        <v>0</v>
      </c>
      <c r="BL161" s="58" t="n">
        <v>161</v>
      </c>
      <c r="BM161" s="53">
        <f>IF(S161&lt;&gt;"",UPPER(TRIM(S161)),IF(O161="","LOSE",O161))</f>
        <v/>
      </c>
      <c r="BN161" s="55">
        <f>IF(BM161="LOSE",1,IF(N(T161)&gt;0,T161,IF(N(P161)&gt;0,P161,MAX(1,G161))))</f>
        <v/>
      </c>
      <c r="BO161" s="58">
        <f>IF(BM161="LOSE",1,0)</f>
        <v/>
      </c>
      <c r="BP161" s="64">
        <f>IF(BO161=0,0,IF(N(R161)&gt;0,R161,IFERROR(VLOOKUP(D161,Parameter!$A$35:$C$64,3,0)+0,0)))</f>
        <v/>
      </c>
      <c r="BQ161" s="53">
        <f>IF(V161&lt;&gt;"",V161,U161)</f>
        <v/>
      </c>
      <c r="BR161" s="53">
        <f>IF(BQ161=1,"L1",IF(OR(BQ161=2,BQ161=3),"L23",IF(BQ161="Aussen","Aussen","-")))</f>
        <v/>
      </c>
      <c r="BS161" s="66">
        <f>IF(N(W161)&gt;0,W161,0)</f>
        <v/>
      </c>
      <c r="BT161" s="58">
        <f>IF(ISNUMBER(Z161),1,0)</f>
        <v/>
      </c>
      <c r="BU161" s="55">
        <f>N(Z161)</f>
        <v/>
      </c>
      <c r="BV161" s="55">
        <f>N(L161)+N(M161)</f>
        <v/>
      </c>
      <c r="BW161" s="55">
        <f>ROUNDUP(G161/BN161,0)</f>
        <v/>
      </c>
      <c r="BX161" s="55">
        <f>ROUNDUP(BU161/BN161,0)</f>
        <v/>
      </c>
      <c r="BY161" s="58">
        <f>IF(BO161=1,0,IFERROR(VLOOKUP(BM161,'Gebinde-Kategorie'!$A$5:$G$45,5,0)+0,0))</f>
        <v/>
      </c>
      <c r="BZ161" s="58">
        <f>IFERROR(IF(OR(BQ161=1,BQ161=2,BQ161=3),N(INDEX(Parameter!$I$5:$I$7,BQ161)),0),0)</f>
        <v/>
      </c>
    </row>
    <row r="162">
      <c r="A162" s="53" t="inlineStr">
        <is>
          <t>109924</t>
        </is>
      </c>
      <c r="B162" s="53" t="inlineStr">
        <is>
          <t>Sensorkabel</t>
        </is>
      </c>
      <c r="C162" s="53" t="inlineStr">
        <is>
          <t>F</t>
        </is>
      </c>
      <c r="D162" s="53" t="inlineStr">
        <is>
          <t>KTL</t>
        </is>
      </c>
      <c r="E162" s="53" t="inlineStr">
        <is>
          <t>C</t>
        </is>
      </c>
      <c r="F162" s="54" t="n">
        <v>10.02</v>
      </c>
      <c r="G162" s="55">
        <f>MAX(0,IF(Parameter!$B$20="Jahresanfang 2025 + Export",BG162+BF162,BF162))</f>
        <v/>
      </c>
      <c r="H162" s="55">
        <f>G162*F162</f>
        <v/>
      </c>
      <c r="I162" s="55">
        <f>BI162*Parameter!$B$18</f>
        <v/>
      </c>
      <c r="J162" s="56" t="n">
        <v>52</v>
      </c>
      <c r="K162" s="57" t="n">
        <v>2.942307692307693</v>
      </c>
      <c r="L162" s="55" t="n">
        <v>26</v>
      </c>
      <c r="M162" s="55" t="n">
        <v>155</v>
      </c>
      <c r="N162" s="58" t="n">
        <v>63</v>
      </c>
      <c r="O162" s="53" t="inlineStr">
        <is>
          <t>S41</t>
        </is>
      </c>
      <c r="P162" s="55" t="n">
        <v>40</v>
      </c>
      <c r="Q162" s="59">
        <f>IF(BO162=1,0,IFERROR(VLOOKUP(BM162,'Gebinde-Kategorie'!$A$5:$G$45,6,0)+0,0))</f>
        <v/>
      </c>
      <c r="R162" s="60" t="n"/>
      <c r="S162" s="61" t="n"/>
      <c r="T162" s="61" t="n"/>
      <c r="U162" s="53">
        <f>IF(A162="","",IF(IFERROR(VLOOKUP(D162,Parameter!$A$35:$C$64,2,0),"Nein")="2+3",IF(ISNUMBER(SEARCH("grosser Artikel",BJ162)),2,IFERROR(VLOOKUP(BM162,Parameter!$F$35:$G$64,2,0),2)),IF(OR(IFERROR(VLOOKUP(D162,Parameter!$A$35:$C$64,2,0),"Nein")="Nein",IFERROR(VLOOKUP(D162,Parameter!$A$35:$C$64,2,0),"Nein")=""),"-",VLOOKUP(D162,Parameter!$A$35:$C$64,2,0))))</f>
        <v/>
      </c>
      <c r="V162" s="61" t="n"/>
      <c r="W162" s="62" t="n"/>
      <c r="X162" s="55">
        <f>AM162</f>
        <v/>
      </c>
      <c r="Y162" s="55">
        <f>MAX(AM162,G162)</f>
        <v/>
      </c>
      <c r="Z162" s="63" t="n"/>
      <c r="AA162" s="55">
        <f>IF(LEFT(Cockpit!$C$5,1)="A",G162,IF(BT162=1,BU162,IF(LEFT(Cockpit!$C$5,1)="B",AE162,MAX(AE162,G162))))</f>
        <v/>
      </c>
      <c r="AB162" s="55">
        <f>IF(BO162=1,0,ROUNDUP(AA162/BN162,0))</f>
        <v/>
      </c>
      <c r="AC162" s="64">
        <f>IF(BO162=1,IF(AA162&lt;=0,0,BP162*MAX(1,IF(G162&gt;0,AA162/G162,1))),AB162*Q162)</f>
        <v/>
      </c>
      <c r="AD162" s="55">
        <f>AA162*F162</f>
        <v/>
      </c>
      <c r="AE162" s="55">
        <f>ROUNDUP(MAX(I162/IF(BS162&gt;0,BS162,MAX(0.1,N(Cockpit!$C$6))),BV162)/BN162,0)*BN162</f>
        <v/>
      </c>
      <c r="AF162" s="56">
        <f>IF(AC162&gt;0,I162/AC162,-1)</f>
        <v/>
      </c>
      <c r="AG162" s="56">
        <f>IF(AND(OR(BR162="L1",BR162="L23"),AC162&gt;0),SUMIFS($AC$7:$AC$1570,$BR$7:$BR$1570,BR162,$AF$7:$AF$1570,"&gt;"&amp;AF162)+SUMIFS($AC$7:$AC$1570,$BR$7:$BR$1570,BR162,$AF$7:$AF$1570,AF162,$BL$7:$BL$1570,"&lt;="&amp;BL162),"")</f>
        <v/>
      </c>
      <c r="AH162" s="65">
        <f>IF(AG162="",0,MAX(0,MIN(1,(IF(BR162="L1",Parameter!$K$5,Parameter!$K$6+Parameter!$K$7)-(AG162-AC162))/AC162)))</f>
        <v/>
      </c>
      <c r="AI162" s="55">
        <f>IF(LEFT(Cockpit!$I$5,1)="A",G162,IF(BT162=1,BU162,IF(LEFT(Cockpit!$I$5,1)="B",AM162,MAX(AM162,G162))))</f>
        <v/>
      </c>
      <c r="AJ162" s="55">
        <f>IF(BO162=1,0,ROUNDUP(AI162/BN162,0))</f>
        <v/>
      </c>
      <c r="AK162" s="64">
        <f>IF(BO162=1,IF(AI162&lt;=0,0,BP162*MAX(1,IF(G162&gt;0,AI162/G162,1))),AJ162*Q162)</f>
        <v/>
      </c>
      <c r="AL162" s="55">
        <f>AI162*F162</f>
        <v/>
      </c>
      <c r="AM162" s="55">
        <f>ROUNDUP(MAX(I162/IF(BS162&gt;0,BS162,MAX(0.1,N(Cockpit!$I$6))),BV162)/BN162,0)*BN162</f>
        <v/>
      </c>
      <c r="AN162" s="56">
        <f>IF(AK162&gt;0,I162/AK162,-1)</f>
        <v/>
      </c>
      <c r="AO162" s="56">
        <f>IF(AND(OR(BR162="L1",BR162="L23"),AK162&gt;0),SUMIFS($AK$7:$AK$1570,$BR$7:$BR$1570,BR162,$AN$7:$AN$1570,"&gt;"&amp;AN162)+SUMIFS($AK$7:$AK$1570,$BR$7:$BR$1570,BR162,$AN$7:$AN$1570,AN162,$BL$7:$BL$1570,"&lt;="&amp;BL162),"")</f>
        <v/>
      </c>
      <c r="AP162" s="65">
        <f>IF(AO162="",0,MAX(0,MIN(1,(IF(BR162="L1",Parameter!$K$5,Parameter!$K$6+Parameter!$K$7)-(AO162-AK162))/AK162)))</f>
        <v/>
      </c>
      <c r="AQ162" s="55">
        <f>IF(LEFT(Cockpit!$O$5,1)="A",G162,IF(BT162=1,BU162,IF(LEFT(Cockpit!$O$5,1)="B",AU162,MAX(AU162,G162))))</f>
        <v/>
      </c>
      <c r="AR162" s="55">
        <f>IF(BO162=1,0,ROUNDUP(AQ162/BN162,0))</f>
        <v/>
      </c>
      <c r="AS162" s="64">
        <f>IF(BO162=1,IF(AQ162&lt;=0,0,BP162*MAX(1,IF(G162&gt;0,AQ162/G162,1))),AR162*Q162)</f>
        <v/>
      </c>
      <c r="AT162" s="55">
        <f>AQ162*F162</f>
        <v/>
      </c>
      <c r="AU162" s="55">
        <f>ROUNDUP(MAX(I162/IF(BS162&gt;0,BS162,MAX(0.1,N(Cockpit!$O$6))),BV162)/BN162,0)*BN162</f>
        <v/>
      </c>
      <c r="AV162" s="56">
        <f>IF(AS162&gt;0,I162/AS162,-1)</f>
        <v/>
      </c>
      <c r="AW162" s="56">
        <f>IF(AND(OR(BR162="L1",BR162="L23"),AS162&gt;0),SUMIFS($AS$7:$AS$1570,$BR$7:$BR$1570,BR162,$AV$7:$AV$1570,"&gt;"&amp;AV162)+SUMIFS($AS$7:$AS$1570,$BR$7:$BR$1570,BR162,$AV$7:$AV$1570,AV162,$BL$7:$BL$1570,"&lt;="&amp;BL162),"")</f>
        <v/>
      </c>
      <c r="AX162" s="65">
        <f>IF(AW162="",0,MAX(0,MIN(1,(IF(BR162="L1",Parameter!$K$5,Parameter!$K$6+Parameter!$K$7)-(AW162-AS162))/AS162)))</f>
        <v/>
      </c>
      <c r="AY162" s="53">
        <f>IF(AC162&lt;=0,"",IF(BR162="Aussen","Aussenlager",IF(BR162="-","Nicht im Lift",IF(AH162&gt;=1,"Lift",IF(AH162&lt;=0,"Aussenlager","teilweise")))))</f>
        <v/>
      </c>
      <c r="AZ162" s="53">
        <f>IF(AK162&lt;=0,"",IF(BR162="Aussen","Aussenlager",IF(BR162="-","Nicht im Lift",IF(AP162&gt;=1,"Lift",IF(AP162&lt;=0,"Aussenlager","teilweise")))))</f>
        <v/>
      </c>
      <c r="BA162" s="53">
        <f>IF(AS162&lt;=0,"",IF(BR162="Aussen","Aussenlager",IF(BR162="-","Nicht im Lift",IF(AX162&gt;=1,"Lift",IF(AX162&lt;=0,"Aussenlager","teilweise")))))</f>
        <v/>
      </c>
      <c r="BB162" s="53">
        <f>IF(A162="","",IF(BK162=1,"Neu; ","")&amp;IF(AND(BK162=0,BF162&lt;0),"negativer Bestand (Export "&amp;BF162&amp;"); ","")&amp;IF(I162&lt;=0,"Kein Verbrauch; ","")&amp;IF(BO162=1,"Lose – Fläche geschätzt; ","")&amp;IF(G162&gt;AM162,"Überbestand "&amp;ROUND(G162-AM162,0)&amp;" Stk / CHF "&amp;ROUND((G162-AM162)*F162,0)&amp;"; ","")&amp;IF(AND(BT162=1,BU162&lt;BV162),"MAX &lt; MB+LG; ","")&amp;IF(AND(BZ162&gt;0,BY162*10&gt;BZ162),"zu hoch für Tablar; ","")&amp;IF(AND(BK162=0,OR(BT162=1,V162&lt;&gt;"",S162&lt;&gt;"",T162&lt;&gt;"",W162&lt;&gt;"")),"manuell übersteuert; ","")&amp;IF(AND(BO162=0,Q162=0),"Gebinde unbekannt; ","")&amp;IF(AND(BO162=0,N(T162)&lt;=0,N(P162)&lt;=0),"Menge pro Gebinde fehlt (Ist = 1 Gebinde); ","")&amp;BJ162)</f>
        <v/>
      </c>
      <c r="BC162" s="53" t="n"/>
      <c r="BD162" s="53" t="n"/>
      <c r="BE162" s="61" t="n"/>
      <c r="BF162" s="55" t="n">
        <v>122</v>
      </c>
      <c r="BG162" s="55" t="n">
        <v>51</v>
      </c>
      <c r="BH162" s="54" t="n">
        <v>1214.28</v>
      </c>
      <c r="BI162" s="55" t="n">
        <v>153</v>
      </c>
      <c r="BJ162" s="53" t="inlineStr"/>
      <c r="BK162" s="58" t="n">
        <v>0</v>
      </c>
      <c r="BL162" s="58" t="n">
        <v>162</v>
      </c>
      <c r="BM162" s="53">
        <f>IF(S162&lt;&gt;"",UPPER(TRIM(S162)),IF(O162="","LOSE",O162))</f>
        <v/>
      </c>
      <c r="BN162" s="55">
        <f>IF(BM162="LOSE",1,IF(N(T162)&gt;0,T162,IF(N(P162)&gt;0,P162,MAX(1,G162))))</f>
        <v/>
      </c>
      <c r="BO162" s="58">
        <f>IF(BM162="LOSE",1,0)</f>
        <v/>
      </c>
      <c r="BP162" s="64">
        <f>IF(BO162=0,0,IF(N(R162)&gt;0,R162,IFERROR(VLOOKUP(D162,Parameter!$A$35:$C$64,3,0)+0,0)))</f>
        <v/>
      </c>
      <c r="BQ162" s="53">
        <f>IF(V162&lt;&gt;"",V162,U162)</f>
        <v/>
      </c>
      <c r="BR162" s="53">
        <f>IF(BQ162=1,"L1",IF(OR(BQ162=2,BQ162=3),"L23",IF(BQ162="Aussen","Aussen","-")))</f>
        <v/>
      </c>
      <c r="BS162" s="66">
        <f>IF(N(W162)&gt;0,W162,0)</f>
        <v/>
      </c>
      <c r="BT162" s="58">
        <f>IF(ISNUMBER(Z162),1,0)</f>
        <v/>
      </c>
      <c r="BU162" s="55">
        <f>N(Z162)</f>
        <v/>
      </c>
      <c r="BV162" s="55">
        <f>N(L162)+N(M162)</f>
        <v/>
      </c>
      <c r="BW162" s="55">
        <f>ROUNDUP(G162/BN162,0)</f>
        <v/>
      </c>
      <c r="BX162" s="55">
        <f>ROUNDUP(BU162/BN162,0)</f>
        <v/>
      </c>
      <c r="BY162" s="58">
        <f>IF(BO162=1,0,IFERROR(VLOOKUP(BM162,'Gebinde-Kategorie'!$A$5:$G$45,5,0)+0,0))</f>
        <v/>
      </c>
      <c r="BZ162" s="58">
        <f>IFERROR(IF(OR(BQ162=1,BQ162=2,BQ162=3),N(INDEX(Parameter!$I$5:$I$7,BQ162)),0),0)</f>
        <v/>
      </c>
    </row>
    <row r="163">
      <c r="A163" s="53" t="inlineStr">
        <is>
          <t>102501</t>
        </is>
      </c>
      <c r="B163" s="53" t="inlineStr">
        <is>
          <t>Stützring</t>
        </is>
      </c>
      <c r="C163" s="53" t="inlineStr">
        <is>
          <t>F</t>
        </is>
      </c>
      <c r="D163" s="53" t="inlineStr">
        <is>
          <t>KTL</t>
        </is>
      </c>
      <c r="E163" s="53" t="inlineStr">
        <is>
          <t>C</t>
        </is>
      </c>
      <c r="F163" s="54" t="n">
        <v>1.8</v>
      </c>
      <c r="G163" s="55">
        <f>MAX(0,IF(Parameter!$B$20="Jahresanfang 2025 + Export",BG163+BF163,BF163))</f>
        <v/>
      </c>
      <c r="H163" s="55">
        <f>G163*F163</f>
        <v/>
      </c>
      <c r="I163" s="55">
        <f>BI163*Parameter!$B$18</f>
        <v/>
      </c>
      <c r="J163" s="56" t="n">
        <v>215</v>
      </c>
      <c r="K163" s="57" t="n">
        <v>4.581395348837209</v>
      </c>
      <c r="L163" s="55" t="n">
        <v>38</v>
      </c>
      <c r="M163" s="55" t="n">
        <v>985</v>
      </c>
      <c r="N163" s="58" t="n">
        <v>14</v>
      </c>
      <c r="O163" s="53" t="inlineStr">
        <is>
          <t>S41</t>
        </is>
      </c>
      <c r="P163" s="55" t="n">
        <v>388</v>
      </c>
      <c r="Q163" s="59">
        <f>IF(BO163=1,0,IFERROR(VLOOKUP(BM163,'Gebinde-Kategorie'!$A$5:$G$45,6,0)+0,0))</f>
        <v/>
      </c>
      <c r="R163" s="60" t="n"/>
      <c r="S163" s="61" t="n"/>
      <c r="T163" s="61" t="n"/>
      <c r="U163" s="53">
        <f>IF(A163="","",IF(IFERROR(VLOOKUP(D163,Parameter!$A$35:$C$64,2,0),"Nein")="2+3",IF(ISNUMBER(SEARCH("grosser Artikel",BJ163)),2,IFERROR(VLOOKUP(BM163,Parameter!$F$35:$G$64,2,0),2)),IF(OR(IFERROR(VLOOKUP(D163,Parameter!$A$35:$C$64,2,0),"Nein")="Nein",IFERROR(VLOOKUP(D163,Parameter!$A$35:$C$64,2,0),"Nein")=""),"-",VLOOKUP(D163,Parameter!$A$35:$C$64,2,0))))</f>
        <v/>
      </c>
      <c r="V163" s="61" t="n"/>
      <c r="W163" s="62" t="n"/>
      <c r="X163" s="55">
        <f>AM163</f>
        <v/>
      </c>
      <c r="Y163" s="55">
        <f>MAX(AM163,G163)</f>
        <v/>
      </c>
      <c r="Z163" s="63" t="n"/>
      <c r="AA163" s="55">
        <f>IF(LEFT(Cockpit!$C$5,1)="A",G163,IF(BT163=1,BU163,IF(LEFT(Cockpit!$C$5,1)="B",AE163,MAX(AE163,G163))))</f>
        <v/>
      </c>
      <c r="AB163" s="55">
        <f>IF(BO163=1,0,ROUNDUP(AA163/BN163,0))</f>
        <v/>
      </c>
      <c r="AC163" s="64">
        <f>IF(BO163=1,IF(AA163&lt;=0,0,BP163*MAX(1,IF(G163&gt;0,AA163/G163,1))),AB163*Q163)</f>
        <v/>
      </c>
      <c r="AD163" s="55">
        <f>AA163*F163</f>
        <v/>
      </c>
      <c r="AE163" s="55">
        <f>ROUNDUP(MAX(I163/IF(BS163&gt;0,BS163,MAX(0.1,N(Cockpit!$C$6))),BV163)/BN163,0)*BN163</f>
        <v/>
      </c>
      <c r="AF163" s="56">
        <f>IF(AC163&gt;0,I163/AC163,-1)</f>
        <v/>
      </c>
      <c r="AG163" s="56">
        <f>IF(AND(OR(BR163="L1",BR163="L23"),AC163&gt;0),SUMIFS($AC$7:$AC$1570,$BR$7:$BR$1570,BR163,$AF$7:$AF$1570,"&gt;"&amp;AF163)+SUMIFS($AC$7:$AC$1570,$BR$7:$BR$1570,BR163,$AF$7:$AF$1570,AF163,$BL$7:$BL$1570,"&lt;="&amp;BL163),"")</f>
        <v/>
      </c>
      <c r="AH163" s="65">
        <f>IF(AG163="",0,MAX(0,MIN(1,(IF(BR163="L1",Parameter!$K$5,Parameter!$K$6+Parameter!$K$7)-(AG163-AC163))/AC163)))</f>
        <v/>
      </c>
      <c r="AI163" s="55">
        <f>IF(LEFT(Cockpit!$I$5,1)="A",G163,IF(BT163=1,BU163,IF(LEFT(Cockpit!$I$5,1)="B",AM163,MAX(AM163,G163))))</f>
        <v/>
      </c>
      <c r="AJ163" s="55">
        <f>IF(BO163=1,0,ROUNDUP(AI163/BN163,0))</f>
        <v/>
      </c>
      <c r="AK163" s="64">
        <f>IF(BO163=1,IF(AI163&lt;=0,0,BP163*MAX(1,IF(G163&gt;0,AI163/G163,1))),AJ163*Q163)</f>
        <v/>
      </c>
      <c r="AL163" s="55">
        <f>AI163*F163</f>
        <v/>
      </c>
      <c r="AM163" s="55">
        <f>ROUNDUP(MAX(I163/IF(BS163&gt;0,BS163,MAX(0.1,N(Cockpit!$I$6))),BV163)/BN163,0)*BN163</f>
        <v/>
      </c>
      <c r="AN163" s="56">
        <f>IF(AK163&gt;0,I163/AK163,-1)</f>
        <v/>
      </c>
      <c r="AO163" s="56">
        <f>IF(AND(OR(BR163="L1",BR163="L23"),AK163&gt;0),SUMIFS($AK$7:$AK$1570,$BR$7:$BR$1570,BR163,$AN$7:$AN$1570,"&gt;"&amp;AN163)+SUMIFS($AK$7:$AK$1570,$BR$7:$BR$1570,BR163,$AN$7:$AN$1570,AN163,$BL$7:$BL$1570,"&lt;="&amp;BL163),"")</f>
        <v/>
      </c>
      <c r="AP163" s="65">
        <f>IF(AO163="",0,MAX(0,MIN(1,(IF(BR163="L1",Parameter!$K$5,Parameter!$K$6+Parameter!$K$7)-(AO163-AK163))/AK163)))</f>
        <v/>
      </c>
      <c r="AQ163" s="55">
        <f>IF(LEFT(Cockpit!$O$5,1)="A",G163,IF(BT163=1,BU163,IF(LEFT(Cockpit!$O$5,1)="B",AU163,MAX(AU163,G163))))</f>
        <v/>
      </c>
      <c r="AR163" s="55">
        <f>IF(BO163=1,0,ROUNDUP(AQ163/BN163,0))</f>
        <v/>
      </c>
      <c r="AS163" s="64">
        <f>IF(BO163=1,IF(AQ163&lt;=0,0,BP163*MAX(1,IF(G163&gt;0,AQ163/G163,1))),AR163*Q163)</f>
        <v/>
      </c>
      <c r="AT163" s="55">
        <f>AQ163*F163</f>
        <v/>
      </c>
      <c r="AU163" s="55">
        <f>ROUNDUP(MAX(I163/IF(BS163&gt;0,BS163,MAX(0.1,N(Cockpit!$O$6))),BV163)/BN163,0)*BN163</f>
        <v/>
      </c>
      <c r="AV163" s="56">
        <f>IF(AS163&gt;0,I163/AS163,-1)</f>
        <v/>
      </c>
      <c r="AW163" s="56">
        <f>IF(AND(OR(BR163="L1",BR163="L23"),AS163&gt;0),SUMIFS($AS$7:$AS$1570,$BR$7:$BR$1570,BR163,$AV$7:$AV$1570,"&gt;"&amp;AV163)+SUMIFS($AS$7:$AS$1570,$BR$7:$BR$1570,BR163,$AV$7:$AV$1570,AV163,$BL$7:$BL$1570,"&lt;="&amp;BL163),"")</f>
        <v/>
      </c>
      <c r="AX163" s="65">
        <f>IF(AW163="",0,MAX(0,MIN(1,(IF(BR163="L1",Parameter!$K$5,Parameter!$K$6+Parameter!$K$7)-(AW163-AS163))/AS163)))</f>
        <v/>
      </c>
      <c r="AY163" s="53">
        <f>IF(AC163&lt;=0,"",IF(BR163="Aussen","Aussenlager",IF(BR163="-","Nicht im Lift",IF(AH163&gt;=1,"Lift",IF(AH163&lt;=0,"Aussenlager","teilweise")))))</f>
        <v/>
      </c>
      <c r="AZ163" s="53">
        <f>IF(AK163&lt;=0,"",IF(BR163="Aussen","Aussenlager",IF(BR163="-","Nicht im Lift",IF(AP163&gt;=1,"Lift",IF(AP163&lt;=0,"Aussenlager","teilweise")))))</f>
        <v/>
      </c>
      <c r="BA163" s="53">
        <f>IF(AS163&lt;=0,"",IF(BR163="Aussen","Aussenlager",IF(BR163="-","Nicht im Lift",IF(AX163&gt;=1,"Lift",IF(AX163&lt;=0,"Aussenlager","teilweise")))))</f>
        <v/>
      </c>
      <c r="BB163" s="53">
        <f>IF(A163="","",IF(BK163=1,"Neu; ","")&amp;IF(AND(BK163=0,BF163&lt;0),"negativer Bestand (Export "&amp;BF163&amp;"); ","")&amp;IF(I163&lt;=0,"Kein Verbrauch; ","")&amp;IF(BO163=1,"Lose – Fläche geschätzt; ","")&amp;IF(G163&gt;AM163,"Überbestand "&amp;ROUND(G163-AM163,0)&amp;" Stk / CHF "&amp;ROUND((G163-AM163)*F163,0)&amp;"; ","")&amp;IF(AND(BT163=1,BU163&lt;BV163),"MAX &lt; MB+LG; ","")&amp;IF(AND(BZ163&gt;0,BY163*10&gt;BZ163),"zu hoch für Tablar; ","")&amp;IF(AND(BK163=0,OR(BT163=1,V163&lt;&gt;"",S163&lt;&gt;"",T163&lt;&gt;"",W163&lt;&gt;"")),"manuell übersteuert; ","")&amp;IF(AND(BO163=0,Q163=0),"Gebinde unbekannt; ","")&amp;IF(AND(BO163=0,N(T163)&lt;=0,N(P163)&lt;=0),"Menge pro Gebinde fehlt (Ist = 1 Gebinde); ","")&amp;BJ163)</f>
        <v/>
      </c>
      <c r="BC163" s="53" t="n"/>
      <c r="BD163" s="53" t="n"/>
      <c r="BE163" s="61" t="n"/>
      <c r="BF163" s="55" t="n">
        <v>665</v>
      </c>
      <c r="BG163" s="55" t="n">
        <v>111</v>
      </c>
      <c r="BH163" s="54" t="n">
        <v>1197</v>
      </c>
      <c r="BI163" s="55" t="n">
        <v>985</v>
      </c>
      <c r="BJ163" s="53" t="inlineStr"/>
      <c r="BK163" s="58" t="n">
        <v>0</v>
      </c>
      <c r="BL163" s="58" t="n">
        <v>163</v>
      </c>
      <c r="BM163" s="53">
        <f>IF(S163&lt;&gt;"",UPPER(TRIM(S163)),IF(O163="","LOSE",O163))</f>
        <v/>
      </c>
      <c r="BN163" s="55">
        <f>IF(BM163="LOSE",1,IF(N(T163)&gt;0,T163,IF(N(P163)&gt;0,P163,MAX(1,G163))))</f>
        <v/>
      </c>
      <c r="BO163" s="58">
        <f>IF(BM163="LOSE",1,0)</f>
        <v/>
      </c>
      <c r="BP163" s="64">
        <f>IF(BO163=0,0,IF(N(R163)&gt;0,R163,IFERROR(VLOOKUP(D163,Parameter!$A$35:$C$64,3,0)+0,0)))</f>
        <v/>
      </c>
      <c r="BQ163" s="53">
        <f>IF(V163&lt;&gt;"",V163,U163)</f>
        <v/>
      </c>
      <c r="BR163" s="53">
        <f>IF(BQ163=1,"L1",IF(OR(BQ163=2,BQ163=3),"L23",IF(BQ163="Aussen","Aussen","-")))</f>
        <v/>
      </c>
      <c r="BS163" s="66">
        <f>IF(N(W163)&gt;0,W163,0)</f>
        <v/>
      </c>
      <c r="BT163" s="58">
        <f>IF(ISNUMBER(Z163),1,0)</f>
        <v/>
      </c>
      <c r="BU163" s="55">
        <f>N(Z163)</f>
        <v/>
      </c>
      <c r="BV163" s="55">
        <f>N(L163)+N(M163)</f>
        <v/>
      </c>
      <c r="BW163" s="55">
        <f>ROUNDUP(G163/BN163,0)</f>
        <v/>
      </c>
      <c r="BX163" s="55">
        <f>ROUNDUP(BU163/BN163,0)</f>
        <v/>
      </c>
      <c r="BY163" s="58">
        <f>IF(BO163=1,0,IFERROR(VLOOKUP(BM163,'Gebinde-Kategorie'!$A$5:$G$45,5,0)+0,0))</f>
        <v/>
      </c>
      <c r="BZ163" s="58">
        <f>IFERROR(IF(OR(BQ163=1,BQ163=2,BQ163=3),N(INDEX(Parameter!$I$5:$I$7,BQ163)),0),0)</f>
        <v/>
      </c>
    </row>
    <row r="164">
      <c r="A164" s="53" t="inlineStr">
        <is>
          <t>106944</t>
        </is>
      </c>
      <c r="B164" s="53" t="inlineStr">
        <is>
          <t>Busmodul</t>
        </is>
      </c>
      <c r="C164" s="53" t="inlineStr">
        <is>
          <t>F</t>
        </is>
      </c>
      <c r="D164" s="53" t="inlineStr">
        <is>
          <t>KTL</t>
        </is>
      </c>
      <c r="E164" s="53" t="inlineStr">
        <is>
          <t>C</t>
        </is>
      </c>
      <c r="F164" s="54" t="n">
        <v>22.14</v>
      </c>
      <c r="G164" s="55">
        <f>MAX(0,IF(Parameter!$B$20="Jahresanfang 2025 + Export",BG164+BF164,BF164))</f>
        <v/>
      </c>
      <c r="H164" s="55">
        <f>G164*F164</f>
        <v/>
      </c>
      <c r="I164" s="55">
        <f>BI164*Parameter!$B$18</f>
        <v/>
      </c>
      <c r="J164" s="56" t="n">
        <v>75</v>
      </c>
      <c r="K164" s="57" t="n">
        <v>0.02666666666666667</v>
      </c>
      <c r="L164" s="55" t="n">
        <v>0</v>
      </c>
      <c r="M164" s="55" t="n">
        <v>1</v>
      </c>
      <c r="N164" s="58" t="n">
        <v>70</v>
      </c>
      <c r="O164" s="53" t="inlineStr">
        <is>
          <t>S61</t>
        </is>
      </c>
      <c r="P164" s="55" t="n">
        <v>100</v>
      </c>
      <c r="Q164" s="59">
        <f>IF(BO164=1,0,IFERROR(VLOOKUP(BM164,'Gebinde-Kategorie'!$A$5:$G$45,6,0)+0,0))</f>
        <v/>
      </c>
      <c r="R164" s="60" t="n"/>
      <c r="S164" s="61" t="n"/>
      <c r="T164" s="61" t="n"/>
      <c r="U164" s="53">
        <f>IF(A164="","",IF(IFERROR(VLOOKUP(D164,Parameter!$A$35:$C$64,2,0),"Nein")="2+3",IF(ISNUMBER(SEARCH("grosser Artikel",BJ164)),2,IFERROR(VLOOKUP(BM164,Parameter!$F$35:$G$64,2,0),2)),IF(OR(IFERROR(VLOOKUP(D164,Parameter!$A$35:$C$64,2,0),"Nein")="Nein",IFERROR(VLOOKUP(D164,Parameter!$A$35:$C$64,2,0),"Nein")=""),"-",VLOOKUP(D164,Parameter!$A$35:$C$64,2,0))))</f>
        <v/>
      </c>
      <c r="V164" s="61" t="n"/>
      <c r="W164" s="62" t="n"/>
      <c r="X164" s="55">
        <f>AM164</f>
        <v/>
      </c>
      <c r="Y164" s="55">
        <f>MAX(AM164,G164)</f>
        <v/>
      </c>
      <c r="Z164" s="63" t="n"/>
      <c r="AA164" s="55">
        <f>IF(LEFT(Cockpit!$C$5,1)="A",G164,IF(BT164=1,BU164,IF(LEFT(Cockpit!$C$5,1)="B",AE164,MAX(AE164,G164))))</f>
        <v/>
      </c>
      <c r="AB164" s="55">
        <f>IF(BO164=1,0,ROUNDUP(AA164/BN164,0))</f>
        <v/>
      </c>
      <c r="AC164" s="64">
        <f>IF(BO164=1,IF(AA164&lt;=0,0,BP164*MAX(1,IF(G164&gt;0,AA164/G164,1))),AB164*Q164)</f>
        <v/>
      </c>
      <c r="AD164" s="55">
        <f>AA164*F164</f>
        <v/>
      </c>
      <c r="AE164" s="55">
        <f>ROUNDUP(MAX(I164/IF(BS164&gt;0,BS164,MAX(0.1,N(Cockpit!$C$6))),BV164)/BN164,0)*BN164</f>
        <v/>
      </c>
      <c r="AF164" s="56">
        <f>IF(AC164&gt;0,I164/AC164,-1)</f>
        <v/>
      </c>
      <c r="AG164" s="56">
        <f>IF(AND(OR(BR164="L1",BR164="L23"),AC164&gt;0),SUMIFS($AC$7:$AC$1570,$BR$7:$BR$1570,BR164,$AF$7:$AF$1570,"&gt;"&amp;AF164)+SUMIFS($AC$7:$AC$1570,$BR$7:$BR$1570,BR164,$AF$7:$AF$1570,AF164,$BL$7:$BL$1570,"&lt;="&amp;BL164),"")</f>
        <v/>
      </c>
      <c r="AH164" s="65">
        <f>IF(AG164="",0,MAX(0,MIN(1,(IF(BR164="L1",Parameter!$K$5,Parameter!$K$6+Parameter!$K$7)-(AG164-AC164))/AC164)))</f>
        <v/>
      </c>
      <c r="AI164" s="55">
        <f>IF(LEFT(Cockpit!$I$5,1)="A",G164,IF(BT164=1,BU164,IF(LEFT(Cockpit!$I$5,1)="B",AM164,MAX(AM164,G164))))</f>
        <v/>
      </c>
      <c r="AJ164" s="55">
        <f>IF(BO164=1,0,ROUNDUP(AI164/BN164,0))</f>
        <v/>
      </c>
      <c r="AK164" s="64">
        <f>IF(BO164=1,IF(AI164&lt;=0,0,BP164*MAX(1,IF(G164&gt;0,AI164/G164,1))),AJ164*Q164)</f>
        <v/>
      </c>
      <c r="AL164" s="55">
        <f>AI164*F164</f>
        <v/>
      </c>
      <c r="AM164" s="55">
        <f>ROUNDUP(MAX(I164/IF(BS164&gt;0,BS164,MAX(0.1,N(Cockpit!$I$6))),BV164)/BN164,0)*BN164</f>
        <v/>
      </c>
      <c r="AN164" s="56">
        <f>IF(AK164&gt;0,I164/AK164,-1)</f>
        <v/>
      </c>
      <c r="AO164" s="56">
        <f>IF(AND(OR(BR164="L1",BR164="L23"),AK164&gt;0),SUMIFS($AK$7:$AK$1570,$BR$7:$BR$1570,BR164,$AN$7:$AN$1570,"&gt;"&amp;AN164)+SUMIFS($AK$7:$AK$1570,$BR$7:$BR$1570,BR164,$AN$7:$AN$1570,AN164,$BL$7:$BL$1570,"&lt;="&amp;BL164),"")</f>
        <v/>
      </c>
      <c r="AP164" s="65">
        <f>IF(AO164="",0,MAX(0,MIN(1,(IF(BR164="L1",Parameter!$K$5,Parameter!$K$6+Parameter!$K$7)-(AO164-AK164))/AK164)))</f>
        <v/>
      </c>
      <c r="AQ164" s="55">
        <f>IF(LEFT(Cockpit!$O$5,1)="A",G164,IF(BT164=1,BU164,IF(LEFT(Cockpit!$O$5,1)="B",AU164,MAX(AU164,G164))))</f>
        <v/>
      </c>
      <c r="AR164" s="55">
        <f>IF(BO164=1,0,ROUNDUP(AQ164/BN164,0))</f>
        <v/>
      </c>
      <c r="AS164" s="64">
        <f>IF(BO164=1,IF(AQ164&lt;=0,0,BP164*MAX(1,IF(G164&gt;0,AQ164/G164,1))),AR164*Q164)</f>
        <v/>
      </c>
      <c r="AT164" s="55">
        <f>AQ164*F164</f>
        <v/>
      </c>
      <c r="AU164" s="55">
        <f>ROUNDUP(MAX(I164/IF(BS164&gt;0,BS164,MAX(0.1,N(Cockpit!$O$6))),BV164)/BN164,0)*BN164</f>
        <v/>
      </c>
      <c r="AV164" s="56">
        <f>IF(AS164&gt;0,I164/AS164,-1)</f>
        <v/>
      </c>
      <c r="AW164" s="56">
        <f>IF(AND(OR(BR164="L1",BR164="L23"),AS164&gt;0),SUMIFS($AS$7:$AS$1570,$BR$7:$BR$1570,BR164,$AV$7:$AV$1570,"&gt;"&amp;AV164)+SUMIFS($AS$7:$AS$1570,$BR$7:$BR$1570,BR164,$AV$7:$AV$1570,AV164,$BL$7:$BL$1570,"&lt;="&amp;BL164),"")</f>
        <v/>
      </c>
      <c r="AX164" s="65">
        <f>IF(AW164="",0,MAX(0,MIN(1,(IF(BR164="L1",Parameter!$K$5,Parameter!$K$6+Parameter!$K$7)-(AW164-AS164))/AS164)))</f>
        <v/>
      </c>
      <c r="AY164" s="53">
        <f>IF(AC164&lt;=0,"",IF(BR164="Aussen","Aussenlager",IF(BR164="-","Nicht im Lift",IF(AH164&gt;=1,"Lift",IF(AH164&lt;=0,"Aussenlager","teilweise")))))</f>
        <v/>
      </c>
      <c r="AZ164" s="53">
        <f>IF(AK164&lt;=0,"",IF(BR164="Aussen","Aussenlager",IF(BR164="-","Nicht im Lift",IF(AP164&gt;=1,"Lift",IF(AP164&lt;=0,"Aussenlager","teilweise")))))</f>
        <v/>
      </c>
      <c r="BA164" s="53">
        <f>IF(AS164&lt;=0,"",IF(BR164="Aussen","Aussenlager",IF(BR164="-","Nicht im Lift",IF(AX164&gt;=1,"Lift",IF(AX164&lt;=0,"Aussenlager","teilweise")))))</f>
        <v/>
      </c>
      <c r="BB164" s="53">
        <f>IF(A164="","",IF(BK164=1,"Neu; ","")&amp;IF(AND(BK164=0,BF164&lt;0),"negativer Bestand (Export "&amp;BF164&amp;"); ","")&amp;IF(I164&lt;=0,"Kein Verbrauch; ","")&amp;IF(BO164=1,"Lose – Fläche geschätzt; ","")&amp;IF(G164&gt;AM164,"Überbestand "&amp;ROUND(G164-AM164,0)&amp;" Stk / CHF "&amp;ROUND((G164-AM164)*F164,0)&amp;"; ","")&amp;IF(AND(BT164=1,BU164&lt;BV164),"MAX &lt; MB+LG; ","")&amp;IF(AND(BZ164&gt;0,BY164*10&gt;BZ164),"zu hoch für Tablar; ","")&amp;IF(AND(BK164=0,OR(BT164=1,V164&lt;&gt;"",S164&lt;&gt;"",T164&lt;&gt;"",W164&lt;&gt;"")),"manuell übersteuert; ","")&amp;IF(AND(BO164=0,Q164=0),"Gebinde unbekannt; ","")&amp;IF(AND(BO164=0,N(T164)&lt;=0,N(P164)&lt;=0),"Menge pro Gebinde fehlt (Ist = 1 Gebinde); ","")&amp;BJ164)</f>
        <v/>
      </c>
      <c r="BC164" s="53" t="n"/>
      <c r="BD164" s="53" t="n"/>
      <c r="BE164" s="61" t="n"/>
      <c r="BF164" s="55" t="n">
        <v>48</v>
      </c>
      <c r="BG164" s="55" t="n">
        <v>75</v>
      </c>
      <c r="BH164" s="54" t="n">
        <v>1171.2</v>
      </c>
      <c r="BI164" s="55" t="n">
        <v>2</v>
      </c>
      <c r="BJ164" s="53" t="inlineStr">
        <is>
          <t>i.o</t>
        </is>
      </c>
      <c r="BK164" s="58" t="n">
        <v>0</v>
      </c>
      <c r="BL164" s="58" t="n">
        <v>164</v>
      </c>
      <c r="BM164" s="53">
        <f>IF(S164&lt;&gt;"",UPPER(TRIM(S164)),IF(O164="","LOSE",O164))</f>
        <v/>
      </c>
      <c r="BN164" s="55">
        <f>IF(BM164="LOSE",1,IF(N(T164)&gt;0,T164,IF(N(P164)&gt;0,P164,MAX(1,G164))))</f>
        <v/>
      </c>
      <c r="BO164" s="58">
        <f>IF(BM164="LOSE",1,0)</f>
        <v/>
      </c>
      <c r="BP164" s="64">
        <f>IF(BO164=0,0,IF(N(R164)&gt;0,R164,IFERROR(VLOOKUP(D164,Parameter!$A$35:$C$64,3,0)+0,0)))</f>
        <v/>
      </c>
      <c r="BQ164" s="53">
        <f>IF(V164&lt;&gt;"",V164,U164)</f>
        <v/>
      </c>
      <c r="BR164" s="53">
        <f>IF(BQ164=1,"L1",IF(OR(BQ164=2,BQ164=3),"L23",IF(BQ164="Aussen","Aussen","-")))</f>
        <v/>
      </c>
      <c r="BS164" s="66">
        <f>IF(N(W164)&gt;0,W164,0)</f>
        <v/>
      </c>
      <c r="BT164" s="58">
        <f>IF(ISNUMBER(Z164),1,0)</f>
        <v/>
      </c>
      <c r="BU164" s="55">
        <f>N(Z164)</f>
        <v/>
      </c>
      <c r="BV164" s="55">
        <f>N(L164)+N(M164)</f>
        <v/>
      </c>
      <c r="BW164" s="55">
        <f>ROUNDUP(G164/BN164,0)</f>
        <v/>
      </c>
      <c r="BX164" s="55">
        <f>ROUNDUP(BU164/BN164,0)</f>
        <v/>
      </c>
      <c r="BY164" s="58">
        <f>IF(BO164=1,0,IFERROR(VLOOKUP(BM164,'Gebinde-Kategorie'!$A$5:$G$45,5,0)+0,0))</f>
        <v/>
      </c>
      <c r="BZ164" s="58">
        <f>IFERROR(IF(OR(BQ164=1,BQ164=2,BQ164=3),N(INDEX(Parameter!$I$5:$I$7,BQ164)),0),0)</f>
        <v/>
      </c>
    </row>
    <row r="165">
      <c r="A165" s="53" t="inlineStr">
        <is>
          <t>109172</t>
        </is>
      </c>
      <c r="B165" s="53" t="inlineStr">
        <is>
          <t>Basisschlauch für Bündelanschluss</t>
        </is>
      </c>
      <c r="C165" s="53" t="inlineStr">
        <is>
          <t>F</t>
        </is>
      </c>
      <c r="D165" s="53" t="inlineStr">
        <is>
          <t>PAL</t>
        </is>
      </c>
      <c r="E165" s="53" t="inlineStr">
        <is>
          <t>C</t>
        </is>
      </c>
      <c r="F165" s="54" t="n">
        <v>145.13</v>
      </c>
      <c r="G165" s="55">
        <f>MAX(0,IF(Parameter!$B$20="Jahresanfang 2025 + Export",BG165+BF165,BF165))</f>
        <v/>
      </c>
      <c r="H165" s="55">
        <f>G165*F165</f>
        <v/>
      </c>
      <c r="I165" s="55">
        <f>BI165*Parameter!$B$18</f>
        <v/>
      </c>
      <c r="J165" s="56" t="n">
        <v>11.5</v>
      </c>
      <c r="K165" s="57" t="n">
        <v>2.434782608695652</v>
      </c>
      <c r="L165" s="55" t="n">
        <v>4</v>
      </c>
      <c r="M165" s="55" t="n">
        <v>20</v>
      </c>
      <c r="N165" s="58" t="n">
        <v>50</v>
      </c>
      <c r="O165" s="53" t="inlineStr">
        <is>
          <t>S71</t>
        </is>
      </c>
      <c r="P165" s="55" t="n">
        <v>15</v>
      </c>
      <c r="Q165" s="59">
        <f>IF(BO165=1,0,IFERROR(VLOOKUP(BM165,'Gebinde-Kategorie'!$A$5:$G$45,6,0)+0,0))</f>
        <v/>
      </c>
      <c r="R165" s="60" t="n"/>
      <c r="S165" s="61" t="n"/>
      <c r="T165" s="61" t="n"/>
      <c r="U165" s="53">
        <f>IF(A165="","",IF(IFERROR(VLOOKUP(D165,Parameter!$A$35:$C$64,2,0),"Nein")="2+3",IF(ISNUMBER(SEARCH("grosser Artikel",BJ165)),2,IFERROR(VLOOKUP(BM165,Parameter!$F$35:$G$64,2,0),2)),IF(OR(IFERROR(VLOOKUP(D165,Parameter!$A$35:$C$64,2,0),"Nein")="Nein",IFERROR(VLOOKUP(D165,Parameter!$A$35:$C$64,2,0),"Nein")=""),"-",VLOOKUP(D165,Parameter!$A$35:$C$64,2,0))))</f>
        <v/>
      </c>
      <c r="V165" s="61" t="n"/>
      <c r="W165" s="62" t="n"/>
      <c r="X165" s="55">
        <f>AM165</f>
        <v/>
      </c>
      <c r="Y165" s="55">
        <f>MAX(AM165,G165)</f>
        <v/>
      </c>
      <c r="Z165" s="63" t="n"/>
      <c r="AA165" s="55">
        <f>IF(LEFT(Cockpit!$C$5,1)="A",G165,IF(BT165=1,BU165,IF(LEFT(Cockpit!$C$5,1)="B",AE165,MAX(AE165,G165))))</f>
        <v/>
      </c>
      <c r="AB165" s="55">
        <f>IF(BO165=1,0,ROUNDUP(AA165/BN165,0))</f>
        <v/>
      </c>
      <c r="AC165" s="64">
        <f>IF(BO165=1,IF(AA165&lt;=0,0,BP165*MAX(1,IF(G165&gt;0,AA165/G165,1))),AB165*Q165)</f>
        <v/>
      </c>
      <c r="AD165" s="55">
        <f>AA165*F165</f>
        <v/>
      </c>
      <c r="AE165" s="55">
        <f>ROUNDUP(MAX(I165/IF(BS165&gt;0,BS165,MAX(0.1,N(Cockpit!$C$6))),BV165)/BN165,0)*BN165</f>
        <v/>
      </c>
      <c r="AF165" s="56">
        <f>IF(AC165&gt;0,I165/AC165,-1)</f>
        <v/>
      </c>
      <c r="AG165" s="56">
        <f>IF(AND(OR(BR165="L1",BR165="L23"),AC165&gt;0),SUMIFS($AC$7:$AC$1570,$BR$7:$BR$1570,BR165,$AF$7:$AF$1570,"&gt;"&amp;AF165)+SUMIFS($AC$7:$AC$1570,$BR$7:$BR$1570,BR165,$AF$7:$AF$1570,AF165,$BL$7:$BL$1570,"&lt;="&amp;BL165),"")</f>
        <v/>
      </c>
      <c r="AH165" s="65">
        <f>IF(AG165="",0,MAX(0,MIN(1,(IF(BR165="L1",Parameter!$K$5,Parameter!$K$6+Parameter!$K$7)-(AG165-AC165))/AC165)))</f>
        <v/>
      </c>
      <c r="AI165" s="55">
        <f>IF(LEFT(Cockpit!$I$5,1)="A",G165,IF(BT165=1,BU165,IF(LEFT(Cockpit!$I$5,1)="B",AM165,MAX(AM165,G165))))</f>
        <v/>
      </c>
      <c r="AJ165" s="55">
        <f>IF(BO165=1,0,ROUNDUP(AI165/BN165,0))</f>
        <v/>
      </c>
      <c r="AK165" s="64">
        <f>IF(BO165=1,IF(AI165&lt;=0,0,BP165*MAX(1,IF(G165&gt;0,AI165/G165,1))),AJ165*Q165)</f>
        <v/>
      </c>
      <c r="AL165" s="55">
        <f>AI165*F165</f>
        <v/>
      </c>
      <c r="AM165" s="55">
        <f>ROUNDUP(MAX(I165/IF(BS165&gt;0,BS165,MAX(0.1,N(Cockpit!$I$6))),BV165)/BN165,0)*BN165</f>
        <v/>
      </c>
      <c r="AN165" s="56">
        <f>IF(AK165&gt;0,I165/AK165,-1)</f>
        <v/>
      </c>
      <c r="AO165" s="56">
        <f>IF(AND(OR(BR165="L1",BR165="L23"),AK165&gt;0),SUMIFS($AK$7:$AK$1570,$BR$7:$BR$1570,BR165,$AN$7:$AN$1570,"&gt;"&amp;AN165)+SUMIFS($AK$7:$AK$1570,$BR$7:$BR$1570,BR165,$AN$7:$AN$1570,AN165,$BL$7:$BL$1570,"&lt;="&amp;BL165),"")</f>
        <v/>
      </c>
      <c r="AP165" s="65">
        <f>IF(AO165="",0,MAX(0,MIN(1,(IF(BR165="L1",Parameter!$K$5,Parameter!$K$6+Parameter!$K$7)-(AO165-AK165))/AK165)))</f>
        <v/>
      </c>
      <c r="AQ165" s="55">
        <f>IF(LEFT(Cockpit!$O$5,1)="A",G165,IF(BT165=1,BU165,IF(LEFT(Cockpit!$O$5,1)="B",AU165,MAX(AU165,G165))))</f>
        <v/>
      </c>
      <c r="AR165" s="55">
        <f>IF(BO165=1,0,ROUNDUP(AQ165/BN165,0))</f>
        <v/>
      </c>
      <c r="AS165" s="64">
        <f>IF(BO165=1,IF(AQ165&lt;=0,0,BP165*MAX(1,IF(G165&gt;0,AQ165/G165,1))),AR165*Q165)</f>
        <v/>
      </c>
      <c r="AT165" s="55">
        <f>AQ165*F165</f>
        <v/>
      </c>
      <c r="AU165" s="55">
        <f>ROUNDUP(MAX(I165/IF(BS165&gt;0,BS165,MAX(0.1,N(Cockpit!$O$6))),BV165)/BN165,0)*BN165</f>
        <v/>
      </c>
      <c r="AV165" s="56">
        <f>IF(AS165&gt;0,I165/AS165,-1)</f>
        <v/>
      </c>
      <c r="AW165" s="56">
        <f>IF(AND(OR(BR165="L1",BR165="L23"),AS165&gt;0),SUMIFS($AS$7:$AS$1570,$BR$7:$BR$1570,BR165,$AV$7:$AV$1570,"&gt;"&amp;AV165)+SUMIFS($AS$7:$AS$1570,$BR$7:$BR$1570,BR165,$AV$7:$AV$1570,AV165,$BL$7:$BL$1570,"&lt;="&amp;BL165),"")</f>
        <v/>
      </c>
      <c r="AX165" s="65">
        <f>IF(AW165="",0,MAX(0,MIN(1,(IF(BR165="L1",Parameter!$K$5,Parameter!$K$6+Parameter!$K$7)-(AW165-AS165))/AS165)))</f>
        <v/>
      </c>
      <c r="AY165" s="53">
        <f>IF(AC165&lt;=0,"",IF(BR165="Aussen","Aussenlager",IF(BR165="-","Nicht im Lift",IF(AH165&gt;=1,"Lift",IF(AH165&lt;=0,"Aussenlager","teilweise")))))</f>
        <v/>
      </c>
      <c r="AZ165" s="53">
        <f>IF(AK165&lt;=0,"",IF(BR165="Aussen","Aussenlager",IF(BR165="-","Nicht im Lift",IF(AP165&gt;=1,"Lift",IF(AP165&lt;=0,"Aussenlager","teilweise")))))</f>
        <v/>
      </c>
      <c r="BA165" s="53">
        <f>IF(AS165&lt;=0,"",IF(BR165="Aussen","Aussenlager",IF(BR165="-","Nicht im Lift",IF(AX165&gt;=1,"Lift",IF(AX165&lt;=0,"Aussenlager","teilweise")))))</f>
        <v/>
      </c>
      <c r="BB165" s="53">
        <f>IF(A165="","",IF(BK165=1,"Neu; ","")&amp;IF(AND(BK165=0,BF165&lt;0),"negativer Bestand (Export "&amp;BF165&amp;"); ","")&amp;IF(I165&lt;=0,"Kein Verbrauch; ","")&amp;IF(BO165=1,"Lose – Fläche geschätzt; ","")&amp;IF(G165&gt;AM165,"Überbestand "&amp;ROUND(G165-AM165,0)&amp;" Stk / CHF "&amp;ROUND((G165-AM165)*F165,0)&amp;"; ","")&amp;IF(AND(BT165=1,BU165&lt;BV165),"MAX &lt; MB+LG; ","")&amp;IF(AND(BZ165&gt;0,BY165*10&gt;BZ165),"zu hoch für Tablar; ","")&amp;IF(AND(BK165=0,OR(BT165=1,V165&lt;&gt;"",S165&lt;&gt;"",T165&lt;&gt;"",W165&lt;&gt;"")),"manuell übersteuert; ","")&amp;IF(AND(BO165=0,Q165=0),"Gebinde unbekannt; ","")&amp;IF(AND(BO165=0,N(T165)&lt;=0,N(P165)&lt;=0),"Menge pro Gebinde fehlt (Ist = 1 Gebinde); ","")&amp;BJ165)</f>
        <v/>
      </c>
      <c r="BC165" s="53" t="n"/>
      <c r="BD165" s="53" t="n"/>
      <c r="BE165" s="61" t="n"/>
      <c r="BF165" s="55" t="n">
        <v>7</v>
      </c>
      <c r="BG165" s="55" t="n">
        <v>11</v>
      </c>
      <c r="BH165" s="54" t="n">
        <v>1134.269999999999</v>
      </c>
      <c r="BI165" s="55" t="n">
        <v>28</v>
      </c>
      <c r="BJ165" s="53" t="inlineStr"/>
      <c r="BK165" s="58" t="n">
        <v>0</v>
      </c>
      <c r="BL165" s="58" t="n">
        <v>165</v>
      </c>
      <c r="BM165" s="53">
        <f>IF(S165&lt;&gt;"",UPPER(TRIM(S165)),IF(O165="","LOSE",O165))</f>
        <v/>
      </c>
      <c r="BN165" s="55">
        <f>IF(BM165="LOSE",1,IF(N(T165)&gt;0,T165,IF(N(P165)&gt;0,P165,MAX(1,G165))))</f>
        <v/>
      </c>
      <c r="BO165" s="58">
        <f>IF(BM165="LOSE",1,0)</f>
        <v/>
      </c>
      <c r="BP165" s="64">
        <f>IF(BO165=0,0,IF(N(R165)&gt;0,R165,IFERROR(VLOOKUP(D165,Parameter!$A$35:$C$64,3,0)+0,0)))</f>
        <v/>
      </c>
      <c r="BQ165" s="53">
        <f>IF(V165&lt;&gt;"",V165,U165)</f>
        <v/>
      </c>
      <c r="BR165" s="53">
        <f>IF(BQ165=1,"L1",IF(OR(BQ165=2,BQ165=3),"L23",IF(BQ165="Aussen","Aussen","-")))</f>
        <v/>
      </c>
      <c r="BS165" s="66">
        <f>IF(N(W165)&gt;0,W165,0)</f>
        <v/>
      </c>
      <c r="BT165" s="58">
        <f>IF(ISNUMBER(Z165),1,0)</f>
        <v/>
      </c>
      <c r="BU165" s="55">
        <f>N(Z165)</f>
        <v/>
      </c>
      <c r="BV165" s="55">
        <f>N(L165)+N(M165)</f>
        <v/>
      </c>
      <c r="BW165" s="55">
        <f>ROUNDUP(G165/BN165,0)</f>
        <v/>
      </c>
      <c r="BX165" s="55">
        <f>ROUNDUP(BU165/BN165,0)</f>
        <v/>
      </c>
      <c r="BY165" s="58">
        <f>IF(BO165=1,0,IFERROR(VLOOKUP(BM165,'Gebinde-Kategorie'!$A$5:$G$45,5,0)+0,0))</f>
        <v/>
      </c>
      <c r="BZ165" s="58">
        <f>IFERROR(IF(OR(BQ165=1,BQ165=2,BQ165=3),N(INDEX(Parameter!$I$5:$I$7,BQ165)),0),0)</f>
        <v/>
      </c>
    </row>
    <row r="166">
      <c r="A166" s="53" t="inlineStr">
        <is>
          <t>002003</t>
        </is>
      </c>
      <c r="B166" s="53" t="inlineStr">
        <is>
          <t>Holzkiste Austrittsdüse 2m</t>
        </is>
      </c>
      <c r="C166" s="53" t="inlineStr">
        <is>
          <t>F</t>
        </is>
      </c>
      <c r="D166" s="53" t="inlineStr">
        <is>
          <t>PAL</t>
        </is>
      </c>
      <c r="E166" s="53" t="inlineStr">
        <is>
          <t>C</t>
        </is>
      </c>
      <c r="F166" s="54" t="n">
        <v>314.61</v>
      </c>
      <c r="G166" s="55">
        <f>MAX(0,IF(Parameter!$B$20="Jahresanfang 2025 + Export",BG166+BF166,BF166))</f>
        <v/>
      </c>
      <c r="H166" s="55">
        <f>G166*F166</f>
        <v/>
      </c>
      <c r="I166" s="55">
        <f>BI166*Parameter!$B$18</f>
        <v/>
      </c>
      <c r="J166" s="56" t="n">
        <v>1.5</v>
      </c>
      <c r="K166" s="57" t="n">
        <v>11.33333333333333</v>
      </c>
      <c r="L166" s="55" t="n">
        <v>1</v>
      </c>
      <c r="M166" s="55" t="n">
        <v>2</v>
      </c>
      <c r="N166" s="58" t="n">
        <v>14</v>
      </c>
      <c r="O166" s="53" t="inlineStr">
        <is>
          <t>LOSE</t>
        </is>
      </c>
      <c r="P166" s="55" t="n"/>
      <c r="Q166" s="59">
        <f>IF(BO166=1,0,IFERROR(VLOOKUP(BM166,'Gebinde-Kategorie'!$A$5:$G$45,6,0)+0,0))</f>
        <v/>
      </c>
      <c r="R166" s="60" t="n"/>
      <c r="S166" s="61" t="n"/>
      <c r="T166" s="61" t="n"/>
      <c r="U166" s="53">
        <f>IF(A166="","",IF(IFERROR(VLOOKUP(D166,Parameter!$A$35:$C$64,2,0),"Nein")="2+3",IF(ISNUMBER(SEARCH("grosser Artikel",BJ166)),2,IFERROR(VLOOKUP(BM166,Parameter!$F$35:$G$64,2,0),2)),IF(OR(IFERROR(VLOOKUP(D166,Parameter!$A$35:$C$64,2,0),"Nein")="Nein",IFERROR(VLOOKUP(D166,Parameter!$A$35:$C$64,2,0),"Nein")=""),"-",VLOOKUP(D166,Parameter!$A$35:$C$64,2,0))))</f>
        <v/>
      </c>
      <c r="V166" s="61" t="n"/>
      <c r="W166" s="62" t="n"/>
      <c r="X166" s="55">
        <f>AM166</f>
        <v/>
      </c>
      <c r="Y166" s="55">
        <f>MAX(AM166,G166)</f>
        <v/>
      </c>
      <c r="Z166" s="63" t="n"/>
      <c r="AA166" s="55">
        <f>IF(LEFT(Cockpit!$C$5,1)="A",G166,IF(BT166=1,BU166,IF(LEFT(Cockpit!$C$5,1)="B",AE166,MAX(AE166,G166))))</f>
        <v/>
      </c>
      <c r="AB166" s="55">
        <f>IF(BO166=1,0,ROUNDUP(AA166/BN166,0))</f>
        <v/>
      </c>
      <c r="AC166" s="64">
        <f>IF(BO166=1,IF(AA166&lt;=0,0,BP166*MAX(1,IF(G166&gt;0,AA166/G166,1))),AB166*Q166)</f>
        <v/>
      </c>
      <c r="AD166" s="55">
        <f>AA166*F166</f>
        <v/>
      </c>
      <c r="AE166" s="55">
        <f>ROUNDUP(MAX(I166/IF(BS166&gt;0,BS166,MAX(0.1,N(Cockpit!$C$6))),BV166)/BN166,0)*BN166</f>
        <v/>
      </c>
      <c r="AF166" s="56">
        <f>IF(AC166&gt;0,I166/AC166,-1)</f>
        <v/>
      </c>
      <c r="AG166" s="56">
        <f>IF(AND(OR(BR166="L1",BR166="L23"),AC166&gt;0),SUMIFS($AC$7:$AC$1570,$BR$7:$BR$1570,BR166,$AF$7:$AF$1570,"&gt;"&amp;AF166)+SUMIFS($AC$7:$AC$1570,$BR$7:$BR$1570,BR166,$AF$7:$AF$1570,AF166,$BL$7:$BL$1570,"&lt;="&amp;BL166),"")</f>
        <v/>
      </c>
      <c r="AH166" s="65">
        <f>IF(AG166="",0,MAX(0,MIN(1,(IF(BR166="L1",Parameter!$K$5,Parameter!$K$6+Parameter!$K$7)-(AG166-AC166))/AC166)))</f>
        <v/>
      </c>
      <c r="AI166" s="55">
        <f>IF(LEFT(Cockpit!$I$5,1)="A",G166,IF(BT166=1,BU166,IF(LEFT(Cockpit!$I$5,1)="B",AM166,MAX(AM166,G166))))</f>
        <v/>
      </c>
      <c r="AJ166" s="55">
        <f>IF(BO166=1,0,ROUNDUP(AI166/BN166,0))</f>
        <v/>
      </c>
      <c r="AK166" s="64">
        <f>IF(BO166=1,IF(AI166&lt;=0,0,BP166*MAX(1,IF(G166&gt;0,AI166/G166,1))),AJ166*Q166)</f>
        <v/>
      </c>
      <c r="AL166" s="55">
        <f>AI166*F166</f>
        <v/>
      </c>
      <c r="AM166" s="55">
        <f>ROUNDUP(MAX(I166/IF(BS166&gt;0,BS166,MAX(0.1,N(Cockpit!$I$6))),BV166)/BN166,0)*BN166</f>
        <v/>
      </c>
      <c r="AN166" s="56">
        <f>IF(AK166&gt;0,I166/AK166,-1)</f>
        <v/>
      </c>
      <c r="AO166" s="56">
        <f>IF(AND(OR(BR166="L1",BR166="L23"),AK166&gt;0),SUMIFS($AK$7:$AK$1570,$BR$7:$BR$1570,BR166,$AN$7:$AN$1570,"&gt;"&amp;AN166)+SUMIFS($AK$7:$AK$1570,$BR$7:$BR$1570,BR166,$AN$7:$AN$1570,AN166,$BL$7:$BL$1570,"&lt;="&amp;BL166),"")</f>
        <v/>
      </c>
      <c r="AP166" s="65">
        <f>IF(AO166="",0,MAX(0,MIN(1,(IF(BR166="L1",Parameter!$K$5,Parameter!$K$6+Parameter!$K$7)-(AO166-AK166))/AK166)))</f>
        <v/>
      </c>
      <c r="AQ166" s="55">
        <f>IF(LEFT(Cockpit!$O$5,1)="A",G166,IF(BT166=1,BU166,IF(LEFT(Cockpit!$O$5,1)="B",AU166,MAX(AU166,G166))))</f>
        <v/>
      </c>
      <c r="AR166" s="55">
        <f>IF(BO166=1,0,ROUNDUP(AQ166/BN166,0))</f>
        <v/>
      </c>
      <c r="AS166" s="64">
        <f>IF(BO166=1,IF(AQ166&lt;=0,0,BP166*MAX(1,IF(G166&gt;0,AQ166/G166,1))),AR166*Q166)</f>
        <v/>
      </c>
      <c r="AT166" s="55">
        <f>AQ166*F166</f>
        <v/>
      </c>
      <c r="AU166" s="55">
        <f>ROUNDUP(MAX(I166/IF(BS166&gt;0,BS166,MAX(0.1,N(Cockpit!$O$6))),BV166)/BN166,0)*BN166</f>
        <v/>
      </c>
      <c r="AV166" s="56">
        <f>IF(AS166&gt;0,I166/AS166,-1)</f>
        <v/>
      </c>
      <c r="AW166" s="56">
        <f>IF(AND(OR(BR166="L1",BR166="L23"),AS166&gt;0),SUMIFS($AS$7:$AS$1570,$BR$7:$BR$1570,BR166,$AV$7:$AV$1570,"&gt;"&amp;AV166)+SUMIFS($AS$7:$AS$1570,$BR$7:$BR$1570,BR166,$AV$7:$AV$1570,AV166,$BL$7:$BL$1570,"&lt;="&amp;BL166),"")</f>
        <v/>
      </c>
      <c r="AX166" s="65">
        <f>IF(AW166="",0,MAX(0,MIN(1,(IF(BR166="L1",Parameter!$K$5,Parameter!$K$6+Parameter!$K$7)-(AW166-AS166))/AS166)))</f>
        <v/>
      </c>
      <c r="AY166" s="53">
        <f>IF(AC166&lt;=0,"",IF(BR166="Aussen","Aussenlager",IF(BR166="-","Nicht im Lift",IF(AH166&gt;=1,"Lift",IF(AH166&lt;=0,"Aussenlager","teilweise")))))</f>
        <v/>
      </c>
      <c r="AZ166" s="53">
        <f>IF(AK166&lt;=0,"",IF(BR166="Aussen","Aussenlager",IF(BR166="-","Nicht im Lift",IF(AP166&gt;=1,"Lift",IF(AP166&lt;=0,"Aussenlager","teilweise")))))</f>
        <v/>
      </c>
      <c r="BA166" s="53">
        <f>IF(AS166&lt;=0,"",IF(BR166="Aussen","Aussenlager",IF(BR166="-","Nicht im Lift",IF(AX166&gt;=1,"Lift",IF(AX166&lt;=0,"Aussenlager","teilweise")))))</f>
        <v/>
      </c>
      <c r="BB166" s="53">
        <f>IF(A166="","",IF(BK166=1,"Neu; ","")&amp;IF(AND(BK166=0,BF166&lt;0),"negativer Bestand (Export "&amp;BF166&amp;"); ","")&amp;IF(I166&lt;=0,"Kein Verbrauch; ","")&amp;IF(BO166=1,"Lose – Fläche geschätzt; ","")&amp;IF(G166&gt;AM166,"Überbestand "&amp;ROUND(G166-AM166,0)&amp;" Stk / CHF "&amp;ROUND((G166-AM166)*F166,0)&amp;"; ","")&amp;IF(AND(BT166=1,BU166&lt;BV166),"MAX &lt; MB+LG; ","")&amp;IF(AND(BZ166&gt;0,BY166*10&gt;BZ166),"zu hoch für Tablar; ","")&amp;IF(AND(BK166=0,OR(BT166=1,V166&lt;&gt;"",S166&lt;&gt;"",T166&lt;&gt;"",W166&lt;&gt;"")),"manuell übersteuert; ","")&amp;IF(AND(BO166=0,Q166=0),"Gebinde unbekannt; ","")&amp;IF(AND(BO166=0,N(T166)&lt;=0,N(P166)&lt;=0),"Menge pro Gebinde fehlt (Ist = 1 Gebinde); ","")&amp;BJ166)</f>
        <v/>
      </c>
      <c r="BC166" s="53" t="n"/>
      <c r="BD166" s="53" t="n"/>
      <c r="BE166" s="61" t="n"/>
      <c r="BF166" s="55" t="n">
        <v>3</v>
      </c>
      <c r="BG166" s="55" t="n">
        <v>2</v>
      </c>
      <c r="BH166" s="54" t="n">
        <v>1123.95</v>
      </c>
      <c r="BI166" s="55" t="n">
        <v>17</v>
      </c>
      <c r="BJ166" s="53" t="inlineStr"/>
      <c r="BK166" s="58" t="n">
        <v>0</v>
      </c>
      <c r="BL166" s="58" t="n">
        <v>166</v>
      </c>
      <c r="BM166" s="53">
        <f>IF(S166&lt;&gt;"",UPPER(TRIM(S166)),IF(O166="","LOSE",O166))</f>
        <v/>
      </c>
      <c r="BN166" s="55">
        <f>IF(BM166="LOSE",1,IF(N(T166)&gt;0,T166,IF(N(P166)&gt;0,P166,MAX(1,G166))))</f>
        <v/>
      </c>
      <c r="BO166" s="58">
        <f>IF(BM166="LOSE",1,0)</f>
        <v/>
      </c>
      <c r="BP166" s="64">
        <f>IF(BO166=0,0,IF(N(R166)&gt;0,R166,IFERROR(VLOOKUP(D166,Parameter!$A$35:$C$64,3,0)+0,0)))</f>
        <v/>
      </c>
      <c r="BQ166" s="53">
        <f>IF(V166&lt;&gt;"",V166,U166)</f>
        <v/>
      </c>
      <c r="BR166" s="53">
        <f>IF(BQ166=1,"L1",IF(OR(BQ166=2,BQ166=3),"L23",IF(BQ166="Aussen","Aussen","-")))</f>
        <v/>
      </c>
      <c r="BS166" s="66">
        <f>IF(N(W166)&gt;0,W166,0)</f>
        <v/>
      </c>
      <c r="BT166" s="58">
        <f>IF(ISNUMBER(Z166),1,0)</f>
        <v/>
      </c>
      <c r="BU166" s="55">
        <f>N(Z166)</f>
        <v/>
      </c>
      <c r="BV166" s="55">
        <f>N(L166)+N(M166)</f>
        <v/>
      </c>
      <c r="BW166" s="55">
        <f>ROUNDUP(G166/BN166,0)</f>
        <v/>
      </c>
      <c r="BX166" s="55">
        <f>ROUNDUP(BU166/BN166,0)</f>
        <v/>
      </c>
      <c r="BY166" s="58">
        <f>IF(BO166=1,0,IFERROR(VLOOKUP(BM166,'Gebinde-Kategorie'!$A$5:$G$45,5,0)+0,0))</f>
        <v/>
      </c>
      <c r="BZ166" s="58">
        <f>IFERROR(IF(OR(BQ166=1,BQ166=2,BQ166=3),N(INDEX(Parameter!$I$5:$I$7,BQ166)),0),0)</f>
        <v/>
      </c>
    </row>
    <row r="167">
      <c r="A167" s="53" t="inlineStr">
        <is>
          <t>107360</t>
        </is>
      </c>
      <c r="B167" s="53" t="inlineStr">
        <is>
          <t>Seilrolle</t>
        </is>
      </c>
      <c r="C167" s="53" t="inlineStr">
        <is>
          <t>F</t>
        </is>
      </c>
      <c r="D167" s="53" t="inlineStr">
        <is>
          <t>KTL</t>
        </is>
      </c>
      <c r="E167" s="53" t="inlineStr">
        <is>
          <t>C</t>
        </is>
      </c>
      <c r="F167" s="54" t="n">
        <v>102.3</v>
      </c>
      <c r="G167" s="55">
        <f>MAX(0,IF(Parameter!$B$20="Jahresanfang 2025 + Export",BG167+BF167,BF167))</f>
        <v/>
      </c>
      <c r="H167" s="55">
        <f>G167*F167</f>
        <v/>
      </c>
      <c r="I167" s="55">
        <f>BI167*Parameter!$B$18</f>
        <v/>
      </c>
      <c r="J167" s="56" t="n">
        <v>13</v>
      </c>
      <c r="K167" s="57" t="n">
        <v>2.153846153846154</v>
      </c>
      <c r="L167" s="55" t="n">
        <v>1</v>
      </c>
      <c r="M167" s="55" t="n">
        <v>30</v>
      </c>
      <c r="N167" s="58" t="n">
        <v>21</v>
      </c>
      <c r="O167" s="53" t="inlineStr">
        <is>
          <t>S51</t>
        </is>
      </c>
      <c r="P167" s="55" t="n">
        <v>7</v>
      </c>
      <c r="Q167" s="59">
        <f>IF(BO167=1,0,IFERROR(VLOOKUP(BM167,'Gebinde-Kategorie'!$A$5:$G$45,6,0)+0,0))</f>
        <v/>
      </c>
      <c r="R167" s="60" t="n"/>
      <c r="S167" s="61" t="n"/>
      <c r="T167" s="61" t="n"/>
      <c r="U167" s="53">
        <f>IF(A167="","",IF(IFERROR(VLOOKUP(D167,Parameter!$A$35:$C$64,2,0),"Nein")="2+3",IF(ISNUMBER(SEARCH("grosser Artikel",BJ167)),2,IFERROR(VLOOKUP(BM167,Parameter!$F$35:$G$64,2,0),2)),IF(OR(IFERROR(VLOOKUP(D167,Parameter!$A$35:$C$64,2,0),"Nein")="Nein",IFERROR(VLOOKUP(D167,Parameter!$A$35:$C$64,2,0),"Nein")=""),"-",VLOOKUP(D167,Parameter!$A$35:$C$64,2,0))))</f>
        <v/>
      </c>
      <c r="V167" s="61" t="n"/>
      <c r="W167" s="62" t="n"/>
      <c r="X167" s="55">
        <f>AM167</f>
        <v/>
      </c>
      <c r="Y167" s="55">
        <f>MAX(AM167,G167)</f>
        <v/>
      </c>
      <c r="Z167" s="63" t="n"/>
      <c r="AA167" s="55">
        <f>IF(LEFT(Cockpit!$C$5,1)="A",G167,IF(BT167=1,BU167,IF(LEFT(Cockpit!$C$5,1)="B",AE167,MAX(AE167,G167))))</f>
        <v/>
      </c>
      <c r="AB167" s="55">
        <f>IF(BO167=1,0,ROUNDUP(AA167/BN167,0))</f>
        <v/>
      </c>
      <c r="AC167" s="64">
        <f>IF(BO167=1,IF(AA167&lt;=0,0,BP167*MAX(1,IF(G167&gt;0,AA167/G167,1))),AB167*Q167)</f>
        <v/>
      </c>
      <c r="AD167" s="55">
        <f>AA167*F167</f>
        <v/>
      </c>
      <c r="AE167" s="55">
        <f>ROUNDUP(MAX(I167/IF(BS167&gt;0,BS167,MAX(0.1,N(Cockpit!$C$6))),BV167)/BN167,0)*BN167</f>
        <v/>
      </c>
      <c r="AF167" s="56">
        <f>IF(AC167&gt;0,I167/AC167,-1)</f>
        <v/>
      </c>
      <c r="AG167" s="56">
        <f>IF(AND(OR(BR167="L1",BR167="L23"),AC167&gt;0),SUMIFS($AC$7:$AC$1570,$BR$7:$BR$1570,BR167,$AF$7:$AF$1570,"&gt;"&amp;AF167)+SUMIFS($AC$7:$AC$1570,$BR$7:$BR$1570,BR167,$AF$7:$AF$1570,AF167,$BL$7:$BL$1570,"&lt;="&amp;BL167),"")</f>
        <v/>
      </c>
      <c r="AH167" s="65">
        <f>IF(AG167="",0,MAX(0,MIN(1,(IF(BR167="L1",Parameter!$K$5,Parameter!$K$6+Parameter!$K$7)-(AG167-AC167))/AC167)))</f>
        <v/>
      </c>
      <c r="AI167" s="55">
        <f>IF(LEFT(Cockpit!$I$5,1)="A",G167,IF(BT167=1,BU167,IF(LEFT(Cockpit!$I$5,1)="B",AM167,MAX(AM167,G167))))</f>
        <v/>
      </c>
      <c r="AJ167" s="55">
        <f>IF(BO167=1,0,ROUNDUP(AI167/BN167,0))</f>
        <v/>
      </c>
      <c r="AK167" s="64">
        <f>IF(BO167=1,IF(AI167&lt;=0,0,BP167*MAX(1,IF(G167&gt;0,AI167/G167,1))),AJ167*Q167)</f>
        <v/>
      </c>
      <c r="AL167" s="55">
        <f>AI167*F167</f>
        <v/>
      </c>
      <c r="AM167" s="55">
        <f>ROUNDUP(MAX(I167/IF(BS167&gt;0,BS167,MAX(0.1,N(Cockpit!$I$6))),BV167)/BN167,0)*BN167</f>
        <v/>
      </c>
      <c r="AN167" s="56">
        <f>IF(AK167&gt;0,I167/AK167,-1)</f>
        <v/>
      </c>
      <c r="AO167" s="56">
        <f>IF(AND(OR(BR167="L1",BR167="L23"),AK167&gt;0),SUMIFS($AK$7:$AK$1570,$BR$7:$BR$1570,BR167,$AN$7:$AN$1570,"&gt;"&amp;AN167)+SUMIFS($AK$7:$AK$1570,$BR$7:$BR$1570,BR167,$AN$7:$AN$1570,AN167,$BL$7:$BL$1570,"&lt;="&amp;BL167),"")</f>
        <v/>
      </c>
      <c r="AP167" s="65">
        <f>IF(AO167="",0,MAX(0,MIN(1,(IF(BR167="L1",Parameter!$K$5,Parameter!$K$6+Parameter!$K$7)-(AO167-AK167))/AK167)))</f>
        <v/>
      </c>
      <c r="AQ167" s="55">
        <f>IF(LEFT(Cockpit!$O$5,1)="A",G167,IF(BT167=1,BU167,IF(LEFT(Cockpit!$O$5,1)="B",AU167,MAX(AU167,G167))))</f>
        <v/>
      </c>
      <c r="AR167" s="55">
        <f>IF(BO167=1,0,ROUNDUP(AQ167/BN167,0))</f>
        <v/>
      </c>
      <c r="AS167" s="64">
        <f>IF(BO167=1,IF(AQ167&lt;=0,0,BP167*MAX(1,IF(G167&gt;0,AQ167/G167,1))),AR167*Q167)</f>
        <v/>
      </c>
      <c r="AT167" s="55">
        <f>AQ167*F167</f>
        <v/>
      </c>
      <c r="AU167" s="55">
        <f>ROUNDUP(MAX(I167/IF(BS167&gt;0,BS167,MAX(0.1,N(Cockpit!$O$6))),BV167)/BN167,0)*BN167</f>
        <v/>
      </c>
      <c r="AV167" s="56">
        <f>IF(AS167&gt;0,I167/AS167,-1)</f>
        <v/>
      </c>
      <c r="AW167" s="56">
        <f>IF(AND(OR(BR167="L1",BR167="L23"),AS167&gt;0),SUMIFS($AS$7:$AS$1570,$BR$7:$BR$1570,BR167,$AV$7:$AV$1570,"&gt;"&amp;AV167)+SUMIFS($AS$7:$AS$1570,$BR$7:$BR$1570,BR167,$AV$7:$AV$1570,AV167,$BL$7:$BL$1570,"&lt;="&amp;BL167),"")</f>
        <v/>
      </c>
      <c r="AX167" s="65">
        <f>IF(AW167="",0,MAX(0,MIN(1,(IF(BR167="L1",Parameter!$K$5,Parameter!$K$6+Parameter!$K$7)-(AW167-AS167))/AS167)))</f>
        <v/>
      </c>
      <c r="AY167" s="53">
        <f>IF(AC167&lt;=0,"",IF(BR167="Aussen","Aussenlager",IF(BR167="-","Nicht im Lift",IF(AH167&gt;=1,"Lift",IF(AH167&lt;=0,"Aussenlager","teilweise")))))</f>
        <v/>
      </c>
      <c r="AZ167" s="53">
        <f>IF(AK167&lt;=0,"",IF(BR167="Aussen","Aussenlager",IF(BR167="-","Nicht im Lift",IF(AP167&gt;=1,"Lift",IF(AP167&lt;=0,"Aussenlager","teilweise")))))</f>
        <v/>
      </c>
      <c r="BA167" s="53">
        <f>IF(AS167&lt;=0,"",IF(BR167="Aussen","Aussenlager",IF(BR167="-","Nicht im Lift",IF(AX167&gt;=1,"Lift",IF(AX167&lt;=0,"Aussenlager","teilweise")))))</f>
        <v/>
      </c>
      <c r="BB167" s="53">
        <f>IF(A167="","",IF(BK167=1,"Neu; ","")&amp;IF(AND(BK167=0,BF167&lt;0),"negativer Bestand (Export "&amp;BF167&amp;"); ","")&amp;IF(I167&lt;=0,"Kein Verbrauch; ","")&amp;IF(BO167=1,"Lose – Fläche geschätzt; ","")&amp;IF(G167&gt;AM167,"Überbestand "&amp;ROUND(G167-AM167,0)&amp;" Stk / CHF "&amp;ROUND((G167-AM167)*F167,0)&amp;"; ","")&amp;IF(AND(BT167=1,BU167&lt;BV167),"MAX &lt; MB+LG; ","")&amp;IF(AND(BZ167&gt;0,BY167*10&gt;BZ167),"zu hoch für Tablar; ","")&amp;IF(AND(BK167=0,OR(BT167=1,V167&lt;&gt;"",S167&lt;&gt;"",T167&lt;&gt;"",W167&lt;&gt;"")),"manuell übersteuert; ","")&amp;IF(AND(BO167=0,Q167=0),"Gebinde unbekannt; ","")&amp;IF(AND(BO167=0,N(T167)&lt;=0,N(P167)&lt;=0),"Menge pro Gebinde fehlt (Ist = 1 Gebinde); ","")&amp;BJ167)</f>
        <v/>
      </c>
      <c r="BC167" s="53" t="n"/>
      <c r="BD167" s="53" t="n"/>
      <c r="BE167" s="61" t="n"/>
      <c r="BF167" s="55" t="n">
        <v>10</v>
      </c>
      <c r="BG167" s="55" t="n">
        <v>8</v>
      </c>
      <c r="BH167" s="54" t="n">
        <v>1120.12</v>
      </c>
      <c r="BI167" s="55" t="n">
        <v>28</v>
      </c>
      <c r="BJ167" s="53" t="inlineStr"/>
      <c r="BK167" s="58" t="n">
        <v>0</v>
      </c>
      <c r="BL167" s="58" t="n">
        <v>167</v>
      </c>
      <c r="BM167" s="53">
        <f>IF(S167&lt;&gt;"",UPPER(TRIM(S167)),IF(O167="","LOSE",O167))</f>
        <v/>
      </c>
      <c r="BN167" s="55">
        <f>IF(BM167="LOSE",1,IF(N(T167)&gt;0,T167,IF(N(P167)&gt;0,P167,MAX(1,G167))))</f>
        <v/>
      </c>
      <c r="BO167" s="58">
        <f>IF(BM167="LOSE",1,0)</f>
        <v/>
      </c>
      <c r="BP167" s="64">
        <f>IF(BO167=0,0,IF(N(R167)&gt;0,R167,IFERROR(VLOOKUP(D167,Parameter!$A$35:$C$64,3,0)+0,0)))</f>
        <v/>
      </c>
      <c r="BQ167" s="53">
        <f>IF(V167&lt;&gt;"",V167,U167)</f>
        <v/>
      </c>
      <c r="BR167" s="53">
        <f>IF(BQ167=1,"L1",IF(OR(BQ167=2,BQ167=3),"L23",IF(BQ167="Aussen","Aussen","-")))</f>
        <v/>
      </c>
      <c r="BS167" s="66">
        <f>IF(N(W167)&gt;0,W167,0)</f>
        <v/>
      </c>
      <c r="BT167" s="58">
        <f>IF(ISNUMBER(Z167),1,0)</f>
        <v/>
      </c>
      <c r="BU167" s="55">
        <f>N(Z167)</f>
        <v/>
      </c>
      <c r="BV167" s="55">
        <f>N(L167)+N(M167)</f>
        <v/>
      </c>
      <c r="BW167" s="55">
        <f>ROUNDUP(G167/BN167,0)</f>
        <v/>
      </c>
      <c r="BX167" s="55">
        <f>ROUNDUP(BU167/BN167,0)</f>
        <v/>
      </c>
      <c r="BY167" s="58">
        <f>IF(BO167=1,0,IFERROR(VLOOKUP(BM167,'Gebinde-Kategorie'!$A$5:$G$45,5,0)+0,0))</f>
        <v/>
      </c>
      <c r="BZ167" s="58">
        <f>IFERROR(IF(OR(BQ167=1,BQ167=2,BQ167=3),N(INDEX(Parameter!$I$5:$I$7,BQ167)),0),0)</f>
        <v/>
      </c>
    </row>
    <row r="168">
      <c r="A168" s="53" t="inlineStr">
        <is>
          <t>108805</t>
        </is>
      </c>
      <c r="B168" s="53" t="inlineStr">
        <is>
          <t>Typenschild</t>
        </is>
      </c>
      <c r="C168" s="53" t="inlineStr">
        <is>
          <t>F</t>
        </is>
      </c>
      <c r="D168" s="53" t="inlineStr">
        <is>
          <t>KTL</t>
        </is>
      </c>
      <c r="E168" s="53" t="inlineStr">
        <is>
          <t>C</t>
        </is>
      </c>
      <c r="F168" s="54" t="n">
        <v>14.58</v>
      </c>
      <c r="G168" s="55">
        <f>MAX(0,IF(Parameter!$B$20="Jahresanfang 2025 + Export",BG168+BF168,BF168))</f>
        <v/>
      </c>
      <c r="H168" s="55">
        <f>G168*F168</f>
        <v/>
      </c>
      <c r="I168" s="55">
        <f>BI168*Parameter!$B$18</f>
        <v/>
      </c>
      <c r="J168" s="56" t="n">
        <v>44</v>
      </c>
      <c r="K168" s="57" t="n">
        <v>3.431818181818182</v>
      </c>
      <c r="L168" s="55" t="n">
        <v>8</v>
      </c>
      <c r="M168" s="55" t="n">
        <v>150</v>
      </c>
      <c r="N168" s="58" t="n">
        <v>28</v>
      </c>
      <c r="O168" s="53" t="inlineStr">
        <is>
          <t>S32</t>
        </is>
      </c>
      <c r="P168" s="55" t="n">
        <v>76</v>
      </c>
      <c r="Q168" s="59">
        <f>IF(BO168=1,0,IFERROR(VLOOKUP(BM168,'Gebinde-Kategorie'!$A$5:$G$45,6,0)+0,0))</f>
        <v/>
      </c>
      <c r="R168" s="60" t="n"/>
      <c r="S168" s="61" t="n"/>
      <c r="T168" s="61" t="n"/>
      <c r="U168" s="53">
        <f>IF(A168="","",IF(IFERROR(VLOOKUP(D168,Parameter!$A$35:$C$64,2,0),"Nein")="2+3",IF(ISNUMBER(SEARCH("grosser Artikel",BJ168)),2,IFERROR(VLOOKUP(BM168,Parameter!$F$35:$G$64,2,0),2)),IF(OR(IFERROR(VLOOKUP(D168,Parameter!$A$35:$C$64,2,0),"Nein")="Nein",IFERROR(VLOOKUP(D168,Parameter!$A$35:$C$64,2,0),"Nein")=""),"-",VLOOKUP(D168,Parameter!$A$35:$C$64,2,0))))</f>
        <v/>
      </c>
      <c r="V168" s="61" t="n"/>
      <c r="W168" s="62" t="n"/>
      <c r="X168" s="55">
        <f>AM168</f>
        <v/>
      </c>
      <c r="Y168" s="55">
        <f>MAX(AM168,G168)</f>
        <v/>
      </c>
      <c r="Z168" s="63" t="n"/>
      <c r="AA168" s="55">
        <f>IF(LEFT(Cockpit!$C$5,1)="A",G168,IF(BT168=1,BU168,IF(LEFT(Cockpit!$C$5,1)="B",AE168,MAX(AE168,G168))))</f>
        <v/>
      </c>
      <c r="AB168" s="55">
        <f>IF(BO168=1,0,ROUNDUP(AA168/BN168,0))</f>
        <v/>
      </c>
      <c r="AC168" s="64">
        <f>IF(BO168=1,IF(AA168&lt;=0,0,BP168*MAX(1,IF(G168&gt;0,AA168/G168,1))),AB168*Q168)</f>
        <v/>
      </c>
      <c r="AD168" s="55">
        <f>AA168*F168</f>
        <v/>
      </c>
      <c r="AE168" s="55">
        <f>ROUNDUP(MAX(I168/IF(BS168&gt;0,BS168,MAX(0.1,N(Cockpit!$C$6))),BV168)/BN168,0)*BN168</f>
        <v/>
      </c>
      <c r="AF168" s="56">
        <f>IF(AC168&gt;0,I168/AC168,-1)</f>
        <v/>
      </c>
      <c r="AG168" s="56">
        <f>IF(AND(OR(BR168="L1",BR168="L23"),AC168&gt;0),SUMIFS($AC$7:$AC$1570,$BR$7:$BR$1570,BR168,$AF$7:$AF$1570,"&gt;"&amp;AF168)+SUMIFS($AC$7:$AC$1570,$BR$7:$BR$1570,BR168,$AF$7:$AF$1570,AF168,$BL$7:$BL$1570,"&lt;="&amp;BL168),"")</f>
        <v/>
      </c>
      <c r="AH168" s="65">
        <f>IF(AG168="",0,MAX(0,MIN(1,(IF(BR168="L1",Parameter!$K$5,Parameter!$K$6+Parameter!$K$7)-(AG168-AC168))/AC168)))</f>
        <v/>
      </c>
      <c r="AI168" s="55">
        <f>IF(LEFT(Cockpit!$I$5,1)="A",G168,IF(BT168=1,BU168,IF(LEFT(Cockpit!$I$5,1)="B",AM168,MAX(AM168,G168))))</f>
        <v/>
      </c>
      <c r="AJ168" s="55">
        <f>IF(BO168=1,0,ROUNDUP(AI168/BN168,0))</f>
        <v/>
      </c>
      <c r="AK168" s="64">
        <f>IF(BO168=1,IF(AI168&lt;=0,0,BP168*MAX(1,IF(G168&gt;0,AI168/G168,1))),AJ168*Q168)</f>
        <v/>
      </c>
      <c r="AL168" s="55">
        <f>AI168*F168</f>
        <v/>
      </c>
      <c r="AM168" s="55">
        <f>ROUNDUP(MAX(I168/IF(BS168&gt;0,BS168,MAX(0.1,N(Cockpit!$I$6))),BV168)/BN168,0)*BN168</f>
        <v/>
      </c>
      <c r="AN168" s="56">
        <f>IF(AK168&gt;0,I168/AK168,-1)</f>
        <v/>
      </c>
      <c r="AO168" s="56">
        <f>IF(AND(OR(BR168="L1",BR168="L23"),AK168&gt;0),SUMIFS($AK$7:$AK$1570,$BR$7:$BR$1570,BR168,$AN$7:$AN$1570,"&gt;"&amp;AN168)+SUMIFS($AK$7:$AK$1570,$BR$7:$BR$1570,BR168,$AN$7:$AN$1570,AN168,$BL$7:$BL$1570,"&lt;="&amp;BL168),"")</f>
        <v/>
      </c>
      <c r="AP168" s="65">
        <f>IF(AO168="",0,MAX(0,MIN(1,(IF(BR168="L1",Parameter!$K$5,Parameter!$K$6+Parameter!$K$7)-(AO168-AK168))/AK168)))</f>
        <v/>
      </c>
      <c r="AQ168" s="55">
        <f>IF(LEFT(Cockpit!$O$5,1)="A",G168,IF(BT168=1,BU168,IF(LEFT(Cockpit!$O$5,1)="B",AU168,MAX(AU168,G168))))</f>
        <v/>
      </c>
      <c r="AR168" s="55">
        <f>IF(BO168=1,0,ROUNDUP(AQ168/BN168,0))</f>
        <v/>
      </c>
      <c r="AS168" s="64">
        <f>IF(BO168=1,IF(AQ168&lt;=0,0,BP168*MAX(1,IF(G168&gt;0,AQ168/G168,1))),AR168*Q168)</f>
        <v/>
      </c>
      <c r="AT168" s="55">
        <f>AQ168*F168</f>
        <v/>
      </c>
      <c r="AU168" s="55">
        <f>ROUNDUP(MAX(I168/IF(BS168&gt;0,BS168,MAX(0.1,N(Cockpit!$O$6))),BV168)/BN168,0)*BN168</f>
        <v/>
      </c>
      <c r="AV168" s="56">
        <f>IF(AS168&gt;0,I168/AS168,-1)</f>
        <v/>
      </c>
      <c r="AW168" s="56">
        <f>IF(AND(OR(BR168="L1",BR168="L23"),AS168&gt;0),SUMIFS($AS$7:$AS$1570,$BR$7:$BR$1570,BR168,$AV$7:$AV$1570,"&gt;"&amp;AV168)+SUMIFS($AS$7:$AS$1570,$BR$7:$BR$1570,BR168,$AV$7:$AV$1570,AV168,$BL$7:$BL$1570,"&lt;="&amp;BL168),"")</f>
        <v/>
      </c>
      <c r="AX168" s="65">
        <f>IF(AW168="",0,MAX(0,MIN(1,(IF(BR168="L1",Parameter!$K$5,Parameter!$K$6+Parameter!$K$7)-(AW168-AS168))/AS168)))</f>
        <v/>
      </c>
      <c r="AY168" s="53">
        <f>IF(AC168&lt;=0,"",IF(BR168="Aussen","Aussenlager",IF(BR168="-","Nicht im Lift",IF(AH168&gt;=1,"Lift",IF(AH168&lt;=0,"Aussenlager","teilweise")))))</f>
        <v/>
      </c>
      <c r="AZ168" s="53">
        <f>IF(AK168&lt;=0,"",IF(BR168="Aussen","Aussenlager",IF(BR168="-","Nicht im Lift",IF(AP168&gt;=1,"Lift",IF(AP168&lt;=0,"Aussenlager","teilweise")))))</f>
        <v/>
      </c>
      <c r="BA168" s="53">
        <f>IF(AS168&lt;=0,"",IF(BR168="Aussen","Aussenlager",IF(BR168="-","Nicht im Lift",IF(AX168&gt;=1,"Lift",IF(AX168&lt;=0,"Aussenlager","teilweise")))))</f>
        <v/>
      </c>
      <c r="BB168" s="53">
        <f>IF(A168="","",IF(BK168=1,"Neu; ","")&amp;IF(AND(BK168=0,BF168&lt;0),"negativer Bestand (Export "&amp;BF168&amp;"); ","")&amp;IF(I168&lt;=0,"Kein Verbrauch; ","")&amp;IF(BO168=1,"Lose – Fläche geschätzt; ","")&amp;IF(G168&gt;AM168,"Überbestand "&amp;ROUND(G168-AM168,0)&amp;" Stk / CHF "&amp;ROUND((G168-AM168)*F168,0)&amp;"; ","")&amp;IF(AND(BT168=1,BU168&lt;BV168),"MAX &lt; MB+LG; ","")&amp;IF(AND(BZ168&gt;0,BY168*10&gt;BZ168),"zu hoch für Tablar; ","")&amp;IF(AND(BK168=0,OR(BT168=1,V168&lt;&gt;"",S168&lt;&gt;"",T168&lt;&gt;"",W168&lt;&gt;"")),"manuell übersteuert; ","")&amp;IF(AND(BO168=0,Q168=0),"Gebinde unbekannt; ","")&amp;IF(AND(BO168=0,N(T168)&lt;=0,N(P168)&lt;=0),"Menge pro Gebinde fehlt (Ist = 1 Gebinde); ","")&amp;BJ168)</f>
        <v/>
      </c>
      <c r="BC168" s="53" t="n"/>
      <c r="BD168" s="53" t="n"/>
      <c r="BE168" s="61" t="n"/>
      <c r="BF168" s="55" t="n">
        <v>82</v>
      </c>
      <c r="BG168" s="55" t="n">
        <v>48</v>
      </c>
      <c r="BH168" s="54" t="n">
        <v>1112.04</v>
      </c>
      <c r="BI168" s="55" t="n">
        <v>151</v>
      </c>
      <c r="BJ168" s="53" t="inlineStr"/>
      <c r="BK168" s="58" t="n">
        <v>0</v>
      </c>
      <c r="BL168" s="58" t="n">
        <v>168</v>
      </c>
      <c r="BM168" s="53">
        <f>IF(S168&lt;&gt;"",UPPER(TRIM(S168)),IF(O168="","LOSE",O168))</f>
        <v/>
      </c>
      <c r="BN168" s="55">
        <f>IF(BM168="LOSE",1,IF(N(T168)&gt;0,T168,IF(N(P168)&gt;0,P168,MAX(1,G168))))</f>
        <v/>
      </c>
      <c r="BO168" s="58">
        <f>IF(BM168="LOSE",1,0)</f>
        <v/>
      </c>
      <c r="BP168" s="64">
        <f>IF(BO168=0,0,IF(N(R168)&gt;0,R168,IFERROR(VLOOKUP(D168,Parameter!$A$35:$C$64,3,0)+0,0)))</f>
        <v/>
      </c>
      <c r="BQ168" s="53">
        <f>IF(V168&lt;&gt;"",V168,U168)</f>
        <v/>
      </c>
      <c r="BR168" s="53">
        <f>IF(BQ168=1,"L1",IF(OR(BQ168=2,BQ168=3),"L23",IF(BQ168="Aussen","Aussen","-")))</f>
        <v/>
      </c>
      <c r="BS168" s="66">
        <f>IF(N(W168)&gt;0,W168,0)</f>
        <v/>
      </c>
      <c r="BT168" s="58">
        <f>IF(ISNUMBER(Z168),1,0)</f>
        <v/>
      </c>
      <c r="BU168" s="55">
        <f>N(Z168)</f>
        <v/>
      </c>
      <c r="BV168" s="55">
        <f>N(L168)+N(M168)</f>
        <v/>
      </c>
      <c r="BW168" s="55">
        <f>ROUNDUP(G168/BN168,0)</f>
        <v/>
      </c>
      <c r="BX168" s="55">
        <f>ROUNDUP(BU168/BN168,0)</f>
        <v/>
      </c>
      <c r="BY168" s="58">
        <f>IF(BO168=1,0,IFERROR(VLOOKUP(BM168,'Gebinde-Kategorie'!$A$5:$G$45,5,0)+0,0))</f>
        <v/>
      </c>
      <c r="BZ168" s="58">
        <f>IFERROR(IF(OR(BQ168=1,BQ168=2,BQ168=3),N(INDEX(Parameter!$I$5:$I$7,BQ168)),0),0)</f>
        <v/>
      </c>
    </row>
    <row r="169">
      <c r="A169" s="53" t="inlineStr">
        <is>
          <t>111904</t>
        </is>
      </c>
      <c r="B169" s="53" t="inlineStr">
        <is>
          <t>Einschraubverschraubung</t>
        </is>
      </c>
      <c r="C169" s="53" t="inlineStr">
        <is>
          <t>F</t>
        </is>
      </c>
      <c r="D169" s="53" t="inlineStr">
        <is>
          <t>KTL</t>
        </is>
      </c>
      <c r="E169" s="53" t="inlineStr">
        <is>
          <t>C</t>
        </is>
      </c>
      <c r="F169" s="54" t="n">
        <v>11.02</v>
      </c>
      <c r="G169" s="55">
        <f>MAX(0,IF(Parameter!$B$20="Jahresanfang 2025 + Export",BG169+BF169,BF169))</f>
        <v/>
      </c>
      <c r="H169" s="55">
        <f>G169*F169</f>
        <v/>
      </c>
      <c r="I169" s="55">
        <f>BI169*Parameter!$B$18</f>
        <v/>
      </c>
      <c r="J169" s="56" t="n">
        <v>0</v>
      </c>
      <c r="K169" s="57" t="n">
        <v>0</v>
      </c>
      <c r="L169" s="55" t="n">
        <v>0</v>
      </c>
      <c r="M169" s="55" t="n">
        <v>1</v>
      </c>
      <c r="N169" s="58" t="n">
        <v>9999</v>
      </c>
      <c r="O169" s="53" t="inlineStr">
        <is>
          <t>LOSE</t>
        </is>
      </c>
      <c r="P169" s="55" t="n"/>
      <c r="Q169" s="59">
        <f>IF(BO169=1,0,IFERROR(VLOOKUP(BM169,'Gebinde-Kategorie'!$A$5:$G$45,6,0)+0,0))</f>
        <v/>
      </c>
      <c r="R169" s="60" t="n"/>
      <c r="S169" s="61" t="n"/>
      <c r="T169" s="61" t="n"/>
      <c r="U169" s="53">
        <f>IF(A169="","",IF(IFERROR(VLOOKUP(D169,Parameter!$A$35:$C$64,2,0),"Nein")="2+3",IF(ISNUMBER(SEARCH("grosser Artikel",BJ169)),2,IFERROR(VLOOKUP(BM169,Parameter!$F$35:$G$64,2,0),2)),IF(OR(IFERROR(VLOOKUP(D169,Parameter!$A$35:$C$64,2,0),"Nein")="Nein",IFERROR(VLOOKUP(D169,Parameter!$A$35:$C$64,2,0),"Nein")=""),"-",VLOOKUP(D169,Parameter!$A$35:$C$64,2,0))))</f>
        <v/>
      </c>
      <c r="V169" s="61" t="n"/>
      <c r="W169" s="62" t="n"/>
      <c r="X169" s="55">
        <f>AM169</f>
        <v/>
      </c>
      <c r="Y169" s="55">
        <f>MAX(AM169,G169)</f>
        <v/>
      </c>
      <c r="Z169" s="63" t="n"/>
      <c r="AA169" s="55">
        <f>IF(LEFT(Cockpit!$C$5,1)="A",G169,IF(BT169=1,BU169,IF(LEFT(Cockpit!$C$5,1)="B",AE169,MAX(AE169,G169))))</f>
        <v/>
      </c>
      <c r="AB169" s="55">
        <f>IF(BO169=1,0,ROUNDUP(AA169/BN169,0))</f>
        <v/>
      </c>
      <c r="AC169" s="64">
        <f>IF(BO169=1,IF(AA169&lt;=0,0,BP169*MAX(1,IF(G169&gt;0,AA169/G169,1))),AB169*Q169)</f>
        <v/>
      </c>
      <c r="AD169" s="55">
        <f>AA169*F169</f>
        <v/>
      </c>
      <c r="AE169" s="55">
        <f>ROUNDUP(MAX(I169/IF(BS169&gt;0,BS169,MAX(0.1,N(Cockpit!$C$6))),BV169)/BN169,0)*BN169</f>
        <v/>
      </c>
      <c r="AF169" s="56">
        <f>IF(AC169&gt;0,I169/AC169,-1)</f>
        <v/>
      </c>
      <c r="AG169" s="56">
        <f>IF(AND(OR(BR169="L1",BR169="L23"),AC169&gt;0),SUMIFS($AC$7:$AC$1570,$BR$7:$BR$1570,BR169,$AF$7:$AF$1570,"&gt;"&amp;AF169)+SUMIFS($AC$7:$AC$1570,$BR$7:$BR$1570,BR169,$AF$7:$AF$1570,AF169,$BL$7:$BL$1570,"&lt;="&amp;BL169),"")</f>
        <v/>
      </c>
      <c r="AH169" s="65">
        <f>IF(AG169="",0,MAX(0,MIN(1,(IF(BR169="L1",Parameter!$K$5,Parameter!$K$6+Parameter!$K$7)-(AG169-AC169))/AC169)))</f>
        <v/>
      </c>
      <c r="AI169" s="55">
        <f>IF(LEFT(Cockpit!$I$5,1)="A",G169,IF(BT169=1,BU169,IF(LEFT(Cockpit!$I$5,1)="B",AM169,MAX(AM169,G169))))</f>
        <v/>
      </c>
      <c r="AJ169" s="55">
        <f>IF(BO169=1,0,ROUNDUP(AI169/BN169,0))</f>
        <v/>
      </c>
      <c r="AK169" s="64">
        <f>IF(BO169=1,IF(AI169&lt;=0,0,BP169*MAX(1,IF(G169&gt;0,AI169/G169,1))),AJ169*Q169)</f>
        <v/>
      </c>
      <c r="AL169" s="55">
        <f>AI169*F169</f>
        <v/>
      </c>
      <c r="AM169" s="55">
        <f>ROUNDUP(MAX(I169/IF(BS169&gt;0,BS169,MAX(0.1,N(Cockpit!$I$6))),BV169)/BN169,0)*BN169</f>
        <v/>
      </c>
      <c r="AN169" s="56">
        <f>IF(AK169&gt;0,I169/AK169,-1)</f>
        <v/>
      </c>
      <c r="AO169" s="56">
        <f>IF(AND(OR(BR169="L1",BR169="L23"),AK169&gt;0),SUMIFS($AK$7:$AK$1570,$BR$7:$BR$1570,BR169,$AN$7:$AN$1570,"&gt;"&amp;AN169)+SUMIFS($AK$7:$AK$1570,$BR$7:$BR$1570,BR169,$AN$7:$AN$1570,AN169,$BL$7:$BL$1570,"&lt;="&amp;BL169),"")</f>
        <v/>
      </c>
      <c r="AP169" s="65">
        <f>IF(AO169="",0,MAX(0,MIN(1,(IF(BR169="L1",Parameter!$K$5,Parameter!$K$6+Parameter!$K$7)-(AO169-AK169))/AK169)))</f>
        <v/>
      </c>
      <c r="AQ169" s="55">
        <f>IF(LEFT(Cockpit!$O$5,1)="A",G169,IF(BT169=1,BU169,IF(LEFT(Cockpit!$O$5,1)="B",AU169,MAX(AU169,G169))))</f>
        <v/>
      </c>
      <c r="AR169" s="55">
        <f>IF(BO169=1,0,ROUNDUP(AQ169/BN169,0))</f>
        <v/>
      </c>
      <c r="AS169" s="64">
        <f>IF(BO169=1,IF(AQ169&lt;=0,0,BP169*MAX(1,IF(G169&gt;0,AQ169/G169,1))),AR169*Q169)</f>
        <v/>
      </c>
      <c r="AT169" s="55">
        <f>AQ169*F169</f>
        <v/>
      </c>
      <c r="AU169" s="55">
        <f>ROUNDUP(MAX(I169/IF(BS169&gt;0,BS169,MAX(0.1,N(Cockpit!$O$6))),BV169)/BN169,0)*BN169</f>
        <v/>
      </c>
      <c r="AV169" s="56">
        <f>IF(AS169&gt;0,I169/AS169,-1)</f>
        <v/>
      </c>
      <c r="AW169" s="56">
        <f>IF(AND(OR(BR169="L1",BR169="L23"),AS169&gt;0),SUMIFS($AS$7:$AS$1570,$BR$7:$BR$1570,BR169,$AV$7:$AV$1570,"&gt;"&amp;AV169)+SUMIFS($AS$7:$AS$1570,$BR$7:$BR$1570,BR169,$AV$7:$AV$1570,AV169,$BL$7:$BL$1570,"&lt;="&amp;BL169),"")</f>
        <v/>
      </c>
      <c r="AX169" s="65">
        <f>IF(AW169="",0,MAX(0,MIN(1,(IF(BR169="L1",Parameter!$K$5,Parameter!$K$6+Parameter!$K$7)-(AW169-AS169))/AS169)))</f>
        <v/>
      </c>
      <c r="AY169" s="53">
        <f>IF(AC169&lt;=0,"",IF(BR169="Aussen","Aussenlager",IF(BR169="-","Nicht im Lift",IF(AH169&gt;=1,"Lift",IF(AH169&lt;=0,"Aussenlager","teilweise")))))</f>
        <v/>
      </c>
      <c r="AZ169" s="53">
        <f>IF(AK169&lt;=0,"",IF(BR169="Aussen","Aussenlager",IF(BR169="-","Nicht im Lift",IF(AP169&gt;=1,"Lift",IF(AP169&lt;=0,"Aussenlager","teilweise")))))</f>
        <v/>
      </c>
      <c r="BA169" s="53">
        <f>IF(AS169&lt;=0,"",IF(BR169="Aussen","Aussenlager",IF(BR169="-","Nicht im Lift",IF(AX169&gt;=1,"Lift",IF(AX169&lt;=0,"Aussenlager","teilweise")))))</f>
        <v/>
      </c>
      <c r="BB169" s="53">
        <f>IF(A169="","",IF(BK169=1,"Neu; ","")&amp;IF(AND(BK169=0,BF169&lt;0),"negativer Bestand (Export "&amp;BF169&amp;"); ","")&amp;IF(I169&lt;=0,"Kein Verbrauch; ","")&amp;IF(BO169=1,"Lose – Fläche geschätzt; ","")&amp;IF(G169&gt;AM169,"Überbestand "&amp;ROUND(G169-AM169,0)&amp;" Stk / CHF "&amp;ROUND((G169-AM169)*F169,0)&amp;"; ","")&amp;IF(AND(BT169=1,BU169&lt;BV169),"MAX &lt; MB+LG; ","")&amp;IF(AND(BZ169&gt;0,BY169*10&gt;BZ169),"zu hoch für Tablar; ","")&amp;IF(AND(BK169=0,OR(BT169=1,V169&lt;&gt;"",S169&lt;&gt;"",T169&lt;&gt;"",W169&lt;&gt;"")),"manuell übersteuert; ","")&amp;IF(AND(BO169=0,Q169=0),"Gebinde unbekannt; ","")&amp;IF(AND(BO169=0,N(T169)&lt;=0,N(P169)&lt;=0),"Menge pro Gebinde fehlt (Ist = 1 Gebinde); ","")&amp;BJ169)</f>
        <v/>
      </c>
      <c r="BC169" s="53" t="n"/>
      <c r="BD169" s="53" t="n"/>
      <c r="BE169" s="61" t="n"/>
      <c r="BF169" s="55" t="n">
        <v>100</v>
      </c>
      <c r="BG169" s="55" t="n">
        <v>0</v>
      </c>
      <c r="BH169" s="54" t="n">
        <v>1102</v>
      </c>
      <c r="BI169" s="55" t="n">
        <v>0</v>
      </c>
      <c r="BJ169" s="53" t="inlineStr"/>
      <c r="BK169" s="58" t="n">
        <v>0</v>
      </c>
      <c r="BL169" s="58" t="n">
        <v>169</v>
      </c>
      <c r="BM169" s="53">
        <f>IF(S169&lt;&gt;"",UPPER(TRIM(S169)),IF(O169="","LOSE",O169))</f>
        <v/>
      </c>
      <c r="BN169" s="55">
        <f>IF(BM169="LOSE",1,IF(N(T169)&gt;0,T169,IF(N(P169)&gt;0,P169,MAX(1,G169))))</f>
        <v/>
      </c>
      <c r="BO169" s="58">
        <f>IF(BM169="LOSE",1,0)</f>
        <v/>
      </c>
      <c r="BP169" s="64">
        <f>IF(BO169=0,0,IF(N(R169)&gt;0,R169,IFERROR(VLOOKUP(D169,Parameter!$A$35:$C$64,3,0)+0,0)))</f>
        <v/>
      </c>
      <c r="BQ169" s="53">
        <f>IF(V169&lt;&gt;"",V169,U169)</f>
        <v/>
      </c>
      <c r="BR169" s="53">
        <f>IF(BQ169=1,"L1",IF(OR(BQ169=2,BQ169=3),"L23",IF(BQ169="Aussen","Aussen","-")))</f>
        <v/>
      </c>
      <c r="BS169" s="66">
        <f>IF(N(W169)&gt;0,W169,0)</f>
        <v/>
      </c>
      <c r="BT169" s="58">
        <f>IF(ISNUMBER(Z169),1,0)</f>
        <v/>
      </c>
      <c r="BU169" s="55">
        <f>N(Z169)</f>
        <v/>
      </c>
      <c r="BV169" s="55">
        <f>N(L169)+N(M169)</f>
        <v/>
      </c>
      <c r="BW169" s="55">
        <f>ROUNDUP(G169/BN169,0)</f>
        <v/>
      </c>
      <c r="BX169" s="55">
        <f>ROUNDUP(BU169/BN169,0)</f>
        <v/>
      </c>
      <c r="BY169" s="58">
        <f>IF(BO169=1,0,IFERROR(VLOOKUP(BM169,'Gebinde-Kategorie'!$A$5:$G$45,5,0)+0,0))</f>
        <v/>
      </c>
      <c r="BZ169" s="58">
        <f>IFERROR(IF(OR(BQ169=1,BQ169=2,BQ169=3),N(INDEX(Parameter!$I$5:$I$7,BQ169)),0),0)</f>
        <v/>
      </c>
    </row>
    <row r="170">
      <c r="A170" s="53" t="inlineStr">
        <is>
          <t>111770</t>
        </is>
      </c>
      <c r="B170" s="53" t="inlineStr">
        <is>
          <t>Manometer</t>
        </is>
      </c>
      <c r="C170" s="53" t="inlineStr">
        <is>
          <t>F</t>
        </is>
      </c>
      <c r="D170" s="53" t="inlineStr">
        <is>
          <t>KTL</t>
        </is>
      </c>
      <c r="E170" s="53" t="inlineStr">
        <is>
          <t>C</t>
        </is>
      </c>
      <c r="F170" s="54" t="n">
        <v>45.71</v>
      </c>
      <c r="G170" s="55">
        <f>MAX(0,IF(Parameter!$B$20="Jahresanfang 2025 + Export",BG170+BF170,BF170))</f>
        <v/>
      </c>
      <c r="H170" s="55">
        <f>G170*F170</f>
        <v/>
      </c>
      <c r="I170" s="55">
        <f>BI170*Parameter!$B$18</f>
        <v/>
      </c>
      <c r="J170" s="56" t="n">
        <v>0</v>
      </c>
      <c r="K170" s="57" t="n">
        <v>0</v>
      </c>
      <c r="L170" s="55" t="n">
        <v>0</v>
      </c>
      <c r="M170" s="55" t="n">
        <v>1</v>
      </c>
      <c r="N170" s="58" t="n">
        <v>9999</v>
      </c>
      <c r="O170" s="53" t="inlineStr">
        <is>
          <t>LOSE</t>
        </is>
      </c>
      <c r="P170" s="55" t="n"/>
      <c r="Q170" s="59">
        <f>IF(BO170=1,0,IFERROR(VLOOKUP(BM170,'Gebinde-Kategorie'!$A$5:$G$45,6,0)+0,0))</f>
        <v/>
      </c>
      <c r="R170" s="60" t="n"/>
      <c r="S170" s="61" t="n"/>
      <c r="T170" s="61" t="n"/>
      <c r="U170" s="53">
        <f>IF(A170="","",IF(IFERROR(VLOOKUP(D170,Parameter!$A$35:$C$64,2,0),"Nein")="2+3",IF(ISNUMBER(SEARCH("grosser Artikel",BJ170)),2,IFERROR(VLOOKUP(BM170,Parameter!$F$35:$G$64,2,0),2)),IF(OR(IFERROR(VLOOKUP(D170,Parameter!$A$35:$C$64,2,0),"Nein")="Nein",IFERROR(VLOOKUP(D170,Parameter!$A$35:$C$64,2,0),"Nein")=""),"-",VLOOKUP(D170,Parameter!$A$35:$C$64,2,0))))</f>
        <v/>
      </c>
      <c r="V170" s="61" t="n"/>
      <c r="W170" s="62" t="n"/>
      <c r="X170" s="55">
        <f>AM170</f>
        <v/>
      </c>
      <c r="Y170" s="55">
        <f>MAX(AM170,G170)</f>
        <v/>
      </c>
      <c r="Z170" s="63" t="n"/>
      <c r="AA170" s="55">
        <f>IF(LEFT(Cockpit!$C$5,1)="A",G170,IF(BT170=1,BU170,IF(LEFT(Cockpit!$C$5,1)="B",AE170,MAX(AE170,G170))))</f>
        <v/>
      </c>
      <c r="AB170" s="55">
        <f>IF(BO170=1,0,ROUNDUP(AA170/BN170,0))</f>
        <v/>
      </c>
      <c r="AC170" s="64">
        <f>IF(BO170=1,IF(AA170&lt;=0,0,BP170*MAX(1,IF(G170&gt;0,AA170/G170,1))),AB170*Q170)</f>
        <v/>
      </c>
      <c r="AD170" s="55">
        <f>AA170*F170</f>
        <v/>
      </c>
      <c r="AE170" s="55">
        <f>ROUNDUP(MAX(I170/IF(BS170&gt;0,BS170,MAX(0.1,N(Cockpit!$C$6))),BV170)/BN170,0)*BN170</f>
        <v/>
      </c>
      <c r="AF170" s="56">
        <f>IF(AC170&gt;0,I170/AC170,-1)</f>
        <v/>
      </c>
      <c r="AG170" s="56">
        <f>IF(AND(OR(BR170="L1",BR170="L23"),AC170&gt;0),SUMIFS($AC$7:$AC$1570,$BR$7:$BR$1570,BR170,$AF$7:$AF$1570,"&gt;"&amp;AF170)+SUMIFS($AC$7:$AC$1570,$BR$7:$BR$1570,BR170,$AF$7:$AF$1570,AF170,$BL$7:$BL$1570,"&lt;="&amp;BL170),"")</f>
        <v/>
      </c>
      <c r="AH170" s="65">
        <f>IF(AG170="",0,MAX(0,MIN(1,(IF(BR170="L1",Parameter!$K$5,Parameter!$K$6+Parameter!$K$7)-(AG170-AC170))/AC170)))</f>
        <v/>
      </c>
      <c r="AI170" s="55">
        <f>IF(LEFT(Cockpit!$I$5,1)="A",G170,IF(BT170=1,BU170,IF(LEFT(Cockpit!$I$5,1)="B",AM170,MAX(AM170,G170))))</f>
        <v/>
      </c>
      <c r="AJ170" s="55">
        <f>IF(BO170=1,0,ROUNDUP(AI170/BN170,0))</f>
        <v/>
      </c>
      <c r="AK170" s="64">
        <f>IF(BO170=1,IF(AI170&lt;=0,0,BP170*MAX(1,IF(G170&gt;0,AI170/G170,1))),AJ170*Q170)</f>
        <v/>
      </c>
      <c r="AL170" s="55">
        <f>AI170*F170</f>
        <v/>
      </c>
      <c r="AM170" s="55">
        <f>ROUNDUP(MAX(I170/IF(BS170&gt;0,BS170,MAX(0.1,N(Cockpit!$I$6))),BV170)/BN170,0)*BN170</f>
        <v/>
      </c>
      <c r="AN170" s="56">
        <f>IF(AK170&gt;0,I170/AK170,-1)</f>
        <v/>
      </c>
      <c r="AO170" s="56">
        <f>IF(AND(OR(BR170="L1",BR170="L23"),AK170&gt;0),SUMIFS($AK$7:$AK$1570,$BR$7:$BR$1570,BR170,$AN$7:$AN$1570,"&gt;"&amp;AN170)+SUMIFS($AK$7:$AK$1570,$BR$7:$BR$1570,BR170,$AN$7:$AN$1570,AN170,$BL$7:$BL$1570,"&lt;="&amp;BL170),"")</f>
        <v/>
      </c>
      <c r="AP170" s="65">
        <f>IF(AO170="",0,MAX(0,MIN(1,(IF(BR170="L1",Parameter!$K$5,Parameter!$K$6+Parameter!$K$7)-(AO170-AK170))/AK170)))</f>
        <v/>
      </c>
      <c r="AQ170" s="55">
        <f>IF(LEFT(Cockpit!$O$5,1)="A",G170,IF(BT170=1,BU170,IF(LEFT(Cockpit!$O$5,1)="B",AU170,MAX(AU170,G170))))</f>
        <v/>
      </c>
      <c r="AR170" s="55">
        <f>IF(BO170=1,0,ROUNDUP(AQ170/BN170,0))</f>
        <v/>
      </c>
      <c r="AS170" s="64">
        <f>IF(BO170=1,IF(AQ170&lt;=0,0,BP170*MAX(1,IF(G170&gt;0,AQ170/G170,1))),AR170*Q170)</f>
        <v/>
      </c>
      <c r="AT170" s="55">
        <f>AQ170*F170</f>
        <v/>
      </c>
      <c r="AU170" s="55">
        <f>ROUNDUP(MAX(I170/IF(BS170&gt;0,BS170,MAX(0.1,N(Cockpit!$O$6))),BV170)/BN170,0)*BN170</f>
        <v/>
      </c>
      <c r="AV170" s="56">
        <f>IF(AS170&gt;0,I170/AS170,-1)</f>
        <v/>
      </c>
      <c r="AW170" s="56">
        <f>IF(AND(OR(BR170="L1",BR170="L23"),AS170&gt;0),SUMIFS($AS$7:$AS$1570,$BR$7:$BR$1570,BR170,$AV$7:$AV$1570,"&gt;"&amp;AV170)+SUMIFS($AS$7:$AS$1570,$BR$7:$BR$1570,BR170,$AV$7:$AV$1570,AV170,$BL$7:$BL$1570,"&lt;="&amp;BL170),"")</f>
        <v/>
      </c>
      <c r="AX170" s="65">
        <f>IF(AW170="",0,MAX(0,MIN(1,(IF(BR170="L1",Parameter!$K$5,Parameter!$K$6+Parameter!$K$7)-(AW170-AS170))/AS170)))</f>
        <v/>
      </c>
      <c r="AY170" s="53">
        <f>IF(AC170&lt;=0,"",IF(BR170="Aussen","Aussenlager",IF(BR170="-","Nicht im Lift",IF(AH170&gt;=1,"Lift",IF(AH170&lt;=0,"Aussenlager","teilweise")))))</f>
        <v/>
      </c>
      <c r="AZ170" s="53">
        <f>IF(AK170&lt;=0,"",IF(BR170="Aussen","Aussenlager",IF(BR170="-","Nicht im Lift",IF(AP170&gt;=1,"Lift",IF(AP170&lt;=0,"Aussenlager","teilweise")))))</f>
        <v/>
      </c>
      <c r="BA170" s="53">
        <f>IF(AS170&lt;=0,"",IF(BR170="Aussen","Aussenlager",IF(BR170="-","Nicht im Lift",IF(AX170&gt;=1,"Lift",IF(AX170&lt;=0,"Aussenlager","teilweise")))))</f>
        <v/>
      </c>
      <c r="BB170" s="53">
        <f>IF(A170="","",IF(BK170=1,"Neu; ","")&amp;IF(AND(BK170=0,BF170&lt;0),"negativer Bestand (Export "&amp;BF170&amp;"); ","")&amp;IF(I170&lt;=0,"Kein Verbrauch; ","")&amp;IF(BO170=1,"Lose – Fläche geschätzt; ","")&amp;IF(G170&gt;AM170,"Überbestand "&amp;ROUND(G170-AM170,0)&amp;" Stk / CHF "&amp;ROUND((G170-AM170)*F170,0)&amp;"; ","")&amp;IF(AND(BT170=1,BU170&lt;BV170),"MAX &lt; MB+LG; ","")&amp;IF(AND(BZ170&gt;0,BY170*10&gt;BZ170),"zu hoch für Tablar; ","")&amp;IF(AND(BK170=0,OR(BT170=1,V170&lt;&gt;"",S170&lt;&gt;"",T170&lt;&gt;"",W170&lt;&gt;"")),"manuell übersteuert; ","")&amp;IF(AND(BO170=0,Q170=0),"Gebinde unbekannt; ","")&amp;IF(AND(BO170=0,N(T170)&lt;=0,N(P170)&lt;=0),"Menge pro Gebinde fehlt (Ist = 1 Gebinde); ","")&amp;BJ170)</f>
        <v/>
      </c>
      <c r="BC170" s="53" t="n"/>
      <c r="BD170" s="53" t="n"/>
      <c r="BE170" s="61" t="n"/>
      <c r="BF170" s="55" t="n">
        <v>24</v>
      </c>
      <c r="BG170" s="55" t="n">
        <v>0</v>
      </c>
      <c r="BH170" s="54" t="n">
        <v>1097.04</v>
      </c>
      <c r="BI170" s="55" t="n">
        <v>0</v>
      </c>
      <c r="BJ170" s="53" t="inlineStr"/>
      <c r="BK170" s="58" t="n">
        <v>0</v>
      </c>
      <c r="BL170" s="58" t="n">
        <v>170</v>
      </c>
      <c r="BM170" s="53">
        <f>IF(S170&lt;&gt;"",UPPER(TRIM(S170)),IF(O170="","LOSE",O170))</f>
        <v/>
      </c>
      <c r="BN170" s="55">
        <f>IF(BM170="LOSE",1,IF(N(T170)&gt;0,T170,IF(N(P170)&gt;0,P170,MAX(1,G170))))</f>
        <v/>
      </c>
      <c r="BO170" s="58">
        <f>IF(BM170="LOSE",1,0)</f>
        <v/>
      </c>
      <c r="BP170" s="64">
        <f>IF(BO170=0,0,IF(N(R170)&gt;0,R170,IFERROR(VLOOKUP(D170,Parameter!$A$35:$C$64,3,0)+0,0)))</f>
        <v/>
      </c>
      <c r="BQ170" s="53">
        <f>IF(V170&lt;&gt;"",V170,U170)</f>
        <v/>
      </c>
      <c r="BR170" s="53">
        <f>IF(BQ170=1,"L1",IF(OR(BQ170=2,BQ170=3),"L23",IF(BQ170="Aussen","Aussen","-")))</f>
        <v/>
      </c>
      <c r="BS170" s="66">
        <f>IF(N(W170)&gt;0,W170,0)</f>
        <v/>
      </c>
      <c r="BT170" s="58">
        <f>IF(ISNUMBER(Z170),1,0)</f>
        <v/>
      </c>
      <c r="BU170" s="55">
        <f>N(Z170)</f>
        <v/>
      </c>
      <c r="BV170" s="55">
        <f>N(L170)+N(M170)</f>
        <v/>
      </c>
      <c r="BW170" s="55">
        <f>ROUNDUP(G170/BN170,0)</f>
        <v/>
      </c>
      <c r="BX170" s="55">
        <f>ROUNDUP(BU170/BN170,0)</f>
        <v/>
      </c>
      <c r="BY170" s="58">
        <f>IF(BO170=1,0,IFERROR(VLOOKUP(BM170,'Gebinde-Kategorie'!$A$5:$G$45,5,0)+0,0))</f>
        <v/>
      </c>
      <c r="BZ170" s="58">
        <f>IFERROR(IF(OR(BQ170=1,BQ170=2,BQ170=3),N(INDEX(Parameter!$I$5:$I$7,BQ170)),0),0)</f>
        <v/>
      </c>
    </row>
    <row r="171">
      <c r="A171" s="53" t="inlineStr">
        <is>
          <t>111762</t>
        </is>
      </c>
      <c r="B171" s="53" t="inlineStr">
        <is>
          <t>Manometer</t>
        </is>
      </c>
      <c r="C171" s="53" t="inlineStr">
        <is>
          <t>F</t>
        </is>
      </c>
      <c r="D171" s="53" t="inlineStr">
        <is>
          <t>KTL</t>
        </is>
      </c>
      <c r="E171" s="53" t="inlineStr">
        <is>
          <t>C</t>
        </is>
      </c>
      <c r="F171" s="54" t="n">
        <v>45.71</v>
      </c>
      <c r="G171" s="55">
        <f>MAX(0,IF(Parameter!$B$20="Jahresanfang 2025 + Export",BG171+BF171,BF171))</f>
        <v/>
      </c>
      <c r="H171" s="55">
        <f>G171*F171</f>
        <v/>
      </c>
      <c r="I171" s="55">
        <f>BI171*Parameter!$B$18</f>
        <v/>
      </c>
      <c r="J171" s="56" t="n">
        <v>0</v>
      </c>
      <c r="K171" s="57" t="n">
        <v>0</v>
      </c>
      <c r="L171" s="55" t="n">
        <v>0</v>
      </c>
      <c r="M171" s="55" t="n">
        <v>1</v>
      </c>
      <c r="N171" s="58" t="n">
        <v>9999</v>
      </c>
      <c r="O171" s="53" t="inlineStr">
        <is>
          <t>LOSE</t>
        </is>
      </c>
      <c r="P171" s="55" t="n"/>
      <c r="Q171" s="59">
        <f>IF(BO171=1,0,IFERROR(VLOOKUP(BM171,'Gebinde-Kategorie'!$A$5:$G$45,6,0)+0,0))</f>
        <v/>
      </c>
      <c r="R171" s="60" t="n"/>
      <c r="S171" s="61" t="n"/>
      <c r="T171" s="61" t="n"/>
      <c r="U171" s="53">
        <f>IF(A171="","",IF(IFERROR(VLOOKUP(D171,Parameter!$A$35:$C$64,2,0),"Nein")="2+3",IF(ISNUMBER(SEARCH("grosser Artikel",BJ171)),2,IFERROR(VLOOKUP(BM171,Parameter!$F$35:$G$64,2,0),2)),IF(OR(IFERROR(VLOOKUP(D171,Parameter!$A$35:$C$64,2,0),"Nein")="Nein",IFERROR(VLOOKUP(D171,Parameter!$A$35:$C$64,2,0),"Nein")=""),"-",VLOOKUP(D171,Parameter!$A$35:$C$64,2,0))))</f>
        <v/>
      </c>
      <c r="V171" s="61" t="n"/>
      <c r="W171" s="62" t="n"/>
      <c r="X171" s="55">
        <f>AM171</f>
        <v/>
      </c>
      <c r="Y171" s="55">
        <f>MAX(AM171,G171)</f>
        <v/>
      </c>
      <c r="Z171" s="63" t="n"/>
      <c r="AA171" s="55">
        <f>IF(LEFT(Cockpit!$C$5,1)="A",G171,IF(BT171=1,BU171,IF(LEFT(Cockpit!$C$5,1)="B",AE171,MAX(AE171,G171))))</f>
        <v/>
      </c>
      <c r="AB171" s="55">
        <f>IF(BO171=1,0,ROUNDUP(AA171/BN171,0))</f>
        <v/>
      </c>
      <c r="AC171" s="64">
        <f>IF(BO171=1,IF(AA171&lt;=0,0,BP171*MAX(1,IF(G171&gt;0,AA171/G171,1))),AB171*Q171)</f>
        <v/>
      </c>
      <c r="AD171" s="55">
        <f>AA171*F171</f>
        <v/>
      </c>
      <c r="AE171" s="55">
        <f>ROUNDUP(MAX(I171/IF(BS171&gt;0,BS171,MAX(0.1,N(Cockpit!$C$6))),BV171)/BN171,0)*BN171</f>
        <v/>
      </c>
      <c r="AF171" s="56">
        <f>IF(AC171&gt;0,I171/AC171,-1)</f>
        <v/>
      </c>
      <c r="AG171" s="56">
        <f>IF(AND(OR(BR171="L1",BR171="L23"),AC171&gt;0),SUMIFS($AC$7:$AC$1570,$BR$7:$BR$1570,BR171,$AF$7:$AF$1570,"&gt;"&amp;AF171)+SUMIFS($AC$7:$AC$1570,$BR$7:$BR$1570,BR171,$AF$7:$AF$1570,AF171,$BL$7:$BL$1570,"&lt;="&amp;BL171),"")</f>
        <v/>
      </c>
      <c r="AH171" s="65">
        <f>IF(AG171="",0,MAX(0,MIN(1,(IF(BR171="L1",Parameter!$K$5,Parameter!$K$6+Parameter!$K$7)-(AG171-AC171))/AC171)))</f>
        <v/>
      </c>
      <c r="AI171" s="55">
        <f>IF(LEFT(Cockpit!$I$5,1)="A",G171,IF(BT171=1,BU171,IF(LEFT(Cockpit!$I$5,1)="B",AM171,MAX(AM171,G171))))</f>
        <v/>
      </c>
      <c r="AJ171" s="55">
        <f>IF(BO171=1,0,ROUNDUP(AI171/BN171,0))</f>
        <v/>
      </c>
      <c r="AK171" s="64">
        <f>IF(BO171=1,IF(AI171&lt;=0,0,BP171*MAX(1,IF(G171&gt;0,AI171/G171,1))),AJ171*Q171)</f>
        <v/>
      </c>
      <c r="AL171" s="55">
        <f>AI171*F171</f>
        <v/>
      </c>
      <c r="AM171" s="55">
        <f>ROUNDUP(MAX(I171/IF(BS171&gt;0,BS171,MAX(0.1,N(Cockpit!$I$6))),BV171)/BN171,0)*BN171</f>
        <v/>
      </c>
      <c r="AN171" s="56">
        <f>IF(AK171&gt;0,I171/AK171,-1)</f>
        <v/>
      </c>
      <c r="AO171" s="56">
        <f>IF(AND(OR(BR171="L1",BR171="L23"),AK171&gt;0),SUMIFS($AK$7:$AK$1570,$BR$7:$BR$1570,BR171,$AN$7:$AN$1570,"&gt;"&amp;AN171)+SUMIFS($AK$7:$AK$1570,$BR$7:$BR$1570,BR171,$AN$7:$AN$1570,AN171,$BL$7:$BL$1570,"&lt;="&amp;BL171),"")</f>
        <v/>
      </c>
      <c r="AP171" s="65">
        <f>IF(AO171="",0,MAX(0,MIN(1,(IF(BR171="L1",Parameter!$K$5,Parameter!$K$6+Parameter!$K$7)-(AO171-AK171))/AK171)))</f>
        <v/>
      </c>
      <c r="AQ171" s="55">
        <f>IF(LEFT(Cockpit!$O$5,1)="A",G171,IF(BT171=1,BU171,IF(LEFT(Cockpit!$O$5,1)="B",AU171,MAX(AU171,G171))))</f>
        <v/>
      </c>
      <c r="AR171" s="55">
        <f>IF(BO171=1,0,ROUNDUP(AQ171/BN171,0))</f>
        <v/>
      </c>
      <c r="AS171" s="64">
        <f>IF(BO171=1,IF(AQ171&lt;=0,0,BP171*MAX(1,IF(G171&gt;0,AQ171/G171,1))),AR171*Q171)</f>
        <v/>
      </c>
      <c r="AT171" s="55">
        <f>AQ171*F171</f>
        <v/>
      </c>
      <c r="AU171" s="55">
        <f>ROUNDUP(MAX(I171/IF(BS171&gt;0,BS171,MAX(0.1,N(Cockpit!$O$6))),BV171)/BN171,0)*BN171</f>
        <v/>
      </c>
      <c r="AV171" s="56">
        <f>IF(AS171&gt;0,I171/AS171,-1)</f>
        <v/>
      </c>
      <c r="AW171" s="56">
        <f>IF(AND(OR(BR171="L1",BR171="L23"),AS171&gt;0),SUMIFS($AS$7:$AS$1570,$BR$7:$BR$1570,BR171,$AV$7:$AV$1570,"&gt;"&amp;AV171)+SUMIFS($AS$7:$AS$1570,$BR$7:$BR$1570,BR171,$AV$7:$AV$1570,AV171,$BL$7:$BL$1570,"&lt;="&amp;BL171),"")</f>
        <v/>
      </c>
      <c r="AX171" s="65">
        <f>IF(AW171="",0,MAX(0,MIN(1,(IF(BR171="L1",Parameter!$K$5,Parameter!$K$6+Parameter!$K$7)-(AW171-AS171))/AS171)))</f>
        <v/>
      </c>
      <c r="AY171" s="53">
        <f>IF(AC171&lt;=0,"",IF(BR171="Aussen","Aussenlager",IF(BR171="-","Nicht im Lift",IF(AH171&gt;=1,"Lift",IF(AH171&lt;=0,"Aussenlager","teilweise")))))</f>
        <v/>
      </c>
      <c r="AZ171" s="53">
        <f>IF(AK171&lt;=0,"",IF(BR171="Aussen","Aussenlager",IF(BR171="-","Nicht im Lift",IF(AP171&gt;=1,"Lift",IF(AP171&lt;=0,"Aussenlager","teilweise")))))</f>
        <v/>
      </c>
      <c r="BA171" s="53">
        <f>IF(AS171&lt;=0,"",IF(BR171="Aussen","Aussenlager",IF(BR171="-","Nicht im Lift",IF(AX171&gt;=1,"Lift",IF(AX171&lt;=0,"Aussenlager","teilweise")))))</f>
        <v/>
      </c>
      <c r="BB171" s="53">
        <f>IF(A171="","",IF(BK171=1,"Neu; ","")&amp;IF(AND(BK171=0,BF171&lt;0),"negativer Bestand (Export "&amp;BF171&amp;"); ","")&amp;IF(I171&lt;=0,"Kein Verbrauch; ","")&amp;IF(BO171=1,"Lose – Fläche geschätzt; ","")&amp;IF(G171&gt;AM171,"Überbestand "&amp;ROUND(G171-AM171,0)&amp;" Stk / CHF "&amp;ROUND((G171-AM171)*F171,0)&amp;"; ","")&amp;IF(AND(BT171=1,BU171&lt;BV171),"MAX &lt; MB+LG; ","")&amp;IF(AND(BZ171&gt;0,BY171*10&gt;BZ171),"zu hoch für Tablar; ","")&amp;IF(AND(BK171=0,OR(BT171=1,V171&lt;&gt;"",S171&lt;&gt;"",T171&lt;&gt;"",W171&lt;&gt;"")),"manuell übersteuert; ","")&amp;IF(AND(BO171=0,Q171=0),"Gebinde unbekannt; ","")&amp;IF(AND(BO171=0,N(T171)&lt;=0,N(P171)&lt;=0),"Menge pro Gebinde fehlt (Ist = 1 Gebinde); ","")&amp;BJ171)</f>
        <v/>
      </c>
      <c r="BC171" s="53" t="n"/>
      <c r="BD171" s="53" t="n"/>
      <c r="BE171" s="61" t="n"/>
      <c r="BF171" s="55" t="n">
        <v>24</v>
      </c>
      <c r="BG171" s="55" t="n">
        <v>0</v>
      </c>
      <c r="BH171" s="54" t="n">
        <v>1097.04</v>
      </c>
      <c r="BI171" s="55" t="n">
        <v>0</v>
      </c>
      <c r="BJ171" s="53" t="inlineStr"/>
      <c r="BK171" s="58" t="n">
        <v>0</v>
      </c>
      <c r="BL171" s="58" t="n">
        <v>171</v>
      </c>
      <c r="BM171" s="53">
        <f>IF(S171&lt;&gt;"",UPPER(TRIM(S171)),IF(O171="","LOSE",O171))</f>
        <v/>
      </c>
      <c r="BN171" s="55">
        <f>IF(BM171="LOSE",1,IF(N(T171)&gt;0,T171,IF(N(P171)&gt;0,P171,MAX(1,G171))))</f>
        <v/>
      </c>
      <c r="BO171" s="58">
        <f>IF(BM171="LOSE",1,0)</f>
        <v/>
      </c>
      <c r="BP171" s="64">
        <f>IF(BO171=0,0,IF(N(R171)&gt;0,R171,IFERROR(VLOOKUP(D171,Parameter!$A$35:$C$64,3,0)+0,0)))</f>
        <v/>
      </c>
      <c r="BQ171" s="53">
        <f>IF(V171&lt;&gt;"",V171,U171)</f>
        <v/>
      </c>
      <c r="BR171" s="53">
        <f>IF(BQ171=1,"L1",IF(OR(BQ171=2,BQ171=3),"L23",IF(BQ171="Aussen","Aussen","-")))</f>
        <v/>
      </c>
      <c r="BS171" s="66">
        <f>IF(N(W171)&gt;0,W171,0)</f>
        <v/>
      </c>
      <c r="BT171" s="58">
        <f>IF(ISNUMBER(Z171),1,0)</f>
        <v/>
      </c>
      <c r="BU171" s="55">
        <f>N(Z171)</f>
        <v/>
      </c>
      <c r="BV171" s="55">
        <f>N(L171)+N(M171)</f>
        <v/>
      </c>
      <c r="BW171" s="55">
        <f>ROUNDUP(G171/BN171,0)</f>
        <v/>
      </c>
      <c r="BX171" s="55">
        <f>ROUNDUP(BU171/BN171,0)</f>
        <v/>
      </c>
      <c r="BY171" s="58">
        <f>IF(BO171=1,0,IFERROR(VLOOKUP(BM171,'Gebinde-Kategorie'!$A$5:$G$45,5,0)+0,0))</f>
        <v/>
      </c>
      <c r="BZ171" s="58">
        <f>IFERROR(IF(OR(BQ171=1,BQ171=2,BQ171=3),N(INDEX(Parameter!$I$5:$I$7,BQ171)),0),0)</f>
        <v/>
      </c>
    </row>
    <row r="172">
      <c r="A172" s="53" t="inlineStr">
        <is>
          <t>005498</t>
        </is>
      </c>
      <c r="B172" s="53" t="inlineStr">
        <is>
          <t>Nylonband mit Klettverschluss</t>
        </is>
      </c>
      <c r="C172" s="53" t="inlineStr">
        <is>
          <t>F</t>
        </is>
      </c>
      <c r="D172" s="53" t="inlineStr">
        <is>
          <t>KTL</t>
        </is>
      </c>
      <c r="E172" s="53" t="inlineStr">
        <is>
          <t>C</t>
        </is>
      </c>
      <c r="F172" s="54" t="n">
        <v>10.48</v>
      </c>
      <c r="G172" s="55">
        <f>MAX(0,IF(Parameter!$B$20="Jahresanfang 2025 + Export",BG172+BF172,BF172))</f>
        <v/>
      </c>
      <c r="H172" s="55">
        <f>G172*F172</f>
        <v/>
      </c>
      <c r="I172" s="55">
        <f>BI172*Parameter!$B$18</f>
        <v/>
      </c>
      <c r="J172" s="56" t="n">
        <v>102.5</v>
      </c>
      <c r="K172" s="57" t="n">
        <v>3.687804878048781</v>
      </c>
      <c r="L172" s="55" t="n">
        <v>25</v>
      </c>
      <c r="M172" s="55" t="n">
        <v>280</v>
      </c>
      <c r="N172" s="58" t="n">
        <v>21</v>
      </c>
      <c r="O172" s="53" t="inlineStr">
        <is>
          <t>S51</t>
        </is>
      </c>
      <c r="P172" s="55" t="n">
        <v>155</v>
      </c>
      <c r="Q172" s="59">
        <f>IF(BO172=1,0,IFERROR(VLOOKUP(BM172,'Gebinde-Kategorie'!$A$5:$G$45,6,0)+0,0))</f>
        <v/>
      </c>
      <c r="R172" s="60" t="n"/>
      <c r="S172" s="61" t="n"/>
      <c r="T172" s="61" t="n"/>
      <c r="U172" s="53">
        <f>IF(A172="","",IF(IFERROR(VLOOKUP(D172,Parameter!$A$35:$C$64,2,0),"Nein")="2+3",IF(ISNUMBER(SEARCH("grosser Artikel",BJ172)),2,IFERROR(VLOOKUP(BM172,Parameter!$F$35:$G$64,2,0),2)),IF(OR(IFERROR(VLOOKUP(D172,Parameter!$A$35:$C$64,2,0),"Nein")="Nein",IFERROR(VLOOKUP(D172,Parameter!$A$35:$C$64,2,0),"Nein")=""),"-",VLOOKUP(D172,Parameter!$A$35:$C$64,2,0))))</f>
        <v/>
      </c>
      <c r="V172" s="61" t="n"/>
      <c r="W172" s="62" t="n"/>
      <c r="X172" s="55">
        <f>AM172</f>
        <v/>
      </c>
      <c r="Y172" s="55">
        <f>MAX(AM172,G172)</f>
        <v/>
      </c>
      <c r="Z172" s="63" t="n"/>
      <c r="AA172" s="55">
        <f>IF(LEFT(Cockpit!$C$5,1)="A",G172,IF(BT172=1,BU172,IF(LEFT(Cockpit!$C$5,1)="B",AE172,MAX(AE172,G172))))</f>
        <v/>
      </c>
      <c r="AB172" s="55">
        <f>IF(BO172=1,0,ROUNDUP(AA172/BN172,0))</f>
        <v/>
      </c>
      <c r="AC172" s="64">
        <f>IF(BO172=1,IF(AA172&lt;=0,0,BP172*MAX(1,IF(G172&gt;0,AA172/G172,1))),AB172*Q172)</f>
        <v/>
      </c>
      <c r="AD172" s="55">
        <f>AA172*F172</f>
        <v/>
      </c>
      <c r="AE172" s="55">
        <f>ROUNDUP(MAX(I172/IF(BS172&gt;0,BS172,MAX(0.1,N(Cockpit!$C$6))),BV172)/BN172,0)*BN172</f>
        <v/>
      </c>
      <c r="AF172" s="56">
        <f>IF(AC172&gt;0,I172/AC172,-1)</f>
        <v/>
      </c>
      <c r="AG172" s="56">
        <f>IF(AND(OR(BR172="L1",BR172="L23"),AC172&gt;0),SUMIFS($AC$7:$AC$1570,$BR$7:$BR$1570,BR172,$AF$7:$AF$1570,"&gt;"&amp;AF172)+SUMIFS($AC$7:$AC$1570,$BR$7:$BR$1570,BR172,$AF$7:$AF$1570,AF172,$BL$7:$BL$1570,"&lt;="&amp;BL172),"")</f>
        <v/>
      </c>
      <c r="AH172" s="65">
        <f>IF(AG172="",0,MAX(0,MIN(1,(IF(BR172="L1",Parameter!$K$5,Parameter!$K$6+Parameter!$K$7)-(AG172-AC172))/AC172)))</f>
        <v/>
      </c>
      <c r="AI172" s="55">
        <f>IF(LEFT(Cockpit!$I$5,1)="A",G172,IF(BT172=1,BU172,IF(LEFT(Cockpit!$I$5,1)="B",AM172,MAX(AM172,G172))))</f>
        <v/>
      </c>
      <c r="AJ172" s="55">
        <f>IF(BO172=1,0,ROUNDUP(AI172/BN172,0))</f>
        <v/>
      </c>
      <c r="AK172" s="64">
        <f>IF(BO172=1,IF(AI172&lt;=0,0,BP172*MAX(1,IF(G172&gt;0,AI172/G172,1))),AJ172*Q172)</f>
        <v/>
      </c>
      <c r="AL172" s="55">
        <f>AI172*F172</f>
        <v/>
      </c>
      <c r="AM172" s="55">
        <f>ROUNDUP(MAX(I172/IF(BS172&gt;0,BS172,MAX(0.1,N(Cockpit!$I$6))),BV172)/BN172,0)*BN172</f>
        <v/>
      </c>
      <c r="AN172" s="56">
        <f>IF(AK172&gt;0,I172/AK172,-1)</f>
        <v/>
      </c>
      <c r="AO172" s="56">
        <f>IF(AND(OR(BR172="L1",BR172="L23"),AK172&gt;0),SUMIFS($AK$7:$AK$1570,$BR$7:$BR$1570,BR172,$AN$7:$AN$1570,"&gt;"&amp;AN172)+SUMIFS($AK$7:$AK$1570,$BR$7:$BR$1570,BR172,$AN$7:$AN$1570,AN172,$BL$7:$BL$1570,"&lt;="&amp;BL172),"")</f>
        <v/>
      </c>
      <c r="AP172" s="65">
        <f>IF(AO172="",0,MAX(0,MIN(1,(IF(BR172="L1",Parameter!$K$5,Parameter!$K$6+Parameter!$K$7)-(AO172-AK172))/AK172)))</f>
        <v/>
      </c>
      <c r="AQ172" s="55">
        <f>IF(LEFT(Cockpit!$O$5,1)="A",G172,IF(BT172=1,BU172,IF(LEFT(Cockpit!$O$5,1)="B",AU172,MAX(AU172,G172))))</f>
        <v/>
      </c>
      <c r="AR172" s="55">
        <f>IF(BO172=1,0,ROUNDUP(AQ172/BN172,0))</f>
        <v/>
      </c>
      <c r="AS172" s="64">
        <f>IF(BO172=1,IF(AQ172&lt;=0,0,BP172*MAX(1,IF(G172&gt;0,AQ172/G172,1))),AR172*Q172)</f>
        <v/>
      </c>
      <c r="AT172" s="55">
        <f>AQ172*F172</f>
        <v/>
      </c>
      <c r="AU172" s="55">
        <f>ROUNDUP(MAX(I172/IF(BS172&gt;0,BS172,MAX(0.1,N(Cockpit!$O$6))),BV172)/BN172,0)*BN172</f>
        <v/>
      </c>
      <c r="AV172" s="56">
        <f>IF(AS172&gt;0,I172/AS172,-1)</f>
        <v/>
      </c>
      <c r="AW172" s="56">
        <f>IF(AND(OR(BR172="L1",BR172="L23"),AS172&gt;0),SUMIFS($AS$7:$AS$1570,$BR$7:$BR$1570,BR172,$AV$7:$AV$1570,"&gt;"&amp;AV172)+SUMIFS($AS$7:$AS$1570,$BR$7:$BR$1570,BR172,$AV$7:$AV$1570,AV172,$BL$7:$BL$1570,"&lt;="&amp;BL172),"")</f>
        <v/>
      </c>
      <c r="AX172" s="65">
        <f>IF(AW172="",0,MAX(0,MIN(1,(IF(BR172="L1",Parameter!$K$5,Parameter!$K$6+Parameter!$K$7)-(AW172-AS172))/AS172)))</f>
        <v/>
      </c>
      <c r="AY172" s="53">
        <f>IF(AC172&lt;=0,"",IF(BR172="Aussen","Aussenlager",IF(BR172="-","Nicht im Lift",IF(AH172&gt;=1,"Lift",IF(AH172&lt;=0,"Aussenlager","teilweise")))))</f>
        <v/>
      </c>
      <c r="AZ172" s="53">
        <f>IF(AK172&lt;=0,"",IF(BR172="Aussen","Aussenlager",IF(BR172="-","Nicht im Lift",IF(AP172&gt;=1,"Lift",IF(AP172&lt;=0,"Aussenlager","teilweise")))))</f>
        <v/>
      </c>
      <c r="BA172" s="53">
        <f>IF(AS172&lt;=0,"",IF(BR172="Aussen","Aussenlager",IF(BR172="-","Nicht im Lift",IF(AX172&gt;=1,"Lift",IF(AX172&lt;=0,"Aussenlager","teilweise")))))</f>
        <v/>
      </c>
      <c r="BB172" s="53">
        <f>IF(A172="","",IF(BK172=1,"Neu; ","")&amp;IF(AND(BK172=0,BF172&lt;0),"negativer Bestand (Export "&amp;BF172&amp;"); ","")&amp;IF(I172&lt;=0,"Kein Verbrauch; ","")&amp;IF(BO172=1,"Lose – Fläche geschätzt; ","")&amp;IF(G172&gt;AM172,"Überbestand "&amp;ROUND(G172-AM172,0)&amp;" Stk / CHF "&amp;ROUND((G172-AM172)*F172,0)&amp;"; ","")&amp;IF(AND(BT172=1,BU172&lt;BV172),"MAX &lt; MB+LG; ","")&amp;IF(AND(BZ172&gt;0,BY172*10&gt;BZ172),"zu hoch für Tablar; ","")&amp;IF(AND(BK172=0,OR(BT172=1,V172&lt;&gt;"",S172&lt;&gt;"",T172&lt;&gt;"",W172&lt;&gt;"")),"manuell übersteuert; ","")&amp;IF(AND(BO172=0,Q172=0),"Gebinde unbekannt; ","")&amp;IF(AND(BO172=0,N(T172)&lt;=0,N(P172)&lt;=0),"Menge pro Gebinde fehlt (Ist = 1 Gebinde); ","")&amp;BJ172)</f>
        <v/>
      </c>
      <c r="BC172" s="53" t="n"/>
      <c r="BD172" s="53" t="n"/>
      <c r="BE172" s="61" t="n"/>
      <c r="BF172" s="55" t="n">
        <v>119</v>
      </c>
      <c r="BG172" s="55" t="n">
        <v>87</v>
      </c>
      <c r="BH172" s="54" t="n">
        <v>1093.129999999999</v>
      </c>
      <c r="BI172" s="55" t="n">
        <v>378</v>
      </c>
      <c r="BJ172" s="53" t="inlineStr"/>
      <c r="BK172" s="58" t="n">
        <v>0</v>
      </c>
      <c r="BL172" s="58" t="n">
        <v>172</v>
      </c>
      <c r="BM172" s="53">
        <f>IF(S172&lt;&gt;"",UPPER(TRIM(S172)),IF(O172="","LOSE",O172))</f>
        <v/>
      </c>
      <c r="BN172" s="55">
        <f>IF(BM172="LOSE",1,IF(N(T172)&gt;0,T172,IF(N(P172)&gt;0,P172,MAX(1,G172))))</f>
        <v/>
      </c>
      <c r="BO172" s="58">
        <f>IF(BM172="LOSE",1,0)</f>
        <v/>
      </c>
      <c r="BP172" s="64">
        <f>IF(BO172=0,0,IF(N(R172)&gt;0,R172,IFERROR(VLOOKUP(D172,Parameter!$A$35:$C$64,3,0)+0,0)))</f>
        <v/>
      </c>
      <c r="BQ172" s="53">
        <f>IF(V172&lt;&gt;"",V172,U172)</f>
        <v/>
      </c>
      <c r="BR172" s="53">
        <f>IF(BQ172=1,"L1",IF(OR(BQ172=2,BQ172=3),"L23",IF(BQ172="Aussen","Aussen","-")))</f>
        <v/>
      </c>
      <c r="BS172" s="66">
        <f>IF(N(W172)&gt;0,W172,0)</f>
        <v/>
      </c>
      <c r="BT172" s="58">
        <f>IF(ISNUMBER(Z172),1,0)</f>
        <v/>
      </c>
      <c r="BU172" s="55">
        <f>N(Z172)</f>
        <v/>
      </c>
      <c r="BV172" s="55">
        <f>N(L172)+N(M172)</f>
        <v/>
      </c>
      <c r="BW172" s="55">
        <f>ROUNDUP(G172/BN172,0)</f>
        <v/>
      </c>
      <c r="BX172" s="55">
        <f>ROUNDUP(BU172/BN172,0)</f>
        <v/>
      </c>
      <c r="BY172" s="58">
        <f>IF(BO172=1,0,IFERROR(VLOOKUP(BM172,'Gebinde-Kategorie'!$A$5:$G$45,5,0)+0,0))</f>
        <v/>
      </c>
      <c r="BZ172" s="58">
        <f>IFERROR(IF(OR(BQ172=1,BQ172=2,BQ172=3),N(INDEX(Parameter!$I$5:$I$7,BQ172)),0),0)</f>
        <v/>
      </c>
    </row>
    <row r="173">
      <c r="A173" s="53" t="inlineStr">
        <is>
          <t>107996</t>
        </is>
      </c>
      <c r="B173" s="53" t="inlineStr">
        <is>
          <t>Doppelnippel mit Blendenbohrung</t>
        </is>
      </c>
      <c r="C173" s="53" t="inlineStr">
        <is>
          <t>F</t>
        </is>
      </c>
      <c r="D173" s="53" t="inlineStr">
        <is>
          <t>KTL</t>
        </is>
      </c>
      <c r="E173" s="53" t="inlineStr">
        <is>
          <t>C</t>
        </is>
      </c>
      <c r="F173" s="54" t="n">
        <v>11.46</v>
      </c>
      <c r="G173" s="55">
        <f>MAX(0,IF(Parameter!$B$20="Jahresanfang 2025 + Export",BG173+BF173,BF173))</f>
        <v/>
      </c>
      <c r="H173" s="55">
        <f>G173*F173</f>
        <v/>
      </c>
      <c r="I173" s="55">
        <f>BI173*Parameter!$B$18</f>
        <v/>
      </c>
      <c r="J173" s="56" t="n">
        <v>110</v>
      </c>
      <c r="K173" s="57" t="n">
        <v>1.381818181818182</v>
      </c>
      <c r="L173" s="55" t="n">
        <v>17</v>
      </c>
      <c r="M173" s="55" t="n">
        <v>150</v>
      </c>
      <c r="N173" s="58" t="n">
        <v>42</v>
      </c>
      <c r="O173" s="53" t="inlineStr">
        <is>
          <t>S51</t>
        </is>
      </c>
      <c r="P173" s="55" t="n">
        <v>122</v>
      </c>
      <c r="Q173" s="59">
        <f>IF(BO173=1,0,IFERROR(VLOOKUP(BM173,'Gebinde-Kategorie'!$A$5:$G$45,6,0)+0,0))</f>
        <v/>
      </c>
      <c r="R173" s="60" t="n"/>
      <c r="S173" s="61" t="n"/>
      <c r="T173" s="61" t="n"/>
      <c r="U173" s="53">
        <f>IF(A173="","",IF(IFERROR(VLOOKUP(D173,Parameter!$A$35:$C$64,2,0),"Nein")="2+3",IF(ISNUMBER(SEARCH("grosser Artikel",BJ173)),2,IFERROR(VLOOKUP(BM173,Parameter!$F$35:$G$64,2,0),2)),IF(OR(IFERROR(VLOOKUP(D173,Parameter!$A$35:$C$64,2,0),"Nein")="Nein",IFERROR(VLOOKUP(D173,Parameter!$A$35:$C$64,2,0),"Nein")=""),"-",VLOOKUP(D173,Parameter!$A$35:$C$64,2,0))))</f>
        <v/>
      </c>
      <c r="V173" s="61" t="n"/>
      <c r="W173" s="62" t="n"/>
      <c r="X173" s="55">
        <f>AM173</f>
        <v/>
      </c>
      <c r="Y173" s="55">
        <f>MAX(AM173,G173)</f>
        <v/>
      </c>
      <c r="Z173" s="63" t="n"/>
      <c r="AA173" s="55">
        <f>IF(LEFT(Cockpit!$C$5,1)="A",G173,IF(BT173=1,BU173,IF(LEFT(Cockpit!$C$5,1)="B",AE173,MAX(AE173,G173))))</f>
        <v/>
      </c>
      <c r="AB173" s="55">
        <f>IF(BO173=1,0,ROUNDUP(AA173/BN173,0))</f>
        <v/>
      </c>
      <c r="AC173" s="64">
        <f>IF(BO173=1,IF(AA173&lt;=0,0,BP173*MAX(1,IF(G173&gt;0,AA173/G173,1))),AB173*Q173)</f>
        <v/>
      </c>
      <c r="AD173" s="55">
        <f>AA173*F173</f>
        <v/>
      </c>
      <c r="AE173" s="55">
        <f>ROUNDUP(MAX(I173/IF(BS173&gt;0,BS173,MAX(0.1,N(Cockpit!$C$6))),BV173)/BN173,0)*BN173</f>
        <v/>
      </c>
      <c r="AF173" s="56">
        <f>IF(AC173&gt;0,I173/AC173,-1)</f>
        <v/>
      </c>
      <c r="AG173" s="56">
        <f>IF(AND(OR(BR173="L1",BR173="L23"),AC173&gt;0),SUMIFS($AC$7:$AC$1570,$BR$7:$BR$1570,BR173,$AF$7:$AF$1570,"&gt;"&amp;AF173)+SUMIFS($AC$7:$AC$1570,$BR$7:$BR$1570,BR173,$AF$7:$AF$1570,AF173,$BL$7:$BL$1570,"&lt;="&amp;BL173),"")</f>
        <v/>
      </c>
      <c r="AH173" s="65">
        <f>IF(AG173="",0,MAX(0,MIN(1,(IF(BR173="L1",Parameter!$K$5,Parameter!$K$6+Parameter!$K$7)-(AG173-AC173))/AC173)))</f>
        <v/>
      </c>
      <c r="AI173" s="55">
        <f>IF(LEFT(Cockpit!$I$5,1)="A",G173,IF(BT173=1,BU173,IF(LEFT(Cockpit!$I$5,1)="B",AM173,MAX(AM173,G173))))</f>
        <v/>
      </c>
      <c r="AJ173" s="55">
        <f>IF(BO173=1,0,ROUNDUP(AI173/BN173,0))</f>
        <v/>
      </c>
      <c r="AK173" s="64">
        <f>IF(BO173=1,IF(AI173&lt;=0,0,BP173*MAX(1,IF(G173&gt;0,AI173/G173,1))),AJ173*Q173)</f>
        <v/>
      </c>
      <c r="AL173" s="55">
        <f>AI173*F173</f>
        <v/>
      </c>
      <c r="AM173" s="55">
        <f>ROUNDUP(MAX(I173/IF(BS173&gt;0,BS173,MAX(0.1,N(Cockpit!$I$6))),BV173)/BN173,0)*BN173</f>
        <v/>
      </c>
      <c r="AN173" s="56">
        <f>IF(AK173&gt;0,I173/AK173,-1)</f>
        <v/>
      </c>
      <c r="AO173" s="56">
        <f>IF(AND(OR(BR173="L1",BR173="L23"),AK173&gt;0),SUMIFS($AK$7:$AK$1570,$BR$7:$BR$1570,BR173,$AN$7:$AN$1570,"&gt;"&amp;AN173)+SUMIFS($AK$7:$AK$1570,$BR$7:$BR$1570,BR173,$AN$7:$AN$1570,AN173,$BL$7:$BL$1570,"&lt;="&amp;BL173),"")</f>
        <v/>
      </c>
      <c r="AP173" s="65">
        <f>IF(AO173="",0,MAX(0,MIN(1,(IF(BR173="L1",Parameter!$K$5,Parameter!$K$6+Parameter!$K$7)-(AO173-AK173))/AK173)))</f>
        <v/>
      </c>
      <c r="AQ173" s="55">
        <f>IF(LEFT(Cockpit!$O$5,1)="A",G173,IF(BT173=1,BU173,IF(LEFT(Cockpit!$O$5,1)="B",AU173,MAX(AU173,G173))))</f>
        <v/>
      </c>
      <c r="AR173" s="55">
        <f>IF(BO173=1,0,ROUNDUP(AQ173/BN173,0))</f>
        <v/>
      </c>
      <c r="AS173" s="64">
        <f>IF(BO173=1,IF(AQ173&lt;=0,0,BP173*MAX(1,IF(G173&gt;0,AQ173/G173,1))),AR173*Q173)</f>
        <v/>
      </c>
      <c r="AT173" s="55">
        <f>AQ173*F173</f>
        <v/>
      </c>
      <c r="AU173" s="55">
        <f>ROUNDUP(MAX(I173/IF(BS173&gt;0,BS173,MAX(0.1,N(Cockpit!$O$6))),BV173)/BN173,0)*BN173</f>
        <v/>
      </c>
      <c r="AV173" s="56">
        <f>IF(AS173&gt;0,I173/AS173,-1)</f>
        <v/>
      </c>
      <c r="AW173" s="56">
        <f>IF(AND(OR(BR173="L1",BR173="L23"),AS173&gt;0),SUMIFS($AS$7:$AS$1570,$BR$7:$BR$1570,BR173,$AV$7:$AV$1570,"&gt;"&amp;AV173)+SUMIFS($AS$7:$AS$1570,$BR$7:$BR$1570,BR173,$AV$7:$AV$1570,AV173,$BL$7:$BL$1570,"&lt;="&amp;BL173),"")</f>
        <v/>
      </c>
      <c r="AX173" s="65">
        <f>IF(AW173="",0,MAX(0,MIN(1,(IF(BR173="L1",Parameter!$K$5,Parameter!$K$6+Parameter!$K$7)-(AW173-AS173))/AS173)))</f>
        <v/>
      </c>
      <c r="AY173" s="53">
        <f>IF(AC173&lt;=0,"",IF(BR173="Aussen","Aussenlager",IF(BR173="-","Nicht im Lift",IF(AH173&gt;=1,"Lift",IF(AH173&lt;=0,"Aussenlager","teilweise")))))</f>
        <v/>
      </c>
      <c r="AZ173" s="53">
        <f>IF(AK173&lt;=0,"",IF(BR173="Aussen","Aussenlager",IF(BR173="-","Nicht im Lift",IF(AP173&gt;=1,"Lift",IF(AP173&lt;=0,"Aussenlager","teilweise")))))</f>
        <v/>
      </c>
      <c r="BA173" s="53">
        <f>IF(AS173&lt;=0,"",IF(BR173="Aussen","Aussenlager",IF(BR173="-","Nicht im Lift",IF(AX173&gt;=1,"Lift",IF(AX173&lt;=0,"Aussenlager","teilweise")))))</f>
        <v/>
      </c>
      <c r="BB173" s="53">
        <f>IF(A173="","",IF(BK173=1,"Neu; ","")&amp;IF(AND(BK173=0,BF173&lt;0),"negativer Bestand (Export "&amp;BF173&amp;"); ","")&amp;IF(I173&lt;=0,"Kein Verbrauch; ","")&amp;IF(BO173=1,"Lose – Fläche geschätzt; ","")&amp;IF(G173&gt;AM173,"Überbestand "&amp;ROUND(G173-AM173,0)&amp;" Stk / CHF "&amp;ROUND((G173-AM173)*F173,0)&amp;"; ","")&amp;IF(AND(BT173=1,BU173&lt;BV173),"MAX &lt; MB+LG; ","")&amp;IF(AND(BZ173&gt;0,BY173*10&gt;BZ173),"zu hoch für Tablar; ","")&amp;IF(AND(BK173=0,OR(BT173=1,V173&lt;&gt;"",S173&lt;&gt;"",T173&lt;&gt;"",W173&lt;&gt;"")),"manuell übersteuert; ","")&amp;IF(AND(BO173=0,Q173=0),"Gebinde unbekannt; ","")&amp;IF(AND(BO173=0,N(T173)&lt;=0,N(P173)&lt;=0),"Menge pro Gebinde fehlt (Ist = 1 Gebinde); ","")&amp;BJ173)</f>
        <v/>
      </c>
      <c r="BC173" s="53" t="n"/>
      <c r="BD173" s="53" t="n"/>
      <c r="BE173" s="61" t="n"/>
      <c r="BF173" s="55" t="n">
        <v>84</v>
      </c>
      <c r="BG173" s="55" t="n">
        <v>88</v>
      </c>
      <c r="BH173" s="54" t="n">
        <v>1092</v>
      </c>
      <c r="BI173" s="55" t="n">
        <v>152</v>
      </c>
      <c r="BJ173" s="53" t="inlineStr"/>
      <c r="BK173" s="58" t="n">
        <v>0</v>
      </c>
      <c r="BL173" s="58" t="n">
        <v>173</v>
      </c>
      <c r="BM173" s="53">
        <f>IF(S173&lt;&gt;"",UPPER(TRIM(S173)),IF(O173="","LOSE",O173))</f>
        <v/>
      </c>
      <c r="BN173" s="55">
        <f>IF(BM173="LOSE",1,IF(N(T173)&gt;0,T173,IF(N(P173)&gt;0,P173,MAX(1,G173))))</f>
        <v/>
      </c>
      <c r="BO173" s="58">
        <f>IF(BM173="LOSE",1,0)</f>
        <v/>
      </c>
      <c r="BP173" s="64">
        <f>IF(BO173=0,0,IF(N(R173)&gt;0,R173,IFERROR(VLOOKUP(D173,Parameter!$A$35:$C$64,3,0)+0,0)))</f>
        <v/>
      </c>
      <c r="BQ173" s="53">
        <f>IF(V173&lt;&gt;"",V173,U173)</f>
        <v/>
      </c>
      <c r="BR173" s="53">
        <f>IF(BQ173=1,"L1",IF(OR(BQ173=2,BQ173=3),"L23",IF(BQ173="Aussen","Aussen","-")))</f>
        <v/>
      </c>
      <c r="BS173" s="66">
        <f>IF(N(W173)&gt;0,W173,0)</f>
        <v/>
      </c>
      <c r="BT173" s="58">
        <f>IF(ISNUMBER(Z173),1,0)</f>
        <v/>
      </c>
      <c r="BU173" s="55">
        <f>N(Z173)</f>
        <v/>
      </c>
      <c r="BV173" s="55">
        <f>N(L173)+N(M173)</f>
        <v/>
      </c>
      <c r="BW173" s="55">
        <f>ROUNDUP(G173/BN173,0)</f>
        <v/>
      </c>
      <c r="BX173" s="55">
        <f>ROUNDUP(BU173/BN173,0)</f>
        <v/>
      </c>
      <c r="BY173" s="58">
        <f>IF(BO173=1,0,IFERROR(VLOOKUP(BM173,'Gebinde-Kategorie'!$A$5:$G$45,5,0)+0,0))</f>
        <v/>
      </c>
      <c r="BZ173" s="58">
        <f>IFERROR(IF(OR(BQ173=1,BQ173=2,BQ173=3),N(INDEX(Parameter!$I$5:$I$7,BQ173)),0),0)</f>
        <v/>
      </c>
    </row>
    <row r="174">
      <c r="A174" s="53" t="inlineStr">
        <is>
          <t>005747</t>
        </is>
      </c>
      <c r="B174" s="53" t="inlineStr">
        <is>
          <t>Hochdruck-Ganzmetallschlauch O2,UK</t>
        </is>
      </c>
      <c r="C174" s="53" t="inlineStr">
        <is>
          <t>F</t>
        </is>
      </c>
      <c r="D174" s="53" t="inlineStr">
        <is>
          <t>PAL</t>
        </is>
      </c>
      <c r="E174" s="53" t="inlineStr">
        <is>
          <t>C</t>
        </is>
      </c>
      <c r="F174" s="54" t="n">
        <v>533.7</v>
      </c>
      <c r="G174" s="55">
        <f>MAX(0,IF(Parameter!$B$20="Jahresanfang 2025 + Export",BG174+BF174,BF174))</f>
        <v/>
      </c>
      <c r="H174" s="55">
        <f>G174*F174</f>
        <v/>
      </c>
      <c r="I174" s="55">
        <f>BI174*Parameter!$B$18</f>
        <v/>
      </c>
      <c r="J174" s="56" t="n">
        <v>0</v>
      </c>
      <c r="K174" s="57" t="n">
        <v>0</v>
      </c>
      <c r="L174" s="55" t="n">
        <v>0</v>
      </c>
      <c r="M174" s="55" t="n">
        <v>1</v>
      </c>
      <c r="N174" s="58" t="n">
        <v>28</v>
      </c>
      <c r="O174" s="53" t="inlineStr">
        <is>
          <t>LOSE</t>
        </is>
      </c>
      <c r="P174" s="55" t="n"/>
      <c r="Q174" s="59">
        <f>IF(BO174=1,0,IFERROR(VLOOKUP(BM174,'Gebinde-Kategorie'!$A$5:$G$45,6,0)+0,0))</f>
        <v/>
      </c>
      <c r="R174" s="60" t="n"/>
      <c r="S174" s="61" t="n"/>
      <c r="T174" s="61" t="n"/>
      <c r="U174" s="53">
        <f>IF(A174="","",IF(IFERROR(VLOOKUP(D174,Parameter!$A$35:$C$64,2,0),"Nein")="2+3",IF(ISNUMBER(SEARCH("grosser Artikel",BJ174)),2,IFERROR(VLOOKUP(BM174,Parameter!$F$35:$G$64,2,0),2)),IF(OR(IFERROR(VLOOKUP(D174,Parameter!$A$35:$C$64,2,0),"Nein")="Nein",IFERROR(VLOOKUP(D174,Parameter!$A$35:$C$64,2,0),"Nein")=""),"-",VLOOKUP(D174,Parameter!$A$35:$C$64,2,0))))</f>
        <v/>
      </c>
      <c r="V174" s="61" t="n"/>
      <c r="W174" s="62" t="n"/>
      <c r="X174" s="55">
        <f>AM174</f>
        <v/>
      </c>
      <c r="Y174" s="55">
        <f>MAX(AM174,G174)</f>
        <v/>
      </c>
      <c r="Z174" s="63" t="n"/>
      <c r="AA174" s="55">
        <f>IF(LEFT(Cockpit!$C$5,1)="A",G174,IF(BT174=1,BU174,IF(LEFT(Cockpit!$C$5,1)="B",AE174,MAX(AE174,G174))))</f>
        <v/>
      </c>
      <c r="AB174" s="55">
        <f>IF(BO174=1,0,ROUNDUP(AA174/BN174,0))</f>
        <v/>
      </c>
      <c r="AC174" s="64">
        <f>IF(BO174=1,IF(AA174&lt;=0,0,BP174*MAX(1,IF(G174&gt;0,AA174/G174,1))),AB174*Q174)</f>
        <v/>
      </c>
      <c r="AD174" s="55">
        <f>AA174*F174</f>
        <v/>
      </c>
      <c r="AE174" s="55">
        <f>ROUNDUP(MAX(I174/IF(BS174&gt;0,BS174,MAX(0.1,N(Cockpit!$C$6))),BV174)/BN174,0)*BN174</f>
        <v/>
      </c>
      <c r="AF174" s="56">
        <f>IF(AC174&gt;0,I174/AC174,-1)</f>
        <v/>
      </c>
      <c r="AG174" s="56">
        <f>IF(AND(OR(BR174="L1",BR174="L23"),AC174&gt;0),SUMIFS($AC$7:$AC$1570,$BR$7:$BR$1570,BR174,$AF$7:$AF$1570,"&gt;"&amp;AF174)+SUMIFS($AC$7:$AC$1570,$BR$7:$BR$1570,BR174,$AF$7:$AF$1570,AF174,$BL$7:$BL$1570,"&lt;="&amp;BL174),"")</f>
        <v/>
      </c>
      <c r="AH174" s="65">
        <f>IF(AG174="",0,MAX(0,MIN(1,(IF(BR174="L1",Parameter!$K$5,Parameter!$K$6+Parameter!$K$7)-(AG174-AC174))/AC174)))</f>
        <v/>
      </c>
      <c r="AI174" s="55">
        <f>IF(LEFT(Cockpit!$I$5,1)="A",G174,IF(BT174=1,BU174,IF(LEFT(Cockpit!$I$5,1)="B",AM174,MAX(AM174,G174))))</f>
        <v/>
      </c>
      <c r="AJ174" s="55">
        <f>IF(BO174=1,0,ROUNDUP(AI174/BN174,0))</f>
        <v/>
      </c>
      <c r="AK174" s="64">
        <f>IF(BO174=1,IF(AI174&lt;=0,0,BP174*MAX(1,IF(G174&gt;0,AI174/G174,1))),AJ174*Q174)</f>
        <v/>
      </c>
      <c r="AL174" s="55">
        <f>AI174*F174</f>
        <v/>
      </c>
      <c r="AM174" s="55">
        <f>ROUNDUP(MAX(I174/IF(BS174&gt;0,BS174,MAX(0.1,N(Cockpit!$I$6))),BV174)/BN174,0)*BN174</f>
        <v/>
      </c>
      <c r="AN174" s="56">
        <f>IF(AK174&gt;0,I174/AK174,-1)</f>
        <v/>
      </c>
      <c r="AO174" s="56">
        <f>IF(AND(OR(BR174="L1",BR174="L23"),AK174&gt;0),SUMIFS($AK$7:$AK$1570,$BR$7:$BR$1570,BR174,$AN$7:$AN$1570,"&gt;"&amp;AN174)+SUMIFS($AK$7:$AK$1570,$BR$7:$BR$1570,BR174,$AN$7:$AN$1570,AN174,$BL$7:$BL$1570,"&lt;="&amp;BL174),"")</f>
        <v/>
      </c>
      <c r="AP174" s="65">
        <f>IF(AO174="",0,MAX(0,MIN(1,(IF(BR174="L1",Parameter!$K$5,Parameter!$K$6+Parameter!$K$7)-(AO174-AK174))/AK174)))</f>
        <v/>
      </c>
      <c r="AQ174" s="55">
        <f>IF(LEFT(Cockpit!$O$5,1)="A",G174,IF(BT174=1,BU174,IF(LEFT(Cockpit!$O$5,1)="B",AU174,MAX(AU174,G174))))</f>
        <v/>
      </c>
      <c r="AR174" s="55">
        <f>IF(BO174=1,0,ROUNDUP(AQ174/BN174,0))</f>
        <v/>
      </c>
      <c r="AS174" s="64">
        <f>IF(BO174=1,IF(AQ174&lt;=0,0,BP174*MAX(1,IF(G174&gt;0,AQ174/G174,1))),AR174*Q174)</f>
        <v/>
      </c>
      <c r="AT174" s="55">
        <f>AQ174*F174</f>
        <v/>
      </c>
      <c r="AU174" s="55">
        <f>ROUNDUP(MAX(I174/IF(BS174&gt;0,BS174,MAX(0.1,N(Cockpit!$O$6))),BV174)/BN174,0)*BN174</f>
        <v/>
      </c>
      <c r="AV174" s="56">
        <f>IF(AS174&gt;0,I174/AS174,-1)</f>
        <v/>
      </c>
      <c r="AW174" s="56">
        <f>IF(AND(OR(BR174="L1",BR174="L23"),AS174&gt;0),SUMIFS($AS$7:$AS$1570,$BR$7:$BR$1570,BR174,$AV$7:$AV$1570,"&gt;"&amp;AV174)+SUMIFS($AS$7:$AS$1570,$BR$7:$BR$1570,BR174,$AV$7:$AV$1570,AV174,$BL$7:$BL$1570,"&lt;="&amp;BL174),"")</f>
        <v/>
      </c>
      <c r="AX174" s="65">
        <f>IF(AW174="",0,MAX(0,MIN(1,(IF(BR174="L1",Parameter!$K$5,Parameter!$K$6+Parameter!$K$7)-(AW174-AS174))/AS174)))</f>
        <v/>
      </c>
      <c r="AY174" s="53">
        <f>IF(AC174&lt;=0,"",IF(BR174="Aussen","Aussenlager",IF(BR174="-","Nicht im Lift",IF(AH174&gt;=1,"Lift",IF(AH174&lt;=0,"Aussenlager","teilweise")))))</f>
        <v/>
      </c>
      <c r="AZ174" s="53">
        <f>IF(AK174&lt;=0,"",IF(BR174="Aussen","Aussenlager",IF(BR174="-","Nicht im Lift",IF(AP174&gt;=1,"Lift",IF(AP174&lt;=0,"Aussenlager","teilweise")))))</f>
        <v/>
      </c>
      <c r="BA174" s="53">
        <f>IF(AS174&lt;=0,"",IF(BR174="Aussen","Aussenlager",IF(BR174="-","Nicht im Lift",IF(AX174&gt;=1,"Lift",IF(AX174&lt;=0,"Aussenlager","teilweise")))))</f>
        <v/>
      </c>
      <c r="BB174" s="53">
        <f>IF(A174="","",IF(BK174=1,"Neu; ","")&amp;IF(AND(BK174=0,BF174&lt;0),"negativer Bestand (Export "&amp;BF174&amp;"); ","")&amp;IF(I174&lt;=0,"Kein Verbrauch; ","")&amp;IF(BO174=1,"Lose – Fläche geschätzt; ","")&amp;IF(G174&gt;AM174,"Überbestand "&amp;ROUND(G174-AM174,0)&amp;" Stk / CHF "&amp;ROUND((G174-AM174)*F174,0)&amp;"; ","")&amp;IF(AND(BT174=1,BU174&lt;BV174),"MAX &lt; MB+LG; ","")&amp;IF(AND(BZ174&gt;0,BY174*10&gt;BZ174),"zu hoch für Tablar; ","")&amp;IF(AND(BK174=0,OR(BT174=1,V174&lt;&gt;"",S174&lt;&gt;"",T174&lt;&gt;"",W174&lt;&gt;"")),"manuell übersteuert; ","")&amp;IF(AND(BO174=0,Q174=0),"Gebinde unbekannt; ","")&amp;IF(AND(BO174=0,N(T174)&lt;=0,N(P174)&lt;=0),"Menge pro Gebinde fehlt (Ist = 1 Gebinde); ","")&amp;BJ174)</f>
        <v/>
      </c>
      <c r="BC174" s="53" t="n"/>
      <c r="BD174" s="53" t="n"/>
      <c r="BE174" s="61" t="n"/>
      <c r="BF174" s="55" t="n">
        <v>2</v>
      </c>
      <c r="BG174" s="55" t="n">
        <v>0</v>
      </c>
      <c r="BH174" s="54" t="n">
        <v>1067.4</v>
      </c>
      <c r="BI174" s="55" t="n">
        <v>0</v>
      </c>
      <c r="BJ174" s="53" t="inlineStr"/>
      <c r="BK174" s="58" t="n">
        <v>0</v>
      </c>
      <c r="BL174" s="58" t="n">
        <v>174</v>
      </c>
      <c r="BM174" s="53">
        <f>IF(S174&lt;&gt;"",UPPER(TRIM(S174)),IF(O174="","LOSE",O174))</f>
        <v/>
      </c>
      <c r="BN174" s="55">
        <f>IF(BM174="LOSE",1,IF(N(T174)&gt;0,T174,IF(N(P174)&gt;0,P174,MAX(1,G174))))</f>
        <v/>
      </c>
      <c r="BO174" s="58">
        <f>IF(BM174="LOSE",1,0)</f>
        <v/>
      </c>
      <c r="BP174" s="64">
        <f>IF(BO174=0,0,IF(N(R174)&gt;0,R174,IFERROR(VLOOKUP(D174,Parameter!$A$35:$C$64,3,0)+0,0)))</f>
        <v/>
      </c>
      <c r="BQ174" s="53">
        <f>IF(V174&lt;&gt;"",V174,U174)</f>
        <v/>
      </c>
      <c r="BR174" s="53">
        <f>IF(BQ174=1,"L1",IF(OR(BQ174=2,BQ174=3),"L23",IF(BQ174="Aussen","Aussen","-")))</f>
        <v/>
      </c>
      <c r="BS174" s="66">
        <f>IF(N(W174)&gt;0,W174,0)</f>
        <v/>
      </c>
      <c r="BT174" s="58">
        <f>IF(ISNUMBER(Z174),1,0)</f>
        <v/>
      </c>
      <c r="BU174" s="55">
        <f>N(Z174)</f>
        <v/>
      </c>
      <c r="BV174" s="55">
        <f>N(L174)+N(M174)</f>
        <v/>
      </c>
      <c r="BW174" s="55">
        <f>ROUNDUP(G174/BN174,0)</f>
        <v/>
      </c>
      <c r="BX174" s="55">
        <f>ROUNDUP(BU174/BN174,0)</f>
        <v/>
      </c>
      <c r="BY174" s="58">
        <f>IF(BO174=1,0,IFERROR(VLOOKUP(BM174,'Gebinde-Kategorie'!$A$5:$G$45,5,0)+0,0))</f>
        <v/>
      </c>
      <c r="BZ174" s="58">
        <f>IFERROR(IF(OR(BQ174=1,BQ174=2,BQ174=3),N(INDEX(Parameter!$I$5:$I$7,BQ174)),0),0)</f>
        <v/>
      </c>
    </row>
    <row r="175">
      <c r="A175" s="53" t="inlineStr">
        <is>
          <t>108039</t>
        </is>
      </c>
      <c r="B175" s="53" t="inlineStr">
        <is>
          <t>HEAVYCON Anbaugehäuse B6</t>
        </is>
      </c>
      <c r="C175" s="53" t="inlineStr">
        <is>
          <t>F</t>
        </is>
      </c>
      <c r="D175" s="53" t="inlineStr">
        <is>
          <t>KTL</t>
        </is>
      </c>
      <c r="E175" s="53" t="inlineStr">
        <is>
          <t>C</t>
        </is>
      </c>
      <c r="F175" s="54" t="n">
        <v>9.07</v>
      </c>
      <c r="G175" s="55">
        <f>MAX(0,IF(Parameter!$B$20="Jahresanfang 2025 + Export",BG175+BF175,BF175))</f>
        <v/>
      </c>
      <c r="H175" s="55">
        <f>G175*F175</f>
        <v/>
      </c>
      <c r="I175" s="55">
        <f>BI175*Parameter!$B$18</f>
        <v/>
      </c>
      <c r="J175" s="56" t="n">
        <v>76.5</v>
      </c>
      <c r="K175" s="57" t="n">
        <v>2.326797385620915</v>
      </c>
      <c r="L175" s="55" t="n">
        <v>13</v>
      </c>
      <c r="M175" s="55" t="n">
        <v>180</v>
      </c>
      <c r="N175" s="58" t="n">
        <v>28</v>
      </c>
      <c r="O175" s="53" t="inlineStr">
        <is>
          <t>S61</t>
        </is>
      </c>
      <c r="P175" s="55" t="n">
        <v>90</v>
      </c>
      <c r="Q175" s="59">
        <f>IF(BO175=1,0,IFERROR(VLOOKUP(BM175,'Gebinde-Kategorie'!$A$5:$G$45,6,0)+0,0))</f>
        <v/>
      </c>
      <c r="R175" s="60" t="n"/>
      <c r="S175" s="61" t="n"/>
      <c r="T175" s="61" t="n"/>
      <c r="U175" s="53">
        <f>IF(A175="","",IF(IFERROR(VLOOKUP(D175,Parameter!$A$35:$C$64,2,0),"Nein")="2+3",IF(ISNUMBER(SEARCH("grosser Artikel",BJ175)),2,IFERROR(VLOOKUP(BM175,Parameter!$F$35:$G$64,2,0),2)),IF(OR(IFERROR(VLOOKUP(D175,Parameter!$A$35:$C$64,2,0),"Nein")="Nein",IFERROR(VLOOKUP(D175,Parameter!$A$35:$C$64,2,0),"Nein")=""),"-",VLOOKUP(D175,Parameter!$A$35:$C$64,2,0))))</f>
        <v/>
      </c>
      <c r="V175" s="61" t="n"/>
      <c r="W175" s="62" t="n"/>
      <c r="X175" s="55">
        <f>AM175</f>
        <v/>
      </c>
      <c r="Y175" s="55">
        <f>MAX(AM175,G175)</f>
        <v/>
      </c>
      <c r="Z175" s="63" t="n"/>
      <c r="AA175" s="55">
        <f>IF(LEFT(Cockpit!$C$5,1)="A",G175,IF(BT175=1,BU175,IF(LEFT(Cockpit!$C$5,1)="B",AE175,MAX(AE175,G175))))</f>
        <v/>
      </c>
      <c r="AB175" s="55">
        <f>IF(BO175=1,0,ROUNDUP(AA175/BN175,0))</f>
        <v/>
      </c>
      <c r="AC175" s="64">
        <f>IF(BO175=1,IF(AA175&lt;=0,0,BP175*MAX(1,IF(G175&gt;0,AA175/G175,1))),AB175*Q175)</f>
        <v/>
      </c>
      <c r="AD175" s="55">
        <f>AA175*F175</f>
        <v/>
      </c>
      <c r="AE175" s="55">
        <f>ROUNDUP(MAX(I175/IF(BS175&gt;0,BS175,MAX(0.1,N(Cockpit!$C$6))),BV175)/BN175,0)*BN175</f>
        <v/>
      </c>
      <c r="AF175" s="56">
        <f>IF(AC175&gt;0,I175/AC175,-1)</f>
        <v/>
      </c>
      <c r="AG175" s="56">
        <f>IF(AND(OR(BR175="L1",BR175="L23"),AC175&gt;0),SUMIFS($AC$7:$AC$1570,$BR$7:$BR$1570,BR175,$AF$7:$AF$1570,"&gt;"&amp;AF175)+SUMIFS($AC$7:$AC$1570,$BR$7:$BR$1570,BR175,$AF$7:$AF$1570,AF175,$BL$7:$BL$1570,"&lt;="&amp;BL175),"")</f>
        <v/>
      </c>
      <c r="AH175" s="65">
        <f>IF(AG175="",0,MAX(0,MIN(1,(IF(BR175="L1",Parameter!$K$5,Parameter!$K$6+Parameter!$K$7)-(AG175-AC175))/AC175)))</f>
        <v/>
      </c>
      <c r="AI175" s="55">
        <f>IF(LEFT(Cockpit!$I$5,1)="A",G175,IF(BT175=1,BU175,IF(LEFT(Cockpit!$I$5,1)="B",AM175,MAX(AM175,G175))))</f>
        <v/>
      </c>
      <c r="AJ175" s="55">
        <f>IF(BO175=1,0,ROUNDUP(AI175/BN175,0))</f>
        <v/>
      </c>
      <c r="AK175" s="64">
        <f>IF(BO175=1,IF(AI175&lt;=0,0,BP175*MAX(1,IF(G175&gt;0,AI175/G175,1))),AJ175*Q175)</f>
        <v/>
      </c>
      <c r="AL175" s="55">
        <f>AI175*F175</f>
        <v/>
      </c>
      <c r="AM175" s="55">
        <f>ROUNDUP(MAX(I175/IF(BS175&gt;0,BS175,MAX(0.1,N(Cockpit!$I$6))),BV175)/BN175,0)*BN175</f>
        <v/>
      </c>
      <c r="AN175" s="56">
        <f>IF(AK175&gt;0,I175/AK175,-1)</f>
        <v/>
      </c>
      <c r="AO175" s="56">
        <f>IF(AND(OR(BR175="L1",BR175="L23"),AK175&gt;0),SUMIFS($AK$7:$AK$1570,$BR$7:$BR$1570,BR175,$AN$7:$AN$1570,"&gt;"&amp;AN175)+SUMIFS($AK$7:$AK$1570,$BR$7:$BR$1570,BR175,$AN$7:$AN$1570,AN175,$BL$7:$BL$1570,"&lt;="&amp;BL175),"")</f>
        <v/>
      </c>
      <c r="AP175" s="65">
        <f>IF(AO175="",0,MAX(0,MIN(1,(IF(BR175="L1",Parameter!$K$5,Parameter!$K$6+Parameter!$K$7)-(AO175-AK175))/AK175)))</f>
        <v/>
      </c>
      <c r="AQ175" s="55">
        <f>IF(LEFT(Cockpit!$O$5,1)="A",G175,IF(BT175=1,BU175,IF(LEFT(Cockpit!$O$5,1)="B",AU175,MAX(AU175,G175))))</f>
        <v/>
      </c>
      <c r="AR175" s="55">
        <f>IF(BO175=1,0,ROUNDUP(AQ175/BN175,0))</f>
        <v/>
      </c>
      <c r="AS175" s="64">
        <f>IF(BO175=1,IF(AQ175&lt;=0,0,BP175*MAX(1,IF(G175&gt;0,AQ175/G175,1))),AR175*Q175)</f>
        <v/>
      </c>
      <c r="AT175" s="55">
        <f>AQ175*F175</f>
        <v/>
      </c>
      <c r="AU175" s="55">
        <f>ROUNDUP(MAX(I175/IF(BS175&gt;0,BS175,MAX(0.1,N(Cockpit!$O$6))),BV175)/BN175,0)*BN175</f>
        <v/>
      </c>
      <c r="AV175" s="56">
        <f>IF(AS175&gt;0,I175/AS175,-1)</f>
        <v/>
      </c>
      <c r="AW175" s="56">
        <f>IF(AND(OR(BR175="L1",BR175="L23"),AS175&gt;0),SUMIFS($AS$7:$AS$1570,$BR$7:$BR$1570,BR175,$AV$7:$AV$1570,"&gt;"&amp;AV175)+SUMIFS($AS$7:$AS$1570,$BR$7:$BR$1570,BR175,$AV$7:$AV$1570,AV175,$BL$7:$BL$1570,"&lt;="&amp;BL175),"")</f>
        <v/>
      </c>
      <c r="AX175" s="65">
        <f>IF(AW175="",0,MAX(0,MIN(1,(IF(BR175="L1",Parameter!$K$5,Parameter!$K$6+Parameter!$K$7)-(AW175-AS175))/AS175)))</f>
        <v/>
      </c>
      <c r="AY175" s="53">
        <f>IF(AC175&lt;=0,"",IF(BR175="Aussen","Aussenlager",IF(BR175="-","Nicht im Lift",IF(AH175&gt;=1,"Lift",IF(AH175&lt;=0,"Aussenlager","teilweise")))))</f>
        <v/>
      </c>
      <c r="AZ175" s="53">
        <f>IF(AK175&lt;=0,"",IF(BR175="Aussen","Aussenlager",IF(BR175="-","Nicht im Lift",IF(AP175&gt;=1,"Lift",IF(AP175&lt;=0,"Aussenlager","teilweise")))))</f>
        <v/>
      </c>
      <c r="BA175" s="53">
        <f>IF(AS175&lt;=0,"",IF(BR175="Aussen","Aussenlager",IF(BR175="-","Nicht im Lift",IF(AX175&gt;=1,"Lift",IF(AX175&lt;=0,"Aussenlager","teilweise")))))</f>
        <v/>
      </c>
      <c r="BB175" s="53">
        <f>IF(A175="","",IF(BK175=1,"Neu; ","")&amp;IF(AND(BK175=0,BF175&lt;0),"negativer Bestand (Export "&amp;BF175&amp;"); ","")&amp;IF(I175&lt;=0,"Kein Verbrauch; ","")&amp;IF(BO175=1,"Lose – Fläche geschätzt; ","")&amp;IF(G175&gt;AM175,"Überbestand "&amp;ROUND(G175-AM175,0)&amp;" Stk / CHF "&amp;ROUND((G175-AM175)*F175,0)&amp;"; ","")&amp;IF(AND(BT175=1,BU175&lt;BV175),"MAX &lt; MB+LG; ","")&amp;IF(AND(BZ175&gt;0,BY175*10&gt;BZ175),"zu hoch für Tablar; ","")&amp;IF(AND(BK175=0,OR(BT175=1,V175&lt;&gt;"",S175&lt;&gt;"",T175&lt;&gt;"",W175&lt;&gt;"")),"manuell übersteuert; ","")&amp;IF(AND(BO175=0,Q175=0),"Gebinde unbekannt; ","")&amp;IF(AND(BO175=0,N(T175)&lt;=0,N(P175)&lt;=0),"Menge pro Gebinde fehlt (Ist = 1 Gebinde); ","")&amp;BJ175)</f>
        <v/>
      </c>
      <c r="BC175" s="53" t="n"/>
      <c r="BD175" s="53" t="n"/>
      <c r="BE175" s="61" t="n"/>
      <c r="BF175" s="55" t="n">
        <v>116</v>
      </c>
      <c r="BG175" s="55" t="n">
        <v>91</v>
      </c>
      <c r="BH175" s="54" t="n">
        <v>1053.94</v>
      </c>
      <c r="BI175" s="55" t="n">
        <v>178</v>
      </c>
      <c r="BJ175" s="53" t="inlineStr">
        <is>
          <t>nicht im KTL vorhanden</t>
        </is>
      </c>
      <c r="BK175" s="58" t="n">
        <v>0</v>
      </c>
      <c r="BL175" s="58" t="n">
        <v>175</v>
      </c>
      <c r="BM175" s="53">
        <f>IF(S175&lt;&gt;"",UPPER(TRIM(S175)),IF(O175="","LOSE",O175))</f>
        <v/>
      </c>
      <c r="BN175" s="55">
        <f>IF(BM175="LOSE",1,IF(N(T175)&gt;0,T175,IF(N(P175)&gt;0,P175,MAX(1,G175))))</f>
        <v/>
      </c>
      <c r="BO175" s="58">
        <f>IF(BM175="LOSE",1,0)</f>
        <v/>
      </c>
      <c r="BP175" s="64">
        <f>IF(BO175=0,0,IF(N(R175)&gt;0,R175,IFERROR(VLOOKUP(D175,Parameter!$A$35:$C$64,3,0)+0,0)))</f>
        <v/>
      </c>
      <c r="BQ175" s="53">
        <f>IF(V175&lt;&gt;"",V175,U175)</f>
        <v/>
      </c>
      <c r="BR175" s="53">
        <f>IF(BQ175=1,"L1",IF(OR(BQ175=2,BQ175=3),"L23",IF(BQ175="Aussen","Aussen","-")))</f>
        <v/>
      </c>
      <c r="BS175" s="66">
        <f>IF(N(W175)&gt;0,W175,0)</f>
        <v/>
      </c>
      <c r="BT175" s="58">
        <f>IF(ISNUMBER(Z175),1,0)</f>
        <v/>
      </c>
      <c r="BU175" s="55">
        <f>N(Z175)</f>
        <v/>
      </c>
      <c r="BV175" s="55">
        <f>N(L175)+N(M175)</f>
        <v/>
      </c>
      <c r="BW175" s="55">
        <f>ROUNDUP(G175/BN175,0)</f>
        <v/>
      </c>
      <c r="BX175" s="55">
        <f>ROUNDUP(BU175/BN175,0)</f>
        <v/>
      </c>
      <c r="BY175" s="58">
        <f>IF(BO175=1,0,IFERROR(VLOOKUP(BM175,'Gebinde-Kategorie'!$A$5:$G$45,5,0)+0,0))</f>
        <v/>
      </c>
      <c r="BZ175" s="58">
        <f>IFERROR(IF(OR(BQ175=1,BQ175=2,BQ175=3),N(INDEX(Parameter!$I$5:$I$7,BQ175)),0),0)</f>
        <v/>
      </c>
    </row>
    <row r="176">
      <c r="A176" s="53" t="inlineStr">
        <is>
          <t>108036</t>
        </is>
      </c>
      <c r="B176" s="53" t="inlineStr">
        <is>
          <t>Kontakteinsatzmodul 12 polig</t>
        </is>
      </c>
      <c r="C176" s="53" t="inlineStr">
        <is>
          <t>F</t>
        </is>
      </c>
      <c r="D176" s="53" t="inlineStr">
        <is>
          <t>KTL</t>
        </is>
      </c>
      <c r="E176" s="53" t="inlineStr">
        <is>
          <t>C</t>
        </is>
      </c>
      <c r="F176" s="54" t="n">
        <v>11.84</v>
      </c>
      <c r="G176" s="55">
        <f>MAX(0,IF(Parameter!$B$20="Jahresanfang 2025 + Export",BG176+BF176,BF176))</f>
        <v/>
      </c>
      <c r="H176" s="55">
        <f>G176*F176</f>
        <v/>
      </c>
      <c r="I176" s="55">
        <f>BI176*Parameter!$B$18</f>
        <v/>
      </c>
      <c r="J176" s="56" t="n">
        <v>60.5</v>
      </c>
      <c r="K176" s="57" t="n">
        <v>2.661157024793388</v>
      </c>
      <c r="L176" s="55" t="n">
        <v>12</v>
      </c>
      <c r="M176" s="55" t="n">
        <v>160</v>
      </c>
      <c r="N176" s="58" t="n">
        <v>28</v>
      </c>
      <c r="O176" s="53" t="inlineStr">
        <is>
          <t>S52</t>
        </is>
      </c>
      <c r="P176" s="55" t="n">
        <v>67</v>
      </c>
      <c r="Q176" s="59">
        <f>IF(BO176=1,0,IFERROR(VLOOKUP(BM176,'Gebinde-Kategorie'!$A$5:$G$45,6,0)+0,0))</f>
        <v/>
      </c>
      <c r="R176" s="60" t="n"/>
      <c r="S176" s="61" t="n"/>
      <c r="T176" s="61" t="n"/>
      <c r="U176" s="53">
        <f>IF(A176="","",IF(IFERROR(VLOOKUP(D176,Parameter!$A$35:$C$64,2,0),"Nein")="2+3",IF(ISNUMBER(SEARCH("grosser Artikel",BJ176)),2,IFERROR(VLOOKUP(BM176,Parameter!$F$35:$G$64,2,0),2)),IF(OR(IFERROR(VLOOKUP(D176,Parameter!$A$35:$C$64,2,0),"Nein")="Nein",IFERROR(VLOOKUP(D176,Parameter!$A$35:$C$64,2,0),"Nein")=""),"-",VLOOKUP(D176,Parameter!$A$35:$C$64,2,0))))</f>
        <v/>
      </c>
      <c r="V176" s="61" t="n"/>
      <c r="W176" s="62" t="n"/>
      <c r="X176" s="55">
        <f>AM176</f>
        <v/>
      </c>
      <c r="Y176" s="55">
        <f>MAX(AM176,G176)</f>
        <v/>
      </c>
      <c r="Z176" s="63" t="n"/>
      <c r="AA176" s="55">
        <f>IF(LEFT(Cockpit!$C$5,1)="A",G176,IF(BT176=1,BU176,IF(LEFT(Cockpit!$C$5,1)="B",AE176,MAX(AE176,G176))))</f>
        <v/>
      </c>
      <c r="AB176" s="55">
        <f>IF(BO176=1,0,ROUNDUP(AA176/BN176,0))</f>
        <v/>
      </c>
      <c r="AC176" s="64">
        <f>IF(BO176=1,IF(AA176&lt;=0,0,BP176*MAX(1,IF(G176&gt;0,AA176/G176,1))),AB176*Q176)</f>
        <v/>
      </c>
      <c r="AD176" s="55">
        <f>AA176*F176</f>
        <v/>
      </c>
      <c r="AE176" s="55">
        <f>ROUNDUP(MAX(I176/IF(BS176&gt;0,BS176,MAX(0.1,N(Cockpit!$C$6))),BV176)/BN176,0)*BN176</f>
        <v/>
      </c>
      <c r="AF176" s="56">
        <f>IF(AC176&gt;0,I176/AC176,-1)</f>
        <v/>
      </c>
      <c r="AG176" s="56">
        <f>IF(AND(OR(BR176="L1",BR176="L23"),AC176&gt;0),SUMIFS($AC$7:$AC$1570,$BR$7:$BR$1570,BR176,$AF$7:$AF$1570,"&gt;"&amp;AF176)+SUMIFS($AC$7:$AC$1570,$BR$7:$BR$1570,BR176,$AF$7:$AF$1570,AF176,$BL$7:$BL$1570,"&lt;="&amp;BL176),"")</f>
        <v/>
      </c>
      <c r="AH176" s="65">
        <f>IF(AG176="",0,MAX(0,MIN(1,(IF(BR176="L1",Parameter!$K$5,Parameter!$K$6+Parameter!$K$7)-(AG176-AC176))/AC176)))</f>
        <v/>
      </c>
      <c r="AI176" s="55">
        <f>IF(LEFT(Cockpit!$I$5,1)="A",G176,IF(BT176=1,BU176,IF(LEFT(Cockpit!$I$5,1)="B",AM176,MAX(AM176,G176))))</f>
        <v/>
      </c>
      <c r="AJ176" s="55">
        <f>IF(BO176=1,0,ROUNDUP(AI176/BN176,0))</f>
        <v/>
      </c>
      <c r="AK176" s="64">
        <f>IF(BO176=1,IF(AI176&lt;=0,0,BP176*MAX(1,IF(G176&gt;0,AI176/G176,1))),AJ176*Q176)</f>
        <v/>
      </c>
      <c r="AL176" s="55">
        <f>AI176*F176</f>
        <v/>
      </c>
      <c r="AM176" s="55">
        <f>ROUNDUP(MAX(I176/IF(BS176&gt;0,BS176,MAX(0.1,N(Cockpit!$I$6))),BV176)/BN176,0)*BN176</f>
        <v/>
      </c>
      <c r="AN176" s="56">
        <f>IF(AK176&gt;0,I176/AK176,-1)</f>
        <v/>
      </c>
      <c r="AO176" s="56">
        <f>IF(AND(OR(BR176="L1",BR176="L23"),AK176&gt;0),SUMIFS($AK$7:$AK$1570,$BR$7:$BR$1570,BR176,$AN$7:$AN$1570,"&gt;"&amp;AN176)+SUMIFS($AK$7:$AK$1570,$BR$7:$BR$1570,BR176,$AN$7:$AN$1570,AN176,$BL$7:$BL$1570,"&lt;="&amp;BL176),"")</f>
        <v/>
      </c>
      <c r="AP176" s="65">
        <f>IF(AO176="",0,MAX(0,MIN(1,(IF(BR176="L1",Parameter!$K$5,Parameter!$K$6+Parameter!$K$7)-(AO176-AK176))/AK176)))</f>
        <v/>
      </c>
      <c r="AQ176" s="55">
        <f>IF(LEFT(Cockpit!$O$5,1)="A",G176,IF(BT176=1,BU176,IF(LEFT(Cockpit!$O$5,1)="B",AU176,MAX(AU176,G176))))</f>
        <v/>
      </c>
      <c r="AR176" s="55">
        <f>IF(BO176=1,0,ROUNDUP(AQ176/BN176,0))</f>
        <v/>
      </c>
      <c r="AS176" s="64">
        <f>IF(BO176=1,IF(AQ176&lt;=0,0,BP176*MAX(1,IF(G176&gt;0,AQ176/G176,1))),AR176*Q176)</f>
        <v/>
      </c>
      <c r="AT176" s="55">
        <f>AQ176*F176</f>
        <v/>
      </c>
      <c r="AU176" s="55">
        <f>ROUNDUP(MAX(I176/IF(BS176&gt;0,BS176,MAX(0.1,N(Cockpit!$O$6))),BV176)/BN176,0)*BN176</f>
        <v/>
      </c>
      <c r="AV176" s="56">
        <f>IF(AS176&gt;0,I176/AS176,-1)</f>
        <v/>
      </c>
      <c r="AW176" s="56">
        <f>IF(AND(OR(BR176="L1",BR176="L23"),AS176&gt;0),SUMIFS($AS$7:$AS$1570,$BR$7:$BR$1570,BR176,$AV$7:$AV$1570,"&gt;"&amp;AV176)+SUMIFS($AS$7:$AS$1570,$BR$7:$BR$1570,BR176,$AV$7:$AV$1570,AV176,$BL$7:$BL$1570,"&lt;="&amp;BL176),"")</f>
        <v/>
      </c>
      <c r="AX176" s="65">
        <f>IF(AW176="",0,MAX(0,MIN(1,(IF(BR176="L1",Parameter!$K$5,Parameter!$K$6+Parameter!$K$7)-(AW176-AS176))/AS176)))</f>
        <v/>
      </c>
      <c r="AY176" s="53">
        <f>IF(AC176&lt;=0,"",IF(BR176="Aussen","Aussenlager",IF(BR176="-","Nicht im Lift",IF(AH176&gt;=1,"Lift",IF(AH176&lt;=0,"Aussenlager","teilweise")))))</f>
        <v/>
      </c>
      <c r="AZ176" s="53">
        <f>IF(AK176&lt;=0,"",IF(BR176="Aussen","Aussenlager",IF(BR176="-","Nicht im Lift",IF(AP176&gt;=1,"Lift",IF(AP176&lt;=0,"Aussenlager","teilweise")))))</f>
        <v/>
      </c>
      <c r="BA176" s="53">
        <f>IF(AS176&lt;=0,"",IF(BR176="Aussen","Aussenlager",IF(BR176="-","Nicht im Lift",IF(AX176&gt;=1,"Lift",IF(AX176&lt;=0,"Aussenlager","teilweise")))))</f>
        <v/>
      </c>
      <c r="BB176" s="53">
        <f>IF(A176="","",IF(BK176=1,"Neu; ","")&amp;IF(AND(BK176=0,BF176&lt;0),"negativer Bestand (Export "&amp;BF176&amp;"); ","")&amp;IF(I176&lt;=0,"Kein Verbrauch; ","")&amp;IF(BO176=1,"Lose – Fläche geschätzt; ","")&amp;IF(G176&gt;AM176,"Überbestand "&amp;ROUND(G176-AM176,0)&amp;" Stk / CHF "&amp;ROUND((G176-AM176)*F176,0)&amp;"; ","")&amp;IF(AND(BT176=1,BU176&lt;BV176),"MAX &lt; MB+LG; ","")&amp;IF(AND(BZ176&gt;0,BY176*10&gt;BZ176),"zu hoch für Tablar; ","")&amp;IF(AND(BK176=0,OR(BT176=1,V176&lt;&gt;"",S176&lt;&gt;"",T176&lt;&gt;"",W176&lt;&gt;"")),"manuell übersteuert; ","")&amp;IF(AND(BO176=0,Q176=0),"Gebinde unbekannt; ","")&amp;IF(AND(BO176=0,N(T176)&lt;=0,N(P176)&lt;=0),"Menge pro Gebinde fehlt (Ist = 1 Gebinde); ","")&amp;BJ176)</f>
        <v/>
      </c>
      <c r="BC176" s="53" t="n"/>
      <c r="BD176" s="53" t="n"/>
      <c r="BE176" s="61" t="n"/>
      <c r="BF176" s="55" t="n">
        <v>88</v>
      </c>
      <c r="BG176" s="55" t="n">
        <v>61</v>
      </c>
      <c r="BH176" s="54" t="n">
        <v>1041.92</v>
      </c>
      <c r="BI176" s="55" t="n">
        <v>161</v>
      </c>
      <c r="BJ176" s="53" t="inlineStr"/>
      <c r="BK176" s="58" t="n">
        <v>0</v>
      </c>
      <c r="BL176" s="58" t="n">
        <v>176</v>
      </c>
      <c r="BM176" s="53">
        <f>IF(S176&lt;&gt;"",UPPER(TRIM(S176)),IF(O176="","LOSE",O176))</f>
        <v/>
      </c>
      <c r="BN176" s="55">
        <f>IF(BM176="LOSE",1,IF(N(T176)&gt;0,T176,IF(N(P176)&gt;0,P176,MAX(1,G176))))</f>
        <v/>
      </c>
      <c r="BO176" s="58">
        <f>IF(BM176="LOSE",1,0)</f>
        <v/>
      </c>
      <c r="BP176" s="64">
        <f>IF(BO176=0,0,IF(N(R176)&gt;0,R176,IFERROR(VLOOKUP(D176,Parameter!$A$35:$C$64,3,0)+0,0)))</f>
        <v/>
      </c>
      <c r="BQ176" s="53">
        <f>IF(V176&lt;&gt;"",V176,U176)</f>
        <v/>
      </c>
      <c r="BR176" s="53">
        <f>IF(BQ176=1,"L1",IF(OR(BQ176=2,BQ176=3),"L23",IF(BQ176="Aussen","Aussen","-")))</f>
        <v/>
      </c>
      <c r="BS176" s="66">
        <f>IF(N(W176)&gt;0,W176,0)</f>
        <v/>
      </c>
      <c r="BT176" s="58">
        <f>IF(ISNUMBER(Z176),1,0)</f>
        <v/>
      </c>
      <c r="BU176" s="55">
        <f>N(Z176)</f>
        <v/>
      </c>
      <c r="BV176" s="55">
        <f>N(L176)+N(M176)</f>
        <v/>
      </c>
      <c r="BW176" s="55">
        <f>ROUNDUP(G176/BN176,0)</f>
        <v/>
      </c>
      <c r="BX176" s="55">
        <f>ROUNDUP(BU176/BN176,0)</f>
        <v/>
      </c>
      <c r="BY176" s="58">
        <f>IF(BO176=1,0,IFERROR(VLOOKUP(BM176,'Gebinde-Kategorie'!$A$5:$G$45,5,0)+0,0))</f>
        <v/>
      </c>
      <c r="BZ176" s="58">
        <f>IFERROR(IF(OR(BQ176=1,BQ176=2,BQ176=3),N(INDEX(Parameter!$I$5:$I$7,BQ176)),0),0)</f>
        <v/>
      </c>
    </row>
    <row r="177">
      <c r="A177" s="53" t="inlineStr">
        <is>
          <t>101568</t>
        </is>
      </c>
      <c r="B177" s="53" t="inlineStr">
        <is>
          <t>Stützring</t>
        </is>
      </c>
      <c r="C177" s="53" t="inlineStr">
        <is>
          <t>F</t>
        </is>
      </c>
      <c r="D177" s="53" t="inlineStr">
        <is>
          <t>KTL</t>
        </is>
      </c>
      <c r="E177" s="53" t="inlineStr">
        <is>
          <t>C</t>
        </is>
      </c>
      <c r="F177" s="54" t="n">
        <v>1.51</v>
      </c>
      <c r="G177" s="55">
        <f>MAX(0,IF(Parameter!$B$20="Jahresanfang 2025 + Export",BG177+BF177,BF177))</f>
        <v/>
      </c>
      <c r="H177" s="55">
        <f>G177*F177</f>
        <v/>
      </c>
      <c r="I177" s="55">
        <f>BI177*Parameter!$B$18</f>
        <v/>
      </c>
      <c r="J177" s="56" t="n">
        <v>594.5</v>
      </c>
      <c r="K177" s="57" t="n">
        <v>3.720773759461732</v>
      </c>
      <c r="L177" s="55" t="n">
        <v>45</v>
      </c>
      <c r="M177" s="55" t="n">
        <v>1870</v>
      </c>
      <c r="N177" s="58" t="n">
        <v>7</v>
      </c>
      <c r="O177" s="53" t="inlineStr">
        <is>
          <t>S51</t>
        </is>
      </c>
      <c r="P177" s="55" t="n">
        <v>1322</v>
      </c>
      <c r="Q177" s="59">
        <f>IF(BO177=1,0,IFERROR(VLOOKUP(BM177,'Gebinde-Kategorie'!$A$5:$G$45,6,0)+0,0))</f>
        <v/>
      </c>
      <c r="R177" s="60" t="n"/>
      <c r="S177" s="61" t="n"/>
      <c r="T177" s="61" t="n"/>
      <c r="U177" s="53">
        <f>IF(A177="","",IF(IFERROR(VLOOKUP(D177,Parameter!$A$35:$C$64,2,0),"Nein")="2+3",IF(ISNUMBER(SEARCH("grosser Artikel",BJ177)),2,IFERROR(VLOOKUP(BM177,Parameter!$F$35:$G$64,2,0),2)),IF(OR(IFERROR(VLOOKUP(D177,Parameter!$A$35:$C$64,2,0),"Nein")="Nein",IFERROR(VLOOKUP(D177,Parameter!$A$35:$C$64,2,0),"Nein")=""),"-",VLOOKUP(D177,Parameter!$A$35:$C$64,2,0))))</f>
        <v/>
      </c>
      <c r="V177" s="61" t="n"/>
      <c r="W177" s="62" t="n"/>
      <c r="X177" s="55">
        <f>AM177</f>
        <v/>
      </c>
      <c r="Y177" s="55">
        <f>MAX(AM177,G177)</f>
        <v/>
      </c>
      <c r="Z177" s="63" t="n"/>
      <c r="AA177" s="55">
        <f>IF(LEFT(Cockpit!$C$5,1)="A",G177,IF(BT177=1,BU177,IF(LEFT(Cockpit!$C$5,1)="B",AE177,MAX(AE177,G177))))</f>
        <v/>
      </c>
      <c r="AB177" s="55">
        <f>IF(BO177=1,0,ROUNDUP(AA177/BN177,0))</f>
        <v/>
      </c>
      <c r="AC177" s="64">
        <f>IF(BO177=1,IF(AA177&lt;=0,0,BP177*MAX(1,IF(G177&gt;0,AA177/G177,1))),AB177*Q177)</f>
        <v/>
      </c>
      <c r="AD177" s="55">
        <f>AA177*F177</f>
        <v/>
      </c>
      <c r="AE177" s="55">
        <f>ROUNDUP(MAX(I177/IF(BS177&gt;0,BS177,MAX(0.1,N(Cockpit!$C$6))),BV177)/BN177,0)*BN177</f>
        <v/>
      </c>
      <c r="AF177" s="56">
        <f>IF(AC177&gt;0,I177/AC177,-1)</f>
        <v/>
      </c>
      <c r="AG177" s="56">
        <f>IF(AND(OR(BR177="L1",BR177="L23"),AC177&gt;0),SUMIFS($AC$7:$AC$1570,$BR$7:$BR$1570,BR177,$AF$7:$AF$1570,"&gt;"&amp;AF177)+SUMIFS($AC$7:$AC$1570,$BR$7:$BR$1570,BR177,$AF$7:$AF$1570,AF177,$BL$7:$BL$1570,"&lt;="&amp;BL177),"")</f>
        <v/>
      </c>
      <c r="AH177" s="65">
        <f>IF(AG177="",0,MAX(0,MIN(1,(IF(BR177="L1",Parameter!$K$5,Parameter!$K$6+Parameter!$K$7)-(AG177-AC177))/AC177)))</f>
        <v/>
      </c>
      <c r="AI177" s="55">
        <f>IF(LEFT(Cockpit!$I$5,1)="A",G177,IF(BT177=1,BU177,IF(LEFT(Cockpit!$I$5,1)="B",AM177,MAX(AM177,G177))))</f>
        <v/>
      </c>
      <c r="AJ177" s="55">
        <f>IF(BO177=1,0,ROUNDUP(AI177/BN177,0))</f>
        <v/>
      </c>
      <c r="AK177" s="64">
        <f>IF(BO177=1,IF(AI177&lt;=0,0,BP177*MAX(1,IF(G177&gt;0,AI177/G177,1))),AJ177*Q177)</f>
        <v/>
      </c>
      <c r="AL177" s="55">
        <f>AI177*F177</f>
        <v/>
      </c>
      <c r="AM177" s="55">
        <f>ROUNDUP(MAX(I177/IF(BS177&gt;0,BS177,MAX(0.1,N(Cockpit!$I$6))),BV177)/BN177,0)*BN177</f>
        <v/>
      </c>
      <c r="AN177" s="56">
        <f>IF(AK177&gt;0,I177/AK177,-1)</f>
        <v/>
      </c>
      <c r="AO177" s="56">
        <f>IF(AND(OR(BR177="L1",BR177="L23"),AK177&gt;0),SUMIFS($AK$7:$AK$1570,$BR$7:$BR$1570,BR177,$AN$7:$AN$1570,"&gt;"&amp;AN177)+SUMIFS($AK$7:$AK$1570,$BR$7:$BR$1570,BR177,$AN$7:$AN$1570,AN177,$BL$7:$BL$1570,"&lt;="&amp;BL177),"")</f>
        <v/>
      </c>
      <c r="AP177" s="65">
        <f>IF(AO177="",0,MAX(0,MIN(1,(IF(BR177="L1",Parameter!$K$5,Parameter!$K$6+Parameter!$K$7)-(AO177-AK177))/AK177)))</f>
        <v/>
      </c>
      <c r="AQ177" s="55">
        <f>IF(LEFT(Cockpit!$O$5,1)="A",G177,IF(BT177=1,BU177,IF(LEFT(Cockpit!$O$5,1)="B",AU177,MAX(AU177,G177))))</f>
        <v/>
      </c>
      <c r="AR177" s="55">
        <f>IF(BO177=1,0,ROUNDUP(AQ177/BN177,0))</f>
        <v/>
      </c>
      <c r="AS177" s="64">
        <f>IF(BO177=1,IF(AQ177&lt;=0,0,BP177*MAX(1,IF(G177&gt;0,AQ177/G177,1))),AR177*Q177)</f>
        <v/>
      </c>
      <c r="AT177" s="55">
        <f>AQ177*F177</f>
        <v/>
      </c>
      <c r="AU177" s="55">
        <f>ROUNDUP(MAX(I177/IF(BS177&gt;0,BS177,MAX(0.1,N(Cockpit!$O$6))),BV177)/BN177,0)*BN177</f>
        <v/>
      </c>
      <c r="AV177" s="56">
        <f>IF(AS177&gt;0,I177/AS177,-1)</f>
        <v/>
      </c>
      <c r="AW177" s="56">
        <f>IF(AND(OR(BR177="L1",BR177="L23"),AS177&gt;0),SUMIFS($AS$7:$AS$1570,$BR$7:$BR$1570,BR177,$AV$7:$AV$1570,"&gt;"&amp;AV177)+SUMIFS($AS$7:$AS$1570,$BR$7:$BR$1570,BR177,$AV$7:$AV$1570,AV177,$BL$7:$BL$1570,"&lt;="&amp;BL177),"")</f>
        <v/>
      </c>
      <c r="AX177" s="65">
        <f>IF(AW177="",0,MAX(0,MIN(1,(IF(BR177="L1",Parameter!$K$5,Parameter!$K$6+Parameter!$K$7)-(AW177-AS177))/AS177)))</f>
        <v/>
      </c>
      <c r="AY177" s="53">
        <f>IF(AC177&lt;=0,"",IF(BR177="Aussen","Aussenlager",IF(BR177="-","Nicht im Lift",IF(AH177&gt;=1,"Lift",IF(AH177&lt;=0,"Aussenlager","teilweise")))))</f>
        <v/>
      </c>
      <c r="AZ177" s="53">
        <f>IF(AK177&lt;=0,"",IF(BR177="Aussen","Aussenlager",IF(BR177="-","Nicht im Lift",IF(AP177&gt;=1,"Lift",IF(AP177&lt;=0,"Aussenlager","teilweise")))))</f>
        <v/>
      </c>
      <c r="BA177" s="53">
        <f>IF(AS177&lt;=0,"",IF(BR177="Aussen","Aussenlager",IF(BR177="-","Nicht im Lift",IF(AX177&gt;=1,"Lift",IF(AX177&lt;=0,"Aussenlager","teilweise")))))</f>
        <v/>
      </c>
      <c r="BB177" s="53">
        <f>IF(A177="","",IF(BK177=1,"Neu; ","")&amp;IF(AND(BK177=0,BF177&lt;0),"negativer Bestand (Export "&amp;BF177&amp;"); ","")&amp;IF(I177&lt;=0,"Kein Verbrauch; ","")&amp;IF(BO177=1,"Lose – Fläche geschätzt; ","")&amp;IF(G177&gt;AM177,"Überbestand "&amp;ROUND(G177-AM177,0)&amp;" Stk / CHF "&amp;ROUND((G177-AM177)*F177,0)&amp;"; ","")&amp;IF(AND(BT177=1,BU177&lt;BV177),"MAX &lt; MB+LG; ","")&amp;IF(AND(BZ177&gt;0,BY177*10&gt;BZ177),"zu hoch für Tablar; ","")&amp;IF(AND(BK177=0,OR(BT177=1,V177&lt;&gt;"",S177&lt;&gt;"",T177&lt;&gt;"",W177&lt;&gt;"")),"manuell übersteuert; ","")&amp;IF(AND(BO177=0,Q177=0),"Gebinde unbekannt; ","")&amp;IF(AND(BO177=0,N(T177)&lt;=0,N(P177)&lt;=0),"Menge pro Gebinde fehlt (Ist = 1 Gebinde); ","")&amp;BJ177)</f>
        <v/>
      </c>
      <c r="BC177" s="53" t="n"/>
      <c r="BD177" s="53" t="n"/>
      <c r="BE177" s="61" t="n"/>
      <c r="BF177" s="55" t="n">
        <v>744</v>
      </c>
      <c r="BG177" s="55" t="n">
        <v>411</v>
      </c>
      <c r="BH177" s="54" t="n">
        <v>1039.860000000003</v>
      </c>
      <c r="BI177" s="55" t="n">
        <v>2212</v>
      </c>
      <c r="BJ177" s="53" t="inlineStr"/>
      <c r="BK177" s="58" t="n">
        <v>0</v>
      </c>
      <c r="BL177" s="58" t="n">
        <v>177</v>
      </c>
      <c r="BM177" s="53">
        <f>IF(S177&lt;&gt;"",UPPER(TRIM(S177)),IF(O177="","LOSE",O177))</f>
        <v/>
      </c>
      <c r="BN177" s="55">
        <f>IF(BM177="LOSE",1,IF(N(T177)&gt;0,T177,IF(N(P177)&gt;0,P177,MAX(1,G177))))</f>
        <v/>
      </c>
      <c r="BO177" s="58">
        <f>IF(BM177="LOSE",1,0)</f>
        <v/>
      </c>
      <c r="BP177" s="64">
        <f>IF(BO177=0,0,IF(N(R177)&gt;0,R177,IFERROR(VLOOKUP(D177,Parameter!$A$35:$C$64,3,0)+0,0)))</f>
        <v/>
      </c>
      <c r="BQ177" s="53">
        <f>IF(V177&lt;&gt;"",V177,U177)</f>
        <v/>
      </c>
      <c r="BR177" s="53">
        <f>IF(BQ177=1,"L1",IF(OR(BQ177=2,BQ177=3),"L23",IF(BQ177="Aussen","Aussen","-")))</f>
        <v/>
      </c>
      <c r="BS177" s="66">
        <f>IF(N(W177)&gt;0,W177,0)</f>
        <v/>
      </c>
      <c r="BT177" s="58">
        <f>IF(ISNUMBER(Z177),1,0)</f>
        <v/>
      </c>
      <c r="BU177" s="55">
        <f>N(Z177)</f>
        <v/>
      </c>
      <c r="BV177" s="55">
        <f>N(L177)+N(M177)</f>
        <v/>
      </c>
      <c r="BW177" s="55">
        <f>ROUNDUP(G177/BN177,0)</f>
        <v/>
      </c>
      <c r="BX177" s="55">
        <f>ROUNDUP(BU177/BN177,0)</f>
        <v/>
      </c>
      <c r="BY177" s="58">
        <f>IF(BO177=1,0,IFERROR(VLOOKUP(BM177,'Gebinde-Kategorie'!$A$5:$G$45,5,0)+0,0))</f>
        <v/>
      </c>
      <c r="BZ177" s="58">
        <f>IFERROR(IF(OR(BQ177=1,BQ177=2,BQ177=3),N(INDEX(Parameter!$I$5:$I$7,BQ177)),0),0)</f>
        <v/>
      </c>
    </row>
    <row r="178">
      <c r="A178" s="53" t="inlineStr">
        <is>
          <t>100409</t>
        </is>
      </c>
      <c r="B178" s="53" t="inlineStr">
        <is>
          <t>Spülluftblock</t>
        </is>
      </c>
      <c r="C178" s="53" t="inlineStr">
        <is>
          <t>F</t>
        </is>
      </c>
      <c r="D178" s="53" t="inlineStr">
        <is>
          <t>KTL</t>
        </is>
      </c>
      <c r="E178" s="53" t="inlineStr">
        <is>
          <t>C</t>
        </is>
      </c>
      <c r="F178" s="54" t="n">
        <v>62.49</v>
      </c>
      <c r="G178" s="55">
        <f>MAX(0,IF(Parameter!$B$20="Jahresanfang 2025 + Export",BG178+BF178,BF178))</f>
        <v/>
      </c>
      <c r="H178" s="55">
        <f>G178*F178</f>
        <v/>
      </c>
      <c r="I178" s="55">
        <f>BI178*Parameter!$B$18</f>
        <v/>
      </c>
      <c r="J178" s="56" t="n">
        <v>46</v>
      </c>
      <c r="K178" s="57" t="n">
        <v>1.5</v>
      </c>
      <c r="L178" s="55" t="n">
        <v>15</v>
      </c>
      <c r="M178" s="55" t="n">
        <v>50</v>
      </c>
      <c r="N178" s="58" t="n">
        <v>56</v>
      </c>
      <c r="O178" s="53" t="inlineStr">
        <is>
          <t>S51</t>
        </is>
      </c>
      <c r="P178" s="55" t="n">
        <v>43</v>
      </c>
      <c r="Q178" s="59">
        <f>IF(BO178=1,0,IFERROR(VLOOKUP(BM178,'Gebinde-Kategorie'!$A$5:$G$45,6,0)+0,0))</f>
        <v/>
      </c>
      <c r="R178" s="60" t="n"/>
      <c r="S178" s="61" t="n"/>
      <c r="T178" s="61" t="n"/>
      <c r="U178" s="53">
        <f>IF(A178="","",IF(IFERROR(VLOOKUP(D178,Parameter!$A$35:$C$64,2,0),"Nein")="2+3",IF(ISNUMBER(SEARCH("grosser Artikel",BJ178)),2,IFERROR(VLOOKUP(BM178,Parameter!$F$35:$G$64,2,0),2)),IF(OR(IFERROR(VLOOKUP(D178,Parameter!$A$35:$C$64,2,0),"Nein")="Nein",IFERROR(VLOOKUP(D178,Parameter!$A$35:$C$64,2,0),"Nein")=""),"-",VLOOKUP(D178,Parameter!$A$35:$C$64,2,0))))</f>
        <v/>
      </c>
      <c r="V178" s="61" t="n"/>
      <c r="W178" s="62" t="n"/>
      <c r="X178" s="55">
        <f>AM178</f>
        <v/>
      </c>
      <c r="Y178" s="55">
        <f>MAX(AM178,G178)</f>
        <v/>
      </c>
      <c r="Z178" s="63" t="n"/>
      <c r="AA178" s="55">
        <f>IF(LEFT(Cockpit!$C$5,1)="A",G178,IF(BT178=1,BU178,IF(LEFT(Cockpit!$C$5,1)="B",AE178,MAX(AE178,G178))))</f>
        <v/>
      </c>
      <c r="AB178" s="55">
        <f>IF(BO178=1,0,ROUNDUP(AA178/BN178,0))</f>
        <v/>
      </c>
      <c r="AC178" s="64">
        <f>IF(BO178=1,IF(AA178&lt;=0,0,BP178*MAX(1,IF(G178&gt;0,AA178/G178,1))),AB178*Q178)</f>
        <v/>
      </c>
      <c r="AD178" s="55">
        <f>AA178*F178</f>
        <v/>
      </c>
      <c r="AE178" s="55">
        <f>ROUNDUP(MAX(I178/IF(BS178&gt;0,BS178,MAX(0.1,N(Cockpit!$C$6))),BV178)/BN178,0)*BN178</f>
        <v/>
      </c>
      <c r="AF178" s="56">
        <f>IF(AC178&gt;0,I178/AC178,-1)</f>
        <v/>
      </c>
      <c r="AG178" s="56">
        <f>IF(AND(OR(BR178="L1",BR178="L23"),AC178&gt;0),SUMIFS($AC$7:$AC$1570,$BR$7:$BR$1570,BR178,$AF$7:$AF$1570,"&gt;"&amp;AF178)+SUMIFS($AC$7:$AC$1570,$BR$7:$BR$1570,BR178,$AF$7:$AF$1570,AF178,$BL$7:$BL$1570,"&lt;="&amp;BL178),"")</f>
        <v/>
      </c>
      <c r="AH178" s="65">
        <f>IF(AG178="",0,MAX(0,MIN(1,(IF(BR178="L1",Parameter!$K$5,Parameter!$K$6+Parameter!$K$7)-(AG178-AC178))/AC178)))</f>
        <v/>
      </c>
      <c r="AI178" s="55">
        <f>IF(LEFT(Cockpit!$I$5,1)="A",G178,IF(BT178=1,BU178,IF(LEFT(Cockpit!$I$5,1)="B",AM178,MAX(AM178,G178))))</f>
        <v/>
      </c>
      <c r="AJ178" s="55">
        <f>IF(BO178=1,0,ROUNDUP(AI178/BN178,0))</f>
        <v/>
      </c>
      <c r="AK178" s="64">
        <f>IF(BO178=1,IF(AI178&lt;=0,0,BP178*MAX(1,IF(G178&gt;0,AI178/G178,1))),AJ178*Q178)</f>
        <v/>
      </c>
      <c r="AL178" s="55">
        <f>AI178*F178</f>
        <v/>
      </c>
      <c r="AM178" s="55">
        <f>ROUNDUP(MAX(I178/IF(BS178&gt;0,BS178,MAX(0.1,N(Cockpit!$I$6))),BV178)/BN178,0)*BN178</f>
        <v/>
      </c>
      <c r="AN178" s="56">
        <f>IF(AK178&gt;0,I178/AK178,-1)</f>
        <v/>
      </c>
      <c r="AO178" s="56">
        <f>IF(AND(OR(BR178="L1",BR178="L23"),AK178&gt;0),SUMIFS($AK$7:$AK$1570,$BR$7:$BR$1570,BR178,$AN$7:$AN$1570,"&gt;"&amp;AN178)+SUMIFS($AK$7:$AK$1570,$BR$7:$BR$1570,BR178,$AN$7:$AN$1570,AN178,$BL$7:$BL$1570,"&lt;="&amp;BL178),"")</f>
        <v/>
      </c>
      <c r="AP178" s="65">
        <f>IF(AO178="",0,MAX(0,MIN(1,(IF(BR178="L1",Parameter!$K$5,Parameter!$K$6+Parameter!$K$7)-(AO178-AK178))/AK178)))</f>
        <v/>
      </c>
      <c r="AQ178" s="55">
        <f>IF(LEFT(Cockpit!$O$5,1)="A",G178,IF(BT178=1,BU178,IF(LEFT(Cockpit!$O$5,1)="B",AU178,MAX(AU178,G178))))</f>
        <v/>
      </c>
      <c r="AR178" s="55">
        <f>IF(BO178=1,0,ROUNDUP(AQ178/BN178,0))</f>
        <v/>
      </c>
      <c r="AS178" s="64">
        <f>IF(BO178=1,IF(AQ178&lt;=0,0,BP178*MAX(1,IF(G178&gt;0,AQ178/G178,1))),AR178*Q178)</f>
        <v/>
      </c>
      <c r="AT178" s="55">
        <f>AQ178*F178</f>
        <v/>
      </c>
      <c r="AU178" s="55">
        <f>ROUNDUP(MAX(I178/IF(BS178&gt;0,BS178,MAX(0.1,N(Cockpit!$O$6))),BV178)/BN178,0)*BN178</f>
        <v/>
      </c>
      <c r="AV178" s="56">
        <f>IF(AS178&gt;0,I178/AS178,-1)</f>
        <v/>
      </c>
      <c r="AW178" s="56">
        <f>IF(AND(OR(BR178="L1",BR178="L23"),AS178&gt;0),SUMIFS($AS$7:$AS$1570,$BR$7:$BR$1570,BR178,$AV$7:$AV$1570,"&gt;"&amp;AV178)+SUMIFS($AS$7:$AS$1570,$BR$7:$BR$1570,BR178,$AV$7:$AV$1570,AV178,$BL$7:$BL$1570,"&lt;="&amp;BL178),"")</f>
        <v/>
      </c>
      <c r="AX178" s="65">
        <f>IF(AW178="",0,MAX(0,MIN(1,(IF(BR178="L1",Parameter!$K$5,Parameter!$K$6+Parameter!$K$7)-(AW178-AS178))/AS178)))</f>
        <v/>
      </c>
      <c r="AY178" s="53">
        <f>IF(AC178&lt;=0,"",IF(BR178="Aussen","Aussenlager",IF(BR178="-","Nicht im Lift",IF(AH178&gt;=1,"Lift",IF(AH178&lt;=0,"Aussenlager","teilweise")))))</f>
        <v/>
      </c>
      <c r="AZ178" s="53">
        <f>IF(AK178&lt;=0,"",IF(BR178="Aussen","Aussenlager",IF(BR178="-","Nicht im Lift",IF(AP178&gt;=1,"Lift",IF(AP178&lt;=0,"Aussenlager","teilweise")))))</f>
        <v/>
      </c>
      <c r="BA178" s="53">
        <f>IF(AS178&lt;=0,"",IF(BR178="Aussen","Aussenlager",IF(BR178="-","Nicht im Lift",IF(AX178&gt;=1,"Lift",IF(AX178&lt;=0,"Aussenlager","teilweise")))))</f>
        <v/>
      </c>
      <c r="BB178" s="53">
        <f>IF(A178="","",IF(BK178=1,"Neu; ","")&amp;IF(AND(BK178=0,BF178&lt;0),"negativer Bestand (Export "&amp;BF178&amp;"); ","")&amp;IF(I178&lt;=0,"Kein Verbrauch; ","")&amp;IF(BO178=1,"Lose – Fläche geschätzt; ","")&amp;IF(G178&gt;AM178,"Überbestand "&amp;ROUND(G178-AM178,0)&amp;" Stk / CHF "&amp;ROUND((G178-AM178)*F178,0)&amp;"; ","")&amp;IF(AND(BT178=1,BU178&lt;BV178),"MAX &lt; MB+LG; ","")&amp;IF(AND(BZ178&gt;0,BY178*10&gt;BZ178),"zu hoch für Tablar; ","")&amp;IF(AND(BK178=0,OR(BT178=1,V178&lt;&gt;"",S178&lt;&gt;"",T178&lt;&gt;"",W178&lt;&gt;"")),"manuell übersteuert; ","")&amp;IF(AND(BO178=0,Q178=0),"Gebinde unbekannt; ","")&amp;IF(AND(BO178=0,N(T178)&lt;=0,N(P178)&lt;=0),"Menge pro Gebinde fehlt (Ist = 1 Gebinde); ","")&amp;BJ178)</f>
        <v/>
      </c>
      <c r="BC178" s="53" t="n"/>
      <c r="BD178" s="53" t="n"/>
      <c r="BE178" s="61" t="n"/>
      <c r="BF178" s="55" t="n">
        <v>23</v>
      </c>
      <c r="BG178" s="55" t="n">
        <v>16</v>
      </c>
      <c r="BH178" s="54" t="n">
        <v>1027.830000000001</v>
      </c>
      <c r="BI178" s="55" t="n">
        <v>69</v>
      </c>
      <c r="BJ178" s="53" t="inlineStr"/>
      <c r="BK178" s="58" t="n">
        <v>0</v>
      </c>
      <c r="BL178" s="58" t="n">
        <v>178</v>
      </c>
      <c r="BM178" s="53">
        <f>IF(S178&lt;&gt;"",UPPER(TRIM(S178)),IF(O178="","LOSE",O178))</f>
        <v/>
      </c>
      <c r="BN178" s="55">
        <f>IF(BM178="LOSE",1,IF(N(T178)&gt;0,T178,IF(N(P178)&gt;0,P178,MAX(1,G178))))</f>
        <v/>
      </c>
      <c r="BO178" s="58">
        <f>IF(BM178="LOSE",1,0)</f>
        <v/>
      </c>
      <c r="BP178" s="64">
        <f>IF(BO178=0,0,IF(N(R178)&gt;0,R178,IFERROR(VLOOKUP(D178,Parameter!$A$35:$C$64,3,0)+0,0)))</f>
        <v/>
      </c>
      <c r="BQ178" s="53">
        <f>IF(V178&lt;&gt;"",V178,U178)</f>
        <v/>
      </c>
      <c r="BR178" s="53">
        <f>IF(BQ178=1,"L1",IF(OR(BQ178=2,BQ178=3),"L23",IF(BQ178="Aussen","Aussen","-")))</f>
        <v/>
      </c>
      <c r="BS178" s="66">
        <f>IF(N(W178)&gt;0,W178,0)</f>
        <v/>
      </c>
      <c r="BT178" s="58">
        <f>IF(ISNUMBER(Z178),1,0)</f>
        <v/>
      </c>
      <c r="BU178" s="55">
        <f>N(Z178)</f>
        <v/>
      </c>
      <c r="BV178" s="55">
        <f>N(L178)+N(M178)</f>
        <v/>
      </c>
      <c r="BW178" s="55">
        <f>ROUNDUP(G178/BN178,0)</f>
        <v/>
      </c>
      <c r="BX178" s="55">
        <f>ROUNDUP(BU178/BN178,0)</f>
        <v/>
      </c>
      <c r="BY178" s="58">
        <f>IF(BO178=1,0,IFERROR(VLOOKUP(BM178,'Gebinde-Kategorie'!$A$5:$G$45,5,0)+0,0))</f>
        <v/>
      </c>
      <c r="BZ178" s="58">
        <f>IFERROR(IF(OR(BQ178=1,BQ178=2,BQ178=3),N(INDEX(Parameter!$I$5:$I$7,BQ178)),0),0)</f>
        <v/>
      </c>
    </row>
    <row r="179">
      <c r="A179" s="53" t="inlineStr">
        <is>
          <t>106903</t>
        </is>
      </c>
      <c r="B179" s="53" t="inlineStr">
        <is>
          <t>Joch</t>
        </is>
      </c>
      <c r="C179" s="53" t="inlineStr">
        <is>
          <t>F</t>
        </is>
      </c>
      <c r="D179" s="53" t="inlineStr">
        <is>
          <t>KTL</t>
        </is>
      </c>
      <c r="E179" s="53" t="inlineStr">
        <is>
          <t>C</t>
        </is>
      </c>
      <c r="F179" s="54" t="n">
        <v>17.82</v>
      </c>
      <c r="G179" s="55">
        <f>MAX(0,IF(Parameter!$B$20="Jahresanfang 2025 + Export",BG179+BF179,BF179))</f>
        <v/>
      </c>
      <c r="H179" s="55">
        <f>G179*F179</f>
        <v/>
      </c>
      <c r="I179" s="55">
        <f>BI179*Parameter!$B$18</f>
        <v/>
      </c>
      <c r="J179" s="56" t="n">
        <v>9.5</v>
      </c>
      <c r="K179" s="57" t="n">
        <v>1.052631578947368</v>
      </c>
      <c r="L179" s="55" t="n">
        <v>0</v>
      </c>
      <c r="M179" s="55" t="n">
        <v>10</v>
      </c>
      <c r="N179" s="58" t="n">
        <v>28</v>
      </c>
      <c r="O179" s="53" t="inlineStr">
        <is>
          <t>S33</t>
        </is>
      </c>
      <c r="P179" s="55" t="n">
        <v>27</v>
      </c>
      <c r="Q179" s="59">
        <f>IF(BO179=1,0,IFERROR(VLOOKUP(BM179,'Gebinde-Kategorie'!$A$5:$G$45,6,0)+0,0))</f>
        <v/>
      </c>
      <c r="R179" s="60" t="n"/>
      <c r="S179" s="61" t="n"/>
      <c r="T179" s="61" t="n"/>
      <c r="U179" s="53">
        <f>IF(A179="","",IF(IFERROR(VLOOKUP(D179,Parameter!$A$35:$C$64,2,0),"Nein")="2+3",IF(ISNUMBER(SEARCH("grosser Artikel",BJ179)),2,IFERROR(VLOOKUP(BM179,Parameter!$F$35:$G$64,2,0),2)),IF(OR(IFERROR(VLOOKUP(D179,Parameter!$A$35:$C$64,2,0),"Nein")="Nein",IFERROR(VLOOKUP(D179,Parameter!$A$35:$C$64,2,0),"Nein")=""),"-",VLOOKUP(D179,Parameter!$A$35:$C$64,2,0))))</f>
        <v/>
      </c>
      <c r="V179" s="61" t="n"/>
      <c r="W179" s="62" t="n"/>
      <c r="X179" s="55">
        <f>AM179</f>
        <v/>
      </c>
      <c r="Y179" s="55">
        <f>MAX(AM179,G179)</f>
        <v/>
      </c>
      <c r="Z179" s="63" t="n"/>
      <c r="AA179" s="55">
        <f>IF(LEFT(Cockpit!$C$5,1)="A",G179,IF(BT179=1,BU179,IF(LEFT(Cockpit!$C$5,1)="B",AE179,MAX(AE179,G179))))</f>
        <v/>
      </c>
      <c r="AB179" s="55">
        <f>IF(BO179=1,0,ROUNDUP(AA179/BN179,0))</f>
        <v/>
      </c>
      <c r="AC179" s="64">
        <f>IF(BO179=1,IF(AA179&lt;=0,0,BP179*MAX(1,IF(G179&gt;0,AA179/G179,1))),AB179*Q179)</f>
        <v/>
      </c>
      <c r="AD179" s="55">
        <f>AA179*F179</f>
        <v/>
      </c>
      <c r="AE179" s="55">
        <f>ROUNDUP(MAX(I179/IF(BS179&gt;0,BS179,MAX(0.1,N(Cockpit!$C$6))),BV179)/BN179,0)*BN179</f>
        <v/>
      </c>
      <c r="AF179" s="56">
        <f>IF(AC179&gt;0,I179/AC179,-1)</f>
        <v/>
      </c>
      <c r="AG179" s="56">
        <f>IF(AND(OR(BR179="L1",BR179="L23"),AC179&gt;0),SUMIFS($AC$7:$AC$1570,$BR$7:$BR$1570,BR179,$AF$7:$AF$1570,"&gt;"&amp;AF179)+SUMIFS($AC$7:$AC$1570,$BR$7:$BR$1570,BR179,$AF$7:$AF$1570,AF179,$BL$7:$BL$1570,"&lt;="&amp;BL179),"")</f>
        <v/>
      </c>
      <c r="AH179" s="65">
        <f>IF(AG179="",0,MAX(0,MIN(1,(IF(BR179="L1",Parameter!$K$5,Parameter!$K$6+Parameter!$K$7)-(AG179-AC179))/AC179)))</f>
        <v/>
      </c>
      <c r="AI179" s="55">
        <f>IF(LEFT(Cockpit!$I$5,1)="A",G179,IF(BT179=1,BU179,IF(LEFT(Cockpit!$I$5,1)="B",AM179,MAX(AM179,G179))))</f>
        <v/>
      </c>
      <c r="AJ179" s="55">
        <f>IF(BO179=1,0,ROUNDUP(AI179/BN179,0))</f>
        <v/>
      </c>
      <c r="AK179" s="64">
        <f>IF(BO179=1,IF(AI179&lt;=0,0,BP179*MAX(1,IF(G179&gt;0,AI179/G179,1))),AJ179*Q179)</f>
        <v/>
      </c>
      <c r="AL179" s="55">
        <f>AI179*F179</f>
        <v/>
      </c>
      <c r="AM179" s="55">
        <f>ROUNDUP(MAX(I179/IF(BS179&gt;0,BS179,MAX(0.1,N(Cockpit!$I$6))),BV179)/BN179,0)*BN179</f>
        <v/>
      </c>
      <c r="AN179" s="56">
        <f>IF(AK179&gt;0,I179/AK179,-1)</f>
        <v/>
      </c>
      <c r="AO179" s="56">
        <f>IF(AND(OR(BR179="L1",BR179="L23"),AK179&gt;0),SUMIFS($AK$7:$AK$1570,$BR$7:$BR$1570,BR179,$AN$7:$AN$1570,"&gt;"&amp;AN179)+SUMIFS($AK$7:$AK$1570,$BR$7:$BR$1570,BR179,$AN$7:$AN$1570,AN179,$BL$7:$BL$1570,"&lt;="&amp;BL179),"")</f>
        <v/>
      </c>
      <c r="AP179" s="65">
        <f>IF(AO179="",0,MAX(0,MIN(1,(IF(BR179="L1",Parameter!$K$5,Parameter!$K$6+Parameter!$K$7)-(AO179-AK179))/AK179)))</f>
        <v/>
      </c>
      <c r="AQ179" s="55">
        <f>IF(LEFT(Cockpit!$O$5,1)="A",G179,IF(BT179=1,BU179,IF(LEFT(Cockpit!$O$5,1)="B",AU179,MAX(AU179,G179))))</f>
        <v/>
      </c>
      <c r="AR179" s="55">
        <f>IF(BO179=1,0,ROUNDUP(AQ179/BN179,0))</f>
        <v/>
      </c>
      <c r="AS179" s="64">
        <f>IF(BO179=1,IF(AQ179&lt;=0,0,BP179*MAX(1,IF(G179&gt;0,AQ179/G179,1))),AR179*Q179)</f>
        <v/>
      </c>
      <c r="AT179" s="55">
        <f>AQ179*F179</f>
        <v/>
      </c>
      <c r="AU179" s="55">
        <f>ROUNDUP(MAX(I179/IF(BS179&gt;0,BS179,MAX(0.1,N(Cockpit!$O$6))),BV179)/BN179,0)*BN179</f>
        <v/>
      </c>
      <c r="AV179" s="56">
        <f>IF(AS179&gt;0,I179/AS179,-1)</f>
        <v/>
      </c>
      <c r="AW179" s="56">
        <f>IF(AND(OR(BR179="L1",BR179="L23"),AS179&gt;0),SUMIFS($AS$7:$AS$1570,$BR$7:$BR$1570,BR179,$AV$7:$AV$1570,"&gt;"&amp;AV179)+SUMIFS($AS$7:$AS$1570,$BR$7:$BR$1570,BR179,$AV$7:$AV$1570,AV179,$BL$7:$BL$1570,"&lt;="&amp;BL179),"")</f>
        <v/>
      </c>
      <c r="AX179" s="65">
        <f>IF(AW179="",0,MAX(0,MIN(1,(IF(BR179="L1",Parameter!$K$5,Parameter!$K$6+Parameter!$K$7)-(AW179-AS179))/AS179)))</f>
        <v/>
      </c>
      <c r="AY179" s="53">
        <f>IF(AC179&lt;=0,"",IF(BR179="Aussen","Aussenlager",IF(BR179="-","Nicht im Lift",IF(AH179&gt;=1,"Lift",IF(AH179&lt;=0,"Aussenlager","teilweise")))))</f>
        <v/>
      </c>
      <c r="AZ179" s="53">
        <f>IF(AK179&lt;=0,"",IF(BR179="Aussen","Aussenlager",IF(BR179="-","Nicht im Lift",IF(AP179&gt;=1,"Lift",IF(AP179&lt;=0,"Aussenlager","teilweise")))))</f>
        <v/>
      </c>
      <c r="BA179" s="53">
        <f>IF(AS179&lt;=0,"",IF(BR179="Aussen","Aussenlager",IF(BR179="-","Nicht im Lift",IF(AX179&gt;=1,"Lift",IF(AX179&lt;=0,"Aussenlager","teilweise")))))</f>
        <v/>
      </c>
      <c r="BB179" s="53">
        <f>IF(A179="","",IF(BK179=1,"Neu; ","")&amp;IF(AND(BK179=0,BF179&lt;0),"negativer Bestand (Export "&amp;BF179&amp;"); ","")&amp;IF(I179&lt;=0,"Kein Verbrauch; ","")&amp;IF(BO179=1,"Lose – Fläche geschätzt; ","")&amp;IF(G179&gt;AM179,"Überbestand "&amp;ROUND(G179-AM179,0)&amp;" Stk / CHF "&amp;ROUND((G179-AM179)*F179,0)&amp;"; ","")&amp;IF(AND(BT179=1,BU179&lt;BV179),"MAX &lt; MB+LG; ","")&amp;IF(AND(BZ179&gt;0,BY179*10&gt;BZ179),"zu hoch für Tablar; ","")&amp;IF(AND(BK179=0,OR(BT179=1,V179&lt;&gt;"",S179&lt;&gt;"",T179&lt;&gt;"",W179&lt;&gt;"")),"manuell übersteuert; ","")&amp;IF(AND(BO179=0,Q179=0),"Gebinde unbekannt; ","")&amp;IF(AND(BO179=0,N(T179)&lt;=0,N(P179)&lt;=0),"Menge pro Gebinde fehlt (Ist = 1 Gebinde); ","")&amp;BJ179)</f>
        <v/>
      </c>
      <c r="BC179" s="53" t="n"/>
      <c r="BD179" s="53" t="n"/>
      <c r="BE179" s="61" t="n"/>
      <c r="BF179" s="55" t="n">
        <v>66</v>
      </c>
      <c r="BG179" s="55" t="n">
        <v>5</v>
      </c>
      <c r="BH179" s="54" t="n">
        <v>1025.77</v>
      </c>
      <c r="BI179" s="55" t="n">
        <v>10</v>
      </c>
      <c r="BJ179" s="53" t="inlineStr"/>
      <c r="BK179" s="58" t="n">
        <v>0</v>
      </c>
      <c r="BL179" s="58" t="n">
        <v>179</v>
      </c>
      <c r="BM179" s="53">
        <f>IF(S179&lt;&gt;"",UPPER(TRIM(S179)),IF(O179="","LOSE",O179))</f>
        <v/>
      </c>
      <c r="BN179" s="55">
        <f>IF(BM179="LOSE",1,IF(N(T179)&gt;0,T179,IF(N(P179)&gt;0,P179,MAX(1,G179))))</f>
        <v/>
      </c>
      <c r="BO179" s="58">
        <f>IF(BM179="LOSE",1,0)</f>
        <v/>
      </c>
      <c r="BP179" s="64">
        <f>IF(BO179=0,0,IF(N(R179)&gt;0,R179,IFERROR(VLOOKUP(D179,Parameter!$A$35:$C$64,3,0)+0,0)))</f>
        <v/>
      </c>
      <c r="BQ179" s="53">
        <f>IF(V179&lt;&gt;"",V179,U179)</f>
        <v/>
      </c>
      <c r="BR179" s="53">
        <f>IF(BQ179=1,"L1",IF(OR(BQ179=2,BQ179=3),"L23",IF(BQ179="Aussen","Aussen","-")))</f>
        <v/>
      </c>
      <c r="BS179" s="66">
        <f>IF(N(W179)&gt;0,W179,0)</f>
        <v/>
      </c>
      <c r="BT179" s="58">
        <f>IF(ISNUMBER(Z179),1,0)</f>
        <v/>
      </c>
      <c r="BU179" s="55">
        <f>N(Z179)</f>
        <v/>
      </c>
      <c r="BV179" s="55">
        <f>N(L179)+N(M179)</f>
        <v/>
      </c>
      <c r="BW179" s="55">
        <f>ROUNDUP(G179/BN179,0)</f>
        <v/>
      </c>
      <c r="BX179" s="55">
        <f>ROUNDUP(BU179/BN179,0)</f>
        <v/>
      </c>
      <c r="BY179" s="58">
        <f>IF(BO179=1,0,IFERROR(VLOOKUP(BM179,'Gebinde-Kategorie'!$A$5:$G$45,5,0)+0,0))</f>
        <v/>
      </c>
      <c r="BZ179" s="58">
        <f>IFERROR(IF(OR(BQ179=1,BQ179=2,BQ179=3),N(INDEX(Parameter!$I$5:$I$7,BQ179)),0),0)</f>
        <v/>
      </c>
    </row>
    <row r="180">
      <c r="A180" s="53" t="inlineStr">
        <is>
          <t>005701</t>
        </is>
      </c>
      <c r="B180" s="53" t="inlineStr">
        <is>
          <t>Leistungsschütz</t>
        </is>
      </c>
      <c r="C180" s="53" t="inlineStr">
        <is>
          <t>F</t>
        </is>
      </c>
      <c r="D180" s="53" t="inlineStr">
        <is>
          <t>KTL</t>
        </is>
      </c>
      <c r="E180" s="53" t="inlineStr">
        <is>
          <t>C</t>
        </is>
      </c>
      <c r="F180" s="54" t="n">
        <v>134.64</v>
      </c>
      <c r="G180" s="55">
        <f>MAX(0,IF(Parameter!$B$20="Jahresanfang 2025 + Export",BG180+BF180,BF180))</f>
        <v/>
      </c>
      <c r="H180" s="55">
        <f>G180*F180</f>
        <v/>
      </c>
      <c r="I180" s="55">
        <f>BI180*Parameter!$B$18</f>
        <v/>
      </c>
      <c r="J180" s="56" t="n">
        <v>6</v>
      </c>
      <c r="K180" s="57" t="n">
        <v>2.166666666666667</v>
      </c>
      <c r="L180" s="55" t="n">
        <v>0</v>
      </c>
      <c r="M180" s="55" t="n">
        <v>15</v>
      </c>
      <c r="N180" s="58" t="n">
        <v>14</v>
      </c>
      <c r="O180" s="53" t="inlineStr">
        <is>
          <t>S33</t>
        </is>
      </c>
      <c r="P180" s="55" t="n">
        <v>29</v>
      </c>
      <c r="Q180" s="59">
        <f>IF(BO180=1,0,IFERROR(VLOOKUP(BM180,'Gebinde-Kategorie'!$A$5:$G$45,6,0)+0,0))</f>
        <v/>
      </c>
      <c r="R180" s="60" t="n"/>
      <c r="S180" s="61" t="n"/>
      <c r="T180" s="61" t="n"/>
      <c r="U180" s="53">
        <f>IF(A180="","",IF(IFERROR(VLOOKUP(D180,Parameter!$A$35:$C$64,2,0),"Nein")="2+3",IF(ISNUMBER(SEARCH("grosser Artikel",BJ180)),2,IFERROR(VLOOKUP(BM180,Parameter!$F$35:$G$64,2,0),2)),IF(OR(IFERROR(VLOOKUP(D180,Parameter!$A$35:$C$64,2,0),"Nein")="Nein",IFERROR(VLOOKUP(D180,Parameter!$A$35:$C$64,2,0),"Nein")=""),"-",VLOOKUP(D180,Parameter!$A$35:$C$64,2,0))))</f>
        <v/>
      </c>
      <c r="V180" s="61" t="n"/>
      <c r="W180" s="62" t="n"/>
      <c r="X180" s="55">
        <f>AM180</f>
        <v/>
      </c>
      <c r="Y180" s="55">
        <f>MAX(AM180,G180)</f>
        <v/>
      </c>
      <c r="Z180" s="63" t="n"/>
      <c r="AA180" s="55">
        <f>IF(LEFT(Cockpit!$C$5,1)="A",G180,IF(BT180=1,BU180,IF(LEFT(Cockpit!$C$5,1)="B",AE180,MAX(AE180,G180))))</f>
        <v/>
      </c>
      <c r="AB180" s="55">
        <f>IF(BO180=1,0,ROUNDUP(AA180/BN180,0))</f>
        <v/>
      </c>
      <c r="AC180" s="64">
        <f>IF(BO180=1,IF(AA180&lt;=0,0,BP180*MAX(1,IF(G180&gt;0,AA180/G180,1))),AB180*Q180)</f>
        <v/>
      </c>
      <c r="AD180" s="55">
        <f>AA180*F180</f>
        <v/>
      </c>
      <c r="AE180" s="55">
        <f>ROUNDUP(MAX(I180/IF(BS180&gt;0,BS180,MAX(0.1,N(Cockpit!$C$6))),BV180)/BN180,0)*BN180</f>
        <v/>
      </c>
      <c r="AF180" s="56">
        <f>IF(AC180&gt;0,I180/AC180,-1)</f>
        <v/>
      </c>
      <c r="AG180" s="56">
        <f>IF(AND(OR(BR180="L1",BR180="L23"),AC180&gt;0),SUMIFS($AC$7:$AC$1570,$BR$7:$BR$1570,BR180,$AF$7:$AF$1570,"&gt;"&amp;AF180)+SUMIFS($AC$7:$AC$1570,$BR$7:$BR$1570,BR180,$AF$7:$AF$1570,AF180,$BL$7:$BL$1570,"&lt;="&amp;BL180),"")</f>
        <v/>
      </c>
      <c r="AH180" s="65">
        <f>IF(AG180="",0,MAX(0,MIN(1,(IF(BR180="L1",Parameter!$K$5,Parameter!$K$6+Parameter!$K$7)-(AG180-AC180))/AC180)))</f>
        <v/>
      </c>
      <c r="AI180" s="55">
        <f>IF(LEFT(Cockpit!$I$5,1)="A",G180,IF(BT180=1,BU180,IF(LEFT(Cockpit!$I$5,1)="B",AM180,MAX(AM180,G180))))</f>
        <v/>
      </c>
      <c r="AJ180" s="55">
        <f>IF(BO180=1,0,ROUNDUP(AI180/BN180,0))</f>
        <v/>
      </c>
      <c r="AK180" s="64">
        <f>IF(BO180=1,IF(AI180&lt;=0,0,BP180*MAX(1,IF(G180&gt;0,AI180/G180,1))),AJ180*Q180)</f>
        <v/>
      </c>
      <c r="AL180" s="55">
        <f>AI180*F180</f>
        <v/>
      </c>
      <c r="AM180" s="55">
        <f>ROUNDUP(MAX(I180/IF(BS180&gt;0,BS180,MAX(0.1,N(Cockpit!$I$6))),BV180)/BN180,0)*BN180</f>
        <v/>
      </c>
      <c r="AN180" s="56">
        <f>IF(AK180&gt;0,I180/AK180,-1)</f>
        <v/>
      </c>
      <c r="AO180" s="56">
        <f>IF(AND(OR(BR180="L1",BR180="L23"),AK180&gt;0),SUMIFS($AK$7:$AK$1570,$BR$7:$BR$1570,BR180,$AN$7:$AN$1570,"&gt;"&amp;AN180)+SUMIFS($AK$7:$AK$1570,$BR$7:$BR$1570,BR180,$AN$7:$AN$1570,AN180,$BL$7:$BL$1570,"&lt;="&amp;BL180),"")</f>
        <v/>
      </c>
      <c r="AP180" s="65">
        <f>IF(AO180="",0,MAX(0,MIN(1,(IF(BR180="L1",Parameter!$K$5,Parameter!$K$6+Parameter!$K$7)-(AO180-AK180))/AK180)))</f>
        <v/>
      </c>
      <c r="AQ180" s="55">
        <f>IF(LEFT(Cockpit!$O$5,1)="A",G180,IF(BT180=1,BU180,IF(LEFT(Cockpit!$O$5,1)="B",AU180,MAX(AU180,G180))))</f>
        <v/>
      </c>
      <c r="AR180" s="55">
        <f>IF(BO180=1,0,ROUNDUP(AQ180/BN180,0))</f>
        <v/>
      </c>
      <c r="AS180" s="64">
        <f>IF(BO180=1,IF(AQ180&lt;=0,0,BP180*MAX(1,IF(G180&gt;0,AQ180/G180,1))),AR180*Q180)</f>
        <v/>
      </c>
      <c r="AT180" s="55">
        <f>AQ180*F180</f>
        <v/>
      </c>
      <c r="AU180" s="55">
        <f>ROUNDUP(MAX(I180/IF(BS180&gt;0,BS180,MAX(0.1,N(Cockpit!$O$6))),BV180)/BN180,0)*BN180</f>
        <v/>
      </c>
      <c r="AV180" s="56">
        <f>IF(AS180&gt;0,I180/AS180,-1)</f>
        <v/>
      </c>
      <c r="AW180" s="56">
        <f>IF(AND(OR(BR180="L1",BR180="L23"),AS180&gt;0),SUMIFS($AS$7:$AS$1570,$BR$7:$BR$1570,BR180,$AV$7:$AV$1570,"&gt;"&amp;AV180)+SUMIFS($AS$7:$AS$1570,$BR$7:$BR$1570,BR180,$AV$7:$AV$1570,AV180,$BL$7:$BL$1570,"&lt;="&amp;BL180),"")</f>
        <v/>
      </c>
      <c r="AX180" s="65">
        <f>IF(AW180="",0,MAX(0,MIN(1,(IF(BR180="L1",Parameter!$K$5,Parameter!$K$6+Parameter!$K$7)-(AW180-AS180))/AS180)))</f>
        <v/>
      </c>
      <c r="AY180" s="53">
        <f>IF(AC180&lt;=0,"",IF(BR180="Aussen","Aussenlager",IF(BR180="-","Nicht im Lift",IF(AH180&gt;=1,"Lift",IF(AH180&lt;=0,"Aussenlager","teilweise")))))</f>
        <v/>
      </c>
      <c r="AZ180" s="53">
        <f>IF(AK180&lt;=0,"",IF(BR180="Aussen","Aussenlager",IF(BR180="-","Nicht im Lift",IF(AP180&gt;=1,"Lift",IF(AP180&lt;=0,"Aussenlager","teilweise")))))</f>
        <v/>
      </c>
      <c r="BA180" s="53">
        <f>IF(AS180&lt;=0,"",IF(BR180="Aussen","Aussenlager",IF(BR180="-","Nicht im Lift",IF(AX180&gt;=1,"Lift",IF(AX180&lt;=0,"Aussenlager","teilweise")))))</f>
        <v/>
      </c>
      <c r="BB180" s="53">
        <f>IF(A180="","",IF(BK180=1,"Neu; ","")&amp;IF(AND(BK180=0,BF180&lt;0),"negativer Bestand (Export "&amp;BF180&amp;"); ","")&amp;IF(I180&lt;=0,"Kein Verbrauch; ","")&amp;IF(BO180=1,"Lose – Fläche geschätzt; ","")&amp;IF(G180&gt;AM180,"Überbestand "&amp;ROUND(G180-AM180,0)&amp;" Stk / CHF "&amp;ROUND((G180-AM180)*F180,0)&amp;"; ","")&amp;IF(AND(BT180=1,BU180&lt;BV180),"MAX &lt; MB+LG; ","")&amp;IF(AND(BZ180&gt;0,BY180*10&gt;BZ180),"zu hoch für Tablar; ","")&amp;IF(AND(BK180=0,OR(BT180=1,V180&lt;&gt;"",S180&lt;&gt;"",T180&lt;&gt;"",W180&lt;&gt;"")),"manuell übersteuert; ","")&amp;IF(AND(BO180=0,Q180=0),"Gebinde unbekannt; ","")&amp;IF(AND(BO180=0,N(T180)&lt;=0,N(P180)&lt;=0),"Menge pro Gebinde fehlt (Ist = 1 Gebinde); ","")&amp;BJ180)</f>
        <v/>
      </c>
      <c r="BC180" s="53" t="n"/>
      <c r="BD180" s="53" t="n"/>
      <c r="BE180" s="61" t="n"/>
      <c r="BF180" s="55" t="n">
        <v>5</v>
      </c>
      <c r="BG180" s="55" t="n">
        <v>8</v>
      </c>
      <c r="BH180" s="54" t="n">
        <v>1016.24</v>
      </c>
      <c r="BI180" s="55" t="n">
        <v>13</v>
      </c>
      <c r="BJ180" s="53" t="inlineStr"/>
      <c r="BK180" s="58" t="n">
        <v>0</v>
      </c>
      <c r="BL180" s="58" t="n">
        <v>180</v>
      </c>
      <c r="BM180" s="53">
        <f>IF(S180&lt;&gt;"",UPPER(TRIM(S180)),IF(O180="","LOSE",O180))</f>
        <v/>
      </c>
      <c r="BN180" s="55">
        <f>IF(BM180="LOSE",1,IF(N(T180)&gt;0,T180,IF(N(P180)&gt;0,P180,MAX(1,G180))))</f>
        <v/>
      </c>
      <c r="BO180" s="58">
        <f>IF(BM180="LOSE",1,0)</f>
        <v/>
      </c>
      <c r="BP180" s="64">
        <f>IF(BO180=0,0,IF(N(R180)&gt;0,R180,IFERROR(VLOOKUP(D180,Parameter!$A$35:$C$64,3,0)+0,0)))</f>
        <v/>
      </c>
      <c r="BQ180" s="53">
        <f>IF(V180&lt;&gt;"",V180,U180)</f>
        <v/>
      </c>
      <c r="BR180" s="53">
        <f>IF(BQ180=1,"L1",IF(OR(BQ180=2,BQ180=3),"L23",IF(BQ180="Aussen","Aussen","-")))</f>
        <v/>
      </c>
      <c r="BS180" s="66">
        <f>IF(N(W180)&gt;0,W180,0)</f>
        <v/>
      </c>
      <c r="BT180" s="58">
        <f>IF(ISNUMBER(Z180),1,0)</f>
        <v/>
      </c>
      <c r="BU180" s="55">
        <f>N(Z180)</f>
        <v/>
      </c>
      <c r="BV180" s="55">
        <f>N(L180)+N(M180)</f>
        <v/>
      </c>
      <c r="BW180" s="55">
        <f>ROUNDUP(G180/BN180,0)</f>
        <v/>
      </c>
      <c r="BX180" s="55">
        <f>ROUNDUP(BU180/BN180,0)</f>
        <v/>
      </c>
      <c r="BY180" s="58">
        <f>IF(BO180=1,0,IFERROR(VLOOKUP(BM180,'Gebinde-Kategorie'!$A$5:$G$45,5,0)+0,0))</f>
        <v/>
      </c>
      <c r="BZ180" s="58">
        <f>IFERROR(IF(OR(BQ180=1,BQ180=2,BQ180=3),N(INDEX(Parameter!$I$5:$I$7,BQ180)),0),0)</f>
        <v/>
      </c>
    </row>
    <row r="181">
      <c r="A181" s="53" t="inlineStr">
        <is>
          <t>103487</t>
        </is>
      </c>
      <c r="B181" s="53" t="inlineStr">
        <is>
          <t>Typenschild</t>
        </is>
      </c>
      <c r="C181" s="53" t="inlineStr">
        <is>
          <t>F</t>
        </is>
      </c>
      <c r="D181" s="53" t="inlineStr">
        <is>
          <t>KTL</t>
        </is>
      </c>
      <c r="E181" s="53" t="inlineStr">
        <is>
          <t>C</t>
        </is>
      </c>
      <c r="F181" s="54" t="n">
        <v>14.91</v>
      </c>
      <c r="G181" s="55">
        <f>MAX(0,IF(Parameter!$B$20="Jahresanfang 2025 + Export",BG181+BF181,BF181))</f>
        <v/>
      </c>
      <c r="H181" s="55">
        <f>G181*F181</f>
        <v/>
      </c>
      <c r="I181" s="55">
        <f>BI181*Parameter!$B$18</f>
        <v/>
      </c>
      <c r="J181" s="56" t="n">
        <v>13.5</v>
      </c>
      <c r="K181" s="57" t="n">
        <v>6.148148148148148</v>
      </c>
      <c r="L181" s="55" t="n">
        <v>4</v>
      </c>
      <c r="M181" s="55" t="n">
        <v>85</v>
      </c>
      <c r="N181" s="58" t="n">
        <v>21</v>
      </c>
      <c r="O181" s="53" t="inlineStr">
        <is>
          <t>S22</t>
        </is>
      </c>
      <c r="P181" s="55" t="n">
        <v>36</v>
      </c>
      <c r="Q181" s="59">
        <f>IF(BO181=1,0,IFERROR(VLOOKUP(BM181,'Gebinde-Kategorie'!$A$5:$G$45,6,0)+0,0))</f>
        <v/>
      </c>
      <c r="R181" s="60" t="n"/>
      <c r="S181" s="61" t="n"/>
      <c r="T181" s="61" t="n"/>
      <c r="U181" s="53">
        <f>IF(A181="","",IF(IFERROR(VLOOKUP(D181,Parameter!$A$35:$C$64,2,0),"Nein")="2+3",IF(ISNUMBER(SEARCH("grosser Artikel",BJ181)),2,IFERROR(VLOOKUP(BM181,Parameter!$F$35:$G$64,2,0),2)),IF(OR(IFERROR(VLOOKUP(D181,Parameter!$A$35:$C$64,2,0),"Nein")="Nein",IFERROR(VLOOKUP(D181,Parameter!$A$35:$C$64,2,0),"Nein")=""),"-",VLOOKUP(D181,Parameter!$A$35:$C$64,2,0))))</f>
        <v/>
      </c>
      <c r="V181" s="61" t="n"/>
      <c r="W181" s="62" t="n"/>
      <c r="X181" s="55">
        <f>AM181</f>
        <v/>
      </c>
      <c r="Y181" s="55">
        <f>MAX(AM181,G181)</f>
        <v/>
      </c>
      <c r="Z181" s="63" t="n"/>
      <c r="AA181" s="55">
        <f>IF(LEFT(Cockpit!$C$5,1)="A",G181,IF(BT181=1,BU181,IF(LEFT(Cockpit!$C$5,1)="B",AE181,MAX(AE181,G181))))</f>
        <v/>
      </c>
      <c r="AB181" s="55">
        <f>IF(BO181=1,0,ROUNDUP(AA181/BN181,0))</f>
        <v/>
      </c>
      <c r="AC181" s="64">
        <f>IF(BO181=1,IF(AA181&lt;=0,0,BP181*MAX(1,IF(G181&gt;0,AA181/G181,1))),AB181*Q181)</f>
        <v/>
      </c>
      <c r="AD181" s="55">
        <f>AA181*F181</f>
        <v/>
      </c>
      <c r="AE181" s="55">
        <f>ROUNDUP(MAX(I181/IF(BS181&gt;0,BS181,MAX(0.1,N(Cockpit!$C$6))),BV181)/BN181,0)*BN181</f>
        <v/>
      </c>
      <c r="AF181" s="56">
        <f>IF(AC181&gt;0,I181/AC181,-1)</f>
        <v/>
      </c>
      <c r="AG181" s="56">
        <f>IF(AND(OR(BR181="L1",BR181="L23"),AC181&gt;0),SUMIFS($AC$7:$AC$1570,$BR$7:$BR$1570,BR181,$AF$7:$AF$1570,"&gt;"&amp;AF181)+SUMIFS($AC$7:$AC$1570,$BR$7:$BR$1570,BR181,$AF$7:$AF$1570,AF181,$BL$7:$BL$1570,"&lt;="&amp;BL181),"")</f>
        <v/>
      </c>
      <c r="AH181" s="65">
        <f>IF(AG181="",0,MAX(0,MIN(1,(IF(BR181="L1",Parameter!$K$5,Parameter!$K$6+Parameter!$K$7)-(AG181-AC181))/AC181)))</f>
        <v/>
      </c>
      <c r="AI181" s="55">
        <f>IF(LEFT(Cockpit!$I$5,1)="A",G181,IF(BT181=1,BU181,IF(LEFT(Cockpit!$I$5,1)="B",AM181,MAX(AM181,G181))))</f>
        <v/>
      </c>
      <c r="AJ181" s="55">
        <f>IF(BO181=1,0,ROUNDUP(AI181/BN181,0))</f>
        <v/>
      </c>
      <c r="AK181" s="64">
        <f>IF(BO181=1,IF(AI181&lt;=0,0,BP181*MAX(1,IF(G181&gt;0,AI181/G181,1))),AJ181*Q181)</f>
        <v/>
      </c>
      <c r="AL181" s="55">
        <f>AI181*F181</f>
        <v/>
      </c>
      <c r="AM181" s="55">
        <f>ROUNDUP(MAX(I181/IF(BS181&gt;0,BS181,MAX(0.1,N(Cockpit!$I$6))),BV181)/BN181,0)*BN181</f>
        <v/>
      </c>
      <c r="AN181" s="56">
        <f>IF(AK181&gt;0,I181/AK181,-1)</f>
        <v/>
      </c>
      <c r="AO181" s="56">
        <f>IF(AND(OR(BR181="L1",BR181="L23"),AK181&gt;0),SUMIFS($AK$7:$AK$1570,$BR$7:$BR$1570,BR181,$AN$7:$AN$1570,"&gt;"&amp;AN181)+SUMIFS($AK$7:$AK$1570,$BR$7:$BR$1570,BR181,$AN$7:$AN$1570,AN181,$BL$7:$BL$1570,"&lt;="&amp;BL181),"")</f>
        <v/>
      </c>
      <c r="AP181" s="65">
        <f>IF(AO181="",0,MAX(0,MIN(1,(IF(BR181="L1",Parameter!$K$5,Parameter!$K$6+Parameter!$K$7)-(AO181-AK181))/AK181)))</f>
        <v/>
      </c>
      <c r="AQ181" s="55">
        <f>IF(LEFT(Cockpit!$O$5,1)="A",G181,IF(BT181=1,BU181,IF(LEFT(Cockpit!$O$5,1)="B",AU181,MAX(AU181,G181))))</f>
        <v/>
      </c>
      <c r="AR181" s="55">
        <f>IF(BO181=1,0,ROUNDUP(AQ181/BN181,0))</f>
        <v/>
      </c>
      <c r="AS181" s="64">
        <f>IF(BO181=1,IF(AQ181&lt;=0,0,BP181*MAX(1,IF(G181&gt;0,AQ181/G181,1))),AR181*Q181)</f>
        <v/>
      </c>
      <c r="AT181" s="55">
        <f>AQ181*F181</f>
        <v/>
      </c>
      <c r="AU181" s="55">
        <f>ROUNDUP(MAX(I181/IF(BS181&gt;0,BS181,MAX(0.1,N(Cockpit!$O$6))),BV181)/BN181,0)*BN181</f>
        <v/>
      </c>
      <c r="AV181" s="56">
        <f>IF(AS181&gt;0,I181/AS181,-1)</f>
        <v/>
      </c>
      <c r="AW181" s="56">
        <f>IF(AND(OR(BR181="L1",BR181="L23"),AS181&gt;0),SUMIFS($AS$7:$AS$1570,$BR$7:$BR$1570,BR181,$AV$7:$AV$1570,"&gt;"&amp;AV181)+SUMIFS($AS$7:$AS$1570,$BR$7:$BR$1570,BR181,$AV$7:$AV$1570,AV181,$BL$7:$BL$1570,"&lt;="&amp;BL181),"")</f>
        <v/>
      </c>
      <c r="AX181" s="65">
        <f>IF(AW181="",0,MAX(0,MIN(1,(IF(BR181="L1",Parameter!$K$5,Parameter!$K$6+Parameter!$K$7)-(AW181-AS181))/AS181)))</f>
        <v/>
      </c>
      <c r="AY181" s="53">
        <f>IF(AC181&lt;=0,"",IF(BR181="Aussen","Aussenlager",IF(BR181="-","Nicht im Lift",IF(AH181&gt;=1,"Lift",IF(AH181&lt;=0,"Aussenlager","teilweise")))))</f>
        <v/>
      </c>
      <c r="AZ181" s="53">
        <f>IF(AK181&lt;=0,"",IF(BR181="Aussen","Aussenlager",IF(BR181="-","Nicht im Lift",IF(AP181&gt;=1,"Lift",IF(AP181&lt;=0,"Aussenlager","teilweise")))))</f>
        <v/>
      </c>
      <c r="BA181" s="53">
        <f>IF(AS181&lt;=0,"",IF(BR181="Aussen","Aussenlager",IF(BR181="-","Nicht im Lift",IF(AX181&gt;=1,"Lift",IF(AX181&lt;=0,"Aussenlager","teilweise")))))</f>
        <v/>
      </c>
      <c r="BB181" s="53">
        <f>IF(A181="","",IF(BK181=1,"Neu; ","")&amp;IF(AND(BK181=0,BF181&lt;0),"negativer Bestand (Export "&amp;BF181&amp;"); ","")&amp;IF(I181&lt;=0,"Kein Verbrauch; ","")&amp;IF(BO181=1,"Lose – Fläche geschätzt; ","")&amp;IF(G181&gt;AM181,"Überbestand "&amp;ROUND(G181-AM181,0)&amp;" Stk / CHF "&amp;ROUND((G181-AM181)*F181,0)&amp;"; ","")&amp;IF(AND(BT181=1,BU181&lt;BV181),"MAX &lt; MB+LG; ","")&amp;IF(AND(BZ181&gt;0,BY181*10&gt;BZ181),"zu hoch für Tablar; ","")&amp;IF(AND(BK181=0,OR(BT181=1,V181&lt;&gt;"",S181&lt;&gt;"",T181&lt;&gt;"",W181&lt;&gt;"")),"manuell übersteuert; ","")&amp;IF(AND(BO181=0,Q181=0),"Gebinde unbekannt; ","")&amp;IF(AND(BO181=0,N(T181)&lt;=0,N(P181)&lt;=0),"Menge pro Gebinde fehlt (Ist = 1 Gebinde); ","")&amp;BJ181)</f>
        <v/>
      </c>
      <c r="BC181" s="53" t="n"/>
      <c r="BD181" s="53" t="n"/>
      <c r="BE181" s="61" t="n"/>
      <c r="BF181" s="55" t="n">
        <v>71</v>
      </c>
      <c r="BG181" s="55" t="n">
        <v>12</v>
      </c>
      <c r="BH181" s="54" t="n">
        <v>1001.609999999999</v>
      </c>
      <c r="BI181" s="55" t="n">
        <v>83</v>
      </c>
      <c r="BJ181" s="53" t="inlineStr"/>
      <c r="BK181" s="58" t="n">
        <v>0</v>
      </c>
      <c r="BL181" s="58" t="n">
        <v>181</v>
      </c>
      <c r="BM181" s="53">
        <f>IF(S181&lt;&gt;"",UPPER(TRIM(S181)),IF(O181="","LOSE",O181))</f>
        <v/>
      </c>
      <c r="BN181" s="55">
        <f>IF(BM181="LOSE",1,IF(N(T181)&gt;0,T181,IF(N(P181)&gt;0,P181,MAX(1,G181))))</f>
        <v/>
      </c>
      <c r="BO181" s="58">
        <f>IF(BM181="LOSE",1,0)</f>
        <v/>
      </c>
      <c r="BP181" s="64">
        <f>IF(BO181=0,0,IF(N(R181)&gt;0,R181,IFERROR(VLOOKUP(D181,Parameter!$A$35:$C$64,3,0)+0,0)))</f>
        <v/>
      </c>
      <c r="BQ181" s="53">
        <f>IF(V181&lt;&gt;"",V181,U181)</f>
        <v/>
      </c>
      <c r="BR181" s="53">
        <f>IF(BQ181=1,"L1",IF(OR(BQ181=2,BQ181=3),"L23",IF(BQ181="Aussen","Aussen","-")))</f>
        <v/>
      </c>
      <c r="BS181" s="66">
        <f>IF(N(W181)&gt;0,W181,0)</f>
        <v/>
      </c>
      <c r="BT181" s="58">
        <f>IF(ISNUMBER(Z181),1,0)</f>
        <v/>
      </c>
      <c r="BU181" s="55">
        <f>N(Z181)</f>
        <v/>
      </c>
      <c r="BV181" s="55">
        <f>N(L181)+N(M181)</f>
        <v/>
      </c>
      <c r="BW181" s="55">
        <f>ROUNDUP(G181/BN181,0)</f>
        <v/>
      </c>
      <c r="BX181" s="55">
        <f>ROUNDUP(BU181/BN181,0)</f>
        <v/>
      </c>
      <c r="BY181" s="58">
        <f>IF(BO181=1,0,IFERROR(VLOOKUP(BM181,'Gebinde-Kategorie'!$A$5:$G$45,5,0)+0,0))</f>
        <v/>
      </c>
      <c r="BZ181" s="58">
        <f>IFERROR(IF(OR(BQ181=1,BQ181=2,BQ181=3),N(INDEX(Parameter!$I$5:$I$7,BQ181)),0),0)</f>
        <v/>
      </c>
    </row>
    <row r="182">
      <c r="A182" s="53" t="inlineStr">
        <is>
          <t>112023</t>
        </is>
      </c>
      <c r="B182" s="53" t="inlineStr">
        <is>
          <t>Entlüftungsrohr</t>
        </is>
      </c>
      <c r="C182" s="53" t="inlineStr">
        <is>
          <t>F</t>
        </is>
      </c>
      <c r="D182" s="53" t="inlineStr">
        <is>
          <t>KTL</t>
        </is>
      </c>
      <c r="E182" s="53" t="inlineStr">
        <is>
          <t>C</t>
        </is>
      </c>
      <c r="F182" s="54" t="n">
        <v>66.53</v>
      </c>
      <c r="G182" s="55">
        <f>MAX(0,IF(Parameter!$B$20="Jahresanfang 2025 + Export",BG182+BF182,BF182))</f>
        <v/>
      </c>
      <c r="H182" s="55">
        <f>G182*F182</f>
        <v/>
      </c>
      <c r="I182" s="55">
        <f>BI182*Parameter!$B$18</f>
        <v/>
      </c>
      <c r="J182" s="56" t="n">
        <v>0</v>
      </c>
      <c r="K182" s="57" t="n">
        <v>0</v>
      </c>
      <c r="L182" s="55" t="n">
        <v>0</v>
      </c>
      <c r="M182" s="55" t="n">
        <v>1</v>
      </c>
      <c r="N182" s="58" t="n">
        <v>9999</v>
      </c>
      <c r="O182" s="53" t="inlineStr">
        <is>
          <t>LOSE</t>
        </is>
      </c>
      <c r="P182" s="55" t="n"/>
      <c r="Q182" s="59">
        <f>IF(BO182=1,0,IFERROR(VLOOKUP(BM182,'Gebinde-Kategorie'!$A$5:$G$45,6,0)+0,0))</f>
        <v/>
      </c>
      <c r="R182" s="60" t="n"/>
      <c r="S182" s="61" t="n"/>
      <c r="T182" s="61" t="n"/>
      <c r="U182" s="53">
        <f>IF(A182="","",IF(IFERROR(VLOOKUP(D182,Parameter!$A$35:$C$64,2,0),"Nein")="2+3",IF(ISNUMBER(SEARCH("grosser Artikel",BJ182)),2,IFERROR(VLOOKUP(BM182,Parameter!$F$35:$G$64,2,0),2)),IF(OR(IFERROR(VLOOKUP(D182,Parameter!$A$35:$C$64,2,0),"Nein")="Nein",IFERROR(VLOOKUP(D182,Parameter!$A$35:$C$64,2,0),"Nein")=""),"-",VLOOKUP(D182,Parameter!$A$35:$C$64,2,0))))</f>
        <v/>
      </c>
      <c r="V182" s="61" t="n"/>
      <c r="W182" s="62" t="n"/>
      <c r="X182" s="55">
        <f>AM182</f>
        <v/>
      </c>
      <c r="Y182" s="55">
        <f>MAX(AM182,G182)</f>
        <v/>
      </c>
      <c r="Z182" s="63" t="n"/>
      <c r="AA182" s="55">
        <f>IF(LEFT(Cockpit!$C$5,1)="A",G182,IF(BT182=1,BU182,IF(LEFT(Cockpit!$C$5,1)="B",AE182,MAX(AE182,G182))))</f>
        <v/>
      </c>
      <c r="AB182" s="55">
        <f>IF(BO182=1,0,ROUNDUP(AA182/BN182,0))</f>
        <v/>
      </c>
      <c r="AC182" s="64">
        <f>IF(BO182=1,IF(AA182&lt;=0,0,BP182*MAX(1,IF(G182&gt;0,AA182/G182,1))),AB182*Q182)</f>
        <v/>
      </c>
      <c r="AD182" s="55">
        <f>AA182*F182</f>
        <v/>
      </c>
      <c r="AE182" s="55">
        <f>ROUNDUP(MAX(I182/IF(BS182&gt;0,BS182,MAX(0.1,N(Cockpit!$C$6))),BV182)/BN182,0)*BN182</f>
        <v/>
      </c>
      <c r="AF182" s="56">
        <f>IF(AC182&gt;0,I182/AC182,-1)</f>
        <v/>
      </c>
      <c r="AG182" s="56">
        <f>IF(AND(OR(BR182="L1",BR182="L23"),AC182&gt;0),SUMIFS($AC$7:$AC$1570,$BR$7:$BR$1570,BR182,$AF$7:$AF$1570,"&gt;"&amp;AF182)+SUMIFS($AC$7:$AC$1570,$BR$7:$BR$1570,BR182,$AF$7:$AF$1570,AF182,$BL$7:$BL$1570,"&lt;="&amp;BL182),"")</f>
        <v/>
      </c>
      <c r="AH182" s="65">
        <f>IF(AG182="",0,MAX(0,MIN(1,(IF(BR182="L1",Parameter!$K$5,Parameter!$K$6+Parameter!$K$7)-(AG182-AC182))/AC182)))</f>
        <v/>
      </c>
      <c r="AI182" s="55">
        <f>IF(LEFT(Cockpit!$I$5,1)="A",G182,IF(BT182=1,BU182,IF(LEFT(Cockpit!$I$5,1)="B",AM182,MAX(AM182,G182))))</f>
        <v/>
      </c>
      <c r="AJ182" s="55">
        <f>IF(BO182=1,0,ROUNDUP(AI182/BN182,0))</f>
        <v/>
      </c>
      <c r="AK182" s="64">
        <f>IF(BO182=1,IF(AI182&lt;=0,0,BP182*MAX(1,IF(G182&gt;0,AI182/G182,1))),AJ182*Q182)</f>
        <v/>
      </c>
      <c r="AL182" s="55">
        <f>AI182*F182</f>
        <v/>
      </c>
      <c r="AM182" s="55">
        <f>ROUNDUP(MAX(I182/IF(BS182&gt;0,BS182,MAX(0.1,N(Cockpit!$I$6))),BV182)/BN182,0)*BN182</f>
        <v/>
      </c>
      <c r="AN182" s="56">
        <f>IF(AK182&gt;0,I182/AK182,-1)</f>
        <v/>
      </c>
      <c r="AO182" s="56">
        <f>IF(AND(OR(BR182="L1",BR182="L23"),AK182&gt;0),SUMIFS($AK$7:$AK$1570,$BR$7:$BR$1570,BR182,$AN$7:$AN$1570,"&gt;"&amp;AN182)+SUMIFS($AK$7:$AK$1570,$BR$7:$BR$1570,BR182,$AN$7:$AN$1570,AN182,$BL$7:$BL$1570,"&lt;="&amp;BL182),"")</f>
        <v/>
      </c>
      <c r="AP182" s="65">
        <f>IF(AO182="",0,MAX(0,MIN(1,(IF(BR182="L1",Parameter!$K$5,Parameter!$K$6+Parameter!$K$7)-(AO182-AK182))/AK182)))</f>
        <v/>
      </c>
      <c r="AQ182" s="55">
        <f>IF(LEFT(Cockpit!$O$5,1)="A",G182,IF(BT182=1,BU182,IF(LEFT(Cockpit!$O$5,1)="B",AU182,MAX(AU182,G182))))</f>
        <v/>
      </c>
      <c r="AR182" s="55">
        <f>IF(BO182=1,0,ROUNDUP(AQ182/BN182,0))</f>
        <v/>
      </c>
      <c r="AS182" s="64">
        <f>IF(BO182=1,IF(AQ182&lt;=0,0,BP182*MAX(1,IF(G182&gt;0,AQ182/G182,1))),AR182*Q182)</f>
        <v/>
      </c>
      <c r="AT182" s="55">
        <f>AQ182*F182</f>
        <v/>
      </c>
      <c r="AU182" s="55">
        <f>ROUNDUP(MAX(I182/IF(BS182&gt;0,BS182,MAX(0.1,N(Cockpit!$O$6))),BV182)/BN182,0)*BN182</f>
        <v/>
      </c>
      <c r="AV182" s="56">
        <f>IF(AS182&gt;0,I182/AS182,-1)</f>
        <v/>
      </c>
      <c r="AW182" s="56">
        <f>IF(AND(OR(BR182="L1",BR182="L23"),AS182&gt;0),SUMIFS($AS$7:$AS$1570,$BR$7:$BR$1570,BR182,$AV$7:$AV$1570,"&gt;"&amp;AV182)+SUMIFS($AS$7:$AS$1570,$BR$7:$BR$1570,BR182,$AV$7:$AV$1570,AV182,$BL$7:$BL$1570,"&lt;="&amp;BL182),"")</f>
        <v/>
      </c>
      <c r="AX182" s="65">
        <f>IF(AW182="",0,MAX(0,MIN(1,(IF(BR182="L1",Parameter!$K$5,Parameter!$K$6+Parameter!$K$7)-(AW182-AS182))/AS182)))</f>
        <v/>
      </c>
      <c r="AY182" s="53">
        <f>IF(AC182&lt;=0,"",IF(BR182="Aussen","Aussenlager",IF(BR182="-","Nicht im Lift",IF(AH182&gt;=1,"Lift",IF(AH182&lt;=0,"Aussenlager","teilweise")))))</f>
        <v/>
      </c>
      <c r="AZ182" s="53">
        <f>IF(AK182&lt;=0,"",IF(BR182="Aussen","Aussenlager",IF(BR182="-","Nicht im Lift",IF(AP182&gt;=1,"Lift",IF(AP182&lt;=0,"Aussenlager","teilweise")))))</f>
        <v/>
      </c>
      <c r="BA182" s="53">
        <f>IF(AS182&lt;=0,"",IF(BR182="Aussen","Aussenlager",IF(BR182="-","Nicht im Lift",IF(AX182&gt;=1,"Lift",IF(AX182&lt;=0,"Aussenlager","teilweise")))))</f>
        <v/>
      </c>
      <c r="BB182" s="53">
        <f>IF(A182="","",IF(BK182=1,"Neu; ","")&amp;IF(AND(BK182=0,BF182&lt;0),"negativer Bestand (Export "&amp;BF182&amp;"); ","")&amp;IF(I182&lt;=0,"Kein Verbrauch; ","")&amp;IF(BO182=1,"Lose – Fläche geschätzt; ","")&amp;IF(G182&gt;AM182,"Überbestand "&amp;ROUND(G182-AM182,0)&amp;" Stk / CHF "&amp;ROUND((G182-AM182)*F182,0)&amp;"; ","")&amp;IF(AND(BT182=1,BU182&lt;BV182),"MAX &lt; MB+LG; ","")&amp;IF(AND(BZ182&gt;0,BY182*10&gt;BZ182),"zu hoch für Tablar; ","")&amp;IF(AND(BK182=0,OR(BT182=1,V182&lt;&gt;"",S182&lt;&gt;"",T182&lt;&gt;"",W182&lt;&gt;"")),"manuell übersteuert; ","")&amp;IF(AND(BO182=0,Q182=0),"Gebinde unbekannt; ","")&amp;IF(AND(BO182=0,N(T182)&lt;=0,N(P182)&lt;=0),"Menge pro Gebinde fehlt (Ist = 1 Gebinde); ","")&amp;BJ182)</f>
        <v/>
      </c>
      <c r="BC182" s="53" t="n"/>
      <c r="BD182" s="53" t="n"/>
      <c r="BE182" s="61" t="n"/>
      <c r="BF182" s="55" t="n">
        <v>15</v>
      </c>
      <c r="BG182" s="55" t="n">
        <v>0</v>
      </c>
      <c r="BH182" s="54" t="n">
        <v>997.9500000000003</v>
      </c>
      <c r="BI182" s="55" t="n">
        <v>0</v>
      </c>
      <c r="BJ182" s="53" t="inlineStr"/>
      <c r="BK182" s="58" t="n">
        <v>0</v>
      </c>
      <c r="BL182" s="58" t="n">
        <v>182</v>
      </c>
      <c r="BM182" s="53">
        <f>IF(S182&lt;&gt;"",UPPER(TRIM(S182)),IF(O182="","LOSE",O182))</f>
        <v/>
      </c>
      <c r="BN182" s="55">
        <f>IF(BM182="LOSE",1,IF(N(T182)&gt;0,T182,IF(N(P182)&gt;0,P182,MAX(1,G182))))</f>
        <v/>
      </c>
      <c r="BO182" s="58">
        <f>IF(BM182="LOSE",1,0)</f>
        <v/>
      </c>
      <c r="BP182" s="64">
        <f>IF(BO182=0,0,IF(N(R182)&gt;0,R182,IFERROR(VLOOKUP(D182,Parameter!$A$35:$C$64,3,0)+0,0)))</f>
        <v/>
      </c>
      <c r="BQ182" s="53">
        <f>IF(V182&lt;&gt;"",V182,U182)</f>
        <v/>
      </c>
      <c r="BR182" s="53">
        <f>IF(BQ182=1,"L1",IF(OR(BQ182=2,BQ182=3),"L23",IF(BQ182="Aussen","Aussen","-")))</f>
        <v/>
      </c>
      <c r="BS182" s="66">
        <f>IF(N(W182)&gt;0,W182,0)</f>
        <v/>
      </c>
      <c r="BT182" s="58">
        <f>IF(ISNUMBER(Z182),1,0)</f>
        <v/>
      </c>
      <c r="BU182" s="55">
        <f>N(Z182)</f>
        <v/>
      </c>
      <c r="BV182" s="55">
        <f>N(L182)+N(M182)</f>
        <v/>
      </c>
      <c r="BW182" s="55">
        <f>ROUNDUP(G182/BN182,0)</f>
        <v/>
      </c>
      <c r="BX182" s="55">
        <f>ROUNDUP(BU182/BN182,0)</f>
        <v/>
      </c>
      <c r="BY182" s="58">
        <f>IF(BO182=1,0,IFERROR(VLOOKUP(BM182,'Gebinde-Kategorie'!$A$5:$G$45,5,0)+0,0))</f>
        <v/>
      </c>
      <c r="BZ182" s="58">
        <f>IFERROR(IF(OR(BQ182=1,BQ182=2,BQ182=3),N(INDEX(Parameter!$I$5:$I$7,BQ182)),0),0)</f>
        <v/>
      </c>
    </row>
    <row r="183">
      <c r="A183" s="53" t="inlineStr">
        <is>
          <t>100419</t>
        </is>
      </c>
      <c r="B183" s="53" t="inlineStr">
        <is>
          <t>Flammschutz</t>
        </is>
      </c>
      <c r="C183" s="53" t="inlineStr">
        <is>
          <t>F</t>
        </is>
      </c>
      <c r="D183" s="53" t="inlineStr">
        <is>
          <t>KTL</t>
        </is>
      </c>
      <c r="E183" s="53" t="inlineStr">
        <is>
          <t>C</t>
        </is>
      </c>
      <c r="F183" s="54" t="n">
        <v>16.3</v>
      </c>
      <c r="G183" s="55">
        <f>MAX(0,IF(Parameter!$B$20="Jahresanfang 2025 + Export",BG183+BF183,BF183))</f>
        <v/>
      </c>
      <c r="H183" s="55">
        <f>G183*F183</f>
        <v/>
      </c>
      <c r="I183" s="55">
        <f>BI183*Parameter!$B$18</f>
        <v/>
      </c>
      <c r="J183" s="56" t="n">
        <v>55.5</v>
      </c>
      <c r="K183" s="57" t="n">
        <v>5.045045045045045</v>
      </c>
      <c r="L183" s="55" t="n">
        <v>16</v>
      </c>
      <c r="M183" s="55" t="n">
        <v>100</v>
      </c>
      <c r="N183" s="58" t="n">
        <v>21</v>
      </c>
      <c r="O183" s="53" t="inlineStr">
        <is>
          <t>S51</t>
        </is>
      </c>
      <c r="P183" s="55" t="n">
        <v>112</v>
      </c>
      <c r="Q183" s="59">
        <f>IF(BO183=1,0,IFERROR(VLOOKUP(BM183,'Gebinde-Kategorie'!$A$5:$G$45,6,0)+0,0))</f>
        <v/>
      </c>
      <c r="R183" s="60" t="n"/>
      <c r="S183" s="61" t="n"/>
      <c r="T183" s="61" t="n"/>
      <c r="U183" s="53">
        <f>IF(A183="","",IF(IFERROR(VLOOKUP(D183,Parameter!$A$35:$C$64,2,0),"Nein")="2+3",IF(ISNUMBER(SEARCH("grosser Artikel",BJ183)),2,IFERROR(VLOOKUP(BM183,Parameter!$F$35:$G$64,2,0),2)),IF(OR(IFERROR(VLOOKUP(D183,Parameter!$A$35:$C$64,2,0),"Nein")="Nein",IFERROR(VLOOKUP(D183,Parameter!$A$35:$C$64,2,0),"Nein")=""),"-",VLOOKUP(D183,Parameter!$A$35:$C$64,2,0))))</f>
        <v/>
      </c>
      <c r="V183" s="61" t="n"/>
      <c r="W183" s="62" t="n"/>
      <c r="X183" s="55">
        <f>AM183</f>
        <v/>
      </c>
      <c r="Y183" s="55">
        <f>MAX(AM183,G183)</f>
        <v/>
      </c>
      <c r="Z183" s="63" t="n"/>
      <c r="AA183" s="55">
        <f>IF(LEFT(Cockpit!$C$5,1)="A",G183,IF(BT183=1,BU183,IF(LEFT(Cockpit!$C$5,1)="B",AE183,MAX(AE183,G183))))</f>
        <v/>
      </c>
      <c r="AB183" s="55">
        <f>IF(BO183=1,0,ROUNDUP(AA183/BN183,0))</f>
        <v/>
      </c>
      <c r="AC183" s="64">
        <f>IF(BO183=1,IF(AA183&lt;=0,0,BP183*MAX(1,IF(G183&gt;0,AA183/G183,1))),AB183*Q183)</f>
        <v/>
      </c>
      <c r="AD183" s="55">
        <f>AA183*F183</f>
        <v/>
      </c>
      <c r="AE183" s="55">
        <f>ROUNDUP(MAX(I183/IF(BS183&gt;0,BS183,MAX(0.1,N(Cockpit!$C$6))),BV183)/BN183,0)*BN183</f>
        <v/>
      </c>
      <c r="AF183" s="56">
        <f>IF(AC183&gt;0,I183/AC183,-1)</f>
        <v/>
      </c>
      <c r="AG183" s="56">
        <f>IF(AND(OR(BR183="L1",BR183="L23"),AC183&gt;0),SUMIFS($AC$7:$AC$1570,$BR$7:$BR$1570,BR183,$AF$7:$AF$1570,"&gt;"&amp;AF183)+SUMIFS($AC$7:$AC$1570,$BR$7:$BR$1570,BR183,$AF$7:$AF$1570,AF183,$BL$7:$BL$1570,"&lt;="&amp;BL183),"")</f>
        <v/>
      </c>
      <c r="AH183" s="65">
        <f>IF(AG183="",0,MAX(0,MIN(1,(IF(BR183="L1",Parameter!$K$5,Parameter!$K$6+Parameter!$K$7)-(AG183-AC183))/AC183)))</f>
        <v/>
      </c>
      <c r="AI183" s="55">
        <f>IF(LEFT(Cockpit!$I$5,1)="A",G183,IF(BT183=1,BU183,IF(LEFT(Cockpit!$I$5,1)="B",AM183,MAX(AM183,G183))))</f>
        <v/>
      </c>
      <c r="AJ183" s="55">
        <f>IF(BO183=1,0,ROUNDUP(AI183/BN183,0))</f>
        <v/>
      </c>
      <c r="AK183" s="64">
        <f>IF(BO183=1,IF(AI183&lt;=0,0,BP183*MAX(1,IF(G183&gt;0,AI183/G183,1))),AJ183*Q183)</f>
        <v/>
      </c>
      <c r="AL183" s="55">
        <f>AI183*F183</f>
        <v/>
      </c>
      <c r="AM183" s="55">
        <f>ROUNDUP(MAX(I183/IF(BS183&gt;0,BS183,MAX(0.1,N(Cockpit!$I$6))),BV183)/BN183,0)*BN183</f>
        <v/>
      </c>
      <c r="AN183" s="56">
        <f>IF(AK183&gt;0,I183/AK183,-1)</f>
        <v/>
      </c>
      <c r="AO183" s="56">
        <f>IF(AND(OR(BR183="L1",BR183="L23"),AK183&gt;0),SUMIFS($AK$7:$AK$1570,$BR$7:$BR$1570,BR183,$AN$7:$AN$1570,"&gt;"&amp;AN183)+SUMIFS($AK$7:$AK$1570,$BR$7:$BR$1570,BR183,$AN$7:$AN$1570,AN183,$BL$7:$BL$1570,"&lt;="&amp;BL183),"")</f>
        <v/>
      </c>
      <c r="AP183" s="65">
        <f>IF(AO183="",0,MAX(0,MIN(1,(IF(BR183="L1",Parameter!$K$5,Parameter!$K$6+Parameter!$K$7)-(AO183-AK183))/AK183)))</f>
        <v/>
      </c>
      <c r="AQ183" s="55">
        <f>IF(LEFT(Cockpit!$O$5,1)="A",G183,IF(BT183=1,BU183,IF(LEFT(Cockpit!$O$5,1)="B",AU183,MAX(AU183,G183))))</f>
        <v/>
      </c>
      <c r="AR183" s="55">
        <f>IF(BO183=1,0,ROUNDUP(AQ183/BN183,0))</f>
        <v/>
      </c>
      <c r="AS183" s="64">
        <f>IF(BO183=1,IF(AQ183&lt;=0,0,BP183*MAX(1,IF(G183&gt;0,AQ183/G183,1))),AR183*Q183)</f>
        <v/>
      </c>
      <c r="AT183" s="55">
        <f>AQ183*F183</f>
        <v/>
      </c>
      <c r="AU183" s="55">
        <f>ROUNDUP(MAX(I183/IF(BS183&gt;0,BS183,MAX(0.1,N(Cockpit!$O$6))),BV183)/BN183,0)*BN183</f>
        <v/>
      </c>
      <c r="AV183" s="56">
        <f>IF(AS183&gt;0,I183/AS183,-1)</f>
        <v/>
      </c>
      <c r="AW183" s="56">
        <f>IF(AND(OR(BR183="L1",BR183="L23"),AS183&gt;0),SUMIFS($AS$7:$AS$1570,$BR$7:$BR$1570,BR183,$AV$7:$AV$1570,"&gt;"&amp;AV183)+SUMIFS($AS$7:$AS$1570,$BR$7:$BR$1570,BR183,$AV$7:$AV$1570,AV183,$BL$7:$BL$1570,"&lt;="&amp;BL183),"")</f>
        <v/>
      </c>
      <c r="AX183" s="65">
        <f>IF(AW183="",0,MAX(0,MIN(1,(IF(BR183="L1",Parameter!$K$5,Parameter!$K$6+Parameter!$K$7)-(AW183-AS183))/AS183)))</f>
        <v/>
      </c>
      <c r="AY183" s="53">
        <f>IF(AC183&lt;=0,"",IF(BR183="Aussen","Aussenlager",IF(BR183="-","Nicht im Lift",IF(AH183&gt;=1,"Lift",IF(AH183&lt;=0,"Aussenlager","teilweise")))))</f>
        <v/>
      </c>
      <c r="AZ183" s="53">
        <f>IF(AK183&lt;=0,"",IF(BR183="Aussen","Aussenlager",IF(BR183="-","Nicht im Lift",IF(AP183&gt;=1,"Lift",IF(AP183&lt;=0,"Aussenlager","teilweise")))))</f>
        <v/>
      </c>
      <c r="BA183" s="53">
        <f>IF(AS183&lt;=0,"",IF(BR183="Aussen","Aussenlager",IF(BR183="-","Nicht im Lift",IF(AX183&gt;=1,"Lift",IF(AX183&lt;=0,"Aussenlager","teilweise")))))</f>
        <v/>
      </c>
      <c r="BB183" s="53">
        <f>IF(A183="","",IF(BK183=1,"Neu; ","")&amp;IF(AND(BK183=0,BF183&lt;0),"negativer Bestand (Export "&amp;BF183&amp;"); ","")&amp;IF(I183&lt;=0,"Kein Verbrauch; ","")&amp;IF(BO183=1,"Lose – Fläche geschätzt; ","")&amp;IF(G183&gt;AM183,"Überbestand "&amp;ROUND(G183-AM183,0)&amp;" Stk / CHF "&amp;ROUND((G183-AM183)*F183,0)&amp;"; ","")&amp;IF(AND(BT183=1,BU183&lt;BV183),"MAX &lt; MB+LG; ","")&amp;IF(AND(BZ183&gt;0,BY183*10&gt;BZ183),"zu hoch für Tablar; ","")&amp;IF(AND(BK183=0,OR(BT183=1,V183&lt;&gt;"",S183&lt;&gt;"",T183&lt;&gt;"",W183&lt;&gt;"")),"manuell übersteuert; ","")&amp;IF(AND(BO183=0,Q183=0),"Gebinde unbekannt; ","")&amp;IF(AND(BO183=0,N(T183)&lt;=0,N(P183)&lt;=0),"Menge pro Gebinde fehlt (Ist = 1 Gebinde); ","")&amp;BJ183)</f>
        <v/>
      </c>
      <c r="BC183" s="53" t="n"/>
      <c r="BD183" s="53" t="n"/>
      <c r="BE183" s="61" t="n"/>
      <c r="BF183" s="55" t="n">
        <v>77</v>
      </c>
      <c r="BG183" s="55" t="n">
        <v>45</v>
      </c>
      <c r="BH183" s="54" t="n">
        <v>995.9400000000001</v>
      </c>
      <c r="BI183" s="55" t="n">
        <v>280</v>
      </c>
      <c r="BJ183" s="53" t="inlineStr"/>
      <c r="BK183" s="58" t="n">
        <v>0</v>
      </c>
      <c r="BL183" s="58" t="n">
        <v>183</v>
      </c>
      <c r="BM183" s="53">
        <f>IF(S183&lt;&gt;"",UPPER(TRIM(S183)),IF(O183="","LOSE",O183))</f>
        <v/>
      </c>
      <c r="BN183" s="55">
        <f>IF(BM183="LOSE",1,IF(N(T183)&gt;0,T183,IF(N(P183)&gt;0,P183,MAX(1,G183))))</f>
        <v/>
      </c>
      <c r="BO183" s="58">
        <f>IF(BM183="LOSE",1,0)</f>
        <v/>
      </c>
      <c r="BP183" s="64">
        <f>IF(BO183=0,0,IF(N(R183)&gt;0,R183,IFERROR(VLOOKUP(D183,Parameter!$A$35:$C$64,3,0)+0,0)))</f>
        <v/>
      </c>
      <c r="BQ183" s="53">
        <f>IF(V183&lt;&gt;"",V183,U183)</f>
        <v/>
      </c>
      <c r="BR183" s="53">
        <f>IF(BQ183=1,"L1",IF(OR(BQ183=2,BQ183=3),"L23",IF(BQ183="Aussen","Aussen","-")))</f>
        <v/>
      </c>
      <c r="BS183" s="66">
        <f>IF(N(W183)&gt;0,W183,0)</f>
        <v/>
      </c>
      <c r="BT183" s="58">
        <f>IF(ISNUMBER(Z183),1,0)</f>
        <v/>
      </c>
      <c r="BU183" s="55">
        <f>N(Z183)</f>
        <v/>
      </c>
      <c r="BV183" s="55">
        <f>N(L183)+N(M183)</f>
        <v/>
      </c>
      <c r="BW183" s="55">
        <f>ROUNDUP(G183/BN183,0)</f>
        <v/>
      </c>
      <c r="BX183" s="55">
        <f>ROUNDUP(BU183/BN183,0)</f>
        <v/>
      </c>
      <c r="BY183" s="58">
        <f>IF(BO183=1,0,IFERROR(VLOOKUP(BM183,'Gebinde-Kategorie'!$A$5:$G$45,5,0)+0,0))</f>
        <v/>
      </c>
      <c r="BZ183" s="58">
        <f>IFERROR(IF(OR(BQ183=1,BQ183=2,BQ183=3),N(INDEX(Parameter!$I$5:$I$7,BQ183)),0),0)</f>
        <v/>
      </c>
    </row>
    <row r="184">
      <c r="A184" s="53" t="inlineStr">
        <is>
          <t>104210</t>
        </is>
      </c>
      <c r="B184" s="53" t="inlineStr">
        <is>
          <t>Temperatursensor mit Stecker</t>
        </is>
      </c>
      <c r="C184" s="53" t="inlineStr">
        <is>
          <t>F</t>
        </is>
      </c>
      <c r="D184" s="53" t="inlineStr">
        <is>
          <t>PAL</t>
        </is>
      </c>
      <c r="E184" s="53" t="inlineStr">
        <is>
          <t>C</t>
        </is>
      </c>
      <c r="F184" s="54" t="n">
        <v>159.24</v>
      </c>
      <c r="G184" s="55">
        <f>MAX(0,IF(Parameter!$B$20="Jahresanfang 2025 + Export",BG184+BF184,BF184))</f>
        <v/>
      </c>
      <c r="H184" s="55">
        <f>G184*F184</f>
        <v/>
      </c>
      <c r="I184" s="55">
        <f>BI184*Parameter!$B$18</f>
        <v/>
      </c>
      <c r="J184" s="56" t="n">
        <v>6.5</v>
      </c>
      <c r="K184" s="57" t="n">
        <v>0</v>
      </c>
      <c r="L184" s="55" t="n">
        <v>0</v>
      </c>
      <c r="M184" s="55" t="n">
        <v>1</v>
      </c>
      <c r="N184" s="58" t="n">
        <v>70</v>
      </c>
      <c r="O184" s="53" t="inlineStr">
        <is>
          <t>S62</t>
        </is>
      </c>
      <c r="P184" s="55" t="n">
        <v>12</v>
      </c>
      <c r="Q184" s="59">
        <f>IF(BO184=1,0,IFERROR(VLOOKUP(BM184,'Gebinde-Kategorie'!$A$5:$G$45,6,0)+0,0))</f>
        <v/>
      </c>
      <c r="R184" s="60" t="n"/>
      <c r="S184" s="61" t="n"/>
      <c r="T184" s="61" t="n"/>
      <c r="U184" s="53">
        <f>IF(A184="","",IF(IFERROR(VLOOKUP(D184,Parameter!$A$35:$C$64,2,0),"Nein")="2+3",IF(ISNUMBER(SEARCH("grosser Artikel",BJ184)),2,IFERROR(VLOOKUP(BM184,Parameter!$F$35:$G$64,2,0),2)),IF(OR(IFERROR(VLOOKUP(D184,Parameter!$A$35:$C$64,2,0),"Nein")="Nein",IFERROR(VLOOKUP(D184,Parameter!$A$35:$C$64,2,0),"Nein")=""),"-",VLOOKUP(D184,Parameter!$A$35:$C$64,2,0))))</f>
        <v/>
      </c>
      <c r="V184" s="61" t="n"/>
      <c r="W184" s="62" t="n"/>
      <c r="X184" s="55">
        <f>AM184</f>
        <v/>
      </c>
      <c r="Y184" s="55">
        <f>MAX(AM184,G184)</f>
        <v/>
      </c>
      <c r="Z184" s="63" t="n"/>
      <c r="AA184" s="55">
        <f>IF(LEFT(Cockpit!$C$5,1)="A",G184,IF(BT184=1,BU184,IF(LEFT(Cockpit!$C$5,1)="B",AE184,MAX(AE184,G184))))</f>
        <v/>
      </c>
      <c r="AB184" s="55">
        <f>IF(BO184=1,0,ROUNDUP(AA184/BN184,0))</f>
        <v/>
      </c>
      <c r="AC184" s="64">
        <f>IF(BO184=1,IF(AA184&lt;=0,0,BP184*MAX(1,IF(G184&gt;0,AA184/G184,1))),AB184*Q184)</f>
        <v/>
      </c>
      <c r="AD184" s="55">
        <f>AA184*F184</f>
        <v/>
      </c>
      <c r="AE184" s="55">
        <f>ROUNDUP(MAX(I184/IF(BS184&gt;0,BS184,MAX(0.1,N(Cockpit!$C$6))),BV184)/BN184,0)*BN184</f>
        <v/>
      </c>
      <c r="AF184" s="56">
        <f>IF(AC184&gt;0,I184/AC184,-1)</f>
        <v/>
      </c>
      <c r="AG184" s="56">
        <f>IF(AND(OR(BR184="L1",BR184="L23"),AC184&gt;0),SUMIFS($AC$7:$AC$1570,$BR$7:$BR$1570,BR184,$AF$7:$AF$1570,"&gt;"&amp;AF184)+SUMIFS($AC$7:$AC$1570,$BR$7:$BR$1570,BR184,$AF$7:$AF$1570,AF184,$BL$7:$BL$1570,"&lt;="&amp;BL184),"")</f>
        <v/>
      </c>
      <c r="AH184" s="65">
        <f>IF(AG184="",0,MAX(0,MIN(1,(IF(BR184="L1",Parameter!$K$5,Parameter!$K$6+Parameter!$K$7)-(AG184-AC184))/AC184)))</f>
        <v/>
      </c>
      <c r="AI184" s="55">
        <f>IF(LEFT(Cockpit!$I$5,1)="A",G184,IF(BT184=1,BU184,IF(LEFT(Cockpit!$I$5,1)="B",AM184,MAX(AM184,G184))))</f>
        <v/>
      </c>
      <c r="AJ184" s="55">
        <f>IF(BO184=1,0,ROUNDUP(AI184/BN184,0))</f>
        <v/>
      </c>
      <c r="AK184" s="64">
        <f>IF(BO184=1,IF(AI184&lt;=0,0,BP184*MAX(1,IF(G184&gt;0,AI184/G184,1))),AJ184*Q184)</f>
        <v/>
      </c>
      <c r="AL184" s="55">
        <f>AI184*F184</f>
        <v/>
      </c>
      <c r="AM184" s="55">
        <f>ROUNDUP(MAX(I184/IF(BS184&gt;0,BS184,MAX(0.1,N(Cockpit!$I$6))),BV184)/BN184,0)*BN184</f>
        <v/>
      </c>
      <c r="AN184" s="56">
        <f>IF(AK184&gt;0,I184/AK184,-1)</f>
        <v/>
      </c>
      <c r="AO184" s="56">
        <f>IF(AND(OR(BR184="L1",BR184="L23"),AK184&gt;0),SUMIFS($AK$7:$AK$1570,$BR$7:$BR$1570,BR184,$AN$7:$AN$1570,"&gt;"&amp;AN184)+SUMIFS($AK$7:$AK$1570,$BR$7:$BR$1570,BR184,$AN$7:$AN$1570,AN184,$BL$7:$BL$1570,"&lt;="&amp;BL184),"")</f>
        <v/>
      </c>
      <c r="AP184" s="65">
        <f>IF(AO184="",0,MAX(0,MIN(1,(IF(BR184="L1",Parameter!$K$5,Parameter!$K$6+Parameter!$K$7)-(AO184-AK184))/AK184)))</f>
        <v/>
      </c>
      <c r="AQ184" s="55">
        <f>IF(LEFT(Cockpit!$O$5,1)="A",G184,IF(BT184=1,BU184,IF(LEFT(Cockpit!$O$5,1)="B",AU184,MAX(AU184,G184))))</f>
        <v/>
      </c>
      <c r="AR184" s="55">
        <f>IF(BO184=1,0,ROUNDUP(AQ184/BN184,0))</f>
        <v/>
      </c>
      <c r="AS184" s="64">
        <f>IF(BO184=1,IF(AQ184&lt;=0,0,BP184*MAX(1,IF(G184&gt;0,AQ184/G184,1))),AR184*Q184)</f>
        <v/>
      </c>
      <c r="AT184" s="55">
        <f>AQ184*F184</f>
        <v/>
      </c>
      <c r="AU184" s="55">
        <f>ROUNDUP(MAX(I184/IF(BS184&gt;0,BS184,MAX(0.1,N(Cockpit!$O$6))),BV184)/BN184,0)*BN184</f>
        <v/>
      </c>
      <c r="AV184" s="56">
        <f>IF(AS184&gt;0,I184/AS184,-1)</f>
        <v/>
      </c>
      <c r="AW184" s="56">
        <f>IF(AND(OR(BR184="L1",BR184="L23"),AS184&gt;0),SUMIFS($AS$7:$AS$1570,$BR$7:$BR$1570,BR184,$AV$7:$AV$1570,"&gt;"&amp;AV184)+SUMIFS($AS$7:$AS$1570,$BR$7:$BR$1570,BR184,$AV$7:$AV$1570,AV184,$BL$7:$BL$1570,"&lt;="&amp;BL184),"")</f>
        <v/>
      </c>
      <c r="AX184" s="65">
        <f>IF(AW184="",0,MAX(0,MIN(1,(IF(BR184="L1",Parameter!$K$5,Parameter!$K$6+Parameter!$K$7)-(AW184-AS184))/AS184)))</f>
        <v/>
      </c>
      <c r="AY184" s="53">
        <f>IF(AC184&lt;=0,"",IF(BR184="Aussen","Aussenlager",IF(BR184="-","Nicht im Lift",IF(AH184&gt;=1,"Lift",IF(AH184&lt;=0,"Aussenlager","teilweise")))))</f>
        <v/>
      </c>
      <c r="AZ184" s="53">
        <f>IF(AK184&lt;=0,"",IF(BR184="Aussen","Aussenlager",IF(BR184="-","Nicht im Lift",IF(AP184&gt;=1,"Lift",IF(AP184&lt;=0,"Aussenlager","teilweise")))))</f>
        <v/>
      </c>
      <c r="BA184" s="53">
        <f>IF(AS184&lt;=0,"",IF(BR184="Aussen","Aussenlager",IF(BR184="-","Nicht im Lift",IF(AX184&gt;=1,"Lift",IF(AX184&lt;=0,"Aussenlager","teilweise")))))</f>
        <v/>
      </c>
      <c r="BB184" s="53">
        <f>IF(A184="","",IF(BK184=1,"Neu; ","")&amp;IF(AND(BK184=0,BF184&lt;0),"negativer Bestand (Export "&amp;BF184&amp;"); ","")&amp;IF(I184&lt;=0,"Kein Verbrauch; ","")&amp;IF(BO184=1,"Lose – Fläche geschätzt; ","")&amp;IF(G184&gt;AM184,"Überbestand "&amp;ROUND(G184-AM184,0)&amp;" Stk / CHF "&amp;ROUND((G184-AM184)*F184,0)&amp;"; ","")&amp;IF(AND(BT184=1,BU184&lt;BV184),"MAX &lt; MB+LG; ","")&amp;IF(AND(BZ184&gt;0,BY184*10&gt;BZ184),"zu hoch für Tablar; ","")&amp;IF(AND(BK184=0,OR(BT184=1,V184&lt;&gt;"",S184&lt;&gt;"",T184&lt;&gt;"",W184&lt;&gt;"")),"manuell übersteuert; ","")&amp;IF(AND(BO184=0,Q184=0),"Gebinde unbekannt; ","")&amp;IF(AND(BO184=0,N(T184)&lt;=0,N(P184)&lt;=0),"Menge pro Gebinde fehlt (Ist = 1 Gebinde); ","")&amp;BJ184)</f>
        <v/>
      </c>
      <c r="BC184" s="53" t="n"/>
      <c r="BD184" s="53" t="n"/>
      <c r="BE184" s="61" t="n"/>
      <c r="BF184" s="55" t="n">
        <v>6</v>
      </c>
      <c r="BG184" s="55" t="n">
        <v>2</v>
      </c>
      <c r="BH184" s="54" t="n">
        <v>964.8599999999999</v>
      </c>
      <c r="BI184" s="55" t="n">
        <v>0</v>
      </c>
      <c r="BJ184" s="53" t="inlineStr">
        <is>
          <t>Überbestand</t>
        </is>
      </c>
      <c r="BK184" s="58" t="n">
        <v>0</v>
      </c>
      <c r="BL184" s="58" t="n">
        <v>184</v>
      </c>
      <c r="BM184" s="53">
        <f>IF(S184&lt;&gt;"",UPPER(TRIM(S184)),IF(O184="","LOSE",O184))</f>
        <v/>
      </c>
      <c r="BN184" s="55">
        <f>IF(BM184="LOSE",1,IF(N(T184)&gt;0,T184,IF(N(P184)&gt;0,P184,MAX(1,G184))))</f>
        <v/>
      </c>
      <c r="BO184" s="58">
        <f>IF(BM184="LOSE",1,0)</f>
        <v/>
      </c>
      <c r="BP184" s="64">
        <f>IF(BO184=0,0,IF(N(R184)&gt;0,R184,IFERROR(VLOOKUP(D184,Parameter!$A$35:$C$64,3,0)+0,0)))</f>
        <v/>
      </c>
      <c r="BQ184" s="53">
        <f>IF(V184&lt;&gt;"",V184,U184)</f>
        <v/>
      </c>
      <c r="BR184" s="53">
        <f>IF(BQ184=1,"L1",IF(OR(BQ184=2,BQ184=3),"L23",IF(BQ184="Aussen","Aussen","-")))</f>
        <v/>
      </c>
      <c r="BS184" s="66">
        <f>IF(N(W184)&gt;0,W184,0)</f>
        <v/>
      </c>
      <c r="BT184" s="58">
        <f>IF(ISNUMBER(Z184),1,0)</f>
        <v/>
      </c>
      <c r="BU184" s="55">
        <f>N(Z184)</f>
        <v/>
      </c>
      <c r="BV184" s="55">
        <f>N(L184)+N(M184)</f>
        <v/>
      </c>
      <c r="BW184" s="55">
        <f>ROUNDUP(G184/BN184,0)</f>
        <v/>
      </c>
      <c r="BX184" s="55">
        <f>ROUNDUP(BU184/BN184,0)</f>
        <v/>
      </c>
      <c r="BY184" s="58">
        <f>IF(BO184=1,0,IFERROR(VLOOKUP(BM184,'Gebinde-Kategorie'!$A$5:$G$45,5,0)+0,0))</f>
        <v/>
      </c>
      <c r="BZ184" s="58">
        <f>IFERROR(IF(OR(BQ184=1,BQ184=2,BQ184=3),N(INDEX(Parameter!$I$5:$I$7,BQ184)),0),0)</f>
        <v/>
      </c>
    </row>
    <row r="185">
      <c r="A185" s="53" t="inlineStr">
        <is>
          <t>109666</t>
        </is>
      </c>
      <c r="B185" s="53" t="inlineStr">
        <is>
          <t>Federflansch</t>
        </is>
      </c>
      <c r="C185" s="53" t="inlineStr">
        <is>
          <t>F</t>
        </is>
      </c>
      <c r="D185" s="53" t="inlineStr">
        <is>
          <t>PAL</t>
        </is>
      </c>
      <c r="E185" s="53" t="inlineStr">
        <is>
          <t>C</t>
        </is>
      </c>
      <c r="F185" s="54" t="n">
        <v>388.14</v>
      </c>
      <c r="G185" s="55">
        <f>MAX(0,IF(Parameter!$B$20="Jahresanfang 2025 + Export",BG185+BF185,BF185))</f>
        <v/>
      </c>
      <c r="H185" s="55">
        <f>G185*F185</f>
        <v/>
      </c>
      <c r="I185" s="55">
        <f>BI185*Parameter!$B$18</f>
        <v/>
      </c>
      <c r="J185" s="56" t="n">
        <v>3.5</v>
      </c>
      <c r="K185" s="57" t="n">
        <v>0.5714285714285714</v>
      </c>
      <c r="L185" s="55" t="n">
        <v>0</v>
      </c>
      <c r="M185" s="55" t="n">
        <v>1</v>
      </c>
      <c r="N185" s="58" t="n">
        <v>28</v>
      </c>
      <c r="O185" s="53" t="inlineStr">
        <is>
          <t>S71</t>
        </is>
      </c>
      <c r="P185" s="55" t="n">
        <v>5</v>
      </c>
      <c r="Q185" s="59">
        <f>IF(BO185=1,0,IFERROR(VLOOKUP(BM185,'Gebinde-Kategorie'!$A$5:$G$45,6,0)+0,0))</f>
        <v/>
      </c>
      <c r="R185" s="60" t="n"/>
      <c r="S185" s="61" t="n"/>
      <c r="T185" s="61" t="n"/>
      <c r="U185" s="53">
        <f>IF(A185="","",IF(IFERROR(VLOOKUP(D185,Parameter!$A$35:$C$64,2,0),"Nein")="2+3",IF(ISNUMBER(SEARCH("grosser Artikel",BJ185)),2,IFERROR(VLOOKUP(BM185,Parameter!$F$35:$G$64,2,0),2)),IF(OR(IFERROR(VLOOKUP(D185,Parameter!$A$35:$C$64,2,0),"Nein")="Nein",IFERROR(VLOOKUP(D185,Parameter!$A$35:$C$64,2,0),"Nein")=""),"-",VLOOKUP(D185,Parameter!$A$35:$C$64,2,0))))</f>
        <v/>
      </c>
      <c r="V185" s="61" t="n"/>
      <c r="W185" s="62" t="n"/>
      <c r="X185" s="55">
        <f>AM185</f>
        <v/>
      </c>
      <c r="Y185" s="55">
        <f>MAX(AM185,G185)</f>
        <v/>
      </c>
      <c r="Z185" s="63" t="n"/>
      <c r="AA185" s="55">
        <f>IF(LEFT(Cockpit!$C$5,1)="A",G185,IF(BT185=1,BU185,IF(LEFT(Cockpit!$C$5,1)="B",AE185,MAX(AE185,G185))))</f>
        <v/>
      </c>
      <c r="AB185" s="55">
        <f>IF(BO185=1,0,ROUNDUP(AA185/BN185,0))</f>
        <v/>
      </c>
      <c r="AC185" s="64">
        <f>IF(BO185=1,IF(AA185&lt;=0,0,BP185*MAX(1,IF(G185&gt;0,AA185/G185,1))),AB185*Q185)</f>
        <v/>
      </c>
      <c r="AD185" s="55">
        <f>AA185*F185</f>
        <v/>
      </c>
      <c r="AE185" s="55">
        <f>ROUNDUP(MAX(I185/IF(BS185&gt;0,BS185,MAX(0.1,N(Cockpit!$C$6))),BV185)/BN185,0)*BN185</f>
        <v/>
      </c>
      <c r="AF185" s="56">
        <f>IF(AC185&gt;0,I185/AC185,-1)</f>
        <v/>
      </c>
      <c r="AG185" s="56">
        <f>IF(AND(OR(BR185="L1",BR185="L23"),AC185&gt;0),SUMIFS($AC$7:$AC$1570,$BR$7:$BR$1570,BR185,$AF$7:$AF$1570,"&gt;"&amp;AF185)+SUMIFS($AC$7:$AC$1570,$BR$7:$BR$1570,BR185,$AF$7:$AF$1570,AF185,$BL$7:$BL$1570,"&lt;="&amp;BL185),"")</f>
        <v/>
      </c>
      <c r="AH185" s="65">
        <f>IF(AG185="",0,MAX(0,MIN(1,(IF(BR185="L1",Parameter!$K$5,Parameter!$K$6+Parameter!$K$7)-(AG185-AC185))/AC185)))</f>
        <v/>
      </c>
      <c r="AI185" s="55">
        <f>IF(LEFT(Cockpit!$I$5,1)="A",G185,IF(BT185=1,BU185,IF(LEFT(Cockpit!$I$5,1)="B",AM185,MAX(AM185,G185))))</f>
        <v/>
      </c>
      <c r="AJ185" s="55">
        <f>IF(BO185=1,0,ROUNDUP(AI185/BN185,0))</f>
        <v/>
      </c>
      <c r="AK185" s="64">
        <f>IF(BO185=1,IF(AI185&lt;=0,0,BP185*MAX(1,IF(G185&gt;0,AI185/G185,1))),AJ185*Q185)</f>
        <v/>
      </c>
      <c r="AL185" s="55">
        <f>AI185*F185</f>
        <v/>
      </c>
      <c r="AM185" s="55">
        <f>ROUNDUP(MAX(I185/IF(BS185&gt;0,BS185,MAX(0.1,N(Cockpit!$I$6))),BV185)/BN185,0)*BN185</f>
        <v/>
      </c>
      <c r="AN185" s="56">
        <f>IF(AK185&gt;0,I185/AK185,-1)</f>
        <v/>
      </c>
      <c r="AO185" s="56">
        <f>IF(AND(OR(BR185="L1",BR185="L23"),AK185&gt;0),SUMIFS($AK$7:$AK$1570,$BR$7:$BR$1570,BR185,$AN$7:$AN$1570,"&gt;"&amp;AN185)+SUMIFS($AK$7:$AK$1570,$BR$7:$BR$1570,BR185,$AN$7:$AN$1570,AN185,$BL$7:$BL$1570,"&lt;="&amp;BL185),"")</f>
        <v/>
      </c>
      <c r="AP185" s="65">
        <f>IF(AO185="",0,MAX(0,MIN(1,(IF(BR185="L1",Parameter!$K$5,Parameter!$K$6+Parameter!$K$7)-(AO185-AK185))/AK185)))</f>
        <v/>
      </c>
      <c r="AQ185" s="55">
        <f>IF(LEFT(Cockpit!$O$5,1)="A",G185,IF(BT185=1,BU185,IF(LEFT(Cockpit!$O$5,1)="B",AU185,MAX(AU185,G185))))</f>
        <v/>
      </c>
      <c r="AR185" s="55">
        <f>IF(BO185=1,0,ROUNDUP(AQ185/BN185,0))</f>
        <v/>
      </c>
      <c r="AS185" s="64">
        <f>IF(BO185=1,IF(AQ185&lt;=0,0,BP185*MAX(1,IF(G185&gt;0,AQ185/G185,1))),AR185*Q185)</f>
        <v/>
      </c>
      <c r="AT185" s="55">
        <f>AQ185*F185</f>
        <v/>
      </c>
      <c r="AU185" s="55">
        <f>ROUNDUP(MAX(I185/IF(BS185&gt;0,BS185,MAX(0.1,N(Cockpit!$O$6))),BV185)/BN185,0)*BN185</f>
        <v/>
      </c>
      <c r="AV185" s="56">
        <f>IF(AS185&gt;0,I185/AS185,-1)</f>
        <v/>
      </c>
      <c r="AW185" s="56">
        <f>IF(AND(OR(BR185="L1",BR185="L23"),AS185&gt;0),SUMIFS($AS$7:$AS$1570,$BR$7:$BR$1570,BR185,$AV$7:$AV$1570,"&gt;"&amp;AV185)+SUMIFS($AS$7:$AS$1570,$BR$7:$BR$1570,BR185,$AV$7:$AV$1570,AV185,$BL$7:$BL$1570,"&lt;="&amp;BL185),"")</f>
        <v/>
      </c>
      <c r="AX185" s="65">
        <f>IF(AW185="",0,MAX(0,MIN(1,(IF(BR185="L1",Parameter!$K$5,Parameter!$K$6+Parameter!$K$7)-(AW185-AS185))/AS185)))</f>
        <v/>
      </c>
      <c r="AY185" s="53">
        <f>IF(AC185&lt;=0,"",IF(BR185="Aussen","Aussenlager",IF(BR185="-","Nicht im Lift",IF(AH185&gt;=1,"Lift",IF(AH185&lt;=0,"Aussenlager","teilweise")))))</f>
        <v/>
      </c>
      <c r="AZ185" s="53">
        <f>IF(AK185&lt;=0,"",IF(BR185="Aussen","Aussenlager",IF(BR185="-","Nicht im Lift",IF(AP185&gt;=1,"Lift",IF(AP185&lt;=0,"Aussenlager","teilweise")))))</f>
        <v/>
      </c>
      <c r="BA185" s="53">
        <f>IF(AS185&lt;=0,"",IF(BR185="Aussen","Aussenlager",IF(BR185="-","Nicht im Lift",IF(AX185&gt;=1,"Lift",IF(AX185&lt;=0,"Aussenlager","teilweise")))))</f>
        <v/>
      </c>
      <c r="BB185" s="53">
        <f>IF(A185="","",IF(BK185=1,"Neu; ","")&amp;IF(AND(BK185=0,BF185&lt;0),"negativer Bestand (Export "&amp;BF185&amp;"); ","")&amp;IF(I185&lt;=0,"Kein Verbrauch; ","")&amp;IF(BO185=1,"Lose – Fläche geschätzt; ","")&amp;IF(G185&gt;AM185,"Überbestand "&amp;ROUND(G185-AM185,0)&amp;" Stk / CHF "&amp;ROUND((G185-AM185)*F185,0)&amp;"; ","")&amp;IF(AND(BT185=1,BU185&lt;BV185),"MAX &lt; MB+LG; ","")&amp;IF(AND(BZ185&gt;0,BY185*10&gt;BZ185),"zu hoch für Tablar; ","")&amp;IF(AND(BK185=0,OR(BT185=1,V185&lt;&gt;"",S185&lt;&gt;"",T185&lt;&gt;"",W185&lt;&gt;"")),"manuell übersteuert; ","")&amp;IF(AND(BO185=0,Q185=0),"Gebinde unbekannt; ","")&amp;IF(AND(BO185=0,N(T185)&lt;=0,N(P185)&lt;=0),"Menge pro Gebinde fehlt (Ist = 1 Gebinde); ","")&amp;BJ185)</f>
        <v/>
      </c>
      <c r="BC185" s="53" t="n"/>
      <c r="BD185" s="53" t="n"/>
      <c r="BE185" s="61" t="n"/>
      <c r="BF185" s="55" t="n">
        <v>3</v>
      </c>
      <c r="BG185" s="55" t="n">
        <v>2</v>
      </c>
      <c r="BH185" s="54" t="n">
        <v>958.7000000000005</v>
      </c>
      <c r="BI185" s="55" t="n">
        <v>2</v>
      </c>
      <c r="BJ185" s="53" t="inlineStr"/>
      <c r="BK185" s="58" t="n">
        <v>0</v>
      </c>
      <c r="BL185" s="58" t="n">
        <v>185</v>
      </c>
      <c r="BM185" s="53">
        <f>IF(S185&lt;&gt;"",UPPER(TRIM(S185)),IF(O185="","LOSE",O185))</f>
        <v/>
      </c>
      <c r="BN185" s="55">
        <f>IF(BM185="LOSE",1,IF(N(T185)&gt;0,T185,IF(N(P185)&gt;0,P185,MAX(1,G185))))</f>
        <v/>
      </c>
      <c r="BO185" s="58">
        <f>IF(BM185="LOSE",1,0)</f>
        <v/>
      </c>
      <c r="BP185" s="64">
        <f>IF(BO185=0,0,IF(N(R185)&gt;0,R185,IFERROR(VLOOKUP(D185,Parameter!$A$35:$C$64,3,0)+0,0)))</f>
        <v/>
      </c>
      <c r="BQ185" s="53">
        <f>IF(V185&lt;&gt;"",V185,U185)</f>
        <v/>
      </c>
      <c r="BR185" s="53">
        <f>IF(BQ185=1,"L1",IF(OR(BQ185=2,BQ185=3),"L23",IF(BQ185="Aussen","Aussen","-")))</f>
        <v/>
      </c>
      <c r="BS185" s="66">
        <f>IF(N(W185)&gt;0,W185,0)</f>
        <v/>
      </c>
      <c r="BT185" s="58">
        <f>IF(ISNUMBER(Z185),1,0)</f>
        <v/>
      </c>
      <c r="BU185" s="55">
        <f>N(Z185)</f>
        <v/>
      </c>
      <c r="BV185" s="55">
        <f>N(L185)+N(M185)</f>
        <v/>
      </c>
      <c r="BW185" s="55">
        <f>ROUNDUP(G185/BN185,0)</f>
        <v/>
      </c>
      <c r="BX185" s="55">
        <f>ROUNDUP(BU185/BN185,0)</f>
        <v/>
      </c>
      <c r="BY185" s="58">
        <f>IF(BO185=1,0,IFERROR(VLOOKUP(BM185,'Gebinde-Kategorie'!$A$5:$G$45,5,0)+0,0))</f>
        <v/>
      </c>
      <c r="BZ185" s="58">
        <f>IFERROR(IF(OR(BQ185=1,BQ185=2,BQ185=3),N(INDEX(Parameter!$I$5:$I$7,BQ185)),0),0)</f>
        <v/>
      </c>
    </row>
    <row r="186">
      <c r="A186" s="53" t="inlineStr">
        <is>
          <t>109147</t>
        </is>
      </c>
      <c r="B186" s="53" t="inlineStr">
        <is>
          <t>Druckregler</t>
        </is>
      </c>
      <c r="C186" s="53" t="inlineStr">
        <is>
          <t>F</t>
        </is>
      </c>
      <c r="D186" s="53" t="inlineStr">
        <is>
          <t>KTL</t>
        </is>
      </c>
      <c r="E186" s="53" t="inlineStr">
        <is>
          <t>C</t>
        </is>
      </c>
      <c r="F186" s="54" t="n">
        <v>428.28</v>
      </c>
      <c r="G186" s="55">
        <f>MAX(0,IF(Parameter!$B$20="Jahresanfang 2025 + Export",BG186+BF186,BF186))</f>
        <v/>
      </c>
      <c r="H186" s="55">
        <f>G186*F186</f>
        <v/>
      </c>
      <c r="I186" s="55">
        <f>BI186*Parameter!$B$18</f>
        <v/>
      </c>
      <c r="J186" s="56" t="n">
        <v>5</v>
      </c>
      <c r="K186" s="57" t="n">
        <v>1.6</v>
      </c>
      <c r="L186" s="55" t="n">
        <v>10</v>
      </c>
      <c r="M186" s="55" t="n">
        <v>5</v>
      </c>
      <c r="N186" s="58" t="n">
        <v>35</v>
      </c>
      <c r="O186" s="53" t="inlineStr">
        <is>
          <t>LOSE</t>
        </is>
      </c>
      <c r="P186" s="55" t="n"/>
      <c r="Q186" s="59">
        <f>IF(BO186=1,0,IFERROR(VLOOKUP(BM186,'Gebinde-Kategorie'!$A$5:$G$45,6,0)+0,0))</f>
        <v/>
      </c>
      <c r="R186" s="60" t="n"/>
      <c r="S186" s="61" t="n"/>
      <c r="T186" s="61" t="n"/>
      <c r="U186" s="53">
        <f>IF(A186="","",IF(IFERROR(VLOOKUP(D186,Parameter!$A$35:$C$64,2,0),"Nein")="2+3",IF(ISNUMBER(SEARCH("grosser Artikel",BJ186)),2,IFERROR(VLOOKUP(BM186,Parameter!$F$35:$G$64,2,0),2)),IF(OR(IFERROR(VLOOKUP(D186,Parameter!$A$35:$C$64,2,0),"Nein")="Nein",IFERROR(VLOOKUP(D186,Parameter!$A$35:$C$64,2,0),"Nein")=""),"-",VLOOKUP(D186,Parameter!$A$35:$C$64,2,0))))</f>
        <v/>
      </c>
      <c r="V186" s="61" t="n"/>
      <c r="W186" s="62" t="n"/>
      <c r="X186" s="55">
        <f>AM186</f>
        <v/>
      </c>
      <c r="Y186" s="55">
        <f>MAX(AM186,G186)</f>
        <v/>
      </c>
      <c r="Z186" s="63" t="n"/>
      <c r="AA186" s="55">
        <f>IF(LEFT(Cockpit!$C$5,1)="A",G186,IF(BT186=1,BU186,IF(LEFT(Cockpit!$C$5,1)="B",AE186,MAX(AE186,G186))))</f>
        <v/>
      </c>
      <c r="AB186" s="55">
        <f>IF(BO186=1,0,ROUNDUP(AA186/BN186,0))</f>
        <v/>
      </c>
      <c r="AC186" s="64">
        <f>IF(BO186=1,IF(AA186&lt;=0,0,BP186*MAX(1,IF(G186&gt;0,AA186/G186,1))),AB186*Q186)</f>
        <v/>
      </c>
      <c r="AD186" s="55">
        <f>AA186*F186</f>
        <v/>
      </c>
      <c r="AE186" s="55">
        <f>ROUNDUP(MAX(I186/IF(BS186&gt;0,BS186,MAX(0.1,N(Cockpit!$C$6))),BV186)/BN186,0)*BN186</f>
        <v/>
      </c>
      <c r="AF186" s="56">
        <f>IF(AC186&gt;0,I186/AC186,-1)</f>
        <v/>
      </c>
      <c r="AG186" s="56">
        <f>IF(AND(OR(BR186="L1",BR186="L23"),AC186&gt;0),SUMIFS($AC$7:$AC$1570,$BR$7:$BR$1570,BR186,$AF$7:$AF$1570,"&gt;"&amp;AF186)+SUMIFS($AC$7:$AC$1570,$BR$7:$BR$1570,BR186,$AF$7:$AF$1570,AF186,$BL$7:$BL$1570,"&lt;="&amp;BL186),"")</f>
        <v/>
      </c>
      <c r="AH186" s="65">
        <f>IF(AG186="",0,MAX(0,MIN(1,(IF(BR186="L1",Parameter!$K$5,Parameter!$K$6+Parameter!$K$7)-(AG186-AC186))/AC186)))</f>
        <v/>
      </c>
      <c r="AI186" s="55">
        <f>IF(LEFT(Cockpit!$I$5,1)="A",G186,IF(BT186=1,BU186,IF(LEFT(Cockpit!$I$5,1)="B",AM186,MAX(AM186,G186))))</f>
        <v/>
      </c>
      <c r="AJ186" s="55">
        <f>IF(BO186=1,0,ROUNDUP(AI186/BN186,0))</f>
        <v/>
      </c>
      <c r="AK186" s="64">
        <f>IF(BO186=1,IF(AI186&lt;=0,0,BP186*MAX(1,IF(G186&gt;0,AI186/G186,1))),AJ186*Q186)</f>
        <v/>
      </c>
      <c r="AL186" s="55">
        <f>AI186*F186</f>
        <v/>
      </c>
      <c r="AM186" s="55">
        <f>ROUNDUP(MAX(I186/IF(BS186&gt;0,BS186,MAX(0.1,N(Cockpit!$I$6))),BV186)/BN186,0)*BN186</f>
        <v/>
      </c>
      <c r="AN186" s="56">
        <f>IF(AK186&gt;0,I186/AK186,-1)</f>
        <v/>
      </c>
      <c r="AO186" s="56">
        <f>IF(AND(OR(BR186="L1",BR186="L23"),AK186&gt;0),SUMIFS($AK$7:$AK$1570,$BR$7:$BR$1570,BR186,$AN$7:$AN$1570,"&gt;"&amp;AN186)+SUMIFS($AK$7:$AK$1570,$BR$7:$BR$1570,BR186,$AN$7:$AN$1570,AN186,$BL$7:$BL$1570,"&lt;="&amp;BL186),"")</f>
        <v/>
      </c>
      <c r="AP186" s="65">
        <f>IF(AO186="",0,MAX(0,MIN(1,(IF(BR186="L1",Parameter!$K$5,Parameter!$K$6+Parameter!$K$7)-(AO186-AK186))/AK186)))</f>
        <v/>
      </c>
      <c r="AQ186" s="55">
        <f>IF(LEFT(Cockpit!$O$5,1)="A",G186,IF(BT186=1,BU186,IF(LEFT(Cockpit!$O$5,1)="B",AU186,MAX(AU186,G186))))</f>
        <v/>
      </c>
      <c r="AR186" s="55">
        <f>IF(BO186=1,0,ROUNDUP(AQ186/BN186,0))</f>
        <v/>
      </c>
      <c r="AS186" s="64">
        <f>IF(BO186=1,IF(AQ186&lt;=0,0,BP186*MAX(1,IF(G186&gt;0,AQ186/G186,1))),AR186*Q186)</f>
        <v/>
      </c>
      <c r="AT186" s="55">
        <f>AQ186*F186</f>
        <v/>
      </c>
      <c r="AU186" s="55">
        <f>ROUNDUP(MAX(I186/IF(BS186&gt;0,BS186,MAX(0.1,N(Cockpit!$O$6))),BV186)/BN186,0)*BN186</f>
        <v/>
      </c>
      <c r="AV186" s="56">
        <f>IF(AS186&gt;0,I186/AS186,-1)</f>
        <v/>
      </c>
      <c r="AW186" s="56">
        <f>IF(AND(OR(BR186="L1",BR186="L23"),AS186&gt;0),SUMIFS($AS$7:$AS$1570,$BR$7:$BR$1570,BR186,$AV$7:$AV$1570,"&gt;"&amp;AV186)+SUMIFS($AS$7:$AS$1570,$BR$7:$BR$1570,BR186,$AV$7:$AV$1570,AV186,$BL$7:$BL$1570,"&lt;="&amp;BL186),"")</f>
        <v/>
      </c>
      <c r="AX186" s="65">
        <f>IF(AW186="",0,MAX(0,MIN(1,(IF(BR186="L1",Parameter!$K$5,Parameter!$K$6+Parameter!$K$7)-(AW186-AS186))/AS186)))</f>
        <v/>
      </c>
      <c r="AY186" s="53">
        <f>IF(AC186&lt;=0,"",IF(BR186="Aussen","Aussenlager",IF(BR186="-","Nicht im Lift",IF(AH186&gt;=1,"Lift",IF(AH186&lt;=0,"Aussenlager","teilweise")))))</f>
        <v/>
      </c>
      <c r="AZ186" s="53">
        <f>IF(AK186&lt;=0,"",IF(BR186="Aussen","Aussenlager",IF(BR186="-","Nicht im Lift",IF(AP186&gt;=1,"Lift",IF(AP186&lt;=0,"Aussenlager","teilweise")))))</f>
        <v/>
      </c>
      <c r="BA186" s="53">
        <f>IF(AS186&lt;=0,"",IF(BR186="Aussen","Aussenlager",IF(BR186="-","Nicht im Lift",IF(AX186&gt;=1,"Lift",IF(AX186&lt;=0,"Aussenlager","teilweise")))))</f>
        <v/>
      </c>
      <c r="BB186" s="53">
        <f>IF(A186="","",IF(BK186=1,"Neu; ","")&amp;IF(AND(BK186=0,BF186&lt;0),"negativer Bestand (Export "&amp;BF186&amp;"); ","")&amp;IF(I186&lt;=0,"Kein Verbrauch; ","")&amp;IF(BO186=1,"Lose – Fläche geschätzt; ","")&amp;IF(G186&gt;AM186,"Überbestand "&amp;ROUND(G186-AM186,0)&amp;" Stk / CHF "&amp;ROUND((G186-AM186)*F186,0)&amp;"; ","")&amp;IF(AND(BT186=1,BU186&lt;BV186),"MAX &lt; MB+LG; ","")&amp;IF(AND(BZ186&gt;0,BY186*10&gt;BZ186),"zu hoch für Tablar; ","")&amp;IF(AND(BK186=0,OR(BT186=1,V186&lt;&gt;"",S186&lt;&gt;"",T186&lt;&gt;"",W186&lt;&gt;"")),"manuell übersteuert; ","")&amp;IF(AND(BO186=0,Q186=0),"Gebinde unbekannt; ","")&amp;IF(AND(BO186=0,N(T186)&lt;=0,N(P186)&lt;=0),"Menge pro Gebinde fehlt (Ist = 1 Gebinde); ","")&amp;BJ186)</f>
        <v/>
      </c>
      <c r="BC186" s="53" t="n"/>
      <c r="BD186" s="53" t="n"/>
      <c r="BE186" s="61" t="n"/>
      <c r="BF186" s="55" t="n">
        <v>2</v>
      </c>
      <c r="BG186" s="55" t="n">
        <v>7</v>
      </c>
      <c r="BH186" s="54" t="n">
        <v>957.9900000000011</v>
      </c>
      <c r="BI186" s="55" t="n">
        <v>8</v>
      </c>
      <c r="BJ186" s="53" t="inlineStr"/>
      <c r="BK186" s="58" t="n">
        <v>0</v>
      </c>
      <c r="BL186" s="58" t="n">
        <v>186</v>
      </c>
      <c r="BM186" s="53">
        <f>IF(S186&lt;&gt;"",UPPER(TRIM(S186)),IF(O186="","LOSE",O186))</f>
        <v/>
      </c>
      <c r="BN186" s="55">
        <f>IF(BM186="LOSE",1,IF(N(T186)&gt;0,T186,IF(N(P186)&gt;0,P186,MAX(1,G186))))</f>
        <v/>
      </c>
      <c r="BO186" s="58">
        <f>IF(BM186="LOSE",1,0)</f>
        <v/>
      </c>
      <c r="BP186" s="64">
        <f>IF(BO186=0,0,IF(N(R186)&gt;0,R186,IFERROR(VLOOKUP(D186,Parameter!$A$35:$C$64,3,0)+0,0)))</f>
        <v/>
      </c>
      <c r="BQ186" s="53">
        <f>IF(V186&lt;&gt;"",V186,U186)</f>
        <v/>
      </c>
      <c r="BR186" s="53">
        <f>IF(BQ186=1,"L1",IF(OR(BQ186=2,BQ186=3),"L23",IF(BQ186="Aussen","Aussen","-")))</f>
        <v/>
      </c>
      <c r="BS186" s="66">
        <f>IF(N(W186)&gt;0,W186,0)</f>
        <v/>
      </c>
      <c r="BT186" s="58">
        <f>IF(ISNUMBER(Z186),1,0)</f>
        <v/>
      </c>
      <c r="BU186" s="55">
        <f>N(Z186)</f>
        <v/>
      </c>
      <c r="BV186" s="55">
        <f>N(L186)+N(M186)</f>
        <v/>
      </c>
      <c r="BW186" s="55">
        <f>ROUNDUP(G186/BN186,0)</f>
        <v/>
      </c>
      <c r="BX186" s="55">
        <f>ROUNDUP(BU186/BN186,0)</f>
        <v/>
      </c>
      <c r="BY186" s="58">
        <f>IF(BO186=1,0,IFERROR(VLOOKUP(BM186,'Gebinde-Kategorie'!$A$5:$G$45,5,0)+0,0))</f>
        <v/>
      </c>
      <c r="BZ186" s="58">
        <f>IFERROR(IF(OR(BQ186=1,BQ186=2,BQ186=3),N(INDEX(Parameter!$I$5:$I$7,BQ186)),0),0)</f>
        <v/>
      </c>
    </row>
    <row r="187">
      <c r="A187" s="53" t="inlineStr">
        <is>
          <t>106629</t>
        </is>
      </c>
      <c r="B187" s="53" t="inlineStr">
        <is>
          <t>Leiste zu SPGr10</t>
        </is>
      </c>
      <c r="C187" s="53" t="inlineStr">
        <is>
          <t>F</t>
        </is>
      </c>
      <c r="D187" s="53" t="inlineStr">
        <is>
          <t>PAL</t>
        </is>
      </c>
      <c r="E187" s="53" t="inlineStr">
        <is>
          <t>C</t>
        </is>
      </c>
      <c r="F187" s="54" t="n">
        <v>227.72</v>
      </c>
      <c r="G187" s="55">
        <f>MAX(0,IF(Parameter!$B$20="Jahresanfang 2025 + Export",BG187+BF187,BF187))</f>
        <v/>
      </c>
      <c r="H187" s="55">
        <f>G187*F187</f>
        <v/>
      </c>
      <c r="I187" s="55">
        <f>BI187*Parameter!$B$18</f>
        <v/>
      </c>
      <c r="J187" s="56" t="n">
        <v>19</v>
      </c>
      <c r="K187" s="57" t="n">
        <v>1.526315789473684</v>
      </c>
      <c r="L187" s="55" t="n">
        <v>3</v>
      </c>
      <c r="M187" s="55" t="n">
        <v>20</v>
      </c>
      <c r="N187" s="58" t="n">
        <v>35</v>
      </c>
      <c r="O187" s="53" t="inlineStr">
        <is>
          <t>S51</t>
        </is>
      </c>
      <c r="P187" s="55" t="n">
        <v>15</v>
      </c>
      <c r="Q187" s="59">
        <f>IF(BO187=1,0,IFERROR(VLOOKUP(BM187,'Gebinde-Kategorie'!$A$5:$G$45,6,0)+0,0))</f>
        <v/>
      </c>
      <c r="R187" s="60" t="n"/>
      <c r="S187" s="61" t="n"/>
      <c r="T187" s="61" t="n"/>
      <c r="U187" s="53">
        <f>IF(A187="","",IF(IFERROR(VLOOKUP(D187,Parameter!$A$35:$C$64,2,0),"Nein")="2+3",IF(ISNUMBER(SEARCH("grosser Artikel",BJ187)),2,IFERROR(VLOOKUP(BM187,Parameter!$F$35:$G$64,2,0),2)),IF(OR(IFERROR(VLOOKUP(D187,Parameter!$A$35:$C$64,2,0),"Nein")="Nein",IFERROR(VLOOKUP(D187,Parameter!$A$35:$C$64,2,0),"Nein")=""),"-",VLOOKUP(D187,Parameter!$A$35:$C$64,2,0))))</f>
        <v/>
      </c>
      <c r="V187" s="61" t="n"/>
      <c r="W187" s="62" t="n"/>
      <c r="X187" s="55">
        <f>AM187</f>
        <v/>
      </c>
      <c r="Y187" s="55">
        <f>MAX(AM187,G187)</f>
        <v/>
      </c>
      <c r="Z187" s="63" t="n"/>
      <c r="AA187" s="55">
        <f>IF(LEFT(Cockpit!$C$5,1)="A",G187,IF(BT187=1,BU187,IF(LEFT(Cockpit!$C$5,1)="B",AE187,MAX(AE187,G187))))</f>
        <v/>
      </c>
      <c r="AB187" s="55">
        <f>IF(BO187=1,0,ROUNDUP(AA187/BN187,0))</f>
        <v/>
      </c>
      <c r="AC187" s="64">
        <f>IF(BO187=1,IF(AA187&lt;=0,0,BP187*MAX(1,IF(G187&gt;0,AA187/G187,1))),AB187*Q187)</f>
        <v/>
      </c>
      <c r="AD187" s="55">
        <f>AA187*F187</f>
        <v/>
      </c>
      <c r="AE187" s="55">
        <f>ROUNDUP(MAX(I187/IF(BS187&gt;0,BS187,MAX(0.1,N(Cockpit!$C$6))),BV187)/BN187,0)*BN187</f>
        <v/>
      </c>
      <c r="AF187" s="56">
        <f>IF(AC187&gt;0,I187/AC187,-1)</f>
        <v/>
      </c>
      <c r="AG187" s="56">
        <f>IF(AND(OR(BR187="L1",BR187="L23"),AC187&gt;0),SUMIFS($AC$7:$AC$1570,$BR$7:$BR$1570,BR187,$AF$7:$AF$1570,"&gt;"&amp;AF187)+SUMIFS($AC$7:$AC$1570,$BR$7:$BR$1570,BR187,$AF$7:$AF$1570,AF187,$BL$7:$BL$1570,"&lt;="&amp;BL187),"")</f>
        <v/>
      </c>
      <c r="AH187" s="65">
        <f>IF(AG187="",0,MAX(0,MIN(1,(IF(BR187="L1",Parameter!$K$5,Parameter!$K$6+Parameter!$K$7)-(AG187-AC187))/AC187)))</f>
        <v/>
      </c>
      <c r="AI187" s="55">
        <f>IF(LEFT(Cockpit!$I$5,1)="A",G187,IF(BT187=1,BU187,IF(LEFT(Cockpit!$I$5,1)="B",AM187,MAX(AM187,G187))))</f>
        <v/>
      </c>
      <c r="AJ187" s="55">
        <f>IF(BO187=1,0,ROUNDUP(AI187/BN187,0))</f>
        <v/>
      </c>
      <c r="AK187" s="64">
        <f>IF(BO187=1,IF(AI187&lt;=0,0,BP187*MAX(1,IF(G187&gt;0,AI187/G187,1))),AJ187*Q187)</f>
        <v/>
      </c>
      <c r="AL187" s="55">
        <f>AI187*F187</f>
        <v/>
      </c>
      <c r="AM187" s="55">
        <f>ROUNDUP(MAX(I187/IF(BS187&gt;0,BS187,MAX(0.1,N(Cockpit!$I$6))),BV187)/BN187,0)*BN187</f>
        <v/>
      </c>
      <c r="AN187" s="56">
        <f>IF(AK187&gt;0,I187/AK187,-1)</f>
        <v/>
      </c>
      <c r="AO187" s="56">
        <f>IF(AND(OR(BR187="L1",BR187="L23"),AK187&gt;0),SUMIFS($AK$7:$AK$1570,$BR$7:$BR$1570,BR187,$AN$7:$AN$1570,"&gt;"&amp;AN187)+SUMIFS($AK$7:$AK$1570,$BR$7:$BR$1570,BR187,$AN$7:$AN$1570,AN187,$BL$7:$BL$1570,"&lt;="&amp;BL187),"")</f>
        <v/>
      </c>
      <c r="AP187" s="65">
        <f>IF(AO187="",0,MAX(0,MIN(1,(IF(BR187="L1",Parameter!$K$5,Parameter!$K$6+Parameter!$K$7)-(AO187-AK187))/AK187)))</f>
        <v/>
      </c>
      <c r="AQ187" s="55">
        <f>IF(LEFT(Cockpit!$O$5,1)="A",G187,IF(BT187=1,BU187,IF(LEFT(Cockpit!$O$5,1)="B",AU187,MAX(AU187,G187))))</f>
        <v/>
      </c>
      <c r="AR187" s="55">
        <f>IF(BO187=1,0,ROUNDUP(AQ187/BN187,0))</f>
        <v/>
      </c>
      <c r="AS187" s="64">
        <f>IF(BO187=1,IF(AQ187&lt;=0,0,BP187*MAX(1,IF(G187&gt;0,AQ187/G187,1))),AR187*Q187)</f>
        <v/>
      </c>
      <c r="AT187" s="55">
        <f>AQ187*F187</f>
        <v/>
      </c>
      <c r="AU187" s="55">
        <f>ROUNDUP(MAX(I187/IF(BS187&gt;0,BS187,MAX(0.1,N(Cockpit!$O$6))),BV187)/BN187,0)*BN187</f>
        <v/>
      </c>
      <c r="AV187" s="56">
        <f>IF(AS187&gt;0,I187/AS187,-1)</f>
        <v/>
      </c>
      <c r="AW187" s="56">
        <f>IF(AND(OR(BR187="L1",BR187="L23"),AS187&gt;0),SUMIFS($AS$7:$AS$1570,$BR$7:$BR$1570,BR187,$AV$7:$AV$1570,"&gt;"&amp;AV187)+SUMIFS($AS$7:$AS$1570,$BR$7:$BR$1570,BR187,$AV$7:$AV$1570,AV187,$BL$7:$BL$1570,"&lt;="&amp;BL187),"")</f>
        <v/>
      </c>
      <c r="AX187" s="65">
        <f>IF(AW187="",0,MAX(0,MIN(1,(IF(BR187="L1",Parameter!$K$5,Parameter!$K$6+Parameter!$K$7)-(AW187-AS187))/AS187)))</f>
        <v/>
      </c>
      <c r="AY187" s="53">
        <f>IF(AC187&lt;=0,"",IF(BR187="Aussen","Aussenlager",IF(BR187="-","Nicht im Lift",IF(AH187&gt;=1,"Lift",IF(AH187&lt;=0,"Aussenlager","teilweise")))))</f>
        <v/>
      </c>
      <c r="AZ187" s="53">
        <f>IF(AK187&lt;=0,"",IF(BR187="Aussen","Aussenlager",IF(BR187="-","Nicht im Lift",IF(AP187&gt;=1,"Lift",IF(AP187&lt;=0,"Aussenlager","teilweise")))))</f>
        <v/>
      </c>
      <c r="BA187" s="53">
        <f>IF(AS187&lt;=0,"",IF(BR187="Aussen","Aussenlager",IF(BR187="-","Nicht im Lift",IF(AX187&gt;=1,"Lift",IF(AX187&lt;=0,"Aussenlager","teilweise")))))</f>
        <v/>
      </c>
      <c r="BB187" s="53">
        <f>IF(A187="","",IF(BK187=1,"Neu; ","")&amp;IF(AND(BK187=0,BF187&lt;0),"negativer Bestand (Export "&amp;BF187&amp;"); ","")&amp;IF(I187&lt;=0,"Kein Verbrauch; ","")&amp;IF(BO187=1,"Lose – Fläche geschätzt; ","")&amp;IF(G187&gt;AM187,"Überbestand "&amp;ROUND(G187-AM187,0)&amp;" Stk / CHF "&amp;ROUND((G187-AM187)*F187,0)&amp;"; ","")&amp;IF(AND(BT187=1,BU187&lt;BV187),"MAX &lt; MB+LG; ","")&amp;IF(AND(BZ187&gt;0,BY187*10&gt;BZ187),"zu hoch für Tablar; ","")&amp;IF(AND(BK187=0,OR(BT187=1,V187&lt;&gt;"",S187&lt;&gt;"",T187&lt;&gt;"",W187&lt;&gt;"")),"manuell übersteuert; ","")&amp;IF(AND(BO187=0,Q187=0),"Gebinde unbekannt; ","")&amp;IF(AND(BO187=0,N(T187)&lt;=0,N(P187)&lt;=0),"Menge pro Gebinde fehlt (Ist = 1 Gebinde); ","")&amp;BJ187)</f>
        <v/>
      </c>
      <c r="BC187" s="53" t="n"/>
      <c r="BD187" s="53" t="n"/>
      <c r="BE187" s="61" t="n"/>
      <c r="BF187" s="55" t="n">
        <v>2</v>
      </c>
      <c r="BG187" s="55" t="n">
        <v>13</v>
      </c>
      <c r="BH187" s="54" t="n">
        <v>952.1699999999987</v>
      </c>
      <c r="BI187" s="55" t="n">
        <v>29</v>
      </c>
      <c r="BJ187" s="53" t="inlineStr"/>
      <c r="BK187" s="58" t="n">
        <v>0</v>
      </c>
      <c r="BL187" s="58" t="n">
        <v>187</v>
      </c>
      <c r="BM187" s="53">
        <f>IF(S187&lt;&gt;"",UPPER(TRIM(S187)),IF(O187="","LOSE",O187))</f>
        <v/>
      </c>
      <c r="BN187" s="55">
        <f>IF(BM187="LOSE",1,IF(N(T187)&gt;0,T187,IF(N(P187)&gt;0,P187,MAX(1,G187))))</f>
        <v/>
      </c>
      <c r="BO187" s="58">
        <f>IF(BM187="LOSE",1,0)</f>
        <v/>
      </c>
      <c r="BP187" s="64">
        <f>IF(BO187=0,0,IF(N(R187)&gt;0,R187,IFERROR(VLOOKUP(D187,Parameter!$A$35:$C$64,3,0)+0,0)))</f>
        <v/>
      </c>
      <c r="BQ187" s="53">
        <f>IF(V187&lt;&gt;"",V187,U187)</f>
        <v/>
      </c>
      <c r="BR187" s="53">
        <f>IF(BQ187=1,"L1",IF(OR(BQ187=2,BQ187=3),"L23",IF(BQ187="Aussen","Aussen","-")))</f>
        <v/>
      </c>
      <c r="BS187" s="66">
        <f>IF(N(W187)&gt;0,W187,0)</f>
        <v/>
      </c>
      <c r="BT187" s="58">
        <f>IF(ISNUMBER(Z187),1,0)</f>
        <v/>
      </c>
      <c r="BU187" s="55">
        <f>N(Z187)</f>
        <v/>
      </c>
      <c r="BV187" s="55">
        <f>N(L187)+N(M187)</f>
        <v/>
      </c>
      <c r="BW187" s="55">
        <f>ROUNDUP(G187/BN187,0)</f>
        <v/>
      </c>
      <c r="BX187" s="55">
        <f>ROUNDUP(BU187/BN187,0)</f>
        <v/>
      </c>
      <c r="BY187" s="58">
        <f>IF(BO187=1,0,IFERROR(VLOOKUP(BM187,'Gebinde-Kategorie'!$A$5:$G$45,5,0)+0,0))</f>
        <v/>
      </c>
      <c r="BZ187" s="58">
        <f>IFERROR(IF(OR(BQ187=1,BQ187=2,BQ187=3),N(INDEX(Parameter!$I$5:$I$7,BQ187)),0),0)</f>
        <v/>
      </c>
    </row>
    <row r="188">
      <c r="A188" s="53" t="inlineStr">
        <is>
          <t>106313</t>
        </is>
      </c>
      <c r="B188" s="53" t="inlineStr">
        <is>
          <t>Endflansch</t>
        </is>
      </c>
      <c r="C188" s="53" t="inlineStr">
        <is>
          <t>F</t>
        </is>
      </c>
      <c r="D188" s="53" t="inlineStr">
        <is>
          <t>PAL</t>
        </is>
      </c>
      <c r="E188" s="53" t="inlineStr">
        <is>
          <t>C</t>
        </is>
      </c>
      <c r="F188" s="54" t="n">
        <v>150.01</v>
      </c>
      <c r="G188" s="55">
        <f>MAX(0,IF(Parameter!$B$20="Jahresanfang 2025 + Export",BG188+BF188,BF188))</f>
        <v/>
      </c>
      <c r="H188" s="55">
        <f>G188*F188</f>
        <v/>
      </c>
      <c r="I188" s="55">
        <f>BI188*Parameter!$B$18</f>
        <v/>
      </c>
      <c r="J188" s="56" t="n">
        <v>10</v>
      </c>
      <c r="K188" s="57" t="n">
        <v>3</v>
      </c>
      <c r="L188" s="55" t="n">
        <v>1</v>
      </c>
      <c r="M188" s="55" t="n">
        <v>15</v>
      </c>
      <c r="N188" s="58" t="n">
        <v>21</v>
      </c>
      <c r="O188" s="53" t="inlineStr">
        <is>
          <t>S71</t>
        </is>
      </c>
      <c r="P188" s="55" t="n">
        <v>15</v>
      </c>
      <c r="Q188" s="59">
        <f>IF(BO188=1,0,IFERROR(VLOOKUP(BM188,'Gebinde-Kategorie'!$A$5:$G$45,6,0)+0,0))</f>
        <v/>
      </c>
      <c r="R188" s="60" t="n"/>
      <c r="S188" s="61" t="n"/>
      <c r="T188" s="61" t="n"/>
      <c r="U188" s="53">
        <f>IF(A188="","",IF(IFERROR(VLOOKUP(D188,Parameter!$A$35:$C$64,2,0),"Nein")="2+3",IF(ISNUMBER(SEARCH("grosser Artikel",BJ188)),2,IFERROR(VLOOKUP(BM188,Parameter!$F$35:$G$64,2,0),2)),IF(OR(IFERROR(VLOOKUP(D188,Parameter!$A$35:$C$64,2,0),"Nein")="Nein",IFERROR(VLOOKUP(D188,Parameter!$A$35:$C$64,2,0),"Nein")=""),"-",VLOOKUP(D188,Parameter!$A$35:$C$64,2,0))))</f>
        <v/>
      </c>
      <c r="V188" s="61" t="n"/>
      <c r="W188" s="62" t="n"/>
      <c r="X188" s="55">
        <f>AM188</f>
        <v/>
      </c>
      <c r="Y188" s="55">
        <f>MAX(AM188,G188)</f>
        <v/>
      </c>
      <c r="Z188" s="63" t="n"/>
      <c r="AA188" s="55">
        <f>IF(LEFT(Cockpit!$C$5,1)="A",G188,IF(BT188=1,BU188,IF(LEFT(Cockpit!$C$5,1)="B",AE188,MAX(AE188,G188))))</f>
        <v/>
      </c>
      <c r="AB188" s="55">
        <f>IF(BO188=1,0,ROUNDUP(AA188/BN188,0))</f>
        <v/>
      </c>
      <c r="AC188" s="64">
        <f>IF(BO188=1,IF(AA188&lt;=0,0,BP188*MAX(1,IF(G188&gt;0,AA188/G188,1))),AB188*Q188)</f>
        <v/>
      </c>
      <c r="AD188" s="55">
        <f>AA188*F188</f>
        <v/>
      </c>
      <c r="AE188" s="55">
        <f>ROUNDUP(MAX(I188/IF(BS188&gt;0,BS188,MAX(0.1,N(Cockpit!$C$6))),BV188)/BN188,0)*BN188</f>
        <v/>
      </c>
      <c r="AF188" s="56">
        <f>IF(AC188&gt;0,I188/AC188,-1)</f>
        <v/>
      </c>
      <c r="AG188" s="56">
        <f>IF(AND(OR(BR188="L1",BR188="L23"),AC188&gt;0),SUMIFS($AC$7:$AC$1570,$BR$7:$BR$1570,BR188,$AF$7:$AF$1570,"&gt;"&amp;AF188)+SUMIFS($AC$7:$AC$1570,$BR$7:$BR$1570,BR188,$AF$7:$AF$1570,AF188,$BL$7:$BL$1570,"&lt;="&amp;BL188),"")</f>
        <v/>
      </c>
      <c r="AH188" s="65">
        <f>IF(AG188="",0,MAX(0,MIN(1,(IF(BR188="L1",Parameter!$K$5,Parameter!$K$6+Parameter!$K$7)-(AG188-AC188))/AC188)))</f>
        <v/>
      </c>
      <c r="AI188" s="55">
        <f>IF(LEFT(Cockpit!$I$5,1)="A",G188,IF(BT188=1,BU188,IF(LEFT(Cockpit!$I$5,1)="B",AM188,MAX(AM188,G188))))</f>
        <v/>
      </c>
      <c r="AJ188" s="55">
        <f>IF(BO188=1,0,ROUNDUP(AI188/BN188,0))</f>
        <v/>
      </c>
      <c r="AK188" s="64">
        <f>IF(BO188=1,IF(AI188&lt;=0,0,BP188*MAX(1,IF(G188&gt;0,AI188/G188,1))),AJ188*Q188)</f>
        <v/>
      </c>
      <c r="AL188" s="55">
        <f>AI188*F188</f>
        <v/>
      </c>
      <c r="AM188" s="55">
        <f>ROUNDUP(MAX(I188/IF(BS188&gt;0,BS188,MAX(0.1,N(Cockpit!$I$6))),BV188)/BN188,0)*BN188</f>
        <v/>
      </c>
      <c r="AN188" s="56">
        <f>IF(AK188&gt;0,I188/AK188,-1)</f>
        <v/>
      </c>
      <c r="AO188" s="56">
        <f>IF(AND(OR(BR188="L1",BR188="L23"),AK188&gt;0),SUMIFS($AK$7:$AK$1570,$BR$7:$BR$1570,BR188,$AN$7:$AN$1570,"&gt;"&amp;AN188)+SUMIFS($AK$7:$AK$1570,$BR$7:$BR$1570,BR188,$AN$7:$AN$1570,AN188,$BL$7:$BL$1570,"&lt;="&amp;BL188),"")</f>
        <v/>
      </c>
      <c r="AP188" s="65">
        <f>IF(AO188="",0,MAX(0,MIN(1,(IF(BR188="L1",Parameter!$K$5,Parameter!$K$6+Parameter!$K$7)-(AO188-AK188))/AK188)))</f>
        <v/>
      </c>
      <c r="AQ188" s="55">
        <f>IF(LEFT(Cockpit!$O$5,1)="A",G188,IF(BT188=1,BU188,IF(LEFT(Cockpit!$O$5,1)="B",AU188,MAX(AU188,G188))))</f>
        <v/>
      </c>
      <c r="AR188" s="55">
        <f>IF(BO188=1,0,ROUNDUP(AQ188/BN188,0))</f>
        <v/>
      </c>
      <c r="AS188" s="64">
        <f>IF(BO188=1,IF(AQ188&lt;=0,0,BP188*MAX(1,IF(G188&gt;0,AQ188/G188,1))),AR188*Q188)</f>
        <v/>
      </c>
      <c r="AT188" s="55">
        <f>AQ188*F188</f>
        <v/>
      </c>
      <c r="AU188" s="55">
        <f>ROUNDUP(MAX(I188/IF(BS188&gt;0,BS188,MAX(0.1,N(Cockpit!$O$6))),BV188)/BN188,0)*BN188</f>
        <v/>
      </c>
      <c r="AV188" s="56">
        <f>IF(AS188&gt;0,I188/AS188,-1)</f>
        <v/>
      </c>
      <c r="AW188" s="56">
        <f>IF(AND(OR(BR188="L1",BR188="L23"),AS188&gt;0),SUMIFS($AS$7:$AS$1570,$BR$7:$BR$1570,BR188,$AV$7:$AV$1570,"&gt;"&amp;AV188)+SUMIFS($AS$7:$AS$1570,$BR$7:$BR$1570,BR188,$AV$7:$AV$1570,AV188,$BL$7:$BL$1570,"&lt;="&amp;BL188),"")</f>
        <v/>
      </c>
      <c r="AX188" s="65">
        <f>IF(AW188="",0,MAX(0,MIN(1,(IF(BR188="L1",Parameter!$K$5,Parameter!$K$6+Parameter!$K$7)-(AW188-AS188))/AS188)))</f>
        <v/>
      </c>
      <c r="AY188" s="53">
        <f>IF(AC188&lt;=0,"",IF(BR188="Aussen","Aussenlager",IF(BR188="-","Nicht im Lift",IF(AH188&gt;=1,"Lift",IF(AH188&lt;=0,"Aussenlager","teilweise")))))</f>
        <v/>
      </c>
      <c r="AZ188" s="53">
        <f>IF(AK188&lt;=0,"",IF(BR188="Aussen","Aussenlager",IF(BR188="-","Nicht im Lift",IF(AP188&gt;=1,"Lift",IF(AP188&lt;=0,"Aussenlager","teilweise")))))</f>
        <v/>
      </c>
      <c r="BA188" s="53">
        <f>IF(AS188&lt;=0,"",IF(BR188="Aussen","Aussenlager",IF(BR188="-","Nicht im Lift",IF(AX188&gt;=1,"Lift",IF(AX188&lt;=0,"Aussenlager","teilweise")))))</f>
        <v/>
      </c>
      <c r="BB188" s="53">
        <f>IF(A188="","",IF(BK188=1,"Neu; ","")&amp;IF(AND(BK188=0,BF188&lt;0),"negativer Bestand (Export "&amp;BF188&amp;"); ","")&amp;IF(I188&lt;=0,"Kein Verbrauch; ","")&amp;IF(BO188=1,"Lose – Fläche geschätzt; ","")&amp;IF(G188&gt;AM188,"Überbestand "&amp;ROUND(G188-AM188,0)&amp;" Stk / CHF "&amp;ROUND((G188-AM188)*F188,0)&amp;"; ","")&amp;IF(AND(BT188=1,BU188&lt;BV188),"MAX &lt; MB+LG; ","")&amp;IF(AND(BZ188&gt;0,BY188*10&gt;BZ188),"zu hoch für Tablar; ","")&amp;IF(AND(BK188=0,OR(BT188=1,V188&lt;&gt;"",S188&lt;&gt;"",T188&lt;&gt;"",W188&lt;&gt;"")),"manuell übersteuert; ","")&amp;IF(AND(BO188=0,Q188=0),"Gebinde unbekannt; ","")&amp;IF(AND(BO188=0,N(T188)&lt;=0,N(P188)&lt;=0),"Menge pro Gebinde fehlt (Ist = 1 Gebinde); ","")&amp;BJ188)</f>
        <v/>
      </c>
      <c r="BC188" s="53" t="n"/>
      <c r="BD188" s="53" t="n"/>
      <c r="BE188" s="61" t="n"/>
      <c r="BF188" s="55" t="n">
        <v>6</v>
      </c>
      <c r="BG188" s="55" t="n">
        <v>5</v>
      </c>
      <c r="BH188" s="54" t="n">
        <v>951.9099999999991</v>
      </c>
      <c r="BI188" s="55" t="n">
        <v>30</v>
      </c>
      <c r="BJ188" s="53" t="inlineStr"/>
      <c r="BK188" s="58" t="n">
        <v>0</v>
      </c>
      <c r="BL188" s="58" t="n">
        <v>188</v>
      </c>
      <c r="BM188" s="53">
        <f>IF(S188&lt;&gt;"",UPPER(TRIM(S188)),IF(O188="","LOSE",O188))</f>
        <v/>
      </c>
      <c r="BN188" s="55">
        <f>IF(BM188="LOSE",1,IF(N(T188)&gt;0,T188,IF(N(P188)&gt;0,P188,MAX(1,G188))))</f>
        <v/>
      </c>
      <c r="BO188" s="58">
        <f>IF(BM188="LOSE",1,0)</f>
        <v/>
      </c>
      <c r="BP188" s="64">
        <f>IF(BO188=0,0,IF(N(R188)&gt;0,R188,IFERROR(VLOOKUP(D188,Parameter!$A$35:$C$64,3,0)+0,0)))</f>
        <v/>
      </c>
      <c r="BQ188" s="53">
        <f>IF(V188&lt;&gt;"",V188,U188)</f>
        <v/>
      </c>
      <c r="BR188" s="53">
        <f>IF(BQ188=1,"L1",IF(OR(BQ188=2,BQ188=3),"L23",IF(BQ188="Aussen","Aussen","-")))</f>
        <v/>
      </c>
      <c r="BS188" s="66">
        <f>IF(N(W188)&gt;0,W188,0)</f>
        <v/>
      </c>
      <c r="BT188" s="58">
        <f>IF(ISNUMBER(Z188),1,0)</f>
        <v/>
      </c>
      <c r="BU188" s="55">
        <f>N(Z188)</f>
        <v/>
      </c>
      <c r="BV188" s="55">
        <f>N(L188)+N(M188)</f>
        <v/>
      </c>
      <c r="BW188" s="55">
        <f>ROUNDUP(G188/BN188,0)</f>
        <v/>
      </c>
      <c r="BX188" s="55">
        <f>ROUNDUP(BU188/BN188,0)</f>
        <v/>
      </c>
      <c r="BY188" s="58">
        <f>IF(BO188=1,0,IFERROR(VLOOKUP(BM188,'Gebinde-Kategorie'!$A$5:$G$45,5,0)+0,0))</f>
        <v/>
      </c>
      <c r="BZ188" s="58">
        <f>IFERROR(IF(OR(BQ188=1,BQ188=2,BQ188=3),N(INDEX(Parameter!$I$5:$I$7,BQ188)),0),0)</f>
        <v/>
      </c>
    </row>
    <row r="189">
      <c r="A189" s="53" t="inlineStr">
        <is>
          <t>100140</t>
        </is>
      </c>
      <c r="B189" s="53" t="inlineStr">
        <is>
          <t>Glühkerzenhalter</t>
        </is>
      </c>
      <c r="C189" s="53" t="inlineStr">
        <is>
          <t>F</t>
        </is>
      </c>
      <c r="D189" s="53" t="inlineStr">
        <is>
          <t>KTL</t>
        </is>
      </c>
      <c r="E189" s="53" t="inlineStr">
        <is>
          <t>C</t>
        </is>
      </c>
      <c r="F189" s="54" t="n">
        <v>33.18</v>
      </c>
      <c r="G189" s="55">
        <f>MAX(0,IF(Parameter!$B$20="Jahresanfang 2025 + Export",BG189+BF189,BF189))</f>
        <v/>
      </c>
      <c r="H189" s="55">
        <f>G189*F189</f>
        <v/>
      </c>
      <c r="I189" s="55">
        <f>BI189*Parameter!$B$18</f>
        <v/>
      </c>
      <c r="J189" s="56" t="n">
        <v>77</v>
      </c>
      <c r="K189" s="57" t="n">
        <v>0.4545454545454545</v>
      </c>
      <c r="L189" s="55" t="n">
        <v>8</v>
      </c>
      <c r="M189" s="55" t="n">
        <v>35</v>
      </c>
      <c r="N189" s="58" t="n">
        <v>84</v>
      </c>
      <c r="O189" s="53" t="inlineStr">
        <is>
          <t>S51</t>
        </is>
      </c>
      <c r="P189" s="55" t="n">
        <v>99</v>
      </c>
      <c r="Q189" s="59">
        <f>IF(BO189=1,0,IFERROR(VLOOKUP(BM189,'Gebinde-Kategorie'!$A$5:$G$45,6,0)+0,0))</f>
        <v/>
      </c>
      <c r="R189" s="60" t="n"/>
      <c r="S189" s="61" t="n"/>
      <c r="T189" s="61" t="n"/>
      <c r="U189" s="53">
        <f>IF(A189="","",IF(IFERROR(VLOOKUP(D189,Parameter!$A$35:$C$64,2,0),"Nein")="2+3",IF(ISNUMBER(SEARCH("grosser Artikel",BJ189)),2,IFERROR(VLOOKUP(BM189,Parameter!$F$35:$G$64,2,0),2)),IF(OR(IFERROR(VLOOKUP(D189,Parameter!$A$35:$C$64,2,0),"Nein")="Nein",IFERROR(VLOOKUP(D189,Parameter!$A$35:$C$64,2,0),"Nein")=""),"-",VLOOKUP(D189,Parameter!$A$35:$C$64,2,0))))</f>
        <v/>
      </c>
      <c r="V189" s="61" t="n"/>
      <c r="W189" s="62" t="n"/>
      <c r="X189" s="55">
        <f>AM189</f>
        <v/>
      </c>
      <c r="Y189" s="55">
        <f>MAX(AM189,G189)</f>
        <v/>
      </c>
      <c r="Z189" s="63" t="n"/>
      <c r="AA189" s="55">
        <f>IF(LEFT(Cockpit!$C$5,1)="A",G189,IF(BT189=1,BU189,IF(LEFT(Cockpit!$C$5,1)="B",AE189,MAX(AE189,G189))))</f>
        <v/>
      </c>
      <c r="AB189" s="55">
        <f>IF(BO189=1,0,ROUNDUP(AA189/BN189,0))</f>
        <v/>
      </c>
      <c r="AC189" s="64">
        <f>IF(BO189=1,IF(AA189&lt;=0,0,BP189*MAX(1,IF(G189&gt;0,AA189/G189,1))),AB189*Q189)</f>
        <v/>
      </c>
      <c r="AD189" s="55">
        <f>AA189*F189</f>
        <v/>
      </c>
      <c r="AE189" s="55">
        <f>ROUNDUP(MAX(I189/IF(BS189&gt;0,BS189,MAX(0.1,N(Cockpit!$C$6))),BV189)/BN189,0)*BN189</f>
        <v/>
      </c>
      <c r="AF189" s="56">
        <f>IF(AC189&gt;0,I189/AC189,-1)</f>
        <v/>
      </c>
      <c r="AG189" s="56">
        <f>IF(AND(OR(BR189="L1",BR189="L23"),AC189&gt;0),SUMIFS($AC$7:$AC$1570,$BR$7:$BR$1570,BR189,$AF$7:$AF$1570,"&gt;"&amp;AF189)+SUMIFS($AC$7:$AC$1570,$BR$7:$BR$1570,BR189,$AF$7:$AF$1570,AF189,$BL$7:$BL$1570,"&lt;="&amp;BL189),"")</f>
        <v/>
      </c>
      <c r="AH189" s="65">
        <f>IF(AG189="",0,MAX(0,MIN(1,(IF(BR189="L1",Parameter!$K$5,Parameter!$K$6+Parameter!$K$7)-(AG189-AC189))/AC189)))</f>
        <v/>
      </c>
      <c r="AI189" s="55">
        <f>IF(LEFT(Cockpit!$I$5,1)="A",G189,IF(BT189=1,BU189,IF(LEFT(Cockpit!$I$5,1)="B",AM189,MAX(AM189,G189))))</f>
        <v/>
      </c>
      <c r="AJ189" s="55">
        <f>IF(BO189=1,0,ROUNDUP(AI189/BN189,0))</f>
        <v/>
      </c>
      <c r="AK189" s="64">
        <f>IF(BO189=1,IF(AI189&lt;=0,0,BP189*MAX(1,IF(G189&gt;0,AI189/G189,1))),AJ189*Q189)</f>
        <v/>
      </c>
      <c r="AL189" s="55">
        <f>AI189*F189</f>
        <v/>
      </c>
      <c r="AM189" s="55">
        <f>ROUNDUP(MAX(I189/IF(BS189&gt;0,BS189,MAX(0.1,N(Cockpit!$I$6))),BV189)/BN189,0)*BN189</f>
        <v/>
      </c>
      <c r="AN189" s="56">
        <f>IF(AK189&gt;0,I189/AK189,-1)</f>
        <v/>
      </c>
      <c r="AO189" s="56">
        <f>IF(AND(OR(BR189="L1",BR189="L23"),AK189&gt;0),SUMIFS($AK$7:$AK$1570,$BR$7:$BR$1570,BR189,$AN$7:$AN$1570,"&gt;"&amp;AN189)+SUMIFS($AK$7:$AK$1570,$BR$7:$BR$1570,BR189,$AN$7:$AN$1570,AN189,$BL$7:$BL$1570,"&lt;="&amp;BL189),"")</f>
        <v/>
      </c>
      <c r="AP189" s="65">
        <f>IF(AO189="",0,MAX(0,MIN(1,(IF(BR189="L1",Parameter!$K$5,Parameter!$K$6+Parameter!$K$7)-(AO189-AK189))/AK189)))</f>
        <v/>
      </c>
      <c r="AQ189" s="55">
        <f>IF(LEFT(Cockpit!$O$5,1)="A",G189,IF(BT189=1,BU189,IF(LEFT(Cockpit!$O$5,1)="B",AU189,MAX(AU189,G189))))</f>
        <v/>
      </c>
      <c r="AR189" s="55">
        <f>IF(BO189=1,0,ROUNDUP(AQ189/BN189,0))</f>
        <v/>
      </c>
      <c r="AS189" s="64">
        <f>IF(BO189=1,IF(AQ189&lt;=0,0,BP189*MAX(1,IF(G189&gt;0,AQ189/G189,1))),AR189*Q189)</f>
        <v/>
      </c>
      <c r="AT189" s="55">
        <f>AQ189*F189</f>
        <v/>
      </c>
      <c r="AU189" s="55">
        <f>ROUNDUP(MAX(I189/IF(BS189&gt;0,BS189,MAX(0.1,N(Cockpit!$O$6))),BV189)/BN189,0)*BN189</f>
        <v/>
      </c>
      <c r="AV189" s="56">
        <f>IF(AS189&gt;0,I189/AS189,-1)</f>
        <v/>
      </c>
      <c r="AW189" s="56">
        <f>IF(AND(OR(BR189="L1",BR189="L23"),AS189&gt;0),SUMIFS($AS$7:$AS$1570,$BR$7:$BR$1570,BR189,$AV$7:$AV$1570,"&gt;"&amp;AV189)+SUMIFS($AS$7:$AS$1570,$BR$7:$BR$1570,BR189,$AV$7:$AV$1570,AV189,$BL$7:$BL$1570,"&lt;="&amp;BL189),"")</f>
        <v/>
      </c>
      <c r="AX189" s="65">
        <f>IF(AW189="",0,MAX(0,MIN(1,(IF(BR189="L1",Parameter!$K$5,Parameter!$K$6+Parameter!$K$7)-(AW189-AS189))/AS189)))</f>
        <v/>
      </c>
      <c r="AY189" s="53">
        <f>IF(AC189&lt;=0,"",IF(BR189="Aussen","Aussenlager",IF(BR189="-","Nicht im Lift",IF(AH189&gt;=1,"Lift",IF(AH189&lt;=0,"Aussenlager","teilweise")))))</f>
        <v/>
      </c>
      <c r="AZ189" s="53">
        <f>IF(AK189&lt;=0,"",IF(BR189="Aussen","Aussenlager",IF(BR189="-","Nicht im Lift",IF(AP189&gt;=1,"Lift",IF(AP189&lt;=0,"Aussenlager","teilweise")))))</f>
        <v/>
      </c>
      <c r="BA189" s="53">
        <f>IF(AS189&lt;=0,"",IF(BR189="Aussen","Aussenlager",IF(BR189="-","Nicht im Lift",IF(AX189&gt;=1,"Lift",IF(AX189&lt;=0,"Aussenlager","teilweise")))))</f>
        <v/>
      </c>
      <c r="BB189" s="53">
        <f>IF(A189="","",IF(BK189=1,"Neu; ","")&amp;IF(AND(BK189=0,BF189&lt;0),"negativer Bestand (Export "&amp;BF189&amp;"); ","")&amp;IF(I189&lt;=0,"Kein Verbrauch; ","")&amp;IF(BO189=1,"Lose – Fläche geschätzt; ","")&amp;IF(G189&gt;AM189,"Überbestand "&amp;ROUND(G189-AM189,0)&amp;" Stk / CHF "&amp;ROUND((G189-AM189)*F189,0)&amp;"; ","")&amp;IF(AND(BT189=1,BU189&lt;BV189),"MAX &lt; MB+LG; ","")&amp;IF(AND(BZ189&gt;0,BY189*10&gt;BZ189),"zu hoch für Tablar; ","")&amp;IF(AND(BK189=0,OR(BT189=1,V189&lt;&gt;"",S189&lt;&gt;"",T189&lt;&gt;"",W189&lt;&gt;"")),"manuell übersteuert; ","")&amp;IF(AND(BO189=0,Q189=0),"Gebinde unbekannt; ","")&amp;IF(AND(BO189=0,N(T189)&lt;=0,N(P189)&lt;=0),"Menge pro Gebinde fehlt (Ist = 1 Gebinde); ","")&amp;BJ189)</f>
        <v/>
      </c>
      <c r="BC189" s="53" t="n"/>
      <c r="BD189" s="53" t="n"/>
      <c r="BE189" s="61" t="n"/>
      <c r="BF189" s="55" t="n">
        <v>33</v>
      </c>
      <c r="BG189" s="55" t="n">
        <v>48</v>
      </c>
      <c r="BH189" s="54" t="n">
        <v>948.6600000000004</v>
      </c>
      <c r="BI189" s="55" t="n">
        <v>35</v>
      </c>
      <c r="BJ189" s="53" t="inlineStr"/>
      <c r="BK189" s="58" t="n">
        <v>0</v>
      </c>
      <c r="BL189" s="58" t="n">
        <v>189</v>
      </c>
      <c r="BM189" s="53">
        <f>IF(S189&lt;&gt;"",UPPER(TRIM(S189)),IF(O189="","LOSE",O189))</f>
        <v/>
      </c>
      <c r="BN189" s="55">
        <f>IF(BM189="LOSE",1,IF(N(T189)&gt;0,T189,IF(N(P189)&gt;0,P189,MAX(1,G189))))</f>
        <v/>
      </c>
      <c r="BO189" s="58">
        <f>IF(BM189="LOSE",1,0)</f>
        <v/>
      </c>
      <c r="BP189" s="64">
        <f>IF(BO189=0,0,IF(N(R189)&gt;0,R189,IFERROR(VLOOKUP(D189,Parameter!$A$35:$C$64,3,0)+0,0)))</f>
        <v/>
      </c>
      <c r="BQ189" s="53">
        <f>IF(V189&lt;&gt;"",V189,U189)</f>
        <v/>
      </c>
      <c r="BR189" s="53">
        <f>IF(BQ189=1,"L1",IF(OR(BQ189=2,BQ189=3),"L23",IF(BQ189="Aussen","Aussen","-")))</f>
        <v/>
      </c>
      <c r="BS189" s="66">
        <f>IF(N(W189)&gt;0,W189,0)</f>
        <v/>
      </c>
      <c r="BT189" s="58">
        <f>IF(ISNUMBER(Z189),1,0)</f>
        <v/>
      </c>
      <c r="BU189" s="55">
        <f>N(Z189)</f>
        <v/>
      </c>
      <c r="BV189" s="55">
        <f>N(L189)+N(M189)</f>
        <v/>
      </c>
      <c r="BW189" s="55">
        <f>ROUNDUP(G189/BN189,0)</f>
        <v/>
      </c>
      <c r="BX189" s="55">
        <f>ROUNDUP(BU189/BN189,0)</f>
        <v/>
      </c>
      <c r="BY189" s="58">
        <f>IF(BO189=1,0,IFERROR(VLOOKUP(BM189,'Gebinde-Kategorie'!$A$5:$G$45,5,0)+0,0))</f>
        <v/>
      </c>
      <c r="BZ189" s="58">
        <f>IFERROR(IF(OR(BQ189=1,BQ189=2,BQ189=3),N(INDEX(Parameter!$I$5:$I$7,BQ189)),0),0)</f>
        <v/>
      </c>
    </row>
    <row r="190">
      <c r="A190" s="53" t="inlineStr">
        <is>
          <t>107994</t>
        </is>
      </c>
      <c r="B190" s="53" t="inlineStr">
        <is>
          <t>Rückschlagventil</t>
        </is>
      </c>
      <c r="C190" s="53" t="inlineStr">
        <is>
          <t>F</t>
        </is>
      </c>
      <c r="D190" s="53" t="inlineStr">
        <is>
          <t>KTL</t>
        </is>
      </c>
      <c r="E190" s="53" t="inlineStr">
        <is>
          <t>C</t>
        </is>
      </c>
      <c r="F190" s="54" t="n">
        <v>10.96</v>
      </c>
      <c r="G190" s="55">
        <f>MAX(0,IF(Parameter!$B$20="Jahresanfang 2025 + Export",BG190+BF190,BF190))</f>
        <v/>
      </c>
      <c r="H190" s="55">
        <f>G190*F190</f>
        <v/>
      </c>
      <c r="I190" s="55">
        <f>BI190*Parameter!$B$18</f>
        <v/>
      </c>
      <c r="J190" s="56" t="n">
        <v>33</v>
      </c>
      <c r="K190" s="57" t="n">
        <v>4.727272727272728</v>
      </c>
      <c r="L190" s="55" t="n">
        <v>10</v>
      </c>
      <c r="M190" s="55" t="n">
        <v>50</v>
      </c>
      <c r="N190" s="58" t="n">
        <v>21</v>
      </c>
      <c r="O190" s="53" t="inlineStr">
        <is>
          <t>S51</t>
        </is>
      </c>
      <c r="P190" s="55" t="n">
        <v>61</v>
      </c>
      <c r="Q190" s="59">
        <f>IF(BO190=1,0,IFERROR(VLOOKUP(BM190,'Gebinde-Kategorie'!$A$5:$G$45,6,0)+0,0))</f>
        <v/>
      </c>
      <c r="R190" s="60" t="n"/>
      <c r="S190" s="61" t="n"/>
      <c r="T190" s="61" t="n"/>
      <c r="U190" s="53">
        <f>IF(A190="","",IF(IFERROR(VLOOKUP(D190,Parameter!$A$35:$C$64,2,0),"Nein")="2+3",IF(ISNUMBER(SEARCH("grosser Artikel",BJ190)),2,IFERROR(VLOOKUP(BM190,Parameter!$F$35:$G$64,2,0),2)),IF(OR(IFERROR(VLOOKUP(D190,Parameter!$A$35:$C$64,2,0),"Nein")="Nein",IFERROR(VLOOKUP(D190,Parameter!$A$35:$C$64,2,0),"Nein")=""),"-",VLOOKUP(D190,Parameter!$A$35:$C$64,2,0))))</f>
        <v/>
      </c>
      <c r="V190" s="61" t="n"/>
      <c r="W190" s="62" t="n"/>
      <c r="X190" s="55">
        <f>AM190</f>
        <v/>
      </c>
      <c r="Y190" s="55">
        <f>MAX(AM190,G190)</f>
        <v/>
      </c>
      <c r="Z190" s="63" t="n"/>
      <c r="AA190" s="55">
        <f>IF(LEFT(Cockpit!$C$5,1)="A",G190,IF(BT190=1,BU190,IF(LEFT(Cockpit!$C$5,1)="B",AE190,MAX(AE190,G190))))</f>
        <v/>
      </c>
      <c r="AB190" s="55">
        <f>IF(BO190=1,0,ROUNDUP(AA190/BN190,0))</f>
        <v/>
      </c>
      <c r="AC190" s="64">
        <f>IF(BO190=1,IF(AA190&lt;=0,0,BP190*MAX(1,IF(G190&gt;0,AA190/G190,1))),AB190*Q190)</f>
        <v/>
      </c>
      <c r="AD190" s="55">
        <f>AA190*F190</f>
        <v/>
      </c>
      <c r="AE190" s="55">
        <f>ROUNDUP(MAX(I190/IF(BS190&gt;0,BS190,MAX(0.1,N(Cockpit!$C$6))),BV190)/BN190,0)*BN190</f>
        <v/>
      </c>
      <c r="AF190" s="56">
        <f>IF(AC190&gt;0,I190/AC190,-1)</f>
        <v/>
      </c>
      <c r="AG190" s="56">
        <f>IF(AND(OR(BR190="L1",BR190="L23"),AC190&gt;0),SUMIFS($AC$7:$AC$1570,$BR$7:$BR$1570,BR190,$AF$7:$AF$1570,"&gt;"&amp;AF190)+SUMIFS($AC$7:$AC$1570,$BR$7:$BR$1570,BR190,$AF$7:$AF$1570,AF190,$BL$7:$BL$1570,"&lt;="&amp;BL190),"")</f>
        <v/>
      </c>
      <c r="AH190" s="65">
        <f>IF(AG190="",0,MAX(0,MIN(1,(IF(BR190="L1",Parameter!$K$5,Parameter!$K$6+Parameter!$K$7)-(AG190-AC190))/AC190)))</f>
        <v/>
      </c>
      <c r="AI190" s="55">
        <f>IF(LEFT(Cockpit!$I$5,1)="A",G190,IF(BT190=1,BU190,IF(LEFT(Cockpit!$I$5,1)="B",AM190,MAX(AM190,G190))))</f>
        <v/>
      </c>
      <c r="AJ190" s="55">
        <f>IF(BO190=1,0,ROUNDUP(AI190/BN190,0))</f>
        <v/>
      </c>
      <c r="AK190" s="64">
        <f>IF(BO190=1,IF(AI190&lt;=0,0,BP190*MAX(1,IF(G190&gt;0,AI190/G190,1))),AJ190*Q190)</f>
        <v/>
      </c>
      <c r="AL190" s="55">
        <f>AI190*F190</f>
        <v/>
      </c>
      <c r="AM190" s="55">
        <f>ROUNDUP(MAX(I190/IF(BS190&gt;0,BS190,MAX(0.1,N(Cockpit!$I$6))),BV190)/BN190,0)*BN190</f>
        <v/>
      </c>
      <c r="AN190" s="56">
        <f>IF(AK190&gt;0,I190/AK190,-1)</f>
        <v/>
      </c>
      <c r="AO190" s="56">
        <f>IF(AND(OR(BR190="L1",BR190="L23"),AK190&gt;0),SUMIFS($AK$7:$AK$1570,$BR$7:$BR$1570,BR190,$AN$7:$AN$1570,"&gt;"&amp;AN190)+SUMIFS($AK$7:$AK$1570,$BR$7:$BR$1570,BR190,$AN$7:$AN$1570,AN190,$BL$7:$BL$1570,"&lt;="&amp;BL190),"")</f>
        <v/>
      </c>
      <c r="AP190" s="65">
        <f>IF(AO190="",0,MAX(0,MIN(1,(IF(BR190="L1",Parameter!$K$5,Parameter!$K$6+Parameter!$K$7)-(AO190-AK190))/AK190)))</f>
        <v/>
      </c>
      <c r="AQ190" s="55">
        <f>IF(LEFT(Cockpit!$O$5,1)="A",G190,IF(BT190=1,BU190,IF(LEFT(Cockpit!$O$5,1)="B",AU190,MAX(AU190,G190))))</f>
        <v/>
      </c>
      <c r="AR190" s="55">
        <f>IF(BO190=1,0,ROUNDUP(AQ190/BN190,0))</f>
        <v/>
      </c>
      <c r="AS190" s="64">
        <f>IF(BO190=1,IF(AQ190&lt;=0,0,BP190*MAX(1,IF(G190&gt;0,AQ190/G190,1))),AR190*Q190)</f>
        <v/>
      </c>
      <c r="AT190" s="55">
        <f>AQ190*F190</f>
        <v/>
      </c>
      <c r="AU190" s="55">
        <f>ROUNDUP(MAX(I190/IF(BS190&gt;0,BS190,MAX(0.1,N(Cockpit!$O$6))),BV190)/BN190,0)*BN190</f>
        <v/>
      </c>
      <c r="AV190" s="56">
        <f>IF(AS190&gt;0,I190/AS190,-1)</f>
        <v/>
      </c>
      <c r="AW190" s="56">
        <f>IF(AND(OR(BR190="L1",BR190="L23"),AS190&gt;0),SUMIFS($AS$7:$AS$1570,$BR$7:$BR$1570,BR190,$AV$7:$AV$1570,"&gt;"&amp;AV190)+SUMIFS($AS$7:$AS$1570,$BR$7:$BR$1570,BR190,$AV$7:$AV$1570,AV190,$BL$7:$BL$1570,"&lt;="&amp;BL190),"")</f>
        <v/>
      </c>
      <c r="AX190" s="65">
        <f>IF(AW190="",0,MAX(0,MIN(1,(IF(BR190="L1",Parameter!$K$5,Parameter!$K$6+Parameter!$K$7)-(AW190-AS190))/AS190)))</f>
        <v/>
      </c>
      <c r="AY190" s="53">
        <f>IF(AC190&lt;=0,"",IF(BR190="Aussen","Aussenlager",IF(BR190="-","Nicht im Lift",IF(AH190&gt;=1,"Lift",IF(AH190&lt;=0,"Aussenlager","teilweise")))))</f>
        <v/>
      </c>
      <c r="AZ190" s="53">
        <f>IF(AK190&lt;=0,"",IF(BR190="Aussen","Aussenlager",IF(BR190="-","Nicht im Lift",IF(AP190&gt;=1,"Lift",IF(AP190&lt;=0,"Aussenlager","teilweise")))))</f>
        <v/>
      </c>
      <c r="BA190" s="53">
        <f>IF(AS190&lt;=0,"",IF(BR190="Aussen","Aussenlager",IF(BR190="-","Nicht im Lift",IF(AX190&gt;=1,"Lift",IF(AX190&lt;=0,"Aussenlager","teilweise")))))</f>
        <v/>
      </c>
      <c r="BB190" s="53">
        <f>IF(A190="","",IF(BK190=1,"Neu; ","")&amp;IF(AND(BK190=0,BF190&lt;0),"negativer Bestand (Export "&amp;BF190&amp;"); ","")&amp;IF(I190&lt;=0,"Kein Verbrauch; ","")&amp;IF(BO190=1,"Lose – Fläche geschätzt; ","")&amp;IF(G190&gt;AM190,"Überbestand "&amp;ROUND(G190-AM190,0)&amp;" Stk / CHF "&amp;ROUND((G190-AM190)*F190,0)&amp;"; ","")&amp;IF(AND(BT190=1,BU190&lt;BV190),"MAX &lt; MB+LG; ","")&amp;IF(AND(BZ190&gt;0,BY190*10&gt;BZ190),"zu hoch für Tablar; ","")&amp;IF(AND(BK190=0,OR(BT190=1,V190&lt;&gt;"",S190&lt;&gt;"",T190&lt;&gt;"",W190&lt;&gt;"")),"manuell übersteuert; ","")&amp;IF(AND(BO190=0,Q190=0),"Gebinde unbekannt; ","")&amp;IF(AND(BO190=0,N(T190)&lt;=0,N(P190)&lt;=0),"Menge pro Gebinde fehlt (Ist = 1 Gebinde); ","")&amp;BJ190)</f>
        <v/>
      </c>
      <c r="BC190" s="53" t="n"/>
      <c r="BD190" s="53" t="n"/>
      <c r="BE190" s="61" t="n"/>
      <c r="BF190" s="55" t="n">
        <v>98</v>
      </c>
      <c r="BG190" s="55" t="n">
        <v>36</v>
      </c>
      <c r="BH190" s="54" t="n">
        <v>926.8399999999999</v>
      </c>
      <c r="BI190" s="55" t="n">
        <v>156</v>
      </c>
      <c r="BJ190" s="53" t="inlineStr"/>
      <c r="BK190" s="58" t="n">
        <v>0</v>
      </c>
      <c r="BL190" s="58" t="n">
        <v>190</v>
      </c>
      <c r="BM190" s="53">
        <f>IF(S190&lt;&gt;"",UPPER(TRIM(S190)),IF(O190="","LOSE",O190))</f>
        <v/>
      </c>
      <c r="BN190" s="55">
        <f>IF(BM190="LOSE",1,IF(N(T190)&gt;0,T190,IF(N(P190)&gt;0,P190,MAX(1,G190))))</f>
        <v/>
      </c>
      <c r="BO190" s="58">
        <f>IF(BM190="LOSE",1,0)</f>
        <v/>
      </c>
      <c r="BP190" s="64">
        <f>IF(BO190=0,0,IF(N(R190)&gt;0,R190,IFERROR(VLOOKUP(D190,Parameter!$A$35:$C$64,3,0)+0,0)))</f>
        <v/>
      </c>
      <c r="BQ190" s="53">
        <f>IF(V190&lt;&gt;"",V190,U190)</f>
        <v/>
      </c>
      <c r="BR190" s="53">
        <f>IF(BQ190=1,"L1",IF(OR(BQ190=2,BQ190=3),"L23",IF(BQ190="Aussen","Aussen","-")))</f>
        <v/>
      </c>
      <c r="BS190" s="66">
        <f>IF(N(W190)&gt;0,W190,0)</f>
        <v/>
      </c>
      <c r="BT190" s="58">
        <f>IF(ISNUMBER(Z190),1,0)</f>
        <v/>
      </c>
      <c r="BU190" s="55">
        <f>N(Z190)</f>
        <v/>
      </c>
      <c r="BV190" s="55">
        <f>N(L190)+N(M190)</f>
        <v/>
      </c>
      <c r="BW190" s="55">
        <f>ROUNDUP(G190/BN190,0)</f>
        <v/>
      </c>
      <c r="BX190" s="55">
        <f>ROUNDUP(BU190/BN190,0)</f>
        <v/>
      </c>
      <c r="BY190" s="58">
        <f>IF(BO190=1,0,IFERROR(VLOOKUP(BM190,'Gebinde-Kategorie'!$A$5:$G$45,5,0)+0,0))</f>
        <v/>
      </c>
      <c r="BZ190" s="58">
        <f>IFERROR(IF(OR(BQ190=1,BQ190=2,BQ190=3),N(INDEX(Parameter!$I$5:$I$7,BQ190)),0),0)</f>
        <v/>
      </c>
    </row>
    <row r="191">
      <c r="A191" s="53" t="inlineStr">
        <is>
          <t>111125</t>
        </is>
      </c>
      <c r="B191" s="53" t="inlineStr">
        <is>
          <t>Hohlschraube mit Anschluss</t>
        </is>
      </c>
      <c r="C191" s="53" t="inlineStr">
        <is>
          <t>F</t>
        </is>
      </c>
      <c r="D191" s="53" t="inlineStr">
        <is>
          <t>PAL</t>
        </is>
      </c>
      <c r="E191" s="53" t="inlineStr">
        <is>
          <t>C</t>
        </is>
      </c>
      <c r="F191" s="54" t="n">
        <v>185.13</v>
      </c>
      <c r="G191" s="55">
        <f>MAX(0,IF(Parameter!$B$20="Jahresanfang 2025 + Export",BG191+BF191,BF191))</f>
        <v/>
      </c>
      <c r="H191" s="55">
        <f>G191*F191</f>
        <v/>
      </c>
      <c r="I191" s="55">
        <f>BI191*Parameter!$B$18</f>
        <v/>
      </c>
      <c r="J191" s="56" t="n">
        <v>1.5</v>
      </c>
      <c r="K191" s="57" t="n">
        <v>1.333333333333333</v>
      </c>
      <c r="L191" s="55" t="n">
        <v>0</v>
      </c>
      <c r="M191" s="55" t="n">
        <v>1</v>
      </c>
      <c r="N191" s="58" t="n">
        <v>31</v>
      </c>
      <c r="O191" s="53" t="inlineStr">
        <is>
          <t>LOSE</t>
        </is>
      </c>
      <c r="P191" s="55" t="n"/>
      <c r="Q191" s="59">
        <f>IF(BO191=1,0,IFERROR(VLOOKUP(BM191,'Gebinde-Kategorie'!$A$5:$G$45,6,0)+0,0))</f>
        <v/>
      </c>
      <c r="R191" s="60" t="n"/>
      <c r="S191" s="61" t="n"/>
      <c r="T191" s="61" t="n"/>
      <c r="U191" s="53">
        <f>IF(A191="","",IF(IFERROR(VLOOKUP(D191,Parameter!$A$35:$C$64,2,0),"Nein")="2+3",IF(ISNUMBER(SEARCH("grosser Artikel",BJ191)),2,IFERROR(VLOOKUP(BM191,Parameter!$F$35:$G$64,2,0),2)),IF(OR(IFERROR(VLOOKUP(D191,Parameter!$A$35:$C$64,2,0),"Nein")="Nein",IFERROR(VLOOKUP(D191,Parameter!$A$35:$C$64,2,0),"Nein")=""),"-",VLOOKUP(D191,Parameter!$A$35:$C$64,2,0))))</f>
        <v/>
      </c>
      <c r="V191" s="61" t="n"/>
      <c r="W191" s="62" t="n"/>
      <c r="X191" s="55">
        <f>AM191</f>
        <v/>
      </c>
      <c r="Y191" s="55">
        <f>MAX(AM191,G191)</f>
        <v/>
      </c>
      <c r="Z191" s="63" t="n"/>
      <c r="AA191" s="55">
        <f>IF(LEFT(Cockpit!$C$5,1)="A",G191,IF(BT191=1,BU191,IF(LEFT(Cockpit!$C$5,1)="B",AE191,MAX(AE191,G191))))</f>
        <v/>
      </c>
      <c r="AB191" s="55">
        <f>IF(BO191=1,0,ROUNDUP(AA191/BN191,0))</f>
        <v/>
      </c>
      <c r="AC191" s="64">
        <f>IF(BO191=1,IF(AA191&lt;=0,0,BP191*MAX(1,IF(G191&gt;0,AA191/G191,1))),AB191*Q191)</f>
        <v/>
      </c>
      <c r="AD191" s="55">
        <f>AA191*F191</f>
        <v/>
      </c>
      <c r="AE191" s="55">
        <f>ROUNDUP(MAX(I191/IF(BS191&gt;0,BS191,MAX(0.1,N(Cockpit!$C$6))),BV191)/BN191,0)*BN191</f>
        <v/>
      </c>
      <c r="AF191" s="56">
        <f>IF(AC191&gt;0,I191/AC191,-1)</f>
        <v/>
      </c>
      <c r="AG191" s="56">
        <f>IF(AND(OR(BR191="L1",BR191="L23"),AC191&gt;0),SUMIFS($AC$7:$AC$1570,$BR$7:$BR$1570,BR191,$AF$7:$AF$1570,"&gt;"&amp;AF191)+SUMIFS($AC$7:$AC$1570,$BR$7:$BR$1570,BR191,$AF$7:$AF$1570,AF191,$BL$7:$BL$1570,"&lt;="&amp;BL191),"")</f>
        <v/>
      </c>
      <c r="AH191" s="65">
        <f>IF(AG191="",0,MAX(0,MIN(1,(IF(BR191="L1",Parameter!$K$5,Parameter!$K$6+Parameter!$K$7)-(AG191-AC191))/AC191)))</f>
        <v/>
      </c>
      <c r="AI191" s="55">
        <f>IF(LEFT(Cockpit!$I$5,1)="A",G191,IF(BT191=1,BU191,IF(LEFT(Cockpit!$I$5,1)="B",AM191,MAX(AM191,G191))))</f>
        <v/>
      </c>
      <c r="AJ191" s="55">
        <f>IF(BO191=1,0,ROUNDUP(AI191/BN191,0))</f>
        <v/>
      </c>
      <c r="AK191" s="64">
        <f>IF(BO191=1,IF(AI191&lt;=0,0,BP191*MAX(1,IF(G191&gt;0,AI191/G191,1))),AJ191*Q191)</f>
        <v/>
      </c>
      <c r="AL191" s="55">
        <f>AI191*F191</f>
        <v/>
      </c>
      <c r="AM191" s="55">
        <f>ROUNDUP(MAX(I191/IF(BS191&gt;0,BS191,MAX(0.1,N(Cockpit!$I$6))),BV191)/BN191,0)*BN191</f>
        <v/>
      </c>
      <c r="AN191" s="56">
        <f>IF(AK191&gt;0,I191/AK191,-1)</f>
        <v/>
      </c>
      <c r="AO191" s="56">
        <f>IF(AND(OR(BR191="L1",BR191="L23"),AK191&gt;0),SUMIFS($AK$7:$AK$1570,$BR$7:$BR$1570,BR191,$AN$7:$AN$1570,"&gt;"&amp;AN191)+SUMIFS($AK$7:$AK$1570,$BR$7:$BR$1570,BR191,$AN$7:$AN$1570,AN191,$BL$7:$BL$1570,"&lt;="&amp;BL191),"")</f>
        <v/>
      </c>
      <c r="AP191" s="65">
        <f>IF(AO191="",0,MAX(0,MIN(1,(IF(BR191="L1",Parameter!$K$5,Parameter!$K$6+Parameter!$K$7)-(AO191-AK191))/AK191)))</f>
        <v/>
      </c>
      <c r="AQ191" s="55">
        <f>IF(LEFT(Cockpit!$O$5,1)="A",G191,IF(BT191=1,BU191,IF(LEFT(Cockpit!$O$5,1)="B",AU191,MAX(AU191,G191))))</f>
        <v/>
      </c>
      <c r="AR191" s="55">
        <f>IF(BO191=1,0,ROUNDUP(AQ191/BN191,0))</f>
        <v/>
      </c>
      <c r="AS191" s="64">
        <f>IF(BO191=1,IF(AQ191&lt;=0,0,BP191*MAX(1,IF(G191&gt;0,AQ191/G191,1))),AR191*Q191)</f>
        <v/>
      </c>
      <c r="AT191" s="55">
        <f>AQ191*F191</f>
        <v/>
      </c>
      <c r="AU191" s="55">
        <f>ROUNDUP(MAX(I191/IF(BS191&gt;0,BS191,MAX(0.1,N(Cockpit!$O$6))),BV191)/BN191,0)*BN191</f>
        <v/>
      </c>
      <c r="AV191" s="56">
        <f>IF(AS191&gt;0,I191/AS191,-1)</f>
        <v/>
      </c>
      <c r="AW191" s="56">
        <f>IF(AND(OR(BR191="L1",BR191="L23"),AS191&gt;0),SUMIFS($AS$7:$AS$1570,$BR$7:$BR$1570,BR191,$AV$7:$AV$1570,"&gt;"&amp;AV191)+SUMIFS($AS$7:$AS$1570,$BR$7:$BR$1570,BR191,$AV$7:$AV$1570,AV191,$BL$7:$BL$1570,"&lt;="&amp;BL191),"")</f>
        <v/>
      </c>
      <c r="AX191" s="65">
        <f>IF(AW191="",0,MAX(0,MIN(1,(IF(BR191="L1",Parameter!$K$5,Parameter!$K$6+Parameter!$K$7)-(AW191-AS191))/AS191)))</f>
        <v/>
      </c>
      <c r="AY191" s="53">
        <f>IF(AC191&lt;=0,"",IF(BR191="Aussen","Aussenlager",IF(BR191="-","Nicht im Lift",IF(AH191&gt;=1,"Lift",IF(AH191&lt;=0,"Aussenlager","teilweise")))))</f>
        <v/>
      </c>
      <c r="AZ191" s="53">
        <f>IF(AK191&lt;=0,"",IF(BR191="Aussen","Aussenlager",IF(BR191="-","Nicht im Lift",IF(AP191&gt;=1,"Lift",IF(AP191&lt;=0,"Aussenlager","teilweise")))))</f>
        <v/>
      </c>
      <c r="BA191" s="53">
        <f>IF(AS191&lt;=0,"",IF(BR191="Aussen","Aussenlager",IF(BR191="-","Nicht im Lift",IF(AX191&gt;=1,"Lift",IF(AX191&lt;=0,"Aussenlager","teilweise")))))</f>
        <v/>
      </c>
      <c r="BB191" s="53">
        <f>IF(A191="","",IF(BK191=1,"Neu; ","")&amp;IF(AND(BK191=0,BF191&lt;0),"negativer Bestand (Export "&amp;BF191&amp;"); ","")&amp;IF(I191&lt;=0,"Kein Verbrauch; ","")&amp;IF(BO191=1,"Lose – Fläche geschätzt; ","")&amp;IF(G191&gt;AM191,"Überbestand "&amp;ROUND(G191-AM191,0)&amp;" Stk / CHF "&amp;ROUND((G191-AM191)*F191,0)&amp;"; ","")&amp;IF(AND(BT191=1,BU191&lt;BV191),"MAX &lt; MB+LG; ","")&amp;IF(AND(BZ191&gt;0,BY191*10&gt;BZ191),"zu hoch für Tablar; ","")&amp;IF(AND(BK191=0,OR(BT191=1,V191&lt;&gt;"",S191&lt;&gt;"",T191&lt;&gt;"",W191&lt;&gt;"")),"manuell übersteuert; ","")&amp;IF(AND(BO191=0,Q191=0),"Gebinde unbekannt; ","")&amp;IF(AND(BO191=0,N(T191)&lt;=0,N(P191)&lt;=0),"Menge pro Gebinde fehlt (Ist = 1 Gebinde); ","")&amp;BJ191)</f>
        <v/>
      </c>
      <c r="BC191" s="53" t="n"/>
      <c r="BD191" s="53" t="n"/>
      <c r="BE191" s="61" t="n"/>
      <c r="BF191" s="55" t="n">
        <v>5</v>
      </c>
      <c r="BG191" s="55" t="n">
        <v>0</v>
      </c>
      <c r="BH191" s="54" t="n">
        <v>925.65</v>
      </c>
      <c r="BI191" s="55" t="n">
        <v>2</v>
      </c>
      <c r="BJ191" s="53" t="inlineStr"/>
      <c r="BK191" s="58" t="n">
        <v>0</v>
      </c>
      <c r="BL191" s="58" t="n">
        <v>191</v>
      </c>
      <c r="BM191" s="53">
        <f>IF(S191&lt;&gt;"",UPPER(TRIM(S191)),IF(O191="","LOSE",O191))</f>
        <v/>
      </c>
      <c r="BN191" s="55">
        <f>IF(BM191="LOSE",1,IF(N(T191)&gt;0,T191,IF(N(P191)&gt;0,P191,MAX(1,G191))))</f>
        <v/>
      </c>
      <c r="BO191" s="58">
        <f>IF(BM191="LOSE",1,0)</f>
        <v/>
      </c>
      <c r="BP191" s="64">
        <f>IF(BO191=0,0,IF(N(R191)&gt;0,R191,IFERROR(VLOOKUP(D191,Parameter!$A$35:$C$64,3,0)+0,0)))</f>
        <v/>
      </c>
      <c r="BQ191" s="53">
        <f>IF(V191&lt;&gt;"",V191,U191)</f>
        <v/>
      </c>
      <c r="BR191" s="53">
        <f>IF(BQ191=1,"L1",IF(OR(BQ191=2,BQ191=3),"L23",IF(BQ191="Aussen","Aussen","-")))</f>
        <v/>
      </c>
      <c r="BS191" s="66">
        <f>IF(N(W191)&gt;0,W191,0)</f>
        <v/>
      </c>
      <c r="BT191" s="58">
        <f>IF(ISNUMBER(Z191),1,0)</f>
        <v/>
      </c>
      <c r="BU191" s="55">
        <f>N(Z191)</f>
        <v/>
      </c>
      <c r="BV191" s="55">
        <f>N(L191)+N(M191)</f>
        <v/>
      </c>
      <c r="BW191" s="55">
        <f>ROUNDUP(G191/BN191,0)</f>
        <v/>
      </c>
      <c r="BX191" s="55">
        <f>ROUNDUP(BU191/BN191,0)</f>
        <v/>
      </c>
      <c r="BY191" s="58">
        <f>IF(BO191=1,0,IFERROR(VLOOKUP(BM191,'Gebinde-Kategorie'!$A$5:$G$45,5,0)+0,0))</f>
        <v/>
      </c>
      <c r="BZ191" s="58">
        <f>IFERROR(IF(OR(BQ191=1,BQ191=2,BQ191=3),N(INDEX(Parameter!$I$5:$I$7,BQ191)),0),0)</f>
        <v/>
      </c>
    </row>
    <row r="192">
      <c r="A192" s="53" t="inlineStr">
        <is>
          <t>100159</t>
        </is>
      </c>
      <c r="B192" s="53" t="inlineStr">
        <is>
          <t>Klemmhülse</t>
        </is>
      </c>
      <c r="C192" s="53" t="inlineStr">
        <is>
          <t>F</t>
        </is>
      </c>
      <c r="D192" s="53" t="inlineStr">
        <is>
          <t>KTL</t>
        </is>
      </c>
      <c r="E192" s="53" t="inlineStr">
        <is>
          <t>C</t>
        </is>
      </c>
      <c r="F192" s="54" t="n">
        <v>4.88</v>
      </c>
      <c r="G192" s="55">
        <f>MAX(0,IF(Parameter!$B$20="Jahresanfang 2025 + Export",BG192+BF192,BF192))</f>
        <v/>
      </c>
      <c r="H192" s="55">
        <f>G192*F192</f>
        <v/>
      </c>
      <c r="I192" s="55">
        <f>BI192*Parameter!$B$18</f>
        <v/>
      </c>
      <c r="J192" s="56" t="n">
        <v>175</v>
      </c>
      <c r="K192" s="57" t="n">
        <v>2.022857142857143</v>
      </c>
      <c r="L192" s="55" t="n">
        <v>20</v>
      </c>
      <c r="M192" s="55" t="n">
        <v>355</v>
      </c>
      <c r="N192" s="58" t="n">
        <v>21</v>
      </c>
      <c r="O192" s="53" t="inlineStr">
        <is>
          <t>S32</t>
        </is>
      </c>
      <c r="P192" s="55" t="n">
        <v>241</v>
      </c>
      <c r="Q192" s="59">
        <f>IF(BO192=1,0,IFERROR(VLOOKUP(BM192,'Gebinde-Kategorie'!$A$5:$G$45,6,0)+0,0))</f>
        <v/>
      </c>
      <c r="R192" s="60" t="n"/>
      <c r="S192" s="61" t="n"/>
      <c r="T192" s="61" t="n"/>
      <c r="U192" s="53">
        <f>IF(A192="","",IF(IFERROR(VLOOKUP(D192,Parameter!$A$35:$C$64,2,0),"Nein")="2+3",IF(ISNUMBER(SEARCH("grosser Artikel",BJ192)),2,IFERROR(VLOOKUP(BM192,Parameter!$F$35:$G$64,2,0),2)),IF(OR(IFERROR(VLOOKUP(D192,Parameter!$A$35:$C$64,2,0),"Nein")="Nein",IFERROR(VLOOKUP(D192,Parameter!$A$35:$C$64,2,0),"Nein")=""),"-",VLOOKUP(D192,Parameter!$A$35:$C$64,2,0))))</f>
        <v/>
      </c>
      <c r="V192" s="61" t="n"/>
      <c r="W192" s="62" t="n"/>
      <c r="X192" s="55">
        <f>AM192</f>
        <v/>
      </c>
      <c r="Y192" s="55">
        <f>MAX(AM192,G192)</f>
        <v/>
      </c>
      <c r="Z192" s="63" t="n"/>
      <c r="AA192" s="55">
        <f>IF(LEFT(Cockpit!$C$5,1)="A",G192,IF(BT192=1,BU192,IF(LEFT(Cockpit!$C$5,1)="B",AE192,MAX(AE192,G192))))</f>
        <v/>
      </c>
      <c r="AB192" s="55">
        <f>IF(BO192=1,0,ROUNDUP(AA192/BN192,0))</f>
        <v/>
      </c>
      <c r="AC192" s="64">
        <f>IF(BO192=1,IF(AA192&lt;=0,0,BP192*MAX(1,IF(G192&gt;0,AA192/G192,1))),AB192*Q192)</f>
        <v/>
      </c>
      <c r="AD192" s="55">
        <f>AA192*F192</f>
        <v/>
      </c>
      <c r="AE192" s="55">
        <f>ROUNDUP(MAX(I192/IF(BS192&gt;0,BS192,MAX(0.1,N(Cockpit!$C$6))),BV192)/BN192,0)*BN192</f>
        <v/>
      </c>
      <c r="AF192" s="56">
        <f>IF(AC192&gt;0,I192/AC192,-1)</f>
        <v/>
      </c>
      <c r="AG192" s="56">
        <f>IF(AND(OR(BR192="L1",BR192="L23"),AC192&gt;0),SUMIFS($AC$7:$AC$1570,$BR$7:$BR$1570,BR192,$AF$7:$AF$1570,"&gt;"&amp;AF192)+SUMIFS($AC$7:$AC$1570,$BR$7:$BR$1570,BR192,$AF$7:$AF$1570,AF192,$BL$7:$BL$1570,"&lt;="&amp;BL192),"")</f>
        <v/>
      </c>
      <c r="AH192" s="65">
        <f>IF(AG192="",0,MAX(0,MIN(1,(IF(BR192="L1",Parameter!$K$5,Parameter!$K$6+Parameter!$K$7)-(AG192-AC192))/AC192)))</f>
        <v/>
      </c>
      <c r="AI192" s="55">
        <f>IF(LEFT(Cockpit!$I$5,1)="A",G192,IF(BT192=1,BU192,IF(LEFT(Cockpit!$I$5,1)="B",AM192,MAX(AM192,G192))))</f>
        <v/>
      </c>
      <c r="AJ192" s="55">
        <f>IF(BO192=1,0,ROUNDUP(AI192/BN192,0))</f>
        <v/>
      </c>
      <c r="AK192" s="64">
        <f>IF(BO192=1,IF(AI192&lt;=0,0,BP192*MAX(1,IF(G192&gt;0,AI192/G192,1))),AJ192*Q192)</f>
        <v/>
      </c>
      <c r="AL192" s="55">
        <f>AI192*F192</f>
        <v/>
      </c>
      <c r="AM192" s="55">
        <f>ROUNDUP(MAX(I192/IF(BS192&gt;0,BS192,MAX(0.1,N(Cockpit!$I$6))),BV192)/BN192,0)*BN192</f>
        <v/>
      </c>
      <c r="AN192" s="56">
        <f>IF(AK192&gt;0,I192/AK192,-1)</f>
        <v/>
      </c>
      <c r="AO192" s="56">
        <f>IF(AND(OR(BR192="L1",BR192="L23"),AK192&gt;0),SUMIFS($AK$7:$AK$1570,$BR$7:$BR$1570,BR192,$AN$7:$AN$1570,"&gt;"&amp;AN192)+SUMIFS($AK$7:$AK$1570,$BR$7:$BR$1570,BR192,$AN$7:$AN$1570,AN192,$BL$7:$BL$1570,"&lt;="&amp;BL192),"")</f>
        <v/>
      </c>
      <c r="AP192" s="65">
        <f>IF(AO192="",0,MAX(0,MIN(1,(IF(BR192="L1",Parameter!$K$5,Parameter!$K$6+Parameter!$K$7)-(AO192-AK192))/AK192)))</f>
        <v/>
      </c>
      <c r="AQ192" s="55">
        <f>IF(LEFT(Cockpit!$O$5,1)="A",G192,IF(BT192=1,BU192,IF(LEFT(Cockpit!$O$5,1)="B",AU192,MAX(AU192,G192))))</f>
        <v/>
      </c>
      <c r="AR192" s="55">
        <f>IF(BO192=1,0,ROUNDUP(AQ192/BN192,0))</f>
        <v/>
      </c>
      <c r="AS192" s="64">
        <f>IF(BO192=1,IF(AQ192&lt;=0,0,BP192*MAX(1,IF(G192&gt;0,AQ192/G192,1))),AR192*Q192)</f>
        <v/>
      </c>
      <c r="AT192" s="55">
        <f>AQ192*F192</f>
        <v/>
      </c>
      <c r="AU192" s="55">
        <f>ROUNDUP(MAX(I192/IF(BS192&gt;0,BS192,MAX(0.1,N(Cockpit!$O$6))),BV192)/BN192,0)*BN192</f>
        <v/>
      </c>
      <c r="AV192" s="56">
        <f>IF(AS192&gt;0,I192/AS192,-1)</f>
        <v/>
      </c>
      <c r="AW192" s="56">
        <f>IF(AND(OR(BR192="L1",BR192="L23"),AS192&gt;0),SUMIFS($AS$7:$AS$1570,$BR$7:$BR$1570,BR192,$AV$7:$AV$1570,"&gt;"&amp;AV192)+SUMIFS($AS$7:$AS$1570,$BR$7:$BR$1570,BR192,$AV$7:$AV$1570,AV192,$BL$7:$BL$1570,"&lt;="&amp;BL192),"")</f>
        <v/>
      </c>
      <c r="AX192" s="65">
        <f>IF(AW192="",0,MAX(0,MIN(1,(IF(BR192="L1",Parameter!$K$5,Parameter!$K$6+Parameter!$K$7)-(AW192-AS192))/AS192)))</f>
        <v/>
      </c>
      <c r="AY192" s="53">
        <f>IF(AC192&lt;=0,"",IF(BR192="Aussen","Aussenlager",IF(BR192="-","Nicht im Lift",IF(AH192&gt;=1,"Lift",IF(AH192&lt;=0,"Aussenlager","teilweise")))))</f>
        <v/>
      </c>
      <c r="AZ192" s="53">
        <f>IF(AK192&lt;=0,"",IF(BR192="Aussen","Aussenlager",IF(BR192="-","Nicht im Lift",IF(AP192&gt;=1,"Lift",IF(AP192&lt;=0,"Aussenlager","teilweise")))))</f>
        <v/>
      </c>
      <c r="BA192" s="53">
        <f>IF(AS192&lt;=0,"",IF(BR192="Aussen","Aussenlager",IF(BR192="-","Nicht im Lift",IF(AX192&gt;=1,"Lift",IF(AX192&lt;=0,"Aussenlager","teilweise")))))</f>
        <v/>
      </c>
      <c r="BB192" s="53">
        <f>IF(A192="","",IF(BK192=1,"Neu; ","")&amp;IF(AND(BK192=0,BF192&lt;0),"negativer Bestand (Export "&amp;BF192&amp;"); ","")&amp;IF(I192&lt;=0,"Kein Verbrauch; ","")&amp;IF(BO192=1,"Lose – Fläche geschätzt; ","")&amp;IF(G192&gt;AM192,"Überbestand "&amp;ROUND(G192-AM192,0)&amp;" Stk / CHF "&amp;ROUND((G192-AM192)*F192,0)&amp;"; ","")&amp;IF(AND(BT192=1,BU192&lt;BV192),"MAX &lt; MB+LG; ","")&amp;IF(AND(BZ192&gt;0,BY192*10&gt;BZ192),"zu hoch für Tablar; ","")&amp;IF(AND(BK192=0,OR(BT192=1,V192&lt;&gt;"",S192&lt;&gt;"",T192&lt;&gt;"",W192&lt;&gt;"")),"manuell übersteuert; ","")&amp;IF(AND(BO192=0,Q192=0),"Gebinde unbekannt; ","")&amp;IF(AND(BO192=0,N(T192)&lt;=0,N(P192)&lt;=0),"Menge pro Gebinde fehlt (Ist = 1 Gebinde); ","")&amp;BJ192)</f>
        <v/>
      </c>
      <c r="BC192" s="53" t="n"/>
      <c r="BD192" s="53" t="n"/>
      <c r="BE192" s="61" t="n"/>
      <c r="BF192" s="55" t="n">
        <v>216</v>
      </c>
      <c r="BG192" s="55" t="n">
        <v>119</v>
      </c>
      <c r="BH192" s="54" t="n">
        <v>900.6300000000015</v>
      </c>
      <c r="BI192" s="55" t="n">
        <v>354</v>
      </c>
      <c r="BJ192" s="53" t="inlineStr"/>
      <c r="BK192" s="58" t="n">
        <v>0</v>
      </c>
      <c r="BL192" s="58" t="n">
        <v>192</v>
      </c>
      <c r="BM192" s="53">
        <f>IF(S192&lt;&gt;"",UPPER(TRIM(S192)),IF(O192="","LOSE",O192))</f>
        <v/>
      </c>
      <c r="BN192" s="55">
        <f>IF(BM192="LOSE",1,IF(N(T192)&gt;0,T192,IF(N(P192)&gt;0,P192,MAX(1,G192))))</f>
        <v/>
      </c>
      <c r="BO192" s="58">
        <f>IF(BM192="LOSE",1,0)</f>
        <v/>
      </c>
      <c r="BP192" s="64">
        <f>IF(BO192=0,0,IF(N(R192)&gt;0,R192,IFERROR(VLOOKUP(D192,Parameter!$A$35:$C$64,3,0)+0,0)))</f>
        <v/>
      </c>
      <c r="BQ192" s="53">
        <f>IF(V192&lt;&gt;"",V192,U192)</f>
        <v/>
      </c>
      <c r="BR192" s="53">
        <f>IF(BQ192=1,"L1",IF(OR(BQ192=2,BQ192=3),"L23",IF(BQ192="Aussen","Aussen","-")))</f>
        <v/>
      </c>
      <c r="BS192" s="66">
        <f>IF(N(W192)&gt;0,W192,0)</f>
        <v/>
      </c>
      <c r="BT192" s="58">
        <f>IF(ISNUMBER(Z192),1,0)</f>
        <v/>
      </c>
      <c r="BU192" s="55">
        <f>N(Z192)</f>
        <v/>
      </c>
      <c r="BV192" s="55">
        <f>N(L192)+N(M192)</f>
        <v/>
      </c>
      <c r="BW192" s="55">
        <f>ROUNDUP(G192/BN192,0)</f>
        <v/>
      </c>
      <c r="BX192" s="55">
        <f>ROUNDUP(BU192/BN192,0)</f>
        <v/>
      </c>
      <c r="BY192" s="58">
        <f>IF(BO192=1,0,IFERROR(VLOOKUP(BM192,'Gebinde-Kategorie'!$A$5:$G$45,5,0)+0,0))</f>
        <v/>
      </c>
      <c r="BZ192" s="58">
        <f>IFERROR(IF(OR(BQ192=1,BQ192=2,BQ192=3),N(INDEX(Parameter!$I$5:$I$7,BQ192)),0),0)</f>
        <v/>
      </c>
    </row>
    <row r="193">
      <c r="A193" s="53" t="inlineStr">
        <is>
          <t>110885</t>
        </is>
      </c>
      <c r="B193" s="53" t="inlineStr">
        <is>
          <t>Blende</t>
        </is>
      </c>
      <c r="C193" s="53" t="inlineStr">
        <is>
          <t>F</t>
        </is>
      </c>
      <c r="D193" s="53" t="inlineStr">
        <is>
          <t>KTL</t>
        </is>
      </c>
      <c r="E193" s="53" t="inlineStr">
        <is>
          <t>C</t>
        </is>
      </c>
      <c r="F193" s="54" t="n">
        <v>54.41</v>
      </c>
      <c r="G193" s="55">
        <f>MAX(0,IF(Parameter!$B$20="Jahresanfang 2025 + Export",BG193+BF193,BF193))</f>
        <v/>
      </c>
      <c r="H193" s="55">
        <f>G193*F193</f>
        <v/>
      </c>
      <c r="I193" s="55">
        <f>BI193*Parameter!$B$18</f>
        <v/>
      </c>
      <c r="J193" s="56" t="n">
        <v>8</v>
      </c>
      <c r="K193" s="57" t="n">
        <v>5</v>
      </c>
      <c r="L193" s="55" t="n">
        <v>3</v>
      </c>
      <c r="M193" s="55" t="n">
        <v>40</v>
      </c>
      <c r="N193" s="58" t="n">
        <v>35</v>
      </c>
      <c r="O193" s="53" t="inlineStr">
        <is>
          <t>S32</t>
        </is>
      </c>
      <c r="P193" s="55" t="n">
        <v>40</v>
      </c>
      <c r="Q193" s="59">
        <f>IF(BO193=1,0,IFERROR(VLOOKUP(BM193,'Gebinde-Kategorie'!$A$5:$G$45,6,0)+0,0))</f>
        <v/>
      </c>
      <c r="R193" s="60" t="n"/>
      <c r="S193" s="61" t="n"/>
      <c r="T193" s="61" t="n"/>
      <c r="U193" s="53">
        <f>IF(A193="","",IF(IFERROR(VLOOKUP(D193,Parameter!$A$35:$C$64,2,0),"Nein")="2+3",IF(ISNUMBER(SEARCH("grosser Artikel",BJ193)),2,IFERROR(VLOOKUP(BM193,Parameter!$F$35:$G$64,2,0),2)),IF(OR(IFERROR(VLOOKUP(D193,Parameter!$A$35:$C$64,2,0),"Nein")="Nein",IFERROR(VLOOKUP(D193,Parameter!$A$35:$C$64,2,0),"Nein")=""),"-",VLOOKUP(D193,Parameter!$A$35:$C$64,2,0))))</f>
        <v/>
      </c>
      <c r="V193" s="61" t="n"/>
      <c r="W193" s="62" t="n"/>
      <c r="X193" s="55">
        <f>AM193</f>
        <v/>
      </c>
      <c r="Y193" s="55">
        <f>MAX(AM193,G193)</f>
        <v/>
      </c>
      <c r="Z193" s="63" t="n"/>
      <c r="AA193" s="55">
        <f>IF(LEFT(Cockpit!$C$5,1)="A",G193,IF(BT193=1,BU193,IF(LEFT(Cockpit!$C$5,1)="B",AE193,MAX(AE193,G193))))</f>
        <v/>
      </c>
      <c r="AB193" s="55">
        <f>IF(BO193=1,0,ROUNDUP(AA193/BN193,0))</f>
        <v/>
      </c>
      <c r="AC193" s="64">
        <f>IF(BO193=1,IF(AA193&lt;=0,0,BP193*MAX(1,IF(G193&gt;0,AA193/G193,1))),AB193*Q193)</f>
        <v/>
      </c>
      <c r="AD193" s="55">
        <f>AA193*F193</f>
        <v/>
      </c>
      <c r="AE193" s="55">
        <f>ROUNDUP(MAX(I193/IF(BS193&gt;0,BS193,MAX(0.1,N(Cockpit!$C$6))),BV193)/BN193,0)*BN193</f>
        <v/>
      </c>
      <c r="AF193" s="56">
        <f>IF(AC193&gt;0,I193/AC193,-1)</f>
        <v/>
      </c>
      <c r="AG193" s="56">
        <f>IF(AND(OR(BR193="L1",BR193="L23"),AC193&gt;0),SUMIFS($AC$7:$AC$1570,$BR$7:$BR$1570,BR193,$AF$7:$AF$1570,"&gt;"&amp;AF193)+SUMIFS($AC$7:$AC$1570,$BR$7:$BR$1570,BR193,$AF$7:$AF$1570,AF193,$BL$7:$BL$1570,"&lt;="&amp;BL193),"")</f>
        <v/>
      </c>
      <c r="AH193" s="65">
        <f>IF(AG193="",0,MAX(0,MIN(1,(IF(BR193="L1",Parameter!$K$5,Parameter!$K$6+Parameter!$K$7)-(AG193-AC193))/AC193)))</f>
        <v/>
      </c>
      <c r="AI193" s="55">
        <f>IF(LEFT(Cockpit!$I$5,1)="A",G193,IF(BT193=1,BU193,IF(LEFT(Cockpit!$I$5,1)="B",AM193,MAX(AM193,G193))))</f>
        <v/>
      </c>
      <c r="AJ193" s="55">
        <f>IF(BO193=1,0,ROUNDUP(AI193/BN193,0))</f>
        <v/>
      </c>
      <c r="AK193" s="64">
        <f>IF(BO193=1,IF(AI193&lt;=0,0,BP193*MAX(1,IF(G193&gt;0,AI193/G193,1))),AJ193*Q193)</f>
        <v/>
      </c>
      <c r="AL193" s="55">
        <f>AI193*F193</f>
        <v/>
      </c>
      <c r="AM193" s="55">
        <f>ROUNDUP(MAX(I193/IF(BS193&gt;0,BS193,MAX(0.1,N(Cockpit!$I$6))),BV193)/BN193,0)*BN193</f>
        <v/>
      </c>
      <c r="AN193" s="56">
        <f>IF(AK193&gt;0,I193/AK193,-1)</f>
        <v/>
      </c>
      <c r="AO193" s="56">
        <f>IF(AND(OR(BR193="L1",BR193="L23"),AK193&gt;0),SUMIFS($AK$7:$AK$1570,$BR$7:$BR$1570,BR193,$AN$7:$AN$1570,"&gt;"&amp;AN193)+SUMIFS($AK$7:$AK$1570,$BR$7:$BR$1570,BR193,$AN$7:$AN$1570,AN193,$BL$7:$BL$1570,"&lt;="&amp;BL193),"")</f>
        <v/>
      </c>
      <c r="AP193" s="65">
        <f>IF(AO193="",0,MAX(0,MIN(1,(IF(BR193="L1",Parameter!$K$5,Parameter!$K$6+Parameter!$K$7)-(AO193-AK193))/AK193)))</f>
        <v/>
      </c>
      <c r="AQ193" s="55">
        <f>IF(LEFT(Cockpit!$O$5,1)="A",G193,IF(BT193=1,BU193,IF(LEFT(Cockpit!$O$5,1)="B",AU193,MAX(AU193,G193))))</f>
        <v/>
      </c>
      <c r="AR193" s="55">
        <f>IF(BO193=1,0,ROUNDUP(AQ193/BN193,0))</f>
        <v/>
      </c>
      <c r="AS193" s="64">
        <f>IF(BO193=1,IF(AQ193&lt;=0,0,BP193*MAX(1,IF(G193&gt;0,AQ193/G193,1))),AR193*Q193)</f>
        <v/>
      </c>
      <c r="AT193" s="55">
        <f>AQ193*F193</f>
        <v/>
      </c>
      <c r="AU193" s="55">
        <f>ROUNDUP(MAX(I193/IF(BS193&gt;0,BS193,MAX(0.1,N(Cockpit!$O$6))),BV193)/BN193,0)*BN193</f>
        <v/>
      </c>
      <c r="AV193" s="56">
        <f>IF(AS193&gt;0,I193/AS193,-1)</f>
        <v/>
      </c>
      <c r="AW193" s="56">
        <f>IF(AND(OR(BR193="L1",BR193="L23"),AS193&gt;0),SUMIFS($AS$7:$AS$1570,$BR$7:$BR$1570,BR193,$AV$7:$AV$1570,"&gt;"&amp;AV193)+SUMIFS($AS$7:$AS$1570,$BR$7:$BR$1570,BR193,$AV$7:$AV$1570,AV193,$BL$7:$BL$1570,"&lt;="&amp;BL193),"")</f>
        <v/>
      </c>
      <c r="AX193" s="65">
        <f>IF(AW193="",0,MAX(0,MIN(1,(IF(BR193="L1",Parameter!$K$5,Parameter!$K$6+Parameter!$K$7)-(AW193-AS193))/AS193)))</f>
        <v/>
      </c>
      <c r="AY193" s="53">
        <f>IF(AC193&lt;=0,"",IF(BR193="Aussen","Aussenlager",IF(BR193="-","Nicht im Lift",IF(AH193&gt;=1,"Lift",IF(AH193&lt;=0,"Aussenlager","teilweise")))))</f>
        <v/>
      </c>
      <c r="AZ193" s="53">
        <f>IF(AK193&lt;=0,"",IF(BR193="Aussen","Aussenlager",IF(BR193="-","Nicht im Lift",IF(AP193&gt;=1,"Lift",IF(AP193&lt;=0,"Aussenlager","teilweise")))))</f>
        <v/>
      </c>
      <c r="BA193" s="53">
        <f>IF(AS193&lt;=0,"",IF(BR193="Aussen","Aussenlager",IF(BR193="-","Nicht im Lift",IF(AX193&gt;=1,"Lift",IF(AX193&lt;=0,"Aussenlager","teilweise")))))</f>
        <v/>
      </c>
      <c r="BB193" s="53">
        <f>IF(A193="","",IF(BK193=1,"Neu; ","")&amp;IF(AND(BK193=0,BF193&lt;0),"negativer Bestand (Export "&amp;BF193&amp;"); ","")&amp;IF(I193&lt;=0,"Kein Verbrauch; ","")&amp;IF(BO193=1,"Lose – Fläche geschätzt; ","")&amp;IF(G193&gt;AM193,"Überbestand "&amp;ROUND(G193-AM193,0)&amp;" Stk / CHF "&amp;ROUND((G193-AM193)*F193,0)&amp;"; ","")&amp;IF(AND(BT193=1,BU193&lt;BV193),"MAX &lt; MB+LG; ","")&amp;IF(AND(BZ193&gt;0,BY193*10&gt;BZ193),"zu hoch für Tablar; ","")&amp;IF(AND(BK193=0,OR(BT193=1,V193&lt;&gt;"",S193&lt;&gt;"",T193&lt;&gt;"",W193&lt;&gt;"")),"manuell übersteuert; ","")&amp;IF(AND(BO193=0,Q193=0),"Gebinde unbekannt; ","")&amp;IF(AND(BO193=0,N(T193)&lt;=0,N(P193)&lt;=0),"Menge pro Gebinde fehlt (Ist = 1 Gebinde); ","")&amp;BJ193)</f>
        <v/>
      </c>
      <c r="BC193" s="53" t="n"/>
      <c r="BD193" s="53" t="n"/>
      <c r="BE193" s="61" t="n"/>
      <c r="BF193" s="55" t="n">
        <v>16</v>
      </c>
      <c r="BG193" s="55" t="n">
        <v>0</v>
      </c>
      <c r="BH193" s="54" t="n">
        <v>870.5600000000004</v>
      </c>
      <c r="BI193" s="55" t="n">
        <v>40</v>
      </c>
      <c r="BJ193" s="53" t="inlineStr"/>
      <c r="BK193" s="58" t="n">
        <v>0</v>
      </c>
      <c r="BL193" s="58" t="n">
        <v>193</v>
      </c>
      <c r="BM193" s="53">
        <f>IF(S193&lt;&gt;"",UPPER(TRIM(S193)),IF(O193="","LOSE",O193))</f>
        <v/>
      </c>
      <c r="BN193" s="55">
        <f>IF(BM193="LOSE",1,IF(N(T193)&gt;0,T193,IF(N(P193)&gt;0,P193,MAX(1,G193))))</f>
        <v/>
      </c>
      <c r="BO193" s="58">
        <f>IF(BM193="LOSE",1,0)</f>
        <v/>
      </c>
      <c r="BP193" s="64">
        <f>IF(BO193=0,0,IF(N(R193)&gt;0,R193,IFERROR(VLOOKUP(D193,Parameter!$A$35:$C$64,3,0)+0,0)))</f>
        <v/>
      </c>
      <c r="BQ193" s="53">
        <f>IF(V193&lt;&gt;"",V193,U193)</f>
        <v/>
      </c>
      <c r="BR193" s="53">
        <f>IF(BQ193=1,"L1",IF(OR(BQ193=2,BQ193=3),"L23",IF(BQ193="Aussen","Aussen","-")))</f>
        <v/>
      </c>
      <c r="BS193" s="66">
        <f>IF(N(W193)&gt;0,W193,0)</f>
        <v/>
      </c>
      <c r="BT193" s="58">
        <f>IF(ISNUMBER(Z193),1,0)</f>
        <v/>
      </c>
      <c r="BU193" s="55">
        <f>N(Z193)</f>
        <v/>
      </c>
      <c r="BV193" s="55">
        <f>N(L193)+N(M193)</f>
        <v/>
      </c>
      <c r="BW193" s="55">
        <f>ROUNDUP(G193/BN193,0)</f>
        <v/>
      </c>
      <c r="BX193" s="55">
        <f>ROUNDUP(BU193/BN193,0)</f>
        <v/>
      </c>
      <c r="BY193" s="58">
        <f>IF(BO193=1,0,IFERROR(VLOOKUP(BM193,'Gebinde-Kategorie'!$A$5:$G$45,5,0)+0,0))</f>
        <v/>
      </c>
      <c r="BZ193" s="58">
        <f>IFERROR(IF(OR(BQ193=1,BQ193=2,BQ193=3),N(INDEX(Parameter!$I$5:$I$7,BQ193)),0),0)</f>
        <v/>
      </c>
    </row>
    <row r="194">
      <c r="A194" s="53" t="inlineStr">
        <is>
          <t>108573</t>
        </is>
      </c>
      <c r="B194" s="53" t="inlineStr">
        <is>
          <t>Aufkleber SPGr</t>
        </is>
      </c>
      <c r="C194" s="53" t="inlineStr">
        <is>
          <t>F</t>
        </is>
      </c>
      <c r="D194" s="53" t="inlineStr">
        <is>
          <t>KTL</t>
        </is>
      </c>
      <c r="E194" s="53" t="inlineStr">
        <is>
          <t>C</t>
        </is>
      </c>
      <c r="F194" s="54" t="n">
        <v>10.46</v>
      </c>
      <c r="G194" s="55">
        <f>MAX(0,IF(Parameter!$B$20="Jahresanfang 2025 + Export",BG194+BF194,BF194))</f>
        <v/>
      </c>
      <c r="H194" s="55">
        <f>G194*F194</f>
        <v/>
      </c>
      <c r="I194" s="55">
        <f>BI194*Parameter!$B$18</f>
        <v/>
      </c>
      <c r="J194" s="56" t="n">
        <v>41</v>
      </c>
      <c r="K194" s="57" t="n">
        <v>3.731707317073171</v>
      </c>
      <c r="L194" s="55" t="n">
        <v>8</v>
      </c>
      <c r="M194" s="55" t="n">
        <v>150</v>
      </c>
      <c r="N194" s="58" t="n">
        <v>21</v>
      </c>
      <c r="O194" s="53" t="inlineStr">
        <is>
          <t>S32</t>
        </is>
      </c>
      <c r="P194" s="55" t="n">
        <v>75</v>
      </c>
      <c r="Q194" s="59">
        <f>IF(BO194=1,0,IFERROR(VLOOKUP(BM194,'Gebinde-Kategorie'!$A$5:$G$45,6,0)+0,0))</f>
        <v/>
      </c>
      <c r="R194" s="60" t="n"/>
      <c r="S194" s="61" t="n"/>
      <c r="T194" s="61" t="n"/>
      <c r="U194" s="53">
        <f>IF(A194="","",IF(IFERROR(VLOOKUP(D194,Parameter!$A$35:$C$64,2,0),"Nein")="2+3",IF(ISNUMBER(SEARCH("grosser Artikel",BJ194)),2,IFERROR(VLOOKUP(BM194,Parameter!$F$35:$G$64,2,0),2)),IF(OR(IFERROR(VLOOKUP(D194,Parameter!$A$35:$C$64,2,0),"Nein")="Nein",IFERROR(VLOOKUP(D194,Parameter!$A$35:$C$64,2,0),"Nein")=""),"-",VLOOKUP(D194,Parameter!$A$35:$C$64,2,0))))</f>
        <v/>
      </c>
      <c r="V194" s="61" t="n"/>
      <c r="W194" s="62" t="n"/>
      <c r="X194" s="55">
        <f>AM194</f>
        <v/>
      </c>
      <c r="Y194" s="55">
        <f>MAX(AM194,G194)</f>
        <v/>
      </c>
      <c r="Z194" s="63" t="n"/>
      <c r="AA194" s="55">
        <f>IF(LEFT(Cockpit!$C$5,1)="A",G194,IF(BT194=1,BU194,IF(LEFT(Cockpit!$C$5,1)="B",AE194,MAX(AE194,G194))))</f>
        <v/>
      </c>
      <c r="AB194" s="55">
        <f>IF(BO194=1,0,ROUNDUP(AA194/BN194,0))</f>
        <v/>
      </c>
      <c r="AC194" s="64">
        <f>IF(BO194=1,IF(AA194&lt;=0,0,BP194*MAX(1,IF(G194&gt;0,AA194/G194,1))),AB194*Q194)</f>
        <v/>
      </c>
      <c r="AD194" s="55">
        <f>AA194*F194</f>
        <v/>
      </c>
      <c r="AE194" s="55">
        <f>ROUNDUP(MAX(I194/IF(BS194&gt;0,BS194,MAX(0.1,N(Cockpit!$C$6))),BV194)/BN194,0)*BN194</f>
        <v/>
      </c>
      <c r="AF194" s="56">
        <f>IF(AC194&gt;0,I194/AC194,-1)</f>
        <v/>
      </c>
      <c r="AG194" s="56">
        <f>IF(AND(OR(BR194="L1",BR194="L23"),AC194&gt;0),SUMIFS($AC$7:$AC$1570,$BR$7:$BR$1570,BR194,$AF$7:$AF$1570,"&gt;"&amp;AF194)+SUMIFS($AC$7:$AC$1570,$BR$7:$BR$1570,BR194,$AF$7:$AF$1570,AF194,$BL$7:$BL$1570,"&lt;="&amp;BL194),"")</f>
        <v/>
      </c>
      <c r="AH194" s="65">
        <f>IF(AG194="",0,MAX(0,MIN(1,(IF(BR194="L1",Parameter!$K$5,Parameter!$K$6+Parameter!$K$7)-(AG194-AC194))/AC194)))</f>
        <v/>
      </c>
      <c r="AI194" s="55">
        <f>IF(LEFT(Cockpit!$I$5,1)="A",G194,IF(BT194=1,BU194,IF(LEFT(Cockpit!$I$5,1)="B",AM194,MAX(AM194,G194))))</f>
        <v/>
      </c>
      <c r="AJ194" s="55">
        <f>IF(BO194=1,0,ROUNDUP(AI194/BN194,0))</f>
        <v/>
      </c>
      <c r="AK194" s="64">
        <f>IF(BO194=1,IF(AI194&lt;=0,0,BP194*MAX(1,IF(G194&gt;0,AI194/G194,1))),AJ194*Q194)</f>
        <v/>
      </c>
      <c r="AL194" s="55">
        <f>AI194*F194</f>
        <v/>
      </c>
      <c r="AM194" s="55">
        <f>ROUNDUP(MAX(I194/IF(BS194&gt;0,BS194,MAX(0.1,N(Cockpit!$I$6))),BV194)/BN194,0)*BN194</f>
        <v/>
      </c>
      <c r="AN194" s="56">
        <f>IF(AK194&gt;0,I194/AK194,-1)</f>
        <v/>
      </c>
      <c r="AO194" s="56">
        <f>IF(AND(OR(BR194="L1",BR194="L23"),AK194&gt;0),SUMIFS($AK$7:$AK$1570,$BR$7:$BR$1570,BR194,$AN$7:$AN$1570,"&gt;"&amp;AN194)+SUMIFS($AK$7:$AK$1570,$BR$7:$BR$1570,BR194,$AN$7:$AN$1570,AN194,$BL$7:$BL$1570,"&lt;="&amp;BL194),"")</f>
        <v/>
      </c>
      <c r="AP194" s="65">
        <f>IF(AO194="",0,MAX(0,MIN(1,(IF(BR194="L1",Parameter!$K$5,Parameter!$K$6+Parameter!$K$7)-(AO194-AK194))/AK194)))</f>
        <v/>
      </c>
      <c r="AQ194" s="55">
        <f>IF(LEFT(Cockpit!$O$5,1)="A",G194,IF(BT194=1,BU194,IF(LEFT(Cockpit!$O$5,1)="B",AU194,MAX(AU194,G194))))</f>
        <v/>
      </c>
      <c r="AR194" s="55">
        <f>IF(BO194=1,0,ROUNDUP(AQ194/BN194,0))</f>
        <v/>
      </c>
      <c r="AS194" s="64">
        <f>IF(BO194=1,IF(AQ194&lt;=0,0,BP194*MAX(1,IF(G194&gt;0,AQ194/G194,1))),AR194*Q194)</f>
        <v/>
      </c>
      <c r="AT194" s="55">
        <f>AQ194*F194</f>
        <v/>
      </c>
      <c r="AU194" s="55">
        <f>ROUNDUP(MAX(I194/IF(BS194&gt;0,BS194,MAX(0.1,N(Cockpit!$O$6))),BV194)/BN194,0)*BN194</f>
        <v/>
      </c>
      <c r="AV194" s="56">
        <f>IF(AS194&gt;0,I194/AS194,-1)</f>
        <v/>
      </c>
      <c r="AW194" s="56">
        <f>IF(AND(OR(BR194="L1",BR194="L23"),AS194&gt;0),SUMIFS($AS$7:$AS$1570,$BR$7:$BR$1570,BR194,$AV$7:$AV$1570,"&gt;"&amp;AV194)+SUMIFS($AS$7:$AS$1570,$BR$7:$BR$1570,BR194,$AV$7:$AV$1570,AV194,$BL$7:$BL$1570,"&lt;="&amp;BL194),"")</f>
        <v/>
      </c>
      <c r="AX194" s="65">
        <f>IF(AW194="",0,MAX(0,MIN(1,(IF(BR194="L1",Parameter!$K$5,Parameter!$K$6+Parameter!$K$7)-(AW194-AS194))/AS194)))</f>
        <v/>
      </c>
      <c r="AY194" s="53">
        <f>IF(AC194&lt;=0,"",IF(BR194="Aussen","Aussenlager",IF(BR194="-","Nicht im Lift",IF(AH194&gt;=1,"Lift",IF(AH194&lt;=0,"Aussenlager","teilweise")))))</f>
        <v/>
      </c>
      <c r="AZ194" s="53">
        <f>IF(AK194&lt;=0,"",IF(BR194="Aussen","Aussenlager",IF(BR194="-","Nicht im Lift",IF(AP194&gt;=1,"Lift",IF(AP194&lt;=0,"Aussenlager","teilweise")))))</f>
        <v/>
      </c>
      <c r="BA194" s="53">
        <f>IF(AS194&lt;=0,"",IF(BR194="Aussen","Aussenlager",IF(BR194="-","Nicht im Lift",IF(AX194&gt;=1,"Lift",IF(AX194&lt;=0,"Aussenlager","teilweise")))))</f>
        <v/>
      </c>
      <c r="BB194" s="53">
        <f>IF(A194="","",IF(BK194=1,"Neu; ","")&amp;IF(AND(BK194=0,BF194&lt;0),"negativer Bestand (Export "&amp;BF194&amp;"); ","")&amp;IF(I194&lt;=0,"Kein Verbrauch; ","")&amp;IF(BO194=1,"Lose – Fläche geschätzt; ","")&amp;IF(G194&gt;AM194,"Überbestand "&amp;ROUND(G194-AM194,0)&amp;" Stk / CHF "&amp;ROUND((G194-AM194)*F194,0)&amp;"; ","")&amp;IF(AND(BT194=1,BU194&lt;BV194),"MAX &lt; MB+LG; ","")&amp;IF(AND(BZ194&gt;0,BY194*10&gt;BZ194),"zu hoch für Tablar; ","")&amp;IF(AND(BK194=0,OR(BT194=1,V194&lt;&gt;"",S194&lt;&gt;"",T194&lt;&gt;"",W194&lt;&gt;"")),"manuell übersteuert; ","")&amp;IF(AND(BO194=0,Q194=0),"Gebinde unbekannt; ","")&amp;IF(AND(BO194=0,N(T194)&lt;=0,N(P194)&lt;=0),"Menge pro Gebinde fehlt (Ist = 1 Gebinde); ","")&amp;BJ194)</f>
        <v/>
      </c>
      <c r="BC194" s="53" t="n"/>
      <c r="BD194" s="53" t="n"/>
      <c r="BE194" s="61" t="n"/>
      <c r="BF194" s="55" t="n">
        <v>86</v>
      </c>
      <c r="BG194" s="55" t="n">
        <v>44</v>
      </c>
      <c r="BH194" s="54" t="n">
        <v>842.3600000000004</v>
      </c>
      <c r="BI194" s="55" t="n">
        <v>153</v>
      </c>
      <c r="BJ194" s="53" t="inlineStr"/>
      <c r="BK194" s="58" t="n">
        <v>0</v>
      </c>
      <c r="BL194" s="58" t="n">
        <v>194</v>
      </c>
      <c r="BM194" s="53">
        <f>IF(S194&lt;&gt;"",UPPER(TRIM(S194)),IF(O194="","LOSE",O194))</f>
        <v/>
      </c>
      <c r="BN194" s="55">
        <f>IF(BM194="LOSE",1,IF(N(T194)&gt;0,T194,IF(N(P194)&gt;0,P194,MAX(1,G194))))</f>
        <v/>
      </c>
      <c r="BO194" s="58">
        <f>IF(BM194="LOSE",1,0)</f>
        <v/>
      </c>
      <c r="BP194" s="64">
        <f>IF(BO194=0,0,IF(N(R194)&gt;0,R194,IFERROR(VLOOKUP(D194,Parameter!$A$35:$C$64,3,0)+0,0)))</f>
        <v/>
      </c>
      <c r="BQ194" s="53">
        <f>IF(V194&lt;&gt;"",V194,U194)</f>
        <v/>
      </c>
      <c r="BR194" s="53">
        <f>IF(BQ194=1,"L1",IF(OR(BQ194=2,BQ194=3),"L23",IF(BQ194="Aussen","Aussen","-")))</f>
        <v/>
      </c>
      <c r="BS194" s="66">
        <f>IF(N(W194)&gt;0,W194,0)</f>
        <v/>
      </c>
      <c r="BT194" s="58">
        <f>IF(ISNUMBER(Z194),1,0)</f>
        <v/>
      </c>
      <c r="BU194" s="55">
        <f>N(Z194)</f>
        <v/>
      </c>
      <c r="BV194" s="55">
        <f>N(L194)+N(M194)</f>
        <v/>
      </c>
      <c r="BW194" s="55">
        <f>ROUNDUP(G194/BN194,0)</f>
        <v/>
      </c>
      <c r="BX194" s="55">
        <f>ROUNDUP(BU194/BN194,0)</f>
        <v/>
      </c>
      <c r="BY194" s="58">
        <f>IF(BO194=1,0,IFERROR(VLOOKUP(BM194,'Gebinde-Kategorie'!$A$5:$G$45,5,0)+0,0))</f>
        <v/>
      </c>
      <c r="BZ194" s="58">
        <f>IFERROR(IF(OR(BQ194=1,BQ194=2,BQ194=3),N(INDEX(Parameter!$I$5:$I$7,BQ194)),0),0)</f>
        <v/>
      </c>
    </row>
    <row r="195">
      <c r="A195" s="53" t="inlineStr">
        <is>
          <t>101566</t>
        </is>
      </c>
      <c r="B195" s="53" t="inlineStr">
        <is>
          <t>Stützring</t>
        </is>
      </c>
      <c r="C195" s="53" t="inlineStr">
        <is>
          <t>F</t>
        </is>
      </c>
      <c r="D195" s="53" t="inlineStr">
        <is>
          <t>KTL</t>
        </is>
      </c>
      <c r="E195" s="53" t="inlineStr">
        <is>
          <t>C</t>
        </is>
      </c>
      <c r="F195" s="54" t="n">
        <v>1.2</v>
      </c>
      <c r="G195" s="55">
        <f>MAX(0,IF(Parameter!$B$20="Jahresanfang 2025 + Export",BG195+BF195,BF195))</f>
        <v/>
      </c>
      <c r="H195" s="55">
        <f>G195*F195</f>
        <v/>
      </c>
      <c r="I195" s="55">
        <f>BI195*Parameter!$B$18</f>
        <v/>
      </c>
      <c r="J195" s="56" t="n">
        <v>400</v>
      </c>
      <c r="K195" s="57" t="n">
        <v>3.175</v>
      </c>
      <c r="L195" s="55" t="n">
        <v>49</v>
      </c>
      <c r="M195" s="55" t="n">
        <v>1270</v>
      </c>
      <c r="N195" s="58" t="n">
        <v>14</v>
      </c>
      <c r="O195" s="53" t="inlineStr">
        <is>
          <t>S33</t>
        </is>
      </c>
      <c r="P195" s="55" t="n">
        <v>666</v>
      </c>
      <c r="Q195" s="59">
        <f>IF(BO195=1,0,IFERROR(VLOOKUP(BM195,'Gebinde-Kategorie'!$A$5:$G$45,6,0)+0,0))</f>
        <v/>
      </c>
      <c r="R195" s="60" t="n"/>
      <c r="S195" s="61" t="n"/>
      <c r="T195" s="61" t="n"/>
      <c r="U195" s="53">
        <f>IF(A195="","",IF(IFERROR(VLOOKUP(D195,Parameter!$A$35:$C$64,2,0),"Nein")="2+3",IF(ISNUMBER(SEARCH("grosser Artikel",BJ195)),2,IFERROR(VLOOKUP(BM195,Parameter!$F$35:$G$64,2,0),2)),IF(OR(IFERROR(VLOOKUP(D195,Parameter!$A$35:$C$64,2,0),"Nein")="Nein",IFERROR(VLOOKUP(D195,Parameter!$A$35:$C$64,2,0),"Nein")=""),"-",VLOOKUP(D195,Parameter!$A$35:$C$64,2,0))))</f>
        <v/>
      </c>
      <c r="V195" s="61" t="n"/>
      <c r="W195" s="62" t="n"/>
      <c r="X195" s="55">
        <f>AM195</f>
        <v/>
      </c>
      <c r="Y195" s="55">
        <f>MAX(AM195,G195)</f>
        <v/>
      </c>
      <c r="Z195" s="63" t="n"/>
      <c r="AA195" s="55">
        <f>IF(LEFT(Cockpit!$C$5,1)="A",G195,IF(BT195=1,BU195,IF(LEFT(Cockpit!$C$5,1)="B",AE195,MAX(AE195,G195))))</f>
        <v/>
      </c>
      <c r="AB195" s="55">
        <f>IF(BO195=1,0,ROUNDUP(AA195/BN195,0))</f>
        <v/>
      </c>
      <c r="AC195" s="64">
        <f>IF(BO195=1,IF(AA195&lt;=0,0,BP195*MAX(1,IF(G195&gt;0,AA195/G195,1))),AB195*Q195)</f>
        <v/>
      </c>
      <c r="AD195" s="55">
        <f>AA195*F195</f>
        <v/>
      </c>
      <c r="AE195" s="55">
        <f>ROUNDUP(MAX(I195/IF(BS195&gt;0,BS195,MAX(0.1,N(Cockpit!$C$6))),BV195)/BN195,0)*BN195</f>
        <v/>
      </c>
      <c r="AF195" s="56">
        <f>IF(AC195&gt;0,I195/AC195,-1)</f>
        <v/>
      </c>
      <c r="AG195" s="56">
        <f>IF(AND(OR(BR195="L1",BR195="L23"),AC195&gt;0),SUMIFS($AC$7:$AC$1570,$BR$7:$BR$1570,BR195,$AF$7:$AF$1570,"&gt;"&amp;AF195)+SUMIFS($AC$7:$AC$1570,$BR$7:$BR$1570,BR195,$AF$7:$AF$1570,AF195,$BL$7:$BL$1570,"&lt;="&amp;BL195),"")</f>
        <v/>
      </c>
      <c r="AH195" s="65">
        <f>IF(AG195="",0,MAX(0,MIN(1,(IF(BR195="L1",Parameter!$K$5,Parameter!$K$6+Parameter!$K$7)-(AG195-AC195))/AC195)))</f>
        <v/>
      </c>
      <c r="AI195" s="55">
        <f>IF(LEFT(Cockpit!$I$5,1)="A",G195,IF(BT195=1,BU195,IF(LEFT(Cockpit!$I$5,1)="B",AM195,MAX(AM195,G195))))</f>
        <v/>
      </c>
      <c r="AJ195" s="55">
        <f>IF(BO195=1,0,ROUNDUP(AI195/BN195,0))</f>
        <v/>
      </c>
      <c r="AK195" s="64">
        <f>IF(BO195=1,IF(AI195&lt;=0,0,BP195*MAX(1,IF(G195&gt;0,AI195/G195,1))),AJ195*Q195)</f>
        <v/>
      </c>
      <c r="AL195" s="55">
        <f>AI195*F195</f>
        <v/>
      </c>
      <c r="AM195" s="55">
        <f>ROUNDUP(MAX(I195/IF(BS195&gt;0,BS195,MAX(0.1,N(Cockpit!$I$6))),BV195)/BN195,0)*BN195</f>
        <v/>
      </c>
      <c r="AN195" s="56">
        <f>IF(AK195&gt;0,I195/AK195,-1)</f>
        <v/>
      </c>
      <c r="AO195" s="56">
        <f>IF(AND(OR(BR195="L1",BR195="L23"),AK195&gt;0),SUMIFS($AK$7:$AK$1570,$BR$7:$BR$1570,BR195,$AN$7:$AN$1570,"&gt;"&amp;AN195)+SUMIFS($AK$7:$AK$1570,$BR$7:$BR$1570,BR195,$AN$7:$AN$1570,AN195,$BL$7:$BL$1570,"&lt;="&amp;BL195),"")</f>
        <v/>
      </c>
      <c r="AP195" s="65">
        <f>IF(AO195="",0,MAX(0,MIN(1,(IF(BR195="L1",Parameter!$K$5,Parameter!$K$6+Parameter!$K$7)-(AO195-AK195))/AK195)))</f>
        <v/>
      </c>
      <c r="AQ195" s="55">
        <f>IF(LEFT(Cockpit!$O$5,1)="A",G195,IF(BT195=1,BU195,IF(LEFT(Cockpit!$O$5,1)="B",AU195,MAX(AU195,G195))))</f>
        <v/>
      </c>
      <c r="AR195" s="55">
        <f>IF(BO195=1,0,ROUNDUP(AQ195/BN195,0))</f>
        <v/>
      </c>
      <c r="AS195" s="64">
        <f>IF(BO195=1,IF(AQ195&lt;=0,0,BP195*MAX(1,IF(G195&gt;0,AQ195/G195,1))),AR195*Q195)</f>
        <v/>
      </c>
      <c r="AT195" s="55">
        <f>AQ195*F195</f>
        <v/>
      </c>
      <c r="AU195" s="55">
        <f>ROUNDUP(MAX(I195/IF(BS195&gt;0,BS195,MAX(0.1,N(Cockpit!$O$6))),BV195)/BN195,0)*BN195</f>
        <v/>
      </c>
      <c r="AV195" s="56">
        <f>IF(AS195&gt;0,I195/AS195,-1)</f>
        <v/>
      </c>
      <c r="AW195" s="56">
        <f>IF(AND(OR(BR195="L1",BR195="L23"),AS195&gt;0),SUMIFS($AS$7:$AS$1570,$BR$7:$BR$1570,BR195,$AV$7:$AV$1570,"&gt;"&amp;AV195)+SUMIFS($AS$7:$AS$1570,$BR$7:$BR$1570,BR195,$AV$7:$AV$1570,AV195,$BL$7:$BL$1570,"&lt;="&amp;BL195),"")</f>
        <v/>
      </c>
      <c r="AX195" s="65">
        <f>IF(AW195="",0,MAX(0,MIN(1,(IF(BR195="L1",Parameter!$K$5,Parameter!$K$6+Parameter!$K$7)-(AW195-AS195))/AS195)))</f>
        <v/>
      </c>
      <c r="AY195" s="53">
        <f>IF(AC195&lt;=0,"",IF(BR195="Aussen","Aussenlager",IF(BR195="-","Nicht im Lift",IF(AH195&gt;=1,"Lift",IF(AH195&lt;=0,"Aussenlager","teilweise")))))</f>
        <v/>
      </c>
      <c r="AZ195" s="53">
        <f>IF(AK195&lt;=0,"",IF(BR195="Aussen","Aussenlager",IF(BR195="-","Nicht im Lift",IF(AP195&gt;=1,"Lift",IF(AP195&lt;=0,"Aussenlager","teilweise")))))</f>
        <v/>
      </c>
      <c r="BA195" s="53">
        <f>IF(AS195&lt;=0,"",IF(BR195="Aussen","Aussenlager",IF(BR195="-","Nicht im Lift",IF(AX195&gt;=1,"Lift",IF(AX195&lt;=0,"Aussenlager","teilweise")))))</f>
        <v/>
      </c>
      <c r="BB195" s="53">
        <f>IF(A195="","",IF(BK195=1,"Neu; ","")&amp;IF(AND(BK195=0,BF195&lt;0),"negativer Bestand (Export "&amp;BF195&amp;"); ","")&amp;IF(I195&lt;=0,"Kein Verbrauch; ","")&amp;IF(BO195=1,"Lose – Fläche geschätzt; ","")&amp;IF(G195&gt;AM195,"Überbestand "&amp;ROUND(G195-AM195,0)&amp;" Stk / CHF "&amp;ROUND((G195-AM195)*F195,0)&amp;"; ","")&amp;IF(AND(BT195=1,BU195&lt;BV195),"MAX &lt; MB+LG; ","")&amp;IF(AND(BZ195&gt;0,BY195*10&gt;BZ195),"zu hoch für Tablar; ","")&amp;IF(AND(BK195=0,OR(BT195=1,V195&lt;&gt;"",S195&lt;&gt;"",T195&lt;&gt;"",W195&lt;&gt;"")),"manuell übersteuert; ","")&amp;IF(AND(BO195=0,Q195=0),"Gebinde unbekannt; ","")&amp;IF(AND(BO195=0,N(T195)&lt;=0,N(P195)&lt;=0),"Menge pro Gebinde fehlt (Ist = 1 Gebinde); ","")&amp;BJ195)</f>
        <v/>
      </c>
      <c r="BC195" s="53" t="n"/>
      <c r="BD195" s="53" t="n"/>
      <c r="BE195" s="61" t="n"/>
      <c r="BF195" s="55" t="n">
        <v>746</v>
      </c>
      <c r="BG195" s="55" t="n">
        <v>260</v>
      </c>
      <c r="BH195" s="54" t="n">
        <v>830.1999999999985</v>
      </c>
      <c r="BI195" s="55" t="n">
        <v>1270</v>
      </c>
      <c r="BJ195" s="53" t="inlineStr"/>
      <c r="BK195" s="58" t="n">
        <v>0</v>
      </c>
      <c r="BL195" s="58" t="n">
        <v>195</v>
      </c>
      <c r="BM195" s="53">
        <f>IF(S195&lt;&gt;"",UPPER(TRIM(S195)),IF(O195="","LOSE",O195))</f>
        <v/>
      </c>
      <c r="BN195" s="55">
        <f>IF(BM195="LOSE",1,IF(N(T195)&gt;0,T195,IF(N(P195)&gt;0,P195,MAX(1,G195))))</f>
        <v/>
      </c>
      <c r="BO195" s="58">
        <f>IF(BM195="LOSE",1,0)</f>
        <v/>
      </c>
      <c r="BP195" s="64">
        <f>IF(BO195=0,0,IF(N(R195)&gt;0,R195,IFERROR(VLOOKUP(D195,Parameter!$A$35:$C$64,3,0)+0,0)))</f>
        <v/>
      </c>
      <c r="BQ195" s="53">
        <f>IF(V195&lt;&gt;"",V195,U195)</f>
        <v/>
      </c>
      <c r="BR195" s="53">
        <f>IF(BQ195=1,"L1",IF(OR(BQ195=2,BQ195=3),"L23",IF(BQ195="Aussen","Aussen","-")))</f>
        <v/>
      </c>
      <c r="BS195" s="66">
        <f>IF(N(W195)&gt;0,W195,0)</f>
        <v/>
      </c>
      <c r="BT195" s="58">
        <f>IF(ISNUMBER(Z195),1,0)</f>
        <v/>
      </c>
      <c r="BU195" s="55">
        <f>N(Z195)</f>
        <v/>
      </c>
      <c r="BV195" s="55">
        <f>N(L195)+N(M195)</f>
        <v/>
      </c>
      <c r="BW195" s="55">
        <f>ROUNDUP(G195/BN195,0)</f>
        <v/>
      </c>
      <c r="BX195" s="55">
        <f>ROUNDUP(BU195/BN195,0)</f>
        <v/>
      </c>
      <c r="BY195" s="58">
        <f>IF(BO195=1,0,IFERROR(VLOOKUP(BM195,'Gebinde-Kategorie'!$A$5:$G$45,5,0)+0,0))</f>
        <v/>
      </c>
      <c r="BZ195" s="58">
        <f>IFERROR(IF(OR(BQ195=1,BQ195=2,BQ195=3),N(INDEX(Parameter!$I$5:$I$7,BQ195)),0),0)</f>
        <v/>
      </c>
    </row>
    <row r="196">
      <c r="A196" s="53" t="inlineStr">
        <is>
          <t>111987</t>
        </is>
      </c>
      <c r="B196" s="53" t="inlineStr">
        <is>
          <t>Sicherheitsventil 50 bar</t>
        </is>
      </c>
      <c r="C196" s="53" t="inlineStr">
        <is>
          <t>F</t>
        </is>
      </c>
      <c r="D196" s="53" t="inlineStr">
        <is>
          <t>KTL</t>
        </is>
      </c>
      <c r="E196" s="53" t="inlineStr">
        <is>
          <t>C</t>
        </is>
      </c>
      <c r="F196" s="54" t="n">
        <v>34.52</v>
      </c>
      <c r="G196" s="55">
        <f>MAX(0,IF(Parameter!$B$20="Jahresanfang 2025 + Export",BG196+BF196,BF196))</f>
        <v/>
      </c>
      <c r="H196" s="55">
        <f>G196*F196</f>
        <v/>
      </c>
      <c r="I196" s="55">
        <f>BI196*Parameter!$B$18</f>
        <v/>
      </c>
      <c r="J196" s="56" t="n">
        <v>0</v>
      </c>
      <c r="K196" s="57" t="n">
        <v>0</v>
      </c>
      <c r="L196" s="55" t="n">
        <v>0</v>
      </c>
      <c r="M196" s="55" t="n">
        <v>1</v>
      </c>
      <c r="N196" s="58" t="n">
        <v>9999</v>
      </c>
      <c r="O196" s="53" t="inlineStr">
        <is>
          <t>LOSE</t>
        </is>
      </c>
      <c r="P196" s="55" t="n"/>
      <c r="Q196" s="59">
        <f>IF(BO196=1,0,IFERROR(VLOOKUP(BM196,'Gebinde-Kategorie'!$A$5:$G$45,6,0)+0,0))</f>
        <v/>
      </c>
      <c r="R196" s="60" t="n"/>
      <c r="S196" s="61" t="n"/>
      <c r="T196" s="61" t="n"/>
      <c r="U196" s="53">
        <f>IF(A196="","",IF(IFERROR(VLOOKUP(D196,Parameter!$A$35:$C$64,2,0),"Nein")="2+3",IF(ISNUMBER(SEARCH("grosser Artikel",BJ196)),2,IFERROR(VLOOKUP(BM196,Parameter!$F$35:$G$64,2,0),2)),IF(OR(IFERROR(VLOOKUP(D196,Parameter!$A$35:$C$64,2,0),"Nein")="Nein",IFERROR(VLOOKUP(D196,Parameter!$A$35:$C$64,2,0),"Nein")=""),"-",VLOOKUP(D196,Parameter!$A$35:$C$64,2,0))))</f>
        <v/>
      </c>
      <c r="V196" s="61" t="n"/>
      <c r="W196" s="62" t="n"/>
      <c r="X196" s="55">
        <f>AM196</f>
        <v/>
      </c>
      <c r="Y196" s="55">
        <f>MAX(AM196,G196)</f>
        <v/>
      </c>
      <c r="Z196" s="63" t="n"/>
      <c r="AA196" s="55">
        <f>IF(LEFT(Cockpit!$C$5,1)="A",G196,IF(BT196=1,BU196,IF(LEFT(Cockpit!$C$5,1)="B",AE196,MAX(AE196,G196))))</f>
        <v/>
      </c>
      <c r="AB196" s="55">
        <f>IF(BO196=1,0,ROUNDUP(AA196/BN196,0))</f>
        <v/>
      </c>
      <c r="AC196" s="64">
        <f>IF(BO196=1,IF(AA196&lt;=0,0,BP196*MAX(1,IF(G196&gt;0,AA196/G196,1))),AB196*Q196)</f>
        <v/>
      </c>
      <c r="AD196" s="55">
        <f>AA196*F196</f>
        <v/>
      </c>
      <c r="AE196" s="55">
        <f>ROUNDUP(MAX(I196/IF(BS196&gt;0,BS196,MAX(0.1,N(Cockpit!$C$6))),BV196)/BN196,0)*BN196</f>
        <v/>
      </c>
      <c r="AF196" s="56">
        <f>IF(AC196&gt;0,I196/AC196,-1)</f>
        <v/>
      </c>
      <c r="AG196" s="56">
        <f>IF(AND(OR(BR196="L1",BR196="L23"),AC196&gt;0),SUMIFS($AC$7:$AC$1570,$BR$7:$BR$1570,BR196,$AF$7:$AF$1570,"&gt;"&amp;AF196)+SUMIFS($AC$7:$AC$1570,$BR$7:$BR$1570,BR196,$AF$7:$AF$1570,AF196,$BL$7:$BL$1570,"&lt;="&amp;BL196),"")</f>
        <v/>
      </c>
      <c r="AH196" s="65">
        <f>IF(AG196="",0,MAX(0,MIN(1,(IF(BR196="L1",Parameter!$K$5,Parameter!$K$6+Parameter!$K$7)-(AG196-AC196))/AC196)))</f>
        <v/>
      </c>
      <c r="AI196" s="55">
        <f>IF(LEFT(Cockpit!$I$5,1)="A",G196,IF(BT196=1,BU196,IF(LEFT(Cockpit!$I$5,1)="B",AM196,MAX(AM196,G196))))</f>
        <v/>
      </c>
      <c r="AJ196" s="55">
        <f>IF(BO196=1,0,ROUNDUP(AI196/BN196,0))</f>
        <v/>
      </c>
      <c r="AK196" s="64">
        <f>IF(BO196=1,IF(AI196&lt;=0,0,BP196*MAX(1,IF(G196&gt;0,AI196/G196,1))),AJ196*Q196)</f>
        <v/>
      </c>
      <c r="AL196" s="55">
        <f>AI196*F196</f>
        <v/>
      </c>
      <c r="AM196" s="55">
        <f>ROUNDUP(MAX(I196/IF(BS196&gt;0,BS196,MAX(0.1,N(Cockpit!$I$6))),BV196)/BN196,0)*BN196</f>
        <v/>
      </c>
      <c r="AN196" s="56">
        <f>IF(AK196&gt;0,I196/AK196,-1)</f>
        <v/>
      </c>
      <c r="AO196" s="56">
        <f>IF(AND(OR(BR196="L1",BR196="L23"),AK196&gt;0),SUMIFS($AK$7:$AK$1570,$BR$7:$BR$1570,BR196,$AN$7:$AN$1570,"&gt;"&amp;AN196)+SUMIFS($AK$7:$AK$1570,$BR$7:$BR$1570,BR196,$AN$7:$AN$1570,AN196,$BL$7:$BL$1570,"&lt;="&amp;BL196),"")</f>
        <v/>
      </c>
      <c r="AP196" s="65">
        <f>IF(AO196="",0,MAX(0,MIN(1,(IF(BR196="L1",Parameter!$K$5,Parameter!$K$6+Parameter!$K$7)-(AO196-AK196))/AK196)))</f>
        <v/>
      </c>
      <c r="AQ196" s="55">
        <f>IF(LEFT(Cockpit!$O$5,1)="A",G196,IF(BT196=1,BU196,IF(LEFT(Cockpit!$O$5,1)="B",AU196,MAX(AU196,G196))))</f>
        <v/>
      </c>
      <c r="AR196" s="55">
        <f>IF(BO196=1,0,ROUNDUP(AQ196/BN196,0))</f>
        <v/>
      </c>
      <c r="AS196" s="64">
        <f>IF(BO196=1,IF(AQ196&lt;=0,0,BP196*MAX(1,IF(G196&gt;0,AQ196/G196,1))),AR196*Q196)</f>
        <v/>
      </c>
      <c r="AT196" s="55">
        <f>AQ196*F196</f>
        <v/>
      </c>
      <c r="AU196" s="55">
        <f>ROUNDUP(MAX(I196/IF(BS196&gt;0,BS196,MAX(0.1,N(Cockpit!$O$6))),BV196)/BN196,0)*BN196</f>
        <v/>
      </c>
      <c r="AV196" s="56">
        <f>IF(AS196&gt;0,I196/AS196,-1)</f>
        <v/>
      </c>
      <c r="AW196" s="56">
        <f>IF(AND(OR(BR196="L1",BR196="L23"),AS196&gt;0),SUMIFS($AS$7:$AS$1570,$BR$7:$BR$1570,BR196,$AV$7:$AV$1570,"&gt;"&amp;AV196)+SUMIFS($AS$7:$AS$1570,$BR$7:$BR$1570,BR196,$AV$7:$AV$1570,AV196,$BL$7:$BL$1570,"&lt;="&amp;BL196),"")</f>
        <v/>
      </c>
      <c r="AX196" s="65">
        <f>IF(AW196="",0,MAX(0,MIN(1,(IF(BR196="L1",Parameter!$K$5,Parameter!$K$6+Parameter!$K$7)-(AW196-AS196))/AS196)))</f>
        <v/>
      </c>
      <c r="AY196" s="53">
        <f>IF(AC196&lt;=0,"",IF(BR196="Aussen","Aussenlager",IF(BR196="-","Nicht im Lift",IF(AH196&gt;=1,"Lift",IF(AH196&lt;=0,"Aussenlager","teilweise")))))</f>
        <v/>
      </c>
      <c r="AZ196" s="53">
        <f>IF(AK196&lt;=0,"",IF(BR196="Aussen","Aussenlager",IF(BR196="-","Nicht im Lift",IF(AP196&gt;=1,"Lift",IF(AP196&lt;=0,"Aussenlager","teilweise")))))</f>
        <v/>
      </c>
      <c r="BA196" s="53">
        <f>IF(AS196&lt;=0,"",IF(BR196="Aussen","Aussenlager",IF(BR196="-","Nicht im Lift",IF(AX196&gt;=1,"Lift",IF(AX196&lt;=0,"Aussenlager","teilweise")))))</f>
        <v/>
      </c>
      <c r="BB196" s="53">
        <f>IF(A196="","",IF(BK196=1,"Neu; ","")&amp;IF(AND(BK196=0,BF196&lt;0),"negativer Bestand (Export "&amp;BF196&amp;"); ","")&amp;IF(I196&lt;=0,"Kein Verbrauch; ","")&amp;IF(BO196=1,"Lose – Fläche geschätzt; ","")&amp;IF(G196&gt;AM196,"Überbestand "&amp;ROUND(G196-AM196,0)&amp;" Stk / CHF "&amp;ROUND((G196-AM196)*F196,0)&amp;"; ","")&amp;IF(AND(BT196=1,BU196&lt;BV196),"MAX &lt; MB+LG; ","")&amp;IF(AND(BZ196&gt;0,BY196*10&gt;BZ196),"zu hoch für Tablar; ","")&amp;IF(AND(BK196=0,OR(BT196=1,V196&lt;&gt;"",S196&lt;&gt;"",T196&lt;&gt;"",W196&lt;&gt;"")),"manuell übersteuert; ","")&amp;IF(AND(BO196=0,Q196=0),"Gebinde unbekannt; ","")&amp;IF(AND(BO196=0,N(T196)&lt;=0,N(P196)&lt;=0),"Menge pro Gebinde fehlt (Ist = 1 Gebinde); ","")&amp;BJ196)</f>
        <v/>
      </c>
      <c r="BC196" s="53" t="n"/>
      <c r="BD196" s="53" t="n"/>
      <c r="BE196" s="61" t="n"/>
      <c r="BF196" s="55" t="n">
        <v>24</v>
      </c>
      <c r="BG196" s="55" t="n">
        <v>0</v>
      </c>
      <c r="BH196" s="54" t="n">
        <v>828.48</v>
      </c>
      <c r="BI196" s="55" t="n">
        <v>0</v>
      </c>
      <c r="BJ196" s="53" t="inlineStr"/>
      <c r="BK196" s="58" t="n">
        <v>0</v>
      </c>
      <c r="BL196" s="58" t="n">
        <v>196</v>
      </c>
      <c r="BM196" s="53">
        <f>IF(S196&lt;&gt;"",UPPER(TRIM(S196)),IF(O196="","LOSE",O196))</f>
        <v/>
      </c>
      <c r="BN196" s="55">
        <f>IF(BM196="LOSE",1,IF(N(T196)&gt;0,T196,IF(N(P196)&gt;0,P196,MAX(1,G196))))</f>
        <v/>
      </c>
      <c r="BO196" s="58">
        <f>IF(BM196="LOSE",1,0)</f>
        <v/>
      </c>
      <c r="BP196" s="64">
        <f>IF(BO196=0,0,IF(N(R196)&gt;0,R196,IFERROR(VLOOKUP(D196,Parameter!$A$35:$C$64,3,0)+0,0)))</f>
        <v/>
      </c>
      <c r="BQ196" s="53">
        <f>IF(V196&lt;&gt;"",V196,U196)</f>
        <v/>
      </c>
      <c r="BR196" s="53">
        <f>IF(BQ196=1,"L1",IF(OR(BQ196=2,BQ196=3),"L23",IF(BQ196="Aussen","Aussen","-")))</f>
        <v/>
      </c>
      <c r="BS196" s="66">
        <f>IF(N(W196)&gt;0,W196,0)</f>
        <v/>
      </c>
      <c r="BT196" s="58">
        <f>IF(ISNUMBER(Z196),1,0)</f>
        <v/>
      </c>
      <c r="BU196" s="55">
        <f>N(Z196)</f>
        <v/>
      </c>
      <c r="BV196" s="55">
        <f>N(L196)+N(M196)</f>
        <v/>
      </c>
      <c r="BW196" s="55">
        <f>ROUNDUP(G196/BN196,0)</f>
        <v/>
      </c>
      <c r="BX196" s="55">
        <f>ROUNDUP(BU196/BN196,0)</f>
        <v/>
      </c>
      <c r="BY196" s="58">
        <f>IF(BO196=1,0,IFERROR(VLOOKUP(BM196,'Gebinde-Kategorie'!$A$5:$G$45,5,0)+0,0))</f>
        <v/>
      </c>
      <c r="BZ196" s="58">
        <f>IFERROR(IF(OR(BQ196=1,BQ196=2,BQ196=3),N(INDEX(Parameter!$I$5:$I$7,BQ196)),0),0)</f>
        <v/>
      </c>
    </row>
    <row r="197">
      <c r="A197" s="53" t="inlineStr">
        <is>
          <t>106721</t>
        </is>
      </c>
      <c r="B197" s="53" t="inlineStr">
        <is>
          <t>Glühkerzenhalter SPGr</t>
        </is>
      </c>
      <c r="C197" s="53" t="inlineStr">
        <is>
          <t>F</t>
        </is>
      </c>
      <c r="D197" s="53" t="inlineStr">
        <is>
          <t>KTL</t>
        </is>
      </c>
      <c r="E197" s="53" t="inlineStr">
        <is>
          <t>C</t>
        </is>
      </c>
      <c r="F197" s="54" t="n">
        <v>25.14</v>
      </c>
      <c r="G197" s="55">
        <f>MAX(0,IF(Parameter!$B$20="Jahresanfang 2025 + Export",BG197+BF197,BF197))</f>
        <v/>
      </c>
      <c r="H197" s="55">
        <f>G197*F197</f>
        <v/>
      </c>
      <c r="I197" s="55">
        <f>BI197*Parameter!$B$18</f>
        <v/>
      </c>
      <c r="J197" s="56" t="n">
        <v>123</v>
      </c>
      <c r="K197" s="57" t="n">
        <v>0.9105691056910569</v>
      </c>
      <c r="L197" s="55" t="n">
        <v>26</v>
      </c>
      <c r="M197" s="55" t="n">
        <v>110</v>
      </c>
      <c r="N197" s="58" t="n">
        <v>84</v>
      </c>
      <c r="O197" s="53" t="inlineStr">
        <is>
          <t>S41</t>
        </is>
      </c>
      <c r="P197" s="55" t="n">
        <v>19</v>
      </c>
      <c r="Q197" s="59">
        <f>IF(BO197=1,0,IFERROR(VLOOKUP(BM197,'Gebinde-Kategorie'!$A$5:$G$45,6,0)+0,0))</f>
        <v/>
      </c>
      <c r="R197" s="60" t="n"/>
      <c r="S197" s="61" t="n"/>
      <c r="T197" s="61" t="n"/>
      <c r="U197" s="53">
        <f>IF(A197="","",IF(IFERROR(VLOOKUP(D197,Parameter!$A$35:$C$64,2,0),"Nein")="2+3",IF(ISNUMBER(SEARCH("grosser Artikel",BJ197)),2,IFERROR(VLOOKUP(BM197,Parameter!$F$35:$G$64,2,0),2)),IF(OR(IFERROR(VLOOKUP(D197,Parameter!$A$35:$C$64,2,0),"Nein")="Nein",IFERROR(VLOOKUP(D197,Parameter!$A$35:$C$64,2,0),"Nein")=""),"-",VLOOKUP(D197,Parameter!$A$35:$C$64,2,0))))</f>
        <v/>
      </c>
      <c r="V197" s="61" t="n"/>
      <c r="W197" s="62" t="n"/>
      <c r="X197" s="55">
        <f>AM197</f>
        <v/>
      </c>
      <c r="Y197" s="55">
        <f>MAX(AM197,G197)</f>
        <v/>
      </c>
      <c r="Z197" s="63" t="n"/>
      <c r="AA197" s="55">
        <f>IF(LEFT(Cockpit!$C$5,1)="A",G197,IF(BT197=1,BU197,IF(LEFT(Cockpit!$C$5,1)="B",AE197,MAX(AE197,G197))))</f>
        <v/>
      </c>
      <c r="AB197" s="55">
        <f>IF(BO197=1,0,ROUNDUP(AA197/BN197,0))</f>
        <v/>
      </c>
      <c r="AC197" s="64">
        <f>IF(BO197=1,IF(AA197&lt;=0,0,BP197*MAX(1,IF(G197&gt;0,AA197/G197,1))),AB197*Q197)</f>
        <v/>
      </c>
      <c r="AD197" s="55">
        <f>AA197*F197</f>
        <v/>
      </c>
      <c r="AE197" s="55">
        <f>ROUNDUP(MAX(I197/IF(BS197&gt;0,BS197,MAX(0.1,N(Cockpit!$C$6))),BV197)/BN197,0)*BN197</f>
        <v/>
      </c>
      <c r="AF197" s="56">
        <f>IF(AC197&gt;0,I197/AC197,-1)</f>
        <v/>
      </c>
      <c r="AG197" s="56">
        <f>IF(AND(OR(BR197="L1",BR197="L23"),AC197&gt;0),SUMIFS($AC$7:$AC$1570,$BR$7:$BR$1570,BR197,$AF$7:$AF$1570,"&gt;"&amp;AF197)+SUMIFS($AC$7:$AC$1570,$BR$7:$BR$1570,BR197,$AF$7:$AF$1570,AF197,$BL$7:$BL$1570,"&lt;="&amp;BL197),"")</f>
        <v/>
      </c>
      <c r="AH197" s="65">
        <f>IF(AG197="",0,MAX(0,MIN(1,(IF(BR197="L1",Parameter!$K$5,Parameter!$K$6+Parameter!$K$7)-(AG197-AC197))/AC197)))</f>
        <v/>
      </c>
      <c r="AI197" s="55">
        <f>IF(LEFT(Cockpit!$I$5,1)="A",G197,IF(BT197=1,BU197,IF(LEFT(Cockpit!$I$5,1)="B",AM197,MAX(AM197,G197))))</f>
        <v/>
      </c>
      <c r="AJ197" s="55">
        <f>IF(BO197=1,0,ROUNDUP(AI197/BN197,0))</f>
        <v/>
      </c>
      <c r="AK197" s="64">
        <f>IF(BO197=1,IF(AI197&lt;=0,0,BP197*MAX(1,IF(G197&gt;0,AI197/G197,1))),AJ197*Q197)</f>
        <v/>
      </c>
      <c r="AL197" s="55">
        <f>AI197*F197</f>
        <v/>
      </c>
      <c r="AM197" s="55">
        <f>ROUNDUP(MAX(I197/IF(BS197&gt;0,BS197,MAX(0.1,N(Cockpit!$I$6))),BV197)/BN197,0)*BN197</f>
        <v/>
      </c>
      <c r="AN197" s="56">
        <f>IF(AK197&gt;0,I197/AK197,-1)</f>
        <v/>
      </c>
      <c r="AO197" s="56">
        <f>IF(AND(OR(BR197="L1",BR197="L23"),AK197&gt;0),SUMIFS($AK$7:$AK$1570,$BR$7:$BR$1570,BR197,$AN$7:$AN$1570,"&gt;"&amp;AN197)+SUMIFS($AK$7:$AK$1570,$BR$7:$BR$1570,BR197,$AN$7:$AN$1570,AN197,$BL$7:$BL$1570,"&lt;="&amp;BL197),"")</f>
        <v/>
      </c>
      <c r="AP197" s="65">
        <f>IF(AO197="",0,MAX(0,MIN(1,(IF(BR197="L1",Parameter!$K$5,Parameter!$K$6+Parameter!$K$7)-(AO197-AK197))/AK197)))</f>
        <v/>
      </c>
      <c r="AQ197" s="55">
        <f>IF(LEFT(Cockpit!$O$5,1)="A",G197,IF(BT197=1,BU197,IF(LEFT(Cockpit!$O$5,1)="B",AU197,MAX(AU197,G197))))</f>
        <v/>
      </c>
      <c r="AR197" s="55">
        <f>IF(BO197=1,0,ROUNDUP(AQ197/BN197,0))</f>
        <v/>
      </c>
      <c r="AS197" s="64">
        <f>IF(BO197=1,IF(AQ197&lt;=0,0,BP197*MAX(1,IF(G197&gt;0,AQ197/G197,1))),AR197*Q197)</f>
        <v/>
      </c>
      <c r="AT197" s="55">
        <f>AQ197*F197</f>
        <v/>
      </c>
      <c r="AU197" s="55">
        <f>ROUNDUP(MAX(I197/IF(BS197&gt;0,BS197,MAX(0.1,N(Cockpit!$O$6))),BV197)/BN197,0)*BN197</f>
        <v/>
      </c>
      <c r="AV197" s="56">
        <f>IF(AS197&gt;0,I197/AS197,-1)</f>
        <v/>
      </c>
      <c r="AW197" s="56">
        <f>IF(AND(OR(BR197="L1",BR197="L23"),AS197&gt;0),SUMIFS($AS$7:$AS$1570,$BR$7:$BR$1570,BR197,$AV$7:$AV$1570,"&gt;"&amp;AV197)+SUMIFS($AS$7:$AS$1570,$BR$7:$BR$1570,BR197,$AV$7:$AV$1570,AV197,$BL$7:$BL$1570,"&lt;="&amp;BL197),"")</f>
        <v/>
      </c>
      <c r="AX197" s="65">
        <f>IF(AW197="",0,MAX(0,MIN(1,(IF(BR197="L1",Parameter!$K$5,Parameter!$K$6+Parameter!$K$7)-(AW197-AS197))/AS197)))</f>
        <v/>
      </c>
      <c r="AY197" s="53">
        <f>IF(AC197&lt;=0,"",IF(BR197="Aussen","Aussenlager",IF(BR197="-","Nicht im Lift",IF(AH197&gt;=1,"Lift",IF(AH197&lt;=0,"Aussenlager","teilweise")))))</f>
        <v/>
      </c>
      <c r="AZ197" s="53">
        <f>IF(AK197&lt;=0,"",IF(BR197="Aussen","Aussenlager",IF(BR197="-","Nicht im Lift",IF(AP197&gt;=1,"Lift",IF(AP197&lt;=0,"Aussenlager","teilweise")))))</f>
        <v/>
      </c>
      <c r="BA197" s="53">
        <f>IF(AS197&lt;=0,"",IF(BR197="Aussen","Aussenlager",IF(BR197="-","Nicht im Lift",IF(AX197&gt;=1,"Lift",IF(AX197&lt;=0,"Aussenlager","teilweise")))))</f>
        <v/>
      </c>
      <c r="BB197" s="53">
        <f>IF(A197="","",IF(BK197=1,"Neu; ","")&amp;IF(AND(BK197=0,BF197&lt;0),"negativer Bestand (Export "&amp;BF197&amp;"); ","")&amp;IF(I197&lt;=0,"Kein Verbrauch; ","")&amp;IF(BO197=1,"Lose – Fläche geschätzt; ","")&amp;IF(G197&gt;AM197,"Überbestand "&amp;ROUND(G197-AM197,0)&amp;" Stk / CHF "&amp;ROUND((G197-AM197)*F197,0)&amp;"; ","")&amp;IF(AND(BT197=1,BU197&lt;BV197),"MAX &lt; MB+LG; ","")&amp;IF(AND(BZ197&gt;0,BY197*10&gt;BZ197),"zu hoch für Tablar; ","")&amp;IF(AND(BK197=0,OR(BT197=1,V197&lt;&gt;"",S197&lt;&gt;"",T197&lt;&gt;"",W197&lt;&gt;"")),"manuell übersteuert; ","")&amp;IF(AND(BO197=0,Q197=0),"Gebinde unbekannt; ","")&amp;IF(AND(BO197=0,N(T197)&lt;=0,N(P197)&lt;=0),"Menge pro Gebinde fehlt (Ist = 1 Gebinde); ","")&amp;BJ197)</f>
        <v/>
      </c>
      <c r="BC197" s="53" t="n"/>
      <c r="BD197" s="53" t="n"/>
      <c r="BE197" s="61" t="n"/>
      <c r="BF197" s="55" t="n">
        <v>52</v>
      </c>
      <c r="BG197" s="55" t="n">
        <v>60</v>
      </c>
      <c r="BH197" s="54" t="n">
        <v>819.5199999999943</v>
      </c>
      <c r="BI197" s="55" t="n">
        <v>112</v>
      </c>
      <c r="BJ197" s="53" t="inlineStr"/>
      <c r="BK197" s="58" t="n">
        <v>0</v>
      </c>
      <c r="BL197" s="58" t="n">
        <v>197</v>
      </c>
      <c r="BM197" s="53">
        <f>IF(S197&lt;&gt;"",UPPER(TRIM(S197)),IF(O197="","LOSE",O197))</f>
        <v/>
      </c>
      <c r="BN197" s="55">
        <f>IF(BM197="LOSE",1,IF(N(T197)&gt;0,T197,IF(N(P197)&gt;0,P197,MAX(1,G197))))</f>
        <v/>
      </c>
      <c r="BO197" s="58">
        <f>IF(BM197="LOSE",1,0)</f>
        <v/>
      </c>
      <c r="BP197" s="64">
        <f>IF(BO197=0,0,IF(N(R197)&gt;0,R197,IFERROR(VLOOKUP(D197,Parameter!$A$35:$C$64,3,0)+0,0)))</f>
        <v/>
      </c>
      <c r="BQ197" s="53">
        <f>IF(V197&lt;&gt;"",V197,U197)</f>
        <v/>
      </c>
      <c r="BR197" s="53">
        <f>IF(BQ197=1,"L1",IF(OR(BQ197=2,BQ197=3),"L23",IF(BQ197="Aussen","Aussen","-")))</f>
        <v/>
      </c>
      <c r="BS197" s="66">
        <f>IF(N(W197)&gt;0,W197,0)</f>
        <v/>
      </c>
      <c r="BT197" s="58">
        <f>IF(ISNUMBER(Z197),1,0)</f>
        <v/>
      </c>
      <c r="BU197" s="55">
        <f>N(Z197)</f>
        <v/>
      </c>
      <c r="BV197" s="55">
        <f>N(L197)+N(M197)</f>
        <v/>
      </c>
      <c r="BW197" s="55">
        <f>ROUNDUP(G197/BN197,0)</f>
        <v/>
      </c>
      <c r="BX197" s="55">
        <f>ROUNDUP(BU197/BN197,0)</f>
        <v/>
      </c>
      <c r="BY197" s="58">
        <f>IF(BO197=1,0,IFERROR(VLOOKUP(BM197,'Gebinde-Kategorie'!$A$5:$G$45,5,0)+0,0))</f>
        <v/>
      </c>
      <c r="BZ197" s="58">
        <f>IFERROR(IF(OR(BQ197=1,BQ197=2,BQ197=3),N(INDEX(Parameter!$I$5:$I$7,BQ197)),0),0)</f>
        <v/>
      </c>
    </row>
    <row r="198">
      <c r="A198" s="53" t="inlineStr">
        <is>
          <t>100126</t>
        </is>
      </c>
      <c r="B198" s="53" t="inlineStr">
        <is>
          <t>Adapter Edelstahl</t>
        </is>
      </c>
      <c r="C198" s="53" t="inlineStr">
        <is>
          <t>F</t>
        </is>
      </c>
      <c r="D198" s="53" t="inlineStr">
        <is>
          <t>KTL</t>
        </is>
      </c>
      <c r="E198" s="53" t="inlineStr">
        <is>
          <t>C</t>
        </is>
      </c>
      <c r="F198" s="54" t="n">
        <v>6.37</v>
      </c>
      <c r="G198" s="55">
        <f>MAX(0,IF(Parameter!$B$20="Jahresanfang 2025 + Export",BG198+BF198,BF198))</f>
        <v/>
      </c>
      <c r="H198" s="55">
        <f>G198*F198</f>
        <v/>
      </c>
      <c r="I198" s="55">
        <f>BI198*Parameter!$B$18</f>
        <v/>
      </c>
      <c r="J198" s="56" t="n">
        <v>225.5</v>
      </c>
      <c r="K198" s="57" t="n">
        <v>3.853658536585366</v>
      </c>
      <c r="L198" s="55" t="n">
        <v>25</v>
      </c>
      <c r="M198" s="55" t="n">
        <v>585</v>
      </c>
      <c r="N198" s="58" t="n">
        <v>10</v>
      </c>
      <c r="O198" s="53" t="inlineStr">
        <is>
          <t>S51</t>
        </is>
      </c>
      <c r="P198" s="55" t="n">
        <v>895</v>
      </c>
      <c r="Q198" s="59">
        <f>IF(BO198=1,0,IFERROR(VLOOKUP(BM198,'Gebinde-Kategorie'!$A$5:$G$45,6,0)+0,0))</f>
        <v/>
      </c>
      <c r="R198" s="60" t="n"/>
      <c r="S198" s="61" t="n"/>
      <c r="T198" s="61" t="n"/>
      <c r="U198" s="53">
        <f>IF(A198="","",IF(IFERROR(VLOOKUP(D198,Parameter!$A$35:$C$64,2,0),"Nein")="2+3",IF(ISNUMBER(SEARCH("grosser Artikel",BJ198)),2,IFERROR(VLOOKUP(BM198,Parameter!$F$35:$G$64,2,0),2)),IF(OR(IFERROR(VLOOKUP(D198,Parameter!$A$35:$C$64,2,0),"Nein")="Nein",IFERROR(VLOOKUP(D198,Parameter!$A$35:$C$64,2,0),"Nein")=""),"-",VLOOKUP(D198,Parameter!$A$35:$C$64,2,0))))</f>
        <v/>
      </c>
      <c r="V198" s="61" t="n"/>
      <c r="W198" s="62" t="n"/>
      <c r="X198" s="55">
        <f>AM198</f>
        <v/>
      </c>
      <c r="Y198" s="55">
        <f>MAX(AM198,G198)</f>
        <v/>
      </c>
      <c r="Z198" s="63" t="n"/>
      <c r="AA198" s="55">
        <f>IF(LEFT(Cockpit!$C$5,1)="A",G198,IF(BT198=1,BU198,IF(LEFT(Cockpit!$C$5,1)="B",AE198,MAX(AE198,G198))))</f>
        <v/>
      </c>
      <c r="AB198" s="55">
        <f>IF(BO198=1,0,ROUNDUP(AA198/BN198,0))</f>
        <v/>
      </c>
      <c r="AC198" s="64">
        <f>IF(BO198=1,IF(AA198&lt;=0,0,BP198*MAX(1,IF(G198&gt;0,AA198/G198,1))),AB198*Q198)</f>
        <v/>
      </c>
      <c r="AD198" s="55">
        <f>AA198*F198</f>
        <v/>
      </c>
      <c r="AE198" s="55">
        <f>ROUNDUP(MAX(I198/IF(BS198&gt;0,BS198,MAX(0.1,N(Cockpit!$C$6))),BV198)/BN198,0)*BN198</f>
        <v/>
      </c>
      <c r="AF198" s="56">
        <f>IF(AC198&gt;0,I198/AC198,-1)</f>
        <v/>
      </c>
      <c r="AG198" s="56">
        <f>IF(AND(OR(BR198="L1",BR198="L23"),AC198&gt;0),SUMIFS($AC$7:$AC$1570,$BR$7:$BR$1570,BR198,$AF$7:$AF$1570,"&gt;"&amp;AF198)+SUMIFS($AC$7:$AC$1570,$BR$7:$BR$1570,BR198,$AF$7:$AF$1570,AF198,$BL$7:$BL$1570,"&lt;="&amp;BL198),"")</f>
        <v/>
      </c>
      <c r="AH198" s="65">
        <f>IF(AG198="",0,MAX(0,MIN(1,(IF(BR198="L1",Parameter!$K$5,Parameter!$K$6+Parameter!$K$7)-(AG198-AC198))/AC198)))</f>
        <v/>
      </c>
      <c r="AI198" s="55">
        <f>IF(LEFT(Cockpit!$I$5,1)="A",G198,IF(BT198=1,BU198,IF(LEFT(Cockpit!$I$5,1)="B",AM198,MAX(AM198,G198))))</f>
        <v/>
      </c>
      <c r="AJ198" s="55">
        <f>IF(BO198=1,0,ROUNDUP(AI198/BN198,0))</f>
        <v/>
      </c>
      <c r="AK198" s="64">
        <f>IF(BO198=1,IF(AI198&lt;=0,0,BP198*MAX(1,IF(G198&gt;0,AI198/G198,1))),AJ198*Q198)</f>
        <v/>
      </c>
      <c r="AL198" s="55">
        <f>AI198*F198</f>
        <v/>
      </c>
      <c r="AM198" s="55">
        <f>ROUNDUP(MAX(I198/IF(BS198&gt;0,BS198,MAX(0.1,N(Cockpit!$I$6))),BV198)/BN198,0)*BN198</f>
        <v/>
      </c>
      <c r="AN198" s="56">
        <f>IF(AK198&gt;0,I198/AK198,-1)</f>
        <v/>
      </c>
      <c r="AO198" s="56">
        <f>IF(AND(OR(BR198="L1",BR198="L23"),AK198&gt;0),SUMIFS($AK$7:$AK$1570,$BR$7:$BR$1570,BR198,$AN$7:$AN$1570,"&gt;"&amp;AN198)+SUMIFS($AK$7:$AK$1570,$BR$7:$BR$1570,BR198,$AN$7:$AN$1570,AN198,$BL$7:$BL$1570,"&lt;="&amp;BL198),"")</f>
        <v/>
      </c>
      <c r="AP198" s="65">
        <f>IF(AO198="",0,MAX(0,MIN(1,(IF(BR198="L1",Parameter!$K$5,Parameter!$K$6+Parameter!$K$7)-(AO198-AK198))/AK198)))</f>
        <v/>
      </c>
      <c r="AQ198" s="55">
        <f>IF(LEFT(Cockpit!$O$5,1)="A",G198,IF(BT198=1,BU198,IF(LEFT(Cockpit!$O$5,1)="B",AU198,MAX(AU198,G198))))</f>
        <v/>
      </c>
      <c r="AR198" s="55">
        <f>IF(BO198=1,0,ROUNDUP(AQ198/BN198,0))</f>
        <v/>
      </c>
      <c r="AS198" s="64">
        <f>IF(BO198=1,IF(AQ198&lt;=0,0,BP198*MAX(1,IF(G198&gt;0,AQ198/G198,1))),AR198*Q198)</f>
        <v/>
      </c>
      <c r="AT198" s="55">
        <f>AQ198*F198</f>
        <v/>
      </c>
      <c r="AU198" s="55">
        <f>ROUNDUP(MAX(I198/IF(BS198&gt;0,BS198,MAX(0.1,N(Cockpit!$O$6))),BV198)/BN198,0)*BN198</f>
        <v/>
      </c>
      <c r="AV198" s="56">
        <f>IF(AS198&gt;0,I198/AS198,-1)</f>
        <v/>
      </c>
      <c r="AW198" s="56">
        <f>IF(AND(OR(BR198="L1",BR198="L23"),AS198&gt;0),SUMIFS($AS$7:$AS$1570,$BR$7:$BR$1570,BR198,$AV$7:$AV$1570,"&gt;"&amp;AV198)+SUMIFS($AS$7:$AS$1570,$BR$7:$BR$1570,BR198,$AV$7:$AV$1570,AV198,$BL$7:$BL$1570,"&lt;="&amp;BL198),"")</f>
        <v/>
      </c>
      <c r="AX198" s="65">
        <f>IF(AW198="",0,MAX(0,MIN(1,(IF(BR198="L1",Parameter!$K$5,Parameter!$K$6+Parameter!$K$7)-(AW198-AS198))/AS198)))</f>
        <v/>
      </c>
      <c r="AY198" s="53">
        <f>IF(AC198&lt;=0,"",IF(BR198="Aussen","Aussenlager",IF(BR198="-","Nicht im Lift",IF(AH198&gt;=1,"Lift",IF(AH198&lt;=0,"Aussenlager","teilweise")))))</f>
        <v/>
      </c>
      <c r="AZ198" s="53">
        <f>IF(AK198&lt;=0,"",IF(BR198="Aussen","Aussenlager",IF(BR198="-","Nicht im Lift",IF(AP198&gt;=1,"Lift",IF(AP198&lt;=0,"Aussenlager","teilweise")))))</f>
        <v/>
      </c>
      <c r="BA198" s="53">
        <f>IF(AS198&lt;=0,"",IF(BR198="Aussen","Aussenlager",IF(BR198="-","Nicht im Lift",IF(AX198&gt;=1,"Lift",IF(AX198&lt;=0,"Aussenlager","teilweise")))))</f>
        <v/>
      </c>
      <c r="BB198" s="53">
        <f>IF(A198="","",IF(BK198=1,"Neu; ","")&amp;IF(AND(BK198=0,BF198&lt;0),"negativer Bestand (Export "&amp;BF198&amp;"); ","")&amp;IF(I198&lt;=0,"Kein Verbrauch; ","")&amp;IF(BO198=1,"Lose – Fläche geschätzt; ","")&amp;IF(G198&gt;AM198,"Überbestand "&amp;ROUND(G198-AM198,0)&amp;" Stk / CHF "&amp;ROUND((G198-AM198)*F198,0)&amp;"; ","")&amp;IF(AND(BT198=1,BU198&lt;BV198),"MAX &lt; MB+LG; ","")&amp;IF(AND(BZ198&gt;0,BY198*10&gt;BZ198),"zu hoch für Tablar; ","")&amp;IF(AND(BK198=0,OR(BT198=1,V198&lt;&gt;"",S198&lt;&gt;"",T198&lt;&gt;"",W198&lt;&gt;"")),"manuell übersteuert; ","")&amp;IF(AND(BO198=0,Q198=0),"Gebinde unbekannt; ","")&amp;IF(AND(BO198=0,N(T198)&lt;=0,N(P198)&lt;=0),"Menge pro Gebinde fehlt (Ist = 1 Gebinde); ","")&amp;BJ198)</f>
        <v/>
      </c>
      <c r="BC198" s="53" t="n"/>
      <c r="BD198" s="53" t="n"/>
      <c r="BE198" s="61" t="n"/>
      <c r="BF198" s="55" t="n">
        <v>131</v>
      </c>
      <c r="BG198" s="55" t="n">
        <v>210</v>
      </c>
      <c r="BH198" s="54" t="n">
        <v>818.9500000000005</v>
      </c>
      <c r="BI198" s="55" t="n">
        <v>869</v>
      </c>
      <c r="BJ198" s="53" t="inlineStr"/>
      <c r="BK198" s="58" t="n">
        <v>0</v>
      </c>
      <c r="BL198" s="58" t="n">
        <v>198</v>
      </c>
      <c r="BM198" s="53">
        <f>IF(S198&lt;&gt;"",UPPER(TRIM(S198)),IF(O198="","LOSE",O198))</f>
        <v/>
      </c>
      <c r="BN198" s="55">
        <f>IF(BM198="LOSE",1,IF(N(T198)&gt;0,T198,IF(N(P198)&gt;0,P198,MAX(1,G198))))</f>
        <v/>
      </c>
      <c r="BO198" s="58">
        <f>IF(BM198="LOSE",1,0)</f>
        <v/>
      </c>
      <c r="BP198" s="64">
        <f>IF(BO198=0,0,IF(N(R198)&gt;0,R198,IFERROR(VLOOKUP(D198,Parameter!$A$35:$C$64,3,0)+0,0)))</f>
        <v/>
      </c>
      <c r="BQ198" s="53">
        <f>IF(V198&lt;&gt;"",V198,U198)</f>
        <v/>
      </c>
      <c r="BR198" s="53">
        <f>IF(BQ198=1,"L1",IF(OR(BQ198=2,BQ198=3),"L23",IF(BQ198="Aussen","Aussen","-")))</f>
        <v/>
      </c>
      <c r="BS198" s="66">
        <f>IF(N(W198)&gt;0,W198,0)</f>
        <v/>
      </c>
      <c r="BT198" s="58">
        <f>IF(ISNUMBER(Z198),1,0)</f>
        <v/>
      </c>
      <c r="BU198" s="55">
        <f>N(Z198)</f>
        <v/>
      </c>
      <c r="BV198" s="55">
        <f>N(L198)+N(M198)</f>
        <v/>
      </c>
      <c r="BW198" s="55">
        <f>ROUNDUP(G198/BN198,0)</f>
        <v/>
      </c>
      <c r="BX198" s="55">
        <f>ROUNDUP(BU198/BN198,0)</f>
        <v/>
      </c>
      <c r="BY198" s="58">
        <f>IF(BO198=1,0,IFERROR(VLOOKUP(BM198,'Gebinde-Kategorie'!$A$5:$G$45,5,0)+0,0))</f>
        <v/>
      </c>
      <c r="BZ198" s="58">
        <f>IFERROR(IF(OR(BQ198=1,BQ198=2,BQ198=3),N(INDEX(Parameter!$I$5:$I$7,BQ198)),0),0)</f>
        <v/>
      </c>
    </row>
    <row r="199">
      <c r="A199" s="53" t="inlineStr">
        <is>
          <t>005145</t>
        </is>
      </c>
      <c r="B199" s="53" t="inlineStr">
        <is>
          <t>Relais komplett</t>
        </is>
      </c>
      <c r="C199" s="53" t="inlineStr">
        <is>
          <t>F</t>
        </is>
      </c>
      <c r="D199" s="53" t="inlineStr">
        <is>
          <t>KTL</t>
        </is>
      </c>
      <c r="E199" s="53" t="inlineStr">
        <is>
          <t>C</t>
        </is>
      </c>
      <c r="F199" s="54" t="n">
        <v>15.65</v>
      </c>
      <c r="G199" s="55">
        <f>MAX(0,IF(Parameter!$B$20="Jahresanfang 2025 + Export",BG199+BF199,BF199))</f>
        <v/>
      </c>
      <c r="H199" s="55">
        <f>G199*F199</f>
        <v/>
      </c>
      <c r="I199" s="55">
        <f>BI199*Parameter!$B$18</f>
        <v/>
      </c>
      <c r="J199" s="56" t="n">
        <v>24</v>
      </c>
      <c r="K199" s="57" t="n">
        <v>2.25</v>
      </c>
      <c r="L199" s="55" t="n">
        <v>6</v>
      </c>
      <c r="M199" s="55" t="n">
        <v>55</v>
      </c>
      <c r="N199" s="58" t="n">
        <v>42</v>
      </c>
      <c r="O199" s="53" t="inlineStr">
        <is>
          <t>S51</t>
        </is>
      </c>
      <c r="P199" s="55" t="n">
        <v>62</v>
      </c>
      <c r="Q199" s="59">
        <f>IF(BO199=1,0,IFERROR(VLOOKUP(BM199,'Gebinde-Kategorie'!$A$5:$G$45,6,0)+0,0))</f>
        <v/>
      </c>
      <c r="R199" s="60" t="n"/>
      <c r="S199" s="61" t="n"/>
      <c r="T199" s="61" t="n"/>
      <c r="U199" s="53">
        <f>IF(A199="","",IF(IFERROR(VLOOKUP(D199,Parameter!$A$35:$C$64,2,0),"Nein")="2+3",IF(ISNUMBER(SEARCH("grosser Artikel",BJ199)),2,IFERROR(VLOOKUP(BM199,Parameter!$F$35:$G$64,2,0),2)),IF(OR(IFERROR(VLOOKUP(D199,Parameter!$A$35:$C$64,2,0),"Nein")="Nein",IFERROR(VLOOKUP(D199,Parameter!$A$35:$C$64,2,0),"Nein")=""),"-",VLOOKUP(D199,Parameter!$A$35:$C$64,2,0))))</f>
        <v/>
      </c>
      <c r="V199" s="61" t="n"/>
      <c r="W199" s="62" t="n"/>
      <c r="X199" s="55">
        <f>AM199</f>
        <v/>
      </c>
      <c r="Y199" s="55">
        <f>MAX(AM199,G199)</f>
        <v/>
      </c>
      <c r="Z199" s="63" t="n"/>
      <c r="AA199" s="55">
        <f>IF(LEFT(Cockpit!$C$5,1)="A",G199,IF(BT199=1,BU199,IF(LEFT(Cockpit!$C$5,1)="B",AE199,MAX(AE199,G199))))</f>
        <v/>
      </c>
      <c r="AB199" s="55">
        <f>IF(BO199=1,0,ROUNDUP(AA199/BN199,0))</f>
        <v/>
      </c>
      <c r="AC199" s="64">
        <f>IF(BO199=1,IF(AA199&lt;=0,0,BP199*MAX(1,IF(G199&gt;0,AA199/G199,1))),AB199*Q199)</f>
        <v/>
      </c>
      <c r="AD199" s="55">
        <f>AA199*F199</f>
        <v/>
      </c>
      <c r="AE199" s="55">
        <f>ROUNDUP(MAX(I199/IF(BS199&gt;0,BS199,MAX(0.1,N(Cockpit!$C$6))),BV199)/BN199,0)*BN199</f>
        <v/>
      </c>
      <c r="AF199" s="56">
        <f>IF(AC199&gt;0,I199/AC199,-1)</f>
        <v/>
      </c>
      <c r="AG199" s="56">
        <f>IF(AND(OR(BR199="L1",BR199="L23"),AC199&gt;0),SUMIFS($AC$7:$AC$1570,$BR$7:$BR$1570,BR199,$AF$7:$AF$1570,"&gt;"&amp;AF199)+SUMIFS($AC$7:$AC$1570,$BR$7:$BR$1570,BR199,$AF$7:$AF$1570,AF199,$BL$7:$BL$1570,"&lt;="&amp;BL199),"")</f>
        <v/>
      </c>
      <c r="AH199" s="65">
        <f>IF(AG199="",0,MAX(0,MIN(1,(IF(BR199="L1",Parameter!$K$5,Parameter!$K$6+Parameter!$K$7)-(AG199-AC199))/AC199)))</f>
        <v/>
      </c>
      <c r="AI199" s="55">
        <f>IF(LEFT(Cockpit!$I$5,1)="A",G199,IF(BT199=1,BU199,IF(LEFT(Cockpit!$I$5,1)="B",AM199,MAX(AM199,G199))))</f>
        <v/>
      </c>
      <c r="AJ199" s="55">
        <f>IF(BO199=1,0,ROUNDUP(AI199/BN199,0))</f>
        <v/>
      </c>
      <c r="AK199" s="64">
        <f>IF(BO199=1,IF(AI199&lt;=0,0,BP199*MAX(1,IF(G199&gt;0,AI199/G199,1))),AJ199*Q199)</f>
        <v/>
      </c>
      <c r="AL199" s="55">
        <f>AI199*F199</f>
        <v/>
      </c>
      <c r="AM199" s="55">
        <f>ROUNDUP(MAX(I199/IF(BS199&gt;0,BS199,MAX(0.1,N(Cockpit!$I$6))),BV199)/BN199,0)*BN199</f>
        <v/>
      </c>
      <c r="AN199" s="56">
        <f>IF(AK199&gt;0,I199/AK199,-1)</f>
        <v/>
      </c>
      <c r="AO199" s="56">
        <f>IF(AND(OR(BR199="L1",BR199="L23"),AK199&gt;0),SUMIFS($AK$7:$AK$1570,$BR$7:$BR$1570,BR199,$AN$7:$AN$1570,"&gt;"&amp;AN199)+SUMIFS($AK$7:$AK$1570,$BR$7:$BR$1570,BR199,$AN$7:$AN$1570,AN199,$BL$7:$BL$1570,"&lt;="&amp;BL199),"")</f>
        <v/>
      </c>
      <c r="AP199" s="65">
        <f>IF(AO199="",0,MAX(0,MIN(1,(IF(BR199="L1",Parameter!$K$5,Parameter!$K$6+Parameter!$K$7)-(AO199-AK199))/AK199)))</f>
        <v/>
      </c>
      <c r="AQ199" s="55">
        <f>IF(LEFT(Cockpit!$O$5,1)="A",G199,IF(BT199=1,BU199,IF(LEFT(Cockpit!$O$5,1)="B",AU199,MAX(AU199,G199))))</f>
        <v/>
      </c>
      <c r="AR199" s="55">
        <f>IF(BO199=1,0,ROUNDUP(AQ199/BN199,0))</f>
        <v/>
      </c>
      <c r="AS199" s="64">
        <f>IF(BO199=1,IF(AQ199&lt;=0,0,BP199*MAX(1,IF(G199&gt;0,AQ199/G199,1))),AR199*Q199)</f>
        <v/>
      </c>
      <c r="AT199" s="55">
        <f>AQ199*F199</f>
        <v/>
      </c>
      <c r="AU199" s="55">
        <f>ROUNDUP(MAX(I199/IF(BS199&gt;0,BS199,MAX(0.1,N(Cockpit!$O$6))),BV199)/BN199,0)*BN199</f>
        <v/>
      </c>
      <c r="AV199" s="56">
        <f>IF(AS199&gt;0,I199/AS199,-1)</f>
        <v/>
      </c>
      <c r="AW199" s="56">
        <f>IF(AND(OR(BR199="L1",BR199="L23"),AS199&gt;0),SUMIFS($AS$7:$AS$1570,$BR$7:$BR$1570,BR199,$AV$7:$AV$1570,"&gt;"&amp;AV199)+SUMIFS($AS$7:$AS$1570,$BR$7:$BR$1570,BR199,$AV$7:$AV$1570,AV199,$BL$7:$BL$1570,"&lt;="&amp;BL199),"")</f>
        <v/>
      </c>
      <c r="AX199" s="65">
        <f>IF(AW199="",0,MAX(0,MIN(1,(IF(BR199="L1",Parameter!$K$5,Parameter!$K$6+Parameter!$K$7)-(AW199-AS199))/AS199)))</f>
        <v/>
      </c>
      <c r="AY199" s="53">
        <f>IF(AC199&lt;=0,"",IF(BR199="Aussen","Aussenlager",IF(BR199="-","Nicht im Lift",IF(AH199&gt;=1,"Lift",IF(AH199&lt;=0,"Aussenlager","teilweise")))))</f>
        <v/>
      </c>
      <c r="AZ199" s="53">
        <f>IF(AK199&lt;=0,"",IF(BR199="Aussen","Aussenlager",IF(BR199="-","Nicht im Lift",IF(AP199&gt;=1,"Lift",IF(AP199&lt;=0,"Aussenlager","teilweise")))))</f>
        <v/>
      </c>
      <c r="BA199" s="53">
        <f>IF(AS199&lt;=0,"",IF(BR199="Aussen","Aussenlager",IF(BR199="-","Nicht im Lift",IF(AX199&gt;=1,"Lift",IF(AX199&lt;=0,"Aussenlager","teilweise")))))</f>
        <v/>
      </c>
      <c r="BB199" s="53">
        <f>IF(A199="","",IF(BK199=1,"Neu; ","")&amp;IF(AND(BK199=0,BF199&lt;0),"negativer Bestand (Export "&amp;BF199&amp;"); ","")&amp;IF(I199&lt;=0,"Kein Verbrauch; ","")&amp;IF(BO199=1,"Lose – Fläche geschätzt; ","")&amp;IF(G199&gt;AM199,"Überbestand "&amp;ROUND(G199-AM199,0)&amp;" Stk / CHF "&amp;ROUND((G199-AM199)*F199,0)&amp;"; ","")&amp;IF(AND(BT199=1,BU199&lt;BV199),"MAX &lt; MB+LG; ","")&amp;IF(AND(BZ199&gt;0,BY199*10&gt;BZ199),"zu hoch für Tablar; ","")&amp;IF(AND(BK199=0,OR(BT199=1,V199&lt;&gt;"",S199&lt;&gt;"",T199&lt;&gt;"",W199&lt;&gt;"")),"manuell übersteuert; ","")&amp;IF(AND(BO199=0,Q199=0),"Gebinde unbekannt; ","")&amp;IF(AND(BO199=0,N(T199)&lt;=0,N(P199)&lt;=0),"Menge pro Gebinde fehlt (Ist = 1 Gebinde); ","")&amp;BJ199)</f>
        <v/>
      </c>
      <c r="BC199" s="53" t="n"/>
      <c r="BD199" s="53" t="n"/>
      <c r="BE199" s="61" t="n"/>
      <c r="BF199" s="55" t="n">
        <v>52</v>
      </c>
      <c r="BG199" s="55" t="n">
        <v>26</v>
      </c>
      <c r="BH199" s="54" t="n">
        <v>815.88</v>
      </c>
      <c r="BI199" s="55" t="n">
        <v>54</v>
      </c>
      <c r="BJ199" s="53" t="inlineStr"/>
      <c r="BK199" s="58" t="n">
        <v>0</v>
      </c>
      <c r="BL199" s="58" t="n">
        <v>199</v>
      </c>
      <c r="BM199" s="53">
        <f>IF(S199&lt;&gt;"",UPPER(TRIM(S199)),IF(O199="","LOSE",O199))</f>
        <v/>
      </c>
      <c r="BN199" s="55">
        <f>IF(BM199="LOSE",1,IF(N(T199)&gt;0,T199,IF(N(P199)&gt;0,P199,MAX(1,G199))))</f>
        <v/>
      </c>
      <c r="BO199" s="58">
        <f>IF(BM199="LOSE",1,0)</f>
        <v/>
      </c>
      <c r="BP199" s="64">
        <f>IF(BO199=0,0,IF(N(R199)&gt;0,R199,IFERROR(VLOOKUP(D199,Parameter!$A$35:$C$64,3,0)+0,0)))</f>
        <v/>
      </c>
      <c r="BQ199" s="53">
        <f>IF(V199&lt;&gt;"",V199,U199)</f>
        <v/>
      </c>
      <c r="BR199" s="53">
        <f>IF(BQ199=1,"L1",IF(OR(BQ199=2,BQ199=3),"L23",IF(BQ199="Aussen","Aussen","-")))</f>
        <v/>
      </c>
      <c r="BS199" s="66">
        <f>IF(N(W199)&gt;0,W199,0)</f>
        <v/>
      </c>
      <c r="BT199" s="58">
        <f>IF(ISNUMBER(Z199),1,0)</f>
        <v/>
      </c>
      <c r="BU199" s="55">
        <f>N(Z199)</f>
        <v/>
      </c>
      <c r="BV199" s="55">
        <f>N(L199)+N(M199)</f>
        <v/>
      </c>
      <c r="BW199" s="55">
        <f>ROUNDUP(G199/BN199,0)</f>
        <v/>
      </c>
      <c r="BX199" s="55">
        <f>ROUNDUP(BU199/BN199,0)</f>
        <v/>
      </c>
      <c r="BY199" s="58">
        <f>IF(BO199=1,0,IFERROR(VLOOKUP(BM199,'Gebinde-Kategorie'!$A$5:$G$45,5,0)+0,0))</f>
        <v/>
      </c>
      <c r="BZ199" s="58">
        <f>IFERROR(IF(OR(BQ199=1,BQ199=2,BQ199=3),N(INDEX(Parameter!$I$5:$I$7,BQ199)),0),0)</f>
        <v/>
      </c>
    </row>
    <row r="200">
      <c r="A200" s="53" t="inlineStr">
        <is>
          <t>101560</t>
        </is>
      </c>
      <c r="B200" s="53" t="inlineStr">
        <is>
          <t>Aufhängung starr</t>
        </is>
      </c>
      <c r="C200" s="53" t="inlineStr">
        <is>
          <t>F</t>
        </is>
      </c>
      <c r="D200" s="53" t="inlineStr">
        <is>
          <t>PAL</t>
        </is>
      </c>
      <c r="E200" s="53" t="inlineStr">
        <is>
          <t>C</t>
        </is>
      </c>
      <c r="F200" s="54" t="n">
        <v>39.92</v>
      </c>
      <c r="G200" s="55">
        <f>MAX(0,IF(Parameter!$B$20="Jahresanfang 2025 + Export",BG200+BF200,BF200))</f>
        <v/>
      </c>
      <c r="H200" s="55">
        <f>G200*F200</f>
        <v/>
      </c>
      <c r="I200" s="55">
        <f>BI200*Parameter!$B$18</f>
        <v/>
      </c>
      <c r="J200" s="56" t="n">
        <v>49</v>
      </c>
      <c r="K200" s="57" t="n">
        <v>5.73469387755102</v>
      </c>
      <c r="L200" s="55" t="n">
        <v>5</v>
      </c>
      <c r="M200" s="55" t="n">
        <v>135</v>
      </c>
      <c r="N200" s="58" t="n">
        <v>7</v>
      </c>
      <c r="O200" s="53" t="inlineStr">
        <is>
          <t>S63</t>
        </is>
      </c>
      <c r="P200" s="55" t="n">
        <v>50</v>
      </c>
      <c r="Q200" s="59">
        <f>IF(BO200=1,0,IFERROR(VLOOKUP(BM200,'Gebinde-Kategorie'!$A$5:$G$45,6,0)+0,0))</f>
        <v/>
      </c>
      <c r="R200" s="60" t="n"/>
      <c r="S200" s="61" t="n"/>
      <c r="T200" s="61" t="n"/>
      <c r="U200" s="53">
        <f>IF(A200="","",IF(IFERROR(VLOOKUP(D200,Parameter!$A$35:$C$64,2,0),"Nein")="2+3",IF(ISNUMBER(SEARCH("grosser Artikel",BJ200)),2,IFERROR(VLOOKUP(BM200,Parameter!$F$35:$G$64,2,0),2)),IF(OR(IFERROR(VLOOKUP(D200,Parameter!$A$35:$C$64,2,0),"Nein")="Nein",IFERROR(VLOOKUP(D200,Parameter!$A$35:$C$64,2,0),"Nein")=""),"-",VLOOKUP(D200,Parameter!$A$35:$C$64,2,0))))</f>
        <v/>
      </c>
      <c r="V200" s="61" t="n"/>
      <c r="W200" s="62" t="n"/>
      <c r="X200" s="55">
        <f>AM200</f>
        <v/>
      </c>
      <c r="Y200" s="55">
        <f>MAX(AM200,G200)</f>
        <v/>
      </c>
      <c r="Z200" s="63" t="n"/>
      <c r="AA200" s="55">
        <f>IF(LEFT(Cockpit!$C$5,1)="A",G200,IF(BT200=1,BU200,IF(LEFT(Cockpit!$C$5,1)="B",AE200,MAX(AE200,G200))))</f>
        <v/>
      </c>
      <c r="AB200" s="55">
        <f>IF(BO200=1,0,ROUNDUP(AA200/BN200,0))</f>
        <v/>
      </c>
      <c r="AC200" s="64">
        <f>IF(BO200=1,IF(AA200&lt;=0,0,BP200*MAX(1,IF(G200&gt;0,AA200/G200,1))),AB200*Q200)</f>
        <v/>
      </c>
      <c r="AD200" s="55">
        <f>AA200*F200</f>
        <v/>
      </c>
      <c r="AE200" s="55">
        <f>ROUNDUP(MAX(I200/IF(BS200&gt;0,BS200,MAX(0.1,N(Cockpit!$C$6))),BV200)/BN200,0)*BN200</f>
        <v/>
      </c>
      <c r="AF200" s="56">
        <f>IF(AC200&gt;0,I200/AC200,-1)</f>
        <v/>
      </c>
      <c r="AG200" s="56">
        <f>IF(AND(OR(BR200="L1",BR200="L23"),AC200&gt;0),SUMIFS($AC$7:$AC$1570,$BR$7:$BR$1570,BR200,$AF$7:$AF$1570,"&gt;"&amp;AF200)+SUMIFS($AC$7:$AC$1570,$BR$7:$BR$1570,BR200,$AF$7:$AF$1570,AF200,$BL$7:$BL$1570,"&lt;="&amp;BL200),"")</f>
        <v/>
      </c>
      <c r="AH200" s="65">
        <f>IF(AG200="",0,MAX(0,MIN(1,(IF(BR200="L1",Parameter!$K$5,Parameter!$K$6+Parameter!$K$7)-(AG200-AC200))/AC200)))</f>
        <v/>
      </c>
      <c r="AI200" s="55">
        <f>IF(LEFT(Cockpit!$I$5,1)="A",G200,IF(BT200=1,BU200,IF(LEFT(Cockpit!$I$5,1)="B",AM200,MAX(AM200,G200))))</f>
        <v/>
      </c>
      <c r="AJ200" s="55">
        <f>IF(BO200=1,0,ROUNDUP(AI200/BN200,0))</f>
        <v/>
      </c>
      <c r="AK200" s="64">
        <f>IF(BO200=1,IF(AI200&lt;=0,0,BP200*MAX(1,IF(G200&gt;0,AI200/G200,1))),AJ200*Q200)</f>
        <v/>
      </c>
      <c r="AL200" s="55">
        <f>AI200*F200</f>
        <v/>
      </c>
      <c r="AM200" s="55">
        <f>ROUNDUP(MAX(I200/IF(BS200&gt;0,BS200,MAX(0.1,N(Cockpit!$I$6))),BV200)/BN200,0)*BN200</f>
        <v/>
      </c>
      <c r="AN200" s="56">
        <f>IF(AK200&gt;0,I200/AK200,-1)</f>
        <v/>
      </c>
      <c r="AO200" s="56">
        <f>IF(AND(OR(BR200="L1",BR200="L23"),AK200&gt;0),SUMIFS($AK$7:$AK$1570,$BR$7:$BR$1570,BR200,$AN$7:$AN$1570,"&gt;"&amp;AN200)+SUMIFS($AK$7:$AK$1570,$BR$7:$BR$1570,BR200,$AN$7:$AN$1570,AN200,$BL$7:$BL$1570,"&lt;="&amp;BL200),"")</f>
        <v/>
      </c>
      <c r="AP200" s="65">
        <f>IF(AO200="",0,MAX(0,MIN(1,(IF(BR200="L1",Parameter!$K$5,Parameter!$K$6+Parameter!$K$7)-(AO200-AK200))/AK200)))</f>
        <v/>
      </c>
      <c r="AQ200" s="55">
        <f>IF(LEFT(Cockpit!$O$5,1)="A",G200,IF(BT200=1,BU200,IF(LEFT(Cockpit!$O$5,1)="B",AU200,MAX(AU200,G200))))</f>
        <v/>
      </c>
      <c r="AR200" s="55">
        <f>IF(BO200=1,0,ROUNDUP(AQ200/BN200,0))</f>
        <v/>
      </c>
      <c r="AS200" s="64">
        <f>IF(BO200=1,IF(AQ200&lt;=0,0,BP200*MAX(1,IF(G200&gt;0,AQ200/G200,1))),AR200*Q200)</f>
        <v/>
      </c>
      <c r="AT200" s="55">
        <f>AQ200*F200</f>
        <v/>
      </c>
      <c r="AU200" s="55">
        <f>ROUNDUP(MAX(I200/IF(BS200&gt;0,BS200,MAX(0.1,N(Cockpit!$O$6))),BV200)/BN200,0)*BN200</f>
        <v/>
      </c>
      <c r="AV200" s="56">
        <f>IF(AS200&gt;0,I200/AS200,-1)</f>
        <v/>
      </c>
      <c r="AW200" s="56">
        <f>IF(AND(OR(BR200="L1",BR200="L23"),AS200&gt;0),SUMIFS($AS$7:$AS$1570,$BR$7:$BR$1570,BR200,$AV$7:$AV$1570,"&gt;"&amp;AV200)+SUMIFS($AS$7:$AS$1570,$BR$7:$BR$1570,BR200,$AV$7:$AV$1570,AV200,$BL$7:$BL$1570,"&lt;="&amp;BL200),"")</f>
        <v/>
      </c>
      <c r="AX200" s="65">
        <f>IF(AW200="",0,MAX(0,MIN(1,(IF(BR200="L1",Parameter!$K$5,Parameter!$K$6+Parameter!$K$7)-(AW200-AS200))/AS200)))</f>
        <v/>
      </c>
      <c r="AY200" s="53">
        <f>IF(AC200&lt;=0,"",IF(BR200="Aussen","Aussenlager",IF(BR200="-","Nicht im Lift",IF(AH200&gt;=1,"Lift",IF(AH200&lt;=0,"Aussenlager","teilweise")))))</f>
        <v/>
      </c>
      <c r="AZ200" s="53">
        <f>IF(AK200&lt;=0,"",IF(BR200="Aussen","Aussenlager",IF(BR200="-","Nicht im Lift",IF(AP200&gt;=1,"Lift",IF(AP200&lt;=0,"Aussenlager","teilweise")))))</f>
        <v/>
      </c>
      <c r="BA200" s="53">
        <f>IF(AS200&lt;=0,"",IF(BR200="Aussen","Aussenlager",IF(BR200="-","Nicht im Lift",IF(AX200&gt;=1,"Lift",IF(AX200&lt;=0,"Aussenlager","teilweise")))))</f>
        <v/>
      </c>
      <c r="BB200" s="53">
        <f>IF(A200="","",IF(BK200=1,"Neu; ","")&amp;IF(AND(BK200=0,BF200&lt;0),"negativer Bestand (Export "&amp;BF200&amp;"); ","")&amp;IF(I200&lt;=0,"Kein Verbrauch; ","")&amp;IF(BO200=1,"Lose – Fläche geschätzt; ","")&amp;IF(G200&gt;AM200,"Überbestand "&amp;ROUND(G200-AM200,0)&amp;" Stk / CHF "&amp;ROUND((G200-AM200)*F200,0)&amp;"; ","")&amp;IF(AND(BT200=1,BU200&lt;BV200),"MAX &lt; MB+LG; ","")&amp;IF(AND(BZ200&gt;0,BY200*10&gt;BZ200),"zu hoch für Tablar; ","")&amp;IF(AND(BK200=0,OR(BT200=1,V200&lt;&gt;"",S200&lt;&gt;"",T200&lt;&gt;"",W200&lt;&gt;"")),"manuell übersteuert; ","")&amp;IF(AND(BO200=0,Q200=0),"Gebinde unbekannt; ","")&amp;IF(AND(BO200=0,N(T200)&lt;=0,N(P200)&lt;=0),"Menge pro Gebinde fehlt (Ist = 1 Gebinde); ","")&amp;BJ200)</f>
        <v/>
      </c>
      <c r="BC200" s="53" t="n"/>
      <c r="BD200" s="53" t="n"/>
      <c r="BE200" s="61" t="n"/>
      <c r="BF200" s="55" t="n">
        <v>21</v>
      </c>
      <c r="BG200" s="55" t="n">
        <v>57</v>
      </c>
      <c r="BH200" s="54" t="n">
        <v>810.9599999999995</v>
      </c>
      <c r="BI200" s="55" t="n">
        <v>281</v>
      </c>
      <c r="BJ200" s="53" t="inlineStr"/>
      <c r="BK200" s="58" t="n">
        <v>0</v>
      </c>
      <c r="BL200" s="58" t="n">
        <v>200</v>
      </c>
      <c r="BM200" s="53">
        <f>IF(S200&lt;&gt;"",UPPER(TRIM(S200)),IF(O200="","LOSE",O200))</f>
        <v/>
      </c>
      <c r="BN200" s="55">
        <f>IF(BM200="LOSE",1,IF(N(T200)&gt;0,T200,IF(N(P200)&gt;0,P200,MAX(1,G200))))</f>
        <v/>
      </c>
      <c r="BO200" s="58">
        <f>IF(BM200="LOSE",1,0)</f>
        <v/>
      </c>
      <c r="BP200" s="64">
        <f>IF(BO200=0,0,IF(N(R200)&gt;0,R200,IFERROR(VLOOKUP(D200,Parameter!$A$35:$C$64,3,0)+0,0)))</f>
        <v/>
      </c>
      <c r="BQ200" s="53">
        <f>IF(V200&lt;&gt;"",V200,U200)</f>
        <v/>
      </c>
      <c r="BR200" s="53">
        <f>IF(BQ200=1,"L1",IF(OR(BQ200=2,BQ200=3),"L23",IF(BQ200="Aussen","Aussen","-")))</f>
        <v/>
      </c>
      <c r="BS200" s="66">
        <f>IF(N(W200)&gt;0,W200,0)</f>
        <v/>
      </c>
      <c r="BT200" s="58">
        <f>IF(ISNUMBER(Z200),1,0)</f>
        <v/>
      </c>
      <c r="BU200" s="55">
        <f>N(Z200)</f>
        <v/>
      </c>
      <c r="BV200" s="55">
        <f>N(L200)+N(M200)</f>
        <v/>
      </c>
      <c r="BW200" s="55">
        <f>ROUNDUP(G200/BN200,0)</f>
        <v/>
      </c>
      <c r="BX200" s="55">
        <f>ROUNDUP(BU200/BN200,0)</f>
        <v/>
      </c>
      <c r="BY200" s="58">
        <f>IF(BO200=1,0,IFERROR(VLOOKUP(BM200,'Gebinde-Kategorie'!$A$5:$G$45,5,0)+0,0))</f>
        <v/>
      </c>
      <c r="BZ200" s="58">
        <f>IFERROR(IF(OR(BQ200=1,BQ200=2,BQ200=3),N(INDEX(Parameter!$I$5:$I$7,BQ200)),0),0)</f>
        <v/>
      </c>
    </row>
    <row r="201">
      <c r="A201" s="53" t="inlineStr">
        <is>
          <t>104211</t>
        </is>
      </c>
      <c r="B201" s="53" t="inlineStr">
        <is>
          <t>Glühkerzenkabel inkl. Stecker zu VP</t>
        </is>
      </c>
      <c r="C201" s="53" t="inlineStr">
        <is>
          <t>F</t>
        </is>
      </c>
      <c r="D201" s="53" t="inlineStr">
        <is>
          <t>PAL</t>
        </is>
      </c>
      <c r="E201" s="53" t="inlineStr">
        <is>
          <t>C</t>
        </is>
      </c>
      <c r="F201" s="54" t="n">
        <v>98.69</v>
      </c>
      <c r="G201" s="55">
        <f>MAX(0,IF(Parameter!$B$20="Jahresanfang 2025 + Export",BG201+BF201,BF201))</f>
        <v/>
      </c>
      <c r="H201" s="55">
        <f>G201*F201</f>
        <v/>
      </c>
      <c r="I201" s="55">
        <f>BI201*Parameter!$B$18</f>
        <v/>
      </c>
      <c r="J201" s="56" t="n">
        <v>30</v>
      </c>
      <c r="K201" s="57" t="n">
        <v>2.566666666666667</v>
      </c>
      <c r="L201" s="55" t="n">
        <v>10</v>
      </c>
      <c r="M201" s="55" t="n">
        <v>45</v>
      </c>
      <c r="N201" s="58" t="n">
        <v>49</v>
      </c>
      <c r="O201" s="53" t="inlineStr">
        <is>
          <t>S71</t>
        </is>
      </c>
      <c r="P201" s="55" t="n">
        <v>18</v>
      </c>
      <c r="Q201" s="59">
        <f>IF(BO201=1,0,IFERROR(VLOOKUP(BM201,'Gebinde-Kategorie'!$A$5:$G$45,6,0)+0,0))</f>
        <v/>
      </c>
      <c r="R201" s="60" t="n"/>
      <c r="S201" s="61" t="n"/>
      <c r="T201" s="61" t="n"/>
      <c r="U201" s="53">
        <f>IF(A201="","",IF(IFERROR(VLOOKUP(D201,Parameter!$A$35:$C$64,2,0),"Nein")="2+3",IF(ISNUMBER(SEARCH("grosser Artikel",BJ201)),2,IFERROR(VLOOKUP(BM201,Parameter!$F$35:$G$64,2,0),2)),IF(OR(IFERROR(VLOOKUP(D201,Parameter!$A$35:$C$64,2,0),"Nein")="Nein",IFERROR(VLOOKUP(D201,Parameter!$A$35:$C$64,2,0),"Nein")=""),"-",VLOOKUP(D201,Parameter!$A$35:$C$64,2,0))))</f>
        <v/>
      </c>
      <c r="V201" s="61" t="n"/>
      <c r="W201" s="62" t="n"/>
      <c r="X201" s="55">
        <f>AM201</f>
        <v/>
      </c>
      <c r="Y201" s="55">
        <f>MAX(AM201,G201)</f>
        <v/>
      </c>
      <c r="Z201" s="63" t="n"/>
      <c r="AA201" s="55">
        <f>IF(LEFT(Cockpit!$C$5,1)="A",G201,IF(BT201=1,BU201,IF(LEFT(Cockpit!$C$5,1)="B",AE201,MAX(AE201,G201))))</f>
        <v/>
      </c>
      <c r="AB201" s="55">
        <f>IF(BO201=1,0,ROUNDUP(AA201/BN201,0))</f>
        <v/>
      </c>
      <c r="AC201" s="64">
        <f>IF(BO201=1,IF(AA201&lt;=0,0,BP201*MAX(1,IF(G201&gt;0,AA201/G201,1))),AB201*Q201)</f>
        <v/>
      </c>
      <c r="AD201" s="55">
        <f>AA201*F201</f>
        <v/>
      </c>
      <c r="AE201" s="55">
        <f>ROUNDUP(MAX(I201/IF(BS201&gt;0,BS201,MAX(0.1,N(Cockpit!$C$6))),BV201)/BN201,0)*BN201</f>
        <v/>
      </c>
      <c r="AF201" s="56">
        <f>IF(AC201&gt;0,I201/AC201,-1)</f>
        <v/>
      </c>
      <c r="AG201" s="56">
        <f>IF(AND(OR(BR201="L1",BR201="L23"),AC201&gt;0),SUMIFS($AC$7:$AC$1570,$BR$7:$BR$1570,BR201,$AF$7:$AF$1570,"&gt;"&amp;AF201)+SUMIFS($AC$7:$AC$1570,$BR$7:$BR$1570,BR201,$AF$7:$AF$1570,AF201,$BL$7:$BL$1570,"&lt;="&amp;BL201),"")</f>
        <v/>
      </c>
      <c r="AH201" s="65">
        <f>IF(AG201="",0,MAX(0,MIN(1,(IF(BR201="L1",Parameter!$K$5,Parameter!$K$6+Parameter!$K$7)-(AG201-AC201))/AC201)))</f>
        <v/>
      </c>
      <c r="AI201" s="55">
        <f>IF(LEFT(Cockpit!$I$5,1)="A",G201,IF(BT201=1,BU201,IF(LEFT(Cockpit!$I$5,1)="B",AM201,MAX(AM201,G201))))</f>
        <v/>
      </c>
      <c r="AJ201" s="55">
        <f>IF(BO201=1,0,ROUNDUP(AI201/BN201,0))</f>
        <v/>
      </c>
      <c r="AK201" s="64">
        <f>IF(BO201=1,IF(AI201&lt;=0,0,BP201*MAX(1,IF(G201&gt;0,AI201/G201,1))),AJ201*Q201)</f>
        <v/>
      </c>
      <c r="AL201" s="55">
        <f>AI201*F201</f>
        <v/>
      </c>
      <c r="AM201" s="55">
        <f>ROUNDUP(MAX(I201/IF(BS201&gt;0,BS201,MAX(0.1,N(Cockpit!$I$6))),BV201)/BN201,0)*BN201</f>
        <v/>
      </c>
      <c r="AN201" s="56">
        <f>IF(AK201&gt;0,I201/AK201,-1)</f>
        <v/>
      </c>
      <c r="AO201" s="56">
        <f>IF(AND(OR(BR201="L1",BR201="L23"),AK201&gt;0),SUMIFS($AK$7:$AK$1570,$BR$7:$BR$1570,BR201,$AN$7:$AN$1570,"&gt;"&amp;AN201)+SUMIFS($AK$7:$AK$1570,$BR$7:$BR$1570,BR201,$AN$7:$AN$1570,AN201,$BL$7:$BL$1570,"&lt;="&amp;BL201),"")</f>
        <v/>
      </c>
      <c r="AP201" s="65">
        <f>IF(AO201="",0,MAX(0,MIN(1,(IF(BR201="L1",Parameter!$K$5,Parameter!$K$6+Parameter!$K$7)-(AO201-AK201))/AK201)))</f>
        <v/>
      </c>
      <c r="AQ201" s="55">
        <f>IF(LEFT(Cockpit!$O$5,1)="A",G201,IF(BT201=1,BU201,IF(LEFT(Cockpit!$O$5,1)="B",AU201,MAX(AU201,G201))))</f>
        <v/>
      </c>
      <c r="AR201" s="55">
        <f>IF(BO201=1,0,ROUNDUP(AQ201/BN201,0))</f>
        <v/>
      </c>
      <c r="AS201" s="64">
        <f>IF(BO201=1,IF(AQ201&lt;=0,0,BP201*MAX(1,IF(G201&gt;0,AQ201/G201,1))),AR201*Q201)</f>
        <v/>
      </c>
      <c r="AT201" s="55">
        <f>AQ201*F201</f>
        <v/>
      </c>
      <c r="AU201" s="55">
        <f>ROUNDUP(MAX(I201/IF(BS201&gt;0,BS201,MAX(0.1,N(Cockpit!$O$6))),BV201)/BN201,0)*BN201</f>
        <v/>
      </c>
      <c r="AV201" s="56">
        <f>IF(AS201&gt;0,I201/AS201,-1)</f>
        <v/>
      </c>
      <c r="AW201" s="56">
        <f>IF(AND(OR(BR201="L1",BR201="L23"),AS201&gt;0),SUMIFS($AS$7:$AS$1570,$BR$7:$BR$1570,BR201,$AV$7:$AV$1570,"&gt;"&amp;AV201)+SUMIFS($AS$7:$AS$1570,$BR$7:$BR$1570,BR201,$AV$7:$AV$1570,AV201,$BL$7:$BL$1570,"&lt;="&amp;BL201),"")</f>
        <v/>
      </c>
      <c r="AX201" s="65">
        <f>IF(AW201="",0,MAX(0,MIN(1,(IF(BR201="L1",Parameter!$K$5,Parameter!$K$6+Parameter!$K$7)-(AW201-AS201))/AS201)))</f>
        <v/>
      </c>
      <c r="AY201" s="53">
        <f>IF(AC201&lt;=0,"",IF(BR201="Aussen","Aussenlager",IF(BR201="-","Nicht im Lift",IF(AH201&gt;=1,"Lift",IF(AH201&lt;=0,"Aussenlager","teilweise")))))</f>
        <v/>
      </c>
      <c r="AZ201" s="53">
        <f>IF(AK201&lt;=0,"",IF(BR201="Aussen","Aussenlager",IF(BR201="-","Nicht im Lift",IF(AP201&gt;=1,"Lift",IF(AP201&lt;=0,"Aussenlager","teilweise")))))</f>
        <v/>
      </c>
      <c r="BA201" s="53">
        <f>IF(AS201&lt;=0,"",IF(BR201="Aussen","Aussenlager",IF(BR201="-","Nicht im Lift",IF(AX201&gt;=1,"Lift",IF(AX201&lt;=0,"Aussenlager","teilweise")))))</f>
        <v/>
      </c>
      <c r="BB201" s="53">
        <f>IF(A201="","",IF(BK201=1,"Neu; ","")&amp;IF(AND(BK201=0,BF201&lt;0),"negativer Bestand (Export "&amp;BF201&amp;"); ","")&amp;IF(I201&lt;=0,"Kein Verbrauch; ","")&amp;IF(BO201=1,"Lose – Fläche geschätzt; ","")&amp;IF(G201&gt;AM201,"Überbestand "&amp;ROUND(G201-AM201,0)&amp;" Stk / CHF "&amp;ROUND((G201-AM201)*F201,0)&amp;"; ","")&amp;IF(AND(BT201=1,BU201&lt;BV201),"MAX &lt; MB+LG; ","")&amp;IF(AND(BZ201&gt;0,BY201*10&gt;BZ201),"zu hoch für Tablar; ","")&amp;IF(AND(BK201=0,OR(BT201=1,V201&lt;&gt;"",S201&lt;&gt;"",T201&lt;&gt;"",W201&lt;&gt;"")),"manuell übersteuert; ","")&amp;IF(AND(BO201=0,Q201=0),"Gebinde unbekannt; ","")&amp;IF(AND(BO201=0,N(T201)&lt;=0,N(P201)&lt;=0),"Menge pro Gebinde fehlt (Ist = 1 Gebinde); ","")&amp;BJ201)</f>
        <v/>
      </c>
      <c r="BC201" s="53" t="n"/>
      <c r="BD201" s="53" t="n"/>
      <c r="BE201" s="61" t="n"/>
      <c r="BF201" s="55" t="n">
        <v>8</v>
      </c>
      <c r="BG201" s="55" t="n">
        <v>25</v>
      </c>
      <c r="BH201" s="54" t="n">
        <v>801.7700000000009</v>
      </c>
      <c r="BI201" s="55" t="n">
        <v>77</v>
      </c>
      <c r="BJ201" s="53" t="inlineStr">
        <is>
          <t>grosser Artikel &amp; nicht im KTL</t>
        </is>
      </c>
      <c r="BK201" s="58" t="n">
        <v>0</v>
      </c>
      <c r="BL201" s="58" t="n">
        <v>201</v>
      </c>
      <c r="BM201" s="53">
        <f>IF(S201&lt;&gt;"",UPPER(TRIM(S201)),IF(O201="","LOSE",O201))</f>
        <v/>
      </c>
      <c r="BN201" s="55">
        <f>IF(BM201="LOSE",1,IF(N(T201)&gt;0,T201,IF(N(P201)&gt;0,P201,MAX(1,G201))))</f>
        <v/>
      </c>
      <c r="BO201" s="58">
        <f>IF(BM201="LOSE",1,0)</f>
        <v/>
      </c>
      <c r="BP201" s="64">
        <f>IF(BO201=0,0,IF(N(R201)&gt;0,R201,IFERROR(VLOOKUP(D201,Parameter!$A$35:$C$64,3,0)+0,0)))</f>
        <v/>
      </c>
      <c r="BQ201" s="53">
        <f>IF(V201&lt;&gt;"",V201,U201)</f>
        <v/>
      </c>
      <c r="BR201" s="53">
        <f>IF(BQ201=1,"L1",IF(OR(BQ201=2,BQ201=3),"L23",IF(BQ201="Aussen","Aussen","-")))</f>
        <v/>
      </c>
      <c r="BS201" s="66">
        <f>IF(N(W201)&gt;0,W201,0)</f>
        <v/>
      </c>
      <c r="BT201" s="58">
        <f>IF(ISNUMBER(Z201),1,0)</f>
        <v/>
      </c>
      <c r="BU201" s="55">
        <f>N(Z201)</f>
        <v/>
      </c>
      <c r="BV201" s="55">
        <f>N(L201)+N(M201)</f>
        <v/>
      </c>
      <c r="BW201" s="55">
        <f>ROUNDUP(G201/BN201,0)</f>
        <v/>
      </c>
      <c r="BX201" s="55">
        <f>ROUNDUP(BU201/BN201,0)</f>
        <v/>
      </c>
      <c r="BY201" s="58">
        <f>IF(BO201=1,0,IFERROR(VLOOKUP(BM201,'Gebinde-Kategorie'!$A$5:$G$45,5,0)+0,0))</f>
        <v/>
      </c>
      <c r="BZ201" s="58">
        <f>IFERROR(IF(OR(BQ201=1,BQ201=2,BQ201=3),N(INDEX(Parameter!$I$5:$I$7,BQ201)),0),0)</f>
        <v/>
      </c>
    </row>
    <row r="202">
      <c r="A202" s="53" t="inlineStr">
        <is>
          <t>100337</t>
        </is>
      </c>
      <c r="B202" s="53" t="inlineStr">
        <is>
          <t>Drucktransmitter</t>
        </is>
      </c>
      <c r="C202" s="53" t="inlineStr">
        <is>
          <t>F</t>
        </is>
      </c>
      <c r="D202" s="53" t="inlineStr">
        <is>
          <t>KTL</t>
        </is>
      </c>
      <c r="E202" s="53" t="inlineStr">
        <is>
          <t>C</t>
        </is>
      </c>
      <c r="F202" s="54" t="n">
        <v>66.73</v>
      </c>
      <c r="G202" s="55">
        <f>MAX(0,IF(Parameter!$B$20="Jahresanfang 2025 + Export",BG202+BF202,BF202))</f>
        <v/>
      </c>
      <c r="H202" s="55">
        <f>G202*F202</f>
        <v/>
      </c>
      <c r="I202" s="55">
        <f>BI202*Parameter!$B$18</f>
        <v/>
      </c>
      <c r="J202" s="56" t="n">
        <v>35</v>
      </c>
      <c r="K202" s="57" t="n">
        <v>0.2</v>
      </c>
      <c r="L202" s="55" t="n">
        <v>1</v>
      </c>
      <c r="M202" s="55" t="n">
        <v>5</v>
      </c>
      <c r="N202" s="58" t="n">
        <v>70</v>
      </c>
      <c r="O202" s="53" t="inlineStr">
        <is>
          <t>S52</t>
        </is>
      </c>
      <c r="P202" s="55" t="n">
        <v>45</v>
      </c>
      <c r="Q202" s="59">
        <f>IF(BO202=1,0,IFERROR(VLOOKUP(BM202,'Gebinde-Kategorie'!$A$5:$G$45,6,0)+0,0))</f>
        <v/>
      </c>
      <c r="R202" s="60" t="n"/>
      <c r="S202" s="61" t="n"/>
      <c r="T202" s="61" t="n"/>
      <c r="U202" s="53">
        <f>IF(A202="","",IF(IFERROR(VLOOKUP(D202,Parameter!$A$35:$C$64,2,0),"Nein")="2+3",IF(ISNUMBER(SEARCH("grosser Artikel",BJ202)),2,IFERROR(VLOOKUP(BM202,Parameter!$F$35:$G$64,2,0),2)),IF(OR(IFERROR(VLOOKUP(D202,Parameter!$A$35:$C$64,2,0),"Nein")="Nein",IFERROR(VLOOKUP(D202,Parameter!$A$35:$C$64,2,0),"Nein")=""),"-",VLOOKUP(D202,Parameter!$A$35:$C$64,2,0))))</f>
        <v/>
      </c>
      <c r="V202" s="61" t="n"/>
      <c r="W202" s="62" t="n"/>
      <c r="X202" s="55">
        <f>AM202</f>
        <v/>
      </c>
      <c r="Y202" s="55">
        <f>MAX(AM202,G202)</f>
        <v/>
      </c>
      <c r="Z202" s="63" t="n"/>
      <c r="AA202" s="55">
        <f>IF(LEFT(Cockpit!$C$5,1)="A",G202,IF(BT202=1,BU202,IF(LEFT(Cockpit!$C$5,1)="B",AE202,MAX(AE202,G202))))</f>
        <v/>
      </c>
      <c r="AB202" s="55">
        <f>IF(BO202=1,0,ROUNDUP(AA202/BN202,0))</f>
        <v/>
      </c>
      <c r="AC202" s="64">
        <f>IF(BO202=1,IF(AA202&lt;=0,0,BP202*MAX(1,IF(G202&gt;0,AA202/G202,1))),AB202*Q202)</f>
        <v/>
      </c>
      <c r="AD202" s="55">
        <f>AA202*F202</f>
        <v/>
      </c>
      <c r="AE202" s="55">
        <f>ROUNDUP(MAX(I202/IF(BS202&gt;0,BS202,MAX(0.1,N(Cockpit!$C$6))),BV202)/BN202,0)*BN202</f>
        <v/>
      </c>
      <c r="AF202" s="56">
        <f>IF(AC202&gt;0,I202/AC202,-1)</f>
        <v/>
      </c>
      <c r="AG202" s="56">
        <f>IF(AND(OR(BR202="L1",BR202="L23"),AC202&gt;0),SUMIFS($AC$7:$AC$1570,$BR$7:$BR$1570,BR202,$AF$7:$AF$1570,"&gt;"&amp;AF202)+SUMIFS($AC$7:$AC$1570,$BR$7:$BR$1570,BR202,$AF$7:$AF$1570,AF202,$BL$7:$BL$1570,"&lt;="&amp;BL202),"")</f>
        <v/>
      </c>
      <c r="AH202" s="65">
        <f>IF(AG202="",0,MAX(0,MIN(1,(IF(BR202="L1",Parameter!$K$5,Parameter!$K$6+Parameter!$K$7)-(AG202-AC202))/AC202)))</f>
        <v/>
      </c>
      <c r="AI202" s="55">
        <f>IF(LEFT(Cockpit!$I$5,1)="A",G202,IF(BT202=1,BU202,IF(LEFT(Cockpit!$I$5,1)="B",AM202,MAX(AM202,G202))))</f>
        <v/>
      </c>
      <c r="AJ202" s="55">
        <f>IF(BO202=1,0,ROUNDUP(AI202/BN202,0))</f>
        <v/>
      </c>
      <c r="AK202" s="64">
        <f>IF(BO202=1,IF(AI202&lt;=0,0,BP202*MAX(1,IF(G202&gt;0,AI202/G202,1))),AJ202*Q202)</f>
        <v/>
      </c>
      <c r="AL202" s="55">
        <f>AI202*F202</f>
        <v/>
      </c>
      <c r="AM202" s="55">
        <f>ROUNDUP(MAX(I202/IF(BS202&gt;0,BS202,MAX(0.1,N(Cockpit!$I$6))),BV202)/BN202,0)*BN202</f>
        <v/>
      </c>
      <c r="AN202" s="56">
        <f>IF(AK202&gt;0,I202/AK202,-1)</f>
        <v/>
      </c>
      <c r="AO202" s="56">
        <f>IF(AND(OR(BR202="L1",BR202="L23"),AK202&gt;0),SUMIFS($AK$7:$AK$1570,$BR$7:$BR$1570,BR202,$AN$7:$AN$1570,"&gt;"&amp;AN202)+SUMIFS($AK$7:$AK$1570,$BR$7:$BR$1570,BR202,$AN$7:$AN$1570,AN202,$BL$7:$BL$1570,"&lt;="&amp;BL202),"")</f>
        <v/>
      </c>
      <c r="AP202" s="65">
        <f>IF(AO202="",0,MAX(0,MIN(1,(IF(BR202="L1",Parameter!$K$5,Parameter!$K$6+Parameter!$K$7)-(AO202-AK202))/AK202)))</f>
        <v/>
      </c>
      <c r="AQ202" s="55">
        <f>IF(LEFT(Cockpit!$O$5,1)="A",G202,IF(BT202=1,BU202,IF(LEFT(Cockpit!$O$5,1)="B",AU202,MAX(AU202,G202))))</f>
        <v/>
      </c>
      <c r="AR202" s="55">
        <f>IF(BO202=1,0,ROUNDUP(AQ202/BN202,0))</f>
        <v/>
      </c>
      <c r="AS202" s="64">
        <f>IF(BO202=1,IF(AQ202&lt;=0,0,BP202*MAX(1,IF(G202&gt;0,AQ202/G202,1))),AR202*Q202)</f>
        <v/>
      </c>
      <c r="AT202" s="55">
        <f>AQ202*F202</f>
        <v/>
      </c>
      <c r="AU202" s="55">
        <f>ROUNDUP(MAX(I202/IF(BS202&gt;0,BS202,MAX(0.1,N(Cockpit!$O$6))),BV202)/BN202,0)*BN202</f>
        <v/>
      </c>
      <c r="AV202" s="56">
        <f>IF(AS202&gt;0,I202/AS202,-1)</f>
        <v/>
      </c>
      <c r="AW202" s="56">
        <f>IF(AND(OR(BR202="L1",BR202="L23"),AS202&gt;0),SUMIFS($AS$7:$AS$1570,$BR$7:$BR$1570,BR202,$AV$7:$AV$1570,"&gt;"&amp;AV202)+SUMIFS($AS$7:$AS$1570,$BR$7:$BR$1570,BR202,$AV$7:$AV$1570,AV202,$BL$7:$BL$1570,"&lt;="&amp;BL202),"")</f>
        <v/>
      </c>
      <c r="AX202" s="65">
        <f>IF(AW202="",0,MAX(0,MIN(1,(IF(BR202="L1",Parameter!$K$5,Parameter!$K$6+Parameter!$K$7)-(AW202-AS202))/AS202)))</f>
        <v/>
      </c>
      <c r="AY202" s="53">
        <f>IF(AC202&lt;=0,"",IF(BR202="Aussen","Aussenlager",IF(BR202="-","Nicht im Lift",IF(AH202&gt;=1,"Lift",IF(AH202&lt;=0,"Aussenlager","teilweise")))))</f>
        <v/>
      </c>
      <c r="AZ202" s="53">
        <f>IF(AK202&lt;=0,"",IF(BR202="Aussen","Aussenlager",IF(BR202="-","Nicht im Lift",IF(AP202&gt;=1,"Lift",IF(AP202&lt;=0,"Aussenlager","teilweise")))))</f>
        <v/>
      </c>
      <c r="BA202" s="53">
        <f>IF(AS202&lt;=0,"",IF(BR202="Aussen","Aussenlager",IF(BR202="-","Nicht im Lift",IF(AX202&gt;=1,"Lift",IF(AX202&lt;=0,"Aussenlager","teilweise")))))</f>
        <v/>
      </c>
      <c r="BB202" s="53">
        <f>IF(A202="","",IF(BK202=1,"Neu; ","")&amp;IF(AND(BK202=0,BF202&lt;0),"negativer Bestand (Export "&amp;BF202&amp;"); ","")&amp;IF(I202&lt;=0,"Kein Verbrauch; ","")&amp;IF(BO202=1,"Lose – Fläche geschätzt; ","")&amp;IF(G202&gt;AM202,"Überbestand "&amp;ROUND(G202-AM202,0)&amp;" Stk / CHF "&amp;ROUND((G202-AM202)*F202,0)&amp;"; ","")&amp;IF(AND(BT202=1,BU202&lt;BV202),"MAX &lt; MB+LG; ","")&amp;IF(AND(BZ202&gt;0,BY202*10&gt;BZ202),"zu hoch für Tablar; ","")&amp;IF(AND(BK202=0,OR(BT202=1,V202&lt;&gt;"",S202&lt;&gt;"",T202&lt;&gt;"",W202&lt;&gt;"")),"manuell übersteuert; ","")&amp;IF(AND(BO202=0,Q202=0),"Gebinde unbekannt; ","")&amp;IF(AND(BO202=0,N(T202)&lt;=0,N(P202)&lt;=0),"Menge pro Gebinde fehlt (Ist = 1 Gebinde); ","")&amp;BJ202)</f>
        <v/>
      </c>
      <c r="BC202" s="53" t="n"/>
      <c r="BD202" s="53" t="n"/>
      <c r="BE202" s="61" t="n"/>
      <c r="BF202" s="55" t="n">
        <v>12</v>
      </c>
      <c r="BG202" s="55" t="n">
        <v>27</v>
      </c>
      <c r="BH202" s="54" t="n">
        <v>800.7599999999998</v>
      </c>
      <c r="BI202" s="55" t="n">
        <v>7</v>
      </c>
      <c r="BJ202" s="53" t="inlineStr"/>
      <c r="BK202" s="58" t="n">
        <v>0</v>
      </c>
      <c r="BL202" s="58" t="n">
        <v>202</v>
      </c>
      <c r="BM202" s="53">
        <f>IF(S202&lt;&gt;"",UPPER(TRIM(S202)),IF(O202="","LOSE",O202))</f>
        <v/>
      </c>
      <c r="BN202" s="55">
        <f>IF(BM202="LOSE",1,IF(N(T202)&gt;0,T202,IF(N(P202)&gt;0,P202,MAX(1,G202))))</f>
        <v/>
      </c>
      <c r="BO202" s="58">
        <f>IF(BM202="LOSE",1,0)</f>
        <v/>
      </c>
      <c r="BP202" s="64">
        <f>IF(BO202=0,0,IF(N(R202)&gt;0,R202,IFERROR(VLOOKUP(D202,Parameter!$A$35:$C$64,3,0)+0,0)))</f>
        <v/>
      </c>
      <c r="BQ202" s="53">
        <f>IF(V202&lt;&gt;"",V202,U202)</f>
        <v/>
      </c>
      <c r="BR202" s="53">
        <f>IF(BQ202=1,"L1",IF(OR(BQ202=2,BQ202=3),"L23",IF(BQ202="Aussen","Aussen","-")))</f>
        <v/>
      </c>
      <c r="BS202" s="66">
        <f>IF(N(W202)&gt;0,W202,0)</f>
        <v/>
      </c>
      <c r="BT202" s="58">
        <f>IF(ISNUMBER(Z202),1,0)</f>
        <v/>
      </c>
      <c r="BU202" s="55">
        <f>N(Z202)</f>
        <v/>
      </c>
      <c r="BV202" s="55">
        <f>N(L202)+N(M202)</f>
        <v/>
      </c>
      <c r="BW202" s="55">
        <f>ROUNDUP(G202/BN202,0)</f>
        <v/>
      </c>
      <c r="BX202" s="55">
        <f>ROUNDUP(BU202/BN202,0)</f>
        <v/>
      </c>
      <c r="BY202" s="58">
        <f>IF(BO202=1,0,IFERROR(VLOOKUP(BM202,'Gebinde-Kategorie'!$A$5:$G$45,5,0)+0,0))</f>
        <v/>
      </c>
      <c r="BZ202" s="58">
        <f>IFERROR(IF(OR(BQ202=1,BQ202=2,BQ202=3),N(INDEX(Parameter!$I$5:$I$7,BQ202)),0),0)</f>
        <v/>
      </c>
    </row>
    <row r="203">
      <c r="A203" s="53" t="inlineStr">
        <is>
          <t>110204</t>
        </is>
      </c>
      <c r="B203" s="53" t="inlineStr">
        <is>
          <t>Aufsteckringschlüssel</t>
        </is>
      </c>
      <c r="C203" s="53" t="inlineStr">
        <is>
          <t>F</t>
        </is>
      </c>
      <c r="D203" s="53" t="inlineStr">
        <is>
          <t>KTL</t>
        </is>
      </c>
      <c r="E203" s="53" t="inlineStr">
        <is>
          <t>C</t>
        </is>
      </c>
      <c r="F203" s="54" t="n">
        <v>44.47</v>
      </c>
      <c r="G203" s="55">
        <f>MAX(0,IF(Parameter!$B$20="Jahresanfang 2025 + Export",BG203+BF203,BF203))</f>
        <v/>
      </c>
      <c r="H203" s="55">
        <f>G203*F203</f>
        <v/>
      </c>
      <c r="I203" s="55">
        <f>BI203*Parameter!$B$18</f>
        <v/>
      </c>
      <c r="J203" s="56" t="n">
        <v>2.5</v>
      </c>
      <c r="K203" s="57" t="n">
        <v>10</v>
      </c>
      <c r="L203" s="55" t="n">
        <v>1</v>
      </c>
      <c r="M203" s="55" t="n">
        <v>25</v>
      </c>
      <c r="N203" s="58" t="n">
        <v>28</v>
      </c>
      <c r="O203" s="53" t="inlineStr">
        <is>
          <t>S32</t>
        </is>
      </c>
      <c r="P203" s="55" t="n">
        <v>25</v>
      </c>
      <c r="Q203" s="59">
        <f>IF(BO203=1,0,IFERROR(VLOOKUP(BM203,'Gebinde-Kategorie'!$A$5:$G$45,6,0)+0,0))</f>
        <v/>
      </c>
      <c r="R203" s="60" t="n"/>
      <c r="S203" s="61" t="n"/>
      <c r="T203" s="61" t="n"/>
      <c r="U203" s="53">
        <f>IF(A203="","",IF(IFERROR(VLOOKUP(D203,Parameter!$A$35:$C$64,2,0),"Nein")="2+3",IF(ISNUMBER(SEARCH("grosser Artikel",BJ203)),2,IFERROR(VLOOKUP(BM203,Parameter!$F$35:$G$64,2,0),2)),IF(OR(IFERROR(VLOOKUP(D203,Parameter!$A$35:$C$64,2,0),"Nein")="Nein",IFERROR(VLOOKUP(D203,Parameter!$A$35:$C$64,2,0),"Nein")=""),"-",VLOOKUP(D203,Parameter!$A$35:$C$64,2,0))))</f>
        <v/>
      </c>
      <c r="V203" s="61" t="n"/>
      <c r="W203" s="62" t="n"/>
      <c r="X203" s="55">
        <f>AM203</f>
        <v/>
      </c>
      <c r="Y203" s="55">
        <f>MAX(AM203,G203)</f>
        <v/>
      </c>
      <c r="Z203" s="63" t="n"/>
      <c r="AA203" s="55">
        <f>IF(LEFT(Cockpit!$C$5,1)="A",G203,IF(BT203=1,BU203,IF(LEFT(Cockpit!$C$5,1)="B",AE203,MAX(AE203,G203))))</f>
        <v/>
      </c>
      <c r="AB203" s="55">
        <f>IF(BO203=1,0,ROUNDUP(AA203/BN203,0))</f>
        <v/>
      </c>
      <c r="AC203" s="64">
        <f>IF(BO203=1,IF(AA203&lt;=0,0,BP203*MAX(1,IF(G203&gt;0,AA203/G203,1))),AB203*Q203)</f>
        <v/>
      </c>
      <c r="AD203" s="55">
        <f>AA203*F203</f>
        <v/>
      </c>
      <c r="AE203" s="55">
        <f>ROUNDUP(MAX(I203/IF(BS203&gt;0,BS203,MAX(0.1,N(Cockpit!$C$6))),BV203)/BN203,0)*BN203</f>
        <v/>
      </c>
      <c r="AF203" s="56">
        <f>IF(AC203&gt;0,I203/AC203,-1)</f>
        <v/>
      </c>
      <c r="AG203" s="56">
        <f>IF(AND(OR(BR203="L1",BR203="L23"),AC203&gt;0),SUMIFS($AC$7:$AC$1570,$BR$7:$BR$1570,BR203,$AF$7:$AF$1570,"&gt;"&amp;AF203)+SUMIFS($AC$7:$AC$1570,$BR$7:$BR$1570,BR203,$AF$7:$AF$1570,AF203,$BL$7:$BL$1570,"&lt;="&amp;BL203),"")</f>
        <v/>
      </c>
      <c r="AH203" s="65">
        <f>IF(AG203="",0,MAX(0,MIN(1,(IF(BR203="L1",Parameter!$K$5,Parameter!$K$6+Parameter!$K$7)-(AG203-AC203))/AC203)))</f>
        <v/>
      </c>
      <c r="AI203" s="55">
        <f>IF(LEFT(Cockpit!$I$5,1)="A",G203,IF(BT203=1,BU203,IF(LEFT(Cockpit!$I$5,1)="B",AM203,MAX(AM203,G203))))</f>
        <v/>
      </c>
      <c r="AJ203" s="55">
        <f>IF(BO203=1,0,ROUNDUP(AI203/BN203,0))</f>
        <v/>
      </c>
      <c r="AK203" s="64">
        <f>IF(BO203=1,IF(AI203&lt;=0,0,BP203*MAX(1,IF(G203&gt;0,AI203/G203,1))),AJ203*Q203)</f>
        <v/>
      </c>
      <c r="AL203" s="55">
        <f>AI203*F203</f>
        <v/>
      </c>
      <c r="AM203" s="55">
        <f>ROUNDUP(MAX(I203/IF(BS203&gt;0,BS203,MAX(0.1,N(Cockpit!$I$6))),BV203)/BN203,0)*BN203</f>
        <v/>
      </c>
      <c r="AN203" s="56">
        <f>IF(AK203&gt;0,I203/AK203,-1)</f>
        <v/>
      </c>
      <c r="AO203" s="56">
        <f>IF(AND(OR(BR203="L1",BR203="L23"),AK203&gt;0),SUMIFS($AK$7:$AK$1570,$BR$7:$BR$1570,BR203,$AN$7:$AN$1570,"&gt;"&amp;AN203)+SUMIFS($AK$7:$AK$1570,$BR$7:$BR$1570,BR203,$AN$7:$AN$1570,AN203,$BL$7:$BL$1570,"&lt;="&amp;BL203),"")</f>
        <v/>
      </c>
      <c r="AP203" s="65">
        <f>IF(AO203="",0,MAX(0,MIN(1,(IF(BR203="L1",Parameter!$K$5,Parameter!$K$6+Parameter!$K$7)-(AO203-AK203))/AK203)))</f>
        <v/>
      </c>
      <c r="AQ203" s="55">
        <f>IF(LEFT(Cockpit!$O$5,1)="A",G203,IF(BT203=1,BU203,IF(LEFT(Cockpit!$O$5,1)="B",AU203,MAX(AU203,G203))))</f>
        <v/>
      </c>
      <c r="AR203" s="55">
        <f>IF(BO203=1,0,ROUNDUP(AQ203/BN203,0))</f>
        <v/>
      </c>
      <c r="AS203" s="64">
        <f>IF(BO203=1,IF(AQ203&lt;=0,0,BP203*MAX(1,IF(G203&gt;0,AQ203/G203,1))),AR203*Q203)</f>
        <v/>
      </c>
      <c r="AT203" s="55">
        <f>AQ203*F203</f>
        <v/>
      </c>
      <c r="AU203" s="55">
        <f>ROUNDUP(MAX(I203/IF(BS203&gt;0,BS203,MAX(0.1,N(Cockpit!$O$6))),BV203)/BN203,0)*BN203</f>
        <v/>
      </c>
      <c r="AV203" s="56">
        <f>IF(AS203&gt;0,I203/AS203,-1)</f>
        <v/>
      </c>
      <c r="AW203" s="56">
        <f>IF(AND(OR(BR203="L1",BR203="L23"),AS203&gt;0),SUMIFS($AS$7:$AS$1570,$BR$7:$BR$1570,BR203,$AV$7:$AV$1570,"&gt;"&amp;AV203)+SUMIFS($AS$7:$AS$1570,$BR$7:$BR$1570,BR203,$AV$7:$AV$1570,AV203,$BL$7:$BL$1570,"&lt;="&amp;BL203),"")</f>
        <v/>
      </c>
      <c r="AX203" s="65">
        <f>IF(AW203="",0,MAX(0,MIN(1,(IF(BR203="L1",Parameter!$K$5,Parameter!$K$6+Parameter!$K$7)-(AW203-AS203))/AS203)))</f>
        <v/>
      </c>
      <c r="AY203" s="53">
        <f>IF(AC203&lt;=0,"",IF(BR203="Aussen","Aussenlager",IF(BR203="-","Nicht im Lift",IF(AH203&gt;=1,"Lift",IF(AH203&lt;=0,"Aussenlager","teilweise")))))</f>
        <v/>
      </c>
      <c r="AZ203" s="53">
        <f>IF(AK203&lt;=0,"",IF(BR203="Aussen","Aussenlager",IF(BR203="-","Nicht im Lift",IF(AP203&gt;=1,"Lift",IF(AP203&lt;=0,"Aussenlager","teilweise")))))</f>
        <v/>
      </c>
      <c r="BA203" s="53">
        <f>IF(AS203&lt;=0,"",IF(BR203="Aussen","Aussenlager",IF(BR203="-","Nicht im Lift",IF(AX203&gt;=1,"Lift",IF(AX203&lt;=0,"Aussenlager","teilweise")))))</f>
        <v/>
      </c>
      <c r="BB203" s="53">
        <f>IF(A203="","",IF(BK203=1,"Neu; ","")&amp;IF(AND(BK203=0,BF203&lt;0),"negativer Bestand (Export "&amp;BF203&amp;"); ","")&amp;IF(I203&lt;=0,"Kein Verbrauch; ","")&amp;IF(BO203=1,"Lose – Fläche geschätzt; ","")&amp;IF(G203&gt;AM203,"Überbestand "&amp;ROUND(G203-AM203,0)&amp;" Stk / CHF "&amp;ROUND((G203-AM203)*F203,0)&amp;"; ","")&amp;IF(AND(BT203=1,BU203&lt;BV203),"MAX &lt; MB+LG; ","")&amp;IF(AND(BZ203&gt;0,BY203*10&gt;BZ203),"zu hoch für Tablar; ","")&amp;IF(AND(BK203=0,OR(BT203=1,V203&lt;&gt;"",S203&lt;&gt;"",T203&lt;&gt;"",W203&lt;&gt;"")),"manuell übersteuert; ","")&amp;IF(AND(BO203=0,Q203=0),"Gebinde unbekannt; ","")&amp;IF(AND(BO203=0,N(T203)&lt;=0,N(P203)&lt;=0),"Menge pro Gebinde fehlt (Ist = 1 Gebinde); ","")&amp;BJ203)</f>
        <v/>
      </c>
      <c r="BC203" s="53" t="n"/>
      <c r="BD203" s="53" t="n"/>
      <c r="BE203" s="61" t="n"/>
      <c r="BF203" s="55" t="n">
        <v>18</v>
      </c>
      <c r="BG203" s="55" t="n">
        <v>0</v>
      </c>
      <c r="BH203" s="54" t="n">
        <v>800.4599999999999</v>
      </c>
      <c r="BI203" s="55" t="n">
        <v>25</v>
      </c>
      <c r="BJ203" s="53" t="inlineStr"/>
      <c r="BK203" s="58" t="n">
        <v>0</v>
      </c>
      <c r="BL203" s="58" t="n">
        <v>203</v>
      </c>
      <c r="BM203" s="53">
        <f>IF(S203&lt;&gt;"",UPPER(TRIM(S203)),IF(O203="","LOSE",O203))</f>
        <v/>
      </c>
      <c r="BN203" s="55">
        <f>IF(BM203="LOSE",1,IF(N(T203)&gt;0,T203,IF(N(P203)&gt;0,P203,MAX(1,G203))))</f>
        <v/>
      </c>
      <c r="BO203" s="58">
        <f>IF(BM203="LOSE",1,0)</f>
        <v/>
      </c>
      <c r="BP203" s="64">
        <f>IF(BO203=0,0,IF(N(R203)&gt;0,R203,IFERROR(VLOOKUP(D203,Parameter!$A$35:$C$64,3,0)+0,0)))</f>
        <v/>
      </c>
      <c r="BQ203" s="53">
        <f>IF(V203&lt;&gt;"",V203,U203)</f>
        <v/>
      </c>
      <c r="BR203" s="53">
        <f>IF(BQ203=1,"L1",IF(OR(BQ203=2,BQ203=3),"L23",IF(BQ203="Aussen","Aussen","-")))</f>
        <v/>
      </c>
      <c r="BS203" s="66">
        <f>IF(N(W203)&gt;0,W203,0)</f>
        <v/>
      </c>
      <c r="BT203" s="58">
        <f>IF(ISNUMBER(Z203),1,0)</f>
        <v/>
      </c>
      <c r="BU203" s="55">
        <f>N(Z203)</f>
        <v/>
      </c>
      <c r="BV203" s="55">
        <f>N(L203)+N(M203)</f>
        <v/>
      </c>
      <c r="BW203" s="55">
        <f>ROUNDUP(G203/BN203,0)</f>
        <v/>
      </c>
      <c r="BX203" s="55">
        <f>ROUNDUP(BU203/BN203,0)</f>
        <v/>
      </c>
      <c r="BY203" s="58">
        <f>IF(BO203=1,0,IFERROR(VLOOKUP(BM203,'Gebinde-Kategorie'!$A$5:$G$45,5,0)+0,0))</f>
        <v/>
      </c>
      <c r="BZ203" s="58">
        <f>IFERROR(IF(OR(BQ203=1,BQ203=2,BQ203=3),N(INDEX(Parameter!$I$5:$I$7,BQ203)),0),0)</f>
        <v/>
      </c>
    </row>
    <row r="204">
      <c r="A204" s="53" t="inlineStr">
        <is>
          <t>111959</t>
        </is>
      </c>
      <c r="B204" s="53" t="inlineStr">
        <is>
          <t>T-Verschraubung</t>
        </is>
      </c>
      <c r="C204" s="53" t="inlineStr">
        <is>
          <t>F</t>
        </is>
      </c>
      <c r="D204" s="53" t="inlineStr">
        <is>
          <t>KTL</t>
        </is>
      </c>
      <c r="E204" s="53" t="inlineStr">
        <is>
          <t>C</t>
        </is>
      </c>
      <c r="F204" s="54" t="n">
        <v>31.77</v>
      </c>
      <c r="G204" s="55">
        <f>MAX(0,IF(Parameter!$B$20="Jahresanfang 2025 + Export",BG204+BF204,BF204))</f>
        <v/>
      </c>
      <c r="H204" s="55">
        <f>G204*F204</f>
        <v/>
      </c>
      <c r="I204" s="55">
        <f>BI204*Parameter!$B$18</f>
        <v/>
      </c>
      <c r="J204" s="56" t="n">
        <v>0</v>
      </c>
      <c r="K204" s="57" t="n">
        <v>0</v>
      </c>
      <c r="L204" s="55" t="n">
        <v>0</v>
      </c>
      <c r="M204" s="55" t="n">
        <v>1</v>
      </c>
      <c r="N204" s="58" t="n">
        <v>9999</v>
      </c>
      <c r="O204" s="53" t="inlineStr">
        <is>
          <t>LOSE</t>
        </is>
      </c>
      <c r="P204" s="55" t="n"/>
      <c r="Q204" s="59">
        <f>IF(BO204=1,0,IFERROR(VLOOKUP(BM204,'Gebinde-Kategorie'!$A$5:$G$45,6,0)+0,0))</f>
        <v/>
      </c>
      <c r="R204" s="60" t="n"/>
      <c r="S204" s="61" t="n"/>
      <c r="T204" s="61" t="n"/>
      <c r="U204" s="53">
        <f>IF(A204="","",IF(IFERROR(VLOOKUP(D204,Parameter!$A$35:$C$64,2,0),"Nein")="2+3",IF(ISNUMBER(SEARCH("grosser Artikel",BJ204)),2,IFERROR(VLOOKUP(BM204,Parameter!$F$35:$G$64,2,0),2)),IF(OR(IFERROR(VLOOKUP(D204,Parameter!$A$35:$C$64,2,0),"Nein")="Nein",IFERROR(VLOOKUP(D204,Parameter!$A$35:$C$64,2,0),"Nein")=""),"-",VLOOKUP(D204,Parameter!$A$35:$C$64,2,0))))</f>
        <v/>
      </c>
      <c r="V204" s="61" t="n"/>
      <c r="W204" s="62" t="n"/>
      <c r="X204" s="55">
        <f>AM204</f>
        <v/>
      </c>
      <c r="Y204" s="55">
        <f>MAX(AM204,G204)</f>
        <v/>
      </c>
      <c r="Z204" s="63" t="n"/>
      <c r="AA204" s="55">
        <f>IF(LEFT(Cockpit!$C$5,1)="A",G204,IF(BT204=1,BU204,IF(LEFT(Cockpit!$C$5,1)="B",AE204,MAX(AE204,G204))))</f>
        <v/>
      </c>
      <c r="AB204" s="55">
        <f>IF(BO204=1,0,ROUNDUP(AA204/BN204,0))</f>
        <v/>
      </c>
      <c r="AC204" s="64">
        <f>IF(BO204=1,IF(AA204&lt;=0,0,BP204*MAX(1,IF(G204&gt;0,AA204/G204,1))),AB204*Q204)</f>
        <v/>
      </c>
      <c r="AD204" s="55">
        <f>AA204*F204</f>
        <v/>
      </c>
      <c r="AE204" s="55">
        <f>ROUNDUP(MAX(I204/IF(BS204&gt;0,BS204,MAX(0.1,N(Cockpit!$C$6))),BV204)/BN204,0)*BN204</f>
        <v/>
      </c>
      <c r="AF204" s="56">
        <f>IF(AC204&gt;0,I204/AC204,-1)</f>
        <v/>
      </c>
      <c r="AG204" s="56">
        <f>IF(AND(OR(BR204="L1",BR204="L23"),AC204&gt;0),SUMIFS($AC$7:$AC$1570,$BR$7:$BR$1570,BR204,$AF$7:$AF$1570,"&gt;"&amp;AF204)+SUMIFS($AC$7:$AC$1570,$BR$7:$BR$1570,BR204,$AF$7:$AF$1570,AF204,$BL$7:$BL$1570,"&lt;="&amp;BL204),"")</f>
        <v/>
      </c>
      <c r="AH204" s="65">
        <f>IF(AG204="",0,MAX(0,MIN(1,(IF(BR204="L1",Parameter!$K$5,Parameter!$K$6+Parameter!$K$7)-(AG204-AC204))/AC204)))</f>
        <v/>
      </c>
      <c r="AI204" s="55">
        <f>IF(LEFT(Cockpit!$I$5,1)="A",G204,IF(BT204=1,BU204,IF(LEFT(Cockpit!$I$5,1)="B",AM204,MAX(AM204,G204))))</f>
        <v/>
      </c>
      <c r="AJ204" s="55">
        <f>IF(BO204=1,0,ROUNDUP(AI204/BN204,0))</f>
        <v/>
      </c>
      <c r="AK204" s="64">
        <f>IF(BO204=1,IF(AI204&lt;=0,0,BP204*MAX(1,IF(G204&gt;0,AI204/G204,1))),AJ204*Q204)</f>
        <v/>
      </c>
      <c r="AL204" s="55">
        <f>AI204*F204</f>
        <v/>
      </c>
      <c r="AM204" s="55">
        <f>ROUNDUP(MAX(I204/IF(BS204&gt;0,BS204,MAX(0.1,N(Cockpit!$I$6))),BV204)/BN204,0)*BN204</f>
        <v/>
      </c>
      <c r="AN204" s="56">
        <f>IF(AK204&gt;0,I204/AK204,-1)</f>
        <v/>
      </c>
      <c r="AO204" s="56">
        <f>IF(AND(OR(BR204="L1",BR204="L23"),AK204&gt;0),SUMIFS($AK$7:$AK$1570,$BR$7:$BR$1570,BR204,$AN$7:$AN$1570,"&gt;"&amp;AN204)+SUMIFS($AK$7:$AK$1570,$BR$7:$BR$1570,BR204,$AN$7:$AN$1570,AN204,$BL$7:$BL$1570,"&lt;="&amp;BL204),"")</f>
        <v/>
      </c>
      <c r="AP204" s="65">
        <f>IF(AO204="",0,MAX(0,MIN(1,(IF(BR204="L1",Parameter!$K$5,Parameter!$K$6+Parameter!$K$7)-(AO204-AK204))/AK204)))</f>
        <v/>
      </c>
      <c r="AQ204" s="55">
        <f>IF(LEFT(Cockpit!$O$5,1)="A",G204,IF(BT204=1,BU204,IF(LEFT(Cockpit!$O$5,1)="B",AU204,MAX(AU204,G204))))</f>
        <v/>
      </c>
      <c r="AR204" s="55">
        <f>IF(BO204=1,0,ROUNDUP(AQ204/BN204,0))</f>
        <v/>
      </c>
      <c r="AS204" s="64">
        <f>IF(BO204=1,IF(AQ204&lt;=0,0,BP204*MAX(1,IF(G204&gt;0,AQ204/G204,1))),AR204*Q204)</f>
        <v/>
      </c>
      <c r="AT204" s="55">
        <f>AQ204*F204</f>
        <v/>
      </c>
      <c r="AU204" s="55">
        <f>ROUNDUP(MAX(I204/IF(BS204&gt;0,BS204,MAX(0.1,N(Cockpit!$O$6))),BV204)/BN204,0)*BN204</f>
        <v/>
      </c>
      <c r="AV204" s="56">
        <f>IF(AS204&gt;0,I204/AS204,-1)</f>
        <v/>
      </c>
      <c r="AW204" s="56">
        <f>IF(AND(OR(BR204="L1",BR204="L23"),AS204&gt;0),SUMIFS($AS$7:$AS$1570,$BR$7:$BR$1570,BR204,$AV$7:$AV$1570,"&gt;"&amp;AV204)+SUMIFS($AS$7:$AS$1570,$BR$7:$BR$1570,BR204,$AV$7:$AV$1570,AV204,$BL$7:$BL$1570,"&lt;="&amp;BL204),"")</f>
        <v/>
      </c>
      <c r="AX204" s="65">
        <f>IF(AW204="",0,MAX(0,MIN(1,(IF(BR204="L1",Parameter!$K$5,Parameter!$K$6+Parameter!$K$7)-(AW204-AS204))/AS204)))</f>
        <v/>
      </c>
      <c r="AY204" s="53">
        <f>IF(AC204&lt;=0,"",IF(BR204="Aussen","Aussenlager",IF(BR204="-","Nicht im Lift",IF(AH204&gt;=1,"Lift",IF(AH204&lt;=0,"Aussenlager","teilweise")))))</f>
        <v/>
      </c>
      <c r="AZ204" s="53">
        <f>IF(AK204&lt;=0,"",IF(BR204="Aussen","Aussenlager",IF(BR204="-","Nicht im Lift",IF(AP204&gt;=1,"Lift",IF(AP204&lt;=0,"Aussenlager","teilweise")))))</f>
        <v/>
      </c>
      <c r="BA204" s="53">
        <f>IF(AS204&lt;=0,"",IF(BR204="Aussen","Aussenlager",IF(BR204="-","Nicht im Lift",IF(AX204&gt;=1,"Lift",IF(AX204&lt;=0,"Aussenlager","teilweise")))))</f>
        <v/>
      </c>
      <c r="BB204" s="53">
        <f>IF(A204="","",IF(BK204=1,"Neu; ","")&amp;IF(AND(BK204=0,BF204&lt;0),"negativer Bestand (Export "&amp;BF204&amp;"); ","")&amp;IF(I204&lt;=0,"Kein Verbrauch; ","")&amp;IF(BO204=1,"Lose – Fläche geschätzt; ","")&amp;IF(G204&gt;AM204,"Überbestand "&amp;ROUND(G204-AM204,0)&amp;" Stk / CHF "&amp;ROUND((G204-AM204)*F204,0)&amp;"; ","")&amp;IF(AND(BT204=1,BU204&lt;BV204),"MAX &lt; MB+LG; ","")&amp;IF(AND(BZ204&gt;0,BY204*10&gt;BZ204),"zu hoch für Tablar; ","")&amp;IF(AND(BK204=0,OR(BT204=1,V204&lt;&gt;"",S204&lt;&gt;"",T204&lt;&gt;"",W204&lt;&gt;"")),"manuell übersteuert; ","")&amp;IF(AND(BO204=0,Q204=0),"Gebinde unbekannt; ","")&amp;IF(AND(BO204=0,N(T204)&lt;=0,N(P204)&lt;=0),"Menge pro Gebinde fehlt (Ist = 1 Gebinde); ","")&amp;BJ204)</f>
        <v/>
      </c>
      <c r="BC204" s="53" t="n"/>
      <c r="BD204" s="53" t="n"/>
      <c r="BE204" s="61" t="n"/>
      <c r="BF204" s="55" t="n">
        <v>25</v>
      </c>
      <c r="BG204" s="55" t="n">
        <v>0</v>
      </c>
      <c r="BH204" s="54" t="n">
        <v>794.25</v>
      </c>
      <c r="BI204" s="55" t="n">
        <v>0</v>
      </c>
      <c r="BJ204" s="53" t="inlineStr"/>
      <c r="BK204" s="58" t="n">
        <v>0</v>
      </c>
      <c r="BL204" s="58" t="n">
        <v>204</v>
      </c>
      <c r="BM204" s="53">
        <f>IF(S204&lt;&gt;"",UPPER(TRIM(S204)),IF(O204="","LOSE",O204))</f>
        <v/>
      </c>
      <c r="BN204" s="55">
        <f>IF(BM204="LOSE",1,IF(N(T204)&gt;0,T204,IF(N(P204)&gt;0,P204,MAX(1,G204))))</f>
        <v/>
      </c>
      <c r="BO204" s="58">
        <f>IF(BM204="LOSE",1,0)</f>
        <v/>
      </c>
      <c r="BP204" s="64">
        <f>IF(BO204=0,0,IF(N(R204)&gt;0,R204,IFERROR(VLOOKUP(D204,Parameter!$A$35:$C$64,3,0)+0,0)))</f>
        <v/>
      </c>
      <c r="BQ204" s="53">
        <f>IF(V204&lt;&gt;"",V204,U204)</f>
        <v/>
      </c>
      <c r="BR204" s="53">
        <f>IF(BQ204=1,"L1",IF(OR(BQ204=2,BQ204=3),"L23",IF(BQ204="Aussen","Aussen","-")))</f>
        <v/>
      </c>
      <c r="BS204" s="66">
        <f>IF(N(W204)&gt;0,W204,0)</f>
        <v/>
      </c>
      <c r="BT204" s="58">
        <f>IF(ISNUMBER(Z204),1,0)</f>
        <v/>
      </c>
      <c r="BU204" s="55">
        <f>N(Z204)</f>
        <v/>
      </c>
      <c r="BV204" s="55">
        <f>N(L204)+N(M204)</f>
        <v/>
      </c>
      <c r="BW204" s="55">
        <f>ROUNDUP(G204/BN204,0)</f>
        <v/>
      </c>
      <c r="BX204" s="55">
        <f>ROUNDUP(BU204/BN204,0)</f>
        <v/>
      </c>
      <c r="BY204" s="58">
        <f>IF(BO204=1,0,IFERROR(VLOOKUP(BM204,'Gebinde-Kategorie'!$A$5:$G$45,5,0)+0,0))</f>
        <v/>
      </c>
      <c r="BZ204" s="58">
        <f>IFERROR(IF(OR(BQ204=1,BQ204=2,BQ204=3),N(INDEX(Parameter!$I$5:$I$7,BQ204)),0),0)</f>
        <v/>
      </c>
    </row>
    <row r="205">
      <c r="A205" s="53" t="inlineStr">
        <is>
          <t>109826</t>
        </is>
      </c>
      <c r="B205" s="53" t="inlineStr">
        <is>
          <t>Magnetventil</t>
        </is>
      </c>
      <c r="C205" s="53" t="inlineStr">
        <is>
          <t>F</t>
        </is>
      </c>
      <c r="D205" s="53" t="inlineStr">
        <is>
          <t>KTL</t>
        </is>
      </c>
      <c r="E205" s="53" t="inlineStr">
        <is>
          <t>C</t>
        </is>
      </c>
      <c r="F205" s="54" t="n">
        <v>539</v>
      </c>
      <c r="G205" s="55">
        <f>MAX(0,IF(Parameter!$B$20="Jahresanfang 2025 + Export",BG205+BF205,BF205))</f>
        <v/>
      </c>
      <c r="H205" s="55">
        <f>G205*F205</f>
        <v/>
      </c>
      <c r="I205" s="55">
        <f>BI205*Parameter!$B$18</f>
        <v/>
      </c>
      <c r="J205" s="56" t="n">
        <v>4.5</v>
      </c>
      <c r="K205" s="57" t="n">
        <v>0.8888888888888888</v>
      </c>
      <c r="L205" s="55" t="n">
        <v>0</v>
      </c>
      <c r="M205" s="55" t="n">
        <v>5</v>
      </c>
      <c r="N205" s="58" t="n">
        <v>35</v>
      </c>
      <c r="O205" s="53" t="inlineStr">
        <is>
          <t>S41</t>
        </is>
      </c>
      <c r="P205" s="55" t="n">
        <v>4</v>
      </c>
      <c r="Q205" s="59">
        <f>IF(BO205=1,0,IFERROR(VLOOKUP(BM205,'Gebinde-Kategorie'!$A$5:$G$45,6,0)+0,0))</f>
        <v/>
      </c>
      <c r="R205" s="60" t="n"/>
      <c r="S205" s="61" t="n"/>
      <c r="T205" s="61" t="n"/>
      <c r="U205" s="53">
        <f>IF(A205="","",IF(IFERROR(VLOOKUP(D205,Parameter!$A$35:$C$64,2,0),"Nein")="2+3",IF(ISNUMBER(SEARCH("grosser Artikel",BJ205)),2,IFERROR(VLOOKUP(BM205,Parameter!$F$35:$G$64,2,0),2)),IF(OR(IFERROR(VLOOKUP(D205,Parameter!$A$35:$C$64,2,0),"Nein")="Nein",IFERROR(VLOOKUP(D205,Parameter!$A$35:$C$64,2,0),"Nein")=""),"-",VLOOKUP(D205,Parameter!$A$35:$C$64,2,0))))</f>
        <v/>
      </c>
      <c r="V205" s="61" t="n"/>
      <c r="W205" s="62" t="n"/>
      <c r="X205" s="55">
        <f>AM205</f>
        <v/>
      </c>
      <c r="Y205" s="55">
        <f>MAX(AM205,G205)</f>
        <v/>
      </c>
      <c r="Z205" s="63" t="n"/>
      <c r="AA205" s="55">
        <f>IF(LEFT(Cockpit!$C$5,1)="A",G205,IF(BT205=1,BU205,IF(LEFT(Cockpit!$C$5,1)="B",AE205,MAX(AE205,G205))))</f>
        <v/>
      </c>
      <c r="AB205" s="55">
        <f>IF(BO205=1,0,ROUNDUP(AA205/BN205,0))</f>
        <v/>
      </c>
      <c r="AC205" s="64">
        <f>IF(BO205=1,IF(AA205&lt;=0,0,BP205*MAX(1,IF(G205&gt;0,AA205/G205,1))),AB205*Q205)</f>
        <v/>
      </c>
      <c r="AD205" s="55">
        <f>AA205*F205</f>
        <v/>
      </c>
      <c r="AE205" s="55">
        <f>ROUNDUP(MAX(I205/IF(BS205&gt;0,BS205,MAX(0.1,N(Cockpit!$C$6))),BV205)/BN205,0)*BN205</f>
        <v/>
      </c>
      <c r="AF205" s="56">
        <f>IF(AC205&gt;0,I205/AC205,-1)</f>
        <v/>
      </c>
      <c r="AG205" s="56">
        <f>IF(AND(OR(BR205="L1",BR205="L23"),AC205&gt;0),SUMIFS($AC$7:$AC$1570,$BR$7:$BR$1570,BR205,$AF$7:$AF$1570,"&gt;"&amp;AF205)+SUMIFS($AC$7:$AC$1570,$BR$7:$BR$1570,BR205,$AF$7:$AF$1570,AF205,$BL$7:$BL$1570,"&lt;="&amp;BL205),"")</f>
        <v/>
      </c>
      <c r="AH205" s="65">
        <f>IF(AG205="",0,MAX(0,MIN(1,(IF(BR205="L1",Parameter!$K$5,Parameter!$K$6+Parameter!$K$7)-(AG205-AC205))/AC205)))</f>
        <v/>
      </c>
      <c r="AI205" s="55">
        <f>IF(LEFT(Cockpit!$I$5,1)="A",G205,IF(BT205=1,BU205,IF(LEFT(Cockpit!$I$5,1)="B",AM205,MAX(AM205,G205))))</f>
        <v/>
      </c>
      <c r="AJ205" s="55">
        <f>IF(BO205=1,0,ROUNDUP(AI205/BN205,0))</f>
        <v/>
      </c>
      <c r="AK205" s="64">
        <f>IF(BO205=1,IF(AI205&lt;=0,0,BP205*MAX(1,IF(G205&gt;0,AI205/G205,1))),AJ205*Q205)</f>
        <v/>
      </c>
      <c r="AL205" s="55">
        <f>AI205*F205</f>
        <v/>
      </c>
      <c r="AM205" s="55">
        <f>ROUNDUP(MAX(I205/IF(BS205&gt;0,BS205,MAX(0.1,N(Cockpit!$I$6))),BV205)/BN205,0)*BN205</f>
        <v/>
      </c>
      <c r="AN205" s="56">
        <f>IF(AK205&gt;0,I205/AK205,-1)</f>
        <v/>
      </c>
      <c r="AO205" s="56">
        <f>IF(AND(OR(BR205="L1",BR205="L23"),AK205&gt;0),SUMIFS($AK$7:$AK$1570,$BR$7:$BR$1570,BR205,$AN$7:$AN$1570,"&gt;"&amp;AN205)+SUMIFS($AK$7:$AK$1570,$BR$7:$BR$1570,BR205,$AN$7:$AN$1570,AN205,$BL$7:$BL$1570,"&lt;="&amp;BL205),"")</f>
        <v/>
      </c>
      <c r="AP205" s="65">
        <f>IF(AO205="",0,MAX(0,MIN(1,(IF(BR205="L1",Parameter!$K$5,Parameter!$K$6+Parameter!$K$7)-(AO205-AK205))/AK205)))</f>
        <v/>
      </c>
      <c r="AQ205" s="55">
        <f>IF(LEFT(Cockpit!$O$5,1)="A",G205,IF(BT205=1,BU205,IF(LEFT(Cockpit!$O$5,1)="B",AU205,MAX(AU205,G205))))</f>
        <v/>
      </c>
      <c r="AR205" s="55">
        <f>IF(BO205=1,0,ROUNDUP(AQ205/BN205,0))</f>
        <v/>
      </c>
      <c r="AS205" s="64">
        <f>IF(BO205=1,IF(AQ205&lt;=0,0,BP205*MAX(1,IF(G205&gt;0,AQ205/G205,1))),AR205*Q205)</f>
        <v/>
      </c>
      <c r="AT205" s="55">
        <f>AQ205*F205</f>
        <v/>
      </c>
      <c r="AU205" s="55">
        <f>ROUNDUP(MAX(I205/IF(BS205&gt;0,BS205,MAX(0.1,N(Cockpit!$O$6))),BV205)/BN205,0)*BN205</f>
        <v/>
      </c>
      <c r="AV205" s="56">
        <f>IF(AS205&gt;0,I205/AS205,-1)</f>
        <v/>
      </c>
      <c r="AW205" s="56">
        <f>IF(AND(OR(BR205="L1",BR205="L23"),AS205&gt;0),SUMIFS($AS$7:$AS$1570,$BR$7:$BR$1570,BR205,$AV$7:$AV$1570,"&gt;"&amp;AV205)+SUMIFS($AS$7:$AS$1570,$BR$7:$BR$1570,BR205,$AV$7:$AV$1570,AV205,$BL$7:$BL$1570,"&lt;="&amp;BL205),"")</f>
        <v/>
      </c>
      <c r="AX205" s="65">
        <f>IF(AW205="",0,MAX(0,MIN(1,(IF(BR205="L1",Parameter!$K$5,Parameter!$K$6+Parameter!$K$7)-(AW205-AS205))/AS205)))</f>
        <v/>
      </c>
      <c r="AY205" s="53">
        <f>IF(AC205&lt;=0,"",IF(BR205="Aussen","Aussenlager",IF(BR205="-","Nicht im Lift",IF(AH205&gt;=1,"Lift",IF(AH205&lt;=0,"Aussenlager","teilweise")))))</f>
        <v/>
      </c>
      <c r="AZ205" s="53">
        <f>IF(AK205&lt;=0,"",IF(BR205="Aussen","Aussenlager",IF(BR205="-","Nicht im Lift",IF(AP205&gt;=1,"Lift",IF(AP205&lt;=0,"Aussenlager","teilweise")))))</f>
        <v/>
      </c>
      <c r="BA205" s="53">
        <f>IF(AS205&lt;=0,"",IF(BR205="Aussen","Aussenlager",IF(BR205="-","Nicht im Lift",IF(AX205&gt;=1,"Lift",IF(AX205&lt;=0,"Aussenlager","teilweise")))))</f>
        <v/>
      </c>
      <c r="BB205" s="53">
        <f>IF(A205="","",IF(BK205=1,"Neu; ","")&amp;IF(AND(BK205=0,BF205&lt;0),"negativer Bestand (Export "&amp;BF205&amp;"); ","")&amp;IF(I205&lt;=0,"Kein Verbrauch; ","")&amp;IF(BO205=1,"Lose – Fläche geschätzt; ","")&amp;IF(G205&gt;AM205,"Überbestand "&amp;ROUND(G205-AM205,0)&amp;" Stk / CHF "&amp;ROUND((G205-AM205)*F205,0)&amp;"; ","")&amp;IF(AND(BT205=1,BU205&lt;BV205),"MAX &lt; MB+LG; ","")&amp;IF(AND(BZ205&gt;0,BY205*10&gt;BZ205),"zu hoch für Tablar; ","")&amp;IF(AND(BK205=0,OR(BT205=1,V205&lt;&gt;"",S205&lt;&gt;"",T205&lt;&gt;"",W205&lt;&gt;"")),"manuell übersteuert; ","")&amp;IF(AND(BO205=0,Q205=0),"Gebinde unbekannt; ","")&amp;IF(AND(BO205=0,N(T205)&lt;=0,N(P205)&lt;=0),"Menge pro Gebinde fehlt (Ist = 1 Gebinde); ","")&amp;BJ205)</f>
        <v/>
      </c>
      <c r="BC205" s="53" t="n"/>
      <c r="BD205" s="53" t="n"/>
      <c r="BE205" s="61" t="n"/>
      <c r="BF205" s="55" t="n">
        <v>1</v>
      </c>
      <c r="BG205" s="55" t="n">
        <v>4</v>
      </c>
      <c r="BH205" s="54" t="n">
        <v>780.4799999999993</v>
      </c>
      <c r="BI205" s="55" t="n">
        <v>4</v>
      </c>
      <c r="BJ205" s="53" t="inlineStr"/>
      <c r="BK205" s="58" t="n">
        <v>0</v>
      </c>
      <c r="BL205" s="58" t="n">
        <v>205</v>
      </c>
      <c r="BM205" s="53">
        <f>IF(S205&lt;&gt;"",UPPER(TRIM(S205)),IF(O205="","LOSE",O205))</f>
        <v/>
      </c>
      <c r="BN205" s="55">
        <f>IF(BM205="LOSE",1,IF(N(T205)&gt;0,T205,IF(N(P205)&gt;0,P205,MAX(1,G205))))</f>
        <v/>
      </c>
      <c r="BO205" s="58">
        <f>IF(BM205="LOSE",1,0)</f>
        <v/>
      </c>
      <c r="BP205" s="64">
        <f>IF(BO205=0,0,IF(N(R205)&gt;0,R205,IFERROR(VLOOKUP(D205,Parameter!$A$35:$C$64,3,0)+0,0)))</f>
        <v/>
      </c>
      <c r="BQ205" s="53">
        <f>IF(V205&lt;&gt;"",V205,U205)</f>
        <v/>
      </c>
      <c r="BR205" s="53">
        <f>IF(BQ205=1,"L1",IF(OR(BQ205=2,BQ205=3),"L23",IF(BQ205="Aussen","Aussen","-")))</f>
        <v/>
      </c>
      <c r="BS205" s="66">
        <f>IF(N(W205)&gt;0,W205,0)</f>
        <v/>
      </c>
      <c r="BT205" s="58">
        <f>IF(ISNUMBER(Z205),1,0)</f>
        <v/>
      </c>
      <c r="BU205" s="55">
        <f>N(Z205)</f>
        <v/>
      </c>
      <c r="BV205" s="55">
        <f>N(L205)+N(M205)</f>
        <v/>
      </c>
      <c r="BW205" s="55">
        <f>ROUNDUP(G205/BN205,0)</f>
        <v/>
      </c>
      <c r="BX205" s="55">
        <f>ROUNDUP(BU205/BN205,0)</f>
        <v/>
      </c>
      <c r="BY205" s="58">
        <f>IF(BO205=1,0,IFERROR(VLOOKUP(BM205,'Gebinde-Kategorie'!$A$5:$G$45,5,0)+0,0))</f>
        <v/>
      </c>
      <c r="BZ205" s="58">
        <f>IFERROR(IF(OR(BQ205=1,BQ205=2,BQ205=3),N(INDEX(Parameter!$I$5:$I$7,BQ205)),0),0)</f>
        <v/>
      </c>
    </row>
    <row r="206">
      <c r="A206" s="53" t="inlineStr">
        <is>
          <t>108571</t>
        </is>
      </c>
      <c r="B206" s="53" t="inlineStr">
        <is>
          <t>Puffer</t>
        </is>
      </c>
      <c r="C206" s="53" t="inlineStr">
        <is>
          <t>F</t>
        </is>
      </c>
      <c r="D206" s="53" t="inlineStr">
        <is>
          <t>KTL</t>
        </is>
      </c>
      <c r="E206" s="53" t="inlineStr">
        <is>
          <t>C</t>
        </is>
      </c>
      <c r="F206" s="54" t="n">
        <v>8.16</v>
      </c>
      <c r="G206" s="55">
        <f>MAX(0,IF(Parameter!$B$20="Jahresanfang 2025 + Export",BG206+BF206,BF206))</f>
        <v/>
      </c>
      <c r="H206" s="55">
        <f>G206*F206</f>
        <v/>
      </c>
      <c r="I206" s="55">
        <f>BI206*Parameter!$B$18</f>
        <v/>
      </c>
      <c r="J206" s="56" t="n">
        <v>72</v>
      </c>
      <c r="K206" s="57" t="n">
        <v>2.097222222222222</v>
      </c>
      <c r="L206" s="55" t="n">
        <v>5</v>
      </c>
      <c r="M206" s="55" t="n">
        <v>150</v>
      </c>
      <c r="N206" s="58" t="n">
        <v>14</v>
      </c>
      <c r="O206" s="53" t="inlineStr">
        <is>
          <t>S33</t>
        </is>
      </c>
      <c r="P206" s="55" t="n">
        <v>71</v>
      </c>
      <c r="Q206" s="59">
        <f>IF(BO206=1,0,IFERROR(VLOOKUP(BM206,'Gebinde-Kategorie'!$A$5:$G$45,6,0)+0,0))</f>
        <v/>
      </c>
      <c r="R206" s="60" t="n"/>
      <c r="S206" s="61" t="n"/>
      <c r="T206" s="61" t="n"/>
      <c r="U206" s="53">
        <f>IF(A206="","",IF(IFERROR(VLOOKUP(D206,Parameter!$A$35:$C$64,2,0),"Nein")="2+3",IF(ISNUMBER(SEARCH("grosser Artikel",BJ206)),2,IFERROR(VLOOKUP(BM206,Parameter!$F$35:$G$64,2,0),2)),IF(OR(IFERROR(VLOOKUP(D206,Parameter!$A$35:$C$64,2,0),"Nein")="Nein",IFERROR(VLOOKUP(D206,Parameter!$A$35:$C$64,2,0),"Nein")=""),"-",VLOOKUP(D206,Parameter!$A$35:$C$64,2,0))))</f>
        <v/>
      </c>
      <c r="V206" s="61" t="n"/>
      <c r="W206" s="62" t="n"/>
      <c r="X206" s="55">
        <f>AM206</f>
        <v/>
      </c>
      <c r="Y206" s="55">
        <f>MAX(AM206,G206)</f>
        <v/>
      </c>
      <c r="Z206" s="63" t="n"/>
      <c r="AA206" s="55">
        <f>IF(LEFT(Cockpit!$C$5,1)="A",G206,IF(BT206=1,BU206,IF(LEFT(Cockpit!$C$5,1)="B",AE206,MAX(AE206,G206))))</f>
        <v/>
      </c>
      <c r="AB206" s="55">
        <f>IF(BO206=1,0,ROUNDUP(AA206/BN206,0))</f>
        <v/>
      </c>
      <c r="AC206" s="64">
        <f>IF(BO206=1,IF(AA206&lt;=0,0,BP206*MAX(1,IF(G206&gt;0,AA206/G206,1))),AB206*Q206)</f>
        <v/>
      </c>
      <c r="AD206" s="55">
        <f>AA206*F206</f>
        <v/>
      </c>
      <c r="AE206" s="55">
        <f>ROUNDUP(MAX(I206/IF(BS206&gt;0,BS206,MAX(0.1,N(Cockpit!$C$6))),BV206)/BN206,0)*BN206</f>
        <v/>
      </c>
      <c r="AF206" s="56">
        <f>IF(AC206&gt;0,I206/AC206,-1)</f>
        <v/>
      </c>
      <c r="AG206" s="56">
        <f>IF(AND(OR(BR206="L1",BR206="L23"),AC206&gt;0),SUMIFS($AC$7:$AC$1570,$BR$7:$BR$1570,BR206,$AF$7:$AF$1570,"&gt;"&amp;AF206)+SUMIFS($AC$7:$AC$1570,$BR$7:$BR$1570,BR206,$AF$7:$AF$1570,AF206,$BL$7:$BL$1570,"&lt;="&amp;BL206),"")</f>
        <v/>
      </c>
      <c r="AH206" s="65">
        <f>IF(AG206="",0,MAX(0,MIN(1,(IF(BR206="L1",Parameter!$K$5,Parameter!$K$6+Parameter!$K$7)-(AG206-AC206))/AC206)))</f>
        <v/>
      </c>
      <c r="AI206" s="55">
        <f>IF(LEFT(Cockpit!$I$5,1)="A",G206,IF(BT206=1,BU206,IF(LEFT(Cockpit!$I$5,1)="B",AM206,MAX(AM206,G206))))</f>
        <v/>
      </c>
      <c r="AJ206" s="55">
        <f>IF(BO206=1,0,ROUNDUP(AI206/BN206,0))</f>
        <v/>
      </c>
      <c r="AK206" s="64">
        <f>IF(BO206=1,IF(AI206&lt;=0,0,BP206*MAX(1,IF(G206&gt;0,AI206/G206,1))),AJ206*Q206)</f>
        <v/>
      </c>
      <c r="AL206" s="55">
        <f>AI206*F206</f>
        <v/>
      </c>
      <c r="AM206" s="55">
        <f>ROUNDUP(MAX(I206/IF(BS206&gt;0,BS206,MAX(0.1,N(Cockpit!$I$6))),BV206)/BN206,0)*BN206</f>
        <v/>
      </c>
      <c r="AN206" s="56">
        <f>IF(AK206&gt;0,I206/AK206,-1)</f>
        <v/>
      </c>
      <c r="AO206" s="56">
        <f>IF(AND(OR(BR206="L1",BR206="L23"),AK206&gt;0),SUMIFS($AK$7:$AK$1570,$BR$7:$BR$1570,BR206,$AN$7:$AN$1570,"&gt;"&amp;AN206)+SUMIFS($AK$7:$AK$1570,$BR$7:$BR$1570,BR206,$AN$7:$AN$1570,AN206,$BL$7:$BL$1570,"&lt;="&amp;BL206),"")</f>
        <v/>
      </c>
      <c r="AP206" s="65">
        <f>IF(AO206="",0,MAX(0,MIN(1,(IF(BR206="L1",Parameter!$K$5,Parameter!$K$6+Parameter!$K$7)-(AO206-AK206))/AK206)))</f>
        <v/>
      </c>
      <c r="AQ206" s="55">
        <f>IF(LEFT(Cockpit!$O$5,1)="A",G206,IF(BT206=1,BU206,IF(LEFT(Cockpit!$O$5,1)="B",AU206,MAX(AU206,G206))))</f>
        <v/>
      </c>
      <c r="AR206" s="55">
        <f>IF(BO206=1,0,ROUNDUP(AQ206/BN206,0))</f>
        <v/>
      </c>
      <c r="AS206" s="64">
        <f>IF(BO206=1,IF(AQ206&lt;=0,0,BP206*MAX(1,IF(G206&gt;0,AQ206/G206,1))),AR206*Q206)</f>
        <v/>
      </c>
      <c r="AT206" s="55">
        <f>AQ206*F206</f>
        <v/>
      </c>
      <c r="AU206" s="55">
        <f>ROUNDUP(MAX(I206/IF(BS206&gt;0,BS206,MAX(0.1,N(Cockpit!$O$6))),BV206)/BN206,0)*BN206</f>
        <v/>
      </c>
      <c r="AV206" s="56">
        <f>IF(AS206&gt;0,I206/AS206,-1)</f>
        <v/>
      </c>
      <c r="AW206" s="56">
        <f>IF(AND(OR(BR206="L1",BR206="L23"),AS206&gt;0),SUMIFS($AS$7:$AS$1570,$BR$7:$BR$1570,BR206,$AV$7:$AV$1570,"&gt;"&amp;AV206)+SUMIFS($AS$7:$AS$1570,$BR$7:$BR$1570,BR206,$AV$7:$AV$1570,AV206,$BL$7:$BL$1570,"&lt;="&amp;BL206),"")</f>
        <v/>
      </c>
      <c r="AX206" s="65">
        <f>IF(AW206="",0,MAX(0,MIN(1,(IF(BR206="L1",Parameter!$K$5,Parameter!$K$6+Parameter!$K$7)-(AW206-AS206))/AS206)))</f>
        <v/>
      </c>
      <c r="AY206" s="53">
        <f>IF(AC206&lt;=0,"",IF(BR206="Aussen","Aussenlager",IF(BR206="-","Nicht im Lift",IF(AH206&gt;=1,"Lift",IF(AH206&lt;=0,"Aussenlager","teilweise")))))</f>
        <v/>
      </c>
      <c r="AZ206" s="53">
        <f>IF(AK206&lt;=0,"",IF(BR206="Aussen","Aussenlager",IF(BR206="-","Nicht im Lift",IF(AP206&gt;=1,"Lift",IF(AP206&lt;=0,"Aussenlager","teilweise")))))</f>
        <v/>
      </c>
      <c r="BA206" s="53">
        <f>IF(AS206&lt;=0,"",IF(BR206="Aussen","Aussenlager",IF(BR206="-","Nicht im Lift",IF(AX206&gt;=1,"Lift",IF(AX206&lt;=0,"Aussenlager","teilweise")))))</f>
        <v/>
      </c>
      <c r="BB206" s="53">
        <f>IF(A206="","",IF(BK206=1,"Neu; ","")&amp;IF(AND(BK206=0,BF206&lt;0),"negativer Bestand (Export "&amp;BF206&amp;"); ","")&amp;IF(I206&lt;=0,"Kein Verbrauch; ","")&amp;IF(BO206=1,"Lose – Fläche geschätzt; ","")&amp;IF(G206&gt;AM206,"Überbestand "&amp;ROUND(G206-AM206,0)&amp;" Stk / CHF "&amp;ROUND((G206-AM206)*F206,0)&amp;"; ","")&amp;IF(AND(BT206=1,BU206&lt;BV206),"MAX &lt; MB+LG; ","")&amp;IF(AND(BZ206&gt;0,BY206*10&gt;BZ206),"zu hoch für Tablar; ","")&amp;IF(AND(BK206=0,OR(BT206=1,V206&lt;&gt;"",S206&lt;&gt;"",T206&lt;&gt;"",W206&lt;&gt;"")),"manuell übersteuert; ","")&amp;IF(AND(BO206=0,Q206=0),"Gebinde unbekannt; ","")&amp;IF(AND(BO206=0,N(T206)&lt;=0,N(P206)&lt;=0),"Menge pro Gebinde fehlt (Ist = 1 Gebinde); ","")&amp;BJ206)</f>
        <v/>
      </c>
      <c r="BC206" s="53" t="n"/>
      <c r="BD206" s="53" t="n"/>
      <c r="BE206" s="61" t="n"/>
      <c r="BF206" s="55" t="n">
        <v>90</v>
      </c>
      <c r="BG206" s="55" t="n">
        <v>47</v>
      </c>
      <c r="BH206" s="54" t="n">
        <v>744.2700000000001</v>
      </c>
      <c r="BI206" s="55" t="n">
        <v>151</v>
      </c>
      <c r="BJ206" s="53" t="inlineStr"/>
      <c r="BK206" s="58" t="n">
        <v>0</v>
      </c>
      <c r="BL206" s="58" t="n">
        <v>206</v>
      </c>
      <c r="BM206" s="53">
        <f>IF(S206&lt;&gt;"",UPPER(TRIM(S206)),IF(O206="","LOSE",O206))</f>
        <v/>
      </c>
      <c r="BN206" s="55">
        <f>IF(BM206="LOSE",1,IF(N(T206)&gt;0,T206,IF(N(P206)&gt;0,P206,MAX(1,G206))))</f>
        <v/>
      </c>
      <c r="BO206" s="58">
        <f>IF(BM206="LOSE",1,0)</f>
        <v/>
      </c>
      <c r="BP206" s="64">
        <f>IF(BO206=0,0,IF(N(R206)&gt;0,R206,IFERROR(VLOOKUP(D206,Parameter!$A$35:$C$64,3,0)+0,0)))</f>
        <v/>
      </c>
      <c r="BQ206" s="53">
        <f>IF(V206&lt;&gt;"",V206,U206)</f>
        <v/>
      </c>
      <c r="BR206" s="53">
        <f>IF(BQ206=1,"L1",IF(OR(BQ206=2,BQ206=3),"L23",IF(BQ206="Aussen","Aussen","-")))</f>
        <v/>
      </c>
      <c r="BS206" s="66">
        <f>IF(N(W206)&gt;0,W206,0)</f>
        <v/>
      </c>
      <c r="BT206" s="58">
        <f>IF(ISNUMBER(Z206),1,0)</f>
        <v/>
      </c>
      <c r="BU206" s="55">
        <f>N(Z206)</f>
        <v/>
      </c>
      <c r="BV206" s="55">
        <f>N(L206)+N(M206)</f>
        <v/>
      </c>
      <c r="BW206" s="55">
        <f>ROUNDUP(G206/BN206,0)</f>
        <v/>
      </c>
      <c r="BX206" s="55">
        <f>ROUNDUP(BU206/BN206,0)</f>
        <v/>
      </c>
      <c r="BY206" s="58">
        <f>IF(BO206=1,0,IFERROR(VLOOKUP(BM206,'Gebinde-Kategorie'!$A$5:$G$45,5,0)+0,0))</f>
        <v/>
      </c>
      <c r="BZ206" s="58">
        <f>IFERROR(IF(OR(BQ206=1,BQ206=2,BQ206=3),N(INDEX(Parameter!$I$5:$I$7,BQ206)),0),0)</f>
        <v/>
      </c>
    </row>
    <row r="207">
      <c r="A207" s="53" t="inlineStr">
        <is>
          <t>100143</t>
        </is>
      </c>
      <c r="B207" s="53" t="inlineStr">
        <is>
          <t>Quetschring</t>
        </is>
      </c>
      <c r="C207" s="53" t="inlineStr">
        <is>
          <t>F</t>
        </is>
      </c>
      <c r="D207" s="53" t="inlineStr">
        <is>
          <t>KTL</t>
        </is>
      </c>
      <c r="E207" s="53" t="inlineStr">
        <is>
          <t>C</t>
        </is>
      </c>
      <c r="F207" s="54" t="n">
        <v>11.13</v>
      </c>
      <c r="G207" s="55">
        <f>MAX(0,IF(Parameter!$B$20="Jahresanfang 2025 + Export",BG207+BF207,BF207))</f>
        <v/>
      </c>
      <c r="H207" s="55">
        <f>G207*F207</f>
        <v/>
      </c>
      <c r="I207" s="55">
        <f>BI207*Parameter!$B$18</f>
        <v/>
      </c>
      <c r="J207" s="56" t="n">
        <v>471.5</v>
      </c>
      <c r="K207" s="57" t="n">
        <v>2.386002120890774</v>
      </c>
      <c r="L207" s="55" t="n">
        <v>65</v>
      </c>
      <c r="M207" s="55" t="n">
        <v>500</v>
      </c>
      <c r="N207" s="58" t="n">
        <v>21</v>
      </c>
      <c r="O207" s="53" t="inlineStr">
        <is>
          <t>S52</t>
        </is>
      </c>
      <c r="P207" s="55" t="n">
        <v>951</v>
      </c>
      <c r="Q207" s="59">
        <f>IF(BO207=1,0,IFERROR(VLOOKUP(BM207,'Gebinde-Kategorie'!$A$5:$G$45,6,0)+0,0))</f>
        <v/>
      </c>
      <c r="R207" s="60" t="n"/>
      <c r="S207" s="61" t="n"/>
      <c r="T207" s="61" t="n"/>
      <c r="U207" s="53">
        <f>IF(A207="","",IF(IFERROR(VLOOKUP(D207,Parameter!$A$35:$C$64,2,0),"Nein")="2+3",IF(ISNUMBER(SEARCH("grosser Artikel",BJ207)),2,IFERROR(VLOOKUP(BM207,Parameter!$F$35:$G$64,2,0),2)),IF(OR(IFERROR(VLOOKUP(D207,Parameter!$A$35:$C$64,2,0),"Nein")="Nein",IFERROR(VLOOKUP(D207,Parameter!$A$35:$C$64,2,0),"Nein")=""),"-",VLOOKUP(D207,Parameter!$A$35:$C$64,2,0))))</f>
        <v/>
      </c>
      <c r="V207" s="61" t="n"/>
      <c r="W207" s="62" t="n"/>
      <c r="X207" s="55">
        <f>AM207</f>
        <v/>
      </c>
      <c r="Y207" s="55">
        <f>MAX(AM207,G207)</f>
        <v/>
      </c>
      <c r="Z207" s="63" t="n"/>
      <c r="AA207" s="55">
        <f>IF(LEFT(Cockpit!$C$5,1)="A",G207,IF(BT207=1,BU207,IF(LEFT(Cockpit!$C$5,1)="B",AE207,MAX(AE207,G207))))</f>
        <v/>
      </c>
      <c r="AB207" s="55">
        <f>IF(BO207=1,0,ROUNDUP(AA207/BN207,0))</f>
        <v/>
      </c>
      <c r="AC207" s="64">
        <f>IF(BO207=1,IF(AA207&lt;=0,0,BP207*MAX(1,IF(G207&gt;0,AA207/G207,1))),AB207*Q207)</f>
        <v/>
      </c>
      <c r="AD207" s="55">
        <f>AA207*F207</f>
        <v/>
      </c>
      <c r="AE207" s="55">
        <f>ROUNDUP(MAX(I207/IF(BS207&gt;0,BS207,MAX(0.1,N(Cockpit!$C$6))),BV207)/BN207,0)*BN207</f>
        <v/>
      </c>
      <c r="AF207" s="56">
        <f>IF(AC207&gt;0,I207/AC207,-1)</f>
        <v/>
      </c>
      <c r="AG207" s="56">
        <f>IF(AND(OR(BR207="L1",BR207="L23"),AC207&gt;0),SUMIFS($AC$7:$AC$1570,$BR$7:$BR$1570,BR207,$AF$7:$AF$1570,"&gt;"&amp;AF207)+SUMIFS($AC$7:$AC$1570,$BR$7:$BR$1570,BR207,$AF$7:$AF$1570,AF207,$BL$7:$BL$1570,"&lt;="&amp;BL207),"")</f>
        <v/>
      </c>
      <c r="AH207" s="65">
        <f>IF(AG207="",0,MAX(0,MIN(1,(IF(BR207="L1",Parameter!$K$5,Parameter!$K$6+Parameter!$K$7)-(AG207-AC207))/AC207)))</f>
        <v/>
      </c>
      <c r="AI207" s="55">
        <f>IF(LEFT(Cockpit!$I$5,1)="A",G207,IF(BT207=1,BU207,IF(LEFT(Cockpit!$I$5,1)="B",AM207,MAX(AM207,G207))))</f>
        <v/>
      </c>
      <c r="AJ207" s="55">
        <f>IF(BO207=1,0,ROUNDUP(AI207/BN207,0))</f>
        <v/>
      </c>
      <c r="AK207" s="64">
        <f>IF(BO207=1,IF(AI207&lt;=0,0,BP207*MAX(1,IF(G207&gt;0,AI207/G207,1))),AJ207*Q207)</f>
        <v/>
      </c>
      <c r="AL207" s="55">
        <f>AI207*F207</f>
        <v/>
      </c>
      <c r="AM207" s="55">
        <f>ROUNDUP(MAX(I207/IF(BS207&gt;0,BS207,MAX(0.1,N(Cockpit!$I$6))),BV207)/BN207,0)*BN207</f>
        <v/>
      </c>
      <c r="AN207" s="56">
        <f>IF(AK207&gt;0,I207/AK207,-1)</f>
        <v/>
      </c>
      <c r="AO207" s="56">
        <f>IF(AND(OR(BR207="L1",BR207="L23"),AK207&gt;0),SUMIFS($AK$7:$AK$1570,$BR$7:$BR$1570,BR207,$AN$7:$AN$1570,"&gt;"&amp;AN207)+SUMIFS($AK$7:$AK$1570,$BR$7:$BR$1570,BR207,$AN$7:$AN$1570,AN207,$BL$7:$BL$1570,"&lt;="&amp;BL207),"")</f>
        <v/>
      </c>
      <c r="AP207" s="65">
        <f>IF(AO207="",0,MAX(0,MIN(1,(IF(BR207="L1",Parameter!$K$5,Parameter!$K$6+Parameter!$K$7)-(AO207-AK207))/AK207)))</f>
        <v/>
      </c>
      <c r="AQ207" s="55">
        <f>IF(LEFT(Cockpit!$O$5,1)="A",G207,IF(BT207=1,BU207,IF(LEFT(Cockpit!$O$5,1)="B",AU207,MAX(AU207,G207))))</f>
        <v/>
      </c>
      <c r="AR207" s="55">
        <f>IF(BO207=1,0,ROUNDUP(AQ207/BN207,0))</f>
        <v/>
      </c>
      <c r="AS207" s="64">
        <f>IF(BO207=1,IF(AQ207&lt;=0,0,BP207*MAX(1,IF(G207&gt;0,AQ207/G207,1))),AR207*Q207)</f>
        <v/>
      </c>
      <c r="AT207" s="55">
        <f>AQ207*F207</f>
        <v/>
      </c>
      <c r="AU207" s="55">
        <f>ROUNDUP(MAX(I207/IF(BS207&gt;0,BS207,MAX(0.1,N(Cockpit!$O$6))),BV207)/BN207,0)*BN207</f>
        <v/>
      </c>
      <c r="AV207" s="56">
        <f>IF(AS207&gt;0,I207/AS207,-1)</f>
        <v/>
      </c>
      <c r="AW207" s="56">
        <f>IF(AND(OR(BR207="L1",BR207="L23"),AS207&gt;0),SUMIFS($AS$7:$AS$1570,$BR$7:$BR$1570,BR207,$AV$7:$AV$1570,"&gt;"&amp;AV207)+SUMIFS($AS$7:$AS$1570,$BR$7:$BR$1570,BR207,$AV$7:$AV$1570,AV207,$BL$7:$BL$1570,"&lt;="&amp;BL207),"")</f>
        <v/>
      </c>
      <c r="AX207" s="65">
        <f>IF(AW207="",0,MAX(0,MIN(1,(IF(BR207="L1",Parameter!$K$5,Parameter!$K$6+Parameter!$K$7)-(AW207-AS207))/AS207)))</f>
        <v/>
      </c>
      <c r="AY207" s="53">
        <f>IF(AC207&lt;=0,"",IF(BR207="Aussen","Aussenlager",IF(BR207="-","Nicht im Lift",IF(AH207&gt;=1,"Lift",IF(AH207&lt;=0,"Aussenlager","teilweise")))))</f>
        <v/>
      </c>
      <c r="AZ207" s="53">
        <f>IF(AK207&lt;=0,"",IF(BR207="Aussen","Aussenlager",IF(BR207="-","Nicht im Lift",IF(AP207&gt;=1,"Lift",IF(AP207&lt;=0,"Aussenlager","teilweise")))))</f>
        <v/>
      </c>
      <c r="BA207" s="53">
        <f>IF(AS207&lt;=0,"",IF(BR207="Aussen","Aussenlager",IF(BR207="-","Nicht im Lift",IF(AX207&gt;=1,"Lift",IF(AX207&lt;=0,"Aussenlager","teilweise")))))</f>
        <v/>
      </c>
      <c r="BB207" s="53">
        <f>IF(A207="","",IF(BK207=1,"Neu; ","")&amp;IF(AND(BK207=0,BF207&lt;0),"negativer Bestand (Export "&amp;BF207&amp;"); ","")&amp;IF(I207&lt;=0,"Kein Verbrauch; ","")&amp;IF(BO207=1,"Lose – Fläche geschätzt; ","")&amp;IF(G207&gt;AM207,"Überbestand "&amp;ROUND(G207-AM207,0)&amp;" Stk / CHF "&amp;ROUND((G207-AM207)*F207,0)&amp;"; ","")&amp;IF(AND(BT207=1,BU207&lt;BV207),"MAX &lt; MB+LG; ","")&amp;IF(AND(BZ207&gt;0,BY207*10&gt;BZ207),"zu hoch für Tablar; ","")&amp;IF(AND(BK207=0,OR(BT207=1,V207&lt;&gt;"",S207&lt;&gt;"",T207&lt;&gt;"",W207&lt;&gt;"")),"manuell übersteuert; ","")&amp;IF(AND(BO207=0,Q207=0),"Gebinde unbekannt; ","")&amp;IF(AND(BO207=0,N(T207)&lt;=0,N(P207)&lt;=0),"Menge pro Gebinde fehlt (Ist = 1 Gebinde); ","")&amp;BJ207)</f>
        <v/>
      </c>
      <c r="BC207" s="53" t="n"/>
      <c r="BD207" s="53" t="n"/>
      <c r="BE207" s="61" t="n"/>
      <c r="BF207" s="55" t="n">
        <v>106</v>
      </c>
      <c r="BG207" s="55" t="n">
        <v>289</v>
      </c>
      <c r="BH207" s="54" t="n">
        <v>741.420000000001</v>
      </c>
      <c r="BI207" s="55" t="n">
        <v>1125</v>
      </c>
      <c r="BJ207" s="53" t="inlineStr"/>
      <c r="BK207" s="58" t="n">
        <v>0</v>
      </c>
      <c r="BL207" s="58" t="n">
        <v>207</v>
      </c>
      <c r="BM207" s="53">
        <f>IF(S207&lt;&gt;"",UPPER(TRIM(S207)),IF(O207="","LOSE",O207))</f>
        <v/>
      </c>
      <c r="BN207" s="55">
        <f>IF(BM207="LOSE",1,IF(N(T207)&gt;0,T207,IF(N(P207)&gt;0,P207,MAX(1,G207))))</f>
        <v/>
      </c>
      <c r="BO207" s="58">
        <f>IF(BM207="LOSE",1,0)</f>
        <v/>
      </c>
      <c r="BP207" s="64">
        <f>IF(BO207=0,0,IF(N(R207)&gt;0,R207,IFERROR(VLOOKUP(D207,Parameter!$A$35:$C$64,3,0)+0,0)))</f>
        <v/>
      </c>
      <c r="BQ207" s="53">
        <f>IF(V207&lt;&gt;"",V207,U207)</f>
        <v/>
      </c>
      <c r="BR207" s="53">
        <f>IF(BQ207=1,"L1",IF(OR(BQ207=2,BQ207=3),"L23",IF(BQ207="Aussen","Aussen","-")))</f>
        <v/>
      </c>
      <c r="BS207" s="66">
        <f>IF(N(W207)&gt;0,W207,0)</f>
        <v/>
      </c>
      <c r="BT207" s="58">
        <f>IF(ISNUMBER(Z207),1,0)</f>
        <v/>
      </c>
      <c r="BU207" s="55">
        <f>N(Z207)</f>
        <v/>
      </c>
      <c r="BV207" s="55">
        <f>N(L207)+N(M207)</f>
        <v/>
      </c>
      <c r="BW207" s="55">
        <f>ROUNDUP(G207/BN207,0)</f>
        <v/>
      </c>
      <c r="BX207" s="55">
        <f>ROUNDUP(BU207/BN207,0)</f>
        <v/>
      </c>
      <c r="BY207" s="58">
        <f>IF(BO207=1,0,IFERROR(VLOOKUP(BM207,'Gebinde-Kategorie'!$A$5:$G$45,5,0)+0,0))</f>
        <v/>
      </c>
      <c r="BZ207" s="58">
        <f>IFERROR(IF(OR(BQ207=1,BQ207=2,BQ207=3),N(INDEX(Parameter!$I$5:$I$7,BQ207)),0),0)</f>
        <v/>
      </c>
    </row>
    <row r="208">
      <c r="A208" s="53" t="inlineStr">
        <is>
          <t>100335</t>
        </is>
      </c>
      <c r="B208" s="53" t="inlineStr">
        <is>
          <t>Drucktransmitter</t>
        </is>
      </c>
      <c r="C208" s="53" t="inlineStr">
        <is>
          <t>F</t>
        </is>
      </c>
      <c r="D208" s="53" t="inlineStr">
        <is>
          <t>KTL</t>
        </is>
      </c>
      <c r="E208" s="53" t="inlineStr">
        <is>
          <t>C</t>
        </is>
      </c>
      <c r="F208" s="54" t="n">
        <v>67.09</v>
      </c>
      <c r="G208" s="55">
        <f>MAX(0,IF(Parameter!$B$20="Jahresanfang 2025 + Export",BG208+BF208,BF208))</f>
        <v/>
      </c>
      <c r="H208" s="55">
        <f>G208*F208</f>
        <v/>
      </c>
      <c r="I208" s="55">
        <f>BI208*Parameter!$B$18</f>
        <v/>
      </c>
      <c r="J208" s="56" t="n">
        <v>21</v>
      </c>
      <c r="K208" s="57" t="n">
        <v>0.1904761904761905</v>
      </c>
      <c r="L208" s="55" t="n">
        <v>0</v>
      </c>
      <c r="M208" s="55" t="n">
        <v>5</v>
      </c>
      <c r="N208" s="58" t="n">
        <v>70</v>
      </c>
      <c r="O208" s="53" t="inlineStr">
        <is>
          <t>S52</t>
        </is>
      </c>
      <c r="P208" s="55" t="n">
        <v>15</v>
      </c>
      <c r="Q208" s="59">
        <f>IF(BO208=1,0,IFERROR(VLOOKUP(BM208,'Gebinde-Kategorie'!$A$5:$G$45,6,0)+0,0))</f>
        <v/>
      </c>
      <c r="R208" s="60" t="n"/>
      <c r="S208" s="61" t="n"/>
      <c r="T208" s="61" t="n"/>
      <c r="U208" s="53">
        <f>IF(A208="","",IF(IFERROR(VLOOKUP(D208,Parameter!$A$35:$C$64,2,0),"Nein")="2+3",IF(ISNUMBER(SEARCH("grosser Artikel",BJ208)),2,IFERROR(VLOOKUP(BM208,Parameter!$F$35:$G$64,2,0),2)),IF(OR(IFERROR(VLOOKUP(D208,Parameter!$A$35:$C$64,2,0),"Nein")="Nein",IFERROR(VLOOKUP(D208,Parameter!$A$35:$C$64,2,0),"Nein")=""),"-",VLOOKUP(D208,Parameter!$A$35:$C$64,2,0))))</f>
        <v/>
      </c>
      <c r="V208" s="61" t="n"/>
      <c r="W208" s="62" t="n"/>
      <c r="X208" s="55">
        <f>AM208</f>
        <v/>
      </c>
      <c r="Y208" s="55">
        <f>MAX(AM208,G208)</f>
        <v/>
      </c>
      <c r="Z208" s="63" t="n"/>
      <c r="AA208" s="55">
        <f>IF(LEFT(Cockpit!$C$5,1)="A",G208,IF(BT208=1,BU208,IF(LEFT(Cockpit!$C$5,1)="B",AE208,MAX(AE208,G208))))</f>
        <v/>
      </c>
      <c r="AB208" s="55">
        <f>IF(BO208=1,0,ROUNDUP(AA208/BN208,0))</f>
        <v/>
      </c>
      <c r="AC208" s="64">
        <f>IF(BO208=1,IF(AA208&lt;=0,0,BP208*MAX(1,IF(G208&gt;0,AA208/G208,1))),AB208*Q208)</f>
        <v/>
      </c>
      <c r="AD208" s="55">
        <f>AA208*F208</f>
        <v/>
      </c>
      <c r="AE208" s="55">
        <f>ROUNDUP(MAX(I208/IF(BS208&gt;0,BS208,MAX(0.1,N(Cockpit!$C$6))),BV208)/BN208,0)*BN208</f>
        <v/>
      </c>
      <c r="AF208" s="56">
        <f>IF(AC208&gt;0,I208/AC208,-1)</f>
        <v/>
      </c>
      <c r="AG208" s="56">
        <f>IF(AND(OR(BR208="L1",BR208="L23"),AC208&gt;0),SUMIFS($AC$7:$AC$1570,$BR$7:$BR$1570,BR208,$AF$7:$AF$1570,"&gt;"&amp;AF208)+SUMIFS($AC$7:$AC$1570,$BR$7:$BR$1570,BR208,$AF$7:$AF$1570,AF208,$BL$7:$BL$1570,"&lt;="&amp;BL208),"")</f>
        <v/>
      </c>
      <c r="AH208" s="65">
        <f>IF(AG208="",0,MAX(0,MIN(1,(IF(BR208="L1",Parameter!$K$5,Parameter!$K$6+Parameter!$K$7)-(AG208-AC208))/AC208)))</f>
        <v/>
      </c>
      <c r="AI208" s="55">
        <f>IF(LEFT(Cockpit!$I$5,1)="A",G208,IF(BT208=1,BU208,IF(LEFT(Cockpit!$I$5,1)="B",AM208,MAX(AM208,G208))))</f>
        <v/>
      </c>
      <c r="AJ208" s="55">
        <f>IF(BO208=1,0,ROUNDUP(AI208/BN208,0))</f>
        <v/>
      </c>
      <c r="AK208" s="64">
        <f>IF(BO208=1,IF(AI208&lt;=0,0,BP208*MAX(1,IF(G208&gt;0,AI208/G208,1))),AJ208*Q208)</f>
        <v/>
      </c>
      <c r="AL208" s="55">
        <f>AI208*F208</f>
        <v/>
      </c>
      <c r="AM208" s="55">
        <f>ROUNDUP(MAX(I208/IF(BS208&gt;0,BS208,MAX(0.1,N(Cockpit!$I$6))),BV208)/BN208,0)*BN208</f>
        <v/>
      </c>
      <c r="AN208" s="56">
        <f>IF(AK208&gt;0,I208/AK208,-1)</f>
        <v/>
      </c>
      <c r="AO208" s="56">
        <f>IF(AND(OR(BR208="L1",BR208="L23"),AK208&gt;0),SUMIFS($AK$7:$AK$1570,$BR$7:$BR$1570,BR208,$AN$7:$AN$1570,"&gt;"&amp;AN208)+SUMIFS($AK$7:$AK$1570,$BR$7:$BR$1570,BR208,$AN$7:$AN$1570,AN208,$BL$7:$BL$1570,"&lt;="&amp;BL208),"")</f>
        <v/>
      </c>
      <c r="AP208" s="65">
        <f>IF(AO208="",0,MAX(0,MIN(1,(IF(BR208="L1",Parameter!$K$5,Parameter!$K$6+Parameter!$K$7)-(AO208-AK208))/AK208)))</f>
        <v/>
      </c>
      <c r="AQ208" s="55">
        <f>IF(LEFT(Cockpit!$O$5,1)="A",G208,IF(BT208=1,BU208,IF(LEFT(Cockpit!$O$5,1)="B",AU208,MAX(AU208,G208))))</f>
        <v/>
      </c>
      <c r="AR208" s="55">
        <f>IF(BO208=1,0,ROUNDUP(AQ208/BN208,0))</f>
        <v/>
      </c>
      <c r="AS208" s="64">
        <f>IF(BO208=1,IF(AQ208&lt;=0,0,BP208*MAX(1,IF(G208&gt;0,AQ208/G208,1))),AR208*Q208)</f>
        <v/>
      </c>
      <c r="AT208" s="55">
        <f>AQ208*F208</f>
        <v/>
      </c>
      <c r="AU208" s="55">
        <f>ROUNDUP(MAX(I208/IF(BS208&gt;0,BS208,MAX(0.1,N(Cockpit!$O$6))),BV208)/BN208,0)*BN208</f>
        <v/>
      </c>
      <c r="AV208" s="56">
        <f>IF(AS208&gt;0,I208/AS208,-1)</f>
        <v/>
      </c>
      <c r="AW208" s="56">
        <f>IF(AND(OR(BR208="L1",BR208="L23"),AS208&gt;0),SUMIFS($AS$7:$AS$1570,$BR$7:$BR$1570,BR208,$AV$7:$AV$1570,"&gt;"&amp;AV208)+SUMIFS($AS$7:$AS$1570,$BR$7:$BR$1570,BR208,$AV$7:$AV$1570,AV208,$BL$7:$BL$1570,"&lt;="&amp;BL208),"")</f>
        <v/>
      </c>
      <c r="AX208" s="65">
        <f>IF(AW208="",0,MAX(0,MIN(1,(IF(BR208="L1",Parameter!$K$5,Parameter!$K$6+Parameter!$K$7)-(AW208-AS208))/AS208)))</f>
        <v/>
      </c>
      <c r="AY208" s="53">
        <f>IF(AC208&lt;=0,"",IF(BR208="Aussen","Aussenlager",IF(BR208="-","Nicht im Lift",IF(AH208&gt;=1,"Lift",IF(AH208&lt;=0,"Aussenlager","teilweise")))))</f>
        <v/>
      </c>
      <c r="AZ208" s="53">
        <f>IF(AK208&lt;=0,"",IF(BR208="Aussen","Aussenlager",IF(BR208="-","Nicht im Lift",IF(AP208&gt;=1,"Lift",IF(AP208&lt;=0,"Aussenlager","teilweise")))))</f>
        <v/>
      </c>
      <c r="BA208" s="53">
        <f>IF(AS208&lt;=0,"",IF(BR208="Aussen","Aussenlager",IF(BR208="-","Nicht im Lift",IF(AX208&gt;=1,"Lift",IF(AX208&lt;=0,"Aussenlager","teilweise")))))</f>
        <v/>
      </c>
      <c r="BB208" s="53">
        <f>IF(A208="","",IF(BK208=1,"Neu; ","")&amp;IF(AND(BK208=0,BF208&lt;0),"negativer Bestand (Export "&amp;BF208&amp;"); ","")&amp;IF(I208&lt;=0,"Kein Verbrauch; ","")&amp;IF(BO208=1,"Lose – Fläche geschätzt; ","")&amp;IF(G208&gt;AM208,"Überbestand "&amp;ROUND(G208-AM208,0)&amp;" Stk / CHF "&amp;ROUND((G208-AM208)*F208,0)&amp;"; ","")&amp;IF(AND(BT208=1,BU208&lt;BV208),"MAX &lt; MB+LG; ","")&amp;IF(AND(BZ208&gt;0,BY208*10&gt;BZ208),"zu hoch für Tablar; ","")&amp;IF(AND(BK208=0,OR(BT208=1,V208&lt;&gt;"",S208&lt;&gt;"",T208&lt;&gt;"",W208&lt;&gt;"")),"manuell übersteuert; ","")&amp;IF(AND(BO208=0,Q208=0),"Gebinde unbekannt; ","")&amp;IF(AND(BO208=0,N(T208)&lt;=0,N(P208)&lt;=0),"Menge pro Gebinde fehlt (Ist = 1 Gebinde); ","")&amp;BJ208)</f>
        <v/>
      </c>
      <c r="BC208" s="53" t="n"/>
      <c r="BD208" s="53" t="n"/>
      <c r="BE208" s="61" t="n"/>
      <c r="BF208" s="55" t="n">
        <v>11</v>
      </c>
      <c r="BG208" s="55" t="n">
        <v>23</v>
      </c>
      <c r="BH208" s="54" t="n">
        <v>740.9899999999996</v>
      </c>
      <c r="BI208" s="55" t="n">
        <v>4</v>
      </c>
      <c r="BJ208" s="53" t="inlineStr"/>
      <c r="BK208" s="58" t="n">
        <v>0</v>
      </c>
      <c r="BL208" s="58" t="n">
        <v>208</v>
      </c>
      <c r="BM208" s="53">
        <f>IF(S208&lt;&gt;"",UPPER(TRIM(S208)),IF(O208="","LOSE",O208))</f>
        <v/>
      </c>
      <c r="BN208" s="55">
        <f>IF(BM208="LOSE",1,IF(N(T208)&gt;0,T208,IF(N(P208)&gt;0,P208,MAX(1,G208))))</f>
        <v/>
      </c>
      <c r="BO208" s="58">
        <f>IF(BM208="LOSE",1,0)</f>
        <v/>
      </c>
      <c r="BP208" s="64">
        <f>IF(BO208=0,0,IF(N(R208)&gt;0,R208,IFERROR(VLOOKUP(D208,Parameter!$A$35:$C$64,3,0)+0,0)))</f>
        <v/>
      </c>
      <c r="BQ208" s="53">
        <f>IF(V208&lt;&gt;"",V208,U208)</f>
        <v/>
      </c>
      <c r="BR208" s="53">
        <f>IF(BQ208=1,"L1",IF(OR(BQ208=2,BQ208=3),"L23",IF(BQ208="Aussen","Aussen","-")))</f>
        <v/>
      </c>
      <c r="BS208" s="66">
        <f>IF(N(W208)&gt;0,W208,0)</f>
        <v/>
      </c>
      <c r="BT208" s="58">
        <f>IF(ISNUMBER(Z208),1,0)</f>
        <v/>
      </c>
      <c r="BU208" s="55">
        <f>N(Z208)</f>
        <v/>
      </c>
      <c r="BV208" s="55">
        <f>N(L208)+N(M208)</f>
        <v/>
      </c>
      <c r="BW208" s="55">
        <f>ROUNDUP(G208/BN208,0)</f>
        <v/>
      </c>
      <c r="BX208" s="55">
        <f>ROUNDUP(BU208/BN208,0)</f>
        <v/>
      </c>
      <c r="BY208" s="58">
        <f>IF(BO208=1,0,IFERROR(VLOOKUP(BM208,'Gebinde-Kategorie'!$A$5:$G$45,5,0)+0,0))</f>
        <v/>
      </c>
      <c r="BZ208" s="58">
        <f>IFERROR(IF(OR(BQ208=1,BQ208=2,BQ208=3),N(INDEX(Parameter!$I$5:$I$7,BQ208)),0),0)</f>
        <v/>
      </c>
    </row>
    <row r="209">
      <c r="A209" s="53" t="inlineStr">
        <is>
          <t>106424</t>
        </is>
      </c>
      <c r="B209" s="53" t="inlineStr">
        <is>
          <t>Stützring</t>
        </is>
      </c>
      <c r="C209" s="53" t="inlineStr">
        <is>
          <t>F</t>
        </is>
      </c>
      <c r="D209" s="53" t="inlineStr">
        <is>
          <t>KTL</t>
        </is>
      </c>
      <c r="E209" s="53" t="inlineStr">
        <is>
          <t>C</t>
        </is>
      </c>
      <c r="F209" s="54" t="n">
        <v>14.7</v>
      </c>
      <c r="G209" s="55">
        <f>MAX(0,IF(Parameter!$B$20="Jahresanfang 2025 + Export",BG209+BF209,BF209))</f>
        <v/>
      </c>
      <c r="H209" s="55">
        <f>G209*F209</f>
        <v/>
      </c>
      <c r="I209" s="55">
        <f>BI209*Parameter!$B$18</f>
        <v/>
      </c>
      <c r="J209" s="56" t="n">
        <v>76</v>
      </c>
      <c r="K209" s="57" t="n">
        <v>4.184210526315789</v>
      </c>
      <c r="L209" s="55" t="n">
        <v>10</v>
      </c>
      <c r="M209" s="55" t="n">
        <v>225</v>
      </c>
      <c r="N209" s="58" t="n">
        <v>7</v>
      </c>
      <c r="O209" s="53" t="inlineStr">
        <is>
          <t>S51</t>
        </is>
      </c>
      <c r="P209" s="55" t="n">
        <v>60</v>
      </c>
      <c r="Q209" s="59">
        <f>IF(BO209=1,0,IFERROR(VLOOKUP(BM209,'Gebinde-Kategorie'!$A$5:$G$45,6,0)+0,0))</f>
        <v/>
      </c>
      <c r="R209" s="60" t="n"/>
      <c r="S209" s="61" t="n"/>
      <c r="T209" s="61" t="n"/>
      <c r="U209" s="53">
        <f>IF(A209="","",IF(IFERROR(VLOOKUP(D209,Parameter!$A$35:$C$64,2,0),"Nein")="2+3",IF(ISNUMBER(SEARCH("grosser Artikel",BJ209)),2,IFERROR(VLOOKUP(BM209,Parameter!$F$35:$G$64,2,0),2)),IF(OR(IFERROR(VLOOKUP(D209,Parameter!$A$35:$C$64,2,0),"Nein")="Nein",IFERROR(VLOOKUP(D209,Parameter!$A$35:$C$64,2,0),"Nein")=""),"-",VLOOKUP(D209,Parameter!$A$35:$C$64,2,0))))</f>
        <v/>
      </c>
      <c r="V209" s="61" t="n"/>
      <c r="W209" s="62" t="n"/>
      <c r="X209" s="55">
        <f>AM209</f>
        <v/>
      </c>
      <c r="Y209" s="55">
        <f>MAX(AM209,G209)</f>
        <v/>
      </c>
      <c r="Z209" s="63" t="n"/>
      <c r="AA209" s="55">
        <f>IF(LEFT(Cockpit!$C$5,1)="A",G209,IF(BT209=1,BU209,IF(LEFT(Cockpit!$C$5,1)="B",AE209,MAX(AE209,G209))))</f>
        <v/>
      </c>
      <c r="AB209" s="55">
        <f>IF(BO209=1,0,ROUNDUP(AA209/BN209,0))</f>
        <v/>
      </c>
      <c r="AC209" s="64">
        <f>IF(BO209=1,IF(AA209&lt;=0,0,BP209*MAX(1,IF(G209&gt;0,AA209/G209,1))),AB209*Q209)</f>
        <v/>
      </c>
      <c r="AD209" s="55">
        <f>AA209*F209</f>
        <v/>
      </c>
      <c r="AE209" s="55">
        <f>ROUNDUP(MAX(I209/IF(BS209&gt;0,BS209,MAX(0.1,N(Cockpit!$C$6))),BV209)/BN209,0)*BN209</f>
        <v/>
      </c>
      <c r="AF209" s="56">
        <f>IF(AC209&gt;0,I209/AC209,-1)</f>
        <v/>
      </c>
      <c r="AG209" s="56">
        <f>IF(AND(OR(BR209="L1",BR209="L23"),AC209&gt;0),SUMIFS($AC$7:$AC$1570,$BR$7:$BR$1570,BR209,$AF$7:$AF$1570,"&gt;"&amp;AF209)+SUMIFS($AC$7:$AC$1570,$BR$7:$BR$1570,BR209,$AF$7:$AF$1570,AF209,$BL$7:$BL$1570,"&lt;="&amp;BL209),"")</f>
        <v/>
      </c>
      <c r="AH209" s="65">
        <f>IF(AG209="",0,MAX(0,MIN(1,(IF(BR209="L1",Parameter!$K$5,Parameter!$K$6+Parameter!$K$7)-(AG209-AC209))/AC209)))</f>
        <v/>
      </c>
      <c r="AI209" s="55">
        <f>IF(LEFT(Cockpit!$I$5,1)="A",G209,IF(BT209=1,BU209,IF(LEFT(Cockpit!$I$5,1)="B",AM209,MAX(AM209,G209))))</f>
        <v/>
      </c>
      <c r="AJ209" s="55">
        <f>IF(BO209=1,0,ROUNDUP(AI209/BN209,0))</f>
        <v/>
      </c>
      <c r="AK209" s="64">
        <f>IF(BO209=1,IF(AI209&lt;=0,0,BP209*MAX(1,IF(G209&gt;0,AI209/G209,1))),AJ209*Q209)</f>
        <v/>
      </c>
      <c r="AL209" s="55">
        <f>AI209*F209</f>
        <v/>
      </c>
      <c r="AM209" s="55">
        <f>ROUNDUP(MAX(I209/IF(BS209&gt;0,BS209,MAX(0.1,N(Cockpit!$I$6))),BV209)/BN209,0)*BN209</f>
        <v/>
      </c>
      <c r="AN209" s="56">
        <f>IF(AK209&gt;0,I209/AK209,-1)</f>
        <v/>
      </c>
      <c r="AO209" s="56">
        <f>IF(AND(OR(BR209="L1",BR209="L23"),AK209&gt;0),SUMIFS($AK$7:$AK$1570,$BR$7:$BR$1570,BR209,$AN$7:$AN$1570,"&gt;"&amp;AN209)+SUMIFS($AK$7:$AK$1570,$BR$7:$BR$1570,BR209,$AN$7:$AN$1570,AN209,$BL$7:$BL$1570,"&lt;="&amp;BL209),"")</f>
        <v/>
      </c>
      <c r="AP209" s="65">
        <f>IF(AO209="",0,MAX(0,MIN(1,(IF(BR209="L1",Parameter!$K$5,Parameter!$K$6+Parameter!$K$7)-(AO209-AK209))/AK209)))</f>
        <v/>
      </c>
      <c r="AQ209" s="55">
        <f>IF(LEFT(Cockpit!$O$5,1)="A",G209,IF(BT209=1,BU209,IF(LEFT(Cockpit!$O$5,1)="B",AU209,MAX(AU209,G209))))</f>
        <v/>
      </c>
      <c r="AR209" s="55">
        <f>IF(BO209=1,0,ROUNDUP(AQ209/BN209,0))</f>
        <v/>
      </c>
      <c r="AS209" s="64">
        <f>IF(BO209=1,IF(AQ209&lt;=0,0,BP209*MAX(1,IF(G209&gt;0,AQ209/G209,1))),AR209*Q209)</f>
        <v/>
      </c>
      <c r="AT209" s="55">
        <f>AQ209*F209</f>
        <v/>
      </c>
      <c r="AU209" s="55">
        <f>ROUNDUP(MAX(I209/IF(BS209&gt;0,BS209,MAX(0.1,N(Cockpit!$O$6))),BV209)/BN209,0)*BN209</f>
        <v/>
      </c>
      <c r="AV209" s="56">
        <f>IF(AS209&gt;0,I209/AS209,-1)</f>
        <v/>
      </c>
      <c r="AW209" s="56">
        <f>IF(AND(OR(BR209="L1",BR209="L23"),AS209&gt;0),SUMIFS($AS$7:$AS$1570,$BR$7:$BR$1570,BR209,$AV$7:$AV$1570,"&gt;"&amp;AV209)+SUMIFS($AS$7:$AS$1570,$BR$7:$BR$1570,BR209,$AV$7:$AV$1570,AV209,$BL$7:$BL$1570,"&lt;="&amp;BL209),"")</f>
        <v/>
      </c>
      <c r="AX209" s="65">
        <f>IF(AW209="",0,MAX(0,MIN(1,(IF(BR209="L1",Parameter!$K$5,Parameter!$K$6+Parameter!$K$7)-(AW209-AS209))/AS209)))</f>
        <v/>
      </c>
      <c r="AY209" s="53">
        <f>IF(AC209&lt;=0,"",IF(BR209="Aussen","Aussenlager",IF(BR209="-","Nicht im Lift",IF(AH209&gt;=1,"Lift",IF(AH209&lt;=0,"Aussenlager","teilweise")))))</f>
        <v/>
      </c>
      <c r="AZ209" s="53">
        <f>IF(AK209&lt;=0,"",IF(BR209="Aussen","Aussenlager",IF(BR209="-","Nicht im Lift",IF(AP209&gt;=1,"Lift",IF(AP209&lt;=0,"Aussenlager","teilweise")))))</f>
        <v/>
      </c>
      <c r="BA209" s="53">
        <f>IF(AS209&lt;=0,"",IF(BR209="Aussen","Aussenlager",IF(BR209="-","Nicht im Lift",IF(AX209&gt;=1,"Lift",IF(AX209&lt;=0,"Aussenlager","teilweise")))))</f>
        <v/>
      </c>
      <c r="BB209" s="53">
        <f>IF(A209="","",IF(BK209=1,"Neu; ","")&amp;IF(AND(BK209=0,BF209&lt;0),"negativer Bestand (Export "&amp;BF209&amp;"); ","")&amp;IF(I209&lt;=0,"Kein Verbrauch; ","")&amp;IF(BO209=1,"Lose – Fläche geschätzt; ","")&amp;IF(G209&gt;AM209,"Überbestand "&amp;ROUND(G209-AM209,0)&amp;" Stk / CHF "&amp;ROUND((G209-AM209)*F209,0)&amp;"; ","")&amp;IF(AND(BT209=1,BU209&lt;BV209),"MAX &lt; MB+LG; ","")&amp;IF(AND(BZ209&gt;0,BY209*10&gt;BZ209),"zu hoch für Tablar; ","")&amp;IF(AND(BK209=0,OR(BT209=1,V209&lt;&gt;"",S209&lt;&gt;"",T209&lt;&gt;"",W209&lt;&gt;"")),"manuell übersteuert; ","")&amp;IF(AND(BO209=0,Q209=0),"Gebinde unbekannt; ","")&amp;IF(AND(BO209=0,N(T209)&lt;=0,N(P209)&lt;=0),"Menge pro Gebinde fehlt (Ist = 1 Gebinde); ","")&amp;BJ209)</f>
        <v/>
      </c>
      <c r="BC209" s="53" t="n"/>
      <c r="BD209" s="53" t="n"/>
      <c r="BE209" s="61" t="n"/>
      <c r="BF209" s="55" t="n">
        <v>52</v>
      </c>
      <c r="BG209" s="55" t="n">
        <v>84</v>
      </c>
      <c r="BH209" s="54" t="n">
        <v>740.0799999999992</v>
      </c>
      <c r="BI209" s="55" t="n">
        <v>318</v>
      </c>
      <c r="BJ209" s="53" t="inlineStr"/>
      <c r="BK209" s="58" t="n">
        <v>0</v>
      </c>
      <c r="BL209" s="58" t="n">
        <v>209</v>
      </c>
      <c r="BM209" s="53">
        <f>IF(S209&lt;&gt;"",UPPER(TRIM(S209)),IF(O209="","LOSE",O209))</f>
        <v/>
      </c>
      <c r="BN209" s="55">
        <f>IF(BM209="LOSE",1,IF(N(T209)&gt;0,T209,IF(N(P209)&gt;0,P209,MAX(1,G209))))</f>
        <v/>
      </c>
      <c r="BO209" s="58">
        <f>IF(BM209="LOSE",1,0)</f>
        <v/>
      </c>
      <c r="BP209" s="64">
        <f>IF(BO209=0,0,IF(N(R209)&gt;0,R209,IFERROR(VLOOKUP(D209,Parameter!$A$35:$C$64,3,0)+0,0)))</f>
        <v/>
      </c>
      <c r="BQ209" s="53">
        <f>IF(V209&lt;&gt;"",V209,U209)</f>
        <v/>
      </c>
      <c r="BR209" s="53">
        <f>IF(BQ209=1,"L1",IF(OR(BQ209=2,BQ209=3),"L23",IF(BQ209="Aussen","Aussen","-")))</f>
        <v/>
      </c>
      <c r="BS209" s="66">
        <f>IF(N(W209)&gt;0,W209,0)</f>
        <v/>
      </c>
      <c r="BT209" s="58">
        <f>IF(ISNUMBER(Z209),1,0)</f>
        <v/>
      </c>
      <c r="BU209" s="55">
        <f>N(Z209)</f>
        <v/>
      </c>
      <c r="BV209" s="55">
        <f>N(L209)+N(M209)</f>
        <v/>
      </c>
      <c r="BW209" s="55">
        <f>ROUNDUP(G209/BN209,0)</f>
        <v/>
      </c>
      <c r="BX209" s="55">
        <f>ROUNDUP(BU209/BN209,0)</f>
        <v/>
      </c>
      <c r="BY209" s="58">
        <f>IF(BO209=1,0,IFERROR(VLOOKUP(BM209,'Gebinde-Kategorie'!$A$5:$G$45,5,0)+0,0))</f>
        <v/>
      </c>
      <c r="BZ209" s="58">
        <f>IFERROR(IF(OR(BQ209=1,BQ209=2,BQ209=3),N(INDEX(Parameter!$I$5:$I$7,BQ209)),0),0)</f>
        <v/>
      </c>
    </row>
    <row r="210">
      <c r="A210" s="53" t="inlineStr">
        <is>
          <t>110900</t>
        </is>
      </c>
      <c r="B210" s="53" t="inlineStr">
        <is>
          <t>Drucktransmitter</t>
        </is>
      </c>
      <c r="C210" s="53" t="inlineStr">
        <is>
          <t>F</t>
        </is>
      </c>
      <c r="D210" s="53" t="inlineStr">
        <is>
          <t>KTL</t>
        </is>
      </c>
      <c r="E210" s="53" t="inlineStr">
        <is>
          <t>C</t>
        </is>
      </c>
      <c r="F210" s="54" t="n">
        <v>244.93</v>
      </c>
      <c r="G210" s="55">
        <f>MAX(0,IF(Parameter!$B$20="Jahresanfang 2025 + Export",BG210+BF210,BF210))</f>
        <v/>
      </c>
      <c r="H210" s="55">
        <f>G210*F210</f>
        <v/>
      </c>
      <c r="I210" s="55">
        <f>BI210*Parameter!$B$18</f>
        <v/>
      </c>
      <c r="J210" s="56" t="n">
        <v>1.5</v>
      </c>
      <c r="K210" s="57" t="n">
        <v>165.3333333333333</v>
      </c>
      <c r="L210" s="55" t="n">
        <v>0</v>
      </c>
      <c r="M210" s="55" t="n">
        <v>0</v>
      </c>
      <c r="N210" s="58" t="n">
        <v>42</v>
      </c>
      <c r="O210" s="53" t="inlineStr">
        <is>
          <t>S63</t>
        </is>
      </c>
      <c r="P210" s="55" t="n">
        <v>80</v>
      </c>
      <c r="Q210" s="59">
        <f>IF(BO210=1,0,IFERROR(VLOOKUP(BM210,'Gebinde-Kategorie'!$A$5:$G$45,6,0)+0,0))</f>
        <v/>
      </c>
      <c r="R210" s="60" t="n"/>
      <c r="S210" s="61" t="n"/>
      <c r="T210" s="61" t="n"/>
      <c r="U210" s="53">
        <f>IF(A210="","",IF(IFERROR(VLOOKUP(D210,Parameter!$A$35:$C$64,2,0),"Nein")="2+3",IF(ISNUMBER(SEARCH("grosser Artikel",BJ210)),2,IFERROR(VLOOKUP(BM210,Parameter!$F$35:$G$64,2,0),2)),IF(OR(IFERROR(VLOOKUP(D210,Parameter!$A$35:$C$64,2,0),"Nein")="Nein",IFERROR(VLOOKUP(D210,Parameter!$A$35:$C$64,2,0),"Nein")=""),"-",VLOOKUP(D210,Parameter!$A$35:$C$64,2,0))))</f>
        <v/>
      </c>
      <c r="V210" s="61" t="n"/>
      <c r="W210" s="62" t="n"/>
      <c r="X210" s="55">
        <f>AM210</f>
        <v/>
      </c>
      <c r="Y210" s="55">
        <f>MAX(AM210,G210)</f>
        <v/>
      </c>
      <c r="Z210" s="63" t="n"/>
      <c r="AA210" s="55">
        <f>IF(LEFT(Cockpit!$C$5,1)="A",G210,IF(BT210=1,BU210,IF(LEFT(Cockpit!$C$5,1)="B",AE210,MAX(AE210,G210))))</f>
        <v/>
      </c>
      <c r="AB210" s="55">
        <f>IF(BO210=1,0,ROUNDUP(AA210/BN210,0))</f>
        <v/>
      </c>
      <c r="AC210" s="64">
        <f>IF(BO210=1,IF(AA210&lt;=0,0,BP210*MAX(1,IF(G210&gt;0,AA210/G210,1))),AB210*Q210)</f>
        <v/>
      </c>
      <c r="AD210" s="55">
        <f>AA210*F210</f>
        <v/>
      </c>
      <c r="AE210" s="55">
        <f>ROUNDUP(MAX(I210/IF(BS210&gt;0,BS210,MAX(0.1,N(Cockpit!$C$6))),BV210)/BN210,0)*BN210</f>
        <v/>
      </c>
      <c r="AF210" s="56">
        <f>IF(AC210&gt;0,I210/AC210,-1)</f>
        <v/>
      </c>
      <c r="AG210" s="56">
        <f>IF(AND(OR(BR210="L1",BR210="L23"),AC210&gt;0),SUMIFS($AC$7:$AC$1570,$BR$7:$BR$1570,BR210,$AF$7:$AF$1570,"&gt;"&amp;AF210)+SUMIFS($AC$7:$AC$1570,$BR$7:$BR$1570,BR210,$AF$7:$AF$1570,AF210,$BL$7:$BL$1570,"&lt;="&amp;BL210),"")</f>
        <v/>
      </c>
      <c r="AH210" s="65">
        <f>IF(AG210="",0,MAX(0,MIN(1,(IF(BR210="L1",Parameter!$K$5,Parameter!$K$6+Parameter!$K$7)-(AG210-AC210))/AC210)))</f>
        <v/>
      </c>
      <c r="AI210" s="55">
        <f>IF(LEFT(Cockpit!$I$5,1)="A",G210,IF(BT210=1,BU210,IF(LEFT(Cockpit!$I$5,1)="B",AM210,MAX(AM210,G210))))</f>
        <v/>
      </c>
      <c r="AJ210" s="55">
        <f>IF(BO210=1,0,ROUNDUP(AI210/BN210,0))</f>
        <v/>
      </c>
      <c r="AK210" s="64">
        <f>IF(BO210=1,IF(AI210&lt;=0,0,BP210*MAX(1,IF(G210&gt;0,AI210/G210,1))),AJ210*Q210)</f>
        <v/>
      </c>
      <c r="AL210" s="55">
        <f>AI210*F210</f>
        <v/>
      </c>
      <c r="AM210" s="55">
        <f>ROUNDUP(MAX(I210/IF(BS210&gt;0,BS210,MAX(0.1,N(Cockpit!$I$6))),BV210)/BN210,0)*BN210</f>
        <v/>
      </c>
      <c r="AN210" s="56">
        <f>IF(AK210&gt;0,I210/AK210,-1)</f>
        <v/>
      </c>
      <c r="AO210" s="56">
        <f>IF(AND(OR(BR210="L1",BR210="L23"),AK210&gt;0),SUMIFS($AK$7:$AK$1570,$BR$7:$BR$1570,BR210,$AN$7:$AN$1570,"&gt;"&amp;AN210)+SUMIFS($AK$7:$AK$1570,$BR$7:$BR$1570,BR210,$AN$7:$AN$1570,AN210,$BL$7:$BL$1570,"&lt;="&amp;BL210),"")</f>
        <v/>
      </c>
      <c r="AP210" s="65">
        <f>IF(AO210="",0,MAX(0,MIN(1,(IF(BR210="L1",Parameter!$K$5,Parameter!$K$6+Parameter!$K$7)-(AO210-AK210))/AK210)))</f>
        <v/>
      </c>
      <c r="AQ210" s="55">
        <f>IF(LEFT(Cockpit!$O$5,1)="A",G210,IF(BT210=1,BU210,IF(LEFT(Cockpit!$O$5,1)="B",AU210,MAX(AU210,G210))))</f>
        <v/>
      </c>
      <c r="AR210" s="55">
        <f>IF(BO210=1,0,ROUNDUP(AQ210/BN210,0))</f>
        <v/>
      </c>
      <c r="AS210" s="64">
        <f>IF(BO210=1,IF(AQ210&lt;=0,0,BP210*MAX(1,IF(G210&gt;0,AQ210/G210,1))),AR210*Q210)</f>
        <v/>
      </c>
      <c r="AT210" s="55">
        <f>AQ210*F210</f>
        <v/>
      </c>
      <c r="AU210" s="55">
        <f>ROUNDUP(MAX(I210/IF(BS210&gt;0,BS210,MAX(0.1,N(Cockpit!$O$6))),BV210)/BN210,0)*BN210</f>
        <v/>
      </c>
      <c r="AV210" s="56">
        <f>IF(AS210&gt;0,I210/AS210,-1)</f>
        <v/>
      </c>
      <c r="AW210" s="56">
        <f>IF(AND(OR(BR210="L1",BR210="L23"),AS210&gt;0),SUMIFS($AS$7:$AS$1570,$BR$7:$BR$1570,BR210,$AV$7:$AV$1570,"&gt;"&amp;AV210)+SUMIFS($AS$7:$AS$1570,$BR$7:$BR$1570,BR210,$AV$7:$AV$1570,AV210,$BL$7:$BL$1570,"&lt;="&amp;BL210),"")</f>
        <v/>
      </c>
      <c r="AX210" s="65">
        <f>IF(AW210="",0,MAX(0,MIN(1,(IF(BR210="L1",Parameter!$K$5,Parameter!$K$6+Parameter!$K$7)-(AW210-AS210))/AS210)))</f>
        <v/>
      </c>
      <c r="AY210" s="53">
        <f>IF(AC210&lt;=0,"",IF(BR210="Aussen","Aussenlager",IF(BR210="-","Nicht im Lift",IF(AH210&gt;=1,"Lift",IF(AH210&lt;=0,"Aussenlager","teilweise")))))</f>
        <v/>
      </c>
      <c r="AZ210" s="53">
        <f>IF(AK210&lt;=0,"",IF(BR210="Aussen","Aussenlager",IF(BR210="-","Nicht im Lift",IF(AP210&gt;=1,"Lift",IF(AP210&lt;=0,"Aussenlager","teilweise")))))</f>
        <v/>
      </c>
      <c r="BA210" s="53">
        <f>IF(AS210&lt;=0,"",IF(BR210="Aussen","Aussenlager",IF(BR210="-","Nicht im Lift",IF(AX210&gt;=1,"Lift",IF(AX210&lt;=0,"Aussenlager","teilweise")))))</f>
        <v/>
      </c>
      <c r="BB210" s="53">
        <f>IF(A210="","",IF(BK210=1,"Neu; ","")&amp;IF(AND(BK210=0,BF210&lt;0),"negativer Bestand (Export "&amp;BF210&amp;"); ","")&amp;IF(I210&lt;=0,"Kein Verbrauch; ","")&amp;IF(BO210=1,"Lose – Fläche geschätzt; ","")&amp;IF(G210&gt;AM210,"Überbestand "&amp;ROUND(G210-AM210,0)&amp;" Stk / CHF "&amp;ROUND((G210-AM210)*F210,0)&amp;"; ","")&amp;IF(AND(BT210=1,BU210&lt;BV210),"MAX &lt; MB+LG; ","")&amp;IF(AND(BZ210&gt;0,BY210*10&gt;BZ210),"zu hoch für Tablar; ","")&amp;IF(AND(BK210=0,OR(BT210=1,V210&lt;&gt;"",S210&lt;&gt;"",T210&lt;&gt;"",W210&lt;&gt;"")),"manuell übersteuert; ","")&amp;IF(AND(BO210=0,Q210=0),"Gebinde unbekannt; ","")&amp;IF(AND(BO210=0,N(T210)&lt;=0,N(P210)&lt;=0),"Menge pro Gebinde fehlt (Ist = 1 Gebinde); ","")&amp;BJ210)</f>
        <v/>
      </c>
      <c r="BC210" s="53" t="n"/>
      <c r="BD210" s="53" t="n"/>
      <c r="BE210" s="61" t="n"/>
      <c r="BF210" s="55" t="n">
        <v>3</v>
      </c>
      <c r="BG210" s="55" t="n">
        <v>0</v>
      </c>
      <c r="BH210" s="54" t="n">
        <v>734.79</v>
      </c>
      <c r="BI210" s="55" t="n">
        <v>248</v>
      </c>
      <c r="BJ210" s="53" t="inlineStr"/>
      <c r="BK210" s="58" t="n">
        <v>0</v>
      </c>
      <c r="BL210" s="58" t="n">
        <v>210</v>
      </c>
      <c r="BM210" s="53">
        <f>IF(S210&lt;&gt;"",UPPER(TRIM(S210)),IF(O210="","LOSE",O210))</f>
        <v/>
      </c>
      <c r="BN210" s="55">
        <f>IF(BM210="LOSE",1,IF(N(T210)&gt;0,T210,IF(N(P210)&gt;0,P210,MAX(1,G210))))</f>
        <v/>
      </c>
      <c r="BO210" s="58">
        <f>IF(BM210="LOSE",1,0)</f>
        <v/>
      </c>
      <c r="BP210" s="64">
        <f>IF(BO210=0,0,IF(N(R210)&gt;0,R210,IFERROR(VLOOKUP(D210,Parameter!$A$35:$C$64,3,0)+0,0)))</f>
        <v/>
      </c>
      <c r="BQ210" s="53">
        <f>IF(V210&lt;&gt;"",V210,U210)</f>
        <v/>
      </c>
      <c r="BR210" s="53">
        <f>IF(BQ210=1,"L1",IF(OR(BQ210=2,BQ210=3),"L23",IF(BQ210="Aussen","Aussen","-")))</f>
        <v/>
      </c>
      <c r="BS210" s="66">
        <f>IF(N(W210)&gt;0,W210,0)</f>
        <v/>
      </c>
      <c r="BT210" s="58">
        <f>IF(ISNUMBER(Z210),1,0)</f>
        <v/>
      </c>
      <c r="BU210" s="55">
        <f>N(Z210)</f>
        <v/>
      </c>
      <c r="BV210" s="55">
        <f>N(L210)+N(M210)</f>
        <v/>
      </c>
      <c r="BW210" s="55">
        <f>ROUNDUP(G210/BN210,0)</f>
        <v/>
      </c>
      <c r="BX210" s="55">
        <f>ROUNDUP(BU210/BN210,0)</f>
        <v/>
      </c>
      <c r="BY210" s="58">
        <f>IF(BO210=1,0,IFERROR(VLOOKUP(BM210,'Gebinde-Kategorie'!$A$5:$G$45,5,0)+0,0))</f>
        <v/>
      </c>
      <c r="BZ210" s="58">
        <f>IFERROR(IF(OR(BQ210=1,BQ210=2,BQ210=3),N(INDEX(Parameter!$I$5:$I$7,BQ210)),0),0)</f>
        <v/>
      </c>
    </row>
    <row r="211">
      <c r="A211" s="53" t="inlineStr">
        <is>
          <t>105950</t>
        </is>
      </c>
      <c r="B211" s="53" t="inlineStr">
        <is>
          <t>Nutmutter</t>
        </is>
      </c>
      <c r="C211" s="53" t="inlineStr">
        <is>
          <t>F</t>
        </is>
      </c>
      <c r="D211" s="53" t="inlineStr">
        <is>
          <t>KTL</t>
        </is>
      </c>
      <c r="E211" s="53" t="inlineStr">
        <is>
          <t>C</t>
        </is>
      </c>
      <c r="F211" s="54" t="n">
        <v>26.21</v>
      </c>
      <c r="G211" s="55">
        <f>MAX(0,IF(Parameter!$B$20="Jahresanfang 2025 + Export",BG211+BF211,BF211))</f>
        <v/>
      </c>
      <c r="H211" s="55">
        <f>G211*F211</f>
        <v/>
      </c>
      <c r="I211" s="55">
        <f>BI211*Parameter!$B$18</f>
        <v/>
      </c>
      <c r="J211" s="56" t="n">
        <v>242.5</v>
      </c>
      <c r="K211" s="57" t="n">
        <v>2.824742268041237</v>
      </c>
      <c r="L211" s="55" t="n">
        <v>39</v>
      </c>
      <c r="M211" s="55" t="n">
        <v>200</v>
      </c>
      <c r="N211" s="58" t="n">
        <v>21</v>
      </c>
      <c r="O211" s="53" t="inlineStr">
        <is>
          <t>S62</t>
        </is>
      </c>
      <c r="P211" s="55" t="n">
        <v>178</v>
      </c>
      <c r="Q211" s="59">
        <f>IF(BO211=1,0,IFERROR(VLOOKUP(BM211,'Gebinde-Kategorie'!$A$5:$G$45,6,0)+0,0))</f>
        <v/>
      </c>
      <c r="R211" s="60" t="n"/>
      <c r="S211" s="61" t="n"/>
      <c r="T211" s="61" t="n"/>
      <c r="U211" s="53">
        <f>IF(A211="","",IF(IFERROR(VLOOKUP(D211,Parameter!$A$35:$C$64,2,0),"Nein")="2+3",IF(ISNUMBER(SEARCH("grosser Artikel",BJ211)),2,IFERROR(VLOOKUP(BM211,Parameter!$F$35:$G$64,2,0),2)),IF(OR(IFERROR(VLOOKUP(D211,Parameter!$A$35:$C$64,2,0),"Nein")="Nein",IFERROR(VLOOKUP(D211,Parameter!$A$35:$C$64,2,0),"Nein")=""),"-",VLOOKUP(D211,Parameter!$A$35:$C$64,2,0))))</f>
        <v/>
      </c>
      <c r="V211" s="61" t="n"/>
      <c r="W211" s="62" t="n"/>
      <c r="X211" s="55">
        <f>AM211</f>
        <v/>
      </c>
      <c r="Y211" s="55">
        <f>MAX(AM211,G211)</f>
        <v/>
      </c>
      <c r="Z211" s="63" t="n"/>
      <c r="AA211" s="55">
        <f>IF(LEFT(Cockpit!$C$5,1)="A",G211,IF(BT211=1,BU211,IF(LEFT(Cockpit!$C$5,1)="B",AE211,MAX(AE211,G211))))</f>
        <v/>
      </c>
      <c r="AB211" s="55">
        <f>IF(BO211=1,0,ROUNDUP(AA211/BN211,0))</f>
        <v/>
      </c>
      <c r="AC211" s="64">
        <f>IF(BO211=1,IF(AA211&lt;=0,0,BP211*MAX(1,IF(G211&gt;0,AA211/G211,1))),AB211*Q211)</f>
        <v/>
      </c>
      <c r="AD211" s="55">
        <f>AA211*F211</f>
        <v/>
      </c>
      <c r="AE211" s="55">
        <f>ROUNDUP(MAX(I211/IF(BS211&gt;0,BS211,MAX(0.1,N(Cockpit!$C$6))),BV211)/BN211,0)*BN211</f>
        <v/>
      </c>
      <c r="AF211" s="56">
        <f>IF(AC211&gt;0,I211/AC211,-1)</f>
        <v/>
      </c>
      <c r="AG211" s="56">
        <f>IF(AND(OR(BR211="L1",BR211="L23"),AC211&gt;0),SUMIFS($AC$7:$AC$1570,$BR$7:$BR$1570,BR211,$AF$7:$AF$1570,"&gt;"&amp;AF211)+SUMIFS($AC$7:$AC$1570,$BR$7:$BR$1570,BR211,$AF$7:$AF$1570,AF211,$BL$7:$BL$1570,"&lt;="&amp;BL211),"")</f>
        <v/>
      </c>
      <c r="AH211" s="65">
        <f>IF(AG211="",0,MAX(0,MIN(1,(IF(BR211="L1",Parameter!$K$5,Parameter!$K$6+Parameter!$K$7)-(AG211-AC211))/AC211)))</f>
        <v/>
      </c>
      <c r="AI211" s="55">
        <f>IF(LEFT(Cockpit!$I$5,1)="A",G211,IF(BT211=1,BU211,IF(LEFT(Cockpit!$I$5,1)="B",AM211,MAX(AM211,G211))))</f>
        <v/>
      </c>
      <c r="AJ211" s="55">
        <f>IF(BO211=1,0,ROUNDUP(AI211/BN211,0))</f>
        <v/>
      </c>
      <c r="AK211" s="64">
        <f>IF(BO211=1,IF(AI211&lt;=0,0,BP211*MAX(1,IF(G211&gt;0,AI211/G211,1))),AJ211*Q211)</f>
        <v/>
      </c>
      <c r="AL211" s="55">
        <f>AI211*F211</f>
        <v/>
      </c>
      <c r="AM211" s="55">
        <f>ROUNDUP(MAX(I211/IF(BS211&gt;0,BS211,MAX(0.1,N(Cockpit!$I$6))),BV211)/BN211,0)*BN211</f>
        <v/>
      </c>
      <c r="AN211" s="56">
        <f>IF(AK211&gt;0,I211/AK211,-1)</f>
        <v/>
      </c>
      <c r="AO211" s="56">
        <f>IF(AND(OR(BR211="L1",BR211="L23"),AK211&gt;0),SUMIFS($AK$7:$AK$1570,$BR$7:$BR$1570,BR211,$AN$7:$AN$1570,"&gt;"&amp;AN211)+SUMIFS($AK$7:$AK$1570,$BR$7:$BR$1570,BR211,$AN$7:$AN$1570,AN211,$BL$7:$BL$1570,"&lt;="&amp;BL211),"")</f>
        <v/>
      </c>
      <c r="AP211" s="65">
        <f>IF(AO211="",0,MAX(0,MIN(1,(IF(BR211="L1",Parameter!$K$5,Parameter!$K$6+Parameter!$K$7)-(AO211-AK211))/AK211)))</f>
        <v/>
      </c>
      <c r="AQ211" s="55">
        <f>IF(LEFT(Cockpit!$O$5,1)="A",G211,IF(BT211=1,BU211,IF(LEFT(Cockpit!$O$5,1)="B",AU211,MAX(AU211,G211))))</f>
        <v/>
      </c>
      <c r="AR211" s="55">
        <f>IF(BO211=1,0,ROUNDUP(AQ211/BN211,0))</f>
        <v/>
      </c>
      <c r="AS211" s="64">
        <f>IF(BO211=1,IF(AQ211&lt;=0,0,BP211*MAX(1,IF(G211&gt;0,AQ211/G211,1))),AR211*Q211)</f>
        <v/>
      </c>
      <c r="AT211" s="55">
        <f>AQ211*F211</f>
        <v/>
      </c>
      <c r="AU211" s="55">
        <f>ROUNDUP(MAX(I211/IF(BS211&gt;0,BS211,MAX(0.1,N(Cockpit!$O$6))),BV211)/BN211,0)*BN211</f>
        <v/>
      </c>
      <c r="AV211" s="56">
        <f>IF(AS211&gt;0,I211/AS211,-1)</f>
        <v/>
      </c>
      <c r="AW211" s="56">
        <f>IF(AND(OR(BR211="L1",BR211="L23"),AS211&gt;0),SUMIFS($AS$7:$AS$1570,$BR$7:$BR$1570,BR211,$AV$7:$AV$1570,"&gt;"&amp;AV211)+SUMIFS($AS$7:$AS$1570,$BR$7:$BR$1570,BR211,$AV$7:$AV$1570,AV211,$BL$7:$BL$1570,"&lt;="&amp;BL211),"")</f>
        <v/>
      </c>
      <c r="AX211" s="65">
        <f>IF(AW211="",0,MAX(0,MIN(1,(IF(BR211="L1",Parameter!$K$5,Parameter!$K$6+Parameter!$K$7)-(AW211-AS211))/AS211)))</f>
        <v/>
      </c>
      <c r="AY211" s="53">
        <f>IF(AC211&lt;=0,"",IF(BR211="Aussen","Aussenlager",IF(BR211="-","Nicht im Lift",IF(AH211&gt;=1,"Lift",IF(AH211&lt;=0,"Aussenlager","teilweise")))))</f>
        <v/>
      </c>
      <c r="AZ211" s="53">
        <f>IF(AK211&lt;=0,"",IF(BR211="Aussen","Aussenlager",IF(BR211="-","Nicht im Lift",IF(AP211&gt;=1,"Lift",IF(AP211&lt;=0,"Aussenlager","teilweise")))))</f>
        <v/>
      </c>
      <c r="BA211" s="53">
        <f>IF(AS211&lt;=0,"",IF(BR211="Aussen","Aussenlager",IF(BR211="-","Nicht im Lift",IF(AX211&gt;=1,"Lift",IF(AX211&lt;=0,"Aussenlager","teilweise")))))</f>
        <v/>
      </c>
      <c r="BB211" s="53">
        <f>IF(A211="","",IF(BK211=1,"Neu; ","")&amp;IF(AND(BK211=0,BF211&lt;0),"negativer Bestand (Export "&amp;BF211&amp;"); ","")&amp;IF(I211&lt;=0,"Kein Verbrauch; ","")&amp;IF(BO211=1,"Lose – Fläche geschätzt; ","")&amp;IF(G211&gt;AM211,"Überbestand "&amp;ROUND(G211-AM211,0)&amp;" Stk / CHF "&amp;ROUND((G211-AM211)*F211,0)&amp;"; ","")&amp;IF(AND(BT211=1,BU211&lt;BV211),"MAX &lt; MB+LG; ","")&amp;IF(AND(BZ211&gt;0,BY211*10&gt;BZ211),"zu hoch für Tablar; ","")&amp;IF(AND(BK211=0,OR(BT211=1,V211&lt;&gt;"",S211&lt;&gt;"",T211&lt;&gt;"",W211&lt;&gt;"")),"manuell übersteuert; ","")&amp;IF(AND(BO211=0,Q211=0),"Gebinde unbekannt; ","")&amp;IF(AND(BO211=0,N(T211)&lt;=0,N(P211)&lt;=0),"Menge pro Gebinde fehlt (Ist = 1 Gebinde); ","")&amp;BJ211)</f>
        <v/>
      </c>
      <c r="BC211" s="53" t="n"/>
      <c r="BD211" s="53" t="n"/>
      <c r="BE211" s="61" t="n"/>
      <c r="BF211" s="55" t="n">
        <v>77</v>
      </c>
      <c r="BG211" s="55" t="n">
        <v>180</v>
      </c>
      <c r="BH211" s="54" t="n">
        <v>729.8900000000044</v>
      </c>
      <c r="BI211" s="55" t="n">
        <v>685</v>
      </c>
      <c r="BJ211" s="53" t="inlineStr"/>
      <c r="BK211" s="58" t="n">
        <v>0</v>
      </c>
      <c r="BL211" s="58" t="n">
        <v>211</v>
      </c>
      <c r="BM211" s="53">
        <f>IF(S211&lt;&gt;"",UPPER(TRIM(S211)),IF(O211="","LOSE",O211))</f>
        <v/>
      </c>
      <c r="BN211" s="55">
        <f>IF(BM211="LOSE",1,IF(N(T211)&gt;0,T211,IF(N(P211)&gt;0,P211,MAX(1,G211))))</f>
        <v/>
      </c>
      <c r="BO211" s="58">
        <f>IF(BM211="LOSE",1,0)</f>
        <v/>
      </c>
      <c r="BP211" s="64">
        <f>IF(BO211=0,0,IF(N(R211)&gt;0,R211,IFERROR(VLOOKUP(D211,Parameter!$A$35:$C$64,3,0)+0,0)))</f>
        <v/>
      </c>
      <c r="BQ211" s="53">
        <f>IF(V211&lt;&gt;"",V211,U211)</f>
        <v/>
      </c>
      <c r="BR211" s="53">
        <f>IF(BQ211=1,"L1",IF(OR(BQ211=2,BQ211=3),"L23",IF(BQ211="Aussen","Aussen","-")))</f>
        <v/>
      </c>
      <c r="BS211" s="66">
        <f>IF(N(W211)&gt;0,W211,0)</f>
        <v/>
      </c>
      <c r="BT211" s="58">
        <f>IF(ISNUMBER(Z211),1,0)</f>
        <v/>
      </c>
      <c r="BU211" s="55">
        <f>N(Z211)</f>
        <v/>
      </c>
      <c r="BV211" s="55">
        <f>N(L211)+N(M211)</f>
        <v/>
      </c>
      <c r="BW211" s="55">
        <f>ROUNDUP(G211/BN211,0)</f>
        <v/>
      </c>
      <c r="BX211" s="55">
        <f>ROUNDUP(BU211/BN211,0)</f>
        <v/>
      </c>
      <c r="BY211" s="58">
        <f>IF(BO211=1,0,IFERROR(VLOOKUP(BM211,'Gebinde-Kategorie'!$A$5:$G$45,5,0)+0,0))</f>
        <v/>
      </c>
      <c r="BZ211" s="58">
        <f>IFERROR(IF(OR(BQ211=1,BQ211=2,BQ211=3),N(INDEX(Parameter!$I$5:$I$7,BQ211)),0),0)</f>
        <v/>
      </c>
    </row>
    <row r="212">
      <c r="A212" s="53" t="inlineStr">
        <is>
          <t>106917</t>
        </is>
      </c>
      <c r="B212" s="53" t="inlineStr">
        <is>
          <t>Beschriftungsset zu SPGr</t>
        </is>
      </c>
      <c r="C212" s="53" t="inlineStr">
        <is>
          <t>F</t>
        </is>
      </c>
      <c r="D212" s="53" t="inlineStr">
        <is>
          <t>KTL</t>
        </is>
      </c>
      <c r="E212" s="53" t="inlineStr">
        <is>
          <t>C</t>
        </is>
      </c>
      <c r="F212" s="54" t="n">
        <v>19.3</v>
      </c>
      <c r="G212" s="55">
        <f>MAX(0,IF(Parameter!$B$20="Jahresanfang 2025 + Export",BG212+BF212,BF212))</f>
        <v/>
      </c>
      <c r="H212" s="55">
        <f>G212*F212</f>
        <v/>
      </c>
      <c r="I212" s="55">
        <f>BI212*Parameter!$B$18</f>
        <v/>
      </c>
      <c r="J212" s="56" t="n">
        <v>80</v>
      </c>
      <c r="K212" s="57" t="n">
        <v>0.7</v>
      </c>
      <c r="L212" s="55" t="n">
        <v>9</v>
      </c>
      <c r="M212" s="55" t="n">
        <v>55</v>
      </c>
      <c r="N212" s="58" t="n">
        <v>63</v>
      </c>
      <c r="O212" s="53" t="inlineStr">
        <is>
          <t>S41</t>
        </is>
      </c>
      <c r="P212" s="55" t="n">
        <v>66</v>
      </c>
      <c r="Q212" s="59">
        <f>IF(BO212=1,0,IFERROR(VLOOKUP(BM212,'Gebinde-Kategorie'!$A$5:$G$45,6,0)+0,0))</f>
        <v/>
      </c>
      <c r="R212" s="60" t="n"/>
      <c r="S212" s="61" t="n"/>
      <c r="T212" s="61" t="n"/>
      <c r="U212" s="53">
        <f>IF(A212="","",IF(IFERROR(VLOOKUP(D212,Parameter!$A$35:$C$64,2,0),"Nein")="2+3",IF(ISNUMBER(SEARCH("grosser Artikel",BJ212)),2,IFERROR(VLOOKUP(BM212,Parameter!$F$35:$G$64,2,0),2)),IF(OR(IFERROR(VLOOKUP(D212,Parameter!$A$35:$C$64,2,0),"Nein")="Nein",IFERROR(VLOOKUP(D212,Parameter!$A$35:$C$64,2,0),"Nein")=""),"-",VLOOKUP(D212,Parameter!$A$35:$C$64,2,0))))</f>
        <v/>
      </c>
      <c r="V212" s="61" t="n"/>
      <c r="W212" s="62" t="n"/>
      <c r="X212" s="55">
        <f>AM212</f>
        <v/>
      </c>
      <c r="Y212" s="55">
        <f>MAX(AM212,G212)</f>
        <v/>
      </c>
      <c r="Z212" s="63" t="n"/>
      <c r="AA212" s="55">
        <f>IF(LEFT(Cockpit!$C$5,1)="A",G212,IF(BT212=1,BU212,IF(LEFT(Cockpit!$C$5,1)="B",AE212,MAX(AE212,G212))))</f>
        <v/>
      </c>
      <c r="AB212" s="55">
        <f>IF(BO212=1,0,ROUNDUP(AA212/BN212,0))</f>
        <v/>
      </c>
      <c r="AC212" s="64">
        <f>IF(BO212=1,IF(AA212&lt;=0,0,BP212*MAX(1,IF(G212&gt;0,AA212/G212,1))),AB212*Q212)</f>
        <v/>
      </c>
      <c r="AD212" s="55">
        <f>AA212*F212</f>
        <v/>
      </c>
      <c r="AE212" s="55">
        <f>ROUNDUP(MAX(I212/IF(BS212&gt;0,BS212,MAX(0.1,N(Cockpit!$C$6))),BV212)/BN212,0)*BN212</f>
        <v/>
      </c>
      <c r="AF212" s="56">
        <f>IF(AC212&gt;0,I212/AC212,-1)</f>
        <v/>
      </c>
      <c r="AG212" s="56">
        <f>IF(AND(OR(BR212="L1",BR212="L23"),AC212&gt;0),SUMIFS($AC$7:$AC$1570,$BR$7:$BR$1570,BR212,$AF$7:$AF$1570,"&gt;"&amp;AF212)+SUMIFS($AC$7:$AC$1570,$BR$7:$BR$1570,BR212,$AF$7:$AF$1570,AF212,$BL$7:$BL$1570,"&lt;="&amp;BL212),"")</f>
        <v/>
      </c>
      <c r="AH212" s="65">
        <f>IF(AG212="",0,MAX(0,MIN(1,(IF(BR212="L1",Parameter!$K$5,Parameter!$K$6+Parameter!$K$7)-(AG212-AC212))/AC212)))</f>
        <v/>
      </c>
      <c r="AI212" s="55">
        <f>IF(LEFT(Cockpit!$I$5,1)="A",G212,IF(BT212=1,BU212,IF(LEFT(Cockpit!$I$5,1)="B",AM212,MAX(AM212,G212))))</f>
        <v/>
      </c>
      <c r="AJ212" s="55">
        <f>IF(BO212=1,0,ROUNDUP(AI212/BN212,0))</f>
        <v/>
      </c>
      <c r="AK212" s="64">
        <f>IF(BO212=1,IF(AI212&lt;=0,0,BP212*MAX(1,IF(G212&gt;0,AI212/G212,1))),AJ212*Q212)</f>
        <v/>
      </c>
      <c r="AL212" s="55">
        <f>AI212*F212</f>
        <v/>
      </c>
      <c r="AM212" s="55">
        <f>ROUNDUP(MAX(I212/IF(BS212&gt;0,BS212,MAX(0.1,N(Cockpit!$I$6))),BV212)/BN212,0)*BN212</f>
        <v/>
      </c>
      <c r="AN212" s="56">
        <f>IF(AK212&gt;0,I212/AK212,-1)</f>
        <v/>
      </c>
      <c r="AO212" s="56">
        <f>IF(AND(OR(BR212="L1",BR212="L23"),AK212&gt;0),SUMIFS($AK$7:$AK$1570,$BR$7:$BR$1570,BR212,$AN$7:$AN$1570,"&gt;"&amp;AN212)+SUMIFS($AK$7:$AK$1570,$BR$7:$BR$1570,BR212,$AN$7:$AN$1570,AN212,$BL$7:$BL$1570,"&lt;="&amp;BL212),"")</f>
        <v/>
      </c>
      <c r="AP212" s="65">
        <f>IF(AO212="",0,MAX(0,MIN(1,(IF(BR212="L1",Parameter!$K$5,Parameter!$K$6+Parameter!$K$7)-(AO212-AK212))/AK212)))</f>
        <v/>
      </c>
      <c r="AQ212" s="55">
        <f>IF(LEFT(Cockpit!$O$5,1)="A",G212,IF(BT212=1,BU212,IF(LEFT(Cockpit!$O$5,1)="B",AU212,MAX(AU212,G212))))</f>
        <v/>
      </c>
      <c r="AR212" s="55">
        <f>IF(BO212=1,0,ROUNDUP(AQ212/BN212,0))</f>
        <v/>
      </c>
      <c r="AS212" s="64">
        <f>IF(BO212=1,IF(AQ212&lt;=0,0,BP212*MAX(1,IF(G212&gt;0,AQ212/G212,1))),AR212*Q212)</f>
        <v/>
      </c>
      <c r="AT212" s="55">
        <f>AQ212*F212</f>
        <v/>
      </c>
      <c r="AU212" s="55">
        <f>ROUNDUP(MAX(I212/IF(BS212&gt;0,BS212,MAX(0.1,N(Cockpit!$O$6))),BV212)/BN212,0)*BN212</f>
        <v/>
      </c>
      <c r="AV212" s="56">
        <f>IF(AS212&gt;0,I212/AS212,-1)</f>
        <v/>
      </c>
      <c r="AW212" s="56">
        <f>IF(AND(OR(BR212="L1",BR212="L23"),AS212&gt;0),SUMIFS($AS$7:$AS$1570,$BR$7:$BR$1570,BR212,$AV$7:$AV$1570,"&gt;"&amp;AV212)+SUMIFS($AS$7:$AS$1570,$BR$7:$BR$1570,BR212,$AV$7:$AV$1570,AV212,$BL$7:$BL$1570,"&lt;="&amp;BL212),"")</f>
        <v/>
      </c>
      <c r="AX212" s="65">
        <f>IF(AW212="",0,MAX(0,MIN(1,(IF(BR212="L1",Parameter!$K$5,Parameter!$K$6+Parameter!$K$7)-(AW212-AS212))/AS212)))</f>
        <v/>
      </c>
      <c r="AY212" s="53">
        <f>IF(AC212&lt;=0,"",IF(BR212="Aussen","Aussenlager",IF(BR212="-","Nicht im Lift",IF(AH212&gt;=1,"Lift",IF(AH212&lt;=0,"Aussenlager","teilweise")))))</f>
        <v/>
      </c>
      <c r="AZ212" s="53">
        <f>IF(AK212&lt;=0,"",IF(BR212="Aussen","Aussenlager",IF(BR212="-","Nicht im Lift",IF(AP212&gt;=1,"Lift",IF(AP212&lt;=0,"Aussenlager","teilweise")))))</f>
        <v/>
      </c>
      <c r="BA212" s="53">
        <f>IF(AS212&lt;=0,"",IF(BR212="Aussen","Aussenlager",IF(BR212="-","Nicht im Lift",IF(AX212&gt;=1,"Lift",IF(AX212&lt;=0,"Aussenlager","teilweise")))))</f>
        <v/>
      </c>
      <c r="BB212" s="53">
        <f>IF(A212="","",IF(BK212=1,"Neu; ","")&amp;IF(AND(BK212=0,BF212&lt;0),"negativer Bestand (Export "&amp;BF212&amp;"); ","")&amp;IF(I212&lt;=0,"Kein Verbrauch; ","")&amp;IF(BO212=1,"Lose – Fläche geschätzt; ","")&amp;IF(G212&gt;AM212,"Überbestand "&amp;ROUND(G212-AM212,0)&amp;" Stk / CHF "&amp;ROUND((G212-AM212)*F212,0)&amp;"; ","")&amp;IF(AND(BT212=1,BU212&lt;BV212),"MAX &lt; MB+LG; ","")&amp;IF(AND(BZ212&gt;0,BY212*10&gt;BZ212),"zu hoch für Tablar; ","")&amp;IF(AND(BK212=0,OR(BT212=1,V212&lt;&gt;"",S212&lt;&gt;"",T212&lt;&gt;"",W212&lt;&gt;"")),"manuell übersteuert; ","")&amp;IF(AND(BO212=0,Q212=0),"Gebinde unbekannt; ","")&amp;IF(AND(BO212=0,N(T212)&lt;=0,N(P212)&lt;=0),"Menge pro Gebinde fehlt (Ist = 1 Gebinde); ","")&amp;BJ212)</f>
        <v/>
      </c>
      <c r="BC212" s="53" t="n"/>
      <c r="BD212" s="53" t="n"/>
      <c r="BE212" s="61" t="n"/>
      <c r="BF212" s="55" t="n">
        <v>37</v>
      </c>
      <c r="BG212" s="55" t="n">
        <v>28</v>
      </c>
      <c r="BH212" s="54" t="n">
        <v>720.2599999999995</v>
      </c>
      <c r="BI212" s="55" t="n">
        <v>56</v>
      </c>
      <c r="BJ212" s="53" t="inlineStr"/>
      <c r="BK212" s="58" t="n">
        <v>0</v>
      </c>
      <c r="BL212" s="58" t="n">
        <v>212</v>
      </c>
      <c r="BM212" s="53">
        <f>IF(S212&lt;&gt;"",UPPER(TRIM(S212)),IF(O212="","LOSE",O212))</f>
        <v/>
      </c>
      <c r="BN212" s="55">
        <f>IF(BM212="LOSE",1,IF(N(T212)&gt;0,T212,IF(N(P212)&gt;0,P212,MAX(1,G212))))</f>
        <v/>
      </c>
      <c r="BO212" s="58">
        <f>IF(BM212="LOSE",1,0)</f>
        <v/>
      </c>
      <c r="BP212" s="64">
        <f>IF(BO212=0,0,IF(N(R212)&gt;0,R212,IFERROR(VLOOKUP(D212,Parameter!$A$35:$C$64,3,0)+0,0)))</f>
        <v/>
      </c>
      <c r="BQ212" s="53">
        <f>IF(V212&lt;&gt;"",V212,U212)</f>
        <v/>
      </c>
      <c r="BR212" s="53">
        <f>IF(BQ212=1,"L1",IF(OR(BQ212=2,BQ212=3),"L23",IF(BQ212="Aussen","Aussen","-")))</f>
        <v/>
      </c>
      <c r="BS212" s="66">
        <f>IF(N(W212)&gt;0,W212,0)</f>
        <v/>
      </c>
      <c r="BT212" s="58">
        <f>IF(ISNUMBER(Z212),1,0)</f>
        <v/>
      </c>
      <c r="BU212" s="55">
        <f>N(Z212)</f>
        <v/>
      </c>
      <c r="BV212" s="55">
        <f>N(L212)+N(M212)</f>
        <v/>
      </c>
      <c r="BW212" s="55">
        <f>ROUNDUP(G212/BN212,0)</f>
        <v/>
      </c>
      <c r="BX212" s="55">
        <f>ROUNDUP(BU212/BN212,0)</f>
        <v/>
      </c>
      <c r="BY212" s="58">
        <f>IF(BO212=1,0,IFERROR(VLOOKUP(BM212,'Gebinde-Kategorie'!$A$5:$G$45,5,0)+0,0))</f>
        <v/>
      </c>
      <c r="BZ212" s="58">
        <f>IFERROR(IF(OR(BQ212=1,BQ212=2,BQ212=3),N(INDEX(Parameter!$I$5:$I$7,BQ212)),0),0)</f>
        <v/>
      </c>
    </row>
    <row r="213">
      <c r="A213" s="53" t="inlineStr">
        <is>
          <t>108027</t>
        </is>
      </c>
      <c r="B213" s="53" t="inlineStr">
        <is>
          <t>Hochtemperatur-Hydraulikschlauch</t>
        </is>
      </c>
      <c r="C213" s="53" t="inlineStr">
        <is>
          <t>F</t>
        </is>
      </c>
      <c r="D213" s="53" t="inlineStr">
        <is>
          <t>PAL</t>
        </is>
      </c>
      <c r="E213" s="53" t="inlineStr">
        <is>
          <t>C</t>
        </is>
      </c>
      <c r="F213" s="54" t="n">
        <v>165.25</v>
      </c>
      <c r="G213" s="55">
        <f>MAX(0,IF(Parameter!$B$20="Jahresanfang 2025 + Export",BG213+BF213,BF213))</f>
        <v/>
      </c>
      <c r="H213" s="55">
        <f>G213*F213</f>
        <v/>
      </c>
      <c r="I213" s="55">
        <f>BI213*Parameter!$B$18</f>
        <v/>
      </c>
      <c r="J213" s="56" t="n">
        <v>35</v>
      </c>
      <c r="K213" s="57" t="n">
        <v>3.485714285714286</v>
      </c>
      <c r="L213" s="55" t="n">
        <v>10</v>
      </c>
      <c r="M213" s="55" t="n">
        <v>40</v>
      </c>
      <c r="N213" s="58" t="n">
        <v>21</v>
      </c>
      <c r="O213" s="53" t="inlineStr">
        <is>
          <t>S72</t>
        </is>
      </c>
      <c r="P213" s="55" t="n">
        <v>22</v>
      </c>
      <c r="Q213" s="59">
        <f>IF(BO213=1,0,IFERROR(VLOOKUP(BM213,'Gebinde-Kategorie'!$A$5:$G$45,6,0)+0,0))</f>
        <v/>
      </c>
      <c r="R213" s="60" t="n"/>
      <c r="S213" s="61" t="n"/>
      <c r="T213" s="61" t="n"/>
      <c r="U213" s="53">
        <f>IF(A213="","",IF(IFERROR(VLOOKUP(D213,Parameter!$A$35:$C$64,2,0),"Nein")="2+3",IF(ISNUMBER(SEARCH("grosser Artikel",BJ213)),2,IFERROR(VLOOKUP(BM213,Parameter!$F$35:$G$64,2,0),2)),IF(OR(IFERROR(VLOOKUP(D213,Parameter!$A$35:$C$64,2,0),"Nein")="Nein",IFERROR(VLOOKUP(D213,Parameter!$A$35:$C$64,2,0),"Nein")=""),"-",VLOOKUP(D213,Parameter!$A$35:$C$64,2,0))))</f>
        <v/>
      </c>
      <c r="V213" s="61" t="n"/>
      <c r="W213" s="62" t="n"/>
      <c r="X213" s="55">
        <f>AM213</f>
        <v/>
      </c>
      <c r="Y213" s="55">
        <f>MAX(AM213,G213)</f>
        <v/>
      </c>
      <c r="Z213" s="63" t="n"/>
      <c r="AA213" s="55">
        <f>IF(LEFT(Cockpit!$C$5,1)="A",G213,IF(BT213=1,BU213,IF(LEFT(Cockpit!$C$5,1)="B",AE213,MAX(AE213,G213))))</f>
        <v/>
      </c>
      <c r="AB213" s="55">
        <f>IF(BO213=1,0,ROUNDUP(AA213/BN213,0))</f>
        <v/>
      </c>
      <c r="AC213" s="64">
        <f>IF(BO213=1,IF(AA213&lt;=0,0,BP213*MAX(1,IF(G213&gt;0,AA213/G213,1))),AB213*Q213)</f>
        <v/>
      </c>
      <c r="AD213" s="55">
        <f>AA213*F213</f>
        <v/>
      </c>
      <c r="AE213" s="55">
        <f>ROUNDUP(MAX(I213/IF(BS213&gt;0,BS213,MAX(0.1,N(Cockpit!$C$6))),BV213)/BN213,0)*BN213</f>
        <v/>
      </c>
      <c r="AF213" s="56">
        <f>IF(AC213&gt;0,I213/AC213,-1)</f>
        <v/>
      </c>
      <c r="AG213" s="56">
        <f>IF(AND(OR(BR213="L1",BR213="L23"),AC213&gt;0),SUMIFS($AC$7:$AC$1570,$BR$7:$BR$1570,BR213,$AF$7:$AF$1570,"&gt;"&amp;AF213)+SUMIFS($AC$7:$AC$1570,$BR$7:$BR$1570,BR213,$AF$7:$AF$1570,AF213,$BL$7:$BL$1570,"&lt;="&amp;BL213),"")</f>
        <v/>
      </c>
      <c r="AH213" s="65">
        <f>IF(AG213="",0,MAX(0,MIN(1,(IF(BR213="L1",Parameter!$K$5,Parameter!$K$6+Parameter!$K$7)-(AG213-AC213))/AC213)))</f>
        <v/>
      </c>
      <c r="AI213" s="55">
        <f>IF(LEFT(Cockpit!$I$5,1)="A",G213,IF(BT213=1,BU213,IF(LEFT(Cockpit!$I$5,1)="B",AM213,MAX(AM213,G213))))</f>
        <v/>
      </c>
      <c r="AJ213" s="55">
        <f>IF(BO213=1,0,ROUNDUP(AI213/BN213,0))</f>
        <v/>
      </c>
      <c r="AK213" s="64">
        <f>IF(BO213=1,IF(AI213&lt;=0,0,BP213*MAX(1,IF(G213&gt;0,AI213/G213,1))),AJ213*Q213)</f>
        <v/>
      </c>
      <c r="AL213" s="55">
        <f>AI213*F213</f>
        <v/>
      </c>
      <c r="AM213" s="55">
        <f>ROUNDUP(MAX(I213/IF(BS213&gt;0,BS213,MAX(0.1,N(Cockpit!$I$6))),BV213)/BN213,0)*BN213</f>
        <v/>
      </c>
      <c r="AN213" s="56">
        <f>IF(AK213&gt;0,I213/AK213,-1)</f>
        <v/>
      </c>
      <c r="AO213" s="56">
        <f>IF(AND(OR(BR213="L1",BR213="L23"),AK213&gt;0),SUMIFS($AK$7:$AK$1570,$BR$7:$BR$1570,BR213,$AN$7:$AN$1570,"&gt;"&amp;AN213)+SUMIFS($AK$7:$AK$1570,$BR$7:$BR$1570,BR213,$AN$7:$AN$1570,AN213,$BL$7:$BL$1570,"&lt;="&amp;BL213),"")</f>
        <v/>
      </c>
      <c r="AP213" s="65">
        <f>IF(AO213="",0,MAX(0,MIN(1,(IF(BR213="L1",Parameter!$K$5,Parameter!$K$6+Parameter!$K$7)-(AO213-AK213))/AK213)))</f>
        <v/>
      </c>
      <c r="AQ213" s="55">
        <f>IF(LEFT(Cockpit!$O$5,1)="A",G213,IF(BT213=1,BU213,IF(LEFT(Cockpit!$O$5,1)="B",AU213,MAX(AU213,G213))))</f>
        <v/>
      </c>
      <c r="AR213" s="55">
        <f>IF(BO213=1,0,ROUNDUP(AQ213/BN213,0))</f>
        <v/>
      </c>
      <c r="AS213" s="64">
        <f>IF(BO213=1,IF(AQ213&lt;=0,0,BP213*MAX(1,IF(G213&gt;0,AQ213/G213,1))),AR213*Q213)</f>
        <v/>
      </c>
      <c r="AT213" s="55">
        <f>AQ213*F213</f>
        <v/>
      </c>
      <c r="AU213" s="55">
        <f>ROUNDUP(MAX(I213/IF(BS213&gt;0,BS213,MAX(0.1,N(Cockpit!$O$6))),BV213)/BN213,0)*BN213</f>
        <v/>
      </c>
      <c r="AV213" s="56">
        <f>IF(AS213&gt;0,I213/AS213,-1)</f>
        <v/>
      </c>
      <c r="AW213" s="56">
        <f>IF(AND(OR(BR213="L1",BR213="L23"),AS213&gt;0),SUMIFS($AS$7:$AS$1570,$BR$7:$BR$1570,BR213,$AV$7:$AV$1570,"&gt;"&amp;AV213)+SUMIFS($AS$7:$AS$1570,$BR$7:$BR$1570,BR213,$AV$7:$AV$1570,AV213,$BL$7:$BL$1570,"&lt;="&amp;BL213),"")</f>
        <v/>
      </c>
      <c r="AX213" s="65">
        <f>IF(AW213="",0,MAX(0,MIN(1,(IF(BR213="L1",Parameter!$K$5,Parameter!$K$6+Parameter!$K$7)-(AW213-AS213))/AS213)))</f>
        <v/>
      </c>
      <c r="AY213" s="53">
        <f>IF(AC213&lt;=0,"",IF(BR213="Aussen","Aussenlager",IF(BR213="-","Nicht im Lift",IF(AH213&gt;=1,"Lift",IF(AH213&lt;=0,"Aussenlager","teilweise")))))</f>
        <v/>
      </c>
      <c r="AZ213" s="53">
        <f>IF(AK213&lt;=0,"",IF(BR213="Aussen","Aussenlager",IF(BR213="-","Nicht im Lift",IF(AP213&gt;=1,"Lift",IF(AP213&lt;=0,"Aussenlager","teilweise")))))</f>
        <v/>
      </c>
      <c r="BA213" s="53">
        <f>IF(AS213&lt;=0,"",IF(BR213="Aussen","Aussenlager",IF(BR213="-","Nicht im Lift",IF(AX213&gt;=1,"Lift",IF(AX213&lt;=0,"Aussenlager","teilweise")))))</f>
        <v/>
      </c>
      <c r="BB213" s="53">
        <f>IF(A213="","",IF(BK213=1,"Neu; ","")&amp;IF(AND(BK213=0,BF213&lt;0),"negativer Bestand (Export "&amp;BF213&amp;"); ","")&amp;IF(I213&lt;=0,"Kein Verbrauch; ","")&amp;IF(BO213=1,"Lose – Fläche geschätzt; ","")&amp;IF(G213&gt;AM213,"Überbestand "&amp;ROUND(G213-AM213,0)&amp;" Stk / CHF "&amp;ROUND((G213-AM213)*F213,0)&amp;"; ","")&amp;IF(AND(BT213=1,BU213&lt;BV213),"MAX &lt; MB+LG; ","")&amp;IF(AND(BZ213&gt;0,BY213*10&gt;BZ213),"zu hoch für Tablar; ","")&amp;IF(AND(BK213=0,OR(BT213=1,V213&lt;&gt;"",S213&lt;&gt;"",T213&lt;&gt;"",W213&lt;&gt;"")),"manuell übersteuert; ","")&amp;IF(AND(BO213=0,Q213=0),"Gebinde unbekannt; ","")&amp;IF(AND(BO213=0,N(T213)&lt;=0,N(P213)&lt;=0),"Menge pro Gebinde fehlt (Ist = 1 Gebinde); ","")&amp;BJ213)</f>
        <v/>
      </c>
      <c r="BC213" s="53" t="n"/>
      <c r="BD213" s="53" t="n"/>
      <c r="BE213" s="61" t="n"/>
      <c r="BF213" s="55" t="n">
        <v>8</v>
      </c>
      <c r="BG213" s="55" t="n">
        <v>31</v>
      </c>
      <c r="BH213" s="54" t="n">
        <v>719.9800000000023</v>
      </c>
      <c r="BI213" s="55" t="n">
        <v>122</v>
      </c>
      <c r="BJ213" s="53" t="inlineStr"/>
      <c r="BK213" s="58" t="n">
        <v>0</v>
      </c>
      <c r="BL213" s="58" t="n">
        <v>213</v>
      </c>
      <c r="BM213" s="53">
        <f>IF(S213&lt;&gt;"",UPPER(TRIM(S213)),IF(O213="","LOSE",O213))</f>
        <v/>
      </c>
      <c r="BN213" s="55">
        <f>IF(BM213="LOSE",1,IF(N(T213)&gt;0,T213,IF(N(P213)&gt;0,P213,MAX(1,G213))))</f>
        <v/>
      </c>
      <c r="BO213" s="58">
        <f>IF(BM213="LOSE",1,0)</f>
        <v/>
      </c>
      <c r="BP213" s="64">
        <f>IF(BO213=0,0,IF(N(R213)&gt;0,R213,IFERROR(VLOOKUP(D213,Parameter!$A$35:$C$64,3,0)+0,0)))</f>
        <v/>
      </c>
      <c r="BQ213" s="53">
        <f>IF(V213&lt;&gt;"",V213,U213)</f>
        <v/>
      </c>
      <c r="BR213" s="53">
        <f>IF(BQ213=1,"L1",IF(OR(BQ213=2,BQ213=3),"L23",IF(BQ213="Aussen","Aussen","-")))</f>
        <v/>
      </c>
      <c r="BS213" s="66">
        <f>IF(N(W213)&gt;0,W213,0)</f>
        <v/>
      </c>
      <c r="BT213" s="58">
        <f>IF(ISNUMBER(Z213),1,0)</f>
        <v/>
      </c>
      <c r="BU213" s="55">
        <f>N(Z213)</f>
        <v/>
      </c>
      <c r="BV213" s="55">
        <f>N(L213)+N(M213)</f>
        <v/>
      </c>
      <c r="BW213" s="55">
        <f>ROUNDUP(G213/BN213,0)</f>
        <v/>
      </c>
      <c r="BX213" s="55">
        <f>ROUNDUP(BU213/BN213,0)</f>
        <v/>
      </c>
      <c r="BY213" s="58">
        <f>IF(BO213=1,0,IFERROR(VLOOKUP(BM213,'Gebinde-Kategorie'!$A$5:$G$45,5,0)+0,0))</f>
        <v/>
      </c>
      <c r="BZ213" s="58">
        <f>IFERROR(IF(OR(BQ213=1,BQ213=2,BQ213=3),N(INDEX(Parameter!$I$5:$I$7,BQ213)),0),0)</f>
        <v/>
      </c>
    </row>
    <row r="214">
      <c r="A214" s="53" t="inlineStr">
        <is>
          <t>111961</t>
        </is>
      </c>
      <c r="B214" s="53" t="inlineStr">
        <is>
          <t>Einschraubverschraubung</t>
        </is>
      </c>
      <c r="C214" s="53" t="inlineStr">
        <is>
          <t>F</t>
        </is>
      </c>
      <c r="D214" s="53" t="inlineStr">
        <is>
          <t>KTL</t>
        </is>
      </c>
      <c r="E214" s="53" t="inlineStr">
        <is>
          <t>C</t>
        </is>
      </c>
      <c r="F214" s="54" t="n">
        <v>14.2</v>
      </c>
      <c r="G214" s="55">
        <f>MAX(0,IF(Parameter!$B$20="Jahresanfang 2025 + Export",BG214+BF214,BF214))</f>
        <v/>
      </c>
      <c r="H214" s="55">
        <f>G214*F214</f>
        <v/>
      </c>
      <c r="I214" s="55">
        <f>BI214*Parameter!$B$18</f>
        <v/>
      </c>
      <c r="J214" s="56" t="n">
        <v>0</v>
      </c>
      <c r="K214" s="57" t="n">
        <v>0</v>
      </c>
      <c r="L214" s="55" t="n">
        <v>0</v>
      </c>
      <c r="M214" s="55" t="n">
        <v>1</v>
      </c>
      <c r="N214" s="58" t="n">
        <v>9999</v>
      </c>
      <c r="O214" s="53" t="inlineStr">
        <is>
          <t>LOSE</t>
        </is>
      </c>
      <c r="P214" s="55" t="n"/>
      <c r="Q214" s="59">
        <f>IF(BO214=1,0,IFERROR(VLOOKUP(BM214,'Gebinde-Kategorie'!$A$5:$G$45,6,0)+0,0))</f>
        <v/>
      </c>
      <c r="R214" s="60" t="n"/>
      <c r="S214" s="61" t="n"/>
      <c r="T214" s="61" t="n"/>
      <c r="U214" s="53">
        <f>IF(A214="","",IF(IFERROR(VLOOKUP(D214,Parameter!$A$35:$C$64,2,0),"Nein")="2+3",IF(ISNUMBER(SEARCH("grosser Artikel",BJ214)),2,IFERROR(VLOOKUP(BM214,Parameter!$F$35:$G$64,2,0),2)),IF(OR(IFERROR(VLOOKUP(D214,Parameter!$A$35:$C$64,2,0),"Nein")="Nein",IFERROR(VLOOKUP(D214,Parameter!$A$35:$C$64,2,0),"Nein")=""),"-",VLOOKUP(D214,Parameter!$A$35:$C$64,2,0))))</f>
        <v/>
      </c>
      <c r="V214" s="61" t="n"/>
      <c r="W214" s="62" t="n"/>
      <c r="X214" s="55">
        <f>AM214</f>
        <v/>
      </c>
      <c r="Y214" s="55">
        <f>MAX(AM214,G214)</f>
        <v/>
      </c>
      <c r="Z214" s="63" t="n"/>
      <c r="AA214" s="55">
        <f>IF(LEFT(Cockpit!$C$5,1)="A",G214,IF(BT214=1,BU214,IF(LEFT(Cockpit!$C$5,1)="B",AE214,MAX(AE214,G214))))</f>
        <v/>
      </c>
      <c r="AB214" s="55">
        <f>IF(BO214=1,0,ROUNDUP(AA214/BN214,0))</f>
        <v/>
      </c>
      <c r="AC214" s="64">
        <f>IF(BO214=1,IF(AA214&lt;=0,0,BP214*MAX(1,IF(G214&gt;0,AA214/G214,1))),AB214*Q214)</f>
        <v/>
      </c>
      <c r="AD214" s="55">
        <f>AA214*F214</f>
        <v/>
      </c>
      <c r="AE214" s="55">
        <f>ROUNDUP(MAX(I214/IF(BS214&gt;0,BS214,MAX(0.1,N(Cockpit!$C$6))),BV214)/BN214,0)*BN214</f>
        <v/>
      </c>
      <c r="AF214" s="56">
        <f>IF(AC214&gt;0,I214/AC214,-1)</f>
        <v/>
      </c>
      <c r="AG214" s="56">
        <f>IF(AND(OR(BR214="L1",BR214="L23"),AC214&gt;0),SUMIFS($AC$7:$AC$1570,$BR$7:$BR$1570,BR214,$AF$7:$AF$1570,"&gt;"&amp;AF214)+SUMIFS($AC$7:$AC$1570,$BR$7:$BR$1570,BR214,$AF$7:$AF$1570,AF214,$BL$7:$BL$1570,"&lt;="&amp;BL214),"")</f>
        <v/>
      </c>
      <c r="AH214" s="65">
        <f>IF(AG214="",0,MAX(0,MIN(1,(IF(BR214="L1",Parameter!$K$5,Parameter!$K$6+Parameter!$K$7)-(AG214-AC214))/AC214)))</f>
        <v/>
      </c>
      <c r="AI214" s="55">
        <f>IF(LEFT(Cockpit!$I$5,1)="A",G214,IF(BT214=1,BU214,IF(LEFT(Cockpit!$I$5,1)="B",AM214,MAX(AM214,G214))))</f>
        <v/>
      </c>
      <c r="AJ214" s="55">
        <f>IF(BO214=1,0,ROUNDUP(AI214/BN214,0))</f>
        <v/>
      </c>
      <c r="AK214" s="64">
        <f>IF(BO214=1,IF(AI214&lt;=0,0,BP214*MAX(1,IF(G214&gt;0,AI214/G214,1))),AJ214*Q214)</f>
        <v/>
      </c>
      <c r="AL214" s="55">
        <f>AI214*F214</f>
        <v/>
      </c>
      <c r="AM214" s="55">
        <f>ROUNDUP(MAX(I214/IF(BS214&gt;0,BS214,MAX(0.1,N(Cockpit!$I$6))),BV214)/BN214,0)*BN214</f>
        <v/>
      </c>
      <c r="AN214" s="56">
        <f>IF(AK214&gt;0,I214/AK214,-1)</f>
        <v/>
      </c>
      <c r="AO214" s="56">
        <f>IF(AND(OR(BR214="L1",BR214="L23"),AK214&gt;0),SUMIFS($AK$7:$AK$1570,$BR$7:$BR$1570,BR214,$AN$7:$AN$1570,"&gt;"&amp;AN214)+SUMIFS($AK$7:$AK$1570,$BR$7:$BR$1570,BR214,$AN$7:$AN$1570,AN214,$BL$7:$BL$1570,"&lt;="&amp;BL214),"")</f>
        <v/>
      </c>
      <c r="AP214" s="65">
        <f>IF(AO214="",0,MAX(0,MIN(1,(IF(BR214="L1",Parameter!$K$5,Parameter!$K$6+Parameter!$K$7)-(AO214-AK214))/AK214)))</f>
        <v/>
      </c>
      <c r="AQ214" s="55">
        <f>IF(LEFT(Cockpit!$O$5,1)="A",G214,IF(BT214=1,BU214,IF(LEFT(Cockpit!$O$5,1)="B",AU214,MAX(AU214,G214))))</f>
        <v/>
      </c>
      <c r="AR214" s="55">
        <f>IF(BO214=1,0,ROUNDUP(AQ214/BN214,0))</f>
        <v/>
      </c>
      <c r="AS214" s="64">
        <f>IF(BO214=1,IF(AQ214&lt;=0,0,BP214*MAX(1,IF(G214&gt;0,AQ214/G214,1))),AR214*Q214)</f>
        <v/>
      </c>
      <c r="AT214" s="55">
        <f>AQ214*F214</f>
        <v/>
      </c>
      <c r="AU214" s="55">
        <f>ROUNDUP(MAX(I214/IF(BS214&gt;0,BS214,MAX(0.1,N(Cockpit!$O$6))),BV214)/BN214,0)*BN214</f>
        <v/>
      </c>
      <c r="AV214" s="56">
        <f>IF(AS214&gt;0,I214/AS214,-1)</f>
        <v/>
      </c>
      <c r="AW214" s="56">
        <f>IF(AND(OR(BR214="L1",BR214="L23"),AS214&gt;0),SUMIFS($AS$7:$AS$1570,$BR$7:$BR$1570,BR214,$AV$7:$AV$1570,"&gt;"&amp;AV214)+SUMIFS($AS$7:$AS$1570,$BR$7:$BR$1570,BR214,$AV$7:$AV$1570,AV214,$BL$7:$BL$1570,"&lt;="&amp;BL214),"")</f>
        <v/>
      </c>
      <c r="AX214" s="65">
        <f>IF(AW214="",0,MAX(0,MIN(1,(IF(BR214="L1",Parameter!$K$5,Parameter!$K$6+Parameter!$K$7)-(AW214-AS214))/AS214)))</f>
        <v/>
      </c>
      <c r="AY214" s="53">
        <f>IF(AC214&lt;=0,"",IF(BR214="Aussen","Aussenlager",IF(BR214="-","Nicht im Lift",IF(AH214&gt;=1,"Lift",IF(AH214&lt;=0,"Aussenlager","teilweise")))))</f>
        <v/>
      </c>
      <c r="AZ214" s="53">
        <f>IF(AK214&lt;=0,"",IF(BR214="Aussen","Aussenlager",IF(BR214="-","Nicht im Lift",IF(AP214&gt;=1,"Lift",IF(AP214&lt;=0,"Aussenlager","teilweise")))))</f>
        <v/>
      </c>
      <c r="BA214" s="53">
        <f>IF(AS214&lt;=0,"",IF(BR214="Aussen","Aussenlager",IF(BR214="-","Nicht im Lift",IF(AX214&gt;=1,"Lift",IF(AX214&lt;=0,"Aussenlager","teilweise")))))</f>
        <v/>
      </c>
      <c r="BB214" s="53">
        <f>IF(A214="","",IF(BK214=1,"Neu; ","")&amp;IF(AND(BK214=0,BF214&lt;0),"negativer Bestand (Export "&amp;BF214&amp;"); ","")&amp;IF(I214&lt;=0,"Kein Verbrauch; ","")&amp;IF(BO214=1,"Lose – Fläche geschätzt; ","")&amp;IF(G214&gt;AM214,"Überbestand "&amp;ROUND(G214-AM214,0)&amp;" Stk / CHF "&amp;ROUND((G214-AM214)*F214,0)&amp;"; ","")&amp;IF(AND(BT214=1,BU214&lt;BV214),"MAX &lt; MB+LG; ","")&amp;IF(AND(BZ214&gt;0,BY214*10&gt;BZ214),"zu hoch für Tablar; ","")&amp;IF(AND(BK214=0,OR(BT214=1,V214&lt;&gt;"",S214&lt;&gt;"",T214&lt;&gt;"",W214&lt;&gt;"")),"manuell übersteuert; ","")&amp;IF(AND(BO214=0,Q214=0),"Gebinde unbekannt; ","")&amp;IF(AND(BO214=0,N(T214)&lt;=0,N(P214)&lt;=0),"Menge pro Gebinde fehlt (Ist = 1 Gebinde); ","")&amp;BJ214)</f>
        <v/>
      </c>
      <c r="BC214" s="53" t="n"/>
      <c r="BD214" s="53" t="n"/>
      <c r="BE214" s="61" t="n"/>
      <c r="BF214" s="55" t="n">
        <v>50</v>
      </c>
      <c r="BG214" s="55" t="n">
        <v>0</v>
      </c>
      <c r="BH214" s="54" t="n">
        <v>710</v>
      </c>
      <c r="BI214" s="55" t="n">
        <v>0</v>
      </c>
      <c r="BJ214" s="53" t="inlineStr"/>
      <c r="BK214" s="58" t="n">
        <v>0</v>
      </c>
      <c r="BL214" s="58" t="n">
        <v>214</v>
      </c>
      <c r="BM214" s="53">
        <f>IF(S214&lt;&gt;"",UPPER(TRIM(S214)),IF(O214="","LOSE",O214))</f>
        <v/>
      </c>
      <c r="BN214" s="55">
        <f>IF(BM214="LOSE",1,IF(N(T214)&gt;0,T214,IF(N(P214)&gt;0,P214,MAX(1,G214))))</f>
        <v/>
      </c>
      <c r="BO214" s="58">
        <f>IF(BM214="LOSE",1,0)</f>
        <v/>
      </c>
      <c r="BP214" s="64">
        <f>IF(BO214=0,0,IF(N(R214)&gt;0,R214,IFERROR(VLOOKUP(D214,Parameter!$A$35:$C$64,3,0)+0,0)))</f>
        <v/>
      </c>
      <c r="BQ214" s="53">
        <f>IF(V214&lt;&gt;"",V214,U214)</f>
        <v/>
      </c>
      <c r="BR214" s="53">
        <f>IF(BQ214=1,"L1",IF(OR(BQ214=2,BQ214=3),"L23",IF(BQ214="Aussen","Aussen","-")))</f>
        <v/>
      </c>
      <c r="BS214" s="66">
        <f>IF(N(W214)&gt;0,W214,0)</f>
        <v/>
      </c>
      <c r="BT214" s="58">
        <f>IF(ISNUMBER(Z214),1,0)</f>
        <v/>
      </c>
      <c r="BU214" s="55">
        <f>N(Z214)</f>
        <v/>
      </c>
      <c r="BV214" s="55">
        <f>N(L214)+N(M214)</f>
        <v/>
      </c>
      <c r="BW214" s="55">
        <f>ROUNDUP(G214/BN214,0)</f>
        <v/>
      </c>
      <c r="BX214" s="55">
        <f>ROUNDUP(BU214/BN214,0)</f>
        <v/>
      </c>
      <c r="BY214" s="58">
        <f>IF(BO214=1,0,IFERROR(VLOOKUP(BM214,'Gebinde-Kategorie'!$A$5:$G$45,5,0)+0,0))</f>
        <v/>
      </c>
      <c r="BZ214" s="58">
        <f>IFERROR(IF(OR(BQ214=1,BQ214=2,BQ214=3),N(INDEX(Parameter!$I$5:$I$7,BQ214)),0),0)</f>
        <v/>
      </c>
    </row>
    <row r="215">
      <c r="A215" s="53" t="inlineStr">
        <is>
          <t>005323</t>
        </is>
      </c>
      <c r="B215" s="53" t="inlineStr">
        <is>
          <t>Drehmomentschlüssel</t>
        </is>
      </c>
      <c r="C215" s="53" t="inlineStr">
        <is>
          <t>F</t>
        </is>
      </c>
      <c r="D215" s="53" t="inlineStr">
        <is>
          <t>KTL</t>
        </is>
      </c>
      <c r="E215" s="53" t="inlineStr">
        <is>
          <t>C</t>
        </is>
      </c>
      <c r="F215" s="54" t="n">
        <v>223.2</v>
      </c>
      <c r="G215" s="55">
        <f>MAX(0,IF(Parameter!$B$20="Jahresanfang 2025 + Export",BG215+BF215,BF215))</f>
        <v/>
      </c>
      <c r="H215" s="55">
        <f>G215*F215</f>
        <v/>
      </c>
      <c r="I215" s="55">
        <f>BI215*Parameter!$B$18</f>
        <v/>
      </c>
      <c r="J215" s="56" t="n">
        <v>6.5</v>
      </c>
      <c r="K215" s="57" t="n">
        <v>3.384615384615385</v>
      </c>
      <c r="L215" s="55" t="n">
        <v>1</v>
      </c>
      <c r="M215" s="55" t="n">
        <v>5</v>
      </c>
      <c r="N215" s="58" t="n">
        <v>21</v>
      </c>
      <c r="O215" s="53" t="inlineStr">
        <is>
          <t>S62</t>
        </is>
      </c>
      <c r="P215" s="55" t="n">
        <v>18</v>
      </c>
      <c r="Q215" s="59">
        <f>IF(BO215=1,0,IFERROR(VLOOKUP(BM215,'Gebinde-Kategorie'!$A$5:$G$45,6,0)+0,0))</f>
        <v/>
      </c>
      <c r="R215" s="60" t="n"/>
      <c r="S215" s="61" t="n"/>
      <c r="T215" s="61" t="n"/>
      <c r="U215" s="53">
        <f>IF(A215="","",IF(IFERROR(VLOOKUP(D215,Parameter!$A$35:$C$64,2,0),"Nein")="2+3",IF(ISNUMBER(SEARCH("grosser Artikel",BJ215)),2,IFERROR(VLOOKUP(BM215,Parameter!$F$35:$G$64,2,0),2)),IF(OR(IFERROR(VLOOKUP(D215,Parameter!$A$35:$C$64,2,0),"Nein")="Nein",IFERROR(VLOOKUP(D215,Parameter!$A$35:$C$64,2,0),"Nein")=""),"-",VLOOKUP(D215,Parameter!$A$35:$C$64,2,0))))</f>
        <v/>
      </c>
      <c r="V215" s="61" t="n"/>
      <c r="W215" s="62" t="n"/>
      <c r="X215" s="55">
        <f>AM215</f>
        <v/>
      </c>
      <c r="Y215" s="55">
        <f>MAX(AM215,G215)</f>
        <v/>
      </c>
      <c r="Z215" s="63" t="n"/>
      <c r="AA215" s="55">
        <f>IF(LEFT(Cockpit!$C$5,1)="A",G215,IF(BT215=1,BU215,IF(LEFT(Cockpit!$C$5,1)="B",AE215,MAX(AE215,G215))))</f>
        <v/>
      </c>
      <c r="AB215" s="55">
        <f>IF(BO215=1,0,ROUNDUP(AA215/BN215,0))</f>
        <v/>
      </c>
      <c r="AC215" s="64">
        <f>IF(BO215=1,IF(AA215&lt;=0,0,BP215*MAX(1,IF(G215&gt;0,AA215/G215,1))),AB215*Q215)</f>
        <v/>
      </c>
      <c r="AD215" s="55">
        <f>AA215*F215</f>
        <v/>
      </c>
      <c r="AE215" s="55">
        <f>ROUNDUP(MAX(I215/IF(BS215&gt;0,BS215,MAX(0.1,N(Cockpit!$C$6))),BV215)/BN215,0)*BN215</f>
        <v/>
      </c>
      <c r="AF215" s="56">
        <f>IF(AC215&gt;0,I215/AC215,-1)</f>
        <v/>
      </c>
      <c r="AG215" s="56">
        <f>IF(AND(OR(BR215="L1",BR215="L23"),AC215&gt;0),SUMIFS($AC$7:$AC$1570,$BR$7:$BR$1570,BR215,$AF$7:$AF$1570,"&gt;"&amp;AF215)+SUMIFS($AC$7:$AC$1570,$BR$7:$BR$1570,BR215,$AF$7:$AF$1570,AF215,$BL$7:$BL$1570,"&lt;="&amp;BL215),"")</f>
        <v/>
      </c>
      <c r="AH215" s="65">
        <f>IF(AG215="",0,MAX(0,MIN(1,(IF(BR215="L1",Parameter!$K$5,Parameter!$K$6+Parameter!$K$7)-(AG215-AC215))/AC215)))</f>
        <v/>
      </c>
      <c r="AI215" s="55">
        <f>IF(LEFT(Cockpit!$I$5,1)="A",G215,IF(BT215=1,BU215,IF(LEFT(Cockpit!$I$5,1)="B",AM215,MAX(AM215,G215))))</f>
        <v/>
      </c>
      <c r="AJ215" s="55">
        <f>IF(BO215=1,0,ROUNDUP(AI215/BN215,0))</f>
        <v/>
      </c>
      <c r="AK215" s="64">
        <f>IF(BO215=1,IF(AI215&lt;=0,0,BP215*MAX(1,IF(G215&gt;0,AI215/G215,1))),AJ215*Q215)</f>
        <v/>
      </c>
      <c r="AL215" s="55">
        <f>AI215*F215</f>
        <v/>
      </c>
      <c r="AM215" s="55">
        <f>ROUNDUP(MAX(I215/IF(BS215&gt;0,BS215,MAX(0.1,N(Cockpit!$I$6))),BV215)/BN215,0)*BN215</f>
        <v/>
      </c>
      <c r="AN215" s="56">
        <f>IF(AK215&gt;0,I215/AK215,-1)</f>
        <v/>
      </c>
      <c r="AO215" s="56">
        <f>IF(AND(OR(BR215="L1",BR215="L23"),AK215&gt;0),SUMIFS($AK$7:$AK$1570,$BR$7:$BR$1570,BR215,$AN$7:$AN$1570,"&gt;"&amp;AN215)+SUMIFS($AK$7:$AK$1570,$BR$7:$BR$1570,BR215,$AN$7:$AN$1570,AN215,$BL$7:$BL$1570,"&lt;="&amp;BL215),"")</f>
        <v/>
      </c>
      <c r="AP215" s="65">
        <f>IF(AO215="",0,MAX(0,MIN(1,(IF(BR215="L1",Parameter!$K$5,Parameter!$K$6+Parameter!$K$7)-(AO215-AK215))/AK215)))</f>
        <v/>
      </c>
      <c r="AQ215" s="55">
        <f>IF(LEFT(Cockpit!$O$5,1)="A",G215,IF(BT215=1,BU215,IF(LEFT(Cockpit!$O$5,1)="B",AU215,MAX(AU215,G215))))</f>
        <v/>
      </c>
      <c r="AR215" s="55">
        <f>IF(BO215=1,0,ROUNDUP(AQ215/BN215,0))</f>
        <v/>
      </c>
      <c r="AS215" s="64">
        <f>IF(BO215=1,IF(AQ215&lt;=0,0,BP215*MAX(1,IF(G215&gt;0,AQ215/G215,1))),AR215*Q215)</f>
        <v/>
      </c>
      <c r="AT215" s="55">
        <f>AQ215*F215</f>
        <v/>
      </c>
      <c r="AU215" s="55">
        <f>ROUNDUP(MAX(I215/IF(BS215&gt;0,BS215,MAX(0.1,N(Cockpit!$O$6))),BV215)/BN215,0)*BN215</f>
        <v/>
      </c>
      <c r="AV215" s="56">
        <f>IF(AS215&gt;0,I215/AS215,-1)</f>
        <v/>
      </c>
      <c r="AW215" s="56">
        <f>IF(AND(OR(BR215="L1",BR215="L23"),AS215&gt;0),SUMIFS($AS$7:$AS$1570,$BR$7:$BR$1570,BR215,$AV$7:$AV$1570,"&gt;"&amp;AV215)+SUMIFS($AS$7:$AS$1570,$BR$7:$BR$1570,BR215,$AV$7:$AV$1570,AV215,$BL$7:$BL$1570,"&lt;="&amp;BL215),"")</f>
        <v/>
      </c>
      <c r="AX215" s="65">
        <f>IF(AW215="",0,MAX(0,MIN(1,(IF(BR215="L1",Parameter!$K$5,Parameter!$K$6+Parameter!$K$7)-(AW215-AS215))/AS215)))</f>
        <v/>
      </c>
      <c r="AY215" s="53">
        <f>IF(AC215&lt;=0,"",IF(BR215="Aussen","Aussenlager",IF(BR215="-","Nicht im Lift",IF(AH215&gt;=1,"Lift",IF(AH215&lt;=0,"Aussenlager","teilweise")))))</f>
        <v/>
      </c>
      <c r="AZ215" s="53">
        <f>IF(AK215&lt;=0,"",IF(BR215="Aussen","Aussenlager",IF(BR215="-","Nicht im Lift",IF(AP215&gt;=1,"Lift",IF(AP215&lt;=0,"Aussenlager","teilweise")))))</f>
        <v/>
      </c>
      <c r="BA215" s="53">
        <f>IF(AS215&lt;=0,"",IF(BR215="Aussen","Aussenlager",IF(BR215="-","Nicht im Lift",IF(AX215&gt;=1,"Lift",IF(AX215&lt;=0,"Aussenlager","teilweise")))))</f>
        <v/>
      </c>
      <c r="BB215" s="53">
        <f>IF(A215="","",IF(BK215=1,"Neu; ","")&amp;IF(AND(BK215=0,BF215&lt;0),"negativer Bestand (Export "&amp;BF215&amp;"); ","")&amp;IF(I215&lt;=0,"Kein Verbrauch; ","")&amp;IF(BO215=1,"Lose – Fläche geschätzt; ","")&amp;IF(G215&gt;AM215,"Überbestand "&amp;ROUND(G215-AM215,0)&amp;" Stk / CHF "&amp;ROUND((G215-AM215)*F215,0)&amp;"; ","")&amp;IF(AND(BT215=1,BU215&lt;BV215),"MAX &lt; MB+LG; ","")&amp;IF(AND(BZ215&gt;0,BY215*10&gt;BZ215),"zu hoch für Tablar; ","")&amp;IF(AND(BK215=0,OR(BT215=1,V215&lt;&gt;"",S215&lt;&gt;"",T215&lt;&gt;"",W215&lt;&gt;"")),"manuell übersteuert; ","")&amp;IF(AND(BO215=0,Q215=0),"Gebinde unbekannt; ","")&amp;IF(AND(BO215=0,N(T215)&lt;=0,N(P215)&lt;=0),"Menge pro Gebinde fehlt (Ist = 1 Gebinde); ","")&amp;BJ215)</f>
        <v/>
      </c>
      <c r="BC215" s="53" t="n"/>
      <c r="BD215" s="53" t="n"/>
      <c r="BE215" s="61" t="n"/>
      <c r="BF215" s="55" t="n">
        <v>3</v>
      </c>
      <c r="BG215" s="55" t="n">
        <v>7</v>
      </c>
      <c r="BH215" s="54" t="n">
        <v>705.6000000000006</v>
      </c>
      <c r="BI215" s="55" t="n">
        <v>22</v>
      </c>
      <c r="BJ215" s="53" t="inlineStr"/>
      <c r="BK215" s="58" t="n">
        <v>0</v>
      </c>
      <c r="BL215" s="58" t="n">
        <v>215</v>
      </c>
      <c r="BM215" s="53">
        <f>IF(S215&lt;&gt;"",UPPER(TRIM(S215)),IF(O215="","LOSE",O215))</f>
        <v/>
      </c>
      <c r="BN215" s="55">
        <f>IF(BM215="LOSE",1,IF(N(T215)&gt;0,T215,IF(N(P215)&gt;0,P215,MAX(1,G215))))</f>
        <v/>
      </c>
      <c r="BO215" s="58">
        <f>IF(BM215="LOSE",1,0)</f>
        <v/>
      </c>
      <c r="BP215" s="64">
        <f>IF(BO215=0,0,IF(N(R215)&gt;0,R215,IFERROR(VLOOKUP(D215,Parameter!$A$35:$C$64,3,0)+0,0)))</f>
        <v/>
      </c>
      <c r="BQ215" s="53">
        <f>IF(V215&lt;&gt;"",V215,U215)</f>
        <v/>
      </c>
      <c r="BR215" s="53">
        <f>IF(BQ215=1,"L1",IF(OR(BQ215=2,BQ215=3),"L23",IF(BQ215="Aussen","Aussen","-")))</f>
        <v/>
      </c>
      <c r="BS215" s="66">
        <f>IF(N(W215)&gt;0,W215,0)</f>
        <v/>
      </c>
      <c r="BT215" s="58">
        <f>IF(ISNUMBER(Z215),1,0)</f>
        <v/>
      </c>
      <c r="BU215" s="55">
        <f>N(Z215)</f>
        <v/>
      </c>
      <c r="BV215" s="55">
        <f>N(L215)+N(M215)</f>
        <v/>
      </c>
      <c r="BW215" s="55">
        <f>ROUNDUP(G215/BN215,0)</f>
        <v/>
      </c>
      <c r="BX215" s="55">
        <f>ROUNDUP(BU215/BN215,0)</f>
        <v/>
      </c>
      <c r="BY215" s="58">
        <f>IF(BO215=1,0,IFERROR(VLOOKUP(BM215,'Gebinde-Kategorie'!$A$5:$G$45,5,0)+0,0))</f>
        <v/>
      </c>
      <c r="BZ215" s="58">
        <f>IFERROR(IF(OR(BQ215=1,BQ215=2,BQ215=3),N(INDEX(Parameter!$I$5:$I$7,BQ215)),0),0)</f>
        <v/>
      </c>
    </row>
    <row r="216">
      <c r="A216" s="53" t="inlineStr">
        <is>
          <t>108125</t>
        </is>
      </c>
      <c r="B216" s="53" t="inlineStr">
        <is>
          <t>Adapter Stahl verzinkt</t>
        </is>
      </c>
      <c r="C216" s="53" t="inlineStr">
        <is>
          <t>F</t>
        </is>
      </c>
      <c r="D216" s="53" t="inlineStr">
        <is>
          <t>KTL</t>
        </is>
      </c>
      <c r="E216" s="53" t="inlineStr">
        <is>
          <t>C</t>
        </is>
      </c>
      <c r="F216" s="54" t="n">
        <v>29.19</v>
      </c>
      <c r="G216" s="55">
        <f>MAX(0,IF(Parameter!$B$20="Jahresanfang 2025 + Export",BG216+BF216,BF216))</f>
        <v/>
      </c>
      <c r="H216" s="55">
        <f>G216*F216</f>
        <v/>
      </c>
      <c r="I216" s="55">
        <f>BI216*Parameter!$B$18</f>
        <v/>
      </c>
      <c r="J216" s="56" t="n">
        <v>27</v>
      </c>
      <c r="K216" s="57" t="n">
        <v>0</v>
      </c>
      <c r="L216" s="55" t="n">
        <v>0</v>
      </c>
      <c r="M216" s="55" t="n">
        <v>1</v>
      </c>
      <c r="N216" s="58" t="n">
        <v>21</v>
      </c>
      <c r="O216" s="53" t="inlineStr">
        <is>
          <t>S52</t>
        </is>
      </c>
      <c r="P216" s="55" t="n">
        <v>24</v>
      </c>
      <c r="Q216" s="59">
        <f>IF(BO216=1,0,IFERROR(VLOOKUP(BM216,'Gebinde-Kategorie'!$A$5:$G$45,6,0)+0,0))</f>
        <v/>
      </c>
      <c r="R216" s="60" t="n"/>
      <c r="S216" s="61" t="n"/>
      <c r="T216" s="61" t="n"/>
      <c r="U216" s="53">
        <f>IF(A216="","",IF(IFERROR(VLOOKUP(D216,Parameter!$A$35:$C$64,2,0),"Nein")="2+3",IF(ISNUMBER(SEARCH("grosser Artikel",BJ216)),2,IFERROR(VLOOKUP(BM216,Parameter!$F$35:$G$64,2,0),2)),IF(OR(IFERROR(VLOOKUP(D216,Parameter!$A$35:$C$64,2,0),"Nein")="Nein",IFERROR(VLOOKUP(D216,Parameter!$A$35:$C$64,2,0),"Nein")=""),"-",VLOOKUP(D216,Parameter!$A$35:$C$64,2,0))))</f>
        <v/>
      </c>
      <c r="V216" s="61" t="n"/>
      <c r="W216" s="62" t="n"/>
      <c r="X216" s="55">
        <f>AM216</f>
        <v/>
      </c>
      <c r="Y216" s="55">
        <f>MAX(AM216,G216)</f>
        <v/>
      </c>
      <c r="Z216" s="63" t="n"/>
      <c r="AA216" s="55">
        <f>IF(LEFT(Cockpit!$C$5,1)="A",G216,IF(BT216=1,BU216,IF(LEFT(Cockpit!$C$5,1)="B",AE216,MAX(AE216,G216))))</f>
        <v/>
      </c>
      <c r="AB216" s="55">
        <f>IF(BO216=1,0,ROUNDUP(AA216/BN216,0))</f>
        <v/>
      </c>
      <c r="AC216" s="64">
        <f>IF(BO216=1,IF(AA216&lt;=0,0,BP216*MAX(1,IF(G216&gt;0,AA216/G216,1))),AB216*Q216)</f>
        <v/>
      </c>
      <c r="AD216" s="55">
        <f>AA216*F216</f>
        <v/>
      </c>
      <c r="AE216" s="55">
        <f>ROUNDUP(MAX(I216/IF(BS216&gt;0,BS216,MAX(0.1,N(Cockpit!$C$6))),BV216)/BN216,0)*BN216</f>
        <v/>
      </c>
      <c r="AF216" s="56">
        <f>IF(AC216&gt;0,I216/AC216,-1)</f>
        <v/>
      </c>
      <c r="AG216" s="56">
        <f>IF(AND(OR(BR216="L1",BR216="L23"),AC216&gt;0),SUMIFS($AC$7:$AC$1570,$BR$7:$BR$1570,BR216,$AF$7:$AF$1570,"&gt;"&amp;AF216)+SUMIFS($AC$7:$AC$1570,$BR$7:$BR$1570,BR216,$AF$7:$AF$1570,AF216,$BL$7:$BL$1570,"&lt;="&amp;BL216),"")</f>
        <v/>
      </c>
      <c r="AH216" s="65">
        <f>IF(AG216="",0,MAX(0,MIN(1,(IF(BR216="L1",Parameter!$K$5,Parameter!$K$6+Parameter!$K$7)-(AG216-AC216))/AC216)))</f>
        <v/>
      </c>
      <c r="AI216" s="55">
        <f>IF(LEFT(Cockpit!$I$5,1)="A",G216,IF(BT216=1,BU216,IF(LEFT(Cockpit!$I$5,1)="B",AM216,MAX(AM216,G216))))</f>
        <v/>
      </c>
      <c r="AJ216" s="55">
        <f>IF(BO216=1,0,ROUNDUP(AI216/BN216,0))</f>
        <v/>
      </c>
      <c r="AK216" s="64">
        <f>IF(BO216=1,IF(AI216&lt;=0,0,BP216*MAX(1,IF(G216&gt;0,AI216/G216,1))),AJ216*Q216)</f>
        <v/>
      </c>
      <c r="AL216" s="55">
        <f>AI216*F216</f>
        <v/>
      </c>
      <c r="AM216" s="55">
        <f>ROUNDUP(MAX(I216/IF(BS216&gt;0,BS216,MAX(0.1,N(Cockpit!$I$6))),BV216)/BN216,0)*BN216</f>
        <v/>
      </c>
      <c r="AN216" s="56">
        <f>IF(AK216&gt;0,I216/AK216,-1)</f>
        <v/>
      </c>
      <c r="AO216" s="56">
        <f>IF(AND(OR(BR216="L1",BR216="L23"),AK216&gt;0),SUMIFS($AK$7:$AK$1570,$BR$7:$BR$1570,BR216,$AN$7:$AN$1570,"&gt;"&amp;AN216)+SUMIFS($AK$7:$AK$1570,$BR$7:$BR$1570,BR216,$AN$7:$AN$1570,AN216,$BL$7:$BL$1570,"&lt;="&amp;BL216),"")</f>
        <v/>
      </c>
      <c r="AP216" s="65">
        <f>IF(AO216="",0,MAX(0,MIN(1,(IF(BR216="L1",Parameter!$K$5,Parameter!$K$6+Parameter!$K$7)-(AO216-AK216))/AK216)))</f>
        <v/>
      </c>
      <c r="AQ216" s="55">
        <f>IF(LEFT(Cockpit!$O$5,1)="A",G216,IF(BT216=1,BU216,IF(LEFT(Cockpit!$O$5,1)="B",AU216,MAX(AU216,G216))))</f>
        <v/>
      </c>
      <c r="AR216" s="55">
        <f>IF(BO216=1,0,ROUNDUP(AQ216/BN216,0))</f>
        <v/>
      </c>
      <c r="AS216" s="64">
        <f>IF(BO216=1,IF(AQ216&lt;=0,0,BP216*MAX(1,IF(G216&gt;0,AQ216/G216,1))),AR216*Q216)</f>
        <v/>
      </c>
      <c r="AT216" s="55">
        <f>AQ216*F216</f>
        <v/>
      </c>
      <c r="AU216" s="55">
        <f>ROUNDUP(MAX(I216/IF(BS216&gt;0,BS216,MAX(0.1,N(Cockpit!$O$6))),BV216)/BN216,0)*BN216</f>
        <v/>
      </c>
      <c r="AV216" s="56">
        <f>IF(AS216&gt;0,I216/AS216,-1)</f>
        <v/>
      </c>
      <c r="AW216" s="56">
        <f>IF(AND(OR(BR216="L1",BR216="L23"),AS216&gt;0),SUMIFS($AS$7:$AS$1570,$BR$7:$BR$1570,BR216,$AV$7:$AV$1570,"&gt;"&amp;AV216)+SUMIFS($AS$7:$AS$1570,$BR$7:$BR$1570,BR216,$AV$7:$AV$1570,AV216,$BL$7:$BL$1570,"&lt;="&amp;BL216),"")</f>
        <v/>
      </c>
      <c r="AX216" s="65">
        <f>IF(AW216="",0,MAX(0,MIN(1,(IF(BR216="L1",Parameter!$K$5,Parameter!$K$6+Parameter!$K$7)-(AW216-AS216))/AS216)))</f>
        <v/>
      </c>
      <c r="AY216" s="53">
        <f>IF(AC216&lt;=0,"",IF(BR216="Aussen","Aussenlager",IF(BR216="-","Nicht im Lift",IF(AH216&gt;=1,"Lift",IF(AH216&lt;=0,"Aussenlager","teilweise")))))</f>
        <v/>
      </c>
      <c r="AZ216" s="53">
        <f>IF(AK216&lt;=0,"",IF(BR216="Aussen","Aussenlager",IF(BR216="-","Nicht im Lift",IF(AP216&gt;=1,"Lift",IF(AP216&lt;=0,"Aussenlager","teilweise")))))</f>
        <v/>
      </c>
      <c r="BA216" s="53">
        <f>IF(AS216&lt;=0,"",IF(BR216="Aussen","Aussenlager",IF(BR216="-","Nicht im Lift",IF(AX216&gt;=1,"Lift",IF(AX216&lt;=0,"Aussenlager","teilweise")))))</f>
        <v/>
      </c>
      <c r="BB216" s="53">
        <f>IF(A216="","",IF(BK216=1,"Neu; ","")&amp;IF(AND(BK216=0,BF216&lt;0),"negativer Bestand (Export "&amp;BF216&amp;"); ","")&amp;IF(I216&lt;=0,"Kein Verbrauch; ","")&amp;IF(BO216=1,"Lose – Fläche geschätzt; ","")&amp;IF(G216&gt;AM216,"Überbestand "&amp;ROUND(G216-AM216,0)&amp;" Stk / CHF "&amp;ROUND((G216-AM216)*F216,0)&amp;"; ","")&amp;IF(AND(BT216=1,BU216&lt;BV216),"MAX &lt; MB+LG; ","")&amp;IF(AND(BZ216&gt;0,BY216*10&gt;BZ216),"zu hoch für Tablar; ","")&amp;IF(AND(BK216=0,OR(BT216=1,V216&lt;&gt;"",S216&lt;&gt;"",T216&lt;&gt;"",W216&lt;&gt;"")),"manuell übersteuert; ","")&amp;IF(AND(BO216=0,Q216=0),"Gebinde unbekannt; ","")&amp;IF(AND(BO216=0,N(T216)&lt;=0,N(P216)&lt;=0),"Menge pro Gebinde fehlt (Ist = 1 Gebinde); ","")&amp;BJ216)</f>
        <v/>
      </c>
      <c r="BC216" s="53" t="n"/>
      <c r="BD216" s="53" t="n"/>
      <c r="BE216" s="61" t="n"/>
      <c r="BF216" s="55" t="n">
        <v>24</v>
      </c>
      <c r="BG216" s="55" t="n">
        <v>15</v>
      </c>
      <c r="BH216" s="54" t="n">
        <v>700.5599999999999</v>
      </c>
      <c r="BI216" s="55" t="n">
        <v>0</v>
      </c>
      <c r="BJ216" s="53" t="inlineStr">
        <is>
          <t>Neu</t>
        </is>
      </c>
      <c r="BK216" s="58" t="n">
        <v>0</v>
      </c>
      <c r="BL216" s="58" t="n">
        <v>216</v>
      </c>
      <c r="BM216" s="53">
        <f>IF(S216&lt;&gt;"",UPPER(TRIM(S216)),IF(O216="","LOSE",O216))</f>
        <v/>
      </c>
      <c r="BN216" s="55">
        <f>IF(BM216="LOSE",1,IF(N(T216)&gt;0,T216,IF(N(P216)&gt;0,P216,MAX(1,G216))))</f>
        <v/>
      </c>
      <c r="BO216" s="58">
        <f>IF(BM216="LOSE",1,0)</f>
        <v/>
      </c>
      <c r="BP216" s="64">
        <f>IF(BO216=0,0,IF(N(R216)&gt;0,R216,IFERROR(VLOOKUP(D216,Parameter!$A$35:$C$64,3,0)+0,0)))</f>
        <v/>
      </c>
      <c r="BQ216" s="53">
        <f>IF(V216&lt;&gt;"",V216,U216)</f>
        <v/>
      </c>
      <c r="BR216" s="53">
        <f>IF(BQ216=1,"L1",IF(OR(BQ216=2,BQ216=3),"L23",IF(BQ216="Aussen","Aussen","-")))</f>
        <v/>
      </c>
      <c r="BS216" s="66">
        <f>IF(N(W216)&gt;0,W216,0)</f>
        <v/>
      </c>
      <c r="BT216" s="58">
        <f>IF(ISNUMBER(Z216),1,0)</f>
        <v/>
      </c>
      <c r="BU216" s="55">
        <f>N(Z216)</f>
        <v/>
      </c>
      <c r="BV216" s="55">
        <f>N(L216)+N(M216)</f>
        <v/>
      </c>
      <c r="BW216" s="55">
        <f>ROUNDUP(G216/BN216,0)</f>
        <v/>
      </c>
      <c r="BX216" s="55">
        <f>ROUNDUP(BU216/BN216,0)</f>
        <v/>
      </c>
      <c r="BY216" s="58">
        <f>IF(BO216=1,0,IFERROR(VLOOKUP(BM216,'Gebinde-Kategorie'!$A$5:$G$45,5,0)+0,0))</f>
        <v/>
      </c>
      <c r="BZ216" s="58">
        <f>IFERROR(IF(OR(BQ216=1,BQ216=2,BQ216=3),N(INDEX(Parameter!$I$5:$I$7,BQ216)),0),0)</f>
        <v/>
      </c>
    </row>
    <row r="217">
      <c r="A217" s="53" t="inlineStr">
        <is>
          <t>109096</t>
        </is>
      </c>
      <c r="B217" s="53" t="inlineStr">
        <is>
          <t>Steckschlüssel-Adapter</t>
        </is>
      </c>
      <c r="C217" s="53" t="inlineStr">
        <is>
          <t>F</t>
        </is>
      </c>
      <c r="D217" s="53" t="inlineStr">
        <is>
          <t>KTL</t>
        </is>
      </c>
      <c r="E217" s="53" t="inlineStr">
        <is>
          <t>C</t>
        </is>
      </c>
      <c r="F217" s="54" t="n">
        <v>23.17</v>
      </c>
      <c r="G217" s="55">
        <f>MAX(0,IF(Parameter!$B$20="Jahresanfang 2025 + Export",BG217+BF217,BF217))</f>
        <v/>
      </c>
      <c r="H217" s="55">
        <f>G217*F217</f>
        <v/>
      </c>
      <c r="I217" s="55">
        <f>BI217*Parameter!$B$18</f>
        <v/>
      </c>
      <c r="J217" s="56" t="n">
        <v>2</v>
      </c>
      <c r="K217" s="57" t="n">
        <v>4.5</v>
      </c>
      <c r="L217" s="55" t="n">
        <v>0</v>
      </c>
      <c r="M217" s="55" t="n">
        <v>10</v>
      </c>
      <c r="N217" s="58" t="n">
        <v>19</v>
      </c>
      <c r="O217" s="53" t="inlineStr">
        <is>
          <t>S32</t>
        </is>
      </c>
      <c r="P217" s="55" t="n">
        <v>16</v>
      </c>
      <c r="Q217" s="59">
        <f>IF(BO217=1,0,IFERROR(VLOOKUP(BM217,'Gebinde-Kategorie'!$A$5:$G$45,6,0)+0,0))</f>
        <v/>
      </c>
      <c r="R217" s="60" t="n"/>
      <c r="S217" s="61" t="n"/>
      <c r="T217" s="61" t="n"/>
      <c r="U217" s="53">
        <f>IF(A217="","",IF(IFERROR(VLOOKUP(D217,Parameter!$A$35:$C$64,2,0),"Nein")="2+3",IF(ISNUMBER(SEARCH("grosser Artikel",BJ217)),2,IFERROR(VLOOKUP(BM217,Parameter!$F$35:$G$64,2,0),2)),IF(OR(IFERROR(VLOOKUP(D217,Parameter!$A$35:$C$64,2,0),"Nein")="Nein",IFERROR(VLOOKUP(D217,Parameter!$A$35:$C$64,2,0),"Nein")=""),"-",VLOOKUP(D217,Parameter!$A$35:$C$64,2,0))))</f>
        <v/>
      </c>
      <c r="V217" s="61" t="n"/>
      <c r="W217" s="62" t="n"/>
      <c r="X217" s="55">
        <f>AM217</f>
        <v/>
      </c>
      <c r="Y217" s="55">
        <f>MAX(AM217,G217)</f>
        <v/>
      </c>
      <c r="Z217" s="63" t="n"/>
      <c r="AA217" s="55">
        <f>IF(LEFT(Cockpit!$C$5,1)="A",G217,IF(BT217=1,BU217,IF(LEFT(Cockpit!$C$5,1)="B",AE217,MAX(AE217,G217))))</f>
        <v/>
      </c>
      <c r="AB217" s="55">
        <f>IF(BO217=1,0,ROUNDUP(AA217/BN217,0))</f>
        <v/>
      </c>
      <c r="AC217" s="64">
        <f>IF(BO217=1,IF(AA217&lt;=0,0,BP217*MAX(1,IF(G217&gt;0,AA217/G217,1))),AB217*Q217)</f>
        <v/>
      </c>
      <c r="AD217" s="55">
        <f>AA217*F217</f>
        <v/>
      </c>
      <c r="AE217" s="55">
        <f>ROUNDUP(MAX(I217/IF(BS217&gt;0,BS217,MAX(0.1,N(Cockpit!$C$6))),BV217)/BN217,0)*BN217</f>
        <v/>
      </c>
      <c r="AF217" s="56">
        <f>IF(AC217&gt;0,I217/AC217,-1)</f>
        <v/>
      </c>
      <c r="AG217" s="56">
        <f>IF(AND(OR(BR217="L1",BR217="L23"),AC217&gt;0),SUMIFS($AC$7:$AC$1570,$BR$7:$BR$1570,BR217,$AF$7:$AF$1570,"&gt;"&amp;AF217)+SUMIFS($AC$7:$AC$1570,$BR$7:$BR$1570,BR217,$AF$7:$AF$1570,AF217,$BL$7:$BL$1570,"&lt;="&amp;BL217),"")</f>
        <v/>
      </c>
      <c r="AH217" s="65">
        <f>IF(AG217="",0,MAX(0,MIN(1,(IF(BR217="L1",Parameter!$K$5,Parameter!$K$6+Parameter!$K$7)-(AG217-AC217))/AC217)))</f>
        <v/>
      </c>
      <c r="AI217" s="55">
        <f>IF(LEFT(Cockpit!$I$5,1)="A",G217,IF(BT217=1,BU217,IF(LEFT(Cockpit!$I$5,1)="B",AM217,MAX(AM217,G217))))</f>
        <v/>
      </c>
      <c r="AJ217" s="55">
        <f>IF(BO217=1,0,ROUNDUP(AI217/BN217,0))</f>
        <v/>
      </c>
      <c r="AK217" s="64">
        <f>IF(BO217=1,IF(AI217&lt;=0,0,BP217*MAX(1,IF(G217&gt;0,AI217/G217,1))),AJ217*Q217)</f>
        <v/>
      </c>
      <c r="AL217" s="55">
        <f>AI217*F217</f>
        <v/>
      </c>
      <c r="AM217" s="55">
        <f>ROUNDUP(MAX(I217/IF(BS217&gt;0,BS217,MAX(0.1,N(Cockpit!$I$6))),BV217)/BN217,0)*BN217</f>
        <v/>
      </c>
      <c r="AN217" s="56">
        <f>IF(AK217&gt;0,I217/AK217,-1)</f>
        <v/>
      </c>
      <c r="AO217" s="56">
        <f>IF(AND(OR(BR217="L1",BR217="L23"),AK217&gt;0),SUMIFS($AK$7:$AK$1570,$BR$7:$BR$1570,BR217,$AN$7:$AN$1570,"&gt;"&amp;AN217)+SUMIFS($AK$7:$AK$1570,$BR$7:$BR$1570,BR217,$AN$7:$AN$1570,AN217,$BL$7:$BL$1570,"&lt;="&amp;BL217),"")</f>
        <v/>
      </c>
      <c r="AP217" s="65">
        <f>IF(AO217="",0,MAX(0,MIN(1,(IF(BR217="L1",Parameter!$K$5,Parameter!$K$6+Parameter!$K$7)-(AO217-AK217))/AK217)))</f>
        <v/>
      </c>
      <c r="AQ217" s="55">
        <f>IF(LEFT(Cockpit!$O$5,1)="A",G217,IF(BT217=1,BU217,IF(LEFT(Cockpit!$O$5,1)="B",AU217,MAX(AU217,G217))))</f>
        <v/>
      </c>
      <c r="AR217" s="55">
        <f>IF(BO217=1,0,ROUNDUP(AQ217/BN217,0))</f>
        <v/>
      </c>
      <c r="AS217" s="64">
        <f>IF(BO217=1,IF(AQ217&lt;=0,0,BP217*MAX(1,IF(G217&gt;0,AQ217/G217,1))),AR217*Q217)</f>
        <v/>
      </c>
      <c r="AT217" s="55">
        <f>AQ217*F217</f>
        <v/>
      </c>
      <c r="AU217" s="55">
        <f>ROUNDUP(MAX(I217/IF(BS217&gt;0,BS217,MAX(0.1,N(Cockpit!$O$6))),BV217)/BN217,0)*BN217</f>
        <v/>
      </c>
      <c r="AV217" s="56">
        <f>IF(AS217&gt;0,I217/AS217,-1)</f>
        <v/>
      </c>
      <c r="AW217" s="56">
        <f>IF(AND(OR(BR217="L1",BR217="L23"),AS217&gt;0),SUMIFS($AS$7:$AS$1570,$BR$7:$BR$1570,BR217,$AV$7:$AV$1570,"&gt;"&amp;AV217)+SUMIFS($AS$7:$AS$1570,$BR$7:$BR$1570,BR217,$AV$7:$AV$1570,AV217,$BL$7:$BL$1570,"&lt;="&amp;BL217),"")</f>
        <v/>
      </c>
      <c r="AX217" s="65">
        <f>IF(AW217="",0,MAX(0,MIN(1,(IF(BR217="L1",Parameter!$K$5,Parameter!$K$6+Parameter!$K$7)-(AW217-AS217))/AS217)))</f>
        <v/>
      </c>
      <c r="AY217" s="53">
        <f>IF(AC217&lt;=0,"",IF(BR217="Aussen","Aussenlager",IF(BR217="-","Nicht im Lift",IF(AH217&gt;=1,"Lift",IF(AH217&lt;=0,"Aussenlager","teilweise")))))</f>
        <v/>
      </c>
      <c r="AZ217" s="53">
        <f>IF(AK217&lt;=0,"",IF(BR217="Aussen","Aussenlager",IF(BR217="-","Nicht im Lift",IF(AP217&gt;=1,"Lift",IF(AP217&lt;=0,"Aussenlager","teilweise")))))</f>
        <v/>
      </c>
      <c r="BA217" s="53">
        <f>IF(AS217&lt;=0,"",IF(BR217="Aussen","Aussenlager",IF(BR217="-","Nicht im Lift",IF(AX217&gt;=1,"Lift",IF(AX217&lt;=0,"Aussenlager","teilweise")))))</f>
        <v/>
      </c>
      <c r="BB217" s="53">
        <f>IF(A217="","",IF(BK217=1,"Neu; ","")&amp;IF(AND(BK217=0,BF217&lt;0),"negativer Bestand (Export "&amp;BF217&amp;"); ","")&amp;IF(I217&lt;=0,"Kein Verbrauch; ","")&amp;IF(BO217=1,"Lose – Fläche geschätzt; ","")&amp;IF(G217&gt;AM217,"Überbestand "&amp;ROUND(G217-AM217,0)&amp;" Stk / CHF "&amp;ROUND((G217-AM217)*F217,0)&amp;"; ","")&amp;IF(AND(BT217=1,BU217&lt;BV217),"MAX &lt; MB+LG; ","")&amp;IF(AND(BZ217&gt;0,BY217*10&gt;BZ217),"zu hoch für Tablar; ","")&amp;IF(AND(BK217=0,OR(BT217=1,V217&lt;&gt;"",S217&lt;&gt;"",T217&lt;&gt;"",W217&lt;&gt;"")),"manuell übersteuert; ","")&amp;IF(AND(BO217=0,Q217=0),"Gebinde unbekannt; ","")&amp;IF(AND(BO217=0,N(T217)&lt;=0,N(P217)&lt;=0),"Menge pro Gebinde fehlt (Ist = 1 Gebinde); ","")&amp;BJ217)</f>
        <v/>
      </c>
      <c r="BC217" s="53" t="n"/>
      <c r="BD217" s="53" t="n"/>
      <c r="BE217" s="61" t="n"/>
      <c r="BF217" s="55" t="n">
        <v>31</v>
      </c>
      <c r="BG217" s="55" t="n">
        <v>2</v>
      </c>
      <c r="BH217" s="54" t="n">
        <v>698.2099999999998</v>
      </c>
      <c r="BI217" s="55" t="n">
        <v>9</v>
      </c>
      <c r="BJ217" s="53" t="inlineStr">
        <is>
          <t>Neu</t>
        </is>
      </c>
      <c r="BK217" s="58" t="n">
        <v>0</v>
      </c>
      <c r="BL217" s="58" t="n">
        <v>217</v>
      </c>
      <c r="BM217" s="53">
        <f>IF(S217&lt;&gt;"",UPPER(TRIM(S217)),IF(O217="","LOSE",O217))</f>
        <v/>
      </c>
      <c r="BN217" s="55">
        <f>IF(BM217="LOSE",1,IF(N(T217)&gt;0,T217,IF(N(P217)&gt;0,P217,MAX(1,G217))))</f>
        <v/>
      </c>
      <c r="BO217" s="58">
        <f>IF(BM217="LOSE",1,0)</f>
        <v/>
      </c>
      <c r="BP217" s="64">
        <f>IF(BO217=0,0,IF(N(R217)&gt;0,R217,IFERROR(VLOOKUP(D217,Parameter!$A$35:$C$64,3,0)+0,0)))</f>
        <v/>
      </c>
      <c r="BQ217" s="53">
        <f>IF(V217&lt;&gt;"",V217,U217)</f>
        <v/>
      </c>
      <c r="BR217" s="53">
        <f>IF(BQ217=1,"L1",IF(OR(BQ217=2,BQ217=3),"L23",IF(BQ217="Aussen","Aussen","-")))</f>
        <v/>
      </c>
      <c r="BS217" s="66">
        <f>IF(N(W217)&gt;0,W217,0)</f>
        <v/>
      </c>
      <c r="BT217" s="58">
        <f>IF(ISNUMBER(Z217),1,0)</f>
        <v/>
      </c>
      <c r="BU217" s="55">
        <f>N(Z217)</f>
        <v/>
      </c>
      <c r="BV217" s="55">
        <f>N(L217)+N(M217)</f>
        <v/>
      </c>
      <c r="BW217" s="55">
        <f>ROUNDUP(G217/BN217,0)</f>
        <v/>
      </c>
      <c r="BX217" s="55">
        <f>ROUNDUP(BU217/BN217,0)</f>
        <v/>
      </c>
      <c r="BY217" s="58">
        <f>IF(BO217=1,0,IFERROR(VLOOKUP(BM217,'Gebinde-Kategorie'!$A$5:$G$45,5,0)+0,0))</f>
        <v/>
      </c>
      <c r="BZ217" s="58">
        <f>IFERROR(IF(OR(BQ217=1,BQ217=2,BQ217=3),N(INDEX(Parameter!$I$5:$I$7,BQ217)),0),0)</f>
        <v/>
      </c>
    </row>
    <row r="218">
      <c r="A218" s="53" t="inlineStr">
        <is>
          <t>105389</t>
        </is>
      </c>
      <c r="B218" s="53" t="inlineStr">
        <is>
          <t>Federflansch</t>
        </is>
      </c>
      <c r="C218" s="53" t="inlineStr">
        <is>
          <t>F</t>
        </is>
      </c>
      <c r="D218" s="53" t="inlineStr">
        <is>
          <t>PAL</t>
        </is>
      </c>
      <c r="E218" s="53" t="inlineStr">
        <is>
          <t>C</t>
        </is>
      </c>
      <c r="F218" s="54" t="n">
        <v>301.38</v>
      </c>
      <c r="G218" s="55">
        <f>MAX(0,IF(Parameter!$B$20="Jahresanfang 2025 + Export",BG218+BF218,BF218))</f>
        <v/>
      </c>
      <c r="H218" s="55">
        <f>G218*F218</f>
        <v/>
      </c>
      <c r="I218" s="55">
        <f>BI218*Parameter!$B$18</f>
        <v/>
      </c>
      <c r="J218" s="56" t="n">
        <v>9</v>
      </c>
      <c r="K218" s="57" t="n">
        <v>2.666666666666667</v>
      </c>
      <c r="L218" s="55" t="n">
        <v>3</v>
      </c>
      <c r="M218" s="55" t="n">
        <v>15</v>
      </c>
      <c r="N218" s="58" t="n">
        <v>35</v>
      </c>
      <c r="O218" s="53" t="inlineStr">
        <is>
          <t>S71</t>
        </is>
      </c>
      <c r="P218" s="55" t="n">
        <v>22</v>
      </c>
      <c r="Q218" s="59">
        <f>IF(BO218=1,0,IFERROR(VLOOKUP(BM218,'Gebinde-Kategorie'!$A$5:$G$45,6,0)+0,0))</f>
        <v/>
      </c>
      <c r="R218" s="60" t="n"/>
      <c r="S218" s="61" t="n"/>
      <c r="T218" s="61" t="n"/>
      <c r="U218" s="53">
        <f>IF(A218="","",IF(IFERROR(VLOOKUP(D218,Parameter!$A$35:$C$64,2,0),"Nein")="2+3",IF(ISNUMBER(SEARCH("grosser Artikel",BJ218)),2,IFERROR(VLOOKUP(BM218,Parameter!$F$35:$G$64,2,0),2)),IF(OR(IFERROR(VLOOKUP(D218,Parameter!$A$35:$C$64,2,0),"Nein")="Nein",IFERROR(VLOOKUP(D218,Parameter!$A$35:$C$64,2,0),"Nein")=""),"-",VLOOKUP(D218,Parameter!$A$35:$C$64,2,0))))</f>
        <v/>
      </c>
      <c r="V218" s="61" t="n"/>
      <c r="W218" s="62" t="n"/>
      <c r="X218" s="55">
        <f>AM218</f>
        <v/>
      </c>
      <c r="Y218" s="55">
        <f>MAX(AM218,G218)</f>
        <v/>
      </c>
      <c r="Z218" s="63" t="n"/>
      <c r="AA218" s="55">
        <f>IF(LEFT(Cockpit!$C$5,1)="A",G218,IF(BT218=1,BU218,IF(LEFT(Cockpit!$C$5,1)="B",AE218,MAX(AE218,G218))))</f>
        <v/>
      </c>
      <c r="AB218" s="55">
        <f>IF(BO218=1,0,ROUNDUP(AA218/BN218,0))</f>
        <v/>
      </c>
      <c r="AC218" s="64">
        <f>IF(BO218=1,IF(AA218&lt;=0,0,BP218*MAX(1,IF(G218&gt;0,AA218/G218,1))),AB218*Q218)</f>
        <v/>
      </c>
      <c r="AD218" s="55">
        <f>AA218*F218</f>
        <v/>
      </c>
      <c r="AE218" s="55">
        <f>ROUNDUP(MAX(I218/IF(BS218&gt;0,BS218,MAX(0.1,N(Cockpit!$C$6))),BV218)/BN218,0)*BN218</f>
        <v/>
      </c>
      <c r="AF218" s="56">
        <f>IF(AC218&gt;0,I218/AC218,-1)</f>
        <v/>
      </c>
      <c r="AG218" s="56">
        <f>IF(AND(OR(BR218="L1",BR218="L23"),AC218&gt;0),SUMIFS($AC$7:$AC$1570,$BR$7:$BR$1570,BR218,$AF$7:$AF$1570,"&gt;"&amp;AF218)+SUMIFS($AC$7:$AC$1570,$BR$7:$BR$1570,BR218,$AF$7:$AF$1570,AF218,$BL$7:$BL$1570,"&lt;="&amp;BL218),"")</f>
        <v/>
      </c>
      <c r="AH218" s="65">
        <f>IF(AG218="",0,MAX(0,MIN(1,(IF(BR218="L1",Parameter!$K$5,Parameter!$K$6+Parameter!$K$7)-(AG218-AC218))/AC218)))</f>
        <v/>
      </c>
      <c r="AI218" s="55">
        <f>IF(LEFT(Cockpit!$I$5,1)="A",G218,IF(BT218=1,BU218,IF(LEFT(Cockpit!$I$5,1)="B",AM218,MAX(AM218,G218))))</f>
        <v/>
      </c>
      <c r="AJ218" s="55">
        <f>IF(BO218=1,0,ROUNDUP(AI218/BN218,0))</f>
        <v/>
      </c>
      <c r="AK218" s="64">
        <f>IF(BO218=1,IF(AI218&lt;=0,0,BP218*MAX(1,IF(G218&gt;0,AI218/G218,1))),AJ218*Q218)</f>
        <v/>
      </c>
      <c r="AL218" s="55">
        <f>AI218*F218</f>
        <v/>
      </c>
      <c r="AM218" s="55">
        <f>ROUNDUP(MAX(I218/IF(BS218&gt;0,BS218,MAX(0.1,N(Cockpit!$I$6))),BV218)/BN218,0)*BN218</f>
        <v/>
      </c>
      <c r="AN218" s="56">
        <f>IF(AK218&gt;0,I218/AK218,-1)</f>
        <v/>
      </c>
      <c r="AO218" s="56">
        <f>IF(AND(OR(BR218="L1",BR218="L23"),AK218&gt;0),SUMIFS($AK$7:$AK$1570,$BR$7:$BR$1570,BR218,$AN$7:$AN$1570,"&gt;"&amp;AN218)+SUMIFS($AK$7:$AK$1570,$BR$7:$BR$1570,BR218,$AN$7:$AN$1570,AN218,$BL$7:$BL$1570,"&lt;="&amp;BL218),"")</f>
        <v/>
      </c>
      <c r="AP218" s="65">
        <f>IF(AO218="",0,MAX(0,MIN(1,(IF(BR218="L1",Parameter!$K$5,Parameter!$K$6+Parameter!$K$7)-(AO218-AK218))/AK218)))</f>
        <v/>
      </c>
      <c r="AQ218" s="55">
        <f>IF(LEFT(Cockpit!$O$5,1)="A",G218,IF(BT218=1,BU218,IF(LEFT(Cockpit!$O$5,1)="B",AU218,MAX(AU218,G218))))</f>
        <v/>
      </c>
      <c r="AR218" s="55">
        <f>IF(BO218=1,0,ROUNDUP(AQ218/BN218,0))</f>
        <v/>
      </c>
      <c r="AS218" s="64">
        <f>IF(BO218=1,IF(AQ218&lt;=0,0,BP218*MAX(1,IF(G218&gt;0,AQ218/G218,1))),AR218*Q218)</f>
        <v/>
      </c>
      <c r="AT218" s="55">
        <f>AQ218*F218</f>
        <v/>
      </c>
      <c r="AU218" s="55">
        <f>ROUNDUP(MAX(I218/IF(BS218&gt;0,BS218,MAX(0.1,N(Cockpit!$O$6))),BV218)/BN218,0)*BN218</f>
        <v/>
      </c>
      <c r="AV218" s="56">
        <f>IF(AS218&gt;0,I218/AS218,-1)</f>
        <v/>
      </c>
      <c r="AW218" s="56">
        <f>IF(AND(OR(BR218="L1",BR218="L23"),AS218&gt;0),SUMIFS($AS$7:$AS$1570,$BR$7:$BR$1570,BR218,$AV$7:$AV$1570,"&gt;"&amp;AV218)+SUMIFS($AS$7:$AS$1570,$BR$7:$BR$1570,BR218,$AV$7:$AV$1570,AV218,$BL$7:$BL$1570,"&lt;="&amp;BL218),"")</f>
        <v/>
      </c>
      <c r="AX218" s="65">
        <f>IF(AW218="",0,MAX(0,MIN(1,(IF(BR218="L1",Parameter!$K$5,Parameter!$K$6+Parameter!$K$7)-(AW218-AS218))/AS218)))</f>
        <v/>
      </c>
      <c r="AY218" s="53">
        <f>IF(AC218&lt;=0,"",IF(BR218="Aussen","Aussenlager",IF(BR218="-","Nicht im Lift",IF(AH218&gt;=1,"Lift",IF(AH218&lt;=0,"Aussenlager","teilweise")))))</f>
        <v/>
      </c>
      <c r="AZ218" s="53">
        <f>IF(AK218&lt;=0,"",IF(BR218="Aussen","Aussenlager",IF(BR218="-","Nicht im Lift",IF(AP218&gt;=1,"Lift",IF(AP218&lt;=0,"Aussenlager","teilweise")))))</f>
        <v/>
      </c>
      <c r="BA218" s="53">
        <f>IF(AS218&lt;=0,"",IF(BR218="Aussen","Aussenlager",IF(BR218="-","Nicht im Lift",IF(AX218&gt;=1,"Lift",IF(AX218&lt;=0,"Aussenlager","teilweise")))))</f>
        <v/>
      </c>
      <c r="BB218" s="53">
        <f>IF(A218="","",IF(BK218=1,"Neu; ","")&amp;IF(AND(BK218=0,BF218&lt;0),"negativer Bestand (Export "&amp;BF218&amp;"); ","")&amp;IF(I218&lt;=0,"Kein Verbrauch; ","")&amp;IF(BO218=1,"Lose – Fläche geschätzt; ","")&amp;IF(G218&gt;AM218,"Überbestand "&amp;ROUND(G218-AM218,0)&amp;" Stk / CHF "&amp;ROUND((G218-AM218)*F218,0)&amp;"; ","")&amp;IF(AND(BT218=1,BU218&lt;BV218),"MAX &lt; MB+LG; ","")&amp;IF(AND(BZ218&gt;0,BY218*10&gt;BZ218),"zu hoch für Tablar; ","")&amp;IF(AND(BK218=0,OR(BT218=1,V218&lt;&gt;"",S218&lt;&gt;"",T218&lt;&gt;"",W218&lt;&gt;"")),"manuell übersteuert; ","")&amp;IF(AND(BO218=0,Q218=0),"Gebinde unbekannt; ","")&amp;IF(AND(BO218=0,N(T218)&lt;=0,N(P218)&lt;=0),"Menge pro Gebinde fehlt (Ist = 1 Gebinde); ","")&amp;BJ218)</f>
        <v/>
      </c>
      <c r="BC218" s="53" t="n"/>
      <c r="BD218" s="53" t="n"/>
      <c r="BE218" s="61" t="n"/>
      <c r="BF218" s="55" t="n">
        <v>3</v>
      </c>
      <c r="BG218" s="55" t="n">
        <v>7</v>
      </c>
      <c r="BH218" s="54" t="n">
        <v>696.4500000000006</v>
      </c>
      <c r="BI218" s="55" t="n">
        <v>24</v>
      </c>
      <c r="BJ218" s="53" t="inlineStr"/>
      <c r="BK218" s="58" t="n">
        <v>0</v>
      </c>
      <c r="BL218" s="58" t="n">
        <v>218</v>
      </c>
      <c r="BM218" s="53">
        <f>IF(S218&lt;&gt;"",UPPER(TRIM(S218)),IF(O218="","LOSE",O218))</f>
        <v/>
      </c>
      <c r="BN218" s="55">
        <f>IF(BM218="LOSE",1,IF(N(T218)&gt;0,T218,IF(N(P218)&gt;0,P218,MAX(1,G218))))</f>
        <v/>
      </c>
      <c r="BO218" s="58">
        <f>IF(BM218="LOSE",1,0)</f>
        <v/>
      </c>
      <c r="BP218" s="64">
        <f>IF(BO218=0,0,IF(N(R218)&gt;0,R218,IFERROR(VLOOKUP(D218,Parameter!$A$35:$C$64,3,0)+0,0)))</f>
        <v/>
      </c>
      <c r="BQ218" s="53">
        <f>IF(V218&lt;&gt;"",V218,U218)</f>
        <v/>
      </c>
      <c r="BR218" s="53">
        <f>IF(BQ218=1,"L1",IF(OR(BQ218=2,BQ218=3),"L23",IF(BQ218="Aussen","Aussen","-")))</f>
        <v/>
      </c>
      <c r="BS218" s="66">
        <f>IF(N(W218)&gt;0,W218,0)</f>
        <v/>
      </c>
      <c r="BT218" s="58">
        <f>IF(ISNUMBER(Z218),1,0)</f>
        <v/>
      </c>
      <c r="BU218" s="55">
        <f>N(Z218)</f>
        <v/>
      </c>
      <c r="BV218" s="55">
        <f>N(L218)+N(M218)</f>
        <v/>
      </c>
      <c r="BW218" s="55">
        <f>ROUNDUP(G218/BN218,0)</f>
        <v/>
      </c>
      <c r="BX218" s="55">
        <f>ROUNDUP(BU218/BN218,0)</f>
        <v/>
      </c>
      <c r="BY218" s="58">
        <f>IF(BO218=1,0,IFERROR(VLOOKUP(BM218,'Gebinde-Kategorie'!$A$5:$G$45,5,0)+0,0))</f>
        <v/>
      </c>
      <c r="BZ218" s="58">
        <f>IFERROR(IF(OR(BQ218=1,BQ218=2,BQ218=3),N(INDEX(Parameter!$I$5:$I$7,BQ218)),0),0)</f>
        <v/>
      </c>
    </row>
    <row r="219">
      <c r="A219" s="53" t="inlineStr">
        <is>
          <t>110009</t>
        </is>
      </c>
      <c r="B219" s="53" t="inlineStr">
        <is>
          <t>Doppelnippel</t>
        </is>
      </c>
      <c r="C219" s="53" t="inlineStr">
        <is>
          <t>F</t>
        </is>
      </c>
      <c r="D219" s="53" t="inlineStr">
        <is>
          <t>KTL</t>
        </is>
      </c>
      <c r="E219" s="53" t="inlineStr">
        <is>
          <t>C</t>
        </is>
      </c>
      <c r="F219" s="54" t="n">
        <v>14</v>
      </c>
      <c r="G219" s="55">
        <f>MAX(0,IF(Parameter!$B$20="Jahresanfang 2025 + Export",BG219+BF219,BF219))</f>
        <v/>
      </c>
      <c r="H219" s="55">
        <f>G219*F219</f>
        <v/>
      </c>
      <c r="I219" s="55">
        <f>BI219*Parameter!$B$18</f>
        <v/>
      </c>
      <c r="J219" s="56" t="n">
        <v>4</v>
      </c>
      <c r="K219" s="57" t="n">
        <v>0</v>
      </c>
      <c r="L219" s="55" t="n">
        <v>0</v>
      </c>
      <c r="M219" s="55" t="n">
        <v>1</v>
      </c>
      <c r="N219" s="58" t="n">
        <v>28</v>
      </c>
      <c r="O219" s="53" t="inlineStr">
        <is>
          <t>S32</t>
        </is>
      </c>
      <c r="P219" s="55" t="n">
        <v>55</v>
      </c>
      <c r="Q219" s="59">
        <f>IF(BO219=1,0,IFERROR(VLOOKUP(BM219,'Gebinde-Kategorie'!$A$5:$G$45,6,0)+0,0))</f>
        <v/>
      </c>
      <c r="R219" s="60" t="n"/>
      <c r="S219" s="61" t="n"/>
      <c r="T219" s="61" t="n"/>
      <c r="U219" s="53">
        <f>IF(A219="","",IF(IFERROR(VLOOKUP(D219,Parameter!$A$35:$C$64,2,0),"Nein")="2+3",IF(ISNUMBER(SEARCH("grosser Artikel",BJ219)),2,IFERROR(VLOOKUP(BM219,Parameter!$F$35:$G$64,2,0),2)),IF(OR(IFERROR(VLOOKUP(D219,Parameter!$A$35:$C$64,2,0),"Nein")="Nein",IFERROR(VLOOKUP(D219,Parameter!$A$35:$C$64,2,0),"Nein")=""),"-",VLOOKUP(D219,Parameter!$A$35:$C$64,2,0))))</f>
        <v/>
      </c>
      <c r="V219" s="61" t="n"/>
      <c r="W219" s="62" t="n"/>
      <c r="X219" s="55">
        <f>AM219</f>
        <v/>
      </c>
      <c r="Y219" s="55">
        <f>MAX(AM219,G219)</f>
        <v/>
      </c>
      <c r="Z219" s="63" t="n"/>
      <c r="AA219" s="55">
        <f>IF(LEFT(Cockpit!$C$5,1)="A",G219,IF(BT219=1,BU219,IF(LEFT(Cockpit!$C$5,1)="B",AE219,MAX(AE219,G219))))</f>
        <v/>
      </c>
      <c r="AB219" s="55">
        <f>IF(BO219=1,0,ROUNDUP(AA219/BN219,0))</f>
        <v/>
      </c>
      <c r="AC219" s="64">
        <f>IF(BO219=1,IF(AA219&lt;=0,0,BP219*MAX(1,IF(G219&gt;0,AA219/G219,1))),AB219*Q219)</f>
        <v/>
      </c>
      <c r="AD219" s="55">
        <f>AA219*F219</f>
        <v/>
      </c>
      <c r="AE219" s="55">
        <f>ROUNDUP(MAX(I219/IF(BS219&gt;0,BS219,MAX(0.1,N(Cockpit!$C$6))),BV219)/BN219,0)*BN219</f>
        <v/>
      </c>
      <c r="AF219" s="56">
        <f>IF(AC219&gt;0,I219/AC219,-1)</f>
        <v/>
      </c>
      <c r="AG219" s="56">
        <f>IF(AND(OR(BR219="L1",BR219="L23"),AC219&gt;0),SUMIFS($AC$7:$AC$1570,$BR$7:$BR$1570,BR219,$AF$7:$AF$1570,"&gt;"&amp;AF219)+SUMIFS($AC$7:$AC$1570,$BR$7:$BR$1570,BR219,$AF$7:$AF$1570,AF219,$BL$7:$BL$1570,"&lt;="&amp;BL219),"")</f>
        <v/>
      </c>
      <c r="AH219" s="65">
        <f>IF(AG219="",0,MAX(0,MIN(1,(IF(BR219="L1",Parameter!$K$5,Parameter!$K$6+Parameter!$K$7)-(AG219-AC219))/AC219)))</f>
        <v/>
      </c>
      <c r="AI219" s="55">
        <f>IF(LEFT(Cockpit!$I$5,1)="A",G219,IF(BT219=1,BU219,IF(LEFT(Cockpit!$I$5,1)="B",AM219,MAX(AM219,G219))))</f>
        <v/>
      </c>
      <c r="AJ219" s="55">
        <f>IF(BO219=1,0,ROUNDUP(AI219/BN219,0))</f>
        <v/>
      </c>
      <c r="AK219" s="64">
        <f>IF(BO219=1,IF(AI219&lt;=0,0,BP219*MAX(1,IF(G219&gt;0,AI219/G219,1))),AJ219*Q219)</f>
        <v/>
      </c>
      <c r="AL219" s="55">
        <f>AI219*F219</f>
        <v/>
      </c>
      <c r="AM219" s="55">
        <f>ROUNDUP(MAX(I219/IF(BS219&gt;0,BS219,MAX(0.1,N(Cockpit!$I$6))),BV219)/BN219,0)*BN219</f>
        <v/>
      </c>
      <c r="AN219" s="56">
        <f>IF(AK219&gt;0,I219/AK219,-1)</f>
        <v/>
      </c>
      <c r="AO219" s="56">
        <f>IF(AND(OR(BR219="L1",BR219="L23"),AK219&gt;0),SUMIFS($AK$7:$AK$1570,$BR$7:$BR$1570,BR219,$AN$7:$AN$1570,"&gt;"&amp;AN219)+SUMIFS($AK$7:$AK$1570,$BR$7:$BR$1570,BR219,$AN$7:$AN$1570,AN219,$BL$7:$BL$1570,"&lt;="&amp;BL219),"")</f>
        <v/>
      </c>
      <c r="AP219" s="65">
        <f>IF(AO219="",0,MAX(0,MIN(1,(IF(BR219="L1",Parameter!$K$5,Parameter!$K$6+Parameter!$K$7)-(AO219-AK219))/AK219)))</f>
        <v/>
      </c>
      <c r="AQ219" s="55">
        <f>IF(LEFT(Cockpit!$O$5,1)="A",G219,IF(BT219=1,BU219,IF(LEFT(Cockpit!$O$5,1)="B",AU219,MAX(AU219,G219))))</f>
        <v/>
      </c>
      <c r="AR219" s="55">
        <f>IF(BO219=1,0,ROUNDUP(AQ219/BN219,0))</f>
        <v/>
      </c>
      <c r="AS219" s="64">
        <f>IF(BO219=1,IF(AQ219&lt;=0,0,BP219*MAX(1,IF(G219&gt;0,AQ219/G219,1))),AR219*Q219)</f>
        <v/>
      </c>
      <c r="AT219" s="55">
        <f>AQ219*F219</f>
        <v/>
      </c>
      <c r="AU219" s="55">
        <f>ROUNDUP(MAX(I219/IF(BS219&gt;0,BS219,MAX(0.1,N(Cockpit!$O$6))),BV219)/BN219,0)*BN219</f>
        <v/>
      </c>
      <c r="AV219" s="56">
        <f>IF(AS219&gt;0,I219/AS219,-1)</f>
        <v/>
      </c>
      <c r="AW219" s="56">
        <f>IF(AND(OR(BR219="L1",BR219="L23"),AS219&gt;0),SUMIFS($AS$7:$AS$1570,$BR$7:$BR$1570,BR219,$AV$7:$AV$1570,"&gt;"&amp;AV219)+SUMIFS($AS$7:$AS$1570,$BR$7:$BR$1570,BR219,$AV$7:$AV$1570,AV219,$BL$7:$BL$1570,"&lt;="&amp;BL219),"")</f>
        <v/>
      </c>
      <c r="AX219" s="65">
        <f>IF(AW219="",0,MAX(0,MIN(1,(IF(BR219="L1",Parameter!$K$5,Parameter!$K$6+Parameter!$K$7)-(AW219-AS219))/AS219)))</f>
        <v/>
      </c>
      <c r="AY219" s="53">
        <f>IF(AC219&lt;=0,"",IF(BR219="Aussen","Aussenlager",IF(BR219="-","Nicht im Lift",IF(AH219&gt;=1,"Lift",IF(AH219&lt;=0,"Aussenlager","teilweise")))))</f>
        <v/>
      </c>
      <c r="AZ219" s="53">
        <f>IF(AK219&lt;=0,"",IF(BR219="Aussen","Aussenlager",IF(BR219="-","Nicht im Lift",IF(AP219&gt;=1,"Lift",IF(AP219&lt;=0,"Aussenlager","teilweise")))))</f>
        <v/>
      </c>
      <c r="BA219" s="53">
        <f>IF(AS219&lt;=0,"",IF(BR219="Aussen","Aussenlager",IF(BR219="-","Nicht im Lift",IF(AX219&gt;=1,"Lift",IF(AX219&lt;=0,"Aussenlager","teilweise")))))</f>
        <v/>
      </c>
      <c r="BB219" s="53">
        <f>IF(A219="","",IF(BK219=1,"Neu; ","")&amp;IF(AND(BK219=0,BF219&lt;0),"negativer Bestand (Export "&amp;BF219&amp;"); ","")&amp;IF(I219&lt;=0,"Kein Verbrauch; ","")&amp;IF(BO219=1,"Lose – Fläche geschätzt; ","")&amp;IF(G219&gt;AM219,"Überbestand "&amp;ROUND(G219-AM219,0)&amp;" Stk / CHF "&amp;ROUND((G219-AM219)*F219,0)&amp;"; ","")&amp;IF(AND(BT219=1,BU219&lt;BV219),"MAX &lt; MB+LG; ","")&amp;IF(AND(BZ219&gt;0,BY219*10&gt;BZ219),"zu hoch für Tablar; ","")&amp;IF(AND(BK219=0,OR(BT219=1,V219&lt;&gt;"",S219&lt;&gt;"",T219&lt;&gt;"",W219&lt;&gt;"")),"manuell übersteuert; ","")&amp;IF(AND(BO219=0,Q219=0),"Gebinde unbekannt; ","")&amp;IF(AND(BO219=0,N(T219)&lt;=0,N(P219)&lt;=0),"Menge pro Gebinde fehlt (Ist = 1 Gebinde); ","")&amp;BJ219)</f>
        <v/>
      </c>
      <c r="BC219" s="53" t="n"/>
      <c r="BD219" s="53" t="n"/>
      <c r="BE219" s="61" t="n"/>
      <c r="BF219" s="55" t="n">
        <v>49</v>
      </c>
      <c r="BG219" s="55" t="n">
        <v>4</v>
      </c>
      <c r="BH219" s="54" t="n">
        <v>688.92</v>
      </c>
      <c r="BI219" s="55" t="n">
        <v>0</v>
      </c>
      <c r="BJ219" s="53" t="inlineStr"/>
      <c r="BK219" s="58" t="n">
        <v>0</v>
      </c>
      <c r="BL219" s="58" t="n">
        <v>219</v>
      </c>
      <c r="BM219" s="53">
        <f>IF(S219&lt;&gt;"",UPPER(TRIM(S219)),IF(O219="","LOSE",O219))</f>
        <v/>
      </c>
      <c r="BN219" s="55">
        <f>IF(BM219="LOSE",1,IF(N(T219)&gt;0,T219,IF(N(P219)&gt;0,P219,MAX(1,G219))))</f>
        <v/>
      </c>
      <c r="BO219" s="58">
        <f>IF(BM219="LOSE",1,0)</f>
        <v/>
      </c>
      <c r="BP219" s="64">
        <f>IF(BO219=0,0,IF(N(R219)&gt;0,R219,IFERROR(VLOOKUP(D219,Parameter!$A$35:$C$64,3,0)+0,0)))</f>
        <v/>
      </c>
      <c r="BQ219" s="53">
        <f>IF(V219&lt;&gt;"",V219,U219)</f>
        <v/>
      </c>
      <c r="BR219" s="53">
        <f>IF(BQ219=1,"L1",IF(OR(BQ219=2,BQ219=3),"L23",IF(BQ219="Aussen","Aussen","-")))</f>
        <v/>
      </c>
      <c r="BS219" s="66">
        <f>IF(N(W219)&gt;0,W219,0)</f>
        <v/>
      </c>
      <c r="BT219" s="58">
        <f>IF(ISNUMBER(Z219),1,0)</f>
        <v/>
      </c>
      <c r="BU219" s="55">
        <f>N(Z219)</f>
        <v/>
      </c>
      <c r="BV219" s="55">
        <f>N(L219)+N(M219)</f>
        <v/>
      </c>
      <c r="BW219" s="55">
        <f>ROUNDUP(G219/BN219,0)</f>
        <v/>
      </c>
      <c r="BX219" s="55">
        <f>ROUNDUP(BU219/BN219,0)</f>
        <v/>
      </c>
      <c r="BY219" s="58">
        <f>IF(BO219=1,0,IFERROR(VLOOKUP(BM219,'Gebinde-Kategorie'!$A$5:$G$45,5,0)+0,0))</f>
        <v/>
      </c>
      <c r="BZ219" s="58">
        <f>IFERROR(IF(OR(BQ219=1,BQ219=2,BQ219=3),N(INDEX(Parameter!$I$5:$I$7,BQ219)),0),0)</f>
        <v/>
      </c>
    </row>
    <row r="220">
      <c r="A220" s="53" t="inlineStr">
        <is>
          <t>005159</t>
        </is>
      </c>
      <c r="B220" s="53" t="inlineStr">
        <is>
          <t>Gestell mit Fuss</t>
        </is>
      </c>
      <c r="C220" s="53" t="inlineStr">
        <is>
          <t>F</t>
        </is>
      </c>
      <c r="D220" s="53" t="inlineStr">
        <is>
          <t>PAL</t>
        </is>
      </c>
      <c r="E220" s="53" t="inlineStr">
        <is>
          <t>C</t>
        </is>
      </c>
      <c r="F220" s="54" t="n">
        <v>678.65</v>
      </c>
      <c r="G220" s="55">
        <f>MAX(0,IF(Parameter!$B$20="Jahresanfang 2025 + Export",BG220+BF220,BF220))</f>
        <v/>
      </c>
      <c r="H220" s="55">
        <f>G220*F220</f>
        <v/>
      </c>
      <c r="I220" s="55">
        <f>BI220*Parameter!$B$18</f>
        <v/>
      </c>
      <c r="J220" s="56" t="n">
        <v>0.5</v>
      </c>
      <c r="K220" s="57" t="n">
        <v>0</v>
      </c>
      <c r="L220" s="55" t="n">
        <v>0</v>
      </c>
      <c r="M220" s="55" t="n">
        <v>1</v>
      </c>
      <c r="N220" s="58" t="n">
        <v>14</v>
      </c>
      <c r="O220" s="53" t="inlineStr">
        <is>
          <t>LOSE</t>
        </is>
      </c>
      <c r="P220" s="55" t="n"/>
      <c r="Q220" s="59">
        <f>IF(BO220=1,0,IFERROR(VLOOKUP(BM220,'Gebinde-Kategorie'!$A$5:$G$45,6,0)+0,0))</f>
        <v/>
      </c>
      <c r="R220" s="60" t="n"/>
      <c r="S220" s="61" t="n"/>
      <c r="T220" s="61" t="n"/>
      <c r="U220" s="53">
        <f>IF(A220="","",IF(IFERROR(VLOOKUP(D220,Parameter!$A$35:$C$64,2,0),"Nein")="2+3",IF(ISNUMBER(SEARCH("grosser Artikel",BJ220)),2,IFERROR(VLOOKUP(BM220,Parameter!$F$35:$G$64,2,0),2)),IF(OR(IFERROR(VLOOKUP(D220,Parameter!$A$35:$C$64,2,0),"Nein")="Nein",IFERROR(VLOOKUP(D220,Parameter!$A$35:$C$64,2,0),"Nein")=""),"-",VLOOKUP(D220,Parameter!$A$35:$C$64,2,0))))</f>
        <v/>
      </c>
      <c r="V220" s="61" t="n"/>
      <c r="W220" s="62" t="n"/>
      <c r="X220" s="55">
        <f>AM220</f>
        <v/>
      </c>
      <c r="Y220" s="55">
        <f>MAX(AM220,G220)</f>
        <v/>
      </c>
      <c r="Z220" s="63" t="n"/>
      <c r="AA220" s="55">
        <f>IF(LEFT(Cockpit!$C$5,1)="A",G220,IF(BT220=1,BU220,IF(LEFT(Cockpit!$C$5,1)="B",AE220,MAX(AE220,G220))))</f>
        <v/>
      </c>
      <c r="AB220" s="55">
        <f>IF(BO220=1,0,ROUNDUP(AA220/BN220,0))</f>
        <v/>
      </c>
      <c r="AC220" s="64">
        <f>IF(BO220=1,IF(AA220&lt;=0,0,BP220*MAX(1,IF(G220&gt;0,AA220/G220,1))),AB220*Q220)</f>
        <v/>
      </c>
      <c r="AD220" s="55">
        <f>AA220*F220</f>
        <v/>
      </c>
      <c r="AE220" s="55">
        <f>ROUNDUP(MAX(I220/IF(BS220&gt;0,BS220,MAX(0.1,N(Cockpit!$C$6))),BV220)/BN220,0)*BN220</f>
        <v/>
      </c>
      <c r="AF220" s="56">
        <f>IF(AC220&gt;0,I220/AC220,-1)</f>
        <v/>
      </c>
      <c r="AG220" s="56">
        <f>IF(AND(OR(BR220="L1",BR220="L23"),AC220&gt;0),SUMIFS($AC$7:$AC$1570,$BR$7:$BR$1570,BR220,$AF$7:$AF$1570,"&gt;"&amp;AF220)+SUMIFS($AC$7:$AC$1570,$BR$7:$BR$1570,BR220,$AF$7:$AF$1570,AF220,$BL$7:$BL$1570,"&lt;="&amp;BL220),"")</f>
        <v/>
      </c>
      <c r="AH220" s="65">
        <f>IF(AG220="",0,MAX(0,MIN(1,(IF(BR220="L1",Parameter!$K$5,Parameter!$K$6+Parameter!$K$7)-(AG220-AC220))/AC220)))</f>
        <v/>
      </c>
      <c r="AI220" s="55">
        <f>IF(LEFT(Cockpit!$I$5,1)="A",G220,IF(BT220=1,BU220,IF(LEFT(Cockpit!$I$5,1)="B",AM220,MAX(AM220,G220))))</f>
        <v/>
      </c>
      <c r="AJ220" s="55">
        <f>IF(BO220=1,0,ROUNDUP(AI220/BN220,0))</f>
        <v/>
      </c>
      <c r="AK220" s="64">
        <f>IF(BO220=1,IF(AI220&lt;=0,0,BP220*MAX(1,IF(G220&gt;0,AI220/G220,1))),AJ220*Q220)</f>
        <v/>
      </c>
      <c r="AL220" s="55">
        <f>AI220*F220</f>
        <v/>
      </c>
      <c r="AM220" s="55">
        <f>ROUNDUP(MAX(I220/IF(BS220&gt;0,BS220,MAX(0.1,N(Cockpit!$I$6))),BV220)/BN220,0)*BN220</f>
        <v/>
      </c>
      <c r="AN220" s="56">
        <f>IF(AK220&gt;0,I220/AK220,-1)</f>
        <v/>
      </c>
      <c r="AO220" s="56">
        <f>IF(AND(OR(BR220="L1",BR220="L23"),AK220&gt;0),SUMIFS($AK$7:$AK$1570,$BR$7:$BR$1570,BR220,$AN$7:$AN$1570,"&gt;"&amp;AN220)+SUMIFS($AK$7:$AK$1570,$BR$7:$BR$1570,BR220,$AN$7:$AN$1570,AN220,$BL$7:$BL$1570,"&lt;="&amp;BL220),"")</f>
        <v/>
      </c>
      <c r="AP220" s="65">
        <f>IF(AO220="",0,MAX(0,MIN(1,(IF(BR220="L1",Parameter!$K$5,Parameter!$K$6+Parameter!$K$7)-(AO220-AK220))/AK220)))</f>
        <v/>
      </c>
      <c r="AQ220" s="55">
        <f>IF(LEFT(Cockpit!$O$5,1)="A",G220,IF(BT220=1,BU220,IF(LEFT(Cockpit!$O$5,1)="B",AU220,MAX(AU220,G220))))</f>
        <v/>
      </c>
      <c r="AR220" s="55">
        <f>IF(BO220=1,0,ROUNDUP(AQ220/BN220,0))</f>
        <v/>
      </c>
      <c r="AS220" s="64">
        <f>IF(BO220=1,IF(AQ220&lt;=0,0,BP220*MAX(1,IF(G220&gt;0,AQ220/G220,1))),AR220*Q220)</f>
        <v/>
      </c>
      <c r="AT220" s="55">
        <f>AQ220*F220</f>
        <v/>
      </c>
      <c r="AU220" s="55">
        <f>ROUNDUP(MAX(I220/IF(BS220&gt;0,BS220,MAX(0.1,N(Cockpit!$O$6))),BV220)/BN220,0)*BN220</f>
        <v/>
      </c>
      <c r="AV220" s="56">
        <f>IF(AS220&gt;0,I220/AS220,-1)</f>
        <v/>
      </c>
      <c r="AW220" s="56">
        <f>IF(AND(OR(BR220="L1",BR220="L23"),AS220&gt;0),SUMIFS($AS$7:$AS$1570,$BR$7:$BR$1570,BR220,$AV$7:$AV$1570,"&gt;"&amp;AV220)+SUMIFS($AS$7:$AS$1570,$BR$7:$BR$1570,BR220,$AV$7:$AV$1570,AV220,$BL$7:$BL$1570,"&lt;="&amp;BL220),"")</f>
        <v/>
      </c>
      <c r="AX220" s="65">
        <f>IF(AW220="",0,MAX(0,MIN(1,(IF(BR220="L1",Parameter!$K$5,Parameter!$K$6+Parameter!$K$7)-(AW220-AS220))/AS220)))</f>
        <v/>
      </c>
      <c r="AY220" s="53">
        <f>IF(AC220&lt;=0,"",IF(BR220="Aussen","Aussenlager",IF(BR220="-","Nicht im Lift",IF(AH220&gt;=1,"Lift",IF(AH220&lt;=0,"Aussenlager","teilweise")))))</f>
        <v/>
      </c>
      <c r="AZ220" s="53">
        <f>IF(AK220&lt;=0,"",IF(BR220="Aussen","Aussenlager",IF(BR220="-","Nicht im Lift",IF(AP220&gt;=1,"Lift",IF(AP220&lt;=0,"Aussenlager","teilweise")))))</f>
        <v/>
      </c>
      <c r="BA220" s="53">
        <f>IF(AS220&lt;=0,"",IF(BR220="Aussen","Aussenlager",IF(BR220="-","Nicht im Lift",IF(AX220&gt;=1,"Lift",IF(AX220&lt;=0,"Aussenlager","teilweise")))))</f>
        <v/>
      </c>
      <c r="BB220" s="53">
        <f>IF(A220="","",IF(BK220=1,"Neu; ","")&amp;IF(AND(BK220=0,BF220&lt;0),"negativer Bestand (Export "&amp;BF220&amp;"); ","")&amp;IF(I220&lt;=0,"Kein Verbrauch; ","")&amp;IF(BO220=1,"Lose – Fläche geschätzt; ","")&amp;IF(G220&gt;AM220,"Überbestand "&amp;ROUND(G220-AM220,0)&amp;" Stk / CHF "&amp;ROUND((G220-AM220)*F220,0)&amp;"; ","")&amp;IF(AND(BT220=1,BU220&lt;BV220),"MAX &lt; MB+LG; ","")&amp;IF(AND(BZ220&gt;0,BY220*10&gt;BZ220),"zu hoch für Tablar; ","")&amp;IF(AND(BK220=0,OR(BT220=1,V220&lt;&gt;"",S220&lt;&gt;"",T220&lt;&gt;"",W220&lt;&gt;"")),"manuell übersteuert; ","")&amp;IF(AND(BO220=0,Q220=0),"Gebinde unbekannt; ","")&amp;IF(AND(BO220=0,N(T220)&lt;=0,N(P220)&lt;=0),"Menge pro Gebinde fehlt (Ist = 1 Gebinde); ","")&amp;BJ220)</f>
        <v/>
      </c>
      <c r="BC220" s="53" t="n"/>
      <c r="BD220" s="53" t="n"/>
      <c r="BE220" s="61" t="n"/>
      <c r="BF220" s="55" t="n">
        <v>1</v>
      </c>
      <c r="BG220" s="55" t="n">
        <v>0</v>
      </c>
      <c r="BH220" s="54" t="n">
        <v>678.65</v>
      </c>
      <c r="BI220" s="55" t="n">
        <v>0</v>
      </c>
      <c r="BJ220" s="53" t="inlineStr"/>
      <c r="BK220" s="58" t="n">
        <v>0</v>
      </c>
      <c r="BL220" s="58" t="n">
        <v>220</v>
      </c>
      <c r="BM220" s="53">
        <f>IF(S220&lt;&gt;"",UPPER(TRIM(S220)),IF(O220="","LOSE",O220))</f>
        <v/>
      </c>
      <c r="BN220" s="55">
        <f>IF(BM220="LOSE",1,IF(N(T220)&gt;0,T220,IF(N(P220)&gt;0,P220,MAX(1,G220))))</f>
        <v/>
      </c>
      <c r="BO220" s="58">
        <f>IF(BM220="LOSE",1,0)</f>
        <v/>
      </c>
      <c r="BP220" s="64">
        <f>IF(BO220=0,0,IF(N(R220)&gt;0,R220,IFERROR(VLOOKUP(D220,Parameter!$A$35:$C$64,3,0)+0,0)))</f>
        <v/>
      </c>
      <c r="BQ220" s="53">
        <f>IF(V220&lt;&gt;"",V220,U220)</f>
        <v/>
      </c>
      <c r="BR220" s="53">
        <f>IF(BQ220=1,"L1",IF(OR(BQ220=2,BQ220=3),"L23",IF(BQ220="Aussen","Aussen","-")))</f>
        <v/>
      </c>
      <c r="BS220" s="66">
        <f>IF(N(W220)&gt;0,W220,0)</f>
        <v/>
      </c>
      <c r="BT220" s="58">
        <f>IF(ISNUMBER(Z220),1,0)</f>
        <v/>
      </c>
      <c r="BU220" s="55">
        <f>N(Z220)</f>
        <v/>
      </c>
      <c r="BV220" s="55">
        <f>N(L220)+N(M220)</f>
        <v/>
      </c>
      <c r="BW220" s="55">
        <f>ROUNDUP(G220/BN220,0)</f>
        <v/>
      </c>
      <c r="BX220" s="55">
        <f>ROUNDUP(BU220/BN220,0)</f>
        <v/>
      </c>
      <c r="BY220" s="58">
        <f>IF(BO220=1,0,IFERROR(VLOOKUP(BM220,'Gebinde-Kategorie'!$A$5:$G$45,5,0)+0,0))</f>
        <v/>
      </c>
      <c r="BZ220" s="58">
        <f>IFERROR(IF(OR(BQ220=1,BQ220=2,BQ220=3),N(INDEX(Parameter!$I$5:$I$7,BQ220)),0),0)</f>
        <v/>
      </c>
    </row>
    <row r="221">
      <c r="A221" s="53" t="inlineStr">
        <is>
          <t>110093</t>
        </is>
      </c>
      <c r="B221" s="53" t="inlineStr">
        <is>
          <t>LED-Dauerlichtelement</t>
        </is>
      </c>
      <c r="C221" s="53" t="inlineStr">
        <is>
          <t>F</t>
        </is>
      </c>
      <c r="D221" s="53" t="inlineStr">
        <is>
          <t>KTL</t>
        </is>
      </c>
      <c r="E221" s="53" t="inlineStr">
        <is>
          <t>C</t>
        </is>
      </c>
      <c r="F221" s="54" t="n">
        <v>36.84</v>
      </c>
      <c r="G221" s="55">
        <f>MAX(0,IF(Parameter!$B$20="Jahresanfang 2025 + Export",BG221+BF221,BF221))</f>
        <v/>
      </c>
      <c r="H221" s="55">
        <f>G221*F221</f>
        <v/>
      </c>
      <c r="I221" s="55">
        <f>BI221*Parameter!$B$18</f>
        <v/>
      </c>
      <c r="J221" s="56" t="n">
        <v>23</v>
      </c>
      <c r="K221" s="57" t="n">
        <v>2.130434782608696</v>
      </c>
      <c r="L221" s="55" t="n">
        <v>3</v>
      </c>
      <c r="M221" s="55" t="n">
        <v>50</v>
      </c>
      <c r="N221" s="58" t="n">
        <v>28</v>
      </c>
      <c r="O221" s="53" t="inlineStr">
        <is>
          <t>S61</t>
        </is>
      </c>
      <c r="P221" s="55" t="n">
        <v>40</v>
      </c>
      <c r="Q221" s="59">
        <f>IF(BO221=1,0,IFERROR(VLOOKUP(BM221,'Gebinde-Kategorie'!$A$5:$G$45,6,0)+0,0))</f>
        <v/>
      </c>
      <c r="R221" s="60" t="n"/>
      <c r="S221" s="61" t="n"/>
      <c r="T221" s="61" t="n"/>
      <c r="U221" s="53">
        <f>IF(A221="","",IF(IFERROR(VLOOKUP(D221,Parameter!$A$35:$C$64,2,0),"Nein")="2+3",IF(ISNUMBER(SEARCH("grosser Artikel",BJ221)),2,IFERROR(VLOOKUP(BM221,Parameter!$F$35:$G$64,2,0),2)),IF(OR(IFERROR(VLOOKUP(D221,Parameter!$A$35:$C$64,2,0),"Nein")="Nein",IFERROR(VLOOKUP(D221,Parameter!$A$35:$C$64,2,0),"Nein")=""),"-",VLOOKUP(D221,Parameter!$A$35:$C$64,2,0))))</f>
        <v/>
      </c>
      <c r="V221" s="61" t="n"/>
      <c r="W221" s="62" t="n"/>
      <c r="X221" s="55">
        <f>AM221</f>
        <v/>
      </c>
      <c r="Y221" s="55">
        <f>MAX(AM221,G221)</f>
        <v/>
      </c>
      <c r="Z221" s="63" t="n"/>
      <c r="AA221" s="55">
        <f>IF(LEFT(Cockpit!$C$5,1)="A",G221,IF(BT221=1,BU221,IF(LEFT(Cockpit!$C$5,1)="B",AE221,MAX(AE221,G221))))</f>
        <v/>
      </c>
      <c r="AB221" s="55">
        <f>IF(BO221=1,0,ROUNDUP(AA221/BN221,0))</f>
        <v/>
      </c>
      <c r="AC221" s="64">
        <f>IF(BO221=1,IF(AA221&lt;=0,0,BP221*MAX(1,IF(G221&gt;0,AA221/G221,1))),AB221*Q221)</f>
        <v/>
      </c>
      <c r="AD221" s="55">
        <f>AA221*F221</f>
        <v/>
      </c>
      <c r="AE221" s="55">
        <f>ROUNDUP(MAX(I221/IF(BS221&gt;0,BS221,MAX(0.1,N(Cockpit!$C$6))),BV221)/BN221,0)*BN221</f>
        <v/>
      </c>
      <c r="AF221" s="56">
        <f>IF(AC221&gt;0,I221/AC221,-1)</f>
        <v/>
      </c>
      <c r="AG221" s="56">
        <f>IF(AND(OR(BR221="L1",BR221="L23"),AC221&gt;0),SUMIFS($AC$7:$AC$1570,$BR$7:$BR$1570,BR221,$AF$7:$AF$1570,"&gt;"&amp;AF221)+SUMIFS($AC$7:$AC$1570,$BR$7:$BR$1570,BR221,$AF$7:$AF$1570,AF221,$BL$7:$BL$1570,"&lt;="&amp;BL221),"")</f>
        <v/>
      </c>
      <c r="AH221" s="65">
        <f>IF(AG221="",0,MAX(0,MIN(1,(IF(BR221="L1",Parameter!$K$5,Parameter!$K$6+Parameter!$K$7)-(AG221-AC221))/AC221)))</f>
        <v/>
      </c>
      <c r="AI221" s="55">
        <f>IF(LEFT(Cockpit!$I$5,1)="A",G221,IF(BT221=1,BU221,IF(LEFT(Cockpit!$I$5,1)="B",AM221,MAX(AM221,G221))))</f>
        <v/>
      </c>
      <c r="AJ221" s="55">
        <f>IF(BO221=1,0,ROUNDUP(AI221/BN221,0))</f>
        <v/>
      </c>
      <c r="AK221" s="64">
        <f>IF(BO221=1,IF(AI221&lt;=0,0,BP221*MAX(1,IF(G221&gt;0,AI221/G221,1))),AJ221*Q221)</f>
        <v/>
      </c>
      <c r="AL221" s="55">
        <f>AI221*F221</f>
        <v/>
      </c>
      <c r="AM221" s="55">
        <f>ROUNDUP(MAX(I221/IF(BS221&gt;0,BS221,MAX(0.1,N(Cockpit!$I$6))),BV221)/BN221,0)*BN221</f>
        <v/>
      </c>
      <c r="AN221" s="56">
        <f>IF(AK221&gt;0,I221/AK221,-1)</f>
        <v/>
      </c>
      <c r="AO221" s="56">
        <f>IF(AND(OR(BR221="L1",BR221="L23"),AK221&gt;0),SUMIFS($AK$7:$AK$1570,$BR$7:$BR$1570,BR221,$AN$7:$AN$1570,"&gt;"&amp;AN221)+SUMIFS($AK$7:$AK$1570,$BR$7:$BR$1570,BR221,$AN$7:$AN$1570,AN221,$BL$7:$BL$1570,"&lt;="&amp;BL221),"")</f>
        <v/>
      </c>
      <c r="AP221" s="65">
        <f>IF(AO221="",0,MAX(0,MIN(1,(IF(BR221="L1",Parameter!$K$5,Parameter!$K$6+Parameter!$K$7)-(AO221-AK221))/AK221)))</f>
        <v/>
      </c>
      <c r="AQ221" s="55">
        <f>IF(LEFT(Cockpit!$O$5,1)="A",G221,IF(BT221=1,BU221,IF(LEFT(Cockpit!$O$5,1)="B",AU221,MAX(AU221,G221))))</f>
        <v/>
      </c>
      <c r="AR221" s="55">
        <f>IF(BO221=1,0,ROUNDUP(AQ221/BN221,0))</f>
        <v/>
      </c>
      <c r="AS221" s="64">
        <f>IF(BO221=1,IF(AQ221&lt;=0,0,BP221*MAX(1,IF(G221&gt;0,AQ221/G221,1))),AR221*Q221)</f>
        <v/>
      </c>
      <c r="AT221" s="55">
        <f>AQ221*F221</f>
        <v/>
      </c>
      <c r="AU221" s="55">
        <f>ROUNDUP(MAX(I221/IF(BS221&gt;0,BS221,MAX(0.1,N(Cockpit!$O$6))),BV221)/BN221,0)*BN221</f>
        <v/>
      </c>
      <c r="AV221" s="56">
        <f>IF(AS221&gt;0,I221/AS221,-1)</f>
        <v/>
      </c>
      <c r="AW221" s="56">
        <f>IF(AND(OR(BR221="L1",BR221="L23"),AS221&gt;0),SUMIFS($AS$7:$AS$1570,$BR$7:$BR$1570,BR221,$AV$7:$AV$1570,"&gt;"&amp;AV221)+SUMIFS($AS$7:$AS$1570,$BR$7:$BR$1570,BR221,$AV$7:$AV$1570,AV221,$BL$7:$BL$1570,"&lt;="&amp;BL221),"")</f>
        <v/>
      </c>
      <c r="AX221" s="65">
        <f>IF(AW221="",0,MAX(0,MIN(1,(IF(BR221="L1",Parameter!$K$5,Parameter!$K$6+Parameter!$K$7)-(AW221-AS221))/AS221)))</f>
        <v/>
      </c>
      <c r="AY221" s="53">
        <f>IF(AC221&lt;=0,"",IF(BR221="Aussen","Aussenlager",IF(BR221="-","Nicht im Lift",IF(AH221&gt;=1,"Lift",IF(AH221&lt;=0,"Aussenlager","teilweise")))))</f>
        <v/>
      </c>
      <c r="AZ221" s="53">
        <f>IF(AK221&lt;=0,"",IF(BR221="Aussen","Aussenlager",IF(BR221="-","Nicht im Lift",IF(AP221&gt;=1,"Lift",IF(AP221&lt;=0,"Aussenlager","teilweise")))))</f>
        <v/>
      </c>
      <c r="BA221" s="53">
        <f>IF(AS221&lt;=0,"",IF(BR221="Aussen","Aussenlager",IF(BR221="-","Nicht im Lift",IF(AX221&gt;=1,"Lift",IF(AX221&lt;=0,"Aussenlager","teilweise")))))</f>
        <v/>
      </c>
      <c r="BB221" s="53">
        <f>IF(A221="","",IF(BK221=1,"Neu; ","")&amp;IF(AND(BK221=0,BF221&lt;0),"negativer Bestand (Export "&amp;BF221&amp;"); ","")&amp;IF(I221&lt;=0,"Kein Verbrauch; ","")&amp;IF(BO221=1,"Lose – Fläche geschätzt; ","")&amp;IF(G221&gt;AM221,"Überbestand "&amp;ROUND(G221-AM221,0)&amp;" Stk / CHF "&amp;ROUND((G221-AM221)*F221,0)&amp;"; ","")&amp;IF(AND(BT221=1,BU221&lt;BV221),"MAX &lt; MB+LG; ","")&amp;IF(AND(BZ221&gt;0,BY221*10&gt;BZ221),"zu hoch für Tablar; ","")&amp;IF(AND(BK221=0,OR(BT221=1,V221&lt;&gt;"",S221&lt;&gt;"",T221&lt;&gt;"",W221&lt;&gt;"")),"manuell übersteuert; ","")&amp;IF(AND(BO221=0,Q221=0),"Gebinde unbekannt; ","")&amp;IF(AND(BO221=0,N(T221)&lt;=0,N(P221)&lt;=0),"Menge pro Gebinde fehlt (Ist = 1 Gebinde); ","")&amp;BJ221)</f>
        <v/>
      </c>
      <c r="BC221" s="53" t="n"/>
      <c r="BD221" s="53" t="n"/>
      <c r="BE221" s="61" t="n"/>
      <c r="BF221" s="55" t="n">
        <v>18</v>
      </c>
      <c r="BG221" s="55" t="n">
        <v>18</v>
      </c>
      <c r="BH221" s="54" t="n">
        <v>675.7199999999997</v>
      </c>
      <c r="BI221" s="55" t="n">
        <v>49</v>
      </c>
      <c r="BJ221" s="53" t="inlineStr"/>
      <c r="BK221" s="58" t="n">
        <v>0</v>
      </c>
      <c r="BL221" s="58" t="n">
        <v>221</v>
      </c>
      <c r="BM221" s="53">
        <f>IF(S221&lt;&gt;"",UPPER(TRIM(S221)),IF(O221="","LOSE",O221))</f>
        <v/>
      </c>
      <c r="BN221" s="55">
        <f>IF(BM221="LOSE",1,IF(N(T221)&gt;0,T221,IF(N(P221)&gt;0,P221,MAX(1,G221))))</f>
        <v/>
      </c>
      <c r="BO221" s="58">
        <f>IF(BM221="LOSE",1,0)</f>
        <v/>
      </c>
      <c r="BP221" s="64">
        <f>IF(BO221=0,0,IF(N(R221)&gt;0,R221,IFERROR(VLOOKUP(D221,Parameter!$A$35:$C$64,3,0)+0,0)))</f>
        <v/>
      </c>
      <c r="BQ221" s="53">
        <f>IF(V221&lt;&gt;"",V221,U221)</f>
        <v/>
      </c>
      <c r="BR221" s="53">
        <f>IF(BQ221=1,"L1",IF(OR(BQ221=2,BQ221=3),"L23",IF(BQ221="Aussen","Aussen","-")))</f>
        <v/>
      </c>
      <c r="BS221" s="66">
        <f>IF(N(W221)&gt;0,W221,0)</f>
        <v/>
      </c>
      <c r="BT221" s="58">
        <f>IF(ISNUMBER(Z221),1,0)</f>
        <v/>
      </c>
      <c r="BU221" s="55">
        <f>N(Z221)</f>
        <v/>
      </c>
      <c r="BV221" s="55">
        <f>N(L221)+N(M221)</f>
        <v/>
      </c>
      <c r="BW221" s="55">
        <f>ROUNDUP(G221/BN221,0)</f>
        <v/>
      </c>
      <c r="BX221" s="55">
        <f>ROUNDUP(BU221/BN221,0)</f>
        <v/>
      </c>
      <c r="BY221" s="58">
        <f>IF(BO221=1,0,IFERROR(VLOOKUP(BM221,'Gebinde-Kategorie'!$A$5:$G$45,5,0)+0,0))</f>
        <v/>
      </c>
      <c r="BZ221" s="58">
        <f>IFERROR(IF(OR(BQ221=1,BQ221=2,BQ221=3),N(INDEX(Parameter!$I$5:$I$7,BQ221)),0),0)</f>
        <v/>
      </c>
    </row>
    <row r="222">
      <c r="A222" s="53" t="inlineStr">
        <is>
          <t>108034</t>
        </is>
      </c>
      <c r="B222" s="53" t="inlineStr">
        <is>
          <t>Kontakteinsatzmodul 5 polig</t>
        </is>
      </c>
      <c r="C222" s="53" t="inlineStr">
        <is>
          <t>F</t>
        </is>
      </c>
      <c r="D222" s="53" t="inlineStr">
        <is>
          <t>KTL</t>
        </is>
      </c>
      <c r="E222" s="53" t="inlineStr">
        <is>
          <t>C</t>
        </is>
      </c>
      <c r="F222" s="54" t="n">
        <v>5.56</v>
      </c>
      <c r="G222" s="55">
        <f>MAX(0,IF(Parameter!$B$20="Jahresanfang 2025 + Export",BG222+BF222,BF222))</f>
        <v/>
      </c>
      <c r="H222" s="55">
        <f>G222*F222</f>
        <v/>
      </c>
      <c r="I222" s="55">
        <f>BI222*Parameter!$B$18</f>
        <v/>
      </c>
      <c r="J222" s="56" t="n">
        <v>47.5</v>
      </c>
      <c r="K222" s="57" t="n">
        <v>3.157894736842105</v>
      </c>
      <c r="L222" s="55" t="n">
        <v>11</v>
      </c>
      <c r="M222" s="55" t="n">
        <v>150</v>
      </c>
      <c r="N222" s="58" t="n">
        <v>28</v>
      </c>
      <c r="O222" s="53" t="inlineStr">
        <is>
          <t>S51</t>
        </is>
      </c>
      <c r="P222" s="55" t="n">
        <v>89</v>
      </c>
      <c r="Q222" s="59">
        <f>IF(BO222=1,0,IFERROR(VLOOKUP(BM222,'Gebinde-Kategorie'!$A$5:$G$45,6,0)+0,0))</f>
        <v/>
      </c>
      <c r="R222" s="60" t="n"/>
      <c r="S222" s="61" t="n"/>
      <c r="T222" s="61" t="n"/>
      <c r="U222" s="53">
        <f>IF(A222="","",IF(IFERROR(VLOOKUP(D222,Parameter!$A$35:$C$64,2,0),"Nein")="2+3",IF(ISNUMBER(SEARCH("grosser Artikel",BJ222)),2,IFERROR(VLOOKUP(BM222,Parameter!$F$35:$G$64,2,0),2)),IF(OR(IFERROR(VLOOKUP(D222,Parameter!$A$35:$C$64,2,0),"Nein")="Nein",IFERROR(VLOOKUP(D222,Parameter!$A$35:$C$64,2,0),"Nein")=""),"-",VLOOKUP(D222,Parameter!$A$35:$C$64,2,0))))</f>
        <v/>
      </c>
      <c r="V222" s="61" t="n"/>
      <c r="W222" s="62" t="n"/>
      <c r="X222" s="55">
        <f>AM222</f>
        <v/>
      </c>
      <c r="Y222" s="55">
        <f>MAX(AM222,G222)</f>
        <v/>
      </c>
      <c r="Z222" s="63" t="n"/>
      <c r="AA222" s="55">
        <f>IF(LEFT(Cockpit!$C$5,1)="A",G222,IF(BT222=1,BU222,IF(LEFT(Cockpit!$C$5,1)="B",AE222,MAX(AE222,G222))))</f>
        <v/>
      </c>
      <c r="AB222" s="55">
        <f>IF(BO222=1,0,ROUNDUP(AA222/BN222,0))</f>
        <v/>
      </c>
      <c r="AC222" s="64">
        <f>IF(BO222=1,IF(AA222&lt;=0,0,BP222*MAX(1,IF(G222&gt;0,AA222/G222,1))),AB222*Q222)</f>
        <v/>
      </c>
      <c r="AD222" s="55">
        <f>AA222*F222</f>
        <v/>
      </c>
      <c r="AE222" s="55">
        <f>ROUNDUP(MAX(I222/IF(BS222&gt;0,BS222,MAX(0.1,N(Cockpit!$C$6))),BV222)/BN222,0)*BN222</f>
        <v/>
      </c>
      <c r="AF222" s="56">
        <f>IF(AC222&gt;0,I222/AC222,-1)</f>
        <v/>
      </c>
      <c r="AG222" s="56">
        <f>IF(AND(OR(BR222="L1",BR222="L23"),AC222&gt;0),SUMIFS($AC$7:$AC$1570,$BR$7:$BR$1570,BR222,$AF$7:$AF$1570,"&gt;"&amp;AF222)+SUMIFS($AC$7:$AC$1570,$BR$7:$BR$1570,BR222,$AF$7:$AF$1570,AF222,$BL$7:$BL$1570,"&lt;="&amp;BL222),"")</f>
        <v/>
      </c>
      <c r="AH222" s="65">
        <f>IF(AG222="",0,MAX(0,MIN(1,(IF(BR222="L1",Parameter!$K$5,Parameter!$K$6+Parameter!$K$7)-(AG222-AC222))/AC222)))</f>
        <v/>
      </c>
      <c r="AI222" s="55">
        <f>IF(LEFT(Cockpit!$I$5,1)="A",G222,IF(BT222=1,BU222,IF(LEFT(Cockpit!$I$5,1)="B",AM222,MAX(AM222,G222))))</f>
        <v/>
      </c>
      <c r="AJ222" s="55">
        <f>IF(BO222=1,0,ROUNDUP(AI222/BN222,0))</f>
        <v/>
      </c>
      <c r="AK222" s="64">
        <f>IF(BO222=1,IF(AI222&lt;=0,0,BP222*MAX(1,IF(G222&gt;0,AI222/G222,1))),AJ222*Q222)</f>
        <v/>
      </c>
      <c r="AL222" s="55">
        <f>AI222*F222</f>
        <v/>
      </c>
      <c r="AM222" s="55">
        <f>ROUNDUP(MAX(I222/IF(BS222&gt;0,BS222,MAX(0.1,N(Cockpit!$I$6))),BV222)/BN222,0)*BN222</f>
        <v/>
      </c>
      <c r="AN222" s="56">
        <f>IF(AK222&gt;0,I222/AK222,-1)</f>
        <v/>
      </c>
      <c r="AO222" s="56">
        <f>IF(AND(OR(BR222="L1",BR222="L23"),AK222&gt;0),SUMIFS($AK$7:$AK$1570,$BR$7:$BR$1570,BR222,$AN$7:$AN$1570,"&gt;"&amp;AN222)+SUMIFS($AK$7:$AK$1570,$BR$7:$BR$1570,BR222,$AN$7:$AN$1570,AN222,$BL$7:$BL$1570,"&lt;="&amp;BL222),"")</f>
        <v/>
      </c>
      <c r="AP222" s="65">
        <f>IF(AO222="",0,MAX(0,MIN(1,(IF(BR222="L1",Parameter!$K$5,Parameter!$K$6+Parameter!$K$7)-(AO222-AK222))/AK222)))</f>
        <v/>
      </c>
      <c r="AQ222" s="55">
        <f>IF(LEFT(Cockpit!$O$5,1)="A",G222,IF(BT222=1,BU222,IF(LEFT(Cockpit!$O$5,1)="B",AU222,MAX(AU222,G222))))</f>
        <v/>
      </c>
      <c r="AR222" s="55">
        <f>IF(BO222=1,0,ROUNDUP(AQ222/BN222,0))</f>
        <v/>
      </c>
      <c r="AS222" s="64">
        <f>IF(BO222=1,IF(AQ222&lt;=0,0,BP222*MAX(1,IF(G222&gt;0,AQ222/G222,1))),AR222*Q222)</f>
        <v/>
      </c>
      <c r="AT222" s="55">
        <f>AQ222*F222</f>
        <v/>
      </c>
      <c r="AU222" s="55">
        <f>ROUNDUP(MAX(I222/IF(BS222&gt;0,BS222,MAX(0.1,N(Cockpit!$O$6))),BV222)/BN222,0)*BN222</f>
        <v/>
      </c>
      <c r="AV222" s="56">
        <f>IF(AS222&gt;0,I222/AS222,-1)</f>
        <v/>
      </c>
      <c r="AW222" s="56">
        <f>IF(AND(OR(BR222="L1",BR222="L23"),AS222&gt;0),SUMIFS($AS$7:$AS$1570,$BR$7:$BR$1570,BR222,$AV$7:$AV$1570,"&gt;"&amp;AV222)+SUMIFS($AS$7:$AS$1570,$BR$7:$BR$1570,BR222,$AV$7:$AV$1570,AV222,$BL$7:$BL$1570,"&lt;="&amp;BL222),"")</f>
        <v/>
      </c>
      <c r="AX222" s="65">
        <f>IF(AW222="",0,MAX(0,MIN(1,(IF(BR222="L1",Parameter!$K$5,Parameter!$K$6+Parameter!$K$7)-(AW222-AS222))/AS222)))</f>
        <v/>
      </c>
      <c r="AY222" s="53">
        <f>IF(AC222&lt;=0,"",IF(BR222="Aussen","Aussenlager",IF(BR222="-","Nicht im Lift",IF(AH222&gt;=1,"Lift",IF(AH222&lt;=0,"Aussenlager","teilweise")))))</f>
        <v/>
      </c>
      <c r="AZ222" s="53">
        <f>IF(AK222&lt;=0,"",IF(BR222="Aussen","Aussenlager",IF(BR222="-","Nicht im Lift",IF(AP222&gt;=1,"Lift",IF(AP222&lt;=0,"Aussenlager","teilweise")))))</f>
        <v/>
      </c>
      <c r="BA222" s="53">
        <f>IF(AS222&lt;=0,"",IF(BR222="Aussen","Aussenlager",IF(BR222="-","Nicht im Lift",IF(AX222&gt;=1,"Lift",IF(AX222&lt;=0,"Aussenlager","teilweise")))))</f>
        <v/>
      </c>
      <c r="BB222" s="53">
        <f>IF(A222="","",IF(BK222=1,"Neu; ","")&amp;IF(AND(BK222=0,BF222&lt;0),"negativer Bestand (Export "&amp;BF222&amp;"); ","")&amp;IF(I222&lt;=0,"Kein Verbrauch; ","")&amp;IF(BO222=1,"Lose – Fläche geschätzt; ","")&amp;IF(G222&gt;AM222,"Überbestand "&amp;ROUND(G222-AM222,0)&amp;" Stk / CHF "&amp;ROUND((G222-AM222)*F222,0)&amp;"; ","")&amp;IF(AND(BT222=1,BU222&lt;BV222),"MAX &lt; MB+LG; ","")&amp;IF(AND(BZ222&gt;0,BY222*10&gt;BZ222),"zu hoch für Tablar; ","")&amp;IF(AND(BK222=0,OR(BT222=1,V222&lt;&gt;"",S222&lt;&gt;"",T222&lt;&gt;"",W222&lt;&gt;"")),"manuell übersteuert; ","")&amp;IF(AND(BO222=0,Q222=0),"Gebinde unbekannt; ","")&amp;IF(AND(BO222=0,N(T222)&lt;=0,N(P222)&lt;=0),"Menge pro Gebinde fehlt (Ist = 1 Gebinde); ","")&amp;BJ222)</f>
        <v/>
      </c>
      <c r="BC222" s="53" t="n"/>
      <c r="BD222" s="53" t="n"/>
      <c r="BE222" s="61" t="n"/>
      <c r="BF222" s="55" t="n">
        <v>119</v>
      </c>
      <c r="BG222" s="55" t="n">
        <v>43</v>
      </c>
      <c r="BH222" s="54" t="n">
        <v>671.9599999999998</v>
      </c>
      <c r="BI222" s="55" t="n">
        <v>150</v>
      </c>
      <c r="BJ222" s="53" t="inlineStr"/>
      <c r="BK222" s="58" t="n">
        <v>0</v>
      </c>
      <c r="BL222" s="58" t="n">
        <v>222</v>
      </c>
      <c r="BM222" s="53">
        <f>IF(S222&lt;&gt;"",UPPER(TRIM(S222)),IF(O222="","LOSE",O222))</f>
        <v/>
      </c>
      <c r="BN222" s="55">
        <f>IF(BM222="LOSE",1,IF(N(T222)&gt;0,T222,IF(N(P222)&gt;0,P222,MAX(1,G222))))</f>
        <v/>
      </c>
      <c r="BO222" s="58">
        <f>IF(BM222="LOSE",1,0)</f>
        <v/>
      </c>
      <c r="BP222" s="64">
        <f>IF(BO222=0,0,IF(N(R222)&gt;0,R222,IFERROR(VLOOKUP(D222,Parameter!$A$35:$C$64,3,0)+0,0)))</f>
        <v/>
      </c>
      <c r="BQ222" s="53">
        <f>IF(V222&lt;&gt;"",V222,U222)</f>
        <v/>
      </c>
      <c r="BR222" s="53">
        <f>IF(BQ222=1,"L1",IF(OR(BQ222=2,BQ222=3),"L23",IF(BQ222="Aussen","Aussen","-")))</f>
        <v/>
      </c>
      <c r="BS222" s="66">
        <f>IF(N(W222)&gt;0,W222,0)</f>
        <v/>
      </c>
      <c r="BT222" s="58">
        <f>IF(ISNUMBER(Z222),1,0)</f>
        <v/>
      </c>
      <c r="BU222" s="55">
        <f>N(Z222)</f>
        <v/>
      </c>
      <c r="BV222" s="55">
        <f>N(L222)+N(M222)</f>
        <v/>
      </c>
      <c r="BW222" s="55">
        <f>ROUNDUP(G222/BN222,0)</f>
        <v/>
      </c>
      <c r="BX222" s="55">
        <f>ROUNDUP(BU222/BN222,0)</f>
        <v/>
      </c>
      <c r="BY222" s="58">
        <f>IF(BO222=1,0,IFERROR(VLOOKUP(BM222,'Gebinde-Kategorie'!$A$5:$G$45,5,0)+0,0))</f>
        <v/>
      </c>
      <c r="BZ222" s="58">
        <f>IFERROR(IF(OR(BQ222=1,BQ222=2,BQ222=3),N(INDEX(Parameter!$I$5:$I$7,BQ222)),0),0)</f>
        <v/>
      </c>
    </row>
    <row r="223">
      <c r="A223" s="53" t="inlineStr">
        <is>
          <t>005706</t>
        </is>
      </c>
      <c r="B223" s="53" t="inlineStr">
        <is>
          <t>Schutzkragen</t>
        </is>
      </c>
      <c r="C223" s="53" t="inlineStr">
        <is>
          <t>F</t>
        </is>
      </c>
      <c r="D223" s="53" t="inlineStr">
        <is>
          <t>KTL</t>
        </is>
      </c>
      <c r="E223" s="53" t="inlineStr">
        <is>
          <t>C</t>
        </is>
      </c>
      <c r="F223" s="54" t="n">
        <v>13.8</v>
      </c>
      <c r="G223" s="55">
        <f>MAX(0,IF(Parameter!$B$20="Jahresanfang 2025 + Export",BG223+BF223,BF223))</f>
        <v/>
      </c>
      <c r="H223" s="55">
        <f>G223*F223</f>
        <v/>
      </c>
      <c r="I223" s="55">
        <f>BI223*Parameter!$B$18</f>
        <v/>
      </c>
      <c r="J223" s="56" t="n">
        <v>8.5</v>
      </c>
      <c r="K223" s="57" t="n">
        <v>0.7058823529411765</v>
      </c>
      <c r="L223" s="55" t="n">
        <v>0</v>
      </c>
      <c r="M223" s="55" t="n">
        <v>5</v>
      </c>
      <c r="N223" s="58" t="n">
        <v>14</v>
      </c>
      <c r="O223" s="53" t="inlineStr">
        <is>
          <t>S41</t>
        </is>
      </c>
      <c r="P223" s="55" t="n">
        <v>11</v>
      </c>
      <c r="Q223" s="59">
        <f>IF(BO223=1,0,IFERROR(VLOOKUP(BM223,'Gebinde-Kategorie'!$A$5:$G$45,6,0)+0,0))</f>
        <v/>
      </c>
      <c r="R223" s="60" t="n"/>
      <c r="S223" s="61" t="n"/>
      <c r="T223" s="61" t="n"/>
      <c r="U223" s="53">
        <f>IF(A223="","",IF(IFERROR(VLOOKUP(D223,Parameter!$A$35:$C$64,2,0),"Nein")="2+3",IF(ISNUMBER(SEARCH("grosser Artikel",BJ223)),2,IFERROR(VLOOKUP(BM223,Parameter!$F$35:$G$64,2,0),2)),IF(OR(IFERROR(VLOOKUP(D223,Parameter!$A$35:$C$64,2,0),"Nein")="Nein",IFERROR(VLOOKUP(D223,Parameter!$A$35:$C$64,2,0),"Nein")=""),"-",VLOOKUP(D223,Parameter!$A$35:$C$64,2,0))))</f>
        <v/>
      </c>
      <c r="V223" s="61" t="n"/>
      <c r="W223" s="62" t="n"/>
      <c r="X223" s="55">
        <f>AM223</f>
        <v/>
      </c>
      <c r="Y223" s="55">
        <f>MAX(AM223,G223)</f>
        <v/>
      </c>
      <c r="Z223" s="63" t="n"/>
      <c r="AA223" s="55">
        <f>IF(LEFT(Cockpit!$C$5,1)="A",G223,IF(BT223=1,BU223,IF(LEFT(Cockpit!$C$5,1)="B",AE223,MAX(AE223,G223))))</f>
        <v/>
      </c>
      <c r="AB223" s="55">
        <f>IF(BO223=1,0,ROUNDUP(AA223/BN223,0))</f>
        <v/>
      </c>
      <c r="AC223" s="64">
        <f>IF(BO223=1,IF(AA223&lt;=0,0,BP223*MAX(1,IF(G223&gt;0,AA223/G223,1))),AB223*Q223)</f>
        <v/>
      </c>
      <c r="AD223" s="55">
        <f>AA223*F223</f>
        <v/>
      </c>
      <c r="AE223" s="55">
        <f>ROUNDUP(MAX(I223/IF(BS223&gt;0,BS223,MAX(0.1,N(Cockpit!$C$6))),BV223)/BN223,0)*BN223</f>
        <v/>
      </c>
      <c r="AF223" s="56">
        <f>IF(AC223&gt;0,I223/AC223,-1)</f>
        <v/>
      </c>
      <c r="AG223" s="56">
        <f>IF(AND(OR(BR223="L1",BR223="L23"),AC223&gt;0),SUMIFS($AC$7:$AC$1570,$BR$7:$BR$1570,BR223,$AF$7:$AF$1570,"&gt;"&amp;AF223)+SUMIFS($AC$7:$AC$1570,$BR$7:$BR$1570,BR223,$AF$7:$AF$1570,AF223,$BL$7:$BL$1570,"&lt;="&amp;BL223),"")</f>
        <v/>
      </c>
      <c r="AH223" s="65">
        <f>IF(AG223="",0,MAX(0,MIN(1,(IF(BR223="L1",Parameter!$K$5,Parameter!$K$6+Parameter!$K$7)-(AG223-AC223))/AC223)))</f>
        <v/>
      </c>
      <c r="AI223" s="55">
        <f>IF(LEFT(Cockpit!$I$5,1)="A",G223,IF(BT223=1,BU223,IF(LEFT(Cockpit!$I$5,1)="B",AM223,MAX(AM223,G223))))</f>
        <v/>
      </c>
      <c r="AJ223" s="55">
        <f>IF(BO223=1,0,ROUNDUP(AI223/BN223,0))</f>
        <v/>
      </c>
      <c r="AK223" s="64">
        <f>IF(BO223=1,IF(AI223&lt;=0,0,BP223*MAX(1,IF(G223&gt;0,AI223/G223,1))),AJ223*Q223)</f>
        <v/>
      </c>
      <c r="AL223" s="55">
        <f>AI223*F223</f>
        <v/>
      </c>
      <c r="AM223" s="55">
        <f>ROUNDUP(MAX(I223/IF(BS223&gt;0,BS223,MAX(0.1,N(Cockpit!$I$6))),BV223)/BN223,0)*BN223</f>
        <v/>
      </c>
      <c r="AN223" s="56">
        <f>IF(AK223&gt;0,I223/AK223,-1)</f>
        <v/>
      </c>
      <c r="AO223" s="56">
        <f>IF(AND(OR(BR223="L1",BR223="L23"),AK223&gt;0),SUMIFS($AK$7:$AK$1570,$BR$7:$BR$1570,BR223,$AN$7:$AN$1570,"&gt;"&amp;AN223)+SUMIFS($AK$7:$AK$1570,$BR$7:$BR$1570,BR223,$AN$7:$AN$1570,AN223,$BL$7:$BL$1570,"&lt;="&amp;BL223),"")</f>
        <v/>
      </c>
      <c r="AP223" s="65">
        <f>IF(AO223="",0,MAX(0,MIN(1,(IF(BR223="L1",Parameter!$K$5,Parameter!$K$6+Parameter!$K$7)-(AO223-AK223))/AK223)))</f>
        <v/>
      </c>
      <c r="AQ223" s="55">
        <f>IF(LEFT(Cockpit!$O$5,1)="A",G223,IF(BT223=1,BU223,IF(LEFT(Cockpit!$O$5,1)="B",AU223,MAX(AU223,G223))))</f>
        <v/>
      </c>
      <c r="AR223" s="55">
        <f>IF(BO223=1,0,ROUNDUP(AQ223/BN223,0))</f>
        <v/>
      </c>
      <c r="AS223" s="64">
        <f>IF(BO223=1,IF(AQ223&lt;=0,0,BP223*MAX(1,IF(G223&gt;0,AQ223/G223,1))),AR223*Q223)</f>
        <v/>
      </c>
      <c r="AT223" s="55">
        <f>AQ223*F223</f>
        <v/>
      </c>
      <c r="AU223" s="55">
        <f>ROUNDUP(MAX(I223/IF(BS223&gt;0,BS223,MAX(0.1,N(Cockpit!$O$6))),BV223)/BN223,0)*BN223</f>
        <v/>
      </c>
      <c r="AV223" s="56">
        <f>IF(AS223&gt;0,I223/AS223,-1)</f>
        <v/>
      </c>
      <c r="AW223" s="56">
        <f>IF(AND(OR(BR223="L1",BR223="L23"),AS223&gt;0),SUMIFS($AS$7:$AS$1570,$BR$7:$BR$1570,BR223,$AV$7:$AV$1570,"&gt;"&amp;AV223)+SUMIFS($AS$7:$AS$1570,$BR$7:$BR$1570,BR223,$AV$7:$AV$1570,AV223,$BL$7:$BL$1570,"&lt;="&amp;BL223),"")</f>
        <v/>
      </c>
      <c r="AX223" s="65">
        <f>IF(AW223="",0,MAX(0,MIN(1,(IF(BR223="L1",Parameter!$K$5,Parameter!$K$6+Parameter!$K$7)-(AW223-AS223))/AS223)))</f>
        <v/>
      </c>
      <c r="AY223" s="53">
        <f>IF(AC223&lt;=0,"",IF(BR223="Aussen","Aussenlager",IF(BR223="-","Nicht im Lift",IF(AH223&gt;=1,"Lift",IF(AH223&lt;=0,"Aussenlager","teilweise")))))</f>
        <v/>
      </c>
      <c r="AZ223" s="53">
        <f>IF(AK223&lt;=0,"",IF(BR223="Aussen","Aussenlager",IF(BR223="-","Nicht im Lift",IF(AP223&gt;=1,"Lift",IF(AP223&lt;=0,"Aussenlager","teilweise")))))</f>
        <v/>
      </c>
      <c r="BA223" s="53">
        <f>IF(AS223&lt;=0,"",IF(BR223="Aussen","Aussenlager",IF(BR223="-","Nicht im Lift",IF(AX223&gt;=1,"Lift",IF(AX223&lt;=0,"Aussenlager","teilweise")))))</f>
        <v/>
      </c>
      <c r="BB223" s="53">
        <f>IF(A223="","",IF(BK223=1,"Neu; ","")&amp;IF(AND(BK223=0,BF223&lt;0),"negativer Bestand (Export "&amp;BF223&amp;"); ","")&amp;IF(I223&lt;=0,"Kein Verbrauch; ","")&amp;IF(BO223=1,"Lose – Fläche geschätzt; ","")&amp;IF(G223&gt;AM223,"Überbestand "&amp;ROUND(G223-AM223,0)&amp;" Stk / CHF "&amp;ROUND((G223-AM223)*F223,0)&amp;"; ","")&amp;IF(AND(BT223=1,BU223&lt;BV223),"MAX &lt; MB+LG; ","")&amp;IF(AND(BZ223&gt;0,BY223*10&gt;BZ223),"zu hoch für Tablar; ","")&amp;IF(AND(BK223=0,OR(BT223=1,V223&lt;&gt;"",S223&lt;&gt;"",T223&lt;&gt;"",W223&lt;&gt;"")),"manuell übersteuert; ","")&amp;IF(AND(BO223=0,Q223=0),"Gebinde unbekannt; ","")&amp;IF(AND(BO223=0,N(T223)&lt;=0,N(P223)&lt;=0),"Menge pro Gebinde fehlt (Ist = 1 Gebinde); ","")&amp;BJ223)</f>
        <v/>
      </c>
      <c r="BC223" s="53" t="n"/>
      <c r="BD223" s="53" t="n"/>
      <c r="BE223" s="61" t="n"/>
      <c r="BF223" s="55" t="n">
        <v>48</v>
      </c>
      <c r="BG223" s="55" t="n">
        <v>7</v>
      </c>
      <c r="BH223" s="54" t="n">
        <v>656.1000000000001</v>
      </c>
      <c r="BI223" s="55" t="n">
        <v>6</v>
      </c>
      <c r="BJ223" s="53" t="inlineStr"/>
      <c r="BK223" s="58" t="n">
        <v>0</v>
      </c>
      <c r="BL223" s="58" t="n">
        <v>223</v>
      </c>
      <c r="BM223" s="53">
        <f>IF(S223&lt;&gt;"",UPPER(TRIM(S223)),IF(O223="","LOSE",O223))</f>
        <v/>
      </c>
      <c r="BN223" s="55">
        <f>IF(BM223="LOSE",1,IF(N(T223)&gt;0,T223,IF(N(P223)&gt;0,P223,MAX(1,G223))))</f>
        <v/>
      </c>
      <c r="BO223" s="58">
        <f>IF(BM223="LOSE",1,0)</f>
        <v/>
      </c>
      <c r="BP223" s="64">
        <f>IF(BO223=0,0,IF(N(R223)&gt;0,R223,IFERROR(VLOOKUP(D223,Parameter!$A$35:$C$64,3,0)+0,0)))</f>
        <v/>
      </c>
      <c r="BQ223" s="53">
        <f>IF(V223&lt;&gt;"",V223,U223)</f>
        <v/>
      </c>
      <c r="BR223" s="53">
        <f>IF(BQ223=1,"L1",IF(OR(BQ223=2,BQ223=3),"L23",IF(BQ223="Aussen","Aussen","-")))</f>
        <v/>
      </c>
      <c r="BS223" s="66">
        <f>IF(N(W223)&gt;0,W223,0)</f>
        <v/>
      </c>
      <c r="BT223" s="58">
        <f>IF(ISNUMBER(Z223),1,0)</f>
        <v/>
      </c>
      <c r="BU223" s="55">
        <f>N(Z223)</f>
        <v/>
      </c>
      <c r="BV223" s="55">
        <f>N(L223)+N(M223)</f>
        <v/>
      </c>
      <c r="BW223" s="55">
        <f>ROUNDUP(G223/BN223,0)</f>
        <v/>
      </c>
      <c r="BX223" s="55">
        <f>ROUNDUP(BU223/BN223,0)</f>
        <v/>
      </c>
      <c r="BY223" s="58">
        <f>IF(BO223=1,0,IFERROR(VLOOKUP(BM223,'Gebinde-Kategorie'!$A$5:$G$45,5,0)+0,0))</f>
        <v/>
      </c>
      <c r="BZ223" s="58">
        <f>IFERROR(IF(OR(BQ223=1,BQ223=2,BQ223=3),N(INDEX(Parameter!$I$5:$I$7,BQ223)),0),0)</f>
        <v/>
      </c>
    </row>
    <row r="224">
      <c r="A224" s="53" t="inlineStr">
        <is>
          <t>100417</t>
        </is>
      </c>
      <c r="B224" s="53" t="inlineStr">
        <is>
          <t>Flammschutz</t>
        </is>
      </c>
      <c r="C224" s="53" t="inlineStr">
        <is>
          <t>F</t>
        </is>
      </c>
      <c r="D224" s="53" t="inlineStr">
        <is>
          <t>KTL</t>
        </is>
      </c>
      <c r="E224" s="53" t="inlineStr">
        <is>
          <t>C</t>
        </is>
      </c>
      <c r="F224" s="54" t="n">
        <v>6.91</v>
      </c>
      <c r="G224" s="55">
        <f>MAX(0,IF(Parameter!$B$20="Jahresanfang 2025 + Export",BG224+BF224,BF224))</f>
        <v/>
      </c>
      <c r="H224" s="55">
        <f>G224*F224</f>
        <v/>
      </c>
      <c r="I224" s="55">
        <f>BI224*Parameter!$B$18</f>
        <v/>
      </c>
      <c r="J224" s="56" t="n">
        <v>137</v>
      </c>
      <c r="K224" s="57" t="n">
        <v>3.124087591240876</v>
      </c>
      <c r="L224" s="55" t="n">
        <v>32</v>
      </c>
      <c r="M224" s="55" t="n">
        <v>200</v>
      </c>
      <c r="N224" s="58" t="n">
        <v>70</v>
      </c>
      <c r="O224" s="53" t="inlineStr">
        <is>
          <t>S51</t>
        </is>
      </c>
      <c r="P224" s="55" t="n">
        <v>179</v>
      </c>
      <c r="Q224" s="59">
        <f>IF(BO224=1,0,IFERROR(VLOOKUP(BM224,'Gebinde-Kategorie'!$A$5:$G$45,6,0)+0,0))</f>
        <v/>
      </c>
      <c r="R224" s="60" t="n"/>
      <c r="S224" s="61" t="n"/>
      <c r="T224" s="61" t="n"/>
      <c r="U224" s="53">
        <f>IF(A224="","",IF(IFERROR(VLOOKUP(D224,Parameter!$A$35:$C$64,2,0),"Nein")="2+3",IF(ISNUMBER(SEARCH("grosser Artikel",BJ224)),2,IFERROR(VLOOKUP(BM224,Parameter!$F$35:$G$64,2,0),2)),IF(OR(IFERROR(VLOOKUP(D224,Parameter!$A$35:$C$64,2,0),"Nein")="Nein",IFERROR(VLOOKUP(D224,Parameter!$A$35:$C$64,2,0),"Nein")=""),"-",VLOOKUP(D224,Parameter!$A$35:$C$64,2,0))))</f>
        <v/>
      </c>
      <c r="V224" s="61" t="n"/>
      <c r="W224" s="62" t="n"/>
      <c r="X224" s="55">
        <f>AM224</f>
        <v/>
      </c>
      <c r="Y224" s="55">
        <f>MAX(AM224,G224)</f>
        <v/>
      </c>
      <c r="Z224" s="63" t="n"/>
      <c r="AA224" s="55">
        <f>IF(LEFT(Cockpit!$C$5,1)="A",G224,IF(BT224=1,BU224,IF(LEFT(Cockpit!$C$5,1)="B",AE224,MAX(AE224,G224))))</f>
        <v/>
      </c>
      <c r="AB224" s="55">
        <f>IF(BO224=1,0,ROUNDUP(AA224/BN224,0))</f>
        <v/>
      </c>
      <c r="AC224" s="64">
        <f>IF(BO224=1,IF(AA224&lt;=0,0,BP224*MAX(1,IF(G224&gt;0,AA224/G224,1))),AB224*Q224)</f>
        <v/>
      </c>
      <c r="AD224" s="55">
        <f>AA224*F224</f>
        <v/>
      </c>
      <c r="AE224" s="55">
        <f>ROUNDUP(MAX(I224/IF(BS224&gt;0,BS224,MAX(0.1,N(Cockpit!$C$6))),BV224)/BN224,0)*BN224</f>
        <v/>
      </c>
      <c r="AF224" s="56">
        <f>IF(AC224&gt;0,I224/AC224,-1)</f>
        <v/>
      </c>
      <c r="AG224" s="56">
        <f>IF(AND(OR(BR224="L1",BR224="L23"),AC224&gt;0),SUMIFS($AC$7:$AC$1570,$BR$7:$BR$1570,BR224,$AF$7:$AF$1570,"&gt;"&amp;AF224)+SUMIFS($AC$7:$AC$1570,$BR$7:$BR$1570,BR224,$AF$7:$AF$1570,AF224,$BL$7:$BL$1570,"&lt;="&amp;BL224),"")</f>
        <v/>
      </c>
      <c r="AH224" s="65">
        <f>IF(AG224="",0,MAX(0,MIN(1,(IF(BR224="L1",Parameter!$K$5,Parameter!$K$6+Parameter!$K$7)-(AG224-AC224))/AC224)))</f>
        <v/>
      </c>
      <c r="AI224" s="55">
        <f>IF(LEFT(Cockpit!$I$5,1)="A",G224,IF(BT224=1,BU224,IF(LEFT(Cockpit!$I$5,1)="B",AM224,MAX(AM224,G224))))</f>
        <v/>
      </c>
      <c r="AJ224" s="55">
        <f>IF(BO224=1,0,ROUNDUP(AI224/BN224,0))</f>
        <v/>
      </c>
      <c r="AK224" s="64">
        <f>IF(BO224=1,IF(AI224&lt;=0,0,BP224*MAX(1,IF(G224&gt;0,AI224/G224,1))),AJ224*Q224)</f>
        <v/>
      </c>
      <c r="AL224" s="55">
        <f>AI224*F224</f>
        <v/>
      </c>
      <c r="AM224" s="55">
        <f>ROUNDUP(MAX(I224/IF(BS224&gt;0,BS224,MAX(0.1,N(Cockpit!$I$6))),BV224)/BN224,0)*BN224</f>
        <v/>
      </c>
      <c r="AN224" s="56">
        <f>IF(AK224&gt;0,I224/AK224,-1)</f>
        <v/>
      </c>
      <c r="AO224" s="56">
        <f>IF(AND(OR(BR224="L1",BR224="L23"),AK224&gt;0),SUMIFS($AK$7:$AK$1570,$BR$7:$BR$1570,BR224,$AN$7:$AN$1570,"&gt;"&amp;AN224)+SUMIFS($AK$7:$AK$1570,$BR$7:$BR$1570,BR224,$AN$7:$AN$1570,AN224,$BL$7:$BL$1570,"&lt;="&amp;BL224),"")</f>
        <v/>
      </c>
      <c r="AP224" s="65">
        <f>IF(AO224="",0,MAX(0,MIN(1,(IF(BR224="L1",Parameter!$K$5,Parameter!$K$6+Parameter!$K$7)-(AO224-AK224))/AK224)))</f>
        <v/>
      </c>
      <c r="AQ224" s="55">
        <f>IF(LEFT(Cockpit!$O$5,1)="A",G224,IF(BT224=1,BU224,IF(LEFT(Cockpit!$O$5,1)="B",AU224,MAX(AU224,G224))))</f>
        <v/>
      </c>
      <c r="AR224" s="55">
        <f>IF(BO224=1,0,ROUNDUP(AQ224/BN224,0))</f>
        <v/>
      </c>
      <c r="AS224" s="64">
        <f>IF(BO224=1,IF(AQ224&lt;=0,0,BP224*MAX(1,IF(G224&gt;0,AQ224/G224,1))),AR224*Q224)</f>
        <v/>
      </c>
      <c r="AT224" s="55">
        <f>AQ224*F224</f>
        <v/>
      </c>
      <c r="AU224" s="55">
        <f>ROUNDUP(MAX(I224/IF(BS224&gt;0,BS224,MAX(0.1,N(Cockpit!$O$6))),BV224)/BN224,0)*BN224</f>
        <v/>
      </c>
      <c r="AV224" s="56">
        <f>IF(AS224&gt;0,I224/AS224,-1)</f>
        <v/>
      </c>
      <c r="AW224" s="56">
        <f>IF(AND(OR(BR224="L1",BR224="L23"),AS224&gt;0),SUMIFS($AS$7:$AS$1570,$BR$7:$BR$1570,BR224,$AV$7:$AV$1570,"&gt;"&amp;AV224)+SUMIFS($AS$7:$AS$1570,$BR$7:$BR$1570,BR224,$AV$7:$AV$1570,AV224,$BL$7:$BL$1570,"&lt;="&amp;BL224),"")</f>
        <v/>
      </c>
      <c r="AX224" s="65">
        <f>IF(AW224="",0,MAX(0,MIN(1,(IF(BR224="L1",Parameter!$K$5,Parameter!$K$6+Parameter!$K$7)-(AW224-AS224))/AS224)))</f>
        <v/>
      </c>
      <c r="AY224" s="53">
        <f>IF(AC224&lt;=0,"",IF(BR224="Aussen","Aussenlager",IF(BR224="-","Nicht im Lift",IF(AH224&gt;=1,"Lift",IF(AH224&lt;=0,"Aussenlager","teilweise")))))</f>
        <v/>
      </c>
      <c r="AZ224" s="53">
        <f>IF(AK224&lt;=0,"",IF(BR224="Aussen","Aussenlager",IF(BR224="-","Nicht im Lift",IF(AP224&gt;=1,"Lift",IF(AP224&lt;=0,"Aussenlager","teilweise")))))</f>
        <v/>
      </c>
      <c r="BA224" s="53">
        <f>IF(AS224&lt;=0,"",IF(BR224="Aussen","Aussenlager",IF(BR224="-","Nicht im Lift",IF(AX224&gt;=1,"Lift",IF(AX224&lt;=0,"Aussenlager","teilweise")))))</f>
        <v/>
      </c>
      <c r="BB224" s="53">
        <f>IF(A224="","",IF(BK224=1,"Neu; ","")&amp;IF(AND(BK224=0,BF224&lt;0),"negativer Bestand (Export "&amp;BF224&amp;"); ","")&amp;IF(I224&lt;=0,"Kein Verbrauch; ","")&amp;IF(BO224=1,"Lose – Fläche geschätzt; ","")&amp;IF(G224&gt;AM224,"Überbestand "&amp;ROUND(G224-AM224,0)&amp;" Stk / CHF "&amp;ROUND((G224-AM224)*F224,0)&amp;"; ","")&amp;IF(AND(BT224=1,BU224&lt;BV224),"MAX &lt; MB+LG; ","")&amp;IF(AND(BZ224&gt;0,BY224*10&gt;BZ224),"zu hoch für Tablar; ","")&amp;IF(AND(BK224=0,OR(BT224=1,V224&lt;&gt;"",S224&lt;&gt;"",T224&lt;&gt;"",W224&lt;&gt;"")),"manuell übersteuert; ","")&amp;IF(AND(BO224=0,Q224=0),"Gebinde unbekannt; ","")&amp;IF(AND(BO224=0,N(T224)&lt;=0,N(P224)&lt;=0),"Menge pro Gebinde fehlt (Ist = 1 Gebinde); ","")&amp;BJ224)</f>
        <v/>
      </c>
      <c r="BC224" s="53" t="n"/>
      <c r="BD224" s="53" t="n"/>
      <c r="BE224" s="61" t="n"/>
      <c r="BF224" s="55" t="n">
        <v>81</v>
      </c>
      <c r="BG224" s="55" t="n">
        <v>71</v>
      </c>
      <c r="BH224" s="54" t="n">
        <v>642.2400000000042</v>
      </c>
      <c r="BI224" s="55" t="n">
        <v>428</v>
      </c>
      <c r="BJ224" s="53" t="inlineStr"/>
      <c r="BK224" s="58" t="n">
        <v>0</v>
      </c>
      <c r="BL224" s="58" t="n">
        <v>224</v>
      </c>
      <c r="BM224" s="53">
        <f>IF(S224&lt;&gt;"",UPPER(TRIM(S224)),IF(O224="","LOSE",O224))</f>
        <v/>
      </c>
      <c r="BN224" s="55">
        <f>IF(BM224="LOSE",1,IF(N(T224)&gt;0,T224,IF(N(P224)&gt;0,P224,MAX(1,G224))))</f>
        <v/>
      </c>
      <c r="BO224" s="58">
        <f>IF(BM224="LOSE",1,0)</f>
        <v/>
      </c>
      <c r="BP224" s="64">
        <f>IF(BO224=0,0,IF(N(R224)&gt;0,R224,IFERROR(VLOOKUP(D224,Parameter!$A$35:$C$64,3,0)+0,0)))</f>
        <v/>
      </c>
      <c r="BQ224" s="53">
        <f>IF(V224&lt;&gt;"",V224,U224)</f>
        <v/>
      </c>
      <c r="BR224" s="53">
        <f>IF(BQ224=1,"L1",IF(OR(BQ224=2,BQ224=3),"L23",IF(BQ224="Aussen","Aussen","-")))</f>
        <v/>
      </c>
      <c r="BS224" s="66">
        <f>IF(N(W224)&gt;0,W224,0)</f>
        <v/>
      </c>
      <c r="BT224" s="58">
        <f>IF(ISNUMBER(Z224),1,0)</f>
        <v/>
      </c>
      <c r="BU224" s="55">
        <f>N(Z224)</f>
        <v/>
      </c>
      <c r="BV224" s="55">
        <f>N(L224)+N(M224)</f>
        <v/>
      </c>
      <c r="BW224" s="55">
        <f>ROUNDUP(G224/BN224,0)</f>
        <v/>
      </c>
      <c r="BX224" s="55">
        <f>ROUNDUP(BU224/BN224,0)</f>
        <v/>
      </c>
      <c r="BY224" s="58">
        <f>IF(BO224=1,0,IFERROR(VLOOKUP(BM224,'Gebinde-Kategorie'!$A$5:$G$45,5,0)+0,0))</f>
        <v/>
      </c>
      <c r="BZ224" s="58">
        <f>IFERROR(IF(OR(BQ224=1,BQ224=2,BQ224=3),N(INDEX(Parameter!$I$5:$I$7,BQ224)),0),0)</f>
        <v/>
      </c>
    </row>
    <row r="225">
      <c r="A225" s="53" t="inlineStr">
        <is>
          <t>110863</t>
        </is>
      </c>
      <c r="B225" s="53" t="inlineStr">
        <is>
          <t>Zwischenflansch Spülluft</t>
        </is>
      </c>
      <c r="C225" s="53" t="inlineStr">
        <is>
          <t>F</t>
        </is>
      </c>
      <c r="D225" s="53" t="inlineStr">
        <is>
          <t>PAL</t>
        </is>
      </c>
      <c r="E225" s="53" t="inlineStr">
        <is>
          <t>C</t>
        </is>
      </c>
      <c r="F225" s="54" t="n">
        <v>640</v>
      </c>
      <c r="G225" s="55">
        <f>MAX(0,IF(Parameter!$B$20="Jahresanfang 2025 + Export",BG225+BF225,BF225))</f>
        <v/>
      </c>
      <c r="H225" s="55">
        <f>G225*F225</f>
        <v/>
      </c>
      <c r="I225" s="55">
        <f>BI225*Parameter!$B$18</f>
        <v/>
      </c>
      <c r="J225" s="56" t="n">
        <v>0.5</v>
      </c>
      <c r="K225" s="57" t="n">
        <v>22</v>
      </c>
      <c r="L225" s="55" t="n">
        <v>1</v>
      </c>
      <c r="M225" s="55" t="n">
        <v>5</v>
      </c>
      <c r="N225" s="58" t="n">
        <v>35</v>
      </c>
      <c r="O225" s="53" t="inlineStr">
        <is>
          <t>S61</t>
        </is>
      </c>
      <c r="P225" s="55" t="n">
        <v>6</v>
      </c>
      <c r="Q225" s="59">
        <f>IF(BO225=1,0,IFERROR(VLOOKUP(BM225,'Gebinde-Kategorie'!$A$5:$G$45,6,0)+0,0))</f>
        <v/>
      </c>
      <c r="R225" s="60" t="n"/>
      <c r="S225" s="61" t="n"/>
      <c r="T225" s="61" t="n"/>
      <c r="U225" s="53">
        <f>IF(A225="","",IF(IFERROR(VLOOKUP(D225,Parameter!$A$35:$C$64,2,0),"Nein")="2+3",IF(ISNUMBER(SEARCH("grosser Artikel",BJ225)),2,IFERROR(VLOOKUP(BM225,Parameter!$F$35:$G$64,2,0),2)),IF(OR(IFERROR(VLOOKUP(D225,Parameter!$A$35:$C$64,2,0),"Nein")="Nein",IFERROR(VLOOKUP(D225,Parameter!$A$35:$C$64,2,0),"Nein")=""),"-",VLOOKUP(D225,Parameter!$A$35:$C$64,2,0))))</f>
        <v/>
      </c>
      <c r="V225" s="61" t="n"/>
      <c r="W225" s="62" t="n"/>
      <c r="X225" s="55">
        <f>AM225</f>
        <v/>
      </c>
      <c r="Y225" s="55">
        <f>MAX(AM225,G225)</f>
        <v/>
      </c>
      <c r="Z225" s="63" t="n"/>
      <c r="AA225" s="55">
        <f>IF(LEFT(Cockpit!$C$5,1)="A",G225,IF(BT225=1,BU225,IF(LEFT(Cockpit!$C$5,1)="B",AE225,MAX(AE225,G225))))</f>
        <v/>
      </c>
      <c r="AB225" s="55">
        <f>IF(BO225=1,0,ROUNDUP(AA225/BN225,0))</f>
        <v/>
      </c>
      <c r="AC225" s="64">
        <f>IF(BO225=1,IF(AA225&lt;=0,0,BP225*MAX(1,IF(G225&gt;0,AA225/G225,1))),AB225*Q225)</f>
        <v/>
      </c>
      <c r="AD225" s="55">
        <f>AA225*F225</f>
        <v/>
      </c>
      <c r="AE225" s="55">
        <f>ROUNDUP(MAX(I225/IF(BS225&gt;0,BS225,MAX(0.1,N(Cockpit!$C$6))),BV225)/BN225,0)*BN225</f>
        <v/>
      </c>
      <c r="AF225" s="56">
        <f>IF(AC225&gt;0,I225/AC225,-1)</f>
        <v/>
      </c>
      <c r="AG225" s="56">
        <f>IF(AND(OR(BR225="L1",BR225="L23"),AC225&gt;0),SUMIFS($AC$7:$AC$1570,$BR$7:$BR$1570,BR225,$AF$7:$AF$1570,"&gt;"&amp;AF225)+SUMIFS($AC$7:$AC$1570,$BR$7:$BR$1570,BR225,$AF$7:$AF$1570,AF225,$BL$7:$BL$1570,"&lt;="&amp;BL225),"")</f>
        <v/>
      </c>
      <c r="AH225" s="65">
        <f>IF(AG225="",0,MAX(0,MIN(1,(IF(BR225="L1",Parameter!$K$5,Parameter!$K$6+Parameter!$K$7)-(AG225-AC225))/AC225)))</f>
        <v/>
      </c>
      <c r="AI225" s="55">
        <f>IF(LEFT(Cockpit!$I$5,1)="A",G225,IF(BT225=1,BU225,IF(LEFT(Cockpit!$I$5,1)="B",AM225,MAX(AM225,G225))))</f>
        <v/>
      </c>
      <c r="AJ225" s="55">
        <f>IF(BO225=1,0,ROUNDUP(AI225/BN225,0))</f>
        <v/>
      </c>
      <c r="AK225" s="64">
        <f>IF(BO225=1,IF(AI225&lt;=0,0,BP225*MAX(1,IF(G225&gt;0,AI225/G225,1))),AJ225*Q225)</f>
        <v/>
      </c>
      <c r="AL225" s="55">
        <f>AI225*F225</f>
        <v/>
      </c>
      <c r="AM225" s="55">
        <f>ROUNDUP(MAX(I225/IF(BS225&gt;0,BS225,MAX(0.1,N(Cockpit!$I$6))),BV225)/BN225,0)*BN225</f>
        <v/>
      </c>
      <c r="AN225" s="56">
        <f>IF(AK225&gt;0,I225/AK225,-1)</f>
        <v/>
      </c>
      <c r="AO225" s="56">
        <f>IF(AND(OR(BR225="L1",BR225="L23"),AK225&gt;0),SUMIFS($AK$7:$AK$1570,$BR$7:$BR$1570,BR225,$AN$7:$AN$1570,"&gt;"&amp;AN225)+SUMIFS($AK$7:$AK$1570,$BR$7:$BR$1570,BR225,$AN$7:$AN$1570,AN225,$BL$7:$BL$1570,"&lt;="&amp;BL225),"")</f>
        <v/>
      </c>
      <c r="AP225" s="65">
        <f>IF(AO225="",0,MAX(0,MIN(1,(IF(BR225="L1",Parameter!$K$5,Parameter!$K$6+Parameter!$K$7)-(AO225-AK225))/AK225)))</f>
        <v/>
      </c>
      <c r="AQ225" s="55">
        <f>IF(LEFT(Cockpit!$O$5,1)="A",G225,IF(BT225=1,BU225,IF(LEFT(Cockpit!$O$5,1)="B",AU225,MAX(AU225,G225))))</f>
        <v/>
      </c>
      <c r="AR225" s="55">
        <f>IF(BO225=1,0,ROUNDUP(AQ225/BN225,0))</f>
        <v/>
      </c>
      <c r="AS225" s="64">
        <f>IF(BO225=1,IF(AQ225&lt;=0,0,BP225*MAX(1,IF(G225&gt;0,AQ225/G225,1))),AR225*Q225)</f>
        <v/>
      </c>
      <c r="AT225" s="55">
        <f>AQ225*F225</f>
        <v/>
      </c>
      <c r="AU225" s="55">
        <f>ROUNDUP(MAX(I225/IF(BS225&gt;0,BS225,MAX(0.1,N(Cockpit!$O$6))),BV225)/BN225,0)*BN225</f>
        <v/>
      </c>
      <c r="AV225" s="56">
        <f>IF(AS225&gt;0,I225/AS225,-1)</f>
        <v/>
      </c>
      <c r="AW225" s="56">
        <f>IF(AND(OR(BR225="L1",BR225="L23"),AS225&gt;0),SUMIFS($AS$7:$AS$1570,$BR$7:$BR$1570,BR225,$AV$7:$AV$1570,"&gt;"&amp;AV225)+SUMIFS($AS$7:$AS$1570,$BR$7:$BR$1570,BR225,$AV$7:$AV$1570,AV225,$BL$7:$BL$1570,"&lt;="&amp;BL225),"")</f>
        <v/>
      </c>
      <c r="AX225" s="65">
        <f>IF(AW225="",0,MAX(0,MIN(1,(IF(BR225="L1",Parameter!$K$5,Parameter!$K$6+Parameter!$K$7)-(AW225-AS225))/AS225)))</f>
        <v/>
      </c>
      <c r="AY225" s="53">
        <f>IF(AC225&lt;=0,"",IF(BR225="Aussen","Aussenlager",IF(BR225="-","Nicht im Lift",IF(AH225&gt;=1,"Lift",IF(AH225&lt;=0,"Aussenlager","teilweise")))))</f>
        <v/>
      </c>
      <c r="AZ225" s="53">
        <f>IF(AK225&lt;=0,"",IF(BR225="Aussen","Aussenlager",IF(BR225="-","Nicht im Lift",IF(AP225&gt;=1,"Lift",IF(AP225&lt;=0,"Aussenlager","teilweise")))))</f>
        <v/>
      </c>
      <c r="BA225" s="53">
        <f>IF(AS225&lt;=0,"",IF(BR225="Aussen","Aussenlager",IF(BR225="-","Nicht im Lift",IF(AX225&gt;=1,"Lift",IF(AX225&lt;=0,"Aussenlager","teilweise")))))</f>
        <v/>
      </c>
      <c r="BB225" s="53">
        <f>IF(A225="","",IF(BK225=1,"Neu; ","")&amp;IF(AND(BK225=0,BF225&lt;0),"negativer Bestand (Export "&amp;BF225&amp;"); ","")&amp;IF(I225&lt;=0,"Kein Verbrauch; ","")&amp;IF(BO225=1,"Lose – Fläche geschätzt; ","")&amp;IF(G225&gt;AM225,"Überbestand "&amp;ROUND(G225-AM225,0)&amp;" Stk / CHF "&amp;ROUND((G225-AM225)*F225,0)&amp;"; ","")&amp;IF(AND(BT225=1,BU225&lt;BV225),"MAX &lt; MB+LG; ","")&amp;IF(AND(BZ225&gt;0,BY225*10&gt;BZ225),"zu hoch für Tablar; ","")&amp;IF(AND(BK225=0,OR(BT225=1,V225&lt;&gt;"",S225&lt;&gt;"",T225&lt;&gt;"",W225&lt;&gt;"")),"manuell übersteuert; ","")&amp;IF(AND(BO225=0,Q225=0),"Gebinde unbekannt; ","")&amp;IF(AND(BO225=0,N(T225)&lt;=0,N(P225)&lt;=0),"Menge pro Gebinde fehlt (Ist = 1 Gebinde); ","")&amp;BJ225)</f>
        <v/>
      </c>
      <c r="BC225" s="53" t="n"/>
      <c r="BD225" s="53" t="n"/>
      <c r="BE225" s="61" t="n"/>
      <c r="BF225" s="55" t="n">
        <v>1</v>
      </c>
      <c r="BG225" s="55" t="n">
        <v>0</v>
      </c>
      <c r="BH225" s="54" t="n">
        <v>640</v>
      </c>
      <c r="BI225" s="55" t="n">
        <v>11</v>
      </c>
      <c r="BJ225" s="53" t="inlineStr"/>
      <c r="BK225" s="58" t="n">
        <v>0</v>
      </c>
      <c r="BL225" s="58" t="n">
        <v>225</v>
      </c>
      <c r="BM225" s="53">
        <f>IF(S225&lt;&gt;"",UPPER(TRIM(S225)),IF(O225="","LOSE",O225))</f>
        <v/>
      </c>
      <c r="BN225" s="55">
        <f>IF(BM225="LOSE",1,IF(N(T225)&gt;0,T225,IF(N(P225)&gt;0,P225,MAX(1,G225))))</f>
        <v/>
      </c>
      <c r="BO225" s="58">
        <f>IF(BM225="LOSE",1,0)</f>
        <v/>
      </c>
      <c r="BP225" s="64">
        <f>IF(BO225=0,0,IF(N(R225)&gt;0,R225,IFERROR(VLOOKUP(D225,Parameter!$A$35:$C$64,3,0)+0,0)))</f>
        <v/>
      </c>
      <c r="BQ225" s="53">
        <f>IF(V225&lt;&gt;"",V225,U225)</f>
        <v/>
      </c>
      <c r="BR225" s="53">
        <f>IF(BQ225=1,"L1",IF(OR(BQ225=2,BQ225=3),"L23",IF(BQ225="Aussen","Aussen","-")))</f>
        <v/>
      </c>
      <c r="BS225" s="66">
        <f>IF(N(W225)&gt;0,W225,0)</f>
        <v/>
      </c>
      <c r="BT225" s="58">
        <f>IF(ISNUMBER(Z225),1,0)</f>
        <v/>
      </c>
      <c r="BU225" s="55">
        <f>N(Z225)</f>
        <v/>
      </c>
      <c r="BV225" s="55">
        <f>N(L225)+N(M225)</f>
        <v/>
      </c>
      <c r="BW225" s="55">
        <f>ROUNDUP(G225/BN225,0)</f>
        <v/>
      </c>
      <c r="BX225" s="55">
        <f>ROUNDUP(BU225/BN225,0)</f>
        <v/>
      </c>
      <c r="BY225" s="58">
        <f>IF(BO225=1,0,IFERROR(VLOOKUP(BM225,'Gebinde-Kategorie'!$A$5:$G$45,5,0)+0,0))</f>
        <v/>
      </c>
      <c r="BZ225" s="58">
        <f>IFERROR(IF(OR(BQ225=1,BQ225=2,BQ225=3),N(INDEX(Parameter!$I$5:$I$7,BQ225)),0),0)</f>
        <v/>
      </c>
    </row>
    <row r="226">
      <c r="A226" s="53" t="inlineStr">
        <is>
          <t>107722</t>
        </is>
      </c>
      <c r="B226" s="53" t="inlineStr">
        <is>
          <t>Stahldrahtseil</t>
        </is>
      </c>
      <c r="C226" s="53" t="inlineStr">
        <is>
          <t>F</t>
        </is>
      </c>
      <c r="D226" s="53" t="inlineStr">
        <is>
          <t>KTL</t>
        </is>
      </c>
      <c r="E226" s="53" t="inlineStr">
        <is>
          <t>C</t>
        </is>
      </c>
      <c r="F226" s="54" t="n">
        <v>7.7</v>
      </c>
      <c r="G226" s="55">
        <f>MAX(0,IF(Parameter!$B$20="Jahresanfang 2025 + Export",BG226+BF226,BF226))</f>
        <v/>
      </c>
      <c r="H226" s="55">
        <f>G226*F226</f>
        <v/>
      </c>
      <c r="I226" s="55">
        <f>BI226*Parameter!$B$18</f>
        <v/>
      </c>
      <c r="J226" s="56" t="n">
        <v>37</v>
      </c>
      <c r="K226" s="57" t="n">
        <v>3.486486486486486</v>
      </c>
      <c r="L226" s="55" t="n">
        <v>7</v>
      </c>
      <c r="M226" s="55" t="n">
        <v>130</v>
      </c>
      <c r="N226" s="58" t="n">
        <v>21</v>
      </c>
      <c r="O226" s="53" t="inlineStr">
        <is>
          <t>S51</t>
        </is>
      </c>
      <c r="P226" s="55" t="n">
        <v>131</v>
      </c>
      <c r="Q226" s="59">
        <f>IF(BO226=1,0,IFERROR(VLOOKUP(BM226,'Gebinde-Kategorie'!$A$5:$G$45,6,0)+0,0))</f>
        <v/>
      </c>
      <c r="R226" s="60" t="n"/>
      <c r="S226" s="61" t="n"/>
      <c r="T226" s="61" t="n"/>
      <c r="U226" s="53">
        <f>IF(A226="","",IF(IFERROR(VLOOKUP(D226,Parameter!$A$35:$C$64,2,0),"Nein")="2+3",IF(ISNUMBER(SEARCH("grosser Artikel",BJ226)),2,IFERROR(VLOOKUP(BM226,Parameter!$F$35:$G$64,2,0),2)),IF(OR(IFERROR(VLOOKUP(D226,Parameter!$A$35:$C$64,2,0),"Nein")="Nein",IFERROR(VLOOKUP(D226,Parameter!$A$35:$C$64,2,0),"Nein")=""),"-",VLOOKUP(D226,Parameter!$A$35:$C$64,2,0))))</f>
        <v/>
      </c>
      <c r="V226" s="61" t="n"/>
      <c r="W226" s="62" t="n"/>
      <c r="X226" s="55">
        <f>AM226</f>
        <v/>
      </c>
      <c r="Y226" s="55">
        <f>MAX(AM226,G226)</f>
        <v/>
      </c>
      <c r="Z226" s="63" t="n"/>
      <c r="AA226" s="55">
        <f>IF(LEFT(Cockpit!$C$5,1)="A",G226,IF(BT226=1,BU226,IF(LEFT(Cockpit!$C$5,1)="B",AE226,MAX(AE226,G226))))</f>
        <v/>
      </c>
      <c r="AB226" s="55">
        <f>IF(BO226=1,0,ROUNDUP(AA226/BN226,0))</f>
        <v/>
      </c>
      <c r="AC226" s="64">
        <f>IF(BO226=1,IF(AA226&lt;=0,0,BP226*MAX(1,IF(G226&gt;0,AA226/G226,1))),AB226*Q226)</f>
        <v/>
      </c>
      <c r="AD226" s="55">
        <f>AA226*F226</f>
        <v/>
      </c>
      <c r="AE226" s="55">
        <f>ROUNDUP(MAX(I226/IF(BS226&gt;0,BS226,MAX(0.1,N(Cockpit!$C$6))),BV226)/BN226,0)*BN226</f>
        <v/>
      </c>
      <c r="AF226" s="56">
        <f>IF(AC226&gt;0,I226/AC226,-1)</f>
        <v/>
      </c>
      <c r="AG226" s="56">
        <f>IF(AND(OR(BR226="L1",BR226="L23"),AC226&gt;0),SUMIFS($AC$7:$AC$1570,$BR$7:$BR$1570,BR226,$AF$7:$AF$1570,"&gt;"&amp;AF226)+SUMIFS($AC$7:$AC$1570,$BR$7:$BR$1570,BR226,$AF$7:$AF$1570,AF226,$BL$7:$BL$1570,"&lt;="&amp;BL226),"")</f>
        <v/>
      </c>
      <c r="AH226" s="65">
        <f>IF(AG226="",0,MAX(0,MIN(1,(IF(BR226="L1",Parameter!$K$5,Parameter!$K$6+Parameter!$K$7)-(AG226-AC226))/AC226)))</f>
        <v/>
      </c>
      <c r="AI226" s="55">
        <f>IF(LEFT(Cockpit!$I$5,1)="A",G226,IF(BT226=1,BU226,IF(LEFT(Cockpit!$I$5,1)="B",AM226,MAX(AM226,G226))))</f>
        <v/>
      </c>
      <c r="AJ226" s="55">
        <f>IF(BO226=1,0,ROUNDUP(AI226/BN226,0))</f>
        <v/>
      </c>
      <c r="AK226" s="64">
        <f>IF(BO226=1,IF(AI226&lt;=0,0,BP226*MAX(1,IF(G226&gt;0,AI226/G226,1))),AJ226*Q226)</f>
        <v/>
      </c>
      <c r="AL226" s="55">
        <f>AI226*F226</f>
        <v/>
      </c>
      <c r="AM226" s="55">
        <f>ROUNDUP(MAX(I226/IF(BS226&gt;0,BS226,MAX(0.1,N(Cockpit!$I$6))),BV226)/BN226,0)*BN226</f>
        <v/>
      </c>
      <c r="AN226" s="56">
        <f>IF(AK226&gt;0,I226/AK226,-1)</f>
        <v/>
      </c>
      <c r="AO226" s="56">
        <f>IF(AND(OR(BR226="L1",BR226="L23"),AK226&gt;0),SUMIFS($AK$7:$AK$1570,$BR$7:$BR$1570,BR226,$AN$7:$AN$1570,"&gt;"&amp;AN226)+SUMIFS($AK$7:$AK$1570,$BR$7:$BR$1570,BR226,$AN$7:$AN$1570,AN226,$BL$7:$BL$1570,"&lt;="&amp;BL226),"")</f>
        <v/>
      </c>
      <c r="AP226" s="65">
        <f>IF(AO226="",0,MAX(0,MIN(1,(IF(BR226="L1",Parameter!$K$5,Parameter!$K$6+Parameter!$K$7)-(AO226-AK226))/AK226)))</f>
        <v/>
      </c>
      <c r="AQ226" s="55">
        <f>IF(LEFT(Cockpit!$O$5,1)="A",G226,IF(BT226=1,BU226,IF(LEFT(Cockpit!$O$5,1)="B",AU226,MAX(AU226,G226))))</f>
        <v/>
      </c>
      <c r="AR226" s="55">
        <f>IF(BO226=1,0,ROUNDUP(AQ226/BN226,0))</f>
        <v/>
      </c>
      <c r="AS226" s="64">
        <f>IF(BO226=1,IF(AQ226&lt;=0,0,BP226*MAX(1,IF(G226&gt;0,AQ226/G226,1))),AR226*Q226)</f>
        <v/>
      </c>
      <c r="AT226" s="55">
        <f>AQ226*F226</f>
        <v/>
      </c>
      <c r="AU226" s="55">
        <f>ROUNDUP(MAX(I226/IF(BS226&gt;0,BS226,MAX(0.1,N(Cockpit!$O$6))),BV226)/BN226,0)*BN226</f>
        <v/>
      </c>
      <c r="AV226" s="56">
        <f>IF(AS226&gt;0,I226/AS226,-1)</f>
        <v/>
      </c>
      <c r="AW226" s="56">
        <f>IF(AND(OR(BR226="L1",BR226="L23"),AS226&gt;0),SUMIFS($AS$7:$AS$1570,$BR$7:$BR$1570,BR226,$AV$7:$AV$1570,"&gt;"&amp;AV226)+SUMIFS($AS$7:$AS$1570,$BR$7:$BR$1570,BR226,$AV$7:$AV$1570,AV226,$BL$7:$BL$1570,"&lt;="&amp;BL226),"")</f>
        <v/>
      </c>
      <c r="AX226" s="65">
        <f>IF(AW226="",0,MAX(0,MIN(1,(IF(BR226="L1",Parameter!$K$5,Parameter!$K$6+Parameter!$K$7)-(AW226-AS226))/AS226)))</f>
        <v/>
      </c>
      <c r="AY226" s="53">
        <f>IF(AC226&lt;=0,"",IF(BR226="Aussen","Aussenlager",IF(BR226="-","Nicht im Lift",IF(AH226&gt;=1,"Lift",IF(AH226&lt;=0,"Aussenlager","teilweise")))))</f>
        <v/>
      </c>
      <c r="AZ226" s="53">
        <f>IF(AK226&lt;=0,"",IF(BR226="Aussen","Aussenlager",IF(BR226="-","Nicht im Lift",IF(AP226&gt;=1,"Lift",IF(AP226&lt;=0,"Aussenlager","teilweise")))))</f>
        <v/>
      </c>
      <c r="BA226" s="53">
        <f>IF(AS226&lt;=0,"",IF(BR226="Aussen","Aussenlager",IF(BR226="-","Nicht im Lift",IF(AX226&gt;=1,"Lift",IF(AX226&lt;=0,"Aussenlager","teilweise")))))</f>
        <v/>
      </c>
      <c r="BB226" s="53">
        <f>IF(A226="","",IF(BK226=1,"Neu; ","")&amp;IF(AND(BK226=0,BF226&lt;0),"negativer Bestand (Export "&amp;BF226&amp;"); ","")&amp;IF(I226&lt;=0,"Kein Verbrauch; ","")&amp;IF(BO226=1,"Lose – Fläche geschätzt; ","")&amp;IF(G226&gt;AM226,"Überbestand "&amp;ROUND(G226-AM226,0)&amp;" Stk / CHF "&amp;ROUND((G226-AM226)*F226,0)&amp;"; ","")&amp;IF(AND(BT226=1,BU226&lt;BV226),"MAX &lt; MB+LG; ","")&amp;IF(AND(BZ226&gt;0,BY226*10&gt;BZ226),"zu hoch für Tablar; ","")&amp;IF(AND(BK226=0,OR(BT226=1,V226&lt;&gt;"",S226&lt;&gt;"",T226&lt;&gt;"",W226&lt;&gt;"")),"manuell übersteuert; ","")&amp;IF(AND(BO226=0,Q226=0),"Gebinde unbekannt; ","")&amp;IF(AND(BO226=0,N(T226)&lt;=0,N(P226)&lt;=0),"Menge pro Gebinde fehlt (Ist = 1 Gebinde); ","")&amp;BJ226)</f>
        <v/>
      </c>
      <c r="BC226" s="53" t="n"/>
      <c r="BD226" s="53" t="n"/>
      <c r="BE226" s="61" t="n"/>
      <c r="BF226" s="55" t="n">
        <v>83</v>
      </c>
      <c r="BG226" s="55" t="n">
        <v>36</v>
      </c>
      <c r="BH226" s="54" t="n">
        <v>638.7399999999986</v>
      </c>
      <c r="BI226" s="55" t="n">
        <v>129</v>
      </c>
      <c r="BJ226" s="53" t="inlineStr"/>
      <c r="BK226" s="58" t="n">
        <v>0</v>
      </c>
      <c r="BL226" s="58" t="n">
        <v>226</v>
      </c>
      <c r="BM226" s="53">
        <f>IF(S226&lt;&gt;"",UPPER(TRIM(S226)),IF(O226="","LOSE",O226))</f>
        <v/>
      </c>
      <c r="BN226" s="55">
        <f>IF(BM226="LOSE",1,IF(N(T226)&gt;0,T226,IF(N(P226)&gt;0,P226,MAX(1,G226))))</f>
        <v/>
      </c>
      <c r="BO226" s="58">
        <f>IF(BM226="LOSE",1,0)</f>
        <v/>
      </c>
      <c r="BP226" s="64">
        <f>IF(BO226=0,0,IF(N(R226)&gt;0,R226,IFERROR(VLOOKUP(D226,Parameter!$A$35:$C$64,3,0)+0,0)))</f>
        <v/>
      </c>
      <c r="BQ226" s="53">
        <f>IF(V226&lt;&gt;"",V226,U226)</f>
        <v/>
      </c>
      <c r="BR226" s="53">
        <f>IF(BQ226=1,"L1",IF(OR(BQ226=2,BQ226=3),"L23",IF(BQ226="Aussen","Aussen","-")))</f>
        <v/>
      </c>
      <c r="BS226" s="66">
        <f>IF(N(W226)&gt;0,W226,0)</f>
        <v/>
      </c>
      <c r="BT226" s="58">
        <f>IF(ISNUMBER(Z226),1,0)</f>
        <v/>
      </c>
      <c r="BU226" s="55">
        <f>N(Z226)</f>
        <v/>
      </c>
      <c r="BV226" s="55">
        <f>N(L226)+N(M226)</f>
        <v/>
      </c>
      <c r="BW226" s="55">
        <f>ROUNDUP(G226/BN226,0)</f>
        <v/>
      </c>
      <c r="BX226" s="55">
        <f>ROUNDUP(BU226/BN226,0)</f>
        <v/>
      </c>
      <c r="BY226" s="58">
        <f>IF(BO226=1,0,IFERROR(VLOOKUP(BM226,'Gebinde-Kategorie'!$A$5:$G$45,5,0)+0,0))</f>
        <v/>
      </c>
      <c r="BZ226" s="58">
        <f>IFERROR(IF(OR(BQ226=1,BQ226=2,BQ226=3),N(INDEX(Parameter!$I$5:$I$7,BQ226)),0),0)</f>
        <v/>
      </c>
    </row>
    <row r="227">
      <c r="A227" s="53" t="inlineStr">
        <is>
          <t>001170</t>
        </is>
      </c>
      <c r="B227" s="53" t="inlineStr">
        <is>
          <t>Holzkiste Austrittsdüse</t>
        </is>
      </c>
      <c r="C227" s="53" t="inlineStr">
        <is>
          <t>F</t>
        </is>
      </c>
      <c r="D227" s="53" t="inlineStr">
        <is>
          <t>PAL</t>
        </is>
      </c>
      <c r="E227" s="53" t="inlineStr">
        <is>
          <t>C</t>
        </is>
      </c>
      <c r="F227" s="54" t="n">
        <v>245.45</v>
      </c>
      <c r="G227" s="55">
        <f>MAX(0,IF(Parameter!$B$20="Jahresanfang 2025 + Export",BG227+BF227,BF227))</f>
        <v/>
      </c>
      <c r="H227" s="55">
        <f>G227*F227</f>
        <v/>
      </c>
      <c r="I227" s="55">
        <f>BI227*Parameter!$B$18</f>
        <v/>
      </c>
      <c r="J227" s="56" t="n">
        <v>1</v>
      </c>
      <c r="K227" s="57" t="n">
        <v>20</v>
      </c>
      <c r="L227" s="55" t="n">
        <v>1</v>
      </c>
      <c r="M227" s="55" t="n">
        <v>2</v>
      </c>
      <c r="N227" s="58" t="n">
        <v>14</v>
      </c>
      <c r="O227" s="53" t="inlineStr">
        <is>
          <t>LOSE</t>
        </is>
      </c>
      <c r="P227" s="55" t="n"/>
      <c r="Q227" s="59">
        <f>IF(BO227=1,0,IFERROR(VLOOKUP(BM227,'Gebinde-Kategorie'!$A$5:$G$45,6,0)+0,0))</f>
        <v/>
      </c>
      <c r="R227" s="60" t="n"/>
      <c r="S227" s="61" t="n"/>
      <c r="T227" s="61" t="n"/>
      <c r="U227" s="53">
        <f>IF(A227="","",IF(IFERROR(VLOOKUP(D227,Parameter!$A$35:$C$64,2,0),"Nein")="2+3",IF(ISNUMBER(SEARCH("grosser Artikel",BJ227)),2,IFERROR(VLOOKUP(BM227,Parameter!$F$35:$G$64,2,0),2)),IF(OR(IFERROR(VLOOKUP(D227,Parameter!$A$35:$C$64,2,0),"Nein")="Nein",IFERROR(VLOOKUP(D227,Parameter!$A$35:$C$64,2,0),"Nein")=""),"-",VLOOKUP(D227,Parameter!$A$35:$C$64,2,0))))</f>
        <v/>
      </c>
      <c r="V227" s="61" t="n"/>
      <c r="W227" s="62" t="n"/>
      <c r="X227" s="55">
        <f>AM227</f>
        <v/>
      </c>
      <c r="Y227" s="55">
        <f>MAX(AM227,G227)</f>
        <v/>
      </c>
      <c r="Z227" s="63" t="n"/>
      <c r="AA227" s="55">
        <f>IF(LEFT(Cockpit!$C$5,1)="A",G227,IF(BT227=1,BU227,IF(LEFT(Cockpit!$C$5,1)="B",AE227,MAX(AE227,G227))))</f>
        <v/>
      </c>
      <c r="AB227" s="55">
        <f>IF(BO227=1,0,ROUNDUP(AA227/BN227,0))</f>
        <v/>
      </c>
      <c r="AC227" s="64">
        <f>IF(BO227=1,IF(AA227&lt;=0,0,BP227*MAX(1,IF(G227&gt;0,AA227/G227,1))),AB227*Q227)</f>
        <v/>
      </c>
      <c r="AD227" s="55">
        <f>AA227*F227</f>
        <v/>
      </c>
      <c r="AE227" s="55">
        <f>ROUNDUP(MAX(I227/IF(BS227&gt;0,BS227,MAX(0.1,N(Cockpit!$C$6))),BV227)/BN227,0)*BN227</f>
        <v/>
      </c>
      <c r="AF227" s="56">
        <f>IF(AC227&gt;0,I227/AC227,-1)</f>
        <v/>
      </c>
      <c r="AG227" s="56">
        <f>IF(AND(OR(BR227="L1",BR227="L23"),AC227&gt;0),SUMIFS($AC$7:$AC$1570,$BR$7:$BR$1570,BR227,$AF$7:$AF$1570,"&gt;"&amp;AF227)+SUMIFS($AC$7:$AC$1570,$BR$7:$BR$1570,BR227,$AF$7:$AF$1570,AF227,$BL$7:$BL$1570,"&lt;="&amp;BL227),"")</f>
        <v/>
      </c>
      <c r="AH227" s="65">
        <f>IF(AG227="",0,MAX(0,MIN(1,(IF(BR227="L1",Parameter!$K$5,Parameter!$K$6+Parameter!$K$7)-(AG227-AC227))/AC227)))</f>
        <v/>
      </c>
      <c r="AI227" s="55">
        <f>IF(LEFT(Cockpit!$I$5,1)="A",G227,IF(BT227=1,BU227,IF(LEFT(Cockpit!$I$5,1)="B",AM227,MAX(AM227,G227))))</f>
        <v/>
      </c>
      <c r="AJ227" s="55">
        <f>IF(BO227=1,0,ROUNDUP(AI227/BN227,0))</f>
        <v/>
      </c>
      <c r="AK227" s="64">
        <f>IF(BO227=1,IF(AI227&lt;=0,0,BP227*MAX(1,IF(G227&gt;0,AI227/G227,1))),AJ227*Q227)</f>
        <v/>
      </c>
      <c r="AL227" s="55">
        <f>AI227*F227</f>
        <v/>
      </c>
      <c r="AM227" s="55">
        <f>ROUNDUP(MAX(I227/IF(BS227&gt;0,BS227,MAX(0.1,N(Cockpit!$I$6))),BV227)/BN227,0)*BN227</f>
        <v/>
      </c>
      <c r="AN227" s="56">
        <f>IF(AK227&gt;0,I227/AK227,-1)</f>
        <v/>
      </c>
      <c r="AO227" s="56">
        <f>IF(AND(OR(BR227="L1",BR227="L23"),AK227&gt;0),SUMIFS($AK$7:$AK$1570,$BR$7:$BR$1570,BR227,$AN$7:$AN$1570,"&gt;"&amp;AN227)+SUMIFS($AK$7:$AK$1570,$BR$7:$BR$1570,BR227,$AN$7:$AN$1570,AN227,$BL$7:$BL$1570,"&lt;="&amp;BL227),"")</f>
        <v/>
      </c>
      <c r="AP227" s="65">
        <f>IF(AO227="",0,MAX(0,MIN(1,(IF(BR227="L1",Parameter!$K$5,Parameter!$K$6+Parameter!$K$7)-(AO227-AK227))/AK227)))</f>
        <v/>
      </c>
      <c r="AQ227" s="55">
        <f>IF(LEFT(Cockpit!$O$5,1)="A",G227,IF(BT227=1,BU227,IF(LEFT(Cockpit!$O$5,1)="B",AU227,MAX(AU227,G227))))</f>
        <v/>
      </c>
      <c r="AR227" s="55">
        <f>IF(BO227=1,0,ROUNDUP(AQ227/BN227,0))</f>
        <v/>
      </c>
      <c r="AS227" s="64">
        <f>IF(BO227=1,IF(AQ227&lt;=0,0,BP227*MAX(1,IF(G227&gt;0,AQ227/G227,1))),AR227*Q227)</f>
        <v/>
      </c>
      <c r="AT227" s="55">
        <f>AQ227*F227</f>
        <v/>
      </c>
      <c r="AU227" s="55">
        <f>ROUNDUP(MAX(I227/IF(BS227&gt;0,BS227,MAX(0.1,N(Cockpit!$O$6))),BV227)/BN227,0)*BN227</f>
        <v/>
      </c>
      <c r="AV227" s="56">
        <f>IF(AS227&gt;0,I227/AS227,-1)</f>
        <v/>
      </c>
      <c r="AW227" s="56">
        <f>IF(AND(OR(BR227="L1",BR227="L23"),AS227&gt;0),SUMIFS($AS$7:$AS$1570,$BR$7:$BR$1570,BR227,$AV$7:$AV$1570,"&gt;"&amp;AV227)+SUMIFS($AS$7:$AS$1570,$BR$7:$BR$1570,BR227,$AV$7:$AV$1570,AV227,$BL$7:$BL$1570,"&lt;="&amp;BL227),"")</f>
        <v/>
      </c>
      <c r="AX227" s="65">
        <f>IF(AW227="",0,MAX(0,MIN(1,(IF(BR227="L1",Parameter!$K$5,Parameter!$K$6+Parameter!$K$7)-(AW227-AS227))/AS227)))</f>
        <v/>
      </c>
      <c r="AY227" s="53">
        <f>IF(AC227&lt;=0,"",IF(BR227="Aussen","Aussenlager",IF(BR227="-","Nicht im Lift",IF(AH227&gt;=1,"Lift",IF(AH227&lt;=0,"Aussenlager","teilweise")))))</f>
        <v/>
      </c>
      <c r="AZ227" s="53">
        <f>IF(AK227&lt;=0,"",IF(BR227="Aussen","Aussenlager",IF(BR227="-","Nicht im Lift",IF(AP227&gt;=1,"Lift",IF(AP227&lt;=0,"Aussenlager","teilweise")))))</f>
        <v/>
      </c>
      <c r="BA227" s="53">
        <f>IF(AS227&lt;=0,"",IF(BR227="Aussen","Aussenlager",IF(BR227="-","Nicht im Lift",IF(AX227&gt;=1,"Lift",IF(AX227&lt;=0,"Aussenlager","teilweise")))))</f>
        <v/>
      </c>
      <c r="BB227" s="53">
        <f>IF(A227="","",IF(BK227=1,"Neu; ","")&amp;IF(AND(BK227=0,BF227&lt;0),"negativer Bestand (Export "&amp;BF227&amp;"); ","")&amp;IF(I227&lt;=0,"Kein Verbrauch; ","")&amp;IF(BO227=1,"Lose – Fläche geschätzt; ","")&amp;IF(G227&gt;AM227,"Überbestand "&amp;ROUND(G227-AM227,0)&amp;" Stk / CHF "&amp;ROUND((G227-AM227)*F227,0)&amp;"; ","")&amp;IF(AND(BT227=1,BU227&lt;BV227),"MAX &lt; MB+LG; ","")&amp;IF(AND(BZ227&gt;0,BY227*10&gt;BZ227),"zu hoch für Tablar; ","")&amp;IF(AND(BK227=0,OR(BT227=1,V227&lt;&gt;"",S227&lt;&gt;"",T227&lt;&gt;"",W227&lt;&gt;"")),"manuell übersteuert; ","")&amp;IF(AND(BO227=0,Q227=0),"Gebinde unbekannt; ","")&amp;IF(AND(BO227=0,N(T227)&lt;=0,N(P227)&lt;=0),"Menge pro Gebinde fehlt (Ist = 1 Gebinde); ","")&amp;BJ227)</f>
        <v/>
      </c>
      <c r="BC227" s="53" t="n"/>
      <c r="BD227" s="53" t="n"/>
      <c r="BE227" s="61" t="n"/>
      <c r="BF227" s="55" t="n">
        <v>2</v>
      </c>
      <c r="BG227" s="55" t="n">
        <v>2</v>
      </c>
      <c r="BH227" s="54" t="n">
        <v>636.4999999999998</v>
      </c>
      <c r="BI227" s="55" t="n">
        <v>20</v>
      </c>
      <c r="BJ227" s="53" t="inlineStr"/>
      <c r="BK227" s="58" t="n">
        <v>0</v>
      </c>
      <c r="BL227" s="58" t="n">
        <v>227</v>
      </c>
      <c r="BM227" s="53">
        <f>IF(S227&lt;&gt;"",UPPER(TRIM(S227)),IF(O227="","LOSE",O227))</f>
        <v/>
      </c>
      <c r="BN227" s="55">
        <f>IF(BM227="LOSE",1,IF(N(T227)&gt;0,T227,IF(N(P227)&gt;0,P227,MAX(1,G227))))</f>
        <v/>
      </c>
      <c r="BO227" s="58">
        <f>IF(BM227="LOSE",1,0)</f>
        <v/>
      </c>
      <c r="BP227" s="64">
        <f>IF(BO227=0,0,IF(N(R227)&gt;0,R227,IFERROR(VLOOKUP(D227,Parameter!$A$35:$C$64,3,0)+0,0)))</f>
        <v/>
      </c>
      <c r="BQ227" s="53">
        <f>IF(V227&lt;&gt;"",V227,U227)</f>
        <v/>
      </c>
      <c r="BR227" s="53">
        <f>IF(BQ227=1,"L1",IF(OR(BQ227=2,BQ227=3),"L23",IF(BQ227="Aussen","Aussen","-")))</f>
        <v/>
      </c>
      <c r="BS227" s="66">
        <f>IF(N(W227)&gt;0,W227,0)</f>
        <v/>
      </c>
      <c r="BT227" s="58">
        <f>IF(ISNUMBER(Z227),1,0)</f>
        <v/>
      </c>
      <c r="BU227" s="55">
        <f>N(Z227)</f>
        <v/>
      </c>
      <c r="BV227" s="55">
        <f>N(L227)+N(M227)</f>
        <v/>
      </c>
      <c r="BW227" s="55">
        <f>ROUNDUP(G227/BN227,0)</f>
        <v/>
      </c>
      <c r="BX227" s="55">
        <f>ROUNDUP(BU227/BN227,0)</f>
        <v/>
      </c>
      <c r="BY227" s="58">
        <f>IF(BO227=1,0,IFERROR(VLOOKUP(BM227,'Gebinde-Kategorie'!$A$5:$G$45,5,0)+0,0))</f>
        <v/>
      </c>
      <c r="BZ227" s="58">
        <f>IFERROR(IF(OR(BQ227=1,BQ227=2,BQ227=3),N(INDEX(Parameter!$I$5:$I$7,BQ227)),0),0)</f>
        <v/>
      </c>
    </row>
    <row r="228">
      <c r="A228" s="53" t="inlineStr">
        <is>
          <t>112028</t>
        </is>
      </c>
      <c r="B228" s="53" t="inlineStr">
        <is>
          <t>Einschraubverschraubung</t>
        </is>
      </c>
      <c r="C228" s="53" t="inlineStr">
        <is>
          <t>F</t>
        </is>
      </c>
      <c r="D228" s="53" t="inlineStr">
        <is>
          <t>KTL</t>
        </is>
      </c>
      <c r="E228" s="53" t="inlineStr">
        <is>
          <t>C</t>
        </is>
      </c>
      <c r="F228" s="54" t="n">
        <v>15.33</v>
      </c>
      <c r="G228" s="55">
        <f>MAX(0,IF(Parameter!$B$20="Jahresanfang 2025 + Export",BG228+BF228,BF228))</f>
        <v/>
      </c>
      <c r="H228" s="55">
        <f>G228*F228</f>
        <v/>
      </c>
      <c r="I228" s="55">
        <f>BI228*Parameter!$B$18</f>
        <v/>
      </c>
      <c r="J228" s="56" t="n">
        <v>0</v>
      </c>
      <c r="K228" s="57" t="n">
        <v>0</v>
      </c>
      <c r="L228" s="55" t="n">
        <v>0</v>
      </c>
      <c r="M228" s="55" t="n">
        <v>1</v>
      </c>
      <c r="N228" s="58" t="n">
        <v>9999</v>
      </c>
      <c r="O228" s="53" t="inlineStr">
        <is>
          <t>LOSE</t>
        </is>
      </c>
      <c r="P228" s="55" t="n"/>
      <c r="Q228" s="59">
        <f>IF(BO228=1,0,IFERROR(VLOOKUP(BM228,'Gebinde-Kategorie'!$A$5:$G$45,6,0)+0,0))</f>
        <v/>
      </c>
      <c r="R228" s="60" t="n"/>
      <c r="S228" s="61" t="n"/>
      <c r="T228" s="61" t="n"/>
      <c r="U228" s="53">
        <f>IF(A228="","",IF(IFERROR(VLOOKUP(D228,Parameter!$A$35:$C$64,2,0),"Nein")="2+3",IF(ISNUMBER(SEARCH("grosser Artikel",BJ228)),2,IFERROR(VLOOKUP(BM228,Parameter!$F$35:$G$64,2,0),2)),IF(OR(IFERROR(VLOOKUP(D228,Parameter!$A$35:$C$64,2,0),"Nein")="Nein",IFERROR(VLOOKUP(D228,Parameter!$A$35:$C$64,2,0),"Nein")=""),"-",VLOOKUP(D228,Parameter!$A$35:$C$64,2,0))))</f>
        <v/>
      </c>
      <c r="V228" s="61" t="n"/>
      <c r="W228" s="62" t="n"/>
      <c r="X228" s="55">
        <f>AM228</f>
        <v/>
      </c>
      <c r="Y228" s="55">
        <f>MAX(AM228,G228)</f>
        <v/>
      </c>
      <c r="Z228" s="63" t="n"/>
      <c r="AA228" s="55">
        <f>IF(LEFT(Cockpit!$C$5,1)="A",G228,IF(BT228=1,BU228,IF(LEFT(Cockpit!$C$5,1)="B",AE228,MAX(AE228,G228))))</f>
        <v/>
      </c>
      <c r="AB228" s="55">
        <f>IF(BO228=1,0,ROUNDUP(AA228/BN228,0))</f>
        <v/>
      </c>
      <c r="AC228" s="64">
        <f>IF(BO228=1,IF(AA228&lt;=0,0,BP228*MAX(1,IF(G228&gt;0,AA228/G228,1))),AB228*Q228)</f>
        <v/>
      </c>
      <c r="AD228" s="55">
        <f>AA228*F228</f>
        <v/>
      </c>
      <c r="AE228" s="55">
        <f>ROUNDUP(MAX(I228/IF(BS228&gt;0,BS228,MAX(0.1,N(Cockpit!$C$6))),BV228)/BN228,0)*BN228</f>
        <v/>
      </c>
      <c r="AF228" s="56">
        <f>IF(AC228&gt;0,I228/AC228,-1)</f>
        <v/>
      </c>
      <c r="AG228" s="56">
        <f>IF(AND(OR(BR228="L1",BR228="L23"),AC228&gt;0),SUMIFS($AC$7:$AC$1570,$BR$7:$BR$1570,BR228,$AF$7:$AF$1570,"&gt;"&amp;AF228)+SUMIFS($AC$7:$AC$1570,$BR$7:$BR$1570,BR228,$AF$7:$AF$1570,AF228,$BL$7:$BL$1570,"&lt;="&amp;BL228),"")</f>
        <v/>
      </c>
      <c r="AH228" s="65">
        <f>IF(AG228="",0,MAX(0,MIN(1,(IF(BR228="L1",Parameter!$K$5,Parameter!$K$6+Parameter!$K$7)-(AG228-AC228))/AC228)))</f>
        <v/>
      </c>
      <c r="AI228" s="55">
        <f>IF(LEFT(Cockpit!$I$5,1)="A",G228,IF(BT228=1,BU228,IF(LEFT(Cockpit!$I$5,1)="B",AM228,MAX(AM228,G228))))</f>
        <v/>
      </c>
      <c r="AJ228" s="55">
        <f>IF(BO228=1,0,ROUNDUP(AI228/BN228,0))</f>
        <v/>
      </c>
      <c r="AK228" s="64">
        <f>IF(BO228=1,IF(AI228&lt;=0,0,BP228*MAX(1,IF(G228&gt;0,AI228/G228,1))),AJ228*Q228)</f>
        <v/>
      </c>
      <c r="AL228" s="55">
        <f>AI228*F228</f>
        <v/>
      </c>
      <c r="AM228" s="55">
        <f>ROUNDUP(MAX(I228/IF(BS228&gt;0,BS228,MAX(0.1,N(Cockpit!$I$6))),BV228)/BN228,0)*BN228</f>
        <v/>
      </c>
      <c r="AN228" s="56">
        <f>IF(AK228&gt;0,I228/AK228,-1)</f>
        <v/>
      </c>
      <c r="AO228" s="56">
        <f>IF(AND(OR(BR228="L1",BR228="L23"),AK228&gt;0),SUMIFS($AK$7:$AK$1570,$BR$7:$BR$1570,BR228,$AN$7:$AN$1570,"&gt;"&amp;AN228)+SUMIFS($AK$7:$AK$1570,$BR$7:$BR$1570,BR228,$AN$7:$AN$1570,AN228,$BL$7:$BL$1570,"&lt;="&amp;BL228),"")</f>
        <v/>
      </c>
      <c r="AP228" s="65">
        <f>IF(AO228="",0,MAX(0,MIN(1,(IF(BR228="L1",Parameter!$K$5,Parameter!$K$6+Parameter!$K$7)-(AO228-AK228))/AK228)))</f>
        <v/>
      </c>
      <c r="AQ228" s="55">
        <f>IF(LEFT(Cockpit!$O$5,1)="A",G228,IF(BT228=1,BU228,IF(LEFT(Cockpit!$O$5,1)="B",AU228,MAX(AU228,G228))))</f>
        <v/>
      </c>
      <c r="AR228" s="55">
        <f>IF(BO228=1,0,ROUNDUP(AQ228/BN228,0))</f>
        <v/>
      </c>
      <c r="AS228" s="64">
        <f>IF(BO228=1,IF(AQ228&lt;=0,0,BP228*MAX(1,IF(G228&gt;0,AQ228/G228,1))),AR228*Q228)</f>
        <v/>
      </c>
      <c r="AT228" s="55">
        <f>AQ228*F228</f>
        <v/>
      </c>
      <c r="AU228" s="55">
        <f>ROUNDUP(MAX(I228/IF(BS228&gt;0,BS228,MAX(0.1,N(Cockpit!$O$6))),BV228)/BN228,0)*BN228</f>
        <v/>
      </c>
      <c r="AV228" s="56">
        <f>IF(AS228&gt;0,I228/AS228,-1)</f>
        <v/>
      </c>
      <c r="AW228" s="56">
        <f>IF(AND(OR(BR228="L1",BR228="L23"),AS228&gt;0),SUMIFS($AS$7:$AS$1570,$BR$7:$BR$1570,BR228,$AV$7:$AV$1570,"&gt;"&amp;AV228)+SUMIFS($AS$7:$AS$1570,$BR$7:$BR$1570,BR228,$AV$7:$AV$1570,AV228,$BL$7:$BL$1570,"&lt;="&amp;BL228),"")</f>
        <v/>
      </c>
      <c r="AX228" s="65">
        <f>IF(AW228="",0,MAX(0,MIN(1,(IF(BR228="L1",Parameter!$K$5,Parameter!$K$6+Parameter!$K$7)-(AW228-AS228))/AS228)))</f>
        <v/>
      </c>
      <c r="AY228" s="53">
        <f>IF(AC228&lt;=0,"",IF(BR228="Aussen","Aussenlager",IF(BR228="-","Nicht im Lift",IF(AH228&gt;=1,"Lift",IF(AH228&lt;=0,"Aussenlager","teilweise")))))</f>
        <v/>
      </c>
      <c r="AZ228" s="53">
        <f>IF(AK228&lt;=0,"",IF(BR228="Aussen","Aussenlager",IF(BR228="-","Nicht im Lift",IF(AP228&gt;=1,"Lift",IF(AP228&lt;=0,"Aussenlager","teilweise")))))</f>
        <v/>
      </c>
      <c r="BA228" s="53">
        <f>IF(AS228&lt;=0,"",IF(BR228="Aussen","Aussenlager",IF(BR228="-","Nicht im Lift",IF(AX228&gt;=1,"Lift",IF(AX228&lt;=0,"Aussenlager","teilweise")))))</f>
        <v/>
      </c>
      <c r="BB228" s="53">
        <f>IF(A228="","",IF(BK228=1,"Neu; ","")&amp;IF(AND(BK228=0,BF228&lt;0),"negativer Bestand (Export "&amp;BF228&amp;"); ","")&amp;IF(I228&lt;=0,"Kein Verbrauch; ","")&amp;IF(BO228=1,"Lose – Fläche geschätzt; ","")&amp;IF(G228&gt;AM228,"Überbestand "&amp;ROUND(G228-AM228,0)&amp;" Stk / CHF "&amp;ROUND((G228-AM228)*F228,0)&amp;"; ","")&amp;IF(AND(BT228=1,BU228&lt;BV228),"MAX &lt; MB+LG; ","")&amp;IF(AND(BZ228&gt;0,BY228*10&gt;BZ228),"zu hoch für Tablar; ","")&amp;IF(AND(BK228=0,OR(BT228=1,V228&lt;&gt;"",S228&lt;&gt;"",T228&lt;&gt;"",W228&lt;&gt;"")),"manuell übersteuert; ","")&amp;IF(AND(BO228=0,Q228=0),"Gebinde unbekannt; ","")&amp;IF(AND(BO228=0,N(T228)&lt;=0,N(P228)&lt;=0),"Menge pro Gebinde fehlt (Ist = 1 Gebinde); ","")&amp;BJ228)</f>
        <v/>
      </c>
      <c r="BC228" s="53" t="n"/>
      <c r="BD228" s="53" t="n"/>
      <c r="BE228" s="61" t="n"/>
      <c r="BF228" s="55" t="n">
        <v>40</v>
      </c>
      <c r="BG228" s="55" t="n">
        <v>0</v>
      </c>
      <c r="BH228" s="54" t="n">
        <v>613.2</v>
      </c>
      <c r="BI228" s="55" t="n">
        <v>0</v>
      </c>
      <c r="BJ228" s="53" t="inlineStr"/>
      <c r="BK228" s="58" t="n">
        <v>0</v>
      </c>
      <c r="BL228" s="58" t="n">
        <v>228</v>
      </c>
      <c r="BM228" s="53">
        <f>IF(S228&lt;&gt;"",UPPER(TRIM(S228)),IF(O228="","LOSE",O228))</f>
        <v/>
      </c>
      <c r="BN228" s="55">
        <f>IF(BM228="LOSE",1,IF(N(T228)&gt;0,T228,IF(N(P228)&gt;0,P228,MAX(1,G228))))</f>
        <v/>
      </c>
      <c r="BO228" s="58">
        <f>IF(BM228="LOSE",1,0)</f>
        <v/>
      </c>
      <c r="BP228" s="64">
        <f>IF(BO228=0,0,IF(N(R228)&gt;0,R228,IFERROR(VLOOKUP(D228,Parameter!$A$35:$C$64,3,0)+0,0)))</f>
        <v/>
      </c>
      <c r="BQ228" s="53">
        <f>IF(V228&lt;&gt;"",V228,U228)</f>
        <v/>
      </c>
      <c r="BR228" s="53">
        <f>IF(BQ228=1,"L1",IF(OR(BQ228=2,BQ228=3),"L23",IF(BQ228="Aussen","Aussen","-")))</f>
        <v/>
      </c>
      <c r="BS228" s="66">
        <f>IF(N(W228)&gt;0,W228,0)</f>
        <v/>
      </c>
      <c r="BT228" s="58">
        <f>IF(ISNUMBER(Z228),1,0)</f>
        <v/>
      </c>
      <c r="BU228" s="55">
        <f>N(Z228)</f>
        <v/>
      </c>
      <c r="BV228" s="55">
        <f>N(L228)+N(M228)</f>
        <v/>
      </c>
      <c r="BW228" s="55">
        <f>ROUNDUP(G228/BN228,0)</f>
        <v/>
      </c>
      <c r="BX228" s="55">
        <f>ROUNDUP(BU228/BN228,0)</f>
        <v/>
      </c>
      <c r="BY228" s="58">
        <f>IF(BO228=1,0,IFERROR(VLOOKUP(BM228,'Gebinde-Kategorie'!$A$5:$G$45,5,0)+0,0))</f>
        <v/>
      </c>
      <c r="BZ228" s="58">
        <f>IFERROR(IF(OR(BQ228=1,BQ228=2,BQ228=3),N(INDEX(Parameter!$I$5:$I$7,BQ228)),0),0)</f>
        <v/>
      </c>
    </row>
    <row r="229">
      <c r="A229" s="53" t="inlineStr">
        <is>
          <t>107123</t>
        </is>
      </c>
      <c r="B229" s="53" t="inlineStr">
        <is>
          <t>Federhänger</t>
        </is>
      </c>
      <c r="C229" s="53" t="inlineStr">
        <is>
          <t>F</t>
        </is>
      </c>
      <c r="D229" s="53" t="inlineStr">
        <is>
          <t>LIFT1</t>
        </is>
      </c>
      <c r="E229" s="53" t="inlineStr">
        <is>
          <t>C</t>
        </is>
      </c>
      <c r="F229" s="54" t="n">
        <v>229.54</v>
      </c>
      <c r="G229" s="55">
        <f>MAX(0,IF(Parameter!$B$20="Jahresanfang 2025 + Export",BG229+BF229,BF229))</f>
        <v/>
      </c>
      <c r="H229" s="55">
        <f>G229*F229</f>
        <v/>
      </c>
      <c r="I229" s="55">
        <f>BI229*Parameter!$B$18</f>
        <v/>
      </c>
      <c r="J229" s="56" t="n">
        <v>10.5</v>
      </c>
      <c r="K229" s="57" t="n">
        <v>1.333333333333333</v>
      </c>
      <c r="L229" s="55" t="n">
        <v>3</v>
      </c>
      <c r="M229" s="55" t="n">
        <v>10</v>
      </c>
      <c r="N229" s="58" t="n">
        <v>70</v>
      </c>
      <c r="O229" s="53" t="inlineStr">
        <is>
          <t>LOSE</t>
        </is>
      </c>
      <c r="P229" s="55" t="n"/>
      <c r="Q229" s="59">
        <f>IF(BO229=1,0,IFERROR(VLOOKUP(BM229,'Gebinde-Kategorie'!$A$5:$G$45,6,0)+0,0))</f>
        <v/>
      </c>
      <c r="R229" s="60" t="n"/>
      <c r="S229" s="61" t="n"/>
      <c r="T229" s="61" t="n"/>
      <c r="U229" s="53">
        <f>IF(A229="","",IF(IFERROR(VLOOKUP(D229,Parameter!$A$35:$C$64,2,0),"Nein")="2+3",IF(ISNUMBER(SEARCH("grosser Artikel",BJ229)),2,IFERROR(VLOOKUP(BM229,Parameter!$F$35:$G$64,2,0),2)),IF(OR(IFERROR(VLOOKUP(D229,Parameter!$A$35:$C$64,2,0),"Nein")="Nein",IFERROR(VLOOKUP(D229,Parameter!$A$35:$C$64,2,0),"Nein")=""),"-",VLOOKUP(D229,Parameter!$A$35:$C$64,2,0))))</f>
        <v/>
      </c>
      <c r="V229" s="61" t="n"/>
      <c r="W229" s="62" t="n"/>
      <c r="X229" s="55">
        <f>AM229</f>
        <v/>
      </c>
      <c r="Y229" s="55">
        <f>MAX(AM229,G229)</f>
        <v/>
      </c>
      <c r="Z229" s="63" t="n"/>
      <c r="AA229" s="55">
        <f>IF(LEFT(Cockpit!$C$5,1)="A",G229,IF(BT229=1,BU229,IF(LEFT(Cockpit!$C$5,1)="B",AE229,MAX(AE229,G229))))</f>
        <v/>
      </c>
      <c r="AB229" s="55">
        <f>IF(BO229=1,0,ROUNDUP(AA229/BN229,0))</f>
        <v/>
      </c>
      <c r="AC229" s="64">
        <f>IF(BO229=1,IF(AA229&lt;=0,0,BP229*MAX(1,IF(G229&gt;0,AA229/G229,1))),AB229*Q229)</f>
        <v/>
      </c>
      <c r="AD229" s="55">
        <f>AA229*F229</f>
        <v/>
      </c>
      <c r="AE229" s="55">
        <f>ROUNDUP(MAX(I229/IF(BS229&gt;0,BS229,MAX(0.1,N(Cockpit!$C$6))),BV229)/BN229,0)*BN229</f>
        <v/>
      </c>
      <c r="AF229" s="56">
        <f>IF(AC229&gt;0,I229/AC229,-1)</f>
        <v/>
      </c>
      <c r="AG229" s="56">
        <f>IF(AND(OR(BR229="L1",BR229="L23"),AC229&gt;0),SUMIFS($AC$7:$AC$1570,$BR$7:$BR$1570,BR229,$AF$7:$AF$1570,"&gt;"&amp;AF229)+SUMIFS($AC$7:$AC$1570,$BR$7:$BR$1570,BR229,$AF$7:$AF$1570,AF229,$BL$7:$BL$1570,"&lt;="&amp;BL229),"")</f>
        <v/>
      </c>
      <c r="AH229" s="65">
        <f>IF(AG229="",0,MAX(0,MIN(1,(IF(BR229="L1",Parameter!$K$5,Parameter!$K$6+Parameter!$K$7)-(AG229-AC229))/AC229)))</f>
        <v/>
      </c>
      <c r="AI229" s="55">
        <f>IF(LEFT(Cockpit!$I$5,1)="A",G229,IF(BT229=1,BU229,IF(LEFT(Cockpit!$I$5,1)="B",AM229,MAX(AM229,G229))))</f>
        <v/>
      </c>
      <c r="AJ229" s="55">
        <f>IF(BO229=1,0,ROUNDUP(AI229/BN229,0))</f>
        <v/>
      </c>
      <c r="AK229" s="64">
        <f>IF(BO229=1,IF(AI229&lt;=0,0,BP229*MAX(1,IF(G229&gt;0,AI229/G229,1))),AJ229*Q229)</f>
        <v/>
      </c>
      <c r="AL229" s="55">
        <f>AI229*F229</f>
        <v/>
      </c>
      <c r="AM229" s="55">
        <f>ROUNDUP(MAX(I229/IF(BS229&gt;0,BS229,MAX(0.1,N(Cockpit!$I$6))),BV229)/BN229,0)*BN229</f>
        <v/>
      </c>
      <c r="AN229" s="56">
        <f>IF(AK229&gt;0,I229/AK229,-1)</f>
        <v/>
      </c>
      <c r="AO229" s="56">
        <f>IF(AND(OR(BR229="L1",BR229="L23"),AK229&gt;0),SUMIFS($AK$7:$AK$1570,$BR$7:$BR$1570,BR229,$AN$7:$AN$1570,"&gt;"&amp;AN229)+SUMIFS($AK$7:$AK$1570,$BR$7:$BR$1570,BR229,$AN$7:$AN$1570,AN229,$BL$7:$BL$1570,"&lt;="&amp;BL229),"")</f>
        <v/>
      </c>
      <c r="AP229" s="65">
        <f>IF(AO229="",0,MAX(0,MIN(1,(IF(BR229="L1",Parameter!$K$5,Parameter!$K$6+Parameter!$K$7)-(AO229-AK229))/AK229)))</f>
        <v/>
      </c>
      <c r="AQ229" s="55">
        <f>IF(LEFT(Cockpit!$O$5,1)="A",G229,IF(BT229=1,BU229,IF(LEFT(Cockpit!$O$5,1)="B",AU229,MAX(AU229,G229))))</f>
        <v/>
      </c>
      <c r="AR229" s="55">
        <f>IF(BO229=1,0,ROUNDUP(AQ229/BN229,0))</f>
        <v/>
      </c>
      <c r="AS229" s="64">
        <f>IF(BO229=1,IF(AQ229&lt;=0,0,BP229*MAX(1,IF(G229&gt;0,AQ229/G229,1))),AR229*Q229)</f>
        <v/>
      </c>
      <c r="AT229" s="55">
        <f>AQ229*F229</f>
        <v/>
      </c>
      <c r="AU229" s="55">
        <f>ROUNDUP(MAX(I229/IF(BS229&gt;0,BS229,MAX(0.1,N(Cockpit!$O$6))),BV229)/BN229,0)*BN229</f>
        <v/>
      </c>
      <c r="AV229" s="56">
        <f>IF(AS229&gt;0,I229/AS229,-1)</f>
        <v/>
      </c>
      <c r="AW229" s="56">
        <f>IF(AND(OR(BR229="L1",BR229="L23"),AS229&gt;0),SUMIFS($AS$7:$AS$1570,$BR$7:$BR$1570,BR229,$AV$7:$AV$1570,"&gt;"&amp;AV229)+SUMIFS($AS$7:$AS$1570,$BR$7:$BR$1570,BR229,$AV$7:$AV$1570,AV229,$BL$7:$BL$1570,"&lt;="&amp;BL229),"")</f>
        <v/>
      </c>
      <c r="AX229" s="65">
        <f>IF(AW229="",0,MAX(0,MIN(1,(IF(BR229="L1",Parameter!$K$5,Parameter!$K$6+Parameter!$K$7)-(AW229-AS229))/AS229)))</f>
        <v/>
      </c>
      <c r="AY229" s="53">
        <f>IF(AC229&lt;=0,"",IF(BR229="Aussen","Aussenlager",IF(BR229="-","Nicht im Lift",IF(AH229&gt;=1,"Lift",IF(AH229&lt;=0,"Aussenlager","teilweise")))))</f>
        <v/>
      </c>
      <c r="AZ229" s="53">
        <f>IF(AK229&lt;=0,"",IF(BR229="Aussen","Aussenlager",IF(BR229="-","Nicht im Lift",IF(AP229&gt;=1,"Lift",IF(AP229&lt;=0,"Aussenlager","teilweise")))))</f>
        <v/>
      </c>
      <c r="BA229" s="53">
        <f>IF(AS229&lt;=0,"",IF(BR229="Aussen","Aussenlager",IF(BR229="-","Nicht im Lift",IF(AX229&gt;=1,"Lift",IF(AX229&lt;=0,"Aussenlager","teilweise")))))</f>
        <v/>
      </c>
      <c r="BB229" s="53">
        <f>IF(A229="","",IF(BK229=1,"Neu; ","")&amp;IF(AND(BK229=0,BF229&lt;0),"negativer Bestand (Export "&amp;BF229&amp;"); ","")&amp;IF(I229&lt;=0,"Kein Verbrauch; ","")&amp;IF(BO229=1,"Lose – Fläche geschätzt; ","")&amp;IF(G229&gt;AM229,"Überbestand "&amp;ROUND(G229-AM229,0)&amp;" Stk / CHF "&amp;ROUND((G229-AM229)*F229,0)&amp;"; ","")&amp;IF(AND(BT229=1,BU229&lt;BV229),"MAX &lt; MB+LG; ","")&amp;IF(AND(BZ229&gt;0,BY229*10&gt;BZ229),"zu hoch für Tablar; ","")&amp;IF(AND(BK229=0,OR(BT229=1,V229&lt;&gt;"",S229&lt;&gt;"",T229&lt;&gt;"",W229&lt;&gt;"")),"manuell übersteuert; ","")&amp;IF(AND(BO229=0,Q229=0),"Gebinde unbekannt; ","")&amp;IF(AND(BO229=0,N(T229)&lt;=0,N(P229)&lt;=0),"Menge pro Gebinde fehlt (Ist = 1 Gebinde); ","")&amp;BJ229)</f>
        <v/>
      </c>
      <c r="BC229" s="53" t="n"/>
      <c r="BD229" s="53" t="n"/>
      <c r="BE229" s="61" t="n"/>
      <c r="BF229" s="55" t="n">
        <v>3</v>
      </c>
      <c r="BG229" s="55" t="n">
        <v>6</v>
      </c>
      <c r="BH229" s="54" t="n">
        <v>598.9799999999987</v>
      </c>
      <c r="BI229" s="55" t="n">
        <v>14</v>
      </c>
      <c r="BJ229" s="53" t="inlineStr"/>
      <c r="BK229" s="58" t="n">
        <v>0</v>
      </c>
      <c r="BL229" s="58" t="n">
        <v>229</v>
      </c>
      <c r="BM229" s="53">
        <f>IF(S229&lt;&gt;"",UPPER(TRIM(S229)),IF(O229="","LOSE",O229))</f>
        <v/>
      </c>
      <c r="BN229" s="55">
        <f>IF(BM229="LOSE",1,IF(N(T229)&gt;0,T229,IF(N(P229)&gt;0,P229,MAX(1,G229))))</f>
        <v/>
      </c>
      <c r="BO229" s="58">
        <f>IF(BM229="LOSE",1,0)</f>
        <v/>
      </c>
      <c r="BP229" s="64">
        <f>IF(BO229=0,0,IF(N(R229)&gt;0,R229,IFERROR(VLOOKUP(D229,Parameter!$A$35:$C$64,3,0)+0,0)))</f>
        <v/>
      </c>
      <c r="BQ229" s="53">
        <f>IF(V229&lt;&gt;"",V229,U229)</f>
        <v/>
      </c>
      <c r="BR229" s="53">
        <f>IF(BQ229=1,"L1",IF(OR(BQ229=2,BQ229=3),"L23",IF(BQ229="Aussen","Aussen","-")))</f>
        <v/>
      </c>
      <c r="BS229" s="66">
        <f>IF(N(W229)&gt;0,W229,0)</f>
        <v/>
      </c>
      <c r="BT229" s="58">
        <f>IF(ISNUMBER(Z229),1,0)</f>
        <v/>
      </c>
      <c r="BU229" s="55">
        <f>N(Z229)</f>
        <v/>
      </c>
      <c r="BV229" s="55">
        <f>N(L229)+N(M229)</f>
        <v/>
      </c>
      <c r="BW229" s="55">
        <f>ROUNDUP(G229/BN229,0)</f>
        <v/>
      </c>
      <c r="BX229" s="55">
        <f>ROUNDUP(BU229/BN229,0)</f>
        <v/>
      </c>
      <c r="BY229" s="58">
        <f>IF(BO229=1,0,IFERROR(VLOOKUP(BM229,'Gebinde-Kategorie'!$A$5:$G$45,5,0)+0,0))</f>
        <v/>
      </c>
      <c r="BZ229" s="58">
        <f>IFERROR(IF(OR(BQ229=1,BQ229=2,BQ229=3),N(INDEX(Parameter!$I$5:$I$7,BQ229)),0),0)</f>
        <v/>
      </c>
    </row>
    <row r="230">
      <c r="A230" s="53" t="inlineStr">
        <is>
          <t>108035</t>
        </is>
      </c>
      <c r="B230" s="53" t="inlineStr">
        <is>
          <t>Modulträgerrahmen B6</t>
        </is>
      </c>
      <c r="C230" s="53" t="inlineStr">
        <is>
          <t>F</t>
        </is>
      </c>
      <c r="D230" s="53" t="inlineStr">
        <is>
          <t>KTL</t>
        </is>
      </c>
      <c r="E230" s="53" t="inlineStr">
        <is>
          <t>C</t>
        </is>
      </c>
      <c r="F230" s="54" t="n">
        <v>9.98</v>
      </c>
      <c r="G230" s="55">
        <f>MAX(0,IF(Parameter!$B$20="Jahresanfang 2025 + Export",BG230+BF230,BF230))</f>
        <v/>
      </c>
      <c r="H230" s="55">
        <f>G230*F230</f>
        <v/>
      </c>
      <c r="I230" s="55">
        <f>BI230*Parameter!$B$18</f>
        <v/>
      </c>
      <c r="J230" s="56" t="n">
        <v>82.5</v>
      </c>
      <c r="K230" s="57" t="n">
        <v>2.036363636363636</v>
      </c>
      <c r="L230" s="55" t="n">
        <v>10</v>
      </c>
      <c r="M230" s="55" t="n">
        <v>170</v>
      </c>
      <c r="N230" s="58" t="n">
        <v>28</v>
      </c>
      <c r="O230" s="53" t="inlineStr">
        <is>
          <t>S52</t>
        </is>
      </c>
      <c r="P230" s="55" t="n">
        <v>150</v>
      </c>
      <c r="Q230" s="59">
        <f>IF(BO230=1,0,IFERROR(VLOOKUP(BM230,'Gebinde-Kategorie'!$A$5:$G$45,6,0)+0,0))</f>
        <v/>
      </c>
      <c r="R230" s="60" t="n"/>
      <c r="S230" s="61" t="n"/>
      <c r="T230" s="61" t="n"/>
      <c r="U230" s="53">
        <f>IF(A230="","",IF(IFERROR(VLOOKUP(D230,Parameter!$A$35:$C$64,2,0),"Nein")="2+3",IF(ISNUMBER(SEARCH("grosser Artikel",BJ230)),2,IFERROR(VLOOKUP(BM230,Parameter!$F$35:$G$64,2,0),2)),IF(OR(IFERROR(VLOOKUP(D230,Parameter!$A$35:$C$64,2,0),"Nein")="Nein",IFERROR(VLOOKUP(D230,Parameter!$A$35:$C$64,2,0),"Nein")=""),"-",VLOOKUP(D230,Parameter!$A$35:$C$64,2,0))))</f>
        <v/>
      </c>
      <c r="V230" s="61" t="n"/>
      <c r="W230" s="62" t="n"/>
      <c r="X230" s="55">
        <f>AM230</f>
        <v/>
      </c>
      <c r="Y230" s="55">
        <f>MAX(AM230,G230)</f>
        <v/>
      </c>
      <c r="Z230" s="63" t="n"/>
      <c r="AA230" s="55">
        <f>IF(LEFT(Cockpit!$C$5,1)="A",G230,IF(BT230=1,BU230,IF(LEFT(Cockpit!$C$5,1)="B",AE230,MAX(AE230,G230))))</f>
        <v/>
      </c>
      <c r="AB230" s="55">
        <f>IF(BO230=1,0,ROUNDUP(AA230/BN230,0))</f>
        <v/>
      </c>
      <c r="AC230" s="64">
        <f>IF(BO230=1,IF(AA230&lt;=0,0,BP230*MAX(1,IF(G230&gt;0,AA230/G230,1))),AB230*Q230)</f>
        <v/>
      </c>
      <c r="AD230" s="55">
        <f>AA230*F230</f>
        <v/>
      </c>
      <c r="AE230" s="55">
        <f>ROUNDUP(MAX(I230/IF(BS230&gt;0,BS230,MAX(0.1,N(Cockpit!$C$6))),BV230)/BN230,0)*BN230</f>
        <v/>
      </c>
      <c r="AF230" s="56">
        <f>IF(AC230&gt;0,I230/AC230,-1)</f>
        <v/>
      </c>
      <c r="AG230" s="56">
        <f>IF(AND(OR(BR230="L1",BR230="L23"),AC230&gt;0),SUMIFS($AC$7:$AC$1570,$BR$7:$BR$1570,BR230,$AF$7:$AF$1570,"&gt;"&amp;AF230)+SUMIFS($AC$7:$AC$1570,$BR$7:$BR$1570,BR230,$AF$7:$AF$1570,AF230,$BL$7:$BL$1570,"&lt;="&amp;BL230),"")</f>
        <v/>
      </c>
      <c r="AH230" s="65">
        <f>IF(AG230="",0,MAX(0,MIN(1,(IF(BR230="L1",Parameter!$K$5,Parameter!$K$6+Parameter!$K$7)-(AG230-AC230))/AC230)))</f>
        <v/>
      </c>
      <c r="AI230" s="55">
        <f>IF(LEFT(Cockpit!$I$5,1)="A",G230,IF(BT230=1,BU230,IF(LEFT(Cockpit!$I$5,1)="B",AM230,MAX(AM230,G230))))</f>
        <v/>
      </c>
      <c r="AJ230" s="55">
        <f>IF(BO230=1,0,ROUNDUP(AI230/BN230,0))</f>
        <v/>
      </c>
      <c r="AK230" s="64">
        <f>IF(BO230=1,IF(AI230&lt;=0,0,BP230*MAX(1,IF(G230&gt;0,AI230/G230,1))),AJ230*Q230)</f>
        <v/>
      </c>
      <c r="AL230" s="55">
        <f>AI230*F230</f>
        <v/>
      </c>
      <c r="AM230" s="55">
        <f>ROUNDUP(MAX(I230/IF(BS230&gt;0,BS230,MAX(0.1,N(Cockpit!$I$6))),BV230)/BN230,0)*BN230</f>
        <v/>
      </c>
      <c r="AN230" s="56">
        <f>IF(AK230&gt;0,I230/AK230,-1)</f>
        <v/>
      </c>
      <c r="AO230" s="56">
        <f>IF(AND(OR(BR230="L1",BR230="L23"),AK230&gt;0),SUMIFS($AK$7:$AK$1570,$BR$7:$BR$1570,BR230,$AN$7:$AN$1570,"&gt;"&amp;AN230)+SUMIFS($AK$7:$AK$1570,$BR$7:$BR$1570,BR230,$AN$7:$AN$1570,AN230,$BL$7:$BL$1570,"&lt;="&amp;BL230),"")</f>
        <v/>
      </c>
      <c r="AP230" s="65">
        <f>IF(AO230="",0,MAX(0,MIN(1,(IF(BR230="L1",Parameter!$K$5,Parameter!$K$6+Parameter!$K$7)-(AO230-AK230))/AK230)))</f>
        <v/>
      </c>
      <c r="AQ230" s="55">
        <f>IF(LEFT(Cockpit!$O$5,1)="A",G230,IF(BT230=1,BU230,IF(LEFT(Cockpit!$O$5,1)="B",AU230,MAX(AU230,G230))))</f>
        <v/>
      </c>
      <c r="AR230" s="55">
        <f>IF(BO230=1,0,ROUNDUP(AQ230/BN230,0))</f>
        <v/>
      </c>
      <c r="AS230" s="64">
        <f>IF(BO230=1,IF(AQ230&lt;=0,0,BP230*MAX(1,IF(G230&gt;0,AQ230/G230,1))),AR230*Q230)</f>
        <v/>
      </c>
      <c r="AT230" s="55">
        <f>AQ230*F230</f>
        <v/>
      </c>
      <c r="AU230" s="55">
        <f>ROUNDUP(MAX(I230/IF(BS230&gt;0,BS230,MAX(0.1,N(Cockpit!$O$6))),BV230)/BN230,0)*BN230</f>
        <v/>
      </c>
      <c r="AV230" s="56">
        <f>IF(AS230&gt;0,I230/AS230,-1)</f>
        <v/>
      </c>
      <c r="AW230" s="56">
        <f>IF(AND(OR(BR230="L1",BR230="L23"),AS230&gt;0),SUMIFS($AS$7:$AS$1570,$BR$7:$BR$1570,BR230,$AV$7:$AV$1570,"&gt;"&amp;AV230)+SUMIFS($AS$7:$AS$1570,$BR$7:$BR$1570,BR230,$AV$7:$AV$1570,AV230,$BL$7:$BL$1570,"&lt;="&amp;BL230),"")</f>
        <v/>
      </c>
      <c r="AX230" s="65">
        <f>IF(AW230="",0,MAX(0,MIN(1,(IF(BR230="L1",Parameter!$K$5,Parameter!$K$6+Parameter!$K$7)-(AW230-AS230))/AS230)))</f>
        <v/>
      </c>
      <c r="AY230" s="53">
        <f>IF(AC230&lt;=0,"",IF(BR230="Aussen","Aussenlager",IF(BR230="-","Nicht im Lift",IF(AH230&gt;=1,"Lift",IF(AH230&lt;=0,"Aussenlager","teilweise")))))</f>
        <v/>
      </c>
      <c r="AZ230" s="53">
        <f>IF(AK230&lt;=0,"",IF(BR230="Aussen","Aussenlager",IF(BR230="-","Nicht im Lift",IF(AP230&gt;=1,"Lift",IF(AP230&lt;=0,"Aussenlager","teilweise")))))</f>
        <v/>
      </c>
      <c r="BA230" s="53">
        <f>IF(AS230&lt;=0,"",IF(BR230="Aussen","Aussenlager",IF(BR230="-","Nicht im Lift",IF(AX230&gt;=1,"Lift",IF(AX230&lt;=0,"Aussenlager","teilweise")))))</f>
        <v/>
      </c>
      <c r="BB230" s="53">
        <f>IF(A230="","",IF(BK230=1,"Neu; ","")&amp;IF(AND(BK230=0,BF230&lt;0),"negativer Bestand (Export "&amp;BF230&amp;"); ","")&amp;IF(I230&lt;=0,"Kein Verbrauch; ","")&amp;IF(BO230=1,"Lose – Fläche geschätzt; ","")&amp;IF(G230&gt;AM230,"Überbestand "&amp;ROUND(G230-AM230,0)&amp;" Stk / CHF "&amp;ROUND((G230-AM230)*F230,0)&amp;"; ","")&amp;IF(AND(BT230=1,BU230&lt;BV230),"MAX &lt; MB+LG; ","")&amp;IF(AND(BZ230&gt;0,BY230*10&gt;BZ230),"zu hoch für Tablar; ","")&amp;IF(AND(BK230=0,OR(BT230=1,V230&lt;&gt;"",S230&lt;&gt;"",T230&lt;&gt;"",W230&lt;&gt;"")),"manuell übersteuert; ","")&amp;IF(AND(BO230=0,Q230=0),"Gebinde unbekannt; ","")&amp;IF(AND(BO230=0,N(T230)&lt;=0,N(P230)&lt;=0),"Menge pro Gebinde fehlt (Ist = 1 Gebinde); ","")&amp;BJ230)</f>
        <v/>
      </c>
      <c r="BC230" s="53" t="n"/>
      <c r="BD230" s="53" t="n"/>
      <c r="BE230" s="61" t="n"/>
      <c r="BF230" s="55" t="n">
        <v>59</v>
      </c>
      <c r="BG230" s="55" t="n">
        <v>89</v>
      </c>
      <c r="BH230" s="54" t="n">
        <v>591.4899999999999</v>
      </c>
      <c r="BI230" s="55" t="n">
        <v>168</v>
      </c>
      <c r="BJ230" s="53" t="inlineStr"/>
      <c r="BK230" s="58" t="n">
        <v>0</v>
      </c>
      <c r="BL230" s="58" t="n">
        <v>230</v>
      </c>
      <c r="BM230" s="53">
        <f>IF(S230&lt;&gt;"",UPPER(TRIM(S230)),IF(O230="","LOSE",O230))</f>
        <v/>
      </c>
      <c r="BN230" s="55">
        <f>IF(BM230="LOSE",1,IF(N(T230)&gt;0,T230,IF(N(P230)&gt;0,P230,MAX(1,G230))))</f>
        <v/>
      </c>
      <c r="BO230" s="58">
        <f>IF(BM230="LOSE",1,0)</f>
        <v/>
      </c>
      <c r="BP230" s="64">
        <f>IF(BO230=0,0,IF(N(R230)&gt;0,R230,IFERROR(VLOOKUP(D230,Parameter!$A$35:$C$64,3,0)+0,0)))</f>
        <v/>
      </c>
      <c r="BQ230" s="53">
        <f>IF(V230&lt;&gt;"",V230,U230)</f>
        <v/>
      </c>
      <c r="BR230" s="53">
        <f>IF(BQ230=1,"L1",IF(OR(BQ230=2,BQ230=3),"L23",IF(BQ230="Aussen","Aussen","-")))</f>
        <v/>
      </c>
      <c r="BS230" s="66">
        <f>IF(N(W230)&gt;0,W230,0)</f>
        <v/>
      </c>
      <c r="BT230" s="58">
        <f>IF(ISNUMBER(Z230),1,0)</f>
        <v/>
      </c>
      <c r="BU230" s="55">
        <f>N(Z230)</f>
        <v/>
      </c>
      <c r="BV230" s="55">
        <f>N(L230)+N(M230)</f>
        <v/>
      </c>
      <c r="BW230" s="55">
        <f>ROUNDUP(G230/BN230,0)</f>
        <v/>
      </c>
      <c r="BX230" s="55">
        <f>ROUNDUP(BU230/BN230,0)</f>
        <v/>
      </c>
      <c r="BY230" s="58">
        <f>IF(BO230=1,0,IFERROR(VLOOKUP(BM230,'Gebinde-Kategorie'!$A$5:$G$45,5,0)+0,0))</f>
        <v/>
      </c>
      <c r="BZ230" s="58">
        <f>IFERROR(IF(OR(BQ230=1,BQ230=2,BQ230=3),N(INDEX(Parameter!$I$5:$I$7,BQ230)),0),0)</f>
        <v/>
      </c>
    </row>
    <row r="231">
      <c r="A231" s="53" t="inlineStr">
        <is>
          <t>107413</t>
        </is>
      </c>
      <c r="B231" s="53" t="inlineStr">
        <is>
          <t>Rohr Anschweissstück Øi154</t>
        </is>
      </c>
      <c r="C231" s="53" t="inlineStr">
        <is>
          <t>F</t>
        </is>
      </c>
      <c r="D231" s="53" t="inlineStr">
        <is>
          <t>PAL</t>
        </is>
      </c>
      <c r="E231" s="53" t="inlineStr">
        <is>
          <t>C</t>
        </is>
      </c>
      <c r="F231" s="54" t="n">
        <v>579</v>
      </c>
      <c r="G231" s="55">
        <f>MAX(0,IF(Parameter!$B$20="Jahresanfang 2025 + Export",BG231+BF231,BF231))</f>
        <v/>
      </c>
      <c r="H231" s="55">
        <f>G231*F231</f>
        <v/>
      </c>
      <c r="I231" s="55">
        <f>BI231*Parameter!$B$18</f>
        <v/>
      </c>
      <c r="J231" s="56" t="n">
        <v>0.5</v>
      </c>
      <c r="K231" s="57" t="n">
        <v>2</v>
      </c>
      <c r="L231" s="55" t="n">
        <v>0</v>
      </c>
      <c r="M231" s="55" t="n">
        <v>1</v>
      </c>
      <c r="N231" s="58" t="n">
        <v>14</v>
      </c>
      <c r="O231" s="53" t="inlineStr">
        <is>
          <t>LOSE</t>
        </is>
      </c>
      <c r="P231" s="55" t="n"/>
      <c r="Q231" s="59">
        <f>IF(BO231=1,0,IFERROR(VLOOKUP(BM231,'Gebinde-Kategorie'!$A$5:$G$45,6,0)+0,0))</f>
        <v/>
      </c>
      <c r="R231" s="60" t="n"/>
      <c r="S231" s="61" t="n"/>
      <c r="T231" s="61" t="n"/>
      <c r="U231" s="53">
        <f>IF(A231="","",IF(IFERROR(VLOOKUP(D231,Parameter!$A$35:$C$64,2,0),"Nein")="2+3",IF(ISNUMBER(SEARCH("grosser Artikel",BJ231)),2,IFERROR(VLOOKUP(BM231,Parameter!$F$35:$G$64,2,0),2)),IF(OR(IFERROR(VLOOKUP(D231,Parameter!$A$35:$C$64,2,0),"Nein")="Nein",IFERROR(VLOOKUP(D231,Parameter!$A$35:$C$64,2,0),"Nein")=""),"-",VLOOKUP(D231,Parameter!$A$35:$C$64,2,0))))</f>
        <v/>
      </c>
      <c r="V231" s="61" t="n"/>
      <c r="W231" s="62" t="n"/>
      <c r="X231" s="55">
        <f>AM231</f>
        <v/>
      </c>
      <c r="Y231" s="55">
        <f>MAX(AM231,G231)</f>
        <v/>
      </c>
      <c r="Z231" s="63" t="n"/>
      <c r="AA231" s="55">
        <f>IF(LEFT(Cockpit!$C$5,1)="A",G231,IF(BT231=1,BU231,IF(LEFT(Cockpit!$C$5,1)="B",AE231,MAX(AE231,G231))))</f>
        <v/>
      </c>
      <c r="AB231" s="55">
        <f>IF(BO231=1,0,ROUNDUP(AA231/BN231,0))</f>
        <v/>
      </c>
      <c r="AC231" s="64">
        <f>IF(BO231=1,IF(AA231&lt;=0,0,BP231*MAX(1,IF(G231&gt;0,AA231/G231,1))),AB231*Q231)</f>
        <v/>
      </c>
      <c r="AD231" s="55">
        <f>AA231*F231</f>
        <v/>
      </c>
      <c r="AE231" s="55">
        <f>ROUNDUP(MAX(I231/IF(BS231&gt;0,BS231,MAX(0.1,N(Cockpit!$C$6))),BV231)/BN231,0)*BN231</f>
        <v/>
      </c>
      <c r="AF231" s="56">
        <f>IF(AC231&gt;0,I231/AC231,-1)</f>
        <v/>
      </c>
      <c r="AG231" s="56">
        <f>IF(AND(OR(BR231="L1",BR231="L23"),AC231&gt;0),SUMIFS($AC$7:$AC$1570,$BR$7:$BR$1570,BR231,$AF$7:$AF$1570,"&gt;"&amp;AF231)+SUMIFS($AC$7:$AC$1570,$BR$7:$BR$1570,BR231,$AF$7:$AF$1570,AF231,$BL$7:$BL$1570,"&lt;="&amp;BL231),"")</f>
        <v/>
      </c>
      <c r="AH231" s="65">
        <f>IF(AG231="",0,MAX(0,MIN(1,(IF(BR231="L1",Parameter!$K$5,Parameter!$K$6+Parameter!$K$7)-(AG231-AC231))/AC231)))</f>
        <v/>
      </c>
      <c r="AI231" s="55">
        <f>IF(LEFT(Cockpit!$I$5,1)="A",G231,IF(BT231=1,BU231,IF(LEFT(Cockpit!$I$5,1)="B",AM231,MAX(AM231,G231))))</f>
        <v/>
      </c>
      <c r="AJ231" s="55">
        <f>IF(BO231=1,0,ROUNDUP(AI231/BN231,0))</f>
        <v/>
      </c>
      <c r="AK231" s="64">
        <f>IF(BO231=1,IF(AI231&lt;=0,0,BP231*MAX(1,IF(G231&gt;0,AI231/G231,1))),AJ231*Q231)</f>
        <v/>
      </c>
      <c r="AL231" s="55">
        <f>AI231*F231</f>
        <v/>
      </c>
      <c r="AM231" s="55">
        <f>ROUNDUP(MAX(I231/IF(BS231&gt;0,BS231,MAX(0.1,N(Cockpit!$I$6))),BV231)/BN231,0)*BN231</f>
        <v/>
      </c>
      <c r="AN231" s="56">
        <f>IF(AK231&gt;0,I231/AK231,-1)</f>
        <v/>
      </c>
      <c r="AO231" s="56">
        <f>IF(AND(OR(BR231="L1",BR231="L23"),AK231&gt;0),SUMIFS($AK$7:$AK$1570,$BR$7:$BR$1570,BR231,$AN$7:$AN$1570,"&gt;"&amp;AN231)+SUMIFS($AK$7:$AK$1570,$BR$7:$BR$1570,BR231,$AN$7:$AN$1570,AN231,$BL$7:$BL$1570,"&lt;="&amp;BL231),"")</f>
        <v/>
      </c>
      <c r="AP231" s="65">
        <f>IF(AO231="",0,MAX(0,MIN(1,(IF(BR231="L1",Parameter!$K$5,Parameter!$K$6+Parameter!$K$7)-(AO231-AK231))/AK231)))</f>
        <v/>
      </c>
      <c r="AQ231" s="55">
        <f>IF(LEFT(Cockpit!$O$5,1)="A",G231,IF(BT231=1,BU231,IF(LEFT(Cockpit!$O$5,1)="B",AU231,MAX(AU231,G231))))</f>
        <v/>
      </c>
      <c r="AR231" s="55">
        <f>IF(BO231=1,0,ROUNDUP(AQ231/BN231,0))</f>
        <v/>
      </c>
      <c r="AS231" s="64">
        <f>IF(BO231=1,IF(AQ231&lt;=0,0,BP231*MAX(1,IF(G231&gt;0,AQ231/G231,1))),AR231*Q231)</f>
        <v/>
      </c>
      <c r="AT231" s="55">
        <f>AQ231*F231</f>
        <v/>
      </c>
      <c r="AU231" s="55">
        <f>ROUNDUP(MAX(I231/IF(BS231&gt;0,BS231,MAX(0.1,N(Cockpit!$O$6))),BV231)/BN231,0)*BN231</f>
        <v/>
      </c>
      <c r="AV231" s="56">
        <f>IF(AS231&gt;0,I231/AS231,-1)</f>
        <v/>
      </c>
      <c r="AW231" s="56">
        <f>IF(AND(OR(BR231="L1",BR231="L23"),AS231&gt;0),SUMIFS($AS$7:$AS$1570,$BR$7:$BR$1570,BR231,$AV$7:$AV$1570,"&gt;"&amp;AV231)+SUMIFS($AS$7:$AS$1570,$BR$7:$BR$1570,BR231,$AV$7:$AV$1570,AV231,$BL$7:$BL$1570,"&lt;="&amp;BL231),"")</f>
        <v/>
      </c>
      <c r="AX231" s="65">
        <f>IF(AW231="",0,MAX(0,MIN(1,(IF(BR231="L1",Parameter!$K$5,Parameter!$K$6+Parameter!$K$7)-(AW231-AS231))/AS231)))</f>
        <v/>
      </c>
      <c r="AY231" s="53">
        <f>IF(AC231&lt;=0,"",IF(BR231="Aussen","Aussenlager",IF(BR231="-","Nicht im Lift",IF(AH231&gt;=1,"Lift",IF(AH231&lt;=0,"Aussenlager","teilweise")))))</f>
        <v/>
      </c>
      <c r="AZ231" s="53">
        <f>IF(AK231&lt;=0,"",IF(BR231="Aussen","Aussenlager",IF(BR231="-","Nicht im Lift",IF(AP231&gt;=1,"Lift",IF(AP231&lt;=0,"Aussenlager","teilweise")))))</f>
        <v/>
      </c>
      <c r="BA231" s="53">
        <f>IF(AS231&lt;=0,"",IF(BR231="Aussen","Aussenlager",IF(BR231="-","Nicht im Lift",IF(AX231&gt;=1,"Lift",IF(AX231&lt;=0,"Aussenlager","teilweise")))))</f>
        <v/>
      </c>
      <c r="BB231" s="53">
        <f>IF(A231="","",IF(BK231=1,"Neu; ","")&amp;IF(AND(BK231=0,BF231&lt;0),"negativer Bestand (Export "&amp;BF231&amp;"); ","")&amp;IF(I231&lt;=0,"Kein Verbrauch; ","")&amp;IF(BO231=1,"Lose – Fläche geschätzt; ","")&amp;IF(G231&gt;AM231,"Überbestand "&amp;ROUND(G231-AM231,0)&amp;" Stk / CHF "&amp;ROUND((G231-AM231)*F231,0)&amp;"; ","")&amp;IF(AND(BT231=1,BU231&lt;BV231),"MAX &lt; MB+LG; ","")&amp;IF(AND(BZ231&gt;0,BY231*10&gt;BZ231),"zu hoch für Tablar; ","")&amp;IF(AND(BK231=0,OR(BT231=1,V231&lt;&gt;"",S231&lt;&gt;"",T231&lt;&gt;"",W231&lt;&gt;"")),"manuell übersteuert; ","")&amp;IF(AND(BO231=0,Q231=0),"Gebinde unbekannt; ","")&amp;IF(AND(BO231=0,N(T231)&lt;=0,N(P231)&lt;=0),"Menge pro Gebinde fehlt (Ist = 1 Gebinde); ","")&amp;BJ231)</f>
        <v/>
      </c>
      <c r="BC231" s="53" t="n"/>
      <c r="BD231" s="53" t="n"/>
      <c r="BE231" s="61" t="n"/>
      <c r="BF231" s="55" t="n">
        <v>1</v>
      </c>
      <c r="BG231" s="55" t="n">
        <v>0</v>
      </c>
      <c r="BH231" s="54" t="n">
        <v>579</v>
      </c>
      <c r="BI231" s="55" t="n">
        <v>1</v>
      </c>
      <c r="BJ231" s="53" t="inlineStr"/>
      <c r="BK231" s="58" t="n">
        <v>0</v>
      </c>
      <c r="BL231" s="58" t="n">
        <v>231</v>
      </c>
      <c r="BM231" s="53">
        <f>IF(S231&lt;&gt;"",UPPER(TRIM(S231)),IF(O231="","LOSE",O231))</f>
        <v/>
      </c>
      <c r="BN231" s="55">
        <f>IF(BM231="LOSE",1,IF(N(T231)&gt;0,T231,IF(N(P231)&gt;0,P231,MAX(1,G231))))</f>
        <v/>
      </c>
      <c r="BO231" s="58">
        <f>IF(BM231="LOSE",1,0)</f>
        <v/>
      </c>
      <c r="BP231" s="64">
        <f>IF(BO231=0,0,IF(N(R231)&gt;0,R231,IFERROR(VLOOKUP(D231,Parameter!$A$35:$C$64,3,0)+0,0)))</f>
        <v/>
      </c>
      <c r="BQ231" s="53">
        <f>IF(V231&lt;&gt;"",V231,U231)</f>
        <v/>
      </c>
      <c r="BR231" s="53">
        <f>IF(BQ231=1,"L1",IF(OR(BQ231=2,BQ231=3),"L23",IF(BQ231="Aussen","Aussen","-")))</f>
        <v/>
      </c>
      <c r="BS231" s="66">
        <f>IF(N(W231)&gt;0,W231,0)</f>
        <v/>
      </c>
      <c r="BT231" s="58">
        <f>IF(ISNUMBER(Z231),1,0)</f>
        <v/>
      </c>
      <c r="BU231" s="55">
        <f>N(Z231)</f>
        <v/>
      </c>
      <c r="BV231" s="55">
        <f>N(L231)+N(M231)</f>
        <v/>
      </c>
      <c r="BW231" s="55">
        <f>ROUNDUP(G231/BN231,0)</f>
        <v/>
      </c>
      <c r="BX231" s="55">
        <f>ROUNDUP(BU231/BN231,0)</f>
        <v/>
      </c>
      <c r="BY231" s="58">
        <f>IF(BO231=1,0,IFERROR(VLOOKUP(BM231,'Gebinde-Kategorie'!$A$5:$G$45,5,0)+0,0))</f>
        <v/>
      </c>
      <c r="BZ231" s="58">
        <f>IFERROR(IF(OR(BQ231=1,BQ231=2,BQ231=3),N(INDEX(Parameter!$I$5:$I$7,BQ231)),0),0)</f>
        <v/>
      </c>
    </row>
    <row r="232">
      <c r="A232" s="53" t="inlineStr">
        <is>
          <t>106877</t>
        </is>
      </c>
      <c r="B232" s="53" t="inlineStr">
        <is>
          <t>Sechskantmutter</t>
        </is>
      </c>
      <c r="C232" s="53" t="inlineStr">
        <is>
          <t>F</t>
        </is>
      </c>
      <c r="D232" s="53" t="inlineStr">
        <is>
          <t>KTL</t>
        </is>
      </c>
      <c r="E232" s="53" t="inlineStr">
        <is>
          <t>C</t>
        </is>
      </c>
      <c r="F232" s="54" t="n">
        <v>41.32</v>
      </c>
      <c r="G232" s="55">
        <f>MAX(0,IF(Parameter!$B$20="Jahresanfang 2025 + Export",BG232+BF232,BF232))</f>
        <v/>
      </c>
      <c r="H232" s="55">
        <f>G232*F232</f>
        <v/>
      </c>
      <c r="I232" s="55">
        <f>BI232*Parameter!$B$18</f>
        <v/>
      </c>
      <c r="J232" s="56" t="n">
        <v>4</v>
      </c>
      <c r="K232" s="57" t="n">
        <v>2.5</v>
      </c>
      <c r="L232" s="55" t="n">
        <v>0</v>
      </c>
      <c r="M232" s="55" t="n">
        <v>10</v>
      </c>
      <c r="N232" s="58" t="n">
        <v>35</v>
      </c>
      <c r="O232" s="53" t="inlineStr">
        <is>
          <t>S32</t>
        </is>
      </c>
      <c r="P232" s="55" t="n">
        <v>13</v>
      </c>
      <c r="Q232" s="59">
        <f>IF(BO232=1,0,IFERROR(VLOOKUP(BM232,'Gebinde-Kategorie'!$A$5:$G$45,6,0)+0,0))</f>
        <v/>
      </c>
      <c r="R232" s="60" t="n"/>
      <c r="S232" s="61" t="n"/>
      <c r="T232" s="61" t="n"/>
      <c r="U232" s="53">
        <f>IF(A232="","",IF(IFERROR(VLOOKUP(D232,Parameter!$A$35:$C$64,2,0),"Nein")="2+3",IF(ISNUMBER(SEARCH("grosser Artikel",BJ232)),2,IFERROR(VLOOKUP(BM232,Parameter!$F$35:$G$64,2,0),2)),IF(OR(IFERROR(VLOOKUP(D232,Parameter!$A$35:$C$64,2,0),"Nein")="Nein",IFERROR(VLOOKUP(D232,Parameter!$A$35:$C$64,2,0),"Nein")=""),"-",VLOOKUP(D232,Parameter!$A$35:$C$64,2,0))))</f>
        <v/>
      </c>
      <c r="V232" s="61" t="n"/>
      <c r="W232" s="62" t="n"/>
      <c r="X232" s="55">
        <f>AM232</f>
        <v/>
      </c>
      <c r="Y232" s="55">
        <f>MAX(AM232,G232)</f>
        <v/>
      </c>
      <c r="Z232" s="63" t="n"/>
      <c r="AA232" s="55">
        <f>IF(LEFT(Cockpit!$C$5,1)="A",G232,IF(BT232=1,BU232,IF(LEFT(Cockpit!$C$5,1)="B",AE232,MAX(AE232,G232))))</f>
        <v/>
      </c>
      <c r="AB232" s="55">
        <f>IF(BO232=1,0,ROUNDUP(AA232/BN232,0))</f>
        <v/>
      </c>
      <c r="AC232" s="64">
        <f>IF(BO232=1,IF(AA232&lt;=0,0,BP232*MAX(1,IF(G232&gt;0,AA232/G232,1))),AB232*Q232)</f>
        <v/>
      </c>
      <c r="AD232" s="55">
        <f>AA232*F232</f>
        <v/>
      </c>
      <c r="AE232" s="55">
        <f>ROUNDUP(MAX(I232/IF(BS232&gt;0,BS232,MAX(0.1,N(Cockpit!$C$6))),BV232)/BN232,0)*BN232</f>
        <v/>
      </c>
      <c r="AF232" s="56">
        <f>IF(AC232&gt;0,I232/AC232,-1)</f>
        <v/>
      </c>
      <c r="AG232" s="56">
        <f>IF(AND(OR(BR232="L1",BR232="L23"),AC232&gt;0),SUMIFS($AC$7:$AC$1570,$BR$7:$BR$1570,BR232,$AF$7:$AF$1570,"&gt;"&amp;AF232)+SUMIFS($AC$7:$AC$1570,$BR$7:$BR$1570,BR232,$AF$7:$AF$1570,AF232,$BL$7:$BL$1570,"&lt;="&amp;BL232),"")</f>
        <v/>
      </c>
      <c r="AH232" s="65">
        <f>IF(AG232="",0,MAX(0,MIN(1,(IF(BR232="L1",Parameter!$K$5,Parameter!$K$6+Parameter!$K$7)-(AG232-AC232))/AC232)))</f>
        <v/>
      </c>
      <c r="AI232" s="55">
        <f>IF(LEFT(Cockpit!$I$5,1)="A",G232,IF(BT232=1,BU232,IF(LEFT(Cockpit!$I$5,1)="B",AM232,MAX(AM232,G232))))</f>
        <v/>
      </c>
      <c r="AJ232" s="55">
        <f>IF(BO232=1,0,ROUNDUP(AI232/BN232,0))</f>
        <v/>
      </c>
      <c r="AK232" s="64">
        <f>IF(BO232=1,IF(AI232&lt;=0,0,BP232*MAX(1,IF(G232&gt;0,AI232/G232,1))),AJ232*Q232)</f>
        <v/>
      </c>
      <c r="AL232" s="55">
        <f>AI232*F232</f>
        <v/>
      </c>
      <c r="AM232" s="55">
        <f>ROUNDUP(MAX(I232/IF(BS232&gt;0,BS232,MAX(0.1,N(Cockpit!$I$6))),BV232)/BN232,0)*BN232</f>
        <v/>
      </c>
      <c r="AN232" s="56">
        <f>IF(AK232&gt;0,I232/AK232,-1)</f>
        <v/>
      </c>
      <c r="AO232" s="56">
        <f>IF(AND(OR(BR232="L1",BR232="L23"),AK232&gt;0),SUMIFS($AK$7:$AK$1570,$BR$7:$BR$1570,BR232,$AN$7:$AN$1570,"&gt;"&amp;AN232)+SUMIFS($AK$7:$AK$1570,$BR$7:$BR$1570,BR232,$AN$7:$AN$1570,AN232,$BL$7:$BL$1570,"&lt;="&amp;BL232),"")</f>
        <v/>
      </c>
      <c r="AP232" s="65">
        <f>IF(AO232="",0,MAX(0,MIN(1,(IF(BR232="L1",Parameter!$K$5,Parameter!$K$6+Parameter!$K$7)-(AO232-AK232))/AK232)))</f>
        <v/>
      </c>
      <c r="AQ232" s="55">
        <f>IF(LEFT(Cockpit!$O$5,1)="A",G232,IF(BT232=1,BU232,IF(LEFT(Cockpit!$O$5,1)="B",AU232,MAX(AU232,G232))))</f>
        <v/>
      </c>
      <c r="AR232" s="55">
        <f>IF(BO232=1,0,ROUNDUP(AQ232/BN232,0))</f>
        <v/>
      </c>
      <c r="AS232" s="64">
        <f>IF(BO232=1,IF(AQ232&lt;=0,0,BP232*MAX(1,IF(G232&gt;0,AQ232/G232,1))),AR232*Q232)</f>
        <v/>
      </c>
      <c r="AT232" s="55">
        <f>AQ232*F232</f>
        <v/>
      </c>
      <c r="AU232" s="55">
        <f>ROUNDUP(MAX(I232/IF(BS232&gt;0,BS232,MAX(0.1,N(Cockpit!$O$6))),BV232)/BN232,0)*BN232</f>
        <v/>
      </c>
      <c r="AV232" s="56">
        <f>IF(AS232&gt;0,I232/AS232,-1)</f>
        <v/>
      </c>
      <c r="AW232" s="56">
        <f>IF(AND(OR(BR232="L1",BR232="L23"),AS232&gt;0),SUMIFS($AS$7:$AS$1570,$BR$7:$BR$1570,BR232,$AV$7:$AV$1570,"&gt;"&amp;AV232)+SUMIFS($AS$7:$AS$1570,$BR$7:$BR$1570,BR232,$AV$7:$AV$1570,AV232,$BL$7:$BL$1570,"&lt;="&amp;BL232),"")</f>
        <v/>
      </c>
      <c r="AX232" s="65">
        <f>IF(AW232="",0,MAX(0,MIN(1,(IF(BR232="L1",Parameter!$K$5,Parameter!$K$6+Parameter!$K$7)-(AW232-AS232))/AS232)))</f>
        <v/>
      </c>
      <c r="AY232" s="53">
        <f>IF(AC232&lt;=0,"",IF(BR232="Aussen","Aussenlager",IF(BR232="-","Nicht im Lift",IF(AH232&gt;=1,"Lift",IF(AH232&lt;=0,"Aussenlager","teilweise")))))</f>
        <v/>
      </c>
      <c r="AZ232" s="53">
        <f>IF(AK232&lt;=0,"",IF(BR232="Aussen","Aussenlager",IF(BR232="-","Nicht im Lift",IF(AP232&gt;=1,"Lift",IF(AP232&lt;=0,"Aussenlager","teilweise")))))</f>
        <v/>
      </c>
      <c r="BA232" s="53">
        <f>IF(AS232&lt;=0,"",IF(BR232="Aussen","Aussenlager",IF(BR232="-","Nicht im Lift",IF(AX232&gt;=1,"Lift",IF(AX232&lt;=0,"Aussenlager","teilweise")))))</f>
        <v/>
      </c>
      <c r="BB232" s="53">
        <f>IF(A232="","",IF(BK232=1,"Neu; ","")&amp;IF(AND(BK232=0,BF232&lt;0),"negativer Bestand (Export "&amp;BF232&amp;"); ","")&amp;IF(I232&lt;=0,"Kein Verbrauch; ","")&amp;IF(BO232=1,"Lose – Fläche geschätzt; ","")&amp;IF(G232&gt;AM232,"Überbestand "&amp;ROUND(G232-AM232,0)&amp;" Stk / CHF "&amp;ROUND((G232-AM232)*F232,0)&amp;"; ","")&amp;IF(AND(BT232=1,BU232&lt;BV232),"MAX &lt; MB+LG; ","")&amp;IF(AND(BZ232&gt;0,BY232*10&gt;BZ232),"zu hoch für Tablar; ","")&amp;IF(AND(BK232=0,OR(BT232=1,V232&lt;&gt;"",S232&lt;&gt;"",T232&lt;&gt;"",W232&lt;&gt;"")),"manuell übersteuert; ","")&amp;IF(AND(BO232=0,Q232=0),"Gebinde unbekannt; ","")&amp;IF(AND(BO232=0,N(T232)&lt;=0,N(P232)&lt;=0),"Menge pro Gebinde fehlt (Ist = 1 Gebinde); ","")&amp;BJ232)</f>
        <v/>
      </c>
      <c r="BC232" s="53" t="n"/>
      <c r="BD232" s="53" t="n"/>
      <c r="BE232" s="61" t="n"/>
      <c r="BF232" s="55" t="n">
        <v>17</v>
      </c>
      <c r="BG232" s="55" t="n">
        <v>4</v>
      </c>
      <c r="BH232" s="54" t="n">
        <v>578.4000000000001</v>
      </c>
      <c r="BI232" s="55" t="n">
        <v>10</v>
      </c>
      <c r="BJ232" s="53" t="inlineStr"/>
      <c r="BK232" s="58" t="n">
        <v>0</v>
      </c>
      <c r="BL232" s="58" t="n">
        <v>232</v>
      </c>
      <c r="BM232" s="53">
        <f>IF(S232&lt;&gt;"",UPPER(TRIM(S232)),IF(O232="","LOSE",O232))</f>
        <v/>
      </c>
      <c r="BN232" s="55">
        <f>IF(BM232="LOSE",1,IF(N(T232)&gt;0,T232,IF(N(P232)&gt;0,P232,MAX(1,G232))))</f>
        <v/>
      </c>
      <c r="BO232" s="58">
        <f>IF(BM232="LOSE",1,0)</f>
        <v/>
      </c>
      <c r="BP232" s="64">
        <f>IF(BO232=0,0,IF(N(R232)&gt;0,R232,IFERROR(VLOOKUP(D232,Parameter!$A$35:$C$64,3,0)+0,0)))</f>
        <v/>
      </c>
      <c r="BQ232" s="53">
        <f>IF(V232&lt;&gt;"",V232,U232)</f>
        <v/>
      </c>
      <c r="BR232" s="53">
        <f>IF(BQ232=1,"L1",IF(OR(BQ232=2,BQ232=3),"L23",IF(BQ232="Aussen","Aussen","-")))</f>
        <v/>
      </c>
      <c r="BS232" s="66">
        <f>IF(N(W232)&gt;0,W232,0)</f>
        <v/>
      </c>
      <c r="BT232" s="58">
        <f>IF(ISNUMBER(Z232),1,0)</f>
        <v/>
      </c>
      <c r="BU232" s="55">
        <f>N(Z232)</f>
        <v/>
      </c>
      <c r="BV232" s="55">
        <f>N(L232)+N(M232)</f>
        <v/>
      </c>
      <c r="BW232" s="55">
        <f>ROUNDUP(G232/BN232,0)</f>
        <v/>
      </c>
      <c r="BX232" s="55">
        <f>ROUNDUP(BU232/BN232,0)</f>
        <v/>
      </c>
      <c r="BY232" s="58">
        <f>IF(BO232=1,0,IFERROR(VLOOKUP(BM232,'Gebinde-Kategorie'!$A$5:$G$45,5,0)+0,0))</f>
        <v/>
      </c>
      <c r="BZ232" s="58">
        <f>IFERROR(IF(OR(BQ232=1,BQ232=2,BQ232=3),N(INDEX(Parameter!$I$5:$I$7,BQ232)),0),0)</f>
        <v/>
      </c>
    </row>
    <row r="233">
      <c r="A233" s="53" t="inlineStr">
        <is>
          <t>005749</t>
        </is>
      </c>
      <c r="B233" s="53" t="inlineStr">
        <is>
          <t>Hochdruck-Ganzmetallschlauch N2,UK</t>
        </is>
      </c>
      <c r="C233" s="53" t="inlineStr">
        <is>
          <t>F</t>
        </is>
      </c>
      <c r="D233" s="53" t="inlineStr">
        <is>
          <t>PAL</t>
        </is>
      </c>
      <c r="E233" s="53" t="inlineStr">
        <is>
          <t>C</t>
        </is>
      </c>
      <c r="F233" s="54" t="n">
        <v>533.7</v>
      </c>
      <c r="G233" s="55">
        <f>MAX(0,IF(Parameter!$B$20="Jahresanfang 2025 + Export",BG233+BF233,BF233))</f>
        <v/>
      </c>
      <c r="H233" s="55">
        <f>G233*F233</f>
        <v/>
      </c>
      <c r="I233" s="55">
        <f>BI233*Parameter!$B$18</f>
        <v/>
      </c>
      <c r="J233" s="56" t="n">
        <v>1</v>
      </c>
      <c r="K233" s="57" t="n">
        <v>0</v>
      </c>
      <c r="L233" s="55" t="n">
        <v>0</v>
      </c>
      <c r="M233" s="55" t="n">
        <v>1</v>
      </c>
      <c r="N233" s="58" t="n">
        <v>28</v>
      </c>
      <c r="O233" s="53" t="inlineStr">
        <is>
          <t>LOSE</t>
        </is>
      </c>
      <c r="P233" s="55" t="n"/>
      <c r="Q233" s="59">
        <f>IF(BO233=1,0,IFERROR(VLOOKUP(BM233,'Gebinde-Kategorie'!$A$5:$G$45,6,0)+0,0))</f>
        <v/>
      </c>
      <c r="R233" s="60" t="n"/>
      <c r="S233" s="61" t="n"/>
      <c r="T233" s="61" t="n"/>
      <c r="U233" s="53">
        <f>IF(A233="","",IF(IFERROR(VLOOKUP(D233,Parameter!$A$35:$C$64,2,0),"Nein")="2+3",IF(ISNUMBER(SEARCH("grosser Artikel",BJ233)),2,IFERROR(VLOOKUP(BM233,Parameter!$F$35:$G$64,2,0),2)),IF(OR(IFERROR(VLOOKUP(D233,Parameter!$A$35:$C$64,2,0),"Nein")="Nein",IFERROR(VLOOKUP(D233,Parameter!$A$35:$C$64,2,0),"Nein")=""),"-",VLOOKUP(D233,Parameter!$A$35:$C$64,2,0))))</f>
        <v/>
      </c>
      <c r="V233" s="61" t="n"/>
      <c r="W233" s="62" t="n"/>
      <c r="X233" s="55">
        <f>AM233</f>
        <v/>
      </c>
      <c r="Y233" s="55">
        <f>MAX(AM233,G233)</f>
        <v/>
      </c>
      <c r="Z233" s="63" t="n"/>
      <c r="AA233" s="55">
        <f>IF(LEFT(Cockpit!$C$5,1)="A",G233,IF(BT233=1,BU233,IF(LEFT(Cockpit!$C$5,1)="B",AE233,MAX(AE233,G233))))</f>
        <v/>
      </c>
      <c r="AB233" s="55">
        <f>IF(BO233=1,0,ROUNDUP(AA233/BN233,0))</f>
        <v/>
      </c>
      <c r="AC233" s="64">
        <f>IF(BO233=1,IF(AA233&lt;=0,0,BP233*MAX(1,IF(G233&gt;0,AA233/G233,1))),AB233*Q233)</f>
        <v/>
      </c>
      <c r="AD233" s="55">
        <f>AA233*F233</f>
        <v/>
      </c>
      <c r="AE233" s="55">
        <f>ROUNDUP(MAX(I233/IF(BS233&gt;0,BS233,MAX(0.1,N(Cockpit!$C$6))),BV233)/BN233,0)*BN233</f>
        <v/>
      </c>
      <c r="AF233" s="56">
        <f>IF(AC233&gt;0,I233/AC233,-1)</f>
        <v/>
      </c>
      <c r="AG233" s="56">
        <f>IF(AND(OR(BR233="L1",BR233="L23"),AC233&gt;0),SUMIFS($AC$7:$AC$1570,$BR$7:$BR$1570,BR233,$AF$7:$AF$1570,"&gt;"&amp;AF233)+SUMIFS($AC$7:$AC$1570,$BR$7:$BR$1570,BR233,$AF$7:$AF$1570,AF233,$BL$7:$BL$1570,"&lt;="&amp;BL233),"")</f>
        <v/>
      </c>
      <c r="AH233" s="65">
        <f>IF(AG233="",0,MAX(0,MIN(1,(IF(BR233="L1",Parameter!$K$5,Parameter!$K$6+Parameter!$K$7)-(AG233-AC233))/AC233)))</f>
        <v/>
      </c>
      <c r="AI233" s="55">
        <f>IF(LEFT(Cockpit!$I$5,1)="A",G233,IF(BT233=1,BU233,IF(LEFT(Cockpit!$I$5,1)="B",AM233,MAX(AM233,G233))))</f>
        <v/>
      </c>
      <c r="AJ233" s="55">
        <f>IF(BO233=1,0,ROUNDUP(AI233/BN233,0))</f>
        <v/>
      </c>
      <c r="AK233" s="64">
        <f>IF(BO233=1,IF(AI233&lt;=0,0,BP233*MAX(1,IF(G233&gt;0,AI233/G233,1))),AJ233*Q233)</f>
        <v/>
      </c>
      <c r="AL233" s="55">
        <f>AI233*F233</f>
        <v/>
      </c>
      <c r="AM233" s="55">
        <f>ROUNDUP(MAX(I233/IF(BS233&gt;0,BS233,MAX(0.1,N(Cockpit!$I$6))),BV233)/BN233,0)*BN233</f>
        <v/>
      </c>
      <c r="AN233" s="56">
        <f>IF(AK233&gt;0,I233/AK233,-1)</f>
        <v/>
      </c>
      <c r="AO233" s="56">
        <f>IF(AND(OR(BR233="L1",BR233="L23"),AK233&gt;0),SUMIFS($AK$7:$AK$1570,$BR$7:$BR$1570,BR233,$AN$7:$AN$1570,"&gt;"&amp;AN233)+SUMIFS($AK$7:$AK$1570,$BR$7:$BR$1570,BR233,$AN$7:$AN$1570,AN233,$BL$7:$BL$1570,"&lt;="&amp;BL233),"")</f>
        <v/>
      </c>
      <c r="AP233" s="65">
        <f>IF(AO233="",0,MAX(0,MIN(1,(IF(BR233="L1",Parameter!$K$5,Parameter!$K$6+Parameter!$K$7)-(AO233-AK233))/AK233)))</f>
        <v/>
      </c>
      <c r="AQ233" s="55">
        <f>IF(LEFT(Cockpit!$O$5,1)="A",G233,IF(BT233=1,BU233,IF(LEFT(Cockpit!$O$5,1)="B",AU233,MAX(AU233,G233))))</f>
        <v/>
      </c>
      <c r="AR233" s="55">
        <f>IF(BO233=1,0,ROUNDUP(AQ233/BN233,0))</f>
        <v/>
      </c>
      <c r="AS233" s="64">
        <f>IF(BO233=1,IF(AQ233&lt;=0,0,BP233*MAX(1,IF(G233&gt;0,AQ233/G233,1))),AR233*Q233)</f>
        <v/>
      </c>
      <c r="AT233" s="55">
        <f>AQ233*F233</f>
        <v/>
      </c>
      <c r="AU233" s="55">
        <f>ROUNDUP(MAX(I233/IF(BS233&gt;0,BS233,MAX(0.1,N(Cockpit!$O$6))),BV233)/BN233,0)*BN233</f>
        <v/>
      </c>
      <c r="AV233" s="56">
        <f>IF(AS233&gt;0,I233/AS233,-1)</f>
        <v/>
      </c>
      <c r="AW233" s="56">
        <f>IF(AND(OR(BR233="L1",BR233="L23"),AS233&gt;0),SUMIFS($AS$7:$AS$1570,$BR$7:$BR$1570,BR233,$AV$7:$AV$1570,"&gt;"&amp;AV233)+SUMIFS($AS$7:$AS$1570,$BR$7:$BR$1570,BR233,$AV$7:$AV$1570,AV233,$BL$7:$BL$1570,"&lt;="&amp;BL233),"")</f>
        <v/>
      </c>
      <c r="AX233" s="65">
        <f>IF(AW233="",0,MAX(0,MIN(1,(IF(BR233="L1",Parameter!$K$5,Parameter!$K$6+Parameter!$K$7)-(AW233-AS233))/AS233)))</f>
        <v/>
      </c>
      <c r="AY233" s="53">
        <f>IF(AC233&lt;=0,"",IF(BR233="Aussen","Aussenlager",IF(BR233="-","Nicht im Lift",IF(AH233&gt;=1,"Lift",IF(AH233&lt;=0,"Aussenlager","teilweise")))))</f>
        <v/>
      </c>
      <c r="AZ233" s="53">
        <f>IF(AK233&lt;=0,"",IF(BR233="Aussen","Aussenlager",IF(BR233="-","Nicht im Lift",IF(AP233&gt;=1,"Lift",IF(AP233&lt;=0,"Aussenlager","teilweise")))))</f>
        <v/>
      </c>
      <c r="BA233" s="53">
        <f>IF(AS233&lt;=0,"",IF(BR233="Aussen","Aussenlager",IF(BR233="-","Nicht im Lift",IF(AX233&gt;=1,"Lift",IF(AX233&lt;=0,"Aussenlager","teilweise")))))</f>
        <v/>
      </c>
      <c r="BB233" s="53">
        <f>IF(A233="","",IF(BK233=1,"Neu; ","")&amp;IF(AND(BK233=0,BF233&lt;0),"negativer Bestand (Export "&amp;BF233&amp;"); ","")&amp;IF(I233&lt;=0,"Kein Verbrauch; ","")&amp;IF(BO233=1,"Lose – Fläche geschätzt; ","")&amp;IF(G233&gt;AM233,"Überbestand "&amp;ROUND(G233-AM233,0)&amp;" Stk / CHF "&amp;ROUND((G233-AM233)*F233,0)&amp;"; ","")&amp;IF(AND(BT233=1,BU233&lt;BV233),"MAX &lt; MB+LG; ","")&amp;IF(AND(BZ233&gt;0,BY233*10&gt;BZ233),"zu hoch für Tablar; ","")&amp;IF(AND(BK233=0,OR(BT233=1,V233&lt;&gt;"",S233&lt;&gt;"",T233&lt;&gt;"",W233&lt;&gt;"")),"manuell übersteuert; ","")&amp;IF(AND(BO233=0,Q233=0),"Gebinde unbekannt; ","")&amp;IF(AND(BO233=0,N(T233)&lt;=0,N(P233)&lt;=0),"Menge pro Gebinde fehlt (Ist = 1 Gebinde); ","")&amp;BJ233)</f>
        <v/>
      </c>
      <c r="BC233" s="53" t="n"/>
      <c r="BD233" s="53" t="n"/>
      <c r="BE233" s="61" t="n"/>
      <c r="BF233" s="55" t="n">
        <v>1</v>
      </c>
      <c r="BG233" s="55" t="n">
        <v>1</v>
      </c>
      <c r="BH233" s="54" t="n">
        <v>576.9000000000001</v>
      </c>
      <c r="BI233" s="55" t="n">
        <v>0</v>
      </c>
      <c r="BJ233" s="53" t="inlineStr"/>
      <c r="BK233" s="58" t="n">
        <v>0</v>
      </c>
      <c r="BL233" s="58" t="n">
        <v>233</v>
      </c>
      <c r="BM233" s="53">
        <f>IF(S233&lt;&gt;"",UPPER(TRIM(S233)),IF(O233="","LOSE",O233))</f>
        <v/>
      </c>
      <c r="BN233" s="55">
        <f>IF(BM233="LOSE",1,IF(N(T233)&gt;0,T233,IF(N(P233)&gt;0,P233,MAX(1,G233))))</f>
        <v/>
      </c>
      <c r="BO233" s="58">
        <f>IF(BM233="LOSE",1,0)</f>
        <v/>
      </c>
      <c r="BP233" s="64">
        <f>IF(BO233=0,0,IF(N(R233)&gt;0,R233,IFERROR(VLOOKUP(D233,Parameter!$A$35:$C$64,3,0)+0,0)))</f>
        <v/>
      </c>
      <c r="BQ233" s="53">
        <f>IF(V233&lt;&gt;"",V233,U233)</f>
        <v/>
      </c>
      <c r="BR233" s="53">
        <f>IF(BQ233=1,"L1",IF(OR(BQ233=2,BQ233=3),"L23",IF(BQ233="Aussen","Aussen","-")))</f>
        <v/>
      </c>
      <c r="BS233" s="66">
        <f>IF(N(W233)&gt;0,W233,0)</f>
        <v/>
      </c>
      <c r="BT233" s="58">
        <f>IF(ISNUMBER(Z233),1,0)</f>
        <v/>
      </c>
      <c r="BU233" s="55">
        <f>N(Z233)</f>
        <v/>
      </c>
      <c r="BV233" s="55">
        <f>N(L233)+N(M233)</f>
        <v/>
      </c>
      <c r="BW233" s="55">
        <f>ROUNDUP(G233/BN233,0)</f>
        <v/>
      </c>
      <c r="BX233" s="55">
        <f>ROUNDUP(BU233/BN233,0)</f>
        <v/>
      </c>
      <c r="BY233" s="58">
        <f>IF(BO233=1,0,IFERROR(VLOOKUP(BM233,'Gebinde-Kategorie'!$A$5:$G$45,5,0)+0,0))</f>
        <v/>
      </c>
      <c r="BZ233" s="58">
        <f>IFERROR(IF(OR(BQ233=1,BQ233=2,BQ233=3),N(INDEX(Parameter!$I$5:$I$7,BQ233)),0),0)</f>
        <v/>
      </c>
    </row>
    <row r="234">
      <c r="A234" s="53" t="inlineStr">
        <is>
          <t>005748</t>
        </is>
      </c>
      <c r="B234" s="53" t="inlineStr">
        <is>
          <t>Hochdruck-Ganzmetallschlauch CH4,UK</t>
        </is>
      </c>
      <c r="C234" s="53" t="inlineStr">
        <is>
          <t>F</t>
        </is>
      </c>
      <c r="D234" s="53" t="inlineStr">
        <is>
          <t>PAL</t>
        </is>
      </c>
      <c r="E234" s="53" t="inlineStr">
        <is>
          <t>C</t>
        </is>
      </c>
      <c r="F234" s="54" t="n">
        <v>533.7</v>
      </c>
      <c r="G234" s="55">
        <f>MAX(0,IF(Parameter!$B$20="Jahresanfang 2025 + Export",BG234+BF234,BF234))</f>
        <v/>
      </c>
      <c r="H234" s="55">
        <f>G234*F234</f>
        <v/>
      </c>
      <c r="I234" s="55">
        <f>BI234*Parameter!$B$18</f>
        <v/>
      </c>
      <c r="J234" s="56" t="n">
        <v>1</v>
      </c>
      <c r="K234" s="57" t="n">
        <v>0</v>
      </c>
      <c r="L234" s="55" t="n">
        <v>0</v>
      </c>
      <c r="M234" s="55" t="n">
        <v>1</v>
      </c>
      <c r="N234" s="58" t="n">
        <v>28</v>
      </c>
      <c r="O234" s="53" t="inlineStr">
        <is>
          <t>LOSE</t>
        </is>
      </c>
      <c r="P234" s="55" t="n"/>
      <c r="Q234" s="59">
        <f>IF(BO234=1,0,IFERROR(VLOOKUP(BM234,'Gebinde-Kategorie'!$A$5:$G$45,6,0)+0,0))</f>
        <v/>
      </c>
      <c r="R234" s="60" t="n"/>
      <c r="S234" s="61" t="n"/>
      <c r="T234" s="61" t="n"/>
      <c r="U234" s="53">
        <f>IF(A234="","",IF(IFERROR(VLOOKUP(D234,Parameter!$A$35:$C$64,2,0),"Nein")="2+3",IF(ISNUMBER(SEARCH("grosser Artikel",BJ234)),2,IFERROR(VLOOKUP(BM234,Parameter!$F$35:$G$64,2,0),2)),IF(OR(IFERROR(VLOOKUP(D234,Parameter!$A$35:$C$64,2,0),"Nein")="Nein",IFERROR(VLOOKUP(D234,Parameter!$A$35:$C$64,2,0),"Nein")=""),"-",VLOOKUP(D234,Parameter!$A$35:$C$64,2,0))))</f>
        <v/>
      </c>
      <c r="V234" s="61" t="n"/>
      <c r="W234" s="62" t="n"/>
      <c r="X234" s="55">
        <f>AM234</f>
        <v/>
      </c>
      <c r="Y234" s="55">
        <f>MAX(AM234,G234)</f>
        <v/>
      </c>
      <c r="Z234" s="63" t="n"/>
      <c r="AA234" s="55">
        <f>IF(LEFT(Cockpit!$C$5,1)="A",G234,IF(BT234=1,BU234,IF(LEFT(Cockpit!$C$5,1)="B",AE234,MAX(AE234,G234))))</f>
        <v/>
      </c>
      <c r="AB234" s="55">
        <f>IF(BO234=1,0,ROUNDUP(AA234/BN234,0))</f>
        <v/>
      </c>
      <c r="AC234" s="64">
        <f>IF(BO234=1,IF(AA234&lt;=0,0,BP234*MAX(1,IF(G234&gt;0,AA234/G234,1))),AB234*Q234)</f>
        <v/>
      </c>
      <c r="AD234" s="55">
        <f>AA234*F234</f>
        <v/>
      </c>
      <c r="AE234" s="55">
        <f>ROUNDUP(MAX(I234/IF(BS234&gt;0,BS234,MAX(0.1,N(Cockpit!$C$6))),BV234)/BN234,0)*BN234</f>
        <v/>
      </c>
      <c r="AF234" s="56">
        <f>IF(AC234&gt;0,I234/AC234,-1)</f>
        <v/>
      </c>
      <c r="AG234" s="56">
        <f>IF(AND(OR(BR234="L1",BR234="L23"),AC234&gt;0),SUMIFS($AC$7:$AC$1570,$BR$7:$BR$1570,BR234,$AF$7:$AF$1570,"&gt;"&amp;AF234)+SUMIFS($AC$7:$AC$1570,$BR$7:$BR$1570,BR234,$AF$7:$AF$1570,AF234,$BL$7:$BL$1570,"&lt;="&amp;BL234),"")</f>
        <v/>
      </c>
      <c r="AH234" s="65">
        <f>IF(AG234="",0,MAX(0,MIN(1,(IF(BR234="L1",Parameter!$K$5,Parameter!$K$6+Parameter!$K$7)-(AG234-AC234))/AC234)))</f>
        <v/>
      </c>
      <c r="AI234" s="55">
        <f>IF(LEFT(Cockpit!$I$5,1)="A",G234,IF(BT234=1,BU234,IF(LEFT(Cockpit!$I$5,1)="B",AM234,MAX(AM234,G234))))</f>
        <v/>
      </c>
      <c r="AJ234" s="55">
        <f>IF(BO234=1,0,ROUNDUP(AI234/BN234,0))</f>
        <v/>
      </c>
      <c r="AK234" s="64">
        <f>IF(BO234=1,IF(AI234&lt;=0,0,BP234*MAX(1,IF(G234&gt;0,AI234/G234,1))),AJ234*Q234)</f>
        <v/>
      </c>
      <c r="AL234" s="55">
        <f>AI234*F234</f>
        <v/>
      </c>
      <c r="AM234" s="55">
        <f>ROUNDUP(MAX(I234/IF(BS234&gt;0,BS234,MAX(0.1,N(Cockpit!$I$6))),BV234)/BN234,0)*BN234</f>
        <v/>
      </c>
      <c r="AN234" s="56">
        <f>IF(AK234&gt;0,I234/AK234,-1)</f>
        <v/>
      </c>
      <c r="AO234" s="56">
        <f>IF(AND(OR(BR234="L1",BR234="L23"),AK234&gt;0),SUMIFS($AK$7:$AK$1570,$BR$7:$BR$1570,BR234,$AN$7:$AN$1570,"&gt;"&amp;AN234)+SUMIFS($AK$7:$AK$1570,$BR$7:$BR$1570,BR234,$AN$7:$AN$1570,AN234,$BL$7:$BL$1570,"&lt;="&amp;BL234),"")</f>
        <v/>
      </c>
      <c r="AP234" s="65">
        <f>IF(AO234="",0,MAX(0,MIN(1,(IF(BR234="L1",Parameter!$K$5,Parameter!$K$6+Parameter!$K$7)-(AO234-AK234))/AK234)))</f>
        <v/>
      </c>
      <c r="AQ234" s="55">
        <f>IF(LEFT(Cockpit!$O$5,1)="A",G234,IF(BT234=1,BU234,IF(LEFT(Cockpit!$O$5,1)="B",AU234,MAX(AU234,G234))))</f>
        <v/>
      </c>
      <c r="AR234" s="55">
        <f>IF(BO234=1,0,ROUNDUP(AQ234/BN234,0))</f>
        <v/>
      </c>
      <c r="AS234" s="64">
        <f>IF(BO234=1,IF(AQ234&lt;=0,0,BP234*MAX(1,IF(G234&gt;0,AQ234/G234,1))),AR234*Q234)</f>
        <v/>
      </c>
      <c r="AT234" s="55">
        <f>AQ234*F234</f>
        <v/>
      </c>
      <c r="AU234" s="55">
        <f>ROUNDUP(MAX(I234/IF(BS234&gt;0,BS234,MAX(0.1,N(Cockpit!$O$6))),BV234)/BN234,0)*BN234</f>
        <v/>
      </c>
      <c r="AV234" s="56">
        <f>IF(AS234&gt;0,I234/AS234,-1)</f>
        <v/>
      </c>
      <c r="AW234" s="56">
        <f>IF(AND(OR(BR234="L1",BR234="L23"),AS234&gt;0),SUMIFS($AS$7:$AS$1570,$BR$7:$BR$1570,BR234,$AV$7:$AV$1570,"&gt;"&amp;AV234)+SUMIFS($AS$7:$AS$1570,$BR$7:$BR$1570,BR234,$AV$7:$AV$1570,AV234,$BL$7:$BL$1570,"&lt;="&amp;BL234),"")</f>
        <v/>
      </c>
      <c r="AX234" s="65">
        <f>IF(AW234="",0,MAX(0,MIN(1,(IF(BR234="L1",Parameter!$K$5,Parameter!$K$6+Parameter!$K$7)-(AW234-AS234))/AS234)))</f>
        <v/>
      </c>
      <c r="AY234" s="53">
        <f>IF(AC234&lt;=0,"",IF(BR234="Aussen","Aussenlager",IF(BR234="-","Nicht im Lift",IF(AH234&gt;=1,"Lift",IF(AH234&lt;=0,"Aussenlager","teilweise")))))</f>
        <v/>
      </c>
      <c r="AZ234" s="53">
        <f>IF(AK234&lt;=0,"",IF(BR234="Aussen","Aussenlager",IF(BR234="-","Nicht im Lift",IF(AP234&gt;=1,"Lift",IF(AP234&lt;=0,"Aussenlager","teilweise")))))</f>
        <v/>
      </c>
      <c r="BA234" s="53">
        <f>IF(AS234&lt;=0,"",IF(BR234="Aussen","Aussenlager",IF(BR234="-","Nicht im Lift",IF(AX234&gt;=1,"Lift",IF(AX234&lt;=0,"Aussenlager","teilweise")))))</f>
        <v/>
      </c>
      <c r="BB234" s="53">
        <f>IF(A234="","",IF(BK234=1,"Neu; ","")&amp;IF(AND(BK234=0,BF234&lt;0),"negativer Bestand (Export "&amp;BF234&amp;"); ","")&amp;IF(I234&lt;=0,"Kein Verbrauch; ","")&amp;IF(BO234=1,"Lose – Fläche geschätzt; ","")&amp;IF(G234&gt;AM234,"Überbestand "&amp;ROUND(G234-AM234,0)&amp;" Stk / CHF "&amp;ROUND((G234-AM234)*F234,0)&amp;"; ","")&amp;IF(AND(BT234=1,BU234&lt;BV234),"MAX &lt; MB+LG; ","")&amp;IF(AND(BZ234&gt;0,BY234*10&gt;BZ234),"zu hoch für Tablar; ","")&amp;IF(AND(BK234=0,OR(BT234=1,V234&lt;&gt;"",S234&lt;&gt;"",T234&lt;&gt;"",W234&lt;&gt;"")),"manuell übersteuert; ","")&amp;IF(AND(BO234=0,Q234=0),"Gebinde unbekannt; ","")&amp;IF(AND(BO234=0,N(T234)&lt;=0,N(P234)&lt;=0),"Menge pro Gebinde fehlt (Ist = 1 Gebinde); ","")&amp;BJ234)</f>
        <v/>
      </c>
      <c r="BC234" s="53" t="n"/>
      <c r="BD234" s="53" t="n"/>
      <c r="BE234" s="61" t="n"/>
      <c r="BF234" s="55" t="n">
        <v>1</v>
      </c>
      <c r="BG234" s="55" t="n">
        <v>1</v>
      </c>
      <c r="BH234" s="54" t="n">
        <v>576.9000000000001</v>
      </c>
      <c r="BI234" s="55" t="n">
        <v>0</v>
      </c>
      <c r="BJ234" s="53" t="inlineStr"/>
      <c r="BK234" s="58" t="n">
        <v>0</v>
      </c>
      <c r="BL234" s="58" t="n">
        <v>234</v>
      </c>
      <c r="BM234" s="53">
        <f>IF(S234&lt;&gt;"",UPPER(TRIM(S234)),IF(O234="","LOSE",O234))</f>
        <v/>
      </c>
      <c r="BN234" s="55">
        <f>IF(BM234="LOSE",1,IF(N(T234)&gt;0,T234,IF(N(P234)&gt;0,P234,MAX(1,G234))))</f>
        <v/>
      </c>
      <c r="BO234" s="58">
        <f>IF(BM234="LOSE",1,0)</f>
        <v/>
      </c>
      <c r="BP234" s="64">
        <f>IF(BO234=0,0,IF(N(R234)&gt;0,R234,IFERROR(VLOOKUP(D234,Parameter!$A$35:$C$64,3,0)+0,0)))</f>
        <v/>
      </c>
      <c r="BQ234" s="53">
        <f>IF(V234&lt;&gt;"",V234,U234)</f>
        <v/>
      </c>
      <c r="BR234" s="53">
        <f>IF(BQ234=1,"L1",IF(OR(BQ234=2,BQ234=3),"L23",IF(BQ234="Aussen","Aussen","-")))</f>
        <v/>
      </c>
      <c r="BS234" s="66">
        <f>IF(N(W234)&gt;0,W234,0)</f>
        <v/>
      </c>
      <c r="BT234" s="58">
        <f>IF(ISNUMBER(Z234),1,0)</f>
        <v/>
      </c>
      <c r="BU234" s="55">
        <f>N(Z234)</f>
        <v/>
      </c>
      <c r="BV234" s="55">
        <f>N(L234)+N(M234)</f>
        <v/>
      </c>
      <c r="BW234" s="55">
        <f>ROUNDUP(G234/BN234,0)</f>
        <v/>
      </c>
      <c r="BX234" s="55">
        <f>ROUNDUP(BU234/BN234,0)</f>
        <v/>
      </c>
      <c r="BY234" s="58">
        <f>IF(BO234=1,0,IFERROR(VLOOKUP(BM234,'Gebinde-Kategorie'!$A$5:$G$45,5,0)+0,0))</f>
        <v/>
      </c>
      <c r="BZ234" s="58">
        <f>IFERROR(IF(OR(BQ234=1,BQ234=2,BQ234=3),N(INDEX(Parameter!$I$5:$I$7,BQ234)),0),0)</f>
        <v/>
      </c>
    </row>
    <row r="235">
      <c r="A235" s="53" t="inlineStr">
        <is>
          <t>111977</t>
        </is>
      </c>
      <c r="B235" s="53" t="inlineStr">
        <is>
          <t>Einschraubverschraubung</t>
        </is>
      </c>
      <c r="C235" s="53" t="inlineStr">
        <is>
          <t>F</t>
        </is>
      </c>
      <c r="D235" s="53" t="inlineStr">
        <is>
          <t>KTL</t>
        </is>
      </c>
      <c r="E235" s="53" t="inlineStr">
        <is>
          <t>C</t>
        </is>
      </c>
      <c r="F235" s="54" t="n">
        <v>11.5</v>
      </c>
      <c r="G235" s="55">
        <f>MAX(0,IF(Parameter!$B$20="Jahresanfang 2025 + Export",BG235+BF235,BF235))</f>
        <v/>
      </c>
      <c r="H235" s="55">
        <f>G235*F235</f>
        <v/>
      </c>
      <c r="I235" s="55">
        <f>BI235*Parameter!$B$18</f>
        <v/>
      </c>
      <c r="J235" s="56" t="n">
        <v>0</v>
      </c>
      <c r="K235" s="57" t="n">
        <v>0</v>
      </c>
      <c r="L235" s="55" t="n">
        <v>0</v>
      </c>
      <c r="M235" s="55" t="n">
        <v>1</v>
      </c>
      <c r="N235" s="58" t="n">
        <v>9999</v>
      </c>
      <c r="O235" s="53" t="inlineStr">
        <is>
          <t>LOSE</t>
        </is>
      </c>
      <c r="P235" s="55" t="n"/>
      <c r="Q235" s="59">
        <f>IF(BO235=1,0,IFERROR(VLOOKUP(BM235,'Gebinde-Kategorie'!$A$5:$G$45,6,0)+0,0))</f>
        <v/>
      </c>
      <c r="R235" s="60" t="n"/>
      <c r="S235" s="61" t="n"/>
      <c r="T235" s="61" t="n"/>
      <c r="U235" s="53">
        <f>IF(A235="","",IF(IFERROR(VLOOKUP(D235,Parameter!$A$35:$C$64,2,0),"Nein")="2+3",IF(ISNUMBER(SEARCH("grosser Artikel",BJ235)),2,IFERROR(VLOOKUP(BM235,Parameter!$F$35:$G$64,2,0),2)),IF(OR(IFERROR(VLOOKUP(D235,Parameter!$A$35:$C$64,2,0),"Nein")="Nein",IFERROR(VLOOKUP(D235,Parameter!$A$35:$C$64,2,0),"Nein")=""),"-",VLOOKUP(D235,Parameter!$A$35:$C$64,2,0))))</f>
        <v/>
      </c>
      <c r="V235" s="61" t="n"/>
      <c r="W235" s="62" t="n"/>
      <c r="X235" s="55">
        <f>AM235</f>
        <v/>
      </c>
      <c r="Y235" s="55">
        <f>MAX(AM235,G235)</f>
        <v/>
      </c>
      <c r="Z235" s="63" t="n"/>
      <c r="AA235" s="55">
        <f>IF(LEFT(Cockpit!$C$5,1)="A",G235,IF(BT235=1,BU235,IF(LEFT(Cockpit!$C$5,1)="B",AE235,MAX(AE235,G235))))</f>
        <v/>
      </c>
      <c r="AB235" s="55">
        <f>IF(BO235=1,0,ROUNDUP(AA235/BN235,0))</f>
        <v/>
      </c>
      <c r="AC235" s="64">
        <f>IF(BO235=1,IF(AA235&lt;=0,0,BP235*MAX(1,IF(G235&gt;0,AA235/G235,1))),AB235*Q235)</f>
        <v/>
      </c>
      <c r="AD235" s="55">
        <f>AA235*F235</f>
        <v/>
      </c>
      <c r="AE235" s="55">
        <f>ROUNDUP(MAX(I235/IF(BS235&gt;0,BS235,MAX(0.1,N(Cockpit!$C$6))),BV235)/BN235,0)*BN235</f>
        <v/>
      </c>
      <c r="AF235" s="56">
        <f>IF(AC235&gt;0,I235/AC235,-1)</f>
        <v/>
      </c>
      <c r="AG235" s="56">
        <f>IF(AND(OR(BR235="L1",BR235="L23"),AC235&gt;0),SUMIFS($AC$7:$AC$1570,$BR$7:$BR$1570,BR235,$AF$7:$AF$1570,"&gt;"&amp;AF235)+SUMIFS($AC$7:$AC$1570,$BR$7:$BR$1570,BR235,$AF$7:$AF$1570,AF235,$BL$7:$BL$1570,"&lt;="&amp;BL235),"")</f>
        <v/>
      </c>
      <c r="AH235" s="65">
        <f>IF(AG235="",0,MAX(0,MIN(1,(IF(BR235="L1",Parameter!$K$5,Parameter!$K$6+Parameter!$K$7)-(AG235-AC235))/AC235)))</f>
        <v/>
      </c>
      <c r="AI235" s="55">
        <f>IF(LEFT(Cockpit!$I$5,1)="A",G235,IF(BT235=1,BU235,IF(LEFT(Cockpit!$I$5,1)="B",AM235,MAX(AM235,G235))))</f>
        <v/>
      </c>
      <c r="AJ235" s="55">
        <f>IF(BO235=1,0,ROUNDUP(AI235/BN235,0))</f>
        <v/>
      </c>
      <c r="AK235" s="64">
        <f>IF(BO235=1,IF(AI235&lt;=0,0,BP235*MAX(1,IF(G235&gt;0,AI235/G235,1))),AJ235*Q235)</f>
        <v/>
      </c>
      <c r="AL235" s="55">
        <f>AI235*F235</f>
        <v/>
      </c>
      <c r="AM235" s="55">
        <f>ROUNDUP(MAX(I235/IF(BS235&gt;0,BS235,MAX(0.1,N(Cockpit!$I$6))),BV235)/BN235,0)*BN235</f>
        <v/>
      </c>
      <c r="AN235" s="56">
        <f>IF(AK235&gt;0,I235/AK235,-1)</f>
        <v/>
      </c>
      <c r="AO235" s="56">
        <f>IF(AND(OR(BR235="L1",BR235="L23"),AK235&gt;0),SUMIFS($AK$7:$AK$1570,$BR$7:$BR$1570,BR235,$AN$7:$AN$1570,"&gt;"&amp;AN235)+SUMIFS($AK$7:$AK$1570,$BR$7:$BR$1570,BR235,$AN$7:$AN$1570,AN235,$BL$7:$BL$1570,"&lt;="&amp;BL235),"")</f>
        <v/>
      </c>
      <c r="AP235" s="65">
        <f>IF(AO235="",0,MAX(0,MIN(1,(IF(BR235="L1",Parameter!$K$5,Parameter!$K$6+Parameter!$K$7)-(AO235-AK235))/AK235)))</f>
        <v/>
      </c>
      <c r="AQ235" s="55">
        <f>IF(LEFT(Cockpit!$O$5,1)="A",G235,IF(BT235=1,BU235,IF(LEFT(Cockpit!$O$5,1)="B",AU235,MAX(AU235,G235))))</f>
        <v/>
      </c>
      <c r="AR235" s="55">
        <f>IF(BO235=1,0,ROUNDUP(AQ235/BN235,0))</f>
        <v/>
      </c>
      <c r="AS235" s="64">
        <f>IF(BO235=1,IF(AQ235&lt;=0,0,BP235*MAX(1,IF(G235&gt;0,AQ235/G235,1))),AR235*Q235)</f>
        <v/>
      </c>
      <c r="AT235" s="55">
        <f>AQ235*F235</f>
        <v/>
      </c>
      <c r="AU235" s="55">
        <f>ROUNDUP(MAX(I235/IF(BS235&gt;0,BS235,MAX(0.1,N(Cockpit!$O$6))),BV235)/BN235,0)*BN235</f>
        <v/>
      </c>
      <c r="AV235" s="56">
        <f>IF(AS235&gt;0,I235/AS235,-1)</f>
        <v/>
      </c>
      <c r="AW235" s="56">
        <f>IF(AND(OR(BR235="L1",BR235="L23"),AS235&gt;0),SUMIFS($AS$7:$AS$1570,$BR$7:$BR$1570,BR235,$AV$7:$AV$1570,"&gt;"&amp;AV235)+SUMIFS($AS$7:$AS$1570,$BR$7:$BR$1570,BR235,$AV$7:$AV$1570,AV235,$BL$7:$BL$1570,"&lt;="&amp;BL235),"")</f>
        <v/>
      </c>
      <c r="AX235" s="65">
        <f>IF(AW235="",0,MAX(0,MIN(1,(IF(BR235="L1",Parameter!$K$5,Parameter!$K$6+Parameter!$K$7)-(AW235-AS235))/AS235)))</f>
        <v/>
      </c>
      <c r="AY235" s="53">
        <f>IF(AC235&lt;=0,"",IF(BR235="Aussen","Aussenlager",IF(BR235="-","Nicht im Lift",IF(AH235&gt;=1,"Lift",IF(AH235&lt;=0,"Aussenlager","teilweise")))))</f>
        <v/>
      </c>
      <c r="AZ235" s="53">
        <f>IF(AK235&lt;=0,"",IF(BR235="Aussen","Aussenlager",IF(BR235="-","Nicht im Lift",IF(AP235&gt;=1,"Lift",IF(AP235&lt;=0,"Aussenlager","teilweise")))))</f>
        <v/>
      </c>
      <c r="BA235" s="53">
        <f>IF(AS235&lt;=0,"",IF(BR235="Aussen","Aussenlager",IF(BR235="-","Nicht im Lift",IF(AX235&gt;=1,"Lift",IF(AX235&lt;=0,"Aussenlager","teilweise")))))</f>
        <v/>
      </c>
      <c r="BB235" s="53">
        <f>IF(A235="","",IF(BK235=1,"Neu; ","")&amp;IF(AND(BK235=0,BF235&lt;0),"negativer Bestand (Export "&amp;BF235&amp;"); ","")&amp;IF(I235&lt;=0,"Kein Verbrauch; ","")&amp;IF(BO235=1,"Lose – Fläche geschätzt; ","")&amp;IF(G235&gt;AM235,"Überbestand "&amp;ROUND(G235-AM235,0)&amp;" Stk / CHF "&amp;ROUND((G235-AM235)*F235,0)&amp;"; ","")&amp;IF(AND(BT235=1,BU235&lt;BV235),"MAX &lt; MB+LG; ","")&amp;IF(AND(BZ235&gt;0,BY235*10&gt;BZ235),"zu hoch für Tablar; ","")&amp;IF(AND(BK235=0,OR(BT235=1,V235&lt;&gt;"",S235&lt;&gt;"",T235&lt;&gt;"",W235&lt;&gt;"")),"manuell übersteuert; ","")&amp;IF(AND(BO235=0,Q235=0),"Gebinde unbekannt; ","")&amp;IF(AND(BO235=0,N(T235)&lt;=0,N(P235)&lt;=0),"Menge pro Gebinde fehlt (Ist = 1 Gebinde); ","")&amp;BJ235)</f>
        <v/>
      </c>
      <c r="BC235" s="53" t="n"/>
      <c r="BD235" s="53" t="n"/>
      <c r="BE235" s="61" t="n"/>
      <c r="BF235" s="55" t="n">
        <v>50</v>
      </c>
      <c r="BG235" s="55" t="n">
        <v>0</v>
      </c>
      <c r="BH235" s="54" t="n">
        <v>575</v>
      </c>
      <c r="BI235" s="55" t="n">
        <v>0</v>
      </c>
      <c r="BJ235" s="53" t="inlineStr"/>
      <c r="BK235" s="58" t="n">
        <v>0</v>
      </c>
      <c r="BL235" s="58" t="n">
        <v>235</v>
      </c>
      <c r="BM235" s="53">
        <f>IF(S235&lt;&gt;"",UPPER(TRIM(S235)),IF(O235="","LOSE",O235))</f>
        <v/>
      </c>
      <c r="BN235" s="55">
        <f>IF(BM235="LOSE",1,IF(N(T235)&gt;0,T235,IF(N(P235)&gt;0,P235,MAX(1,G235))))</f>
        <v/>
      </c>
      <c r="BO235" s="58">
        <f>IF(BM235="LOSE",1,0)</f>
        <v/>
      </c>
      <c r="BP235" s="64">
        <f>IF(BO235=0,0,IF(N(R235)&gt;0,R235,IFERROR(VLOOKUP(D235,Parameter!$A$35:$C$64,3,0)+0,0)))</f>
        <v/>
      </c>
      <c r="BQ235" s="53">
        <f>IF(V235&lt;&gt;"",V235,U235)</f>
        <v/>
      </c>
      <c r="BR235" s="53">
        <f>IF(BQ235=1,"L1",IF(OR(BQ235=2,BQ235=3),"L23",IF(BQ235="Aussen","Aussen","-")))</f>
        <v/>
      </c>
      <c r="BS235" s="66">
        <f>IF(N(W235)&gt;0,W235,0)</f>
        <v/>
      </c>
      <c r="BT235" s="58">
        <f>IF(ISNUMBER(Z235),1,0)</f>
        <v/>
      </c>
      <c r="BU235" s="55">
        <f>N(Z235)</f>
        <v/>
      </c>
      <c r="BV235" s="55">
        <f>N(L235)+N(M235)</f>
        <v/>
      </c>
      <c r="BW235" s="55">
        <f>ROUNDUP(G235/BN235,0)</f>
        <v/>
      </c>
      <c r="BX235" s="55">
        <f>ROUNDUP(BU235/BN235,0)</f>
        <v/>
      </c>
      <c r="BY235" s="58">
        <f>IF(BO235=1,0,IFERROR(VLOOKUP(BM235,'Gebinde-Kategorie'!$A$5:$G$45,5,0)+0,0))</f>
        <v/>
      </c>
      <c r="BZ235" s="58">
        <f>IFERROR(IF(OR(BQ235=1,BQ235=2,BQ235=3),N(INDEX(Parameter!$I$5:$I$7,BQ235)),0),0)</f>
        <v/>
      </c>
    </row>
    <row r="236">
      <c r="A236" s="53" t="inlineStr">
        <is>
          <t>005257</t>
        </is>
      </c>
      <c r="B236" s="53" t="inlineStr">
        <is>
          <t>Stopfen</t>
        </is>
      </c>
      <c r="C236" s="53" t="inlineStr">
        <is>
          <t>F</t>
        </is>
      </c>
      <c r="D236" s="53" t="inlineStr">
        <is>
          <t>KTL</t>
        </is>
      </c>
      <c r="E236" s="53" t="inlineStr">
        <is>
          <t>C</t>
        </is>
      </c>
      <c r="F236" s="54" t="n">
        <v>114.02</v>
      </c>
      <c r="G236" s="55">
        <f>MAX(0,IF(Parameter!$B$20="Jahresanfang 2025 + Export",BG236+BF236,BF236))</f>
        <v/>
      </c>
      <c r="H236" s="55">
        <f>G236*F236</f>
        <v/>
      </c>
      <c r="I236" s="55">
        <f>BI236*Parameter!$B$18</f>
        <v/>
      </c>
      <c r="J236" s="56" t="n">
        <v>60.5</v>
      </c>
      <c r="K236" s="57" t="n">
        <v>0.03305785123966942</v>
      </c>
      <c r="L236" s="55" t="n">
        <v>0</v>
      </c>
      <c r="M236" s="55" t="n">
        <v>5</v>
      </c>
      <c r="N236" s="58" t="n">
        <v>42</v>
      </c>
      <c r="O236" s="53" t="inlineStr">
        <is>
          <t>S52</t>
        </is>
      </c>
      <c r="P236" s="55" t="n">
        <v>146</v>
      </c>
      <c r="Q236" s="59">
        <f>IF(BO236=1,0,IFERROR(VLOOKUP(BM236,'Gebinde-Kategorie'!$A$5:$G$45,6,0)+0,0))</f>
        <v/>
      </c>
      <c r="R236" s="60" t="n"/>
      <c r="S236" s="61" t="n"/>
      <c r="T236" s="61" t="n"/>
      <c r="U236" s="53">
        <f>IF(A236="","",IF(IFERROR(VLOOKUP(D236,Parameter!$A$35:$C$64,2,0),"Nein")="2+3",IF(ISNUMBER(SEARCH("grosser Artikel",BJ236)),2,IFERROR(VLOOKUP(BM236,Parameter!$F$35:$G$64,2,0),2)),IF(OR(IFERROR(VLOOKUP(D236,Parameter!$A$35:$C$64,2,0),"Nein")="Nein",IFERROR(VLOOKUP(D236,Parameter!$A$35:$C$64,2,0),"Nein")=""),"-",VLOOKUP(D236,Parameter!$A$35:$C$64,2,0))))</f>
        <v/>
      </c>
      <c r="V236" s="61" t="n"/>
      <c r="W236" s="62" t="n"/>
      <c r="X236" s="55">
        <f>AM236</f>
        <v/>
      </c>
      <c r="Y236" s="55">
        <f>MAX(AM236,G236)</f>
        <v/>
      </c>
      <c r="Z236" s="63" t="n"/>
      <c r="AA236" s="55">
        <f>IF(LEFT(Cockpit!$C$5,1)="A",G236,IF(BT236=1,BU236,IF(LEFT(Cockpit!$C$5,1)="B",AE236,MAX(AE236,G236))))</f>
        <v/>
      </c>
      <c r="AB236" s="55">
        <f>IF(BO236=1,0,ROUNDUP(AA236/BN236,0))</f>
        <v/>
      </c>
      <c r="AC236" s="64">
        <f>IF(BO236=1,IF(AA236&lt;=0,0,BP236*MAX(1,IF(G236&gt;0,AA236/G236,1))),AB236*Q236)</f>
        <v/>
      </c>
      <c r="AD236" s="55">
        <f>AA236*F236</f>
        <v/>
      </c>
      <c r="AE236" s="55">
        <f>ROUNDUP(MAX(I236/IF(BS236&gt;0,BS236,MAX(0.1,N(Cockpit!$C$6))),BV236)/BN236,0)*BN236</f>
        <v/>
      </c>
      <c r="AF236" s="56">
        <f>IF(AC236&gt;0,I236/AC236,-1)</f>
        <v/>
      </c>
      <c r="AG236" s="56">
        <f>IF(AND(OR(BR236="L1",BR236="L23"),AC236&gt;0),SUMIFS($AC$7:$AC$1570,$BR$7:$BR$1570,BR236,$AF$7:$AF$1570,"&gt;"&amp;AF236)+SUMIFS($AC$7:$AC$1570,$BR$7:$BR$1570,BR236,$AF$7:$AF$1570,AF236,$BL$7:$BL$1570,"&lt;="&amp;BL236),"")</f>
        <v/>
      </c>
      <c r="AH236" s="65">
        <f>IF(AG236="",0,MAX(0,MIN(1,(IF(BR236="L1",Parameter!$K$5,Parameter!$K$6+Parameter!$K$7)-(AG236-AC236))/AC236)))</f>
        <v/>
      </c>
      <c r="AI236" s="55">
        <f>IF(LEFT(Cockpit!$I$5,1)="A",G236,IF(BT236=1,BU236,IF(LEFT(Cockpit!$I$5,1)="B",AM236,MAX(AM236,G236))))</f>
        <v/>
      </c>
      <c r="AJ236" s="55">
        <f>IF(BO236=1,0,ROUNDUP(AI236/BN236,0))</f>
        <v/>
      </c>
      <c r="AK236" s="64">
        <f>IF(BO236=1,IF(AI236&lt;=0,0,BP236*MAX(1,IF(G236&gt;0,AI236/G236,1))),AJ236*Q236)</f>
        <v/>
      </c>
      <c r="AL236" s="55">
        <f>AI236*F236</f>
        <v/>
      </c>
      <c r="AM236" s="55">
        <f>ROUNDUP(MAX(I236/IF(BS236&gt;0,BS236,MAX(0.1,N(Cockpit!$I$6))),BV236)/BN236,0)*BN236</f>
        <v/>
      </c>
      <c r="AN236" s="56">
        <f>IF(AK236&gt;0,I236/AK236,-1)</f>
        <v/>
      </c>
      <c r="AO236" s="56">
        <f>IF(AND(OR(BR236="L1",BR236="L23"),AK236&gt;0),SUMIFS($AK$7:$AK$1570,$BR$7:$BR$1570,BR236,$AN$7:$AN$1570,"&gt;"&amp;AN236)+SUMIFS($AK$7:$AK$1570,$BR$7:$BR$1570,BR236,$AN$7:$AN$1570,AN236,$BL$7:$BL$1570,"&lt;="&amp;BL236),"")</f>
        <v/>
      </c>
      <c r="AP236" s="65">
        <f>IF(AO236="",0,MAX(0,MIN(1,(IF(BR236="L1",Parameter!$K$5,Parameter!$K$6+Parameter!$K$7)-(AO236-AK236))/AK236)))</f>
        <v/>
      </c>
      <c r="AQ236" s="55">
        <f>IF(LEFT(Cockpit!$O$5,1)="A",G236,IF(BT236=1,BU236,IF(LEFT(Cockpit!$O$5,1)="B",AU236,MAX(AU236,G236))))</f>
        <v/>
      </c>
      <c r="AR236" s="55">
        <f>IF(BO236=1,0,ROUNDUP(AQ236/BN236,0))</f>
        <v/>
      </c>
      <c r="AS236" s="64">
        <f>IF(BO236=1,IF(AQ236&lt;=0,0,BP236*MAX(1,IF(G236&gt;0,AQ236/G236,1))),AR236*Q236)</f>
        <v/>
      </c>
      <c r="AT236" s="55">
        <f>AQ236*F236</f>
        <v/>
      </c>
      <c r="AU236" s="55">
        <f>ROUNDUP(MAX(I236/IF(BS236&gt;0,BS236,MAX(0.1,N(Cockpit!$O$6))),BV236)/BN236,0)*BN236</f>
        <v/>
      </c>
      <c r="AV236" s="56">
        <f>IF(AS236&gt;0,I236/AS236,-1)</f>
        <v/>
      </c>
      <c r="AW236" s="56">
        <f>IF(AND(OR(BR236="L1",BR236="L23"),AS236&gt;0),SUMIFS($AS$7:$AS$1570,$BR$7:$BR$1570,BR236,$AV$7:$AV$1570,"&gt;"&amp;AV236)+SUMIFS($AS$7:$AS$1570,$BR$7:$BR$1570,BR236,$AV$7:$AV$1570,AV236,$BL$7:$BL$1570,"&lt;="&amp;BL236),"")</f>
        <v/>
      </c>
      <c r="AX236" s="65">
        <f>IF(AW236="",0,MAX(0,MIN(1,(IF(BR236="L1",Parameter!$K$5,Parameter!$K$6+Parameter!$K$7)-(AW236-AS236))/AS236)))</f>
        <v/>
      </c>
      <c r="AY236" s="53">
        <f>IF(AC236&lt;=0,"",IF(BR236="Aussen","Aussenlager",IF(BR236="-","Nicht im Lift",IF(AH236&gt;=1,"Lift",IF(AH236&lt;=0,"Aussenlager","teilweise")))))</f>
        <v/>
      </c>
      <c r="AZ236" s="53">
        <f>IF(AK236&lt;=0,"",IF(BR236="Aussen","Aussenlager",IF(BR236="-","Nicht im Lift",IF(AP236&gt;=1,"Lift",IF(AP236&lt;=0,"Aussenlager","teilweise")))))</f>
        <v/>
      </c>
      <c r="BA236" s="53">
        <f>IF(AS236&lt;=0,"",IF(BR236="Aussen","Aussenlager",IF(BR236="-","Nicht im Lift",IF(AX236&gt;=1,"Lift",IF(AX236&lt;=0,"Aussenlager","teilweise")))))</f>
        <v/>
      </c>
      <c r="BB236" s="53">
        <f>IF(A236="","",IF(BK236=1,"Neu; ","")&amp;IF(AND(BK236=0,BF236&lt;0),"negativer Bestand (Export "&amp;BF236&amp;"); ","")&amp;IF(I236&lt;=0,"Kein Verbrauch; ","")&amp;IF(BO236=1,"Lose – Fläche geschätzt; ","")&amp;IF(G236&gt;AM236,"Überbestand "&amp;ROUND(G236-AM236,0)&amp;" Stk / CHF "&amp;ROUND((G236-AM236)*F236,0)&amp;"; ","")&amp;IF(AND(BT236=1,BU236&lt;BV236),"MAX &lt; MB+LG; ","")&amp;IF(AND(BZ236&gt;0,BY236*10&gt;BZ236),"zu hoch für Tablar; ","")&amp;IF(AND(BK236=0,OR(BT236=1,V236&lt;&gt;"",S236&lt;&gt;"",T236&lt;&gt;"",W236&lt;&gt;"")),"manuell übersteuert; ","")&amp;IF(AND(BO236=0,Q236=0),"Gebinde unbekannt; ","")&amp;IF(AND(BO236=0,N(T236)&lt;=0,N(P236)&lt;=0),"Menge pro Gebinde fehlt (Ist = 1 Gebinde); ","")&amp;BJ236)</f>
        <v/>
      </c>
      <c r="BC236" s="53" t="n"/>
      <c r="BD236" s="53" t="n"/>
      <c r="BE236" s="61" t="n"/>
      <c r="BF236" s="55" t="n">
        <v>5</v>
      </c>
      <c r="BG236" s="55" t="n">
        <v>56</v>
      </c>
      <c r="BH236" s="54" t="n">
        <v>570.0999999999999</v>
      </c>
      <c r="BI236" s="55" t="n">
        <v>2</v>
      </c>
      <c r="BJ236" s="53" t="inlineStr">
        <is>
          <t>Überbestand</t>
        </is>
      </c>
      <c r="BK236" s="58" t="n">
        <v>0</v>
      </c>
      <c r="BL236" s="58" t="n">
        <v>236</v>
      </c>
      <c r="BM236" s="53">
        <f>IF(S236&lt;&gt;"",UPPER(TRIM(S236)),IF(O236="","LOSE",O236))</f>
        <v/>
      </c>
      <c r="BN236" s="55">
        <f>IF(BM236="LOSE",1,IF(N(T236)&gt;0,T236,IF(N(P236)&gt;0,P236,MAX(1,G236))))</f>
        <v/>
      </c>
      <c r="BO236" s="58">
        <f>IF(BM236="LOSE",1,0)</f>
        <v/>
      </c>
      <c r="BP236" s="64">
        <f>IF(BO236=0,0,IF(N(R236)&gt;0,R236,IFERROR(VLOOKUP(D236,Parameter!$A$35:$C$64,3,0)+0,0)))</f>
        <v/>
      </c>
      <c r="BQ236" s="53">
        <f>IF(V236&lt;&gt;"",V236,U236)</f>
        <v/>
      </c>
      <c r="BR236" s="53">
        <f>IF(BQ236=1,"L1",IF(OR(BQ236=2,BQ236=3),"L23",IF(BQ236="Aussen","Aussen","-")))</f>
        <v/>
      </c>
      <c r="BS236" s="66">
        <f>IF(N(W236)&gt;0,W236,0)</f>
        <v/>
      </c>
      <c r="BT236" s="58">
        <f>IF(ISNUMBER(Z236),1,0)</f>
        <v/>
      </c>
      <c r="BU236" s="55">
        <f>N(Z236)</f>
        <v/>
      </c>
      <c r="BV236" s="55">
        <f>N(L236)+N(M236)</f>
        <v/>
      </c>
      <c r="BW236" s="55">
        <f>ROUNDUP(G236/BN236,0)</f>
        <v/>
      </c>
      <c r="BX236" s="55">
        <f>ROUNDUP(BU236/BN236,0)</f>
        <v/>
      </c>
      <c r="BY236" s="58">
        <f>IF(BO236=1,0,IFERROR(VLOOKUP(BM236,'Gebinde-Kategorie'!$A$5:$G$45,5,0)+0,0))</f>
        <v/>
      </c>
      <c r="BZ236" s="58">
        <f>IFERROR(IF(OR(BQ236=1,BQ236=2,BQ236=3),N(INDEX(Parameter!$I$5:$I$7,BQ236)),0),0)</f>
        <v/>
      </c>
    </row>
    <row r="237">
      <c r="A237" s="53" t="inlineStr">
        <is>
          <t>105452</t>
        </is>
      </c>
      <c r="B237" s="53" t="inlineStr">
        <is>
          <t>O-Ring</t>
        </is>
      </c>
      <c r="C237" s="53" t="inlineStr">
        <is>
          <t>F</t>
        </is>
      </c>
      <c r="D237" s="53" t="inlineStr">
        <is>
          <t>KTL</t>
        </is>
      </c>
      <c r="E237" s="53" t="inlineStr">
        <is>
          <t>C</t>
        </is>
      </c>
      <c r="F237" s="54" t="n">
        <v>4.28</v>
      </c>
      <c r="G237" s="55">
        <f>MAX(0,IF(Parameter!$B$20="Jahresanfang 2025 + Export",BG237+BF237,BF237))</f>
        <v/>
      </c>
      <c r="H237" s="55">
        <f>G237*F237</f>
        <v/>
      </c>
      <c r="I237" s="55">
        <f>BI237*Parameter!$B$18</f>
        <v/>
      </c>
      <c r="J237" s="56" t="n">
        <v>144.5</v>
      </c>
      <c r="K237" s="57" t="n">
        <v>0.2076124567474048</v>
      </c>
      <c r="L237" s="55" t="n">
        <v>1</v>
      </c>
      <c r="M237" s="55" t="n">
        <v>30</v>
      </c>
      <c r="N237" s="58" t="n">
        <v>14</v>
      </c>
      <c r="O237" s="53" t="inlineStr">
        <is>
          <t>S52</t>
        </is>
      </c>
      <c r="P237" s="55" t="n">
        <v>139</v>
      </c>
      <c r="Q237" s="59">
        <f>IF(BO237=1,0,IFERROR(VLOOKUP(BM237,'Gebinde-Kategorie'!$A$5:$G$45,6,0)+0,0))</f>
        <v/>
      </c>
      <c r="R237" s="60" t="n"/>
      <c r="S237" s="61" t="n"/>
      <c r="T237" s="61" t="n"/>
      <c r="U237" s="53">
        <f>IF(A237="","",IF(IFERROR(VLOOKUP(D237,Parameter!$A$35:$C$64,2,0),"Nein")="2+3",IF(ISNUMBER(SEARCH("grosser Artikel",BJ237)),2,IFERROR(VLOOKUP(BM237,Parameter!$F$35:$G$64,2,0),2)),IF(OR(IFERROR(VLOOKUP(D237,Parameter!$A$35:$C$64,2,0),"Nein")="Nein",IFERROR(VLOOKUP(D237,Parameter!$A$35:$C$64,2,0),"Nein")=""),"-",VLOOKUP(D237,Parameter!$A$35:$C$64,2,0))))</f>
        <v/>
      </c>
      <c r="V237" s="61" t="n"/>
      <c r="W237" s="62" t="n"/>
      <c r="X237" s="55">
        <f>AM237</f>
        <v/>
      </c>
      <c r="Y237" s="55">
        <f>MAX(AM237,G237)</f>
        <v/>
      </c>
      <c r="Z237" s="63" t="n"/>
      <c r="AA237" s="55">
        <f>IF(LEFT(Cockpit!$C$5,1)="A",G237,IF(BT237=1,BU237,IF(LEFT(Cockpit!$C$5,1)="B",AE237,MAX(AE237,G237))))</f>
        <v/>
      </c>
      <c r="AB237" s="55">
        <f>IF(BO237=1,0,ROUNDUP(AA237/BN237,0))</f>
        <v/>
      </c>
      <c r="AC237" s="64">
        <f>IF(BO237=1,IF(AA237&lt;=0,0,BP237*MAX(1,IF(G237&gt;0,AA237/G237,1))),AB237*Q237)</f>
        <v/>
      </c>
      <c r="AD237" s="55">
        <f>AA237*F237</f>
        <v/>
      </c>
      <c r="AE237" s="55">
        <f>ROUNDUP(MAX(I237/IF(BS237&gt;0,BS237,MAX(0.1,N(Cockpit!$C$6))),BV237)/BN237,0)*BN237</f>
        <v/>
      </c>
      <c r="AF237" s="56">
        <f>IF(AC237&gt;0,I237/AC237,-1)</f>
        <v/>
      </c>
      <c r="AG237" s="56">
        <f>IF(AND(OR(BR237="L1",BR237="L23"),AC237&gt;0),SUMIFS($AC$7:$AC$1570,$BR$7:$BR$1570,BR237,$AF$7:$AF$1570,"&gt;"&amp;AF237)+SUMIFS($AC$7:$AC$1570,$BR$7:$BR$1570,BR237,$AF$7:$AF$1570,AF237,$BL$7:$BL$1570,"&lt;="&amp;BL237),"")</f>
        <v/>
      </c>
      <c r="AH237" s="65">
        <f>IF(AG237="",0,MAX(0,MIN(1,(IF(BR237="L1",Parameter!$K$5,Parameter!$K$6+Parameter!$K$7)-(AG237-AC237))/AC237)))</f>
        <v/>
      </c>
      <c r="AI237" s="55">
        <f>IF(LEFT(Cockpit!$I$5,1)="A",G237,IF(BT237=1,BU237,IF(LEFT(Cockpit!$I$5,1)="B",AM237,MAX(AM237,G237))))</f>
        <v/>
      </c>
      <c r="AJ237" s="55">
        <f>IF(BO237=1,0,ROUNDUP(AI237/BN237,0))</f>
        <v/>
      </c>
      <c r="AK237" s="64">
        <f>IF(BO237=1,IF(AI237&lt;=0,0,BP237*MAX(1,IF(G237&gt;0,AI237/G237,1))),AJ237*Q237)</f>
        <v/>
      </c>
      <c r="AL237" s="55">
        <f>AI237*F237</f>
        <v/>
      </c>
      <c r="AM237" s="55">
        <f>ROUNDUP(MAX(I237/IF(BS237&gt;0,BS237,MAX(0.1,N(Cockpit!$I$6))),BV237)/BN237,0)*BN237</f>
        <v/>
      </c>
      <c r="AN237" s="56">
        <f>IF(AK237&gt;0,I237/AK237,-1)</f>
        <v/>
      </c>
      <c r="AO237" s="56">
        <f>IF(AND(OR(BR237="L1",BR237="L23"),AK237&gt;0),SUMIFS($AK$7:$AK$1570,$BR$7:$BR$1570,BR237,$AN$7:$AN$1570,"&gt;"&amp;AN237)+SUMIFS($AK$7:$AK$1570,$BR$7:$BR$1570,BR237,$AN$7:$AN$1570,AN237,$BL$7:$BL$1570,"&lt;="&amp;BL237),"")</f>
        <v/>
      </c>
      <c r="AP237" s="65">
        <f>IF(AO237="",0,MAX(0,MIN(1,(IF(BR237="L1",Parameter!$K$5,Parameter!$K$6+Parameter!$K$7)-(AO237-AK237))/AK237)))</f>
        <v/>
      </c>
      <c r="AQ237" s="55">
        <f>IF(LEFT(Cockpit!$O$5,1)="A",G237,IF(BT237=1,BU237,IF(LEFT(Cockpit!$O$5,1)="B",AU237,MAX(AU237,G237))))</f>
        <v/>
      </c>
      <c r="AR237" s="55">
        <f>IF(BO237=1,0,ROUNDUP(AQ237/BN237,0))</f>
        <v/>
      </c>
      <c r="AS237" s="64">
        <f>IF(BO237=1,IF(AQ237&lt;=0,0,BP237*MAX(1,IF(G237&gt;0,AQ237/G237,1))),AR237*Q237)</f>
        <v/>
      </c>
      <c r="AT237" s="55">
        <f>AQ237*F237</f>
        <v/>
      </c>
      <c r="AU237" s="55">
        <f>ROUNDUP(MAX(I237/IF(BS237&gt;0,BS237,MAX(0.1,N(Cockpit!$O$6))),BV237)/BN237,0)*BN237</f>
        <v/>
      </c>
      <c r="AV237" s="56">
        <f>IF(AS237&gt;0,I237/AS237,-1)</f>
        <v/>
      </c>
      <c r="AW237" s="56">
        <f>IF(AND(OR(BR237="L1",BR237="L23"),AS237&gt;0),SUMIFS($AS$7:$AS$1570,$BR$7:$BR$1570,BR237,$AV$7:$AV$1570,"&gt;"&amp;AV237)+SUMIFS($AS$7:$AS$1570,$BR$7:$BR$1570,BR237,$AV$7:$AV$1570,AV237,$BL$7:$BL$1570,"&lt;="&amp;BL237),"")</f>
        <v/>
      </c>
      <c r="AX237" s="65">
        <f>IF(AW237="",0,MAX(0,MIN(1,(IF(BR237="L1",Parameter!$K$5,Parameter!$K$6+Parameter!$K$7)-(AW237-AS237))/AS237)))</f>
        <v/>
      </c>
      <c r="AY237" s="53">
        <f>IF(AC237&lt;=0,"",IF(BR237="Aussen","Aussenlager",IF(BR237="-","Nicht im Lift",IF(AH237&gt;=1,"Lift",IF(AH237&lt;=0,"Aussenlager","teilweise")))))</f>
        <v/>
      </c>
      <c r="AZ237" s="53">
        <f>IF(AK237&lt;=0,"",IF(BR237="Aussen","Aussenlager",IF(BR237="-","Nicht im Lift",IF(AP237&gt;=1,"Lift",IF(AP237&lt;=0,"Aussenlager","teilweise")))))</f>
        <v/>
      </c>
      <c r="BA237" s="53">
        <f>IF(AS237&lt;=0,"",IF(BR237="Aussen","Aussenlager",IF(BR237="-","Nicht im Lift",IF(AX237&gt;=1,"Lift",IF(AX237&lt;=0,"Aussenlager","teilweise")))))</f>
        <v/>
      </c>
      <c r="BB237" s="53">
        <f>IF(A237="","",IF(BK237=1,"Neu; ","")&amp;IF(AND(BK237=0,BF237&lt;0),"negativer Bestand (Export "&amp;BF237&amp;"); ","")&amp;IF(I237&lt;=0,"Kein Verbrauch; ","")&amp;IF(BO237=1,"Lose – Fläche geschätzt; ","")&amp;IF(G237&gt;AM237,"Überbestand "&amp;ROUND(G237-AM237,0)&amp;" Stk / CHF "&amp;ROUND((G237-AM237)*F237,0)&amp;"; ","")&amp;IF(AND(BT237=1,BU237&lt;BV237),"MAX &lt; MB+LG; ","")&amp;IF(AND(BZ237&gt;0,BY237*10&gt;BZ237),"zu hoch für Tablar; ","")&amp;IF(AND(BK237=0,OR(BT237=1,V237&lt;&gt;"",S237&lt;&gt;"",T237&lt;&gt;"",W237&lt;&gt;"")),"manuell übersteuert; ","")&amp;IF(AND(BO237=0,Q237=0),"Gebinde unbekannt; ","")&amp;IF(AND(BO237=0,N(T237)&lt;=0,N(P237)&lt;=0),"Menge pro Gebinde fehlt (Ist = 1 Gebinde); ","")&amp;BJ237)</f>
        <v/>
      </c>
      <c r="BC237" s="53" t="n"/>
      <c r="BD237" s="53" t="n"/>
      <c r="BE237" s="61" t="n"/>
      <c r="BF237" s="55" t="n">
        <v>135</v>
      </c>
      <c r="BG237" s="55" t="n">
        <v>52</v>
      </c>
      <c r="BH237" s="54" t="n">
        <v>570.0000000000011</v>
      </c>
      <c r="BI237" s="55" t="n">
        <v>30</v>
      </c>
      <c r="BJ237" s="53" t="inlineStr"/>
      <c r="BK237" s="58" t="n">
        <v>0</v>
      </c>
      <c r="BL237" s="58" t="n">
        <v>237</v>
      </c>
      <c r="BM237" s="53">
        <f>IF(S237&lt;&gt;"",UPPER(TRIM(S237)),IF(O237="","LOSE",O237))</f>
        <v/>
      </c>
      <c r="BN237" s="55">
        <f>IF(BM237="LOSE",1,IF(N(T237)&gt;0,T237,IF(N(P237)&gt;0,P237,MAX(1,G237))))</f>
        <v/>
      </c>
      <c r="BO237" s="58">
        <f>IF(BM237="LOSE",1,0)</f>
        <v/>
      </c>
      <c r="BP237" s="64">
        <f>IF(BO237=0,0,IF(N(R237)&gt;0,R237,IFERROR(VLOOKUP(D237,Parameter!$A$35:$C$64,3,0)+0,0)))</f>
        <v/>
      </c>
      <c r="BQ237" s="53">
        <f>IF(V237&lt;&gt;"",V237,U237)</f>
        <v/>
      </c>
      <c r="BR237" s="53">
        <f>IF(BQ237=1,"L1",IF(OR(BQ237=2,BQ237=3),"L23",IF(BQ237="Aussen","Aussen","-")))</f>
        <v/>
      </c>
      <c r="BS237" s="66">
        <f>IF(N(W237)&gt;0,W237,0)</f>
        <v/>
      </c>
      <c r="BT237" s="58">
        <f>IF(ISNUMBER(Z237),1,0)</f>
        <v/>
      </c>
      <c r="BU237" s="55">
        <f>N(Z237)</f>
        <v/>
      </c>
      <c r="BV237" s="55">
        <f>N(L237)+N(M237)</f>
        <v/>
      </c>
      <c r="BW237" s="55">
        <f>ROUNDUP(G237/BN237,0)</f>
        <v/>
      </c>
      <c r="BX237" s="55">
        <f>ROUNDUP(BU237/BN237,0)</f>
        <v/>
      </c>
      <c r="BY237" s="58">
        <f>IF(BO237=1,0,IFERROR(VLOOKUP(BM237,'Gebinde-Kategorie'!$A$5:$G$45,5,0)+0,0))</f>
        <v/>
      </c>
      <c r="BZ237" s="58">
        <f>IFERROR(IF(OR(BQ237=1,BQ237=2,BQ237=3),N(INDEX(Parameter!$I$5:$I$7,BQ237)),0),0)</f>
        <v/>
      </c>
    </row>
    <row r="238">
      <c r="A238" s="53" t="inlineStr">
        <is>
          <t>107048</t>
        </is>
      </c>
      <c r="B238" s="53" t="inlineStr">
        <is>
          <t>Werkzeugtasche</t>
        </is>
      </c>
      <c r="C238" s="53" t="inlineStr">
        <is>
          <t>F</t>
        </is>
      </c>
      <c r="D238" s="53" t="inlineStr">
        <is>
          <t>PAL</t>
        </is>
      </c>
      <c r="E238" s="53" t="inlineStr">
        <is>
          <t>C</t>
        </is>
      </c>
      <c r="F238" s="54" t="n">
        <v>142</v>
      </c>
      <c r="G238" s="55">
        <f>MAX(0,IF(Parameter!$B$20="Jahresanfang 2025 + Export",BG238+BF238,BF238))</f>
        <v/>
      </c>
      <c r="H238" s="55">
        <f>G238*F238</f>
        <v/>
      </c>
      <c r="I238" s="55">
        <f>BI238*Parameter!$B$18</f>
        <v/>
      </c>
      <c r="J238" s="56" t="n">
        <v>4.5</v>
      </c>
      <c r="K238" s="57" t="n">
        <v>2.666666666666667</v>
      </c>
      <c r="L238" s="55" t="n">
        <v>1</v>
      </c>
      <c r="M238" s="55" t="n">
        <v>10</v>
      </c>
      <c r="N238" s="58" t="n">
        <v>35</v>
      </c>
      <c r="O238" s="53" t="inlineStr">
        <is>
          <t>S71</t>
        </is>
      </c>
      <c r="P238" s="55" t="n">
        <v>10</v>
      </c>
      <c r="Q238" s="59">
        <f>IF(BO238=1,0,IFERROR(VLOOKUP(BM238,'Gebinde-Kategorie'!$A$5:$G$45,6,0)+0,0))</f>
        <v/>
      </c>
      <c r="R238" s="60" t="n"/>
      <c r="S238" s="61" t="n"/>
      <c r="T238" s="61" t="n"/>
      <c r="U238" s="53">
        <f>IF(A238="","",IF(IFERROR(VLOOKUP(D238,Parameter!$A$35:$C$64,2,0),"Nein")="2+3",IF(ISNUMBER(SEARCH("grosser Artikel",BJ238)),2,IFERROR(VLOOKUP(BM238,Parameter!$F$35:$G$64,2,0),2)),IF(OR(IFERROR(VLOOKUP(D238,Parameter!$A$35:$C$64,2,0),"Nein")="Nein",IFERROR(VLOOKUP(D238,Parameter!$A$35:$C$64,2,0),"Nein")=""),"-",VLOOKUP(D238,Parameter!$A$35:$C$64,2,0))))</f>
        <v/>
      </c>
      <c r="V238" s="61" t="n"/>
      <c r="W238" s="62" t="n"/>
      <c r="X238" s="55">
        <f>AM238</f>
        <v/>
      </c>
      <c r="Y238" s="55">
        <f>MAX(AM238,G238)</f>
        <v/>
      </c>
      <c r="Z238" s="63" t="n"/>
      <c r="AA238" s="55">
        <f>IF(LEFT(Cockpit!$C$5,1)="A",G238,IF(BT238=1,BU238,IF(LEFT(Cockpit!$C$5,1)="B",AE238,MAX(AE238,G238))))</f>
        <v/>
      </c>
      <c r="AB238" s="55">
        <f>IF(BO238=1,0,ROUNDUP(AA238/BN238,0))</f>
        <v/>
      </c>
      <c r="AC238" s="64">
        <f>IF(BO238=1,IF(AA238&lt;=0,0,BP238*MAX(1,IF(G238&gt;0,AA238/G238,1))),AB238*Q238)</f>
        <v/>
      </c>
      <c r="AD238" s="55">
        <f>AA238*F238</f>
        <v/>
      </c>
      <c r="AE238" s="55">
        <f>ROUNDUP(MAX(I238/IF(BS238&gt;0,BS238,MAX(0.1,N(Cockpit!$C$6))),BV238)/BN238,0)*BN238</f>
        <v/>
      </c>
      <c r="AF238" s="56">
        <f>IF(AC238&gt;0,I238/AC238,-1)</f>
        <v/>
      </c>
      <c r="AG238" s="56">
        <f>IF(AND(OR(BR238="L1",BR238="L23"),AC238&gt;0),SUMIFS($AC$7:$AC$1570,$BR$7:$BR$1570,BR238,$AF$7:$AF$1570,"&gt;"&amp;AF238)+SUMIFS($AC$7:$AC$1570,$BR$7:$BR$1570,BR238,$AF$7:$AF$1570,AF238,$BL$7:$BL$1570,"&lt;="&amp;BL238),"")</f>
        <v/>
      </c>
      <c r="AH238" s="65">
        <f>IF(AG238="",0,MAX(0,MIN(1,(IF(BR238="L1",Parameter!$K$5,Parameter!$K$6+Parameter!$K$7)-(AG238-AC238))/AC238)))</f>
        <v/>
      </c>
      <c r="AI238" s="55">
        <f>IF(LEFT(Cockpit!$I$5,1)="A",G238,IF(BT238=1,BU238,IF(LEFT(Cockpit!$I$5,1)="B",AM238,MAX(AM238,G238))))</f>
        <v/>
      </c>
      <c r="AJ238" s="55">
        <f>IF(BO238=1,0,ROUNDUP(AI238/BN238,0))</f>
        <v/>
      </c>
      <c r="AK238" s="64">
        <f>IF(BO238=1,IF(AI238&lt;=0,0,BP238*MAX(1,IF(G238&gt;0,AI238/G238,1))),AJ238*Q238)</f>
        <v/>
      </c>
      <c r="AL238" s="55">
        <f>AI238*F238</f>
        <v/>
      </c>
      <c r="AM238" s="55">
        <f>ROUNDUP(MAX(I238/IF(BS238&gt;0,BS238,MAX(0.1,N(Cockpit!$I$6))),BV238)/BN238,0)*BN238</f>
        <v/>
      </c>
      <c r="AN238" s="56">
        <f>IF(AK238&gt;0,I238/AK238,-1)</f>
        <v/>
      </c>
      <c r="AO238" s="56">
        <f>IF(AND(OR(BR238="L1",BR238="L23"),AK238&gt;0),SUMIFS($AK$7:$AK$1570,$BR$7:$BR$1570,BR238,$AN$7:$AN$1570,"&gt;"&amp;AN238)+SUMIFS($AK$7:$AK$1570,$BR$7:$BR$1570,BR238,$AN$7:$AN$1570,AN238,$BL$7:$BL$1570,"&lt;="&amp;BL238),"")</f>
        <v/>
      </c>
      <c r="AP238" s="65">
        <f>IF(AO238="",0,MAX(0,MIN(1,(IF(BR238="L1",Parameter!$K$5,Parameter!$K$6+Parameter!$K$7)-(AO238-AK238))/AK238)))</f>
        <v/>
      </c>
      <c r="AQ238" s="55">
        <f>IF(LEFT(Cockpit!$O$5,1)="A",G238,IF(BT238=1,BU238,IF(LEFT(Cockpit!$O$5,1)="B",AU238,MAX(AU238,G238))))</f>
        <v/>
      </c>
      <c r="AR238" s="55">
        <f>IF(BO238=1,0,ROUNDUP(AQ238/BN238,0))</f>
        <v/>
      </c>
      <c r="AS238" s="64">
        <f>IF(BO238=1,IF(AQ238&lt;=0,0,BP238*MAX(1,IF(G238&gt;0,AQ238/G238,1))),AR238*Q238)</f>
        <v/>
      </c>
      <c r="AT238" s="55">
        <f>AQ238*F238</f>
        <v/>
      </c>
      <c r="AU238" s="55">
        <f>ROUNDUP(MAX(I238/IF(BS238&gt;0,BS238,MAX(0.1,N(Cockpit!$O$6))),BV238)/BN238,0)*BN238</f>
        <v/>
      </c>
      <c r="AV238" s="56">
        <f>IF(AS238&gt;0,I238/AS238,-1)</f>
        <v/>
      </c>
      <c r="AW238" s="56">
        <f>IF(AND(OR(BR238="L1",BR238="L23"),AS238&gt;0),SUMIFS($AS$7:$AS$1570,$BR$7:$BR$1570,BR238,$AV$7:$AV$1570,"&gt;"&amp;AV238)+SUMIFS($AS$7:$AS$1570,$BR$7:$BR$1570,BR238,$AV$7:$AV$1570,AV238,$BL$7:$BL$1570,"&lt;="&amp;BL238),"")</f>
        <v/>
      </c>
      <c r="AX238" s="65">
        <f>IF(AW238="",0,MAX(0,MIN(1,(IF(BR238="L1",Parameter!$K$5,Parameter!$K$6+Parameter!$K$7)-(AW238-AS238))/AS238)))</f>
        <v/>
      </c>
      <c r="AY238" s="53">
        <f>IF(AC238&lt;=0,"",IF(BR238="Aussen","Aussenlager",IF(BR238="-","Nicht im Lift",IF(AH238&gt;=1,"Lift",IF(AH238&lt;=0,"Aussenlager","teilweise")))))</f>
        <v/>
      </c>
      <c r="AZ238" s="53">
        <f>IF(AK238&lt;=0,"",IF(BR238="Aussen","Aussenlager",IF(BR238="-","Nicht im Lift",IF(AP238&gt;=1,"Lift",IF(AP238&lt;=0,"Aussenlager","teilweise")))))</f>
        <v/>
      </c>
      <c r="BA238" s="53">
        <f>IF(AS238&lt;=0,"",IF(BR238="Aussen","Aussenlager",IF(BR238="-","Nicht im Lift",IF(AX238&gt;=1,"Lift",IF(AX238&lt;=0,"Aussenlager","teilweise")))))</f>
        <v/>
      </c>
      <c r="BB238" s="53">
        <f>IF(A238="","",IF(BK238=1,"Neu; ","")&amp;IF(AND(BK238=0,BF238&lt;0),"negativer Bestand (Export "&amp;BF238&amp;"); ","")&amp;IF(I238&lt;=0,"Kein Verbrauch; ","")&amp;IF(BO238=1,"Lose – Fläche geschätzt; ","")&amp;IF(G238&gt;AM238,"Überbestand "&amp;ROUND(G238-AM238,0)&amp;" Stk / CHF "&amp;ROUND((G238-AM238)*F238,0)&amp;"; ","")&amp;IF(AND(BT238=1,BU238&lt;BV238),"MAX &lt; MB+LG; ","")&amp;IF(AND(BZ238&gt;0,BY238*10&gt;BZ238),"zu hoch für Tablar; ","")&amp;IF(AND(BK238=0,OR(BT238=1,V238&lt;&gt;"",S238&lt;&gt;"",T238&lt;&gt;"",W238&lt;&gt;"")),"manuell übersteuert; ","")&amp;IF(AND(BO238=0,Q238=0),"Gebinde unbekannt; ","")&amp;IF(AND(BO238=0,N(T238)&lt;=0,N(P238)&lt;=0),"Menge pro Gebinde fehlt (Ist = 1 Gebinde); ","")&amp;BJ238)</f>
        <v/>
      </c>
      <c r="BC238" s="53" t="n"/>
      <c r="BD238" s="53" t="n"/>
      <c r="BE238" s="61" t="n"/>
      <c r="BF238" s="55" t="n">
        <v>4</v>
      </c>
      <c r="BG238" s="55" t="n">
        <v>1</v>
      </c>
      <c r="BH238" s="54" t="n">
        <v>567.95</v>
      </c>
      <c r="BI238" s="55" t="n">
        <v>12</v>
      </c>
      <c r="BJ238" s="53" t="inlineStr">
        <is>
          <t>grosser Artikel &amp; nicht im KTL</t>
        </is>
      </c>
      <c r="BK238" s="58" t="n">
        <v>0</v>
      </c>
      <c r="BL238" s="58" t="n">
        <v>238</v>
      </c>
      <c r="BM238" s="53">
        <f>IF(S238&lt;&gt;"",UPPER(TRIM(S238)),IF(O238="","LOSE",O238))</f>
        <v/>
      </c>
      <c r="BN238" s="55">
        <f>IF(BM238="LOSE",1,IF(N(T238)&gt;0,T238,IF(N(P238)&gt;0,P238,MAX(1,G238))))</f>
        <v/>
      </c>
      <c r="BO238" s="58">
        <f>IF(BM238="LOSE",1,0)</f>
        <v/>
      </c>
      <c r="BP238" s="64">
        <f>IF(BO238=0,0,IF(N(R238)&gt;0,R238,IFERROR(VLOOKUP(D238,Parameter!$A$35:$C$64,3,0)+0,0)))</f>
        <v/>
      </c>
      <c r="BQ238" s="53">
        <f>IF(V238&lt;&gt;"",V238,U238)</f>
        <v/>
      </c>
      <c r="BR238" s="53">
        <f>IF(BQ238=1,"L1",IF(OR(BQ238=2,BQ238=3),"L23",IF(BQ238="Aussen","Aussen","-")))</f>
        <v/>
      </c>
      <c r="BS238" s="66">
        <f>IF(N(W238)&gt;0,W238,0)</f>
        <v/>
      </c>
      <c r="BT238" s="58">
        <f>IF(ISNUMBER(Z238),1,0)</f>
        <v/>
      </c>
      <c r="BU238" s="55">
        <f>N(Z238)</f>
        <v/>
      </c>
      <c r="BV238" s="55">
        <f>N(L238)+N(M238)</f>
        <v/>
      </c>
      <c r="BW238" s="55">
        <f>ROUNDUP(G238/BN238,0)</f>
        <v/>
      </c>
      <c r="BX238" s="55">
        <f>ROUNDUP(BU238/BN238,0)</f>
        <v/>
      </c>
      <c r="BY238" s="58">
        <f>IF(BO238=1,0,IFERROR(VLOOKUP(BM238,'Gebinde-Kategorie'!$A$5:$G$45,5,0)+0,0))</f>
        <v/>
      </c>
      <c r="BZ238" s="58">
        <f>IFERROR(IF(OR(BQ238=1,BQ238=2,BQ238=3),N(INDEX(Parameter!$I$5:$I$7,BQ238)),0),0)</f>
        <v/>
      </c>
    </row>
    <row r="239">
      <c r="A239" s="53" t="inlineStr">
        <is>
          <t>108008</t>
        </is>
      </c>
      <c r="B239" s="53" t="inlineStr">
        <is>
          <t>Klammer</t>
        </is>
      </c>
      <c r="C239" s="53" t="inlineStr">
        <is>
          <t>F</t>
        </is>
      </c>
      <c r="D239" s="53" t="inlineStr">
        <is>
          <t>KTL</t>
        </is>
      </c>
      <c r="E239" s="53" t="inlineStr">
        <is>
          <t>C</t>
        </is>
      </c>
      <c r="F239" s="54" t="n">
        <v>10.59</v>
      </c>
      <c r="G239" s="55">
        <f>MAX(0,IF(Parameter!$B$20="Jahresanfang 2025 + Export",BG239+BF239,BF239))</f>
        <v/>
      </c>
      <c r="H239" s="55">
        <f>G239*F239</f>
        <v/>
      </c>
      <c r="I239" s="55">
        <f>BI239*Parameter!$B$18</f>
        <v/>
      </c>
      <c r="J239" s="56" t="n">
        <v>80</v>
      </c>
      <c r="K239" s="57" t="n">
        <v>1.35</v>
      </c>
      <c r="L239" s="55" t="n">
        <v>12</v>
      </c>
      <c r="M239" s="55" t="n">
        <v>110</v>
      </c>
      <c r="N239" s="58" t="n">
        <v>42</v>
      </c>
      <c r="O239" s="53" t="inlineStr">
        <is>
          <t>S32</t>
        </is>
      </c>
      <c r="P239" s="55" t="n">
        <v>311</v>
      </c>
      <c r="Q239" s="59">
        <f>IF(BO239=1,0,IFERROR(VLOOKUP(BM239,'Gebinde-Kategorie'!$A$5:$G$45,6,0)+0,0))</f>
        <v/>
      </c>
      <c r="R239" s="60" t="n"/>
      <c r="S239" s="61" t="n"/>
      <c r="T239" s="61" t="n"/>
      <c r="U239" s="53">
        <f>IF(A239="","",IF(IFERROR(VLOOKUP(D239,Parameter!$A$35:$C$64,2,0),"Nein")="2+3",IF(ISNUMBER(SEARCH("grosser Artikel",BJ239)),2,IFERROR(VLOOKUP(BM239,Parameter!$F$35:$G$64,2,0),2)),IF(OR(IFERROR(VLOOKUP(D239,Parameter!$A$35:$C$64,2,0),"Nein")="Nein",IFERROR(VLOOKUP(D239,Parameter!$A$35:$C$64,2,0),"Nein")=""),"-",VLOOKUP(D239,Parameter!$A$35:$C$64,2,0))))</f>
        <v/>
      </c>
      <c r="V239" s="61" t="n"/>
      <c r="W239" s="62" t="n"/>
      <c r="X239" s="55">
        <f>AM239</f>
        <v/>
      </c>
      <c r="Y239" s="55">
        <f>MAX(AM239,G239)</f>
        <v/>
      </c>
      <c r="Z239" s="63" t="n"/>
      <c r="AA239" s="55">
        <f>IF(LEFT(Cockpit!$C$5,1)="A",G239,IF(BT239=1,BU239,IF(LEFT(Cockpit!$C$5,1)="B",AE239,MAX(AE239,G239))))</f>
        <v/>
      </c>
      <c r="AB239" s="55">
        <f>IF(BO239=1,0,ROUNDUP(AA239/BN239,0))</f>
        <v/>
      </c>
      <c r="AC239" s="64">
        <f>IF(BO239=1,IF(AA239&lt;=0,0,BP239*MAX(1,IF(G239&gt;0,AA239/G239,1))),AB239*Q239)</f>
        <v/>
      </c>
      <c r="AD239" s="55">
        <f>AA239*F239</f>
        <v/>
      </c>
      <c r="AE239" s="55">
        <f>ROUNDUP(MAX(I239/IF(BS239&gt;0,BS239,MAX(0.1,N(Cockpit!$C$6))),BV239)/BN239,0)*BN239</f>
        <v/>
      </c>
      <c r="AF239" s="56">
        <f>IF(AC239&gt;0,I239/AC239,-1)</f>
        <v/>
      </c>
      <c r="AG239" s="56">
        <f>IF(AND(OR(BR239="L1",BR239="L23"),AC239&gt;0),SUMIFS($AC$7:$AC$1570,$BR$7:$BR$1570,BR239,$AF$7:$AF$1570,"&gt;"&amp;AF239)+SUMIFS($AC$7:$AC$1570,$BR$7:$BR$1570,BR239,$AF$7:$AF$1570,AF239,$BL$7:$BL$1570,"&lt;="&amp;BL239),"")</f>
        <v/>
      </c>
      <c r="AH239" s="65">
        <f>IF(AG239="",0,MAX(0,MIN(1,(IF(BR239="L1",Parameter!$K$5,Parameter!$K$6+Parameter!$K$7)-(AG239-AC239))/AC239)))</f>
        <v/>
      </c>
      <c r="AI239" s="55">
        <f>IF(LEFT(Cockpit!$I$5,1)="A",G239,IF(BT239=1,BU239,IF(LEFT(Cockpit!$I$5,1)="B",AM239,MAX(AM239,G239))))</f>
        <v/>
      </c>
      <c r="AJ239" s="55">
        <f>IF(BO239=1,0,ROUNDUP(AI239/BN239,0))</f>
        <v/>
      </c>
      <c r="AK239" s="64">
        <f>IF(BO239=1,IF(AI239&lt;=0,0,BP239*MAX(1,IF(G239&gt;0,AI239/G239,1))),AJ239*Q239)</f>
        <v/>
      </c>
      <c r="AL239" s="55">
        <f>AI239*F239</f>
        <v/>
      </c>
      <c r="AM239" s="55">
        <f>ROUNDUP(MAX(I239/IF(BS239&gt;0,BS239,MAX(0.1,N(Cockpit!$I$6))),BV239)/BN239,0)*BN239</f>
        <v/>
      </c>
      <c r="AN239" s="56">
        <f>IF(AK239&gt;0,I239/AK239,-1)</f>
        <v/>
      </c>
      <c r="AO239" s="56">
        <f>IF(AND(OR(BR239="L1",BR239="L23"),AK239&gt;0),SUMIFS($AK$7:$AK$1570,$BR$7:$BR$1570,BR239,$AN$7:$AN$1570,"&gt;"&amp;AN239)+SUMIFS($AK$7:$AK$1570,$BR$7:$BR$1570,BR239,$AN$7:$AN$1570,AN239,$BL$7:$BL$1570,"&lt;="&amp;BL239),"")</f>
        <v/>
      </c>
      <c r="AP239" s="65">
        <f>IF(AO239="",0,MAX(0,MIN(1,(IF(BR239="L1",Parameter!$K$5,Parameter!$K$6+Parameter!$K$7)-(AO239-AK239))/AK239)))</f>
        <v/>
      </c>
      <c r="AQ239" s="55">
        <f>IF(LEFT(Cockpit!$O$5,1)="A",G239,IF(BT239=1,BU239,IF(LEFT(Cockpit!$O$5,1)="B",AU239,MAX(AU239,G239))))</f>
        <v/>
      </c>
      <c r="AR239" s="55">
        <f>IF(BO239=1,0,ROUNDUP(AQ239/BN239,0))</f>
        <v/>
      </c>
      <c r="AS239" s="64">
        <f>IF(BO239=1,IF(AQ239&lt;=0,0,BP239*MAX(1,IF(G239&gt;0,AQ239/G239,1))),AR239*Q239)</f>
        <v/>
      </c>
      <c r="AT239" s="55">
        <f>AQ239*F239</f>
        <v/>
      </c>
      <c r="AU239" s="55">
        <f>ROUNDUP(MAX(I239/IF(BS239&gt;0,BS239,MAX(0.1,N(Cockpit!$O$6))),BV239)/BN239,0)*BN239</f>
        <v/>
      </c>
      <c r="AV239" s="56">
        <f>IF(AS239&gt;0,I239/AS239,-1)</f>
        <v/>
      </c>
      <c r="AW239" s="56">
        <f>IF(AND(OR(BR239="L1",BR239="L23"),AS239&gt;0),SUMIFS($AS$7:$AS$1570,$BR$7:$BR$1570,BR239,$AV$7:$AV$1570,"&gt;"&amp;AV239)+SUMIFS($AS$7:$AS$1570,$BR$7:$BR$1570,BR239,$AV$7:$AV$1570,AV239,$BL$7:$BL$1570,"&lt;="&amp;BL239),"")</f>
        <v/>
      </c>
      <c r="AX239" s="65">
        <f>IF(AW239="",0,MAX(0,MIN(1,(IF(BR239="L1",Parameter!$K$5,Parameter!$K$6+Parameter!$K$7)-(AW239-AS239))/AS239)))</f>
        <v/>
      </c>
      <c r="AY239" s="53">
        <f>IF(AC239&lt;=0,"",IF(BR239="Aussen","Aussenlager",IF(BR239="-","Nicht im Lift",IF(AH239&gt;=1,"Lift",IF(AH239&lt;=0,"Aussenlager","teilweise")))))</f>
        <v/>
      </c>
      <c r="AZ239" s="53">
        <f>IF(AK239&lt;=0,"",IF(BR239="Aussen","Aussenlager",IF(BR239="-","Nicht im Lift",IF(AP239&gt;=1,"Lift",IF(AP239&lt;=0,"Aussenlager","teilweise")))))</f>
        <v/>
      </c>
      <c r="BA239" s="53">
        <f>IF(AS239&lt;=0,"",IF(BR239="Aussen","Aussenlager",IF(BR239="-","Nicht im Lift",IF(AX239&gt;=1,"Lift",IF(AX239&lt;=0,"Aussenlager","teilweise")))))</f>
        <v/>
      </c>
      <c r="BB239" s="53">
        <f>IF(A239="","",IF(BK239=1,"Neu; ","")&amp;IF(AND(BK239=0,BF239&lt;0),"negativer Bestand (Export "&amp;BF239&amp;"); ","")&amp;IF(I239&lt;=0,"Kein Verbrauch; ","")&amp;IF(BO239=1,"Lose – Fläche geschätzt; ","")&amp;IF(G239&gt;AM239,"Überbestand "&amp;ROUND(G239-AM239,0)&amp;" Stk / CHF "&amp;ROUND((G239-AM239)*F239,0)&amp;"; ","")&amp;IF(AND(BT239=1,BU239&lt;BV239),"MAX &lt; MB+LG; ","")&amp;IF(AND(BZ239&gt;0,BY239*10&gt;BZ239),"zu hoch für Tablar; ","")&amp;IF(AND(BK239=0,OR(BT239=1,V239&lt;&gt;"",S239&lt;&gt;"",T239&lt;&gt;"",W239&lt;&gt;"")),"manuell übersteuert; ","")&amp;IF(AND(BO239=0,Q239=0),"Gebinde unbekannt; ","")&amp;IF(AND(BO239=0,N(T239)&lt;=0,N(P239)&lt;=0),"Menge pro Gebinde fehlt (Ist = 1 Gebinde); ","")&amp;BJ239)</f>
        <v/>
      </c>
      <c r="BC239" s="53" t="n"/>
      <c r="BD239" s="53" t="n"/>
      <c r="BE239" s="61" t="n"/>
      <c r="BF239" s="55" t="n">
        <v>46</v>
      </c>
      <c r="BG239" s="55" t="n">
        <v>56</v>
      </c>
      <c r="BH239" s="54" t="n">
        <v>564.6699999999997</v>
      </c>
      <c r="BI239" s="55" t="n">
        <v>108</v>
      </c>
      <c r="BJ239" s="53" t="inlineStr"/>
      <c r="BK239" s="58" t="n">
        <v>0</v>
      </c>
      <c r="BL239" s="58" t="n">
        <v>239</v>
      </c>
      <c r="BM239" s="53">
        <f>IF(S239&lt;&gt;"",UPPER(TRIM(S239)),IF(O239="","LOSE",O239))</f>
        <v/>
      </c>
      <c r="BN239" s="55">
        <f>IF(BM239="LOSE",1,IF(N(T239)&gt;0,T239,IF(N(P239)&gt;0,P239,MAX(1,G239))))</f>
        <v/>
      </c>
      <c r="BO239" s="58">
        <f>IF(BM239="LOSE",1,0)</f>
        <v/>
      </c>
      <c r="BP239" s="64">
        <f>IF(BO239=0,0,IF(N(R239)&gt;0,R239,IFERROR(VLOOKUP(D239,Parameter!$A$35:$C$64,3,0)+0,0)))</f>
        <v/>
      </c>
      <c r="BQ239" s="53">
        <f>IF(V239&lt;&gt;"",V239,U239)</f>
        <v/>
      </c>
      <c r="BR239" s="53">
        <f>IF(BQ239=1,"L1",IF(OR(BQ239=2,BQ239=3),"L23",IF(BQ239="Aussen","Aussen","-")))</f>
        <v/>
      </c>
      <c r="BS239" s="66">
        <f>IF(N(W239)&gt;0,W239,0)</f>
        <v/>
      </c>
      <c r="BT239" s="58">
        <f>IF(ISNUMBER(Z239),1,0)</f>
        <v/>
      </c>
      <c r="BU239" s="55">
        <f>N(Z239)</f>
        <v/>
      </c>
      <c r="BV239" s="55">
        <f>N(L239)+N(M239)</f>
        <v/>
      </c>
      <c r="BW239" s="55">
        <f>ROUNDUP(G239/BN239,0)</f>
        <v/>
      </c>
      <c r="BX239" s="55">
        <f>ROUNDUP(BU239/BN239,0)</f>
        <v/>
      </c>
      <c r="BY239" s="58">
        <f>IF(BO239=1,0,IFERROR(VLOOKUP(BM239,'Gebinde-Kategorie'!$A$5:$G$45,5,0)+0,0))</f>
        <v/>
      </c>
      <c r="BZ239" s="58">
        <f>IFERROR(IF(OR(BQ239=1,BQ239=2,BQ239=3),N(INDEX(Parameter!$I$5:$I$7,BQ239)),0),0)</f>
        <v/>
      </c>
    </row>
    <row r="240">
      <c r="A240" s="53" t="inlineStr">
        <is>
          <t>109634</t>
        </is>
      </c>
      <c r="B240" s="53" t="inlineStr">
        <is>
          <t>Kranbahnprofil GISKB II</t>
        </is>
      </c>
      <c r="C240" s="53" t="inlineStr">
        <is>
          <t>F</t>
        </is>
      </c>
      <c r="D240" s="53" t="inlineStr">
        <is>
          <t>LIFT1</t>
        </is>
      </c>
      <c r="E240" s="53" t="inlineStr">
        <is>
          <t>C</t>
        </is>
      </c>
      <c r="F240" s="54" t="n">
        <v>284.49</v>
      </c>
      <c r="G240" s="55">
        <f>MAX(0,IF(Parameter!$B$20="Jahresanfang 2025 + Export",BG240+BF240,BF240))</f>
        <v/>
      </c>
      <c r="H240" s="55">
        <f>G240*F240</f>
        <v/>
      </c>
      <c r="I240" s="55">
        <f>BI240*Parameter!$B$18</f>
        <v/>
      </c>
      <c r="J240" s="56" t="n">
        <v>9</v>
      </c>
      <c r="K240" s="57" t="n">
        <v>1.555555555555556</v>
      </c>
      <c r="L240" s="55" t="n">
        <v>1</v>
      </c>
      <c r="M240" s="55" t="n">
        <v>10</v>
      </c>
      <c r="N240" s="58" t="n">
        <v>28</v>
      </c>
      <c r="O240" s="53" t="inlineStr">
        <is>
          <t>LOSE</t>
        </is>
      </c>
      <c r="P240" s="55" t="n"/>
      <c r="Q240" s="59">
        <f>IF(BO240=1,0,IFERROR(VLOOKUP(BM240,'Gebinde-Kategorie'!$A$5:$G$45,6,0)+0,0))</f>
        <v/>
      </c>
      <c r="R240" s="60" t="n"/>
      <c r="S240" s="61" t="n"/>
      <c r="T240" s="61" t="n"/>
      <c r="U240" s="53">
        <f>IF(A240="","",IF(IFERROR(VLOOKUP(D240,Parameter!$A$35:$C$64,2,0),"Nein")="2+3",IF(ISNUMBER(SEARCH("grosser Artikel",BJ240)),2,IFERROR(VLOOKUP(BM240,Parameter!$F$35:$G$64,2,0),2)),IF(OR(IFERROR(VLOOKUP(D240,Parameter!$A$35:$C$64,2,0),"Nein")="Nein",IFERROR(VLOOKUP(D240,Parameter!$A$35:$C$64,2,0),"Nein")=""),"-",VLOOKUP(D240,Parameter!$A$35:$C$64,2,0))))</f>
        <v/>
      </c>
      <c r="V240" s="61" t="n"/>
      <c r="W240" s="62" t="n"/>
      <c r="X240" s="55">
        <f>AM240</f>
        <v/>
      </c>
      <c r="Y240" s="55">
        <f>MAX(AM240,G240)</f>
        <v/>
      </c>
      <c r="Z240" s="63" t="n"/>
      <c r="AA240" s="55">
        <f>IF(LEFT(Cockpit!$C$5,1)="A",G240,IF(BT240=1,BU240,IF(LEFT(Cockpit!$C$5,1)="B",AE240,MAX(AE240,G240))))</f>
        <v/>
      </c>
      <c r="AB240" s="55">
        <f>IF(BO240=1,0,ROUNDUP(AA240/BN240,0))</f>
        <v/>
      </c>
      <c r="AC240" s="64">
        <f>IF(BO240=1,IF(AA240&lt;=0,0,BP240*MAX(1,IF(G240&gt;0,AA240/G240,1))),AB240*Q240)</f>
        <v/>
      </c>
      <c r="AD240" s="55">
        <f>AA240*F240</f>
        <v/>
      </c>
      <c r="AE240" s="55">
        <f>ROUNDUP(MAX(I240/IF(BS240&gt;0,BS240,MAX(0.1,N(Cockpit!$C$6))),BV240)/BN240,0)*BN240</f>
        <v/>
      </c>
      <c r="AF240" s="56">
        <f>IF(AC240&gt;0,I240/AC240,-1)</f>
        <v/>
      </c>
      <c r="AG240" s="56">
        <f>IF(AND(OR(BR240="L1",BR240="L23"),AC240&gt;0),SUMIFS($AC$7:$AC$1570,$BR$7:$BR$1570,BR240,$AF$7:$AF$1570,"&gt;"&amp;AF240)+SUMIFS($AC$7:$AC$1570,$BR$7:$BR$1570,BR240,$AF$7:$AF$1570,AF240,$BL$7:$BL$1570,"&lt;="&amp;BL240),"")</f>
        <v/>
      </c>
      <c r="AH240" s="65">
        <f>IF(AG240="",0,MAX(0,MIN(1,(IF(BR240="L1",Parameter!$K$5,Parameter!$K$6+Parameter!$K$7)-(AG240-AC240))/AC240)))</f>
        <v/>
      </c>
      <c r="AI240" s="55">
        <f>IF(LEFT(Cockpit!$I$5,1)="A",G240,IF(BT240=1,BU240,IF(LEFT(Cockpit!$I$5,1)="B",AM240,MAX(AM240,G240))))</f>
        <v/>
      </c>
      <c r="AJ240" s="55">
        <f>IF(BO240=1,0,ROUNDUP(AI240/BN240,0))</f>
        <v/>
      </c>
      <c r="AK240" s="64">
        <f>IF(BO240=1,IF(AI240&lt;=0,0,BP240*MAX(1,IF(G240&gt;0,AI240/G240,1))),AJ240*Q240)</f>
        <v/>
      </c>
      <c r="AL240" s="55">
        <f>AI240*F240</f>
        <v/>
      </c>
      <c r="AM240" s="55">
        <f>ROUNDUP(MAX(I240/IF(BS240&gt;0,BS240,MAX(0.1,N(Cockpit!$I$6))),BV240)/BN240,0)*BN240</f>
        <v/>
      </c>
      <c r="AN240" s="56">
        <f>IF(AK240&gt;0,I240/AK240,-1)</f>
        <v/>
      </c>
      <c r="AO240" s="56">
        <f>IF(AND(OR(BR240="L1",BR240="L23"),AK240&gt;0),SUMIFS($AK$7:$AK$1570,$BR$7:$BR$1570,BR240,$AN$7:$AN$1570,"&gt;"&amp;AN240)+SUMIFS($AK$7:$AK$1570,$BR$7:$BR$1570,BR240,$AN$7:$AN$1570,AN240,$BL$7:$BL$1570,"&lt;="&amp;BL240),"")</f>
        <v/>
      </c>
      <c r="AP240" s="65">
        <f>IF(AO240="",0,MAX(0,MIN(1,(IF(BR240="L1",Parameter!$K$5,Parameter!$K$6+Parameter!$K$7)-(AO240-AK240))/AK240)))</f>
        <v/>
      </c>
      <c r="AQ240" s="55">
        <f>IF(LEFT(Cockpit!$O$5,1)="A",G240,IF(BT240=1,BU240,IF(LEFT(Cockpit!$O$5,1)="B",AU240,MAX(AU240,G240))))</f>
        <v/>
      </c>
      <c r="AR240" s="55">
        <f>IF(BO240=1,0,ROUNDUP(AQ240/BN240,0))</f>
        <v/>
      </c>
      <c r="AS240" s="64">
        <f>IF(BO240=1,IF(AQ240&lt;=0,0,BP240*MAX(1,IF(G240&gt;0,AQ240/G240,1))),AR240*Q240)</f>
        <v/>
      </c>
      <c r="AT240" s="55">
        <f>AQ240*F240</f>
        <v/>
      </c>
      <c r="AU240" s="55">
        <f>ROUNDUP(MAX(I240/IF(BS240&gt;0,BS240,MAX(0.1,N(Cockpit!$O$6))),BV240)/BN240,0)*BN240</f>
        <v/>
      </c>
      <c r="AV240" s="56">
        <f>IF(AS240&gt;0,I240/AS240,-1)</f>
        <v/>
      </c>
      <c r="AW240" s="56">
        <f>IF(AND(OR(BR240="L1",BR240="L23"),AS240&gt;0),SUMIFS($AS$7:$AS$1570,$BR$7:$BR$1570,BR240,$AV$7:$AV$1570,"&gt;"&amp;AV240)+SUMIFS($AS$7:$AS$1570,$BR$7:$BR$1570,BR240,$AV$7:$AV$1570,AV240,$BL$7:$BL$1570,"&lt;="&amp;BL240),"")</f>
        <v/>
      </c>
      <c r="AX240" s="65">
        <f>IF(AW240="",0,MAX(0,MIN(1,(IF(BR240="L1",Parameter!$K$5,Parameter!$K$6+Parameter!$K$7)-(AW240-AS240))/AS240)))</f>
        <v/>
      </c>
      <c r="AY240" s="53">
        <f>IF(AC240&lt;=0,"",IF(BR240="Aussen","Aussenlager",IF(BR240="-","Nicht im Lift",IF(AH240&gt;=1,"Lift",IF(AH240&lt;=0,"Aussenlager","teilweise")))))</f>
        <v/>
      </c>
      <c r="AZ240" s="53">
        <f>IF(AK240&lt;=0,"",IF(BR240="Aussen","Aussenlager",IF(BR240="-","Nicht im Lift",IF(AP240&gt;=1,"Lift",IF(AP240&lt;=0,"Aussenlager","teilweise")))))</f>
        <v/>
      </c>
      <c r="BA240" s="53">
        <f>IF(AS240&lt;=0,"",IF(BR240="Aussen","Aussenlager",IF(BR240="-","Nicht im Lift",IF(AX240&gt;=1,"Lift",IF(AX240&lt;=0,"Aussenlager","teilweise")))))</f>
        <v/>
      </c>
      <c r="BB240" s="53">
        <f>IF(A240="","",IF(BK240=1,"Neu; ","")&amp;IF(AND(BK240=0,BF240&lt;0),"negativer Bestand (Export "&amp;BF240&amp;"); ","")&amp;IF(I240&lt;=0,"Kein Verbrauch; ","")&amp;IF(BO240=1,"Lose – Fläche geschätzt; ","")&amp;IF(G240&gt;AM240,"Überbestand "&amp;ROUND(G240-AM240,0)&amp;" Stk / CHF "&amp;ROUND((G240-AM240)*F240,0)&amp;"; ","")&amp;IF(AND(BT240=1,BU240&lt;BV240),"MAX &lt; MB+LG; ","")&amp;IF(AND(BZ240&gt;0,BY240*10&gt;BZ240),"zu hoch für Tablar; ","")&amp;IF(AND(BK240=0,OR(BT240=1,V240&lt;&gt;"",S240&lt;&gt;"",T240&lt;&gt;"",W240&lt;&gt;"")),"manuell übersteuert; ","")&amp;IF(AND(BO240=0,Q240=0),"Gebinde unbekannt; ","")&amp;IF(AND(BO240=0,N(T240)&lt;=0,N(P240)&lt;=0),"Menge pro Gebinde fehlt (Ist = 1 Gebinde); ","")&amp;BJ240)</f>
        <v/>
      </c>
      <c r="BC240" s="53" t="n"/>
      <c r="BD240" s="53" t="n"/>
      <c r="BE240" s="61" t="n"/>
      <c r="BF240" s="55" t="n">
        <v>2</v>
      </c>
      <c r="BG240" s="55" t="n">
        <v>11</v>
      </c>
      <c r="BH240" s="54" t="n">
        <v>558.2000000000005</v>
      </c>
      <c r="BI240" s="55" t="n">
        <v>14</v>
      </c>
      <c r="BJ240" s="53" t="inlineStr"/>
      <c r="BK240" s="58" t="n">
        <v>0</v>
      </c>
      <c r="BL240" s="58" t="n">
        <v>240</v>
      </c>
      <c r="BM240" s="53">
        <f>IF(S240&lt;&gt;"",UPPER(TRIM(S240)),IF(O240="","LOSE",O240))</f>
        <v/>
      </c>
      <c r="BN240" s="55">
        <f>IF(BM240="LOSE",1,IF(N(T240)&gt;0,T240,IF(N(P240)&gt;0,P240,MAX(1,G240))))</f>
        <v/>
      </c>
      <c r="BO240" s="58">
        <f>IF(BM240="LOSE",1,0)</f>
        <v/>
      </c>
      <c r="BP240" s="64">
        <f>IF(BO240=0,0,IF(N(R240)&gt;0,R240,IFERROR(VLOOKUP(D240,Parameter!$A$35:$C$64,3,0)+0,0)))</f>
        <v/>
      </c>
      <c r="BQ240" s="53">
        <f>IF(V240&lt;&gt;"",V240,U240)</f>
        <v/>
      </c>
      <c r="BR240" s="53">
        <f>IF(BQ240=1,"L1",IF(OR(BQ240=2,BQ240=3),"L23",IF(BQ240="Aussen","Aussen","-")))</f>
        <v/>
      </c>
      <c r="BS240" s="66">
        <f>IF(N(W240)&gt;0,W240,0)</f>
        <v/>
      </c>
      <c r="BT240" s="58">
        <f>IF(ISNUMBER(Z240),1,0)</f>
        <v/>
      </c>
      <c r="BU240" s="55">
        <f>N(Z240)</f>
        <v/>
      </c>
      <c r="BV240" s="55">
        <f>N(L240)+N(M240)</f>
        <v/>
      </c>
      <c r="BW240" s="55">
        <f>ROUNDUP(G240/BN240,0)</f>
        <v/>
      </c>
      <c r="BX240" s="55">
        <f>ROUNDUP(BU240/BN240,0)</f>
        <v/>
      </c>
      <c r="BY240" s="58">
        <f>IF(BO240=1,0,IFERROR(VLOOKUP(BM240,'Gebinde-Kategorie'!$A$5:$G$45,5,0)+0,0))</f>
        <v/>
      </c>
      <c r="BZ240" s="58">
        <f>IFERROR(IF(OR(BQ240=1,BQ240=2,BQ240=3),N(INDEX(Parameter!$I$5:$I$7,BQ240)),0),0)</f>
        <v/>
      </c>
    </row>
    <row r="241">
      <c r="A241" s="53" t="inlineStr">
        <is>
          <t>104236</t>
        </is>
      </c>
      <c r="B241" s="53" t="inlineStr">
        <is>
          <t>Dach</t>
        </is>
      </c>
      <c r="C241" s="53" t="inlineStr">
        <is>
          <t>F</t>
        </is>
      </c>
      <c r="D241" s="53" t="inlineStr">
        <is>
          <t>PAL</t>
        </is>
      </c>
      <c r="E241" s="53" t="inlineStr">
        <is>
          <t>C</t>
        </is>
      </c>
      <c r="F241" s="54" t="n">
        <v>35.2</v>
      </c>
      <c r="G241" s="55">
        <f>MAX(0,IF(Parameter!$B$20="Jahresanfang 2025 + Export",BG241+BF241,BF241))</f>
        <v/>
      </c>
      <c r="H241" s="55">
        <f>G241*F241</f>
        <v/>
      </c>
      <c r="I241" s="55">
        <f>BI241*Parameter!$B$18</f>
        <v/>
      </c>
      <c r="J241" s="56" t="n">
        <v>34</v>
      </c>
      <c r="K241" s="57" t="n">
        <v>1.529411764705882</v>
      </c>
      <c r="L241" s="55" t="n">
        <v>5</v>
      </c>
      <c r="M241" s="55" t="n">
        <v>50</v>
      </c>
      <c r="N241" s="58" t="n">
        <v>35</v>
      </c>
      <c r="O241" s="53" t="inlineStr">
        <is>
          <t>S71</t>
        </is>
      </c>
      <c r="P241" s="55" t="n">
        <v>35</v>
      </c>
      <c r="Q241" s="59">
        <f>IF(BO241=1,0,IFERROR(VLOOKUP(BM241,'Gebinde-Kategorie'!$A$5:$G$45,6,0)+0,0))</f>
        <v/>
      </c>
      <c r="R241" s="60" t="n"/>
      <c r="S241" s="61" t="n"/>
      <c r="T241" s="61" t="n"/>
      <c r="U241" s="53">
        <f>IF(A241="","",IF(IFERROR(VLOOKUP(D241,Parameter!$A$35:$C$64,2,0),"Nein")="2+3",IF(ISNUMBER(SEARCH("grosser Artikel",BJ241)),2,IFERROR(VLOOKUP(BM241,Parameter!$F$35:$G$64,2,0),2)),IF(OR(IFERROR(VLOOKUP(D241,Parameter!$A$35:$C$64,2,0),"Nein")="Nein",IFERROR(VLOOKUP(D241,Parameter!$A$35:$C$64,2,0),"Nein")=""),"-",VLOOKUP(D241,Parameter!$A$35:$C$64,2,0))))</f>
        <v/>
      </c>
      <c r="V241" s="61" t="n"/>
      <c r="W241" s="62" t="n"/>
      <c r="X241" s="55">
        <f>AM241</f>
        <v/>
      </c>
      <c r="Y241" s="55">
        <f>MAX(AM241,G241)</f>
        <v/>
      </c>
      <c r="Z241" s="63" t="n"/>
      <c r="AA241" s="55">
        <f>IF(LEFT(Cockpit!$C$5,1)="A",G241,IF(BT241=1,BU241,IF(LEFT(Cockpit!$C$5,1)="B",AE241,MAX(AE241,G241))))</f>
        <v/>
      </c>
      <c r="AB241" s="55">
        <f>IF(BO241=1,0,ROUNDUP(AA241/BN241,0))</f>
        <v/>
      </c>
      <c r="AC241" s="64">
        <f>IF(BO241=1,IF(AA241&lt;=0,0,BP241*MAX(1,IF(G241&gt;0,AA241/G241,1))),AB241*Q241)</f>
        <v/>
      </c>
      <c r="AD241" s="55">
        <f>AA241*F241</f>
        <v/>
      </c>
      <c r="AE241" s="55">
        <f>ROUNDUP(MAX(I241/IF(BS241&gt;0,BS241,MAX(0.1,N(Cockpit!$C$6))),BV241)/BN241,0)*BN241</f>
        <v/>
      </c>
      <c r="AF241" s="56">
        <f>IF(AC241&gt;0,I241/AC241,-1)</f>
        <v/>
      </c>
      <c r="AG241" s="56">
        <f>IF(AND(OR(BR241="L1",BR241="L23"),AC241&gt;0),SUMIFS($AC$7:$AC$1570,$BR$7:$BR$1570,BR241,$AF$7:$AF$1570,"&gt;"&amp;AF241)+SUMIFS($AC$7:$AC$1570,$BR$7:$BR$1570,BR241,$AF$7:$AF$1570,AF241,$BL$7:$BL$1570,"&lt;="&amp;BL241),"")</f>
        <v/>
      </c>
      <c r="AH241" s="65">
        <f>IF(AG241="",0,MAX(0,MIN(1,(IF(BR241="L1",Parameter!$K$5,Parameter!$K$6+Parameter!$K$7)-(AG241-AC241))/AC241)))</f>
        <v/>
      </c>
      <c r="AI241" s="55">
        <f>IF(LEFT(Cockpit!$I$5,1)="A",G241,IF(BT241=1,BU241,IF(LEFT(Cockpit!$I$5,1)="B",AM241,MAX(AM241,G241))))</f>
        <v/>
      </c>
      <c r="AJ241" s="55">
        <f>IF(BO241=1,0,ROUNDUP(AI241/BN241,0))</f>
        <v/>
      </c>
      <c r="AK241" s="64">
        <f>IF(BO241=1,IF(AI241&lt;=0,0,BP241*MAX(1,IF(G241&gt;0,AI241/G241,1))),AJ241*Q241)</f>
        <v/>
      </c>
      <c r="AL241" s="55">
        <f>AI241*F241</f>
        <v/>
      </c>
      <c r="AM241" s="55">
        <f>ROUNDUP(MAX(I241/IF(BS241&gt;0,BS241,MAX(0.1,N(Cockpit!$I$6))),BV241)/BN241,0)*BN241</f>
        <v/>
      </c>
      <c r="AN241" s="56">
        <f>IF(AK241&gt;0,I241/AK241,-1)</f>
        <v/>
      </c>
      <c r="AO241" s="56">
        <f>IF(AND(OR(BR241="L1",BR241="L23"),AK241&gt;0),SUMIFS($AK$7:$AK$1570,$BR$7:$BR$1570,BR241,$AN$7:$AN$1570,"&gt;"&amp;AN241)+SUMIFS($AK$7:$AK$1570,$BR$7:$BR$1570,BR241,$AN$7:$AN$1570,AN241,$BL$7:$BL$1570,"&lt;="&amp;BL241),"")</f>
        <v/>
      </c>
      <c r="AP241" s="65">
        <f>IF(AO241="",0,MAX(0,MIN(1,(IF(BR241="L1",Parameter!$K$5,Parameter!$K$6+Parameter!$K$7)-(AO241-AK241))/AK241)))</f>
        <v/>
      </c>
      <c r="AQ241" s="55">
        <f>IF(LEFT(Cockpit!$O$5,1)="A",G241,IF(BT241=1,BU241,IF(LEFT(Cockpit!$O$5,1)="B",AU241,MAX(AU241,G241))))</f>
        <v/>
      </c>
      <c r="AR241" s="55">
        <f>IF(BO241=1,0,ROUNDUP(AQ241/BN241,0))</f>
        <v/>
      </c>
      <c r="AS241" s="64">
        <f>IF(BO241=1,IF(AQ241&lt;=0,0,BP241*MAX(1,IF(G241&gt;0,AQ241/G241,1))),AR241*Q241)</f>
        <v/>
      </c>
      <c r="AT241" s="55">
        <f>AQ241*F241</f>
        <v/>
      </c>
      <c r="AU241" s="55">
        <f>ROUNDUP(MAX(I241/IF(BS241&gt;0,BS241,MAX(0.1,N(Cockpit!$O$6))),BV241)/BN241,0)*BN241</f>
        <v/>
      </c>
      <c r="AV241" s="56">
        <f>IF(AS241&gt;0,I241/AS241,-1)</f>
        <v/>
      </c>
      <c r="AW241" s="56">
        <f>IF(AND(OR(BR241="L1",BR241="L23"),AS241&gt;0),SUMIFS($AS$7:$AS$1570,$BR$7:$BR$1570,BR241,$AV$7:$AV$1570,"&gt;"&amp;AV241)+SUMIFS($AS$7:$AS$1570,$BR$7:$BR$1570,BR241,$AV$7:$AV$1570,AV241,$BL$7:$BL$1570,"&lt;="&amp;BL241),"")</f>
        <v/>
      </c>
      <c r="AX241" s="65">
        <f>IF(AW241="",0,MAX(0,MIN(1,(IF(BR241="L1",Parameter!$K$5,Parameter!$K$6+Parameter!$K$7)-(AW241-AS241))/AS241)))</f>
        <v/>
      </c>
      <c r="AY241" s="53">
        <f>IF(AC241&lt;=0,"",IF(BR241="Aussen","Aussenlager",IF(BR241="-","Nicht im Lift",IF(AH241&gt;=1,"Lift",IF(AH241&lt;=0,"Aussenlager","teilweise")))))</f>
        <v/>
      </c>
      <c r="AZ241" s="53">
        <f>IF(AK241&lt;=0,"",IF(BR241="Aussen","Aussenlager",IF(BR241="-","Nicht im Lift",IF(AP241&gt;=1,"Lift",IF(AP241&lt;=0,"Aussenlager","teilweise")))))</f>
        <v/>
      </c>
      <c r="BA241" s="53">
        <f>IF(AS241&lt;=0,"",IF(BR241="Aussen","Aussenlager",IF(BR241="-","Nicht im Lift",IF(AX241&gt;=1,"Lift",IF(AX241&lt;=0,"Aussenlager","teilweise")))))</f>
        <v/>
      </c>
      <c r="BB241" s="53">
        <f>IF(A241="","",IF(BK241=1,"Neu; ","")&amp;IF(AND(BK241=0,BF241&lt;0),"negativer Bestand (Export "&amp;BF241&amp;"); ","")&amp;IF(I241&lt;=0,"Kein Verbrauch; ","")&amp;IF(BO241=1,"Lose – Fläche geschätzt; ","")&amp;IF(G241&gt;AM241,"Überbestand "&amp;ROUND(G241-AM241,0)&amp;" Stk / CHF "&amp;ROUND((G241-AM241)*F241,0)&amp;"; ","")&amp;IF(AND(BT241=1,BU241&lt;BV241),"MAX &lt; MB+LG; ","")&amp;IF(AND(BZ241&gt;0,BY241*10&gt;BZ241),"zu hoch für Tablar; ","")&amp;IF(AND(BK241=0,OR(BT241=1,V241&lt;&gt;"",S241&lt;&gt;"",T241&lt;&gt;"",W241&lt;&gt;"")),"manuell übersteuert; ","")&amp;IF(AND(BO241=0,Q241=0),"Gebinde unbekannt; ","")&amp;IF(AND(BO241=0,N(T241)&lt;=0,N(P241)&lt;=0),"Menge pro Gebinde fehlt (Ist = 1 Gebinde); ","")&amp;BJ241)</f>
        <v/>
      </c>
      <c r="BC241" s="53" t="n"/>
      <c r="BD241" s="53" t="n"/>
      <c r="BE241" s="61" t="n"/>
      <c r="BF241" s="55" t="n">
        <v>17</v>
      </c>
      <c r="BG241" s="55" t="n">
        <v>9</v>
      </c>
      <c r="BH241" s="54" t="n">
        <v>553.1300000000047</v>
      </c>
      <c r="BI241" s="55" t="n">
        <v>52</v>
      </c>
      <c r="BJ241" s="53" t="inlineStr"/>
      <c r="BK241" s="58" t="n">
        <v>0</v>
      </c>
      <c r="BL241" s="58" t="n">
        <v>241</v>
      </c>
      <c r="BM241" s="53">
        <f>IF(S241&lt;&gt;"",UPPER(TRIM(S241)),IF(O241="","LOSE",O241))</f>
        <v/>
      </c>
      <c r="BN241" s="55">
        <f>IF(BM241="LOSE",1,IF(N(T241)&gt;0,T241,IF(N(P241)&gt;0,P241,MAX(1,G241))))</f>
        <v/>
      </c>
      <c r="BO241" s="58">
        <f>IF(BM241="LOSE",1,0)</f>
        <v/>
      </c>
      <c r="BP241" s="64">
        <f>IF(BO241=0,0,IF(N(R241)&gt;0,R241,IFERROR(VLOOKUP(D241,Parameter!$A$35:$C$64,3,0)+0,0)))</f>
        <v/>
      </c>
      <c r="BQ241" s="53">
        <f>IF(V241&lt;&gt;"",V241,U241)</f>
        <v/>
      </c>
      <c r="BR241" s="53">
        <f>IF(BQ241=1,"L1",IF(OR(BQ241=2,BQ241=3),"L23",IF(BQ241="Aussen","Aussen","-")))</f>
        <v/>
      </c>
      <c r="BS241" s="66">
        <f>IF(N(W241)&gt;0,W241,0)</f>
        <v/>
      </c>
      <c r="BT241" s="58">
        <f>IF(ISNUMBER(Z241),1,0)</f>
        <v/>
      </c>
      <c r="BU241" s="55">
        <f>N(Z241)</f>
        <v/>
      </c>
      <c r="BV241" s="55">
        <f>N(L241)+N(M241)</f>
        <v/>
      </c>
      <c r="BW241" s="55">
        <f>ROUNDUP(G241/BN241,0)</f>
        <v/>
      </c>
      <c r="BX241" s="55">
        <f>ROUNDUP(BU241/BN241,0)</f>
        <v/>
      </c>
      <c r="BY241" s="58">
        <f>IF(BO241=1,0,IFERROR(VLOOKUP(BM241,'Gebinde-Kategorie'!$A$5:$G$45,5,0)+0,0))</f>
        <v/>
      </c>
      <c r="BZ241" s="58">
        <f>IFERROR(IF(OR(BQ241=1,BQ241=2,BQ241=3),N(INDEX(Parameter!$I$5:$I$7,BQ241)),0),0)</f>
        <v/>
      </c>
    </row>
    <row r="242">
      <c r="A242" s="53" t="inlineStr">
        <is>
          <t>106432</t>
        </is>
      </c>
      <c r="B242" s="53" t="inlineStr">
        <is>
          <t>Anschlussflansch</t>
        </is>
      </c>
      <c r="C242" s="53" t="inlineStr">
        <is>
          <t>F</t>
        </is>
      </c>
      <c r="D242" s="53" t="inlineStr">
        <is>
          <t>PAL</t>
        </is>
      </c>
      <c r="E242" s="53" t="inlineStr">
        <is>
          <t>C</t>
        </is>
      </c>
      <c r="F242" s="54" t="n">
        <v>423.49</v>
      </c>
      <c r="G242" s="55">
        <f>MAX(0,IF(Parameter!$B$20="Jahresanfang 2025 + Export",BG242+BF242,BF242))</f>
        <v/>
      </c>
      <c r="H242" s="55">
        <f>G242*F242</f>
        <v/>
      </c>
      <c r="I242" s="55">
        <f>BI242*Parameter!$B$18</f>
        <v/>
      </c>
      <c r="J242" s="56" t="n">
        <v>11</v>
      </c>
      <c r="K242" s="57" t="n">
        <v>2.363636363636364</v>
      </c>
      <c r="L242" s="55" t="n">
        <v>1</v>
      </c>
      <c r="M242" s="55" t="n">
        <v>10</v>
      </c>
      <c r="N242" s="58" t="n">
        <v>21</v>
      </c>
      <c r="O242" s="53" t="inlineStr">
        <is>
          <t>S71</t>
        </is>
      </c>
      <c r="P242" s="55" t="n">
        <v>13</v>
      </c>
      <c r="Q242" s="59">
        <f>IF(BO242=1,0,IFERROR(VLOOKUP(BM242,'Gebinde-Kategorie'!$A$5:$G$45,6,0)+0,0))</f>
        <v/>
      </c>
      <c r="R242" s="60" t="n"/>
      <c r="S242" s="61" t="n"/>
      <c r="T242" s="61" t="n"/>
      <c r="U242" s="53">
        <f>IF(A242="","",IF(IFERROR(VLOOKUP(D242,Parameter!$A$35:$C$64,2,0),"Nein")="2+3",IF(ISNUMBER(SEARCH("grosser Artikel",BJ242)),2,IFERROR(VLOOKUP(BM242,Parameter!$F$35:$G$64,2,0),2)),IF(OR(IFERROR(VLOOKUP(D242,Parameter!$A$35:$C$64,2,0),"Nein")="Nein",IFERROR(VLOOKUP(D242,Parameter!$A$35:$C$64,2,0),"Nein")=""),"-",VLOOKUP(D242,Parameter!$A$35:$C$64,2,0))))</f>
        <v/>
      </c>
      <c r="V242" s="61" t="n"/>
      <c r="W242" s="62" t="n"/>
      <c r="X242" s="55">
        <f>AM242</f>
        <v/>
      </c>
      <c r="Y242" s="55">
        <f>MAX(AM242,G242)</f>
        <v/>
      </c>
      <c r="Z242" s="63" t="n"/>
      <c r="AA242" s="55">
        <f>IF(LEFT(Cockpit!$C$5,1)="A",G242,IF(BT242=1,BU242,IF(LEFT(Cockpit!$C$5,1)="B",AE242,MAX(AE242,G242))))</f>
        <v/>
      </c>
      <c r="AB242" s="55">
        <f>IF(BO242=1,0,ROUNDUP(AA242/BN242,0))</f>
        <v/>
      </c>
      <c r="AC242" s="64">
        <f>IF(BO242=1,IF(AA242&lt;=0,0,BP242*MAX(1,IF(G242&gt;0,AA242/G242,1))),AB242*Q242)</f>
        <v/>
      </c>
      <c r="AD242" s="55">
        <f>AA242*F242</f>
        <v/>
      </c>
      <c r="AE242" s="55">
        <f>ROUNDUP(MAX(I242/IF(BS242&gt;0,BS242,MAX(0.1,N(Cockpit!$C$6))),BV242)/BN242,0)*BN242</f>
        <v/>
      </c>
      <c r="AF242" s="56">
        <f>IF(AC242&gt;0,I242/AC242,-1)</f>
        <v/>
      </c>
      <c r="AG242" s="56">
        <f>IF(AND(OR(BR242="L1",BR242="L23"),AC242&gt;0),SUMIFS($AC$7:$AC$1570,$BR$7:$BR$1570,BR242,$AF$7:$AF$1570,"&gt;"&amp;AF242)+SUMIFS($AC$7:$AC$1570,$BR$7:$BR$1570,BR242,$AF$7:$AF$1570,AF242,$BL$7:$BL$1570,"&lt;="&amp;BL242),"")</f>
        <v/>
      </c>
      <c r="AH242" s="65">
        <f>IF(AG242="",0,MAX(0,MIN(1,(IF(BR242="L1",Parameter!$K$5,Parameter!$K$6+Parameter!$K$7)-(AG242-AC242))/AC242)))</f>
        <v/>
      </c>
      <c r="AI242" s="55">
        <f>IF(LEFT(Cockpit!$I$5,1)="A",G242,IF(BT242=1,BU242,IF(LEFT(Cockpit!$I$5,1)="B",AM242,MAX(AM242,G242))))</f>
        <v/>
      </c>
      <c r="AJ242" s="55">
        <f>IF(BO242=1,0,ROUNDUP(AI242/BN242,0))</f>
        <v/>
      </c>
      <c r="AK242" s="64">
        <f>IF(BO242=1,IF(AI242&lt;=0,0,BP242*MAX(1,IF(G242&gt;0,AI242/G242,1))),AJ242*Q242)</f>
        <v/>
      </c>
      <c r="AL242" s="55">
        <f>AI242*F242</f>
        <v/>
      </c>
      <c r="AM242" s="55">
        <f>ROUNDUP(MAX(I242/IF(BS242&gt;0,BS242,MAX(0.1,N(Cockpit!$I$6))),BV242)/BN242,0)*BN242</f>
        <v/>
      </c>
      <c r="AN242" s="56">
        <f>IF(AK242&gt;0,I242/AK242,-1)</f>
        <v/>
      </c>
      <c r="AO242" s="56">
        <f>IF(AND(OR(BR242="L1",BR242="L23"),AK242&gt;0),SUMIFS($AK$7:$AK$1570,$BR$7:$BR$1570,BR242,$AN$7:$AN$1570,"&gt;"&amp;AN242)+SUMIFS($AK$7:$AK$1570,$BR$7:$BR$1570,BR242,$AN$7:$AN$1570,AN242,$BL$7:$BL$1570,"&lt;="&amp;BL242),"")</f>
        <v/>
      </c>
      <c r="AP242" s="65">
        <f>IF(AO242="",0,MAX(0,MIN(1,(IF(BR242="L1",Parameter!$K$5,Parameter!$K$6+Parameter!$K$7)-(AO242-AK242))/AK242)))</f>
        <v/>
      </c>
      <c r="AQ242" s="55">
        <f>IF(LEFT(Cockpit!$O$5,1)="A",G242,IF(BT242=1,BU242,IF(LEFT(Cockpit!$O$5,1)="B",AU242,MAX(AU242,G242))))</f>
        <v/>
      </c>
      <c r="AR242" s="55">
        <f>IF(BO242=1,0,ROUNDUP(AQ242/BN242,0))</f>
        <v/>
      </c>
      <c r="AS242" s="64">
        <f>IF(BO242=1,IF(AQ242&lt;=0,0,BP242*MAX(1,IF(G242&gt;0,AQ242/G242,1))),AR242*Q242)</f>
        <v/>
      </c>
      <c r="AT242" s="55">
        <f>AQ242*F242</f>
        <v/>
      </c>
      <c r="AU242" s="55">
        <f>ROUNDUP(MAX(I242/IF(BS242&gt;0,BS242,MAX(0.1,N(Cockpit!$O$6))),BV242)/BN242,0)*BN242</f>
        <v/>
      </c>
      <c r="AV242" s="56">
        <f>IF(AS242&gt;0,I242/AS242,-1)</f>
        <v/>
      </c>
      <c r="AW242" s="56">
        <f>IF(AND(OR(BR242="L1",BR242="L23"),AS242&gt;0),SUMIFS($AS$7:$AS$1570,$BR$7:$BR$1570,BR242,$AV$7:$AV$1570,"&gt;"&amp;AV242)+SUMIFS($AS$7:$AS$1570,$BR$7:$BR$1570,BR242,$AV$7:$AV$1570,AV242,$BL$7:$BL$1570,"&lt;="&amp;BL242),"")</f>
        <v/>
      </c>
      <c r="AX242" s="65">
        <f>IF(AW242="",0,MAX(0,MIN(1,(IF(BR242="L1",Parameter!$K$5,Parameter!$K$6+Parameter!$K$7)-(AW242-AS242))/AS242)))</f>
        <v/>
      </c>
      <c r="AY242" s="53">
        <f>IF(AC242&lt;=0,"",IF(BR242="Aussen","Aussenlager",IF(BR242="-","Nicht im Lift",IF(AH242&gt;=1,"Lift",IF(AH242&lt;=0,"Aussenlager","teilweise")))))</f>
        <v/>
      </c>
      <c r="AZ242" s="53">
        <f>IF(AK242&lt;=0,"",IF(BR242="Aussen","Aussenlager",IF(BR242="-","Nicht im Lift",IF(AP242&gt;=1,"Lift",IF(AP242&lt;=0,"Aussenlager","teilweise")))))</f>
        <v/>
      </c>
      <c r="BA242" s="53">
        <f>IF(AS242&lt;=0,"",IF(BR242="Aussen","Aussenlager",IF(BR242="-","Nicht im Lift",IF(AX242&gt;=1,"Lift",IF(AX242&lt;=0,"Aussenlager","teilweise")))))</f>
        <v/>
      </c>
      <c r="BB242" s="53">
        <f>IF(A242="","",IF(BK242=1,"Neu; ","")&amp;IF(AND(BK242=0,BF242&lt;0),"negativer Bestand (Export "&amp;BF242&amp;"); ","")&amp;IF(I242&lt;=0,"Kein Verbrauch; ","")&amp;IF(BO242=1,"Lose – Fläche geschätzt; ","")&amp;IF(G242&gt;AM242,"Überbestand "&amp;ROUND(G242-AM242,0)&amp;" Stk / CHF "&amp;ROUND((G242-AM242)*F242,0)&amp;"; ","")&amp;IF(AND(BT242=1,BU242&lt;BV242),"MAX &lt; MB+LG; ","")&amp;IF(AND(BZ242&gt;0,BY242*10&gt;BZ242),"zu hoch für Tablar; ","")&amp;IF(AND(BK242=0,OR(BT242=1,V242&lt;&gt;"",S242&lt;&gt;"",T242&lt;&gt;"",W242&lt;&gt;"")),"manuell übersteuert; ","")&amp;IF(AND(BO242=0,Q242=0),"Gebinde unbekannt; ","")&amp;IF(AND(BO242=0,N(T242)&lt;=0,N(P242)&lt;=0),"Menge pro Gebinde fehlt (Ist = 1 Gebinde); ","")&amp;BJ242)</f>
        <v/>
      </c>
      <c r="BC242" s="53" t="n"/>
      <c r="BD242" s="53" t="n"/>
      <c r="BE242" s="61" t="n"/>
      <c r="BF242" s="55" t="n">
        <v>1</v>
      </c>
      <c r="BG242" s="55" t="n">
        <v>10</v>
      </c>
      <c r="BH242" s="54" t="n">
        <v>545.8900000000006</v>
      </c>
      <c r="BI242" s="55" t="n">
        <v>26</v>
      </c>
      <c r="BJ242" s="53" t="inlineStr">
        <is>
          <t>grosser Artikel &amp; nicht im KTL</t>
        </is>
      </c>
      <c r="BK242" s="58" t="n">
        <v>0</v>
      </c>
      <c r="BL242" s="58" t="n">
        <v>242</v>
      </c>
      <c r="BM242" s="53">
        <f>IF(S242&lt;&gt;"",UPPER(TRIM(S242)),IF(O242="","LOSE",O242))</f>
        <v/>
      </c>
      <c r="BN242" s="55">
        <f>IF(BM242="LOSE",1,IF(N(T242)&gt;0,T242,IF(N(P242)&gt;0,P242,MAX(1,G242))))</f>
        <v/>
      </c>
      <c r="BO242" s="58">
        <f>IF(BM242="LOSE",1,0)</f>
        <v/>
      </c>
      <c r="BP242" s="64">
        <f>IF(BO242=0,0,IF(N(R242)&gt;0,R242,IFERROR(VLOOKUP(D242,Parameter!$A$35:$C$64,3,0)+0,0)))</f>
        <v/>
      </c>
      <c r="BQ242" s="53">
        <f>IF(V242&lt;&gt;"",V242,U242)</f>
        <v/>
      </c>
      <c r="BR242" s="53">
        <f>IF(BQ242=1,"L1",IF(OR(BQ242=2,BQ242=3),"L23",IF(BQ242="Aussen","Aussen","-")))</f>
        <v/>
      </c>
      <c r="BS242" s="66">
        <f>IF(N(W242)&gt;0,W242,0)</f>
        <v/>
      </c>
      <c r="BT242" s="58">
        <f>IF(ISNUMBER(Z242),1,0)</f>
        <v/>
      </c>
      <c r="BU242" s="55">
        <f>N(Z242)</f>
        <v/>
      </c>
      <c r="BV242" s="55">
        <f>N(L242)+N(M242)</f>
        <v/>
      </c>
      <c r="BW242" s="55">
        <f>ROUNDUP(G242/BN242,0)</f>
        <v/>
      </c>
      <c r="BX242" s="55">
        <f>ROUNDUP(BU242/BN242,0)</f>
        <v/>
      </c>
      <c r="BY242" s="58">
        <f>IF(BO242=1,0,IFERROR(VLOOKUP(BM242,'Gebinde-Kategorie'!$A$5:$G$45,5,0)+0,0))</f>
        <v/>
      </c>
      <c r="BZ242" s="58">
        <f>IFERROR(IF(OR(BQ242=1,BQ242=2,BQ242=3),N(INDEX(Parameter!$I$5:$I$7,BQ242)),0),0)</f>
        <v/>
      </c>
    </row>
    <row r="243">
      <c r="A243" s="53" t="inlineStr">
        <is>
          <t>103492</t>
        </is>
      </c>
      <c r="B243" s="53" t="inlineStr">
        <is>
          <t>Heizpatrone</t>
        </is>
      </c>
      <c r="C243" s="53" t="inlineStr">
        <is>
          <t>F</t>
        </is>
      </c>
      <c r="D243" s="53" t="inlineStr">
        <is>
          <t>KTL</t>
        </is>
      </c>
      <c r="E243" s="53" t="inlineStr">
        <is>
          <t>C</t>
        </is>
      </c>
      <c r="F243" s="54" t="n">
        <v>108.25</v>
      </c>
      <c r="G243" s="55">
        <f>MAX(0,IF(Parameter!$B$20="Jahresanfang 2025 + Export",BG243+BF243,BF243))</f>
        <v/>
      </c>
      <c r="H243" s="55">
        <f>G243*F243</f>
        <v/>
      </c>
      <c r="I243" s="55">
        <f>BI243*Parameter!$B$18</f>
        <v/>
      </c>
      <c r="J243" s="56" t="n">
        <v>25.5</v>
      </c>
      <c r="K243" s="57" t="n">
        <v>0</v>
      </c>
      <c r="L243" s="55" t="n">
        <v>0</v>
      </c>
      <c r="M243" s="55" t="n">
        <v>1</v>
      </c>
      <c r="N243" s="58" t="n">
        <v>49</v>
      </c>
      <c r="O243" s="53" t="inlineStr">
        <is>
          <t>S63</t>
        </is>
      </c>
      <c r="P243" s="55" t="n">
        <v>30</v>
      </c>
      <c r="Q243" s="59">
        <f>IF(BO243=1,0,IFERROR(VLOOKUP(BM243,'Gebinde-Kategorie'!$A$5:$G$45,6,0)+0,0))</f>
        <v/>
      </c>
      <c r="R243" s="60" t="n"/>
      <c r="S243" s="61" t="n"/>
      <c r="T243" s="61" t="n"/>
      <c r="U243" s="53">
        <f>IF(A243="","",IF(IFERROR(VLOOKUP(D243,Parameter!$A$35:$C$64,2,0),"Nein")="2+3",IF(ISNUMBER(SEARCH("grosser Artikel",BJ243)),2,IFERROR(VLOOKUP(BM243,Parameter!$F$35:$G$64,2,0),2)),IF(OR(IFERROR(VLOOKUP(D243,Parameter!$A$35:$C$64,2,0),"Nein")="Nein",IFERROR(VLOOKUP(D243,Parameter!$A$35:$C$64,2,0),"Nein")=""),"-",VLOOKUP(D243,Parameter!$A$35:$C$64,2,0))))</f>
        <v/>
      </c>
      <c r="V243" s="61" t="n"/>
      <c r="W243" s="62" t="n"/>
      <c r="X243" s="55">
        <f>AM243</f>
        <v/>
      </c>
      <c r="Y243" s="55">
        <f>MAX(AM243,G243)</f>
        <v/>
      </c>
      <c r="Z243" s="63" t="n"/>
      <c r="AA243" s="55">
        <f>IF(LEFT(Cockpit!$C$5,1)="A",G243,IF(BT243=1,BU243,IF(LEFT(Cockpit!$C$5,1)="B",AE243,MAX(AE243,G243))))</f>
        <v/>
      </c>
      <c r="AB243" s="55">
        <f>IF(BO243=1,0,ROUNDUP(AA243/BN243,0))</f>
        <v/>
      </c>
      <c r="AC243" s="64">
        <f>IF(BO243=1,IF(AA243&lt;=0,0,BP243*MAX(1,IF(G243&gt;0,AA243/G243,1))),AB243*Q243)</f>
        <v/>
      </c>
      <c r="AD243" s="55">
        <f>AA243*F243</f>
        <v/>
      </c>
      <c r="AE243" s="55">
        <f>ROUNDUP(MAX(I243/IF(BS243&gt;0,BS243,MAX(0.1,N(Cockpit!$C$6))),BV243)/BN243,0)*BN243</f>
        <v/>
      </c>
      <c r="AF243" s="56">
        <f>IF(AC243&gt;0,I243/AC243,-1)</f>
        <v/>
      </c>
      <c r="AG243" s="56">
        <f>IF(AND(OR(BR243="L1",BR243="L23"),AC243&gt;0),SUMIFS($AC$7:$AC$1570,$BR$7:$BR$1570,BR243,$AF$7:$AF$1570,"&gt;"&amp;AF243)+SUMIFS($AC$7:$AC$1570,$BR$7:$BR$1570,BR243,$AF$7:$AF$1570,AF243,$BL$7:$BL$1570,"&lt;="&amp;BL243),"")</f>
        <v/>
      </c>
      <c r="AH243" s="65">
        <f>IF(AG243="",0,MAX(0,MIN(1,(IF(BR243="L1",Parameter!$K$5,Parameter!$K$6+Parameter!$K$7)-(AG243-AC243))/AC243)))</f>
        <v/>
      </c>
      <c r="AI243" s="55">
        <f>IF(LEFT(Cockpit!$I$5,1)="A",G243,IF(BT243=1,BU243,IF(LEFT(Cockpit!$I$5,1)="B",AM243,MAX(AM243,G243))))</f>
        <v/>
      </c>
      <c r="AJ243" s="55">
        <f>IF(BO243=1,0,ROUNDUP(AI243/BN243,0))</f>
        <v/>
      </c>
      <c r="AK243" s="64">
        <f>IF(BO243=1,IF(AI243&lt;=0,0,BP243*MAX(1,IF(G243&gt;0,AI243/G243,1))),AJ243*Q243)</f>
        <v/>
      </c>
      <c r="AL243" s="55">
        <f>AI243*F243</f>
        <v/>
      </c>
      <c r="AM243" s="55">
        <f>ROUNDUP(MAX(I243/IF(BS243&gt;0,BS243,MAX(0.1,N(Cockpit!$I$6))),BV243)/BN243,0)*BN243</f>
        <v/>
      </c>
      <c r="AN243" s="56">
        <f>IF(AK243&gt;0,I243/AK243,-1)</f>
        <v/>
      </c>
      <c r="AO243" s="56">
        <f>IF(AND(OR(BR243="L1",BR243="L23"),AK243&gt;0),SUMIFS($AK$7:$AK$1570,$BR$7:$BR$1570,BR243,$AN$7:$AN$1570,"&gt;"&amp;AN243)+SUMIFS($AK$7:$AK$1570,$BR$7:$BR$1570,BR243,$AN$7:$AN$1570,AN243,$BL$7:$BL$1570,"&lt;="&amp;BL243),"")</f>
        <v/>
      </c>
      <c r="AP243" s="65">
        <f>IF(AO243="",0,MAX(0,MIN(1,(IF(BR243="L1",Parameter!$K$5,Parameter!$K$6+Parameter!$K$7)-(AO243-AK243))/AK243)))</f>
        <v/>
      </c>
      <c r="AQ243" s="55">
        <f>IF(LEFT(Cockpit!$O$5,1)="A",G243,IF(BT243=1,BU243,IF(LEFT(Cockpit!$O$5,1)="B",AU243,MAX(AU243,G243))))</f>
        <v/>
      </c>
      <c r="AR243" s="55">
        <f>IF(BO243=1,0,ROUNDUP(AQ243/BN243,0))</f>
        <v/>
      </c>
      <c r="AS243" s="64">
        <f>IF(BO243=1,IF(AQ243&lt;=0,0,BP243*MAX(1,IF(G243&gt;0,AQ243/G243,1))),AR243*Q243)</f>
        <v/>
      </c>
      <c r="AT243" s="55">
        <f>AQ243*F243</f>
        <v/>
      </c>
      <c r="AU243" s="55">
        <f>ROUNDUP(MAX(I243/IF(BS243&gt;0,BS243,MAX(0.1,N(Cockpit!$O$6))),BV243)/BN243,0)*BN243</f>
        <v/>
      </c>
      <c r="AV243" s="56">
        <f>IF(AS243&gt;0,I243/AS243,-1)</f>
        <v/>
      </c>
      <c r="AW243" s="56">
        <f>IF(AND(OR(BR243="L1",BR243="L23"),AS243&gt;0),SUMIFS($AS$7:$AS$1570,$BR$7:$BR$1570,BR243,$AV$7:$AV$1570,"&gt;"&amp;AV243)+SUMIFS($AS$7:$AS$1570,$BR$7:$BR$1570,BR243,$AV$7:$AV$1570,AV243,$BL$7:$BL$1570,"&lt;="&amp;BL243),"")</f>
        <v/>
      </c>
      <c r="AX243" s="65">
        <f>IF(AW243="",0,MAX(0,MIN(1,(IF(BR243="L1",Parameter!$K$5,Parameter!$K$6+Parameter!$K$7)-(AW243-AS243))/AS243)))</f>
        <v/>
      </c>
      <c r="AY243" s="53">
        <f>IF(AC243&lt;=0,"",IF(BR243="Aussen","Aussenlager",IF(BR243="-","Nicht im Lift",IF(AH243&gt;=1,"Lift",IF(AH243&lt;=0,"Aussenlager","teilweise")))))</f>
        <v/>
      </c>
      <c r="AZ243" s="53">
        <f>IF(AK243&lt;=0,"",IF(BR243="Aussen","Aussenlager",IF(BR243="-","Nicht im Lift",IF(AP243&gt;=1,"Lift",IF(AP243&lt;=0,"Aussenlager","teilweise")))))</f>
        <v/>
      </c>
      <c r="BA243" s="53">
        <f>IF(AS243&lt;=0,"",IF(BR243="Aussen","Aussenlager",IF(BR243="-","Nicht im Lift",IF(AX243&gt;=1,"Lift",IF(AX243&lt;=0,"Aussenlager","teilweise")))))</f>
        <v/>
      </c>
      <c r="BB243" s="53">
        <f>IF(A243="","",IF(BK243=1,"Neu; ","")&amp;IF(AND(BK243=0,BF243&lt;0),"negativer Bestand (Export "&amp;BF243&amp;"); ","")&amp;IF(I243&lt;=0,"Kein Verbrauch; ","")&amp;IF(BO243=1,"Lose – Fläche geschätzt; ","")&amp;IF(G243&gt;AM243,"Überbestand "&amp;ROUND(G243-AM243,0)&amp;" Stk / CHF "&amp;ROUND((G243-AM243)*F243,0)&amp;"; ","")&amp;IF(AND(BT243=1,BU243&lt;BV243),"MAX &lt; MB+LG; ","")&amp;IF(AND(BZ243&gt;0,BY243*10&gt;BZ243),"zu hoch für Tablar; ","")&amp;IF(AND(BK243=0,OR(BT243=1,V243&lt;&gt;"",S243&lt;&gt;"",T243&lt;&gt;"",W243&lt;&gt;"")),"manuell übersteuert; ","")&amp;IF(AND(BO243=0,Q243=0),"Gebinde unbekannt; ","")&amp;IF(AND(BO243=0,N(T243)&lt;=0,N(P243)&lt;=0),"Menge pro Gebinde fehlt (Ist = 1 Gebinde); ","")&amp;BJ243)</f>
        <v/>
      </c>
      <c r="BC243" s="53" t="n"/>
      <c r="BD243" s="53" t="n"/>
      <c r="BE243" s="61" t="n"/>
      <c r="BF243" s="55" t="n">
        <v>5</v>
      </c>
      <c r="BG243" s="55" t="n">
        <v>23</v>
      </c>
      <c r="BH243" s="54" t="n">
        <v>541.25</v>
      </c>
      <c r="BI243" s="55" t="n">
        <v>0</v>
      </c>
      <c r="BJ243" s="53" t="inlineStr"/>
      <c r="BK243" s="58" t="n">
        <v>0</v>
      </c>
      <c r="BL243" s="58" t="n">
        <v>243</v>
      </c>
      <c r="BM243" s="53">
        <f>IF(S243&lt;&gt;"",UPPER(TRIM(S243)),IF(O243="","LOSE",O243))</f>
        <v/>
      </c>
      <c r="BN243" s="55">
        <f>IF(BM243="LOSE",1,IF(N(T243)&gt;0,T243,IF(N(P243)&gt;0,P243,MAX(1,G243))))</f>
        <v/>
      </c>
      <c r="BO243" s="58">
        <f>IF(BM243="LOSE",1,0)</f>
        <v/>
      </c>
      <c r="BP243" s="64">
        <f>IF(BO243=0,0,IF(N(R243)&gt;0,R243,IFERROR(VLOOKUP(D243,Parameter!$A$35:$C$64,3,0)+0,0)))</f>
        <v/>
      </c>
      <c r="BQ243" s="53">
        <f>IF(V243&lt;&gt;"",V243,U243)</f>
        <v/>
      </c>
      <c r="BR243" s="53">
        <f>IF(BQ243=1,"L1",IF(OR(BQ243=2,BQ243=3),"L23",IF(BQ243="Aussen","Aussen","-")))</f>
        <v/>
      </c>
      <c r="BS243" s="66">
        <f>IF(N(W243)&gt;0,W243,0)</f>
        <v/>
      </c>
      <c r="BT243" s="58">
        <f>IF(ISNUMBER(Z243),1,0)</f>
        <v/>
      </c>
      <c r="BU243" s="55">
        <f>N(Z243)</f>
        <v/>
      </c>
      <c r="BV243" s="55">
        <f>N(L243)+N(M243)</f>
        <v/>
      </c>
      <c r="BW243" s="55">
        <f>ROUNDUP(G243/BN243,0)</f>
        <v/>
      </c>
      <c r="BX243" s="55">
        <f>ROUNDUP(BU243/BN243,0)</f>
        <v/>
      </c>
      <c r="BY243" s="58">
        <f>IF(BO243=1,0,IFERROR(VLOOKUP(BM243,'Gebinde-Kategorie'!$A$5:$G$45,5,0)+0,0))</f>
        <v/>
      </c>
      <c r="BZ243" s="58">
        <f>IFERROR(IF(OR(BQ243=1,BQ243=2,BQ243=3),N(INDEX(Parameter!$I$5:$I$7,BQ243)),0),0)</f>
        <v/>
      </c>
    </row>
    <row r="244">
      <c r="A244" s="53" t="inlineStr">
        <is>
          <t>100123</t>
        </is>
      </c>
      <c r="B244" s="53" t="inlineStr">
        <is>
          <t>O-Ring</t>
        </is>
      </c>
      <c r="C244" s="53" t="inlineStr">
        <is>
          <t>F</t>
        </is>
      </c>
      <c r="D244" s="53" t="inlineStr">
        <is>
          <t>KTL</t>
        </is>
      </c>
      <c r="E244" s="53" t="inlineStr">
        <is>
          <t>C</t>
        </is>
      </c>
      <c r="F244" s="54" t="n">
        <v>0.8100000000000001</v>
      </c>
      <c r="G244" s="55">
        <f>MAX(0,IF(Parameter!$B$20="Jahresanfang 2025 + Export",BG244+BF244,BF244))</f>
        <v/>
      </c>
      <c r="H244" s="55">
        <f>G244*F244</f>
        <v/>
      </c>
      <c r="I244" s="55">
        <f>BI244*Parameter!$B$18</f>
        <v/>
      </c>
      <c r="J244" s="56" t="n">
        <v>432.5</v>
      </c>
      <c r="K244" s="57" t="n">
        <v>3.78728323699422</v>
      </c>
      <c r="L244" s="55" t="n">
        <v>63</v>
      </c>
      <c r="M244" s="55" t="n">
        <v>1640</v>
      </c>
      <c r="N244" s="58" t="n">
        <v>14</v>
      </c>
      <c r="O244" s="53" t="inlineStr">
        <is>
          <t>S51</t>
        </is>
      </c>
      <c r="P244" s="55" t="n">
        <v>961</v>
      </c>
      <c r="Q244" s="59">
        <f>IF(BO244=1,0,IFERROR(VLOOKUP(BM244,'Gebinde-Kategorie'!$A$5:$G$45,6,0)+0,0))</f>
        <v/>
      </c>
      <c r="R244" s="60" t="n"/>
      <c r="S244" s="61" t="n"/>
      <c r="T244" s="61" t="n"/>
      <c r="U244" s="53">
        <f>IF(A244="","",IF(IFERROR(VLOOKUP(D244,Parameter!$A$35:$C$64,2,0),"Nein")="2+3",IF(ISNUMBER(SEARCH("grosser Artikel",BJ244)),2,IFERROR(VLOOKUP(BM244,Parameter!$F$35:$G$64,2,0),2)),IF(OR(IFERROR(VLOOKUP(D244,Parameter!$A$35:$C$64,2,0),"Nein")="Nein",IFERROR(VLOOKUP(D244,Parameter!$A$35:$C$64,2,0),"Nein")=""),"-",VLOOKUP(D244,Parameter!$A$35:$C$64,2,0))))</f>
        <v/>
      </c>
      <c r="V244" s="61" t="n"/>
      <c r="W244" s="62" t="n"/>
      <c r="X244" s="55">
        <f>AM244</f>
        <v/>
      </c>
      <c r="Y244" s="55">
        <f>MAX(AM244,G244)</f>
        <v/>
      </c>
      <c r="Z244" s="63" t="n"/>
      <c r="AA244" s="55">
        <f>IF(LEFT(Cockpit!$C$5,1)="A",G244,IF(BT244=1,BU244,IF(LEFT(Cockpit!$C$5,1)="B",AE244,MAX(AE244,G244))))</f>
        <v/>
      </c>
      <c r="AB244" s="55">
        <f>IF(BO244=1,0,ROUNDUP(AA244/BN244,0))</f>
        <v/>
      </c>
      <c r="AC244" s="64">
        <f>IF(BO244=1,IF(AA244&lt;=0,0,BP244*MAX(1,IF(G244&gt;0,AA244/G244,1))),AB244*Q244)</f>
        <v/>
      </c>
      <c r="AD244" s="55">
        <f>AA244*F244</f>
        <v/>
      </c>
      <c r="AE244" s="55">
        <f>ROUNDUP(MAX(I244/IF(BS244&gt;0,BS244,MAX(0.1,N(Cockpit!$C$6))),BV244)/BN244,0)*BN244</f>
        <v/>
      </c>
      <c r="AF244" s="56">
        <f>IF(AC244&gt;0,I244/AC244,-1)</f>
        <v/>
      </c>
      <c r="AG244" s="56">
        <f>IF(AND(OR(BR244="L1",BR244="L23"),AC244&gt;0),SUMIFS($AC$7:$AC$1570,$BR$7:$BR$1570,BR244,$AF$7:$AF$1570,"&gt;"&amp;AF244)+SUMIFS($AC$7:$AC$1570,$BR$7:$BR$1570,BR244,$AF$7:$AF$1570,AF244,$BL$7:$BL$1570,"&lt;="&amp;BL244),"")</f>
        <v/>
      </c>
      <c r="AH244" s="65">
        <f>IF(AG244="",0,MAX(0,MIN(1,(IF(BR244="L1",Parameter!$K$5,Parameter!$K$6+Parameter!$K$7)-(AG244-AC244))/AC244)))</f>
        <v/>
      </c>
      <c r="AI244" s="55">
        <f>IF(LEFT(Cockpit!$I$5,1)="A",G244,IF(BT244=1,BU244,IF(LEFT(Cockpit!$I$5,1)="B",AM244,MAX(AM244,G244))))</f>
        <v/>
      </c>
      <c r="AJ244" s="55">
        <f>IF(BO244=1,0,ROUNDUP(AI244/BN244,0))</f>
        <v/>
      </c>
      <c r="AK244" s="64">
        <f>IF(BO244=1,IF(AI244&lt;=0,0,BP244*MAX(1,IF(G244&gt;0,AI244/G244,1))),AJ244*Q244)</f>
        <v/>
      </c>
      <c r="AL244" s="55">
        <f>AI244*F244</f>
        <v/>
      </c>
      <c r="AM244" s="55">
        <f>ROUNDUP(MAX(I244/IF(BS244&gt;0,BS244,MAX(0.1,N(Cockpit!$I$6))),BV244)/BN244,0)*BN244</f>
        <v/>
      </c>
      <c r="AN244" s="56">
        <f>IF(AK244&gt;0,I244/AK244,-1)</f>
        <v/>
      </c>
      <c r="AO244" s="56">
        <f>IF(AND(OR(BR244="L1",BR244="L23"),AK244&gt;0),SUMIFS($AK$7:$AK$1570,$BR$7:$BR$1570,BR244,$AN$7:$AN$1570,"&gt;"&amp;AN244)+SUMIFS($AK$7:$AK$1570,$BR$7:$BR$1570,BR244,$AN$7:$AN$1570,AN244,$BL$7:$BL$1570,"&lt;="&amp;BL244),"")</f>
        <v/>
      </c>
      <c r="AP244" s="65">
        <f>IF(AO244="",0,MAX(0,MIN(1,(IF(BR244="L1",Parameter!$K$5,Parameter!$K$6+Parameter!$K$7)-(AO244-AK244))/AK244)))</f>
        <v/>
      </c>
      <c r="AQ244" s="55">
        <f>IF(LEFT(Cockpit!$O$5,1)="A",G244,IF(BT244=1,BU244,IF(LEFT(Cockpit!$O$5,1)="B",AU244,MAX(AU244,G244))))</f>
        <v/>
      </c>
      <c r="AR244" s="55">
        <f>IF(BO244=1,0,ROUNDUP(AQ244/BN244,0))</f>
        <v/>
      </c>
      <c r="AS244" s="64">
        <f>IF(BO244=1,IF(AQ244&lt;=0,0,BP244*MAX(1,IF(G244&gt;0,AQ244/G244,1))),AR244*Q244)</f>
        <v/>
      </c>
      <c r="AT244" s="55">
        <f>AQ244*F244</f>
        <v/>
      </c>
      <c r="AU244" s="55">
        <f>ROUNDUP(MAX(I244/IF(BS244&gt;0,BS244,MAX(0.1,N(Cockpit!$O$6))),BV244)/BN244,0)*BN244</f>
        <v/>
      </c>
      <c r="AV244" s="56">
        <f>IF(AS244&gt;0,I244/AS244,-1)</f>
        <v/>
      </c>
      <c r="AW244" s="56">
        <f>IF(AND(OR(BR244="L1",BR244="L23"),AS244&gt;0),SUMIFS($AS$7:$AS$1570,$BR$7:$BR$1570,BR244,$AV$7:$AV$1570,"&gt;"&amp;AV244)+SUMIFS($AS$7:$AS$1570,$BR$7:$BR$1570,BR244,$AV$7:$AV$1570,AV244,$BL$7:$BL$1570,"&lt;="&amp;BL244),"")</f>
        <v/>
      </c>
      <c r="AX244" s="65">
        <f>IF(AW244="",0,MAX(0,MIN(1,(IF(BR244="L1",Parameter!$K$5,Parameter!$K$6+Parameter!$K$7)-(AW244-AS244))/AS244)))</f>
        <v/>
      </c>
      <c r="AY244" s="53">
        <f>IF(AC244&lt;=0,"",IF(BR244="Aussen","Aussenlager",IF(BR244="-","Nicht im Lift",IF(AH244&gt;=1,"Lift",IF(AH244&lt;=0,"Aussenlager","teilweise")))))</f>
        <v/>
      </c>
      <c r="AZ244" s="53">
        <f>IF(AK244&lt;=0,"",IF(BR244="Aussen","Aussenlager",IF(BR244="-","Nicht im Lift",IF(AP244&gt;=1,"Lift",IF(AP244&lt;=0,"Aussenlager","teilweise")))))</f>
        <v/>
      </c>
      <c r="BA244" s="53">
        <f>IF(AS244&lt;=0,"",IF(BR244="Aussen","Aussenlager",IF(BR244="-","Nicht im Lift",IF(AX244&gt;=1,"Lift",IF(AX244&lt;=0,"Aussenlager","teilweise")))))</f>
        <v/>
      </c>
      <c r="BB244" s="53">
        <f>IF(A244="","",IF(BK244=1,"Neu; ","")&amp;IF(AND(BK244=0,BF244&lt;0),"negativer Bestand (Export "&amp;BF244&amp;"); ","")&amp;IF(I244&lt;=0,"Kein Verbrauch; ","")&amp;IF(BO244=1,"Lose – Fläche geschätzt; ","")&amp;IF(G244&gt;AM244,"Überbestand "&amp;ROUND(G244-AM244,0)&amp;" Stk / CHF "&amp;ROUND((G244-AM244)*F244,0)&amp;"; ","")&amp;IF(AND(BT244=1,BU244&lt;BV244),"MAX &lt; MB+LG; ","")&amp;IF(AND(BZ244&gt;0,BY244*10&gt;BZ244),"zu hoch für Tablar; ","")&amp;IF(AND(BK244=0,OR(BT244=1,V244&lt;&gt;"",S244&lt;&gt;"",T244&lt;&gt;"",W244&lt;&gt;"")),"manuell übersteuert; ","")&amp;IF(AND(BO244=0,Q244=0),"Gebinde unbekannt; ","")&amp;IF(AND(BO244=0,N(T244)&lt;=0,N(P244)&lt;=0),"Menge pro Gebinde fehlt (Ist = 1 Gebinde); ","")&amp;BJ244)</f>
        <v/>
      </c>
      <c r="BC244" s="53" t="n"/>
      <c r="BD244" s="53" t="n"/>
      <c r="BE244" s="61" t="n"/>
      <c r="BF244" s="55" t="n">
        <v>663</v>
      </c>
      <c r="BG244" s="55" t="n">
        <v>371</v>
      </c>
      <c r="BH244" s="54" t="n">
        <v>540.6599999999989</v>
      </c>
      <c r="BI244" s="55" t="n">
        <v>1638</v>
      </c>
      <c r="BJ244" s="53" t="inlineStr"/>
      <c r="BK244" s="58" t="n">
        <v>0</v>
      </c>
      <c r="BL244" s="58" t="n">
        <v>244</v>
      </c>
      <c r="BM244" s="53">
        <f>IF(S244&lt;&gt;"",UPPER(TRIM(S244)),IF(O244="","LOSE",O244))</f>
        <v/>
      </c>
      <c r="BN244" s="55">
        <f>IF(BM244="LOSE",1,IF(N(T244)&gt;0,T244,IF(N(P244)&gt;0,P244,MAX(1,G244))))</f>
        <v/>
      </c>
      <c r="BO244" s="58">
        <f>IF(BM244="LOSE",1,0)</f>
        <v/>
      </c>
      <c r="BP244" s="64">
        <f>IF(BO244=0,0,IF(N(R244)&gt;0,R244,IFERROR(VLOOKUP(D244,Parameter!$A$35:$C$64,3,0)+0,0)))</f>
        <v/>
      </c>
      <c r="BQ244" s="53">
        <f>IF(V244&lt;&gt;"",V244,U244)</f>
        <v/>
      </c>
      <c r="BR244" s="53">
        <f>IF(BQ244=1,"L1",IF(OR(BQ244=2,BQ244=3),"L23",IF(BQ244="Aussen","Aussen","-")))</f>
        <v/>
      </c>
      <c r="BS244" s="66">
        <f>IF(N(W244)&gt;0,W244,0)</f>
        <v/>
      </c>
      <c r="BT244" s="58">
        <f>IF(ISNUMBER(Z244),1,0)</f>
        <v/>
      </c>
      <c r="BU244" s="55">
        <f>N(Z244)</f>
        <v/>
      </c>
      <c r="BV244" s="55">
        <f>N(L244)+N(M244)</f>
        <v/>
      </c>
      <c r="BW244" s="55">
        <f>ROUNDUP(G244/BN244,0)</f>
        <v/>
      </c>
      <c r="BX244" s="55">
        <f>ROUNDUP(BU244/BN244,0)</f>
        <v/>
      </c>
      <c r="BY244" s="58">
        <f>IF(BO244=1,0,IFERROR(VLOOKUP(BM244,'Gebinde-Kategorie'!$A$5:$G$45,5,0)+0,0))</f>
        <v/>
      </c>
      <c r="BZ244" s="58">
        <f>IFERROR(IF(OR(BQ244=1,BQ244=2,BQ244=3),N(INDEX(Parameter!$I$5:$I$7,BQ244)),0),0)</f>
        <v/>
      </c>
    </row>
    <row r="245">
      <c r="A245" s="53" t="inlineStr">
        <is>
          <t>106949</t>
        </is>
      </c>
      <c r="B245" s="53" t="inlineStr">
        <is>
          <t>Busmodul für Safe I/O-Module</t>
        </is>
      </c>
      <c r="C245" s="53" t="inlineStr">
        <is>
          <t>F</t>
        </is>
      </c>
      <c r="D245" s="53" t="inlineStr">
        <is>
          <t>KTL</t>
        </is>
      </c>
      <c r="E245" s="53" t="inlineStr">
        <is>
          <t>C</t>
        </is>
      </c>
      <c r="F245" s="54" t="n">
        <v>44.7</v>
      </c>
      <c r="G245" s="55">
        <f>MAX(0,IF(Parameter!$B$20="Jahresanfang 2025 + Export",BG245+BF245,BF245))</f>
        <v/>
      </c>
      <c r="H245" s="55">
        <f>G245*F245</f>
        <v/>
      </c>
      <c r="I245" s="55">
        <f>BI245*Parameter!$B$18</f>
        <v/>
      </c>
      <c r="J245" s="56" t="n">
        <v>49</v>
      </c>
      <c r="K245" s="57" t="n">
        <v>0.02040816326530612</v>
      </c>
      <c r="L245" s="55" t="n">
        <v>0</v>
      </c>
      <c r="M245" s="55" t="n">
        <v>1</v>
      </c>
      <c r="N245" s="58" t="n">
        <v>63</v>
      </c>
      <c r="O245" s="53" t="inlineStr">
        <is>
          <t>S62</t>
        </is>
      </c>
      <c r="P245" s="55" t="n">
        <v>50</v>
      </c>
      <c r="Q245" s="59">
        <f>IF(BO245=1,0,IFERROR(VLOOKUP(BM245,'Gebinde-Kategorie'!$A$5:$G$45,6,0)+0,0))</f>
        <v/>
      </c>
      <c r="R245" s="60" t="n"/>
      <c r="S245" s="61" t="n"/>
      <c r="T245" s="61" t="n"/>
      <c r="U245" s="53">
        <f>IF(A245="","",IF(IFERROR(VLOOKUP(D245,Parameter!$A$35:$C$64,2,0),"Nein")="2+3",IF(ISNUMBER(SEARCH("grosser Artikel",BJ245)),2,IFERROR(VLOOKUP(BM245,Parameter!$F$35:$G$64,2,0),2)),IF(OR(IFERROR(VLOOKUP(D245,Parameter!$A$35:$C$64,2,0),"Nein")="Nein",IFERROR(VLOOKUP(D245,Parameter!$A$35:$C$64,2,0),"Nein")=""),"-",VLOOKUP(D245,Parameter!$A$35:$C$64,2,0))))</f>
        <v/>
      </c>
      <c r="V245" s="61" t="n"/>
      <c r="W245" s="62" t="n"/>
      <c r="X245" s="55">
        <f>AM245</f>
        <v/>
      </c>
      <c r="Y245" s="55">
        <f>MAX(AM245,G245)</f>
        <v/>
      </c>
      <c r="Z245" s="63" t="n"/>
      <c r="AA245" s="55">
        <f>IF(LEFT(Cockpit!$C$5,1)="A",G245,IF(BT245=1,BU245,IF(LEFT(Cockpit!$C$5,1)="B",AE245,MAX(AE245,G245))))</f>
        <v/>
      </c>
      <c r="AB245" s="55">
        <f>IF(BO245=1,0,ROUNDUP(AA245/BN245,0))</f>
        <v/>
      </c>
      <c r="AC245" s="64">
        <f>IF(BO245=1,IF(AA245&lt;=0,0,BP245*MAX(1,IF(G245&gt;0,AA245/G245,1))),AB245*Q245)</f>
        <v/>
      </c>
      <c r="AD245" s="55">
        <f>AA245*F245</f>
        <v/>
      </c>
      <c r="AE245" s="55">
        <f>ROUNDUP(MAX(I245/IF(BS245&gt;0,BS245,MAX(0.1,N(Cockpit!$C$6))),BV245)/BN245,0)*BN245</f>
        <v/>
      </c>
      <c r="AF245" s="56">
        <f>IF(AC245&gt;0,I245/AC245,-1)</f>
        <v/>
      </c>
      <c r="AG245" s="56">
        <f>IF(AND(OR(BR245="L1",BR245="L23"),AC245&gt;0),SUMIFS($AC$7:$AC$1570,$BR$7:$BR$1570,BR245,$AF$7:$AF$1570,"&gt;"&amp;AF245)+SUMIFS($AC$7:$AC$1570,$BR$7:$BR$1570,BR245,$AF$7:$AF$1570,AF245,$BL$7:$BL$1570,"&lt;="&amp;BL245),"")</f>
        <v/>
      </c>
      <c r="AH245" s="65">
        <f>IF(AG245="",0,MAX(0,MIN(1,(IF(BR245="L1",Parameter!$K$5,Parameter!$K$6+Parameter!$K$7)-(AG245-AC245))/AC245)))</f>
        <v/>
      </c>
      <c r="AI245" s="55">
        <f>IF(LEFT(Cockpit!$I$5,1)="A",G245,IF(BT245=1,BU245,IF(LEFT(Cockpit!$I$5,1)="B",AM245,MAX(AM245,G245))))</f>
        <v/>
      </c>
      <c r="AJ245" s="55">
        <f>IF(BO245=1,0,ROUNDUP(AI245/BN245,0))</f>
        <v/>
      </c>
      <c r="AK245" s="64">
        <f>IF(BO245=1,IF(AI245&lt;=0,0,BP245*MAX(1,IF(G245&gt;0,AI245/G245,1))),AJ245*Q245)</f>
        <v/>
      </c>
      <c r="AL245" s="55">
        <f>AI245*F245</f>
        <v/>
      </c>
      <c r="AM245" s="55">
        <f>ROUNDUP(MAX(I245/IF(BS245&gt;0,BS245,MAX(0.1,N(Cockpit!$I$6))),BV245)/BN245,0)*BN245</f>
        <v/>
      </c>
      <c r="AN245" s="56">
        <f>IF(AK245&gt;0,I245/AK245,-1)</f>
        <v/>
      </c>
      <c r="AO245" s="56">
        <f>IF(AND(OR(BR245="L1",BR245="L23"),AK245&gt;0),SUMIFS($AK$7:$AK$1570,$BR$7:$BR$1570,BR245,$AN$7:$AN$1570,"&gt;"&amp;AN245)+SUMIFS($AK$7:$AK$1570,$BR$7:$BR$1570,BR245,$AN$7:$AN$1570,AN245,$BL$7:$BL$1570,"&lt;="&amp;BL245),"")</f>
        <v/>
      </c>
      <c r="AP245" s="65">
        <f>IF(AO245="",0,MAX(0,MIN(1,(IF(BR245="L1",Parameter!$K$5,Parameter!$K$6+Parameter!$K$7)-(AO245-AK245))/AK245)))</f>
        <v/>
      </c>
      <c r="AQ245" s="55">
        <f>IF(LEFT(Cockpit!$O$5,1)="A",G245,IF(BT245=1,BU245,IF(LEFT(Cockpit!$O$5,1)="B",AU245,MAX(AU245,G245))))</f>
        <v/>
      </c>
      <c r="AR245" s="55">
        <f>IF(BO245=1,0,ROUNDUP(AQ245/BN245,0))</f>
        <v/>
      </c>
      <c r="AS245" s="64">
        <f>IF(BO245=1,IF(AQ245&lt;=0,0,BP245*MAX(1,IF(G245&gt;0,AQ245/G245,1))),AR245*Q245)</f>
        <v/>
      </c>
      <c r="AT245" s="55">
        <f>AQ245*F245</f>
        <v/>
      </c>
      <c r="AU245" s="55">
        <f>ROUNDUP(MAX(I245/IF(BS245&gt;0,BS245,MAX(0.1,N(Cockpit!$O$6))),BV245)/BN245,0)*BN245</f>
        <v/>
      </c>
      <c r="AV245" s="56">
        <f>IF(AS245&gt;0,I245/AS245,-1)</f>
        <v/>
      </c>
      <c r="AW245" s="56">
        <f>IF(AND(OR(BR245="L1",BR245="L23"),AS245&gt;0),SUMIFS($AS$7:$AS$1570,$BR$7:$BR$1570,BR245,$AV$7:$AV$1570,"&gt;"&amp;AV245)+SUMIFS($AS$7:$AS$1570,$BR$7:$BR$1570,BR245,$AV$7:$AV$1570,AV245,$BL$7:$BL$1570,"&lt;="&amp;BL245),"")</f>
        <v/>
      </c>
      <c r="AX245" s="65">
        <f>IF(AW245="",0,MAX(0,MIN(1,(IF(BR245="L1",Parameter!$K$5,Parameter!$K$6+Parameter!$K$7)-(AW245-AS245))/AS245)))</f>
        <v/>
      </c>
      <c r="AY245" s="53">
        <f>IF(AC245&lt;=0,"",IF(BR245="Aussen","Aussenlager",IF(BR245="-","Nicht im Lift",IF(AH245&gt;=1,"Lift",IF(AH245&lt;=0,"Aussenlager","teilweise")))))</f>
        <v/>
      </c>
      <c r="AZ245" s="53">
        <f>IF(AK245&lt;=0,"",IF(BR245="Aussen","Aussenlager",IF(BR245="-","Nicht im Lift",IF(AP245&gt;=1,"Lift",IF(AP245&lt;=0,"Aussenlager","teilweise")))))</f>
        <v/>
      </c>
      <c r="BA245" s="53">
        <f>IF(AS245&lt;=0,"",IF(BR245="Aussen","Aussenlager",IF(BR245="-","Nicht im Lift",IF(AX245&gt;=1,"Lift",IF(AX245&lt;=0,"Aussenlager","teilweise")))))</f>
        <v/>
      </c>
      <c r="BB245" s="53">
        <f>IF(A245="","",IF(BK245=1,"Neu; ","")&amp;IF(AND(BK245=0,BF245&lt;0),"negativer Bestand (Export "&amp;BF245&amp;"); ","")&amp;IF(I245&lt;=0,"Kein Verbrauch; ","")&amp;IF(BO245=1,"Lose – Fläche geschätzt; ","")&amp;IF(G245&gt;AM245,"Überbestand "&amp;ROUND(G245-AM245,0)&amp;" Stk / CHF "&amp;ROUND((G245-AM245)*F245,0)&amp;"; ","")&amp;IF(AND(BT245=1,BU245&lt;BV245),"MAX &lt; MB+LG; ","")&amp;IF(AND(BZ245&gt;0,BY245*10&gt;BZ245),"zu hoch für Tablar; ","")&amp;IF(AND(BK245=0,OR(BT245=1,V245&lt;&gt;"",S245&lt;&gt;"",T245&lt;&gt;"",W245&lt;&gt;"")),"manuell übersteuert; ","")&amp;IF(AND(BO245=0,Q245=0),"Gebinde unbekannt; ","")&amp;IF(AND(BO245=0,N(T245)&lt;=0,N(P245)&lt;=0),"Menge pro Gebinde fehlt (Ist = 1 Gebinde); ","")&amp;BJ245)</f>
        <v/>
      </c>
      <c r="BC245" s="53" t="n"/>
      <c r="BD245" s="53" t="n"/>
      <c r="BE245" s="61" t="n"/>
      <c r="BF245" s="55" t="n">
        <v>16</v>
      </c>
      <c r="BG245" s="55" t="n">
        <v>49</v>
      </c>
      <c r="BH245" s="54" t="n">
        <v>529.74</v>
      </c>
      <c r="BI245" s="55" t="n">
        <v>1</v>
      </c>
      <c r="BJ245" s="53" t="inlineStr"/>
      <c r="BK245" s="58" t="n">
        <v>0</v>
      </c>
      <c r="BL245" s="58" t="n">
        <v>245</v>
      </c>
      <c r="BM245" s="53">
        <f>IF(S245&lt;&gt;"",UPPER(TRIM(S245)),IF(O245="","LOSE",O245))</f>
        <v/>
      </c>
      <c r="BN245" s="55">
        <f>IF(BM245="LOSE",1,IF(N(T245)&gt;0,T245,IF(N(P245)&gt;0,P245,MAX(1,G245))))</f>
        <v/>
      </c>
      <c r="BO245" s="58">
        <f>IF(BM245="LOSE",1,0)</f>
        <v/>
      </c>
      <c r="BP245" s="64">
        <f>IF(BO245=0,0,IF(N(R245)&gt;0,R245,IFERROR(VLOOKUP(D245,Parameter!$A$35:$C$64,3,0)+0,0)))</f>
        <v/>
      </c>
      <c r="BQ245" s="53">
        <f>IF(V245&lt;&gt;"",V245,U245)</f>
        <v/>
      </c>
      <c r="BR245" s="53">
        <f>IF(BQ245=1,"L1",IF(OR(BQ245=2,BQ245=3),"L23",IF(BQ245="Aussen","Aussen","-")))</f>
        <v/>
      </c>
      <c r="BS245" s="66">
        <f>IF(N(W245)&gt;0,W245,0)</f>
        <v/>
      </c>
      <c r="BT245" s="58">
        <f>IF(ISNUMBER(Z245),1,0)</f>
        <v/>
      </c>
      <c r="BU245" s="55">
        <f>N(Z245)</f>
        <v/>
      </c>
      <c r="BV245" s="55">
        <f>N(L245)+N(M245)</f>
        <v/>
      </c>
      <c r="BW245" s="55">
        <f>ROUNDUP(G245/BN245,0)</f>
        <v/>
      </c>
      <c r="BX245" s="55">
        <f>ROUNDUP(BU245/BN245,0)</f>
        <v/>
      </c>
      <c r="BY245" s="58">
        <f>IF(BO245=1,0,IFERROR(VLOOKUP(BM245,'Gebinde-Kategorie'!$A$5:$G$45,5,0)+0,0))</f>
        <v/>
      </c>
      <c r="BZ245" s="58">
        <f>IFERROR(IF(OR(BQ245=1,BQ245=2,BQ245=3),N(INDEX(Parameter!$I$5:$I$7,BQ245)),0),0)</f>
        <v/>
      </c>
    </row>
    <row r="246">
      <c r="A246" s="53" t="inlineStr">
        <is>
          <t>101829</t>
        </is>
      </c>
      <c r="B246" s="53" t="inlineStr">
        <is>
          <t>Rohr</t>
        </is>
      </c>
      <c r="C246" s="53" t="inlineStr">
        <is>
          <t>F</t>
        </is>
      </c>
      <c r="D246" s="53" t="inlineStr">
        <is>
          <t>PAL</t>
        </is>
      </c>
      <c r="E246" s="53" t="inlineStr">
        <is>
          <t>C</t>
        </is>
      </c>
      <c r="F246" s="54" t="n">
        <v>520</v>
      </c>
      <c r="G246" s="55">
        <f>MAX(0,IF(Parameter!$B$20="Jahresanfang 2025 + Export",BG246+BF246,BF246))</f>
        <v/>
      </c>
      <c r="H246" s="55">
        <f>G246*F246</f>
        <v/>
      </c>
      <c r="I246" s="55">
        <f>BI246*Parameter!$B$18</f>
        <v/>
      </c>
      <c r="J246" s="56" t="n">
        <v>0.5</v>
      </c>
      <c r="K246" s="57" t="n">
        <v>2</v>
      </c>
      <c r="L246" s="55" t="n">
        <v>0</v>
      </c>
      <c r="M246" s="55" t="n">
        <v>1</v>
      </c>
      <c r="N246" s="58" t="n">
        <v>28</v>
      </c>
      <c r="O246" s="53" t="inlineStr">
        <is>
          <t>LOSE</t>
        </is>
      </c>
      <c r="P246" s="55" t="n"/>
      <c r="Q246" s="59">
        <f>IF(BO246=1,0,IFERROR(VLOOKUP(BM246,'Gebinde-Kategorie'!$A$5:$G$45,6,0)+0,0))</f>
        <v/>
      </c>
      <c r="R246" s="60" t="n"/>
      <c r="S246" s="61" t="n"/>
      <c r="T246" s="61" t="n"/>
      <c r="U246" s="53">
        <f>IF(A246="","",IF(IFERROR(VLOOKUP(D246,Parameter!$A$35:$C$64,2,0),"Nein")="2+3",IF(ISNUMBER(SEARCH("grosser Artikel",BJ246)),2,IFERROR(VLOOKUP(BM246,Parameter!$F$35:$G$64,2,0),2)),IF(OR(IFERROR(VLOOKUP(D246,Parameter!$A$35:$C$64,2,0),"Nein")="Nein",IFERROR(VLOOKUP(D246,Parameter!$A$35:$C$64,2,0),"Nein")=""),"-",VLOOKUP(D246,Parameter!$A$35:$C$64,2,0))))</f>
        <v/>
      </c>
      <c r="V246" s="61" t="n"/>
      <c r="W246" s="62" t="n"/>
      <c r="X246" s="55">
        <f>AM246</f>
        <v/>
      </c>
      <c r="Y246" s="55">
        <f>MAX(AM246,G246)</f>
        <v/>
      </c>
      <c r="Z246" s="63" t="n"/>
      <c r="AA246" s="55">
        <f>IF(LEFT(Cockpit!$C$5,1)="A",G246,IF(BT246=1,BU246,IF(LEFT(Cockpit!$C$5,1)="B",AE246,MAX(AE246,G246))))</f>
        <v/>
      </c>
      <c r="AB246" s="55">
        <f>IF(BO246=1,0,ROUNDUP(AA246/BN246,0))</f>
        <v/>
      </c>
      <c r="AC246" s="64">
        <f>IF(BO246=1,IF(AA246&lt;=0,0,BP246*MAX(1,IF(G246&gt;0,AA246/G246,1))),AB246*Q246)</f>
        <v/>
      </c>
      <c r="AD246" s="55">
        <f>AA246*F246</f>
        <v/>
      </c>
      <c r="AE246" s="55">
        <f>ROUNDUP(MAX(I246/IF(BS246&gt;0,BS246,MAX(0.1,N(Cockpit!$C$6))),BV246)/BN246,0)*BN246</f>
        <v/>
      </c>
      <c r="AF246" s="56">
        <f>IF(AC246&gt;0,I246/AC246,-1)</f>
        <v/>
      </c>
      <c r="AG246" s="56">
        <f>IF(AND(OR(BR246="L1",BR246="L23"),AC246&gt;0),SUMIFS($AC$7:$AC$1570,$BR$7:$BR$1570,BR246,$AF$7:$AF$1570,"&gt;"&amp;AF246)+SUMIFS($AC$7:$AC$1570,$BR$7:$BR$1570,BR246,$AF$7:$AF$1570,AF246,$BL$7:$BL$1570,"&lt;="&amp;BL246),"")</f>
        <v/>
      </c>
      <c r="AH246" s="65">
        <f>IF(AG246="",0,MAX(0,MIN(1,(IF(BR246="L1",Parameter!$K$5,Parameter!$K$6+Parameter!$K$7)-(AG246-AC246))/AC246)))</f>
        <v/>
      </c>
      <c r="AI246" s="55">
        <f>IF(LEFT(Cockpit!$I$5,1)="A",G246,IF(BT246=1,BU246,IF(LEFT(Cockpit!$I$5,1)="B",AM246,MAX(AM246,G246))))</f>
        <v/>
      </c>
      <c r="AJ246" s="55">
        <f>IF(BO246=1,0,ROUNDUP(AI246/BN246,0))</f>
        <v/>
      </c>
      <c r="AK246" s="64">
        <f>IF(BO246=1,IF(AI246&lt;=0,0,BP246*MAX(1,IF(G246&gt;0,AI246/G246,1))),AJ246*Q246)</f>
        <v/>
      </c>
      <c r="AL246" s="55">
        <f>AI246*F246</f>
        <v/>
      </c>
      <c r="AM246" s="55">
        <f>ROUNDUP(MAX(I246/IF(BS246&gt;0,BS246,MAX(0.1,N(Cockpit!$I$6))),BV246)/BN246,0)*BN246</f>
        <v/>
      </c>
      <c r="AN246" s="56">
        <f>IF(AK246&gt;0,I246/AK246,-1)</f>
        <v/>
      </c>
      <c r="AO246" s="56">
        <f>IF(AND(OR(BR246="L1",BR246="L23"),AK246&gt;0),SUMIFS($AK$7:$AK$1570,$BR$7:$BR$1570,BR246,$AN$7:$AN$1570,"&gt;"&amp;AN246)+SUMIFS($AK$7:$AK$1570,$BR$7:$BR$1570,BR246,$AN$7:$AN$1570,AN246,$BL$7:$BL$1570,"&lt;="&amp;BL246),"")</f>
        <v/>
      </c>
      <c r="AP246" s="65">
        <f>IF(AO246="",0,MAX(0,MIN(1,(IF(BR246="L1",Parameter!$K$5,Parameter!$K$6+Parameter!$K$7)-(AO246-AK246))/AK246)))</f>
        <v/>
      </c>
      <c r="AQ246" s="55">
        <f>IF(LEFT(Cockpit!$O$5,1)="A",G246,IF(BT246=1,BU246,IF(LEFT(Cockpit!$O$5,1)="B",AU246,MAX(AU246,G246))))</f>
        <v/>
      </c>
      <c r="AR246" s="55">
        <f>IF(BO246=1,0,ROUNDUP(AQ246/BN246,0))</f>
        <v/>
      </c>
      <c r="AS246" s="64">
        <f>IF(BO246=1,IF(AQ246&lt;=0,0,BP246*MAX(1,IF(G246&gt;0,AQ246/G246,1))),AR246*Q246)</f>
        <v/>
      </c>
      <c r="AT246" s="55">
        <f>AQ246*F246</f>
        <v/>
      </c>
      <c r="AU246" s="55">
        <f>ROUNDUP(MAX(I246/IF(BS246&gt;0,BS246,MAX(0.1,N(Cockpit!$O$6))),BV246)/BN246,0)*BN246</f>
        <v/>
      </c>
      <c r="AV246" s="56">
        <f>IF(AS246&gt;0,I246/AS246,-1)</f>
        <v/>
      </c>
      <c r="AW246" s="56">
        <f>IF(AND(OR(BR246="L1",BR246="L23"),AS246&gt;0),SUMIFS($AS$7:$AS$1570,$BR$7:$BR$1570,BR246,$AV$7:$AV$1570,"&gt;"&amp;AV246)+SUMIFS($AS$7:$AS$1570,$BR$7:$BR$1570,BR246,$AV$7:$AV$1570,AV246,$BL$7:$BL$1570,"&lt;="&amp;BL246),"")</f>
        <v/>
      </c>
      <c r="AX246" s="65">
        <f>IF(AW246="",0,MAX(0,MIN(1,(IF(BR246="L1",Parameter!$K$5,Parameter!$K$6+Parameter!$K$7)-(AW246-AS246))/AS246)))</f>
        <v/>
      </c>
      <c r="AY246" s="53">
        <f>IF(AC246&lt;=0,"",IF(BR246="Aussen","Aussenlager",IF(BR246="-","Nicht im Lift",IF(AH246&gt;=1,"Lift",IF(AH246&lt;=0,"Aussenlager","teilweise")))))</f>
        <v/>
      </c>
      <c r="AZ246" s="53">
        <f>IF(AK246&lt;=0,"",IF(BR246="Aussen","Aussenlager",IF(BR246="-","Nicht im Lift",IF(AP246&gt;=1,"Lift",IF(AP246&lt;=0,"Aussenlager","teilweise")))))</f>
        <v/>
      </c>
      <c r="BA246" s="53">
        <f>IF(AS246&lt;=0,"",IF(BR246="Aussen","Aussenlager",IF(BR246="-","Nicht im Lift",IF(AX246&gt;=1,"Lift",IF(AX246&lt;=0,"Aussenlager","teilweise")))))</f>
        <v/>
      </c>
      <c r="BB246" s="53">
        <f>IF(A246="","",IF(BK246=1,"Neu; ","")&amp;IF(AND(BK246=0,BF246&lt;0),"negativer Bestand (Export "&amp;BF246&amp;"); ","")&amp;IF(I246&lt;=0,"Kein Verbrauch; ","")&amp;IF(BO246=1,"Lose – Fläche geschätzt; ","")&amp;IF(G246&gt;AM246,"Überbestand "&amp;ROUND(G246-AM246,0)&amp;" Stk / CHF "&amp;ROUND((G246-AM246)*F246,0)&amp;"; ","")&amp;IF(AND(BT246=1,BU246&lt;BV246),"MAX &lt; MB+LG; ","")&amp;IF(AND(BZ246&gt;0,BY246*10&gt;BZ246),"zu hoch für Tablar; ","")&amp;IF(AND(BK246=0,OR(BT246=1,V246&lt;&gt;"",S246&lt;&gt;"",T246&lt;&gt;"",W246&lt;&gt;"")),"manuell übersteuert; ","")&amp;IF(AND(BO246=0,Q246=0),"Gebinde unbekannt; ","")&amp;IF(AND(BO246=0,N(T246)&lt;=0,N(P246)&lt;=0),"Menge pro Gebinde fehlt (Ist = 1 Gebinde); ","")&amp;BJ246)</f>
        <v/>
      </c>
      <c r="BC246" s="53" t="n"/>
      <c r="BD246" s="53" t="n"/>
      <c r="BE246" s="61" t="n"/>
      <c r="BF246" s="55" t="n">
        <v>1</v>
      </c>
      <c r="BG246" s="55" t="n">
        <v>0</v>
      </c>
      <c r="BH246" s="54" t="n">
        <v>520</v>
      </c>
      <c r="BI246" s="55" t="n">
        <v>1</v>
      </c>
      <c r="BJ246" s="53" t="inlineStr"/>
      <c r="BK246" s="58" t="n">
        <v>0</v>
      </c>
      <c r="BL246" s="58" t="n">
        <v>246</v>
      </c>
      <c r="BM246" s="53">
        <f>IF(S246&lt;&gt;"",UPPER(TRIM(S246)),IF(O246="","LOSE",O246))</f>
        <v/>
      </c>
      <c r="BN246" s="55">
        <f>IF(BM246="LOSE",1,IF(N(T246)&gt;0,T246,IF(N(P246)&gt;0,P246,MAX(1,G246))))</f>
        <v/>
      </c>
      <c r="BO246" s="58">
        <f>IF(BM246="LOSE",1,0)</f>
        <v/>
      </c>
      <c r="BP246" s="64">
        <f>IF(BO246=0,0,IF(N(R246)&gt;0,R246,IFERROR(VLOOKUP(D246,Parameter!$A$35:$C$64,3,0)+0,0)))</f>
        <v/>
      </c>
      <c r="BQ246" s="53">
        <f>IF(V246&lt;&gt;"",V246,U246)</f>
        <v/>
      </c>
      <c r="BR246" s="53">
        <f>IF(BQ246=1,"L1",IF(OR(BQ246=2,BQ246=3),"L23",IF(BQ246="Aussen","Aussen","-")))</f>
        <v/>
      </c>
      <c r="BS246" s="66">
        <f>IF(N(W246)&gt;0,W246,0)</f>
        <v/>
      </c>
      <c r="BT246" s="58">
        <f>IF(ISNUMBER(Z246),1,0)</f>
        <v/>
      </c>
      <c r="BU246" s="55">
        <f>N(Z246)</f>
        <v/>
      </c>
      <c r="BV246" s="55">
        <f>N(L246)+N(M246)</f>
        <v/>
      </c>
      <c r="BW246" s="55">
        <f>ROUNDUP(G246/BN246,0)</f>
        <v/>
      </c>
      <c r="BX246" s="55">
        <f>ROUNDUP(BU246/BN246,0)</f>
        <v/>
      </c>
      <c r="BY246" s="58">
        <f>IF(BO246=1,0,IFERROR(VLOOKUP(BM246,'Gebinde-Kategorie'!$A$5:$G$45,5,0)+0,0))</f>
        <v/>
      </c>
      <c r="BZ246" s="58">
        <f>IFERROR(IF(OR(BQ246=1,BQ246=2,BQ246=3),N(INDEX(Parameter!$I$5:$I$7,BQ246)),0),0)</f>
        <v/>
      </c>
    </row>
    <row r="247">
      <c r="A247" s="53" t="inlineStr">
        <is>
          <t>105244</t>
        </is>
      </c>
      <c r="B247" s="53" t="inlineStr">
        <is>
          <t>Huelse</t>
        </is>
      </c>
      <c r="C247" s="53" t="inlineStr">
        <is>
          <t>F</t>
        </is>
      </c>
      <c r="D247" s="53" t="inlineStr">
        <is>
          <t>KTL</t>
        </is>
      </c>
      <c r="E247" s="53" t="inlineStr">
        <is>
          <t>C</t>
        </is>
      </c>
      <c r="F247" s="54" t="n">
        <v>37</v>
      </c>
      <c r="G247" s="55">
        <f>MAX(0,IF(Parameter!$B$20="Jahresanfang 2025 + Export",BG247+BF247,BF247))</f>
        <v/>
      </c>
      <c r="H247" s="55">
        <f>G247*F247</f>
        <v/>
      </c>
      <c r="I247" s="55">
        <f>BI247*Parameter!$B$18</f>
        <v/>
      </c>
      <c r="J247" s="56" t="n">
        <v>7</v>
      </c>
      <c r="K247" s="57" t="n">
        <v>0.1428571428571428</v>
      </c>
      <c r="L247" s="55" t="n">
        <v>0</v>
      </c>
      <c r="M247" s="55" t="n">
        <v>1</v>
      </c>
      <c r="N247" s="58" t="n">
        <v>35</v>
      </c>
      <c r="O247" s="53" t="inlineStr">
        <is>
          <t>S22</t>
        </is>
      </c>
      <c r="P247" s="55" t="n">
        <v>8</v>
      </c>
      <c r="Q247" s="59">
        <f>IF(BO247=1,0,IFERROR(VLOOKUP(BM247,'Gebinde-Kategorie'!$A$5:$G$45,6,0)+0,0))</f>
        <v/>
      </c>
      <c r="R247" s="60" t="n"/>
      <c r="S247" s="61" t="n"/>
      <c r="T247" s="61" t="n"/>
      <c r="U247" s="53">
        <f>IF(A247="","",IF(IFERROR(VLOOKUP(D247,Parameter!$A$35:$C$64,2,0),"Nein")="2+3",IF(ISNUMBER(SEARCH("grosser Artikel",BJ247)),2,IFERROR(VLOOKUP(BM247,Parameter!$F$35:$G$64,2,0),2)),IF(OR(IFERROR(VLOOKUP(D247,Parameter!$A$35:$C$64,2,0),"Nein")="Nein",IFERROR(VLOOKUP(D247,Parameter!$A$35:$C$64,2,0),"Nein")=""),"-",VLOOKUP(D247,Parameter!$A$35:$C$64,2,0))))</f>
        <v/>
      </c>
      <c r="V247" s="61" t="n"/>
      <c r="W247" s="62" t="n"/>
      <c r="X247" s="55">
        <f>AM247</f>
        <v/>
      </c>
      <c r="Y247" s="55">
        <f>MAX(AM247,G247)</f>
        <v/>
      </c>
      <c r="Z247" s="63" t="n"/>
      <c r="AA247" s="55">
        <f>IF(LEFT(Cockpit!$C$5,1)="A",G247,IF(BT247=1,BU247,IF(LEFT(Cockpit!$C$5,1)="B",AE247,MAX(AE247,G247))))</f>
        <v/>
      </c>
      <c r="AB247" s="55">
        <f>IF(BO247=1,0,ROUNDUP(AA247/BN247,0))</f>
        <v/>
      </c>
      <c r="AC247" s="64">
        <f>IF(BO247=1,IF(AA247&lt;=0,0,BP247*MAX(1,IF(G247&gt;0,AA247/G247,1))),AB247*Q247)</f>
        <v/>
      </c>
      <c r="AD247" s="55">
        <f>AA247*F247</f>
        <v/>
      </c>
      <c r="AE247" s="55">
        <f>ROUNDUP(MAX(I247/IF(BS247&gt;0,BS247,MAX(0.1,N(Cockpit!$C$6))),BV247)/BN247,0)*BN247</f>
        <v/>
      </c>
      <c r="AF247" s="56">
        <f>IF(AC247&gt;0,I247/AC247,-1)</f>
        <v/>
      </c>
      <c r="AG247" s="56">
        <f>IF(AND(OR(BR247="L1",BR247="L23"),AC247&gt;0),SUMIFS($AC$7:$AC$1570,$BR$7:$BR$1570,BR247,$AF$7:$AF$1570,"&gt;"&amp;AF247)+SUMIFS($AC$7:$AC$1570,$BR$7:$BR$1570,BR247,$AF$7:$AF$1570,AF247,$BL$7:$BL$1570,"&lt;="&amp;BL247),"")</f>
        <v/>
      </c>
      <c r="AH247" s="65">
        <f>IF(AG247="",0,MAX(0,MIN(1,(IF(BR247="L1",Parameter!$K$5,Parameter!$K$6+Parameter!$K$7)-(AG247-AC247))/AC247)))</f>
        <v/>
      </c>
      <c r="AI247" s="55">
        <f>IF(LEFT(Cockpit!$I$5,1)="A",G247,IF(BT247=1,BU247,IF(LEFT(Cockpit!$I$5,1)="B",AM247,MAX(AM247,G247))))</f>
        <v/>
      </c>
      <c r="AJ247" s="55">
        <f>IF(BO247=1,0,ROUNDUP(AI247/BN247,0))</f>
        <v/>
      </c>
      <c r="AK247" s="64">
        <f>IF(BO247=1,IF(AI247&lt;=0,0,BP247*MAX(1,IF(G247&gt;0,AI247/G247,1))),AJ247*Q247)</f>
        <v/>
      </c>
      <c r="AL247" s="55">
        <f>AI247*F247</f>
        <v/>
      </c>
      <c r="AM247" s="55">
        <f>ROUNDUP(MAX(I247/IF(BS247&gt;0,BS247,MAX(0.1,N(Cockpit!$I$6))),BV247)/BN247,0)*BN247</f>
        <v/>
      </c>
      <c r="AN247" s="56">
        <f>IF(AK247&gt;0,I247/AK247,-1)</f>
        <v/>
      </c>
      <c r="AO247" s="56">
        <f>IF(AND(OR(BR247="L1",BR247="L23"),AK247&gt;0),SUMIFS($AK$7:$AK$1570,$BR$7:$BR$1570,BR247,$AN$7:$AN$1570,"&gt;"&amp;AN247)+SUMIFS($AK$7:$AK$1570,$BR$7:$BR$1570,BR247,$AN$7:$AN$1570,AN247,$BL$7:$BL$1570,"&lt;="&amp;BL247),"")</f>
        <v/>
      </c>
      <c r="AP247" s="65">
        <f>IF(AO247="",0,MAX(0,MIN(1,(IF(BR247="L1",Parameter!$K$5,Parameter!$K$6+Parameter!$K$7)-(AO247-AK247))/AK247)))</f>
        <v/>
      </c>
      <c r="AQ247" s="55">
        <f>IF(LEFT(Cockpit!$O$5,1)="A",G247,IF(BT247=1,BU247,IF(LEFT(Cockpit!$O$5,1)="B",AU247,MAX(AU247,G247))))</f>
        <v/>
      </c>
      <c r="AR247" s="55">
        <f>IF(BO247=1,0,ROUNDUP(AQ247/BN247,0))</f>
        <v/>
      </c>
      <c r="AS247" s="64">
        <f>IF(BO247=1,IF(AQ247&lt;=0,0,BP247*MAX(1,IF(G247&gt;0,AQ247/G247,1))),AR247*Q247)</f>
        <v/>
      </c>
      <c r="AT247" s="55">
        <f>AQ247*F247</f>
        <v/>
      </c>
      <c r="AU247" s="55">
        <f>ROUNDUP(MAX(I247/IF(BS247&gt;0,BS247,MAX(0.1,N(Cockpit!$O$6))),BV247)/BN247,0)*BN247</f>
        <v/>
      </c>
      <c r="AV247" s="56">
        <f>IF(AS247&gt;0,I247/AS247,-1)</f>
        <v/>
      </c>
      <c r="AW247" s="56">
        <f>IF(AND(OR(BR247="L1",BR247="L23"),AS247&gt;0),SUMIFS($AS$7:$AS$1570,$BR$7:$BR$1570,BR247,$AV$7:$AV$1570,"&gt;"&amp;AV247)+SUMIFS($AS$7:$AS$1570,$BR$7:$BR$1570,BR247,$AV$7:$AV$1570,AV247,$BL$7:$BL$1570,"&lt;="&amp;BL247),"")</f>
        <v/>
      </c>
      <c r="AX247" s="65">
        <f>IF(AW247="",0,MAX(0,MIN(1,(IF(BR247="L1",Parameter!$K$5,Parameter!$K$6+Parameter!$K$7)-(AW247-AS247))/AS247)))</f>
        <v/>
      </c>
      <c r="AY247" s="53">
        <f>IF(AC247&lt;=0,"",IF(BR247="Aussen","Aussenlager",IF(BR247="-","Nicht im Lift",IF(AH247&gt;=1,"Lift",IF(AH247&lt;=0,"Aussenlager","teilweise")))))</f>
        <v/>
      </c>
      <c r="AZ247" s="53">
        <f>IF(AK247&lt;=0,"",IF(BR247="Aussen","Aussenlager",IF(BR247="-","Nicht im Lift",IF(AP247&gt;=1,"Lift",IF(AP247&lt;=0,"Aussenlager","teilweise")))))</f>
        <v/>
      </c>
      <c r="BA247" s="53">
        <f>IF(AS247&lt;=0,"",IF(BR247="Aussen","Aussenlager",IF(BR247="-","Nicht im Lift",IF(AX247&gt;=1,"Lift",IF(AX247&lt;=0,"Aussenlager","teilweise")))))</f>
        <v/>
      </c>
      <c r="BB247" s="53">
        <f>IF(A247="","",IF(BK247=1,"Neu; ","")&amp;IF(AND(BK247=0,BF247&lt;0),"negativer Bestand (Export "&amp;BF247&amp;"); ","")&amp;IF(I247&lt;=0,"Kein Verbrauch; ","")&amp;IF(BO247=1,"Lose – Fläche geschätzt; ","")&amp;IF(G247&gt;AM247,"Überbestand "&amp;ROUND(G247-AM247,0)&amp;" Stk / CHF "&amp;ROUND((G247-AM247)*F247,0)&amp;"; ","")&amp;IF(AND(BT247=1,BU247&lt;BV247),"MAX &lt; MB+LG; ","")&amp;IF(AND(BZ247&gt;0,BY247*10&gt;BZ247),"zu hoch für Tablar; ","")&amp;IF(AND(BK247=0,OR(BT247=1,V247&lt;&gt;"",S247&lt;&gt;"",T247&lt;&gt;"",W247&lt;&gt;"")),"manuell übersteuert; ","")&amp;IF(AND(BO247=0,Q247=0),"Gebinde unbekannt; ","")&amp;IF(AND(BO247=0,N(T247)&lt;=0,N(P247)&lt;=0),"Menge pro Gebinde fehlt (Ist = 1 Gebinde); ","")&amp;BJ247)</f>
        <v/>
      </c>
      <c r="BC247" s="53" t="n"/>
      <c r="BD247" s="53" t="n"/>
      <c r="BE247" s="61" t="n"/>
      <c r="BF247" s="55" t="n">
        <v>14</v>
      </c>
      <c r="BG247" s="55" t="n">
        <v>0</v>
      </c>
      <c r="BH247" s="54" t="n">
        <v>518</v>
      </c>
      <c r="BI247" s="55" t="n">
        <v>1</v>
      </c>
      <c r="BJ247" s="53" t="inlineStr"/>
      <c r="BK247" s="58" t="n">
        <v>0</v>
      </c>
      <c r="BL247" s="58" t="n">
        <v>247</v>
      </c>
      <c r="BM247" s="53">
        <f>IF(S247&lt;&gt;"",UPPER(TRIM(S247)),IF(O247="","LOSE",O247))</f>
        <v/>
      </c>
      <c r="BN247" s="55">
        <f>IF(BM247="LOSE",1,IF(N(T247)&gt;0,T247,IF(N(P247)&gt;0,P247,MAX(1,G247))))</f>
        <v/>
      </c>
      <c r="BO247" s="58">
        <f>IF(BM247="LOSE",1,0)</f>
        <v/>
      </c>
      <c r="BP247" s="64">
        <f>IF(BO247=0,0,IF(N(R247)&gt;0,R247,IFERROR(VLOOKUP(D247,Parameter!$A$35:$C$64,3,0)+0,0)))</f>
        <v/>
      </c>
      <c r="BQ247" s="53">
        <f>IF(V247&lt;&gt;"",V247,U247)</f>
        <v/>
      </c>
      <c r="BR247" s="53">
        <f>IF(BQ247=1,"L1",IF(OR(BQ247=2,BQ247=3),"L23",IF(BQ247="Aussen","Aussen","-")))</f>
        <v/>
      </c>
      <c r="BS247" s="66">
        <f>IF(N(W247)&gt;0,W247,0)</f>
        <v/>
      </c>
      <c r="BT247" s="58">
        <f>IF(ISNUMBER(Z247),1,0)</f>
        <v/>
      </c>
      <c r="BU247" s="55">
        <f>N(Z247)</f>
        <v/>
      </c>
      <c r="BV247" s="55">
        <f>N(L247)+N(M247)</f>
        <v/>
      </c>
      <c r="BW247" s="55">
        <f>ROUNDUP(G247/BN247,0)</f>
        <v/>
      </c>
      <c r="BX247" s="55">
        <f>ROUNDUP(BU247/BN247,0)</f>
        <v/>
      </c>
      <c r="BY247" s="58">
        <f>IF(BO247=1,0,IFERROR(VLOOKUP(BM247,'Gebinde-Kategorie'!$A$5:$G$45,5,0)+0,0))</f>
        <v/>
      </c>
      <c r="BZ247" s="58">
        <f>IFERROR(IF(OR(BQ247=1,BQ247=2,BQ247=3),N(INDEX(Parameter!$I$5:$I$7,BQ247)),0),0)</f>
        <v/>
      </c>
    </row>
    <row r="248">
      <c r="A248" s="53" t="inlineStr">
        <is>
          <t>108410</t>
        </is>
      </c>
      <c r="B248" s="53" t="inlineStr">
        <is>
          <t>Sechskant-Distanzbolzen</t>
        </is>
      </c>
      <c r="C248" s="53" t="inlineStr">
        <is>
          <t>F</t>
        </is>
      </c>
      <c r="D248" s="53" t="inlineStr">
        <is>
          <t>KTL</t>
        </is>
      </c>
      <c r="E248" s="53" t="inlineStr">
        <is>
          <t>C</t>
        </is>
      </c>
      <c r="F248" s="54" t="n">
        <v>2.83</v>
      </c>
      <c r="G248" s="55">
        <f>MAX(0,IF(Parameter!$B$20="Jahresanfang 2025 + Export",BG248+BF248,BF248))</f>
        <v/>
      </c>
      <c r="H248" s="55">
        <f>G248*F248</f>
        <v/>
      </c>
      <c r="I248" s="55">
        <f>BI248*Parameter!$B$18</f>
        <v/>
      </c>
      <c r="J248" s="56" t="n">
        <v>155</v>
      </c>
      <c r="K248" s="57" t="n">
        <v>1.935483870967742</v>
      </c>
      <c r="L248" s="55" t="n">
        <v>35</v>
      </c>
      <c r="M248" s="55" t="n">
        <v>300</v>
      </c>
      <c r="N248" s="58" t="n">
        <v>42</v>
      </c>
      <c r="O248" s="53" t="inlineStr">
        <is>
          <t>S33</t>
        </is>
      </c>
      <c r="P248" s="55" t="n">
        <v>150</v>
      </c>
      <c r="Q248" s="59">
        <f>IF(BO248=1,0,IFERROR(VLOOKUP(BM248,'Gebinde-Kategorie'!$A$5:$G$45,6,0)+0,0))</f>
        <v/>
      </c>
      <c r="R248" s="60" t="n"/>
      <c r="S248" s="61" t="n"/>
      <c r="T248" s="61" t="n"/>
      <c r="U248" s="53">
        <f>IF(A248="","",IF(IFERROR(VLOOKUP(D248,Parameter!$A$35:$C$64,2,0),"Nein")="2+3",IF(ISNUMBER(SEARCH("grosser Artikel",BJ248)),2,IFERROR(VLOOKUP(BM248,Parameter!$F$35:$G$64,2,0),2)),IF(OR(IFERROR(VLOOKUP(D248,Parameter!$A$35:$C$64,2,0),"Nein")="Nein",IFERROR(VLOOKUP(D248,Parameter!$A$35:$C$64,2,0),"Nein")=""),"-",VLOOKUP(D248,Parameter!$A$35:$C$64,2,0))))</f>
        <v/>
      </c>
      <c r="V248" s="61" t="n"/>
      <c r="W248" s="62" t="n"/>
      <c r="X248" s="55">
        <f>AM248</f>
        <v/>
      </c>
      <c r="Y248" s="55">
        <f>MAX(AM248,G248)</f>
        <v/>
      </c>
      <c r="Z248" s="63" t="n"/>
      <c r="AA248" s="55">
        <f>IF(LEFT(Cockpit!$C$5,1)="A",G248,IF(BT248=1,BU248,IF(LEFT(Cockpit!$C$5,1)="B",AE248,MAX(AE248,G248))))</f>
        <v/>
      </c>
      <c r="AB248" s="55">
        <f>IF(BO248=1,0,ROUNDUP(AA248/BN248,0))</f>
        <v/>
      </c>
      <c r="AC248" s="64">
        <f>IF(BO248=1,IF(AA248&lt;=0,0,BP248*MAX(1,IF(G248&gt;0,AA248/G248,1))),AB248*Q248)</f>
        <v/>
      </c>
      <c r="AD248" s="55">
        <f>AA248*F248</f>
        <v/>
      </c>
      <c r="AE248" s="55">
        <f>ROUNDUP(MAX(I248/IF(BS248&gt;0,BS248,MAX(0.1,N(Cockpit!$C$6))),BV248)/BN248,0)*BN248</f>
        <v/>
      </c>
      <c r="AF248" s="56">
        <f>IF(AC248&gt;0,I248/AC248,-1)</f>
        <v/>
      </c>
      <c r="AG248" s="56">
        <f>IF(AND(OR(BR248="L1",BR248="L23"),AC248&gt;0),SUMIFS($AC$7:$AC$1570,$BR$7:$BR$1570,BR248,$AF$7:$AF$1570,"&gt;"&amp;AF248)+SUMIFS($AC$7:$AC$1570,$BR$7:$BR$1570,BR248,$AF$7:$AF$1570,AF248,$BL$7:$BL$1570,"&lt;="&amp;BL248),"")</f>
        <v/>
      </c>
      <c r="AH248" s="65">
        <f>IF(AG248="",0,MAX(0,MIN(1,(IF(BR248="L1",Parameter!$K$5,Parameter!$K$6+Parameter!$K$7)-(AG248-AC248))/AC248)))</f>
        <v/>
      </c>
      <c r="AI248" s="55">
        <f>IF(LEFT(Cockpit!$I$5,1)="A",G248,IF(BT248=1,BU248,IF(LEFT(Cockpit!$I$5,1)="B",AM248,MAX(AM248,G248))))</f>
        <v/>
      </c>
      <c r="AJ248" s="55">
        <f>IF(BO248=1,0,ROUNDUP(AI248/BN248,0))</f>
        <v/>
      </c>
      <c r="AK248" s="64">
        <f>IF(BO248=1,IF(AI248&lt;=0,0,BP248*MAX(1,IF(G248&gt;0,AI248/G248,1))),AJ248*Q248)</f>
        <v/>
      </c>
      <c r="AL248" s="55">
        <f>AI248*F248</f>
        <v/>
      </c>
      <c r="AM248" s="55">
        <f>ROUNDUP(MAX(I248/IF(BS248&gt;0,BS248,MAX(0.1,N(Cockpit!$I$6))),BV248)/BN248,0)*BN248</f>
        <v/>
      </c>
      <c r="AN248" s="56">
        <f>IF(AK248&gt;0,I248/AK248,-1)</f>
        <v/>
      </c>
      <c r="AO248" s="56">
        <f>IF(AND(OR(BR248="L1",BR248="L23"),AK248&gt;0),SUMIFS($AK$7:$AK$1570,$BR$7:$BR$1570,BR248,$AN$7:$AN$1570,"&gt;"&amp;AN248)+SUMIFS($AK$7:$AK$1570,$BR$7:$BR$1570,BR248,$AN$7:$AN$1570,AN248,$BL$7:$BL$1570,"&lt;="&amp;BL248),"")</f>
        <v/>
      </c>
      <c r="AP248" s="65">
        <f>IF(AO248="",0,MAX(0,MIN(1,(IF(BR248="L1",Parameter!$K$5,Parameter!$K$6+Parameter!$K$7)-(AO248-AK248))/AK248)))</f>
        <v/>
      </c>
      <c r="AQ248" s="55">
        <f>IF(LEFT(Cockpit!$O$5,1)="A",G248,IF(BT248=1,BU248,IF(LEFT(Cockpit!$O$5,1)="B",AU248,MAX(AU248,G248))))</f>
        <v/>
      </c>
      <c r="AR248" s="55">
        <f>IF(BO248=1,0,ROUNDUP(AQ248/BN248,0))</f>
        <v/>
      </c>
      <c r="AS248" s="64">
        <f>IF(BO248=1,IF(AQ248&lt;=0,0,BP248*MAX(1,IF(G248&gt;0,AQ248/G248,1))),AR248*Q248)</f>
        <v/>
      </c>
      <c r="AT248" s="55">
        <f>AQ248*F248</f>
        <v/>
      </c>
      <c r="AU248" s="55">
        <f>ROUNDUP(MAX(I248/IF(BS248&gt;0,BS248,MAX(0.1,N(Cockpit!$O$6))),BV248)/BN248,0)*BN248</f>
        <v/>
      </c>
      <c r="AV248" s="56">
        <f>IF(AS248&gt;0,I248/AS248,-1)</f>
        <v/>
      </c>
      <c r="AW248" s="56">
        <f>IF(AND(OR(BR248="L1",BR248="L23"),AS248&gt;0),SUMIFS($AS$7:$AS$1570,$BR$7:$BR$1570,BR248,$AV$7:$AV$1570,"&gt;"&amp;AV248)+SUMIFS($AS$7:$AS$1570,$BR$7:$BR$1570,BR248,$AV$7:$AV$1570,AV248,$BL$7:$BL$1570,"&lt;="&amp;BL248),"")</f>
        <v/>
      </c>
      <c r="AX248" s="65">
        <f>IF(AW248="",0,MAX(0,MIN(1,(IF(BR248="L1",Parameter!$K$5,Parameter!$K$6+Parameter!$K$7)-(AW248-AS248))/AS248)))</f>
        <v/>
      </c>
      <c r="AY248" s="53">
        <f>IF(AC248&lt;=0,"",IF(BR248="Aussen","Aussenlager",IF(BR248="-","Nicht im Lift",IF(AH248&gt;=1,"Lift",IF(AH248&lt;=0,"Aussenlager","teilweise")))))</f>
        <v/>
      </c>
      <c r="AZ248" s="53">
        <f>IF(AK248&lt;=0,"",IF(BR248="Aussen","Aussenlager",IF(BR248="-","Nicht im Lift",IF(AP248&gt;=1,"Lift",IF(AP248&lt;=0,"Aussenlager","teilweise")))))</f>
        <v/>
      </c>
      <c r="BA248" s="53">
        <f>IF(AS248&lt;=0,"",IF(BR248="Aussen","Aussenlager",IF(BR248="-","Nicht im Lift",IF(AX248&gt;=1,"Lift",IF(AX248&lt;=0,"Aussenlager","teilweise")))))</f>
        <v/>
      </c>
      <c r="BB248" s="53">
        <f>IF(A248="","",IF(BK248=1,"Neu; ","")&amp;IF(AND(BK248=0,BF248&lt;0),"negativer Bestand (Export "&amp;BF248&amp;"); ","")&amp;IF(I248&lt;=0,"Kein Verbrauch; ","")&amp;IF(BO248=1,"Lose – Fläche geschätzt; ","")&amp;IF(G248&gt;AM248,"Überbestand "&amp;ROUND(G248-AM248,0)&amp;" Stk / CHF "&amp;ROUND((G248-AM248)*F248,0)&amp;"; ","")&amp;IF(AND(BT248=1,BU248&lt;BV248),"MAX &lt; MB+LG; ","")&amp;IF(AND(BZ248&gt;0,BY248*10&gt;BZ248),"zu hoch für Tablar; ","")&amp;IF(AND(BK248=0,OR(BT248=1,V248&lt;&gt;"",S248&lt;&gt;"",T248&lt;&gt;"",W248&lt;&gt;"")),"manuell übersteuert; ","")&amp;IF(AND(BO248=0,Q248=0),"Gebinde unbekannt; ","")&amp;IF(AND(BO248=0,N(T248)&lt;=0,N(P248)&lt;=0),"Menge pro Gebinde fehlt (Ist = 1 Gebinde); ","")&amp;BJ248)</f>
        <v/>
      </c>
      <c r="BC248" s="53" t="n"/>
      <c r="BD248" s="53" t="n"/>
      <c r="BE248" s="61" t="n"/>
      <c r="BF248" s="55" t="n">
        <v>184</v>
      </c>
      <c r="BG248" s="55" t="n">
        <v>153</v>
      </c>
      <c r="BH248" s="54" t="n">
        <v>517.6599999999999</v>
      </c>
      <c r="BI248" s="55" t="n">
        <v>300</v>
      </c>
      <c r="BJ248" s="53" t="inlineStr">
        <is>
          <t>nicht im KTL vorhanden</t>
        </is>
      </c>
      <c r="BK248" s="58" t="n">
        <v>0</v>
      </c>
      <c r="BL248" s="58" t="n">
        <v>248</v>
      </c>
      <c r="BM248" s="53">
        <f>IF(S248&lt;&gt;"",UPPER(TRIM(S248)),IF(O248="","LOSE",O248))</f>
        <v/>
      </c>
      <c r="BN248" s="55">
        <f>IF(BM248="LOSE",1,IF(N(T248)&gt;0,T248,IF(N(P248)&gt;0,P248,MAX(1,G248))))</f>
        <v/>
      </c>
      <c r="BO248" s="58">
        <f>IF(BM248="LOSE",1,0)</f>
        <v/>
      </c>
      <c r="BP248" s="64">
        <f>IF(BO248=0,0,IF(N(R248)&gt;0,R248,IFERROR(VLOOKUP(D248,Parameter!$A$35:$C$64,3,0)+0,0)))</f>
        <v/>
      </c>
      <c r="BQ248" s="53">
        <f>IF(V248&lt;&gt;"",V248,U248)</f>
        <v/>
      </c>
      <c r="BR248" s="53">
        <f>IF(BQ248=1,"L1",IF(OR(BQ248=2,BQ248=3),"L23",IF(BQ248="Aussen","Aussen","-")))</f>
        <v/>
      </c>
      <c r="BS248" s="66">
        <f>IF(N(W248)&gt;0,W248,0)</f>
        <v/>
      </c>
      <c r="BT248" s="58">
        <f>IF(ISNUMBER(Z248),1,0)</f>
        <v/>
      </c>
      <c r="BU248" s="55">
        <f>N(Z248)</f>
        <v/>
      </c>
      <c r="BV248" s="55">
        <f>N(L248)+N(M248)</f>
        <v/>
      </c>
      <c r="BW248" s="55">
        <f>ROUNDUP(G248/BN248,0)</f>
        <v/>
      </c>
      <c r="BX248" s="55">
        <f>ROUNDUP(BU248/BN248,0)</f>
        <v/>
      </c>
      <c r="BY248" s="58">
        <f>IF(BO248=1,0,IFERROR(VLOOKUP(BM248,'Gebinde-Kategorie'!$A$5:$G$45,5,0)+0,0))</f>
        <v/>
      </c>
      <c r="BZ248" s="58">
        <f>IFERROR(IF(OR(BQ248=1,BQ248=2,BQ248=3),N(INDEX(Parameter!$I$5:$I$7,BQ248)),0),0)</f>
        <v/>
      </c>
    </row>
    <row r="249">
      <c r="A249" s="53" t="inlineStr">
        <is>
          <t>107196</t>
        </is>
      </c>
      <c r="B249" s="53" t="inlineStr">
        <is>
          <t>Kompressoröl zu AC260</t>
        </is>
      </c>
      <c r="C249" s="53" t="inlineStr">
        <is>
          <t>F</t>
        </is>
      </c>
      <c r="D249" s="53" t="inlineStr">
        <is>
          <t>PAL</t>
        </is>
      </c>
      <c r="E249" s="53" t="inlineStr">
        <is>
          <t>C</t>
        </is>
      </c>
      <c r="F249" s="54" t="n">
        <v>126.31</v>
      </c>
      <c r="G249" s="55">
        <f>MAX(0,IF(Parameter!$B$20="Jahresanfang 2025 + Export",BG249+BF249,BF249))</f>
        <v/>
      </c>
      <c r="H249" s="55">
        <f>G249*F249</f>
        <v/>
      </c>
      <c r="I249" s="55">
        <f>BI249*Parameter!$B$18</f>
        <v/>
      </c>
      <c r="J249" s="56" t="n">
        <v>12.5</v>
      </c>
      <c r="K249" s="57" t="n">
        <v>3.44</v>
      </c>
      <c r="L249" s="55" t="n">
        <v>2</v>
      </c>
      <c r="M249" s="55" t="n">
        <v>6</v>
      </c>
      <c r="N249" s="58" t="n">
        <v>21</v>
      </c>
      <c r="O249" s="53" t="inlineStr">
        <is>
          <t>S72</t>
        </is>
      </c>
      <c r="P249" s="55" t="n">
        <v>12</v>
      </c>
      <c r="Q249" s="59">
        <f>IF(BO249=1,0,IFERROR(VLOOKUP(BM249,'Gebinde-Kategorie'!$A$5:$G$45,6,0)+0,0))</f>
        <v/>
      </c>
      <c r="R249" s="60" t="n"/>
      <c r="S249" s="61" t="n"/>
      <c r="T249" s="61" t="n"/>
      <c r="U249" s="53">
        <f>IF(A249="","",IF(IFERROR(VLOOKUP(D249,Parameter!$A$35:$C$64,2,0),"Nein")="2+3",IF(ISNUMBER(SEARCH("grosser Artikel",BJ249)),2,IFERROR(VLOOKUP(BM249,Parameter!$F$35:$G$64,2,0),2)),IF(OR(IFERROR(VLOOKUP(D249,Parameter!$A$35:$C$64,2,0),"Nein")="Nein",IFERROR(VLOOKUP(D249,Parameter!$A$35:$C$64,2,0),"Nein")=""),"-",VLOOKUP(D249,Parameter!$A$35:$C$64,2,0))))</f>
        <v/>
      </c>
      <c r="V249" s="61" t="n"/>
      <c r="W249" s="62" t="n"/>
      <c r="X249" s="55">
        <f>AM249</f>
        <v/>
      </c>
      <c r="Y249" s="55">
        <f>MAX(AM249,G249)</f>
        <v/>
      </c>
      <c r="Z249" s="63" t="n"/>
      <c r="AA249" s="55">
        <f>IF(LEFT(Cockpit!$C$5,1)="A",G249,IF(BT249=1,BU249,IF(LEFT(Cockpit!$C$5,1)="B",AE249,MAX(AE249,G249))))</f>
        <v/>
      </c>
      <c r="AB249" s="55">
        <f>IF(BO249=1,0,ROUNDUP(AA249/BN249,0))</f>
        <v/>
      </c>
      <c r="AC249" s="64">
        <f>IF(BO249=1,IF(AA249&lt;=0,0,BP249*MAX(1,IF(G249&gt;0,AA249/G249,1))),AB249*Q249)</f>
        <v/>
      </c>
      <c r="AD249" s="55">
        <f>AA249*F249</f>
        <v/>
      </c>
      <c r="AE249" s="55">
        <f>ROUNDUP(MAX(I249/IF(BS249&gt;0,BS249,MAX(0.1,N(Cockpit!$C$6))),BV249)/BN249,0)*BN249</f>
        <v/>
      </c>
      <c r="AF249" s="56">
        <f>IF(AC249&gt;0,I249/AC249,-1)</f>
        <v/>
      </c>
      <c r="AG249" s="56">
        <f>IF(AND(OR(BR249="L1",BR249="L23"),AC249&gt;0),SUMIFS($AC$7:$AC$1570,$BR$7:$BR$1570,BR249,$AF$7:$AF$1570,"&gt;"&amp;AF249)+SUMIFS($AC$7:$AC$1570,$BR$7:$BR$1570,BR249,$AF$7:$AF$1570,AF249,$BL$7:$BL$1570,"&lt;="&amp;BL249),"")</f>
        <v/>
      </c>
      <c r="AH249" s="65">
        <f>IF(AG249="",0,MAX(0,MIN(1,(IF(BR249="L1",Parameter!$K$5,Parameter!$K$6+Parameter!$K$7)-(AG249-AC249))/AC249)))</f>
        <v/>
      </c>
      <c r="AI249" s="55">
        <f>IF(LEFT(Cockpit!$I$5,1)="A",G249,IF(BT249=1,BU249,IF(LEFT(Cockpit!$I$5,1)="B",AM249,MAX(AM249,G249))))</f>
        <v/>
      </c>
      <c r="AJ249" s="55">
        <f>IF(BO249=1,0,ROUNDUP(AI249/BN249,0))</f>
        <v/>
      </c>
      <c r="AK249" s="64">
        <f>IF(BO249=1,IF(AI249&lt;=0,0,BP249*MAX(1,IF(G249&gt;0,AI249/G249,1))),AJ249*Q249)</f>
        <v/>
      </c>
      <c r="AL249" s="55">
        <f>AI249*F249</f>
        <v/>
      </c>
      <c r="AM249" s="55">
        <f>ROUNDUP(MAX(I249/IF(BS249&gt;0,BS249,MAX(0.1,N(Cockpit!$I$6))),BV249)/BN249,0)*BN249</f>
        <v/>
      </c>
      <c r="AN249" s="56">
        <f>IF(AK249&gt;0,I249/AK249,-1)</f>
        <v/>
      </c>
      <c r="AO249" s="56">
        <f>IF(AND(OR(BR249="L1",BR249="L23"),AK249&gt;0),SUMIFS($AK$7:$AK$1570,$BR$7:$BR$1570,BR249,$AN$7:$AN$1570,"&gt;"&amp;AN249)+SUMIFS($AK$7:$AK$1570,$BR$7:$BR$1570,BR249,$AN$7:$AN$1570,AN249,$BL$7:$BL$1570,"&lt;="&amp;BL249),"")</f>
        <v/>
      </c>
      <c r="AP249" s="65">
        <f>IF(AO249="",0,MAX(0,MIN(1,(IF(BR249="L1",Parameter!$K$5,Parameter!$K$6+Parameter!$K$7)-(AO249-AK249))/AK249)))</f>
        <v/>
      </c>
      <c r="AQ249" s="55">
        <f>IF(LEFT(Cockpit!$O$5,1)="A",G249,IF(BT249=1,BU249,IF(LEFT(Cockpit!$O$5,1)="B",AU249,MAX(AU249,G249))))</f>
        <v/>
      </c>
      <c r="AR249" s="55">
        <f>IF(BO249=1,0,ROUNDUP(AQ249/BN249,0))</f>
        <v/>
      </c>
      <c r="AS249" s="64">
        <f>IF(BO249=1,IF(AQ249&lt;=0,0,BP249*MAX(1,IF(G249&gt;0,AQ249/G249,1))),AR249*Q249)</f>
        <v/>
      </c>
      <c r="AT249" s="55">
        <f>AQ249*F249</f>
        <v/>
      </c>
      <c r="AU249" s="55">
        <f>ROUNDUP(MAX(I249/IF(BS249&gt;0,BS249,MAX(0.1,N(Cockpit!$O$6))),BV249)/BN249,0)*BN249</f>
        <v/>
      </c>
      <c r="AV249" s="56">
        <f>IF(AS249&gt;0,I249/AS249,-1)</f>
        <v/>
      </c>
      <c r="AW249" s="56">
        <f>IF(AND(OR(BR249="L1",BR249="L23"),AS249&gt;0),SUMIFS($AS$7:$AS$1570,$BR$7:$BR$1570,BR249,$AV$7:$AV$1570,"&gt;"&amp;AV249)+SUMIFS($AS$7:$AS$1570,$BR$7:$BR$1570,BR249,$AV$7:$AV$1570,AV249,$BL$7:$BL$1570,"&lt;="&amp;BL249),"")</f>
        <v/>
      </c>
      <c r="AX249" s="65">
        <f>IF(AW249="",0,MAX(0,MIN(1,(IF(BR249="L1",Parameter!$K$5,Parameter!$K$6+Parameter!$K$7)-(AW249-AS249))/AS249)))</f>
        <v/>
      </c>
      <c r="AY249" s="53">
        <f>IF(AC249&lt;=0,"",IF(BR249="Aussen","Aussenlager",IF(BR249="-","Nicht im Lift",IF(AH249&gt;=1,"Lift",IF(AH249&lt;=0,"Aussenlager","teilweise")))))</f>
        <v/>
      </c>
      <c r="AZ249" s="53">
        <f>IF(AK249&lt;=0,"",IF(BR249="Aussen","Aussenlager",IF(BR249="-","Nicht im Lift",IF(AP249&gt;=1,"Lift",IF(AP249&lt;=0,"Aussenlager","teilweise")))))</f>
        <v/>
      </c>
      <c r="BA249" s="53">
        <f>IF(AS249&lt;=0,"",IF(BR249="Aussen","Aussenlager",IF(BR249="-","Nicht im Lift",IF(AX249&gt;=1,"Lift",IF(AX249&lt;=0,"Aussenlager","teilweise")))))</f>
        <v/>
      </c>
      <c r="BB249" s="53">
        <f>IF(A249="","",IF(BK249=1,"Neu; ","")&amp;IF(AND(BK249=0,BF249&lt;0),"negativer Bestand (Export "&amp;BF249&amp;"); ","")&amp;IF(I249&lt;=0,"Kein Verbrauch; ","")&amp;IF(BO249=1,"Lose – Fläche geschätzt; ","")&amp;IF(G249&gt;AM249,"Überbestand "&amp;ROUND(G249-AM249,0)&amp;" Stk / CHF "&amp;ROUND((G249-AM249)*F249,0)&amp;"; ","")&amp;IF(AND(BT249=1,BU249&lt;BV249),"MAX &lt; MB+LG; ","")&amp;IF(AND(BZ249&gt;0,BY249*10&gt;BZ249),"zu hoch für Tablar; ","")&amp;IF(AND(BK249=0,OR(BT249=1,V249&lt;&gt;"",S249&lt;&gt;"",T249&lt;&gt;"",W249&lt;&gt;"")),"manuell übersteuert; ","")&amp;IF(AND(BO249=0,Q249=0),"Gebinde unbekannt; ","")&amp;IF(AND(BO249=0,N(T249)&lt;=0,N(P249)&lt;=0),"Menge pro Gebinde fehlt (Ist = 1 Gebinde); ","")&amp;BJ249)</f>
        <v/>
      </c>
      <c r="BC249" s="53" t="n"/>
      <c r="BD249" s="53" t="n"/>
      <c r="BE249" s="61" t="n"/>
      <c r="BF249" s="55" t="n">
        <v>3</v>
      </c>
      <c r="BG249" s="55" t="n">
        <v>10</v>
      </c>
      <c r="BH249" s="54" t="n">
        <v>515.7599999999984</v>
      </c>
      <c r="BI249" s="55" t="n">
        <v>43</v>
      </c>
      <c r="BJ249" s="53" t="inlineStr"/>
      <c r="BK249" s="58" t="n">
        <v>0</v>
      </c>
      <c r="BL249" s="58" t="n">
        <v>249</v>
      </c>
      <c r="BM249" s="53">
        <f>IF(S249&lt;&gt;"",UPPER(TRIM(S249)),IF(O249="","LOSE",O249))</f>
        <v/>
      </c>
      <c r="BN249" s="55">
        <f>IF(BM249="LOSE",1,IF(N(T249)&gt;0,T249,IF(N(P249)&gt;0,P249,MAX(1,G249))))</f>
        <v/>
      </c>
      <c r="BO249" s="58">
        <f>IF(BM249="LOSE",1,0)</f>
        <v/>
      </c>
      <c r="BP249" s="64">
        <f>IF(BO249=0,0,IF(N(R249)&gt;0,R249,IFERROR(VLOOKUP(D249,Parameter!$A$35:$C$64,3,0)+0,0)))</f>
        <v/>
      </c>
      <c r="BQ249" s="53">
        <f>IF(V249&lt;&gt;"",V249,U249)</f>
        <v/>
      </c>
      <c r="BR249" s="53">
        <f>IF(BQ249=1,"L1",IF(OR(BQ249=2,BQ249=3),"L23",IF(BQ249="Aussen","Aussen","-")))</f>
        <v/>
      </c>
      <c r="BS249" s="66">
        <f>IF(N(W249)&gt;0,W249,0)</f>
        <v/>
      </c>
      <c r="BT249" s="58">
        <f>IF(ISNUMBER(Z249),1,0)</f>
        <v/>
      </c>
      <c r="BU249" s="55">
        <f>N(Z249)</f>
        <v/>
      </c>
      <c r="BV249" s="55">
        <f>N(L249)+N(M249)</f>
        <v/>
      </c>
      <c r="BW249" s="55">
        <f>ROUNDUP(G249/BN249,0)</f>
        <v/>
      </c>
      <c r="BX249" s="55">
        <f>ROUNDUP(BU249/BN249,0)</f>
        <v/>
      </c>
      <c r="BY249" s="58">
        <f>IF(BO249=1,0,IFERROR(VLOOKUP(BM249,'Gebinde-Kategorie'!$A$5:$G$45,5,0)+0,0))</f>
        <v/>
      </c>
      <c r="BZ249" s="58">
        <f>IFERROR(IF(OR(BQ249=1,BQ249=2,BQ249=3),N(INDEX(Parameter!$I$5:$I$7,BQ249)),0),0)</f>
        <v/>
      </c>
    </row>
    <row r="250">
      <c r="A250" s="53" t="inlineStr">
        <is>
          <t>100265</t>
        </is>
      </c>
      <c r="B250" s="53" t="inlineStr">
        <is>
          <t>Klappsplint</t>
        </is>
      </c>
      <c r="C250" s="53" t="inlineStr">
        <is>
          <t>F</t>
        </is>
      </c>
      <c r="D250" s="53" t="inlineStr">
        <is>
          <t>KTL</t>
        </is>
      </c>
      <c r="E250" s="53" t="inlineStr">
        <is>
          <t>C</t>
        </is>
      </c>
      <c r="F250" s="54" t="n">
        <v>1.23</v>
      </c>
      <c r="G250" s="55">
        <f>MAX(0,IF(Parameter!$B$20="Jahresanfang 2025 + Export",BG250+BF250,BF250))</f>
        <v/>
      </c>
      <c r="H250" s="55">
        <f>G250*F250</f>
        <v/>
      </c>
      <c r="I250" s="55">
        <f>BI250*Parameter!$B$18</f>
        <v/>
      </c>
      <c r="J250" s="56" t="n">
        <v>211.5</v>
      </c>
      <c r="K250" s="57" t="n">
        <v>2.846335697399527</v>
      </c>
      <c r="L250" s="55" t="n">
        <v>35</v>
      </c>
      <c r="M250" s="55" t="n">
        <v>250</v>
      </c>
      <c r="N250" s="58" t="n">
        <v>21</v>
      </c>
      <c r="O250" s="53" t="inlineStr">
        <is>
          <t>S51</t>
        </is>
      </c>
      <c r="P250" s="55" t="n">
        <v>559</v>
      </c>
      <c r="Q250" s="59">
        <f>IF(BO250=1,0,IFERROR(VLOOKUP(BM250,'Gebinde-Kategorie'!$A$5:$G$45,6,0)+0,0))</f>
        <v/>
      </c>
      <c r="R250" s="60" t="n"/>
      <c r="S250" s="61" t="n"/>
      <c r="T250" s="61" t="n"/>
      <c r="U250" s="53">
        <f>IF(A250="","",IF(IFERROR(VLOOKUP(D250,Parameter!$A$35:$C$64,2,0),"Nein")="2+3",IF(ISNUMBER(SEARCH("grosser Artikel",BJ250)),2,IFERROR(VLOOKUP(BM250,Parameter!$F$35:$G$64,2,0),2)),IF(OR(IFERROR(VLOOKUP(D250,Parameter!$A$35:$C$64,2,0),"Nein")="Nein",IFERROR(VLOOKUP(D250,Parameter!$A$35:$C$64,2,0),"Nein")=""),"-",VLOOKUP(D250,Parameter!$A$35:$C$64,2,0))))</f>
        <v/>
      </c>
      <c r="V250" s="61" t="n"/>
      <c r="W250" s="62" t="n"/>
      <c r="X250" s="55">
        <f>AM250</f>
        <v/>
      </c>
      <c r="Y250" s="55">
        <f>MAX(AM250,G250)</f>
        <v/>
      </c>
      <c r="Z250" s="63" t="n"/>
      <c r="AA250" s="55">
        <f>IF(LEFT(Cockpit!$C$5,1)="A",G250,IF(BT250=1,BU250,IF(LEFT(Cockpit!$C$5,1)="B",AE250,MAX(AE250,G250))))</f>
        <v/>
      </c>
      <c r="AB250" s="55">
        <f>IF(BO250=1,0,ROUNDUP(AA250/BN250,0))</f>
        <v/>
      </c>
      <c r="AC250" s="64">
        <f>IF(BO250=1,IF(AA250&lt;=0,0,BP250*MAX(1,IF(G250&gt;0,AA250/G250,1))),AB250*Q250)</f>
        <v/>
      </c>
      <c r="AD250" s="55">
        <f>AA250*F250</f>
        <v/>
      </c>
      <c r="AE250" s="55">
        <f>ROUNDUP(MAX(I250/IF(BS250&gt;0,BS250,MAX(0.1,N(Cockpit!$C$6))),BV250)/BN250,0)*BN250</f>
        <v/>
      </c>
      <c r="AF250" s="56">
        <f>IF(AC250&gt;0,I250/AC250,-1)</f>
        <v/>
      </c>
      <c r="AG250" s="56">
        <f>IF(AND(OR(BR250="L1",BR250="L23"),AC250&gt;0),SUMIFS($AC$7:$AC$1570,$BR$7:$BR$1570,BR250,$AF$7:$AF$1570,"&gt;"&amp;AF250)+SUMIFS($AC$7:$AC$1570,$BR$7:$BR$1570,BR250,$AF$7:$AF$1570,AF250,$BL$7:$BL$1570,"&lt;="&amp;BL250),"")</f>
        <v/>
      </c>
      <c r="AH250" s="65">
        <f>IF(AG250="",0,MAX(0,MIN(1,(IF(BR250="L1",Parameter!$K$5,Parameter!$K$6+Parameter!$K$7)-(AG250-AC250))/AC250)))</f>
        <v/>
      </c>
      <c r="AI250" s="55">
        <f>IF(LEFT(Cockpit!$I$5,1)="A",G250,IF(BT250=1,BU250,IF(LEFT(Cockpit!$I$5,1)="B",AM250,MAX(AM250,G250))))</f>
        <v/>
      </c>
      <c r="AJ250" s="55">
        <f>IF(BO250=1,0,ROUNDUP(AI250/BN250,0))</f>
        <v/>
      </c>
      <c r="AK250" s="64">
        <f>IF(BO250=1,IF(AI250&lt;=0,0,BP250*MAX(1,IF(G250&gt;0,AI250/G250,1))),AJ250*Q250)</f>
        <v/>
      </c>
      <c r="AL250" s="55">
        <f>AI250*F250</f>
        <v/>
      </c>
      <c r="AM250" s="55">
        <f>ROUNDUP(MAX(I250/IF(BS250&gt;0,BS250,MAX(0.1,N(Cockpit!$I$6))),BV250)/BN250,0)*BN250</f>
        <v/>
      </c>
      <c r="AN250" s="56">
        <f>IF(AK250&gt;0,I250/AK250,-1)</f>
        <v/>
      </c>
      <c r="AO250" s="56">
        <f>IF(AND(OR(BR250="L1",BR250="L23"),AK250&gt;0),SUMIFS($AK$7:$AK$1570,$BR$7:$BR$1570,BR250,$AN$7:$AN$1570,"&gt;"&amp;AN250)+SUMIFS($AK$7:$AK$1570,$BR$7:$BR$1570,BR250,$AN$7:$AN$1570,AN250,$BL$7:$BL$1570,"&lt;="&amp;BL250),"")</f>
        <v/>
      </c>
      <c r="AP250" s="65">
        <f>IF(AO250="",0,MAX(0,MIN(1,(IF(BR250="L1",Parameter!$K$5,Parameter!$K$6+Parameter!$K$7)-(AO250-AK250))/AK250)))</f>
        <v/>
      </c>
      <c r="AQ250" s="55">
        <f>IF(LEFT(Cockpit!$O$5,1)="A",G250,IF(BT250=1,BU250,IF(LEFT(Cockpit!$O$5,1)="B",AU250,MAX(AU250,G250))))</f>
        <v/>
      </c>
      <c r="AR250" s="55">
        <f>IF(BO250=1,0,ROUNDUP(AQ250/BN250,0))</f>
        <v/>
      </c>
      <c r="AS250" s="64">
        <f>IF(BO250=1,IF(AQ250&lt;=0,0,BP250*MAX(1,IF(G250&gt;0,AQ250/G250,1))),AR250*Q250)</f>
        <v/>
      </c>
      <c r="AT250" s="55">
        <f>AQ250*F250</f>
        <v/>
      </c>
      <c r="AU250" s="55">
        <f>ROUNDUP(MAX(I250/IF(BS250&gt;0,BS250,MAX(0.1,N(Cockpit!$O$6))),BV250)/BN250,0)*BN250</f>
        <v/>
      </c>
      <c r="AV250" s="56">
        <f>IF(AS250&gt;0,I250/AS250,-1)</f>
        <v/>
      </c>
      <c r="AW250" s="56">
        <f>IF(AND(OR(BR250="L1",BR250="L23"),AS250&gt;0),SUMIFS($AS$7:$AS$1570,$BR$7:$BR$1570,BR250,$AV$7:$AV$1570,"&gt;"&amp;AV250)+SUMIFS($AS$7:$AS$1570,$BR$7:$BR$1570,BR250,$AV$7:$AV$1570,AV250,$BL$7:$BL$1570,"&lt;="&amp;BL250),"")</f>
        <v/>
      </c>
      <c r="AX250" s="65">
        <f>IF(AW250="",0,MAX(0,MIN(1,(IF(BR250="L1",Parameter!$K$5,Parameter!$K$6+Parameter!$K$7)-(AW250-AS250))/AS250)))</f>
        <v/>
      </c>
      <c r="AY250" s="53">
        <f>IF(AC250&lt;=0,"",IF(BR250="Aussen","Aussenlager",IF(BR250="-","Nicht im Lift",IF(AH250&gt;=1,"Lift",IF(AH250&lt;=0,"Aussenlager","teilweise")))))</f>
        <v/>
      </c>
      <c r="AZ250" s="53">
        <f>IF(AK250&lt;=0,"",IF(BR250="Aussen","Aussenlager",IF(BR250="-","Nicht im Lift",IF(AP250&gt;=1,"Lift",IF(AP250&lt;=0,"Aussenlager","teilweise")))))</f>
        <v/>
      </c>
      <c r="BA250" s="53">
        <f>IF(AS250&lt;=0,"",IF(BR250="Aussen","Aussenlager",IF(BR250="-","Nicht im Lift",IF(AX250&gt;=1,"Lift",IF(AX250&lt;=0,"Aussenlager","teilweise")))))</f>
        <v/>
      </c>
      <c r="BB250" s="53">
        <f>IF(A250="","",IF(BK250=1,"Neu; ","")&amp;IF(AND(BK250=0,BF250&lt;0),"negativer Bestand (Export "&amp;BF250&amp;"); ","")&amp;IF(I250&lt;=0,"Kein Verbrauch; ","")&amp;IF(BO250=1,"Lose – Fläche geschätzt; ","")&amp;IF(G250&gt;AM250,"Überbestand "&amp;ROUND(G250-AM250,0)&amp;" Stk / CHF "&amp;ROUND((G250-AM250)*F250,0)&amp;"; ","")&amp;IF(AND(BT250=1,BU250&lt;BV250),"MAX &lt; MB+LG; ","")&amp;IF(AND(BZ250&gt;0,BY250*10&gt;BZ250),"zu hoch für Tablar; ","")&amp;IF(AND(BK250=0,OR(BT250=1,V250&lt;&gt;"",S250&lt;&gt;"",T250&lt;&gt;"",W250&lt;&gt;"")),"manuell übersteuert; ","")&amp;IF(AND(BO250=0,Q250=0),"Gebinde unbekannt; ","")&amp;IF(AND(BO250=0,N(T250)&lt;=0,N(P250)&lt;=0),"Menge pro Gebinde fehlt (Ist = 1 Gebinde); ","")&amp;BJ250)</f>
        <v/>
      </c>
      <c r="BC250" s="53" t="n"/>
      <c r="BD250" s="53" t="n"/>
      <c r="BE250" s="61" t="n"/>
      <c r="BF250" s="55" t="n">
        <v>380</v>
      </c>
      <c r="BG250" s="55" t="n">
        <v>169</v>
      </c>
      <c r="BH250" s="54" t="n">
        <v>495.6600000000001</v>
      </c>
      <c r="BI250" s="55" t="n">
        <v>602</v>
      </c>
      <c r="BJ250" s="53" t="inlineStr"/>
      <c r="BK250" s="58" t="n">
        <v>0</v>
      </c>
      <c r="BL250" s="58" t="n">
        <v>250</v>
      </c>
      <c r="BM250" s="53">
        <f>IF(S250&lt;&gt;"",UPPER(TRIM(S250)),IF(O250="","LOSE",O250))</f>
        <v/>
      </c>
      <c r="BN250" s="55">
        <f>IF(BM250="LOSE",1,IF(N(T250)&gt;0,T250,IF(N(P250)&gt;0,P250,MAX(1,G250))))</f>
        <v/>
      </c>
      <c r="BO250" s="58">
        <f>IF(BM250="LOSE",1,0)</f>
        <v/>
      </c>
      <c r="BP250" s="64">
        <f>IF(BO250=0,0,IF(N(R250)&gt;0,R250,IFERROR(VLOOKUP(D250,Parameter!$A$35:$C$64,3,0)+0,0)))</f>
        <v/>
      </c>
      <c r="BQ250" s="53">
        <f>IF(V250&lt;&gt;"",V250,U250)</f>
        <v/>
      </c>
      <c r="BR250" s="53">
        <f>IF(BQ250=1,"L1",IF(OR(BQ250=2,BQ250=3),"L23",IF(BQ250="Aussen","Aussen","-")))</f>
        <v/>
      </c>
      <c r="BS250" s="66">
        <f>IF(N(W250)&gt;0,W250,0)</f>
        <v/>
      </c>
      <c r="BT250" s="58">
        <f>IF(ISNUMBER(Z250),1,0)</f>
        <v/>
      </c>
      <c r="BU250" s="55">
        <f>N(Z250)</f>
        <v/>
      </c>
      <c r="BV250" s="55">
        <f>N(L250)+N(M250)</f>
        <v/>
      </c>
      <c r="BW250" s="55">
        <f>ROUNDUP(G250/BN250,0)</f>
        <v/>
      </c>
      <c r="BX250" s="55">
        <f>ROUNDUP(BU250/BN250,0)</f>
        <v/>
      </c>
      <c r="BY250" s="58">
        <f>IF(BO250=1,0,IFERROR(VLOOKUP(BM250,'Gebinde-Kategorie'!$A$5:$G$45,5,0)+0,0))</f>
        <v/>
      </c>
      <c r="BZ250" s="58">
        <f>IFERROR(IF(OR(BQ250=1,BQ250=2,BQ250=3),N(INDEX(Parameter!$I$5:$I$7,BQ250)),0),0)</f>
        <v/>
      </c>
    </row>
    <row r="251">
      <c r="A251" s="53" t="inlineStr">
        <is>
          <t>112051</t>
        </is>
      </c>
      <c r="B251" s="53" t="inlineStr">
        <is>
          <t>Flaschenanschluss Luft</t>
        </is>
      </c>
      <c r="C251" s="53" t="inlineStr">
        <is>
          <t>F</t>
        </is>
      </c>
      <c r="D251" s="53" t="inlineStr">
        <is>
          <t>KTL</t>
        </is>
      </c>
      <c r="E251" s="53" t="inlineStr">
        <is>
          <t>C</t>
        </is>
      </c>
      <c r="F251" s="54" t="n">
        <v>32.98</v>
      </c>
      <c r="G251" s="55">
        <f>MAX(0,IF(Parameter!$B$20="Jahresanfang 2025 + Export",BG251+BF251,BF251))</f>
        <v/>
      </c>
      <c r="H251" s="55">
        <f>G251*F251</f>
        <v/>
      </c>
      <c r="I251" s="55">
        <f>BI251*Parameter!$B$18</f>
        <v/>
      </c>
      <c r="J251" s="56" t="n">
        <v>0</v>
      </c>
      <c r="K251" s="57" t="n">
        <v>0</v>
      </c>
      <c r="L251" s="55" t="n">
        <v>0</v>
      </c>
      <c r="M251" s="55" t="n">
        <v>1</v>
      </c>
      <c r="N251" s="58" t="n">
        <v>9999</v>
      </c>
      <c r="O251" s="53" t="inlineStr">
        <is>
          <t>LOSE</t>
        </is>
      </c>
      <c r="P251" s="55" t="n"/>
      <c r="Q251" s="59">
        <f>IF(BO251=1,0,IFERROR(VLOOKUP(BM251,'Gebinde-Kategorie'!$A$5:$G$45,6,0)+0,0))</f>
        <v/>
      </c>
      <c r="R251" s="60" t="n"/>
      <c r="S251" s="61" t="n"/>
      <c r="T251" s="61" t="n"/>
      <c r="U251" s="53">
        <f>IF(A251="","",IF(IFERROR(VLOOKUP(D251,Parameter!$A$35:$C$64,2,0),"Nein")="2+3",IF(ISNUMBER(SEARCH("grosser Artikel",BJ251)),2,IFERROR(VLOOKUP(BM251,Parameter!$F$35:$G$64,2,0),2)),IF(OR(IFERROR(VLOOKUP(D251,Parameter!$A$35:$C$64,2,0),"Nein")="Nein",IFERROR(VLOOKUP(D251,Parameter!$A$35:$C$64,2,0),"Nein")=""),"-",VLOOKUP(D251,Parameter!$A$35:$C$64,2,0))))</f>
        <v/>
      </c>
      <c r="V251" s="61" t="n"/>
      <c r="W251" s="62" t="n"/>
      <c r="X251" s="55">
        <f>AM251</f>
        <v/>
      </c>
      <c r="Y251" s="55">
        <f>MAX(AM251,G251)</f>
        <v/>
      </c>
      <c r="Z251" s="63" t="n"/>
      <c r="AA251" s="55">
        <f>IF(LEFT(Cockpit!$C$5,1)="A",G251,IF(BT251=1,BU251,IF(LEFT(Cockpit!$C$5,1)="B",AE251,MAX(AE251,G251))))</f>
        <v/>
      </c>
      <c r="AB251" s="55">
        <f>IF(BO251=1,0,ROUNDUP(AA251/BN251,0))</f>
        <v/>
      </c>
      <c r="AC251" s="64">
        <f>IF(BO251=1,IF(AA251&lt;=0,0,BP251*MAX(1,IF(G251&gt;0,AA251/G251,1))),AB251*Q251)</f>
        <v/>
      </c>
      <c r="AD251" s="55">
        <f>AA251*F251</f>
        <v/>
      </c>
      <c r="AE251" s="55">
        <f>ROUNDUP(MAX(I251/IF(BS251&gt;0,BS251,MAX(0.1,N(Cockpit!$C$6))),BV251)/BN251,0)*BN251</f>
        <v/>
      </c>
      <c r="AF251" s="56">
        <f>IF(AC251&gt;0,I251/AC251,-1)</f>
        <v/>
      </c>
      <c r="AG251" s="56">
        <f>IF(AND(OR(BR251="L1",BR251="L23"),AC251&gt;0),SUMIFS($AC$7:$AC$1570,$BR$7:$BR$1570,BR251,$AF$7:$AF$1570,"&gt;"&amp;AF251)+SUMIFS($AC$7:$AC$1570,$BR$7:$BR$1570,BR251,$AF$7:$AF$1570,AF251,$BL$7:$BL$1570,"&lt;="&amp;BL251),"")</f>
        <v/>
      </c>
      <c r="AH251" s="65">
        <f>IF(AG251="",0,MAX(0,MIN(1,(IF(BR251="L1",Parameter!$K$5,Parameter!$K$6+Parameter!$K$7)-(AG251-AC251))/AC251)))</f>
        <v/>
      </c>
      <c r="AI251" s="55">
        <f>IF(LEFT(Cockpit!$I$5,1)="A",G251,IF(BT251=1,BU251,IF(LEFT(Cockpit!$I$5,1)="B",AM251,MAX(AM251,G251))))</f>
        <v/>
      </c>
      <c r="AJ251" s="55">
        <f>IF(BO251=1,0,ROUNDUP(AI251/BN251,0))</f>
        <v/>
      </c>
      <c r="AK251" s="64">
        <f>IF(BO251=1,IF(AI251&lt;=0,0,BP251*MAX(1,IF(G251&gt;0,AI251/G251,1))),AJ251*Q251)</f>
        <v/>
      </c>
      <c r="AL251" s="55">
        <f>AI251*F251</f>
        <v/>
      </c>
      <c r="AM251" s="55">
        <f>ROUNDUP(MAX(I251/IF(BS251&gt;0,BS251,MAX(0.1,N(Cockpit!$I$6))),BV251)/BN251,0)*BN251</f>
        <v/>
      </c>
      <c r="AN251" s="56">
        <f>IF(AK251&gt;0,I251/AK251,-1)</f>
        <v/>
      </c>
      <c r="AO251" s="56">
        <f>IF(AND(OR(BR251="L1",BR251="L23"),AK251&gt;0),SUMIFS($AK$7:$AK$1570,$BR$7:$BR$1570,BR251,$AN$7:$AN$1570,"&gt;"&amp;AN251)+SUMIFS($AK$7:$AK$1570,$BR$7:$BR$1570,BR251,$AN$7:$AN$1570,AN251,$BL$7:$BL$1570,"&lt;="&amp;BL251),"")</f>
        <v/>
      </c>
      <c r="AP251" s="65">
        <f>IF(AO251="",0,MAX(0,MIN(1,(IF(BR251="L1",Parameter!$K$5,Parameter!$K$6+Parameter!$K$7)-(AO251-AK251))/AK251)))</f>
        <v/>
      </c>
      <c r="AQ251" s="55">
        <f>IF(LEFT(Cockpit!$O$5,1)="A",G251,IF(BT251=1,BU251,IF(LEFT(Cockpit!$O$5,1)="B",AU251,MAX(AU251,G251))))</f>
        <v/>
      </c>
      <c r="AR251" s="55">
        <f>IF(BO251=1,0,ROUNDUP(AQ251/BN251,0))</f>
        <v/>
      </c>
      <c r="AS251" s="64">
        <f>IF(BO251=1,IF(AQ251&lt;=0,0,BP251*MAX(1,IF(G251&gt;0,AQ251/G251,1))),AR251*Q251)</f>
        <v/>
      </c>
      <c r="AT251" s="55">
        <f>AQ251*F251</f>
        <v/>
      </c>
      <c r="AU251" s="55">
        <f>ROUNDUP(MAX(I251/IF(BS251&gt;0,BS251,MAX(0.1,N(Cockpit!$O$6))),BV251)/BN251,0)*BN251</f>
        <v/>
      </c>
      <c r="AV251" s="56">
        <f>IF(AS251&gt;0,I251/AS251,-1)</f>
        <v/>
      </c>
      <c r="AW251" s="56">
        <f>IF(AND(OR(BR251="L1",BR251="L23"),AS251&gt;0),SUMIFS($AS$7:$AS$1570,$BR$7:$BR$1570,BR251,$AV$7:$AV$1570,"&gt;"&amp;AV251)+SUMIFS($AS$7:$AS$1570,$BR$7:$BR$1570,BR251,$AV$7:$AV$1570,AV251,$BL$7:$BL$1570,"&lt;="&amp;BL251),"")</f>
        <v/>
      </c>
      <c r="AX251" s="65">
        <f>IF(AW251="",0,MAX(0,MIN(1,(IF(BR251="L1",Parameter!$K$5,Parameter!$K$6+Parameter!$K$7)-(AW251-AS251))/AS251)))</f>
        <v/>
      </c>
      <c r="AY251" s="53">
        <f>IF(AC251&lt;=0,"",IF(BR251="Aussen","Aussenlager",IF(BR251="-","Nicht im Lift",IF(AH251&gt;=1,"Lift",IF(AH251&lt;=0,"Aussenlager","teilweise")))))</f>
        <v/>
      </c>
      <c r="AZ251" s="53">
        <f>IF(AK251&lt;=0,"",IF(BR251="Aussen","Aussenlager",IF(BR251="-","Nicht im Lift",IF(AP251&gt;=1,"Lift",IF(AP251&lt;=0,"Aussenlager","teilweise")))))</f>
        <v/>
      </c>
      <c r="BA251" s="53">
        <f>IF(AS251&lt;=0,"",IF(BR251="Aussen","Aussenlager",IF(BR251="-","Nicht im Lift",IF(AX251&gt;=1,"Lift",IF(AX251&lt;=0,"Aussenlager","teilweise")))))</f>
        <v/>
      </c>
      <c r="BB251" s="53">
        <f>IF(A251="","",IF(BK251=1,"Neu; ","")&amp;IF(AND(BK251=0,BF251&lt;0),"negativer Bestand (Export "&amp;BF251&amp;"); ","")&amp;IF(I251&lt;=0,"Kein Verbrauch; ","")&amp;IF(BO251=1,"Lose – Fläche geschätzt; ","")&amp;IF(G251&gt;AM251,"Überbestand "&amp;ROUND(G251-AM251,0)&amp;" Stk / CHF "&amp;ROUND((G251-AM251)*F251,0)&amp;"; ","")&amp;IF(AND(BT251=1,BU251&lt;BV251),"MAX &lt; MB+LG; ","")&amp;IF(AND(BZ251&gt;0,BY251*10&gt;BZ251),"zu hoch für Tablar; ","")&amp;IF(AND(BK251=0,OR(BT251=1,V251&lt;&gt;"",S251&lt;&gt;"",T251&lt;&gt;"",W251&lt;&gt;"")),"manuell übersteuert; ","")&amp;IF(AND(BO251=0,Q251=0),"Gebinde unbekannt; ","")&amp;IF(AND(BO251=0,N(T251)&lt;=0,N(P251)&lt;=0),"Menge pro Gebinde fehlt (Ist = 1 Gebinde); ","")&amp;BJ251)</f>
        <v/>
      </c>
      <c r="BC251" s="53" t="n"/>
      <c r="BD251" s="53" t="n"/>
      <c r="BE251" s="61" t="n"/>
      <c r="BF251" s="55" t="n">
        <v>15</v>
      </c>
      <c r="BG251" s="55" t="n">
        <v>0</v>
      </c>
      <c r="BH251" s="54" t="n">
        <v>494.7</v>
      </c>
      <c r="BI251" s="55" t="n">
        <v>0</v>
      </c>
      <c r="BJ251" s="53" t="inlineStr"/>
      <c r="BK251" s="58" t="n">
        <v>0</v>
      </c>
      <c r="BL251" s="58" t="n">
        <v>251</v>
      </c>
      <c r="BM251" s="53">
        <f>IF(S251&lt;&gt;"",UPPER(TRIM(S251)),IF(O251="","LOSE",O251))</f>
        <v/>
      </c>
      <c r="BN251" s="55">
        <f>IF(BM251="LOSE",1,IF(N(T251)&gt;0,T251,IF(N(P251)&gt;0,P251,MAX(1,G251))))</f>
        <v/>
      </c>
      <c r="BO251" s="58">
        <f>IF(BM251="LOSE",1,0)</f>
        <v/>
      </c>
      <c r="BP251" s="64">
        <f>IF(BO251=0,0,IF(N(R251)&gt;0,R251,IFERROR(VLOOKUP(D251,Parameter!$A$35:$C$64,3,0)+0,0)))</f>
        <v/>
      </c>
      <c r="BQ251" s="53">
        <f>IF(V251&lt;&gt;"",V251,U251)</f>
        <v/>
      </c>
      <c r="BR251" s="53">
        <f>IF(BQ251=1,"L1",IF(OR(BQ251=2,BQ251=3),"L23",IF(BQ251="Aussen","Aussen","-")))</f>
        <v/>
      </c>
      <c r="BS251" s="66">
        <f>IF(N(W251)&gt;0,W251,0)</f>
        <v/>
      </c>
      <c r="BT251" s="58">
        <f>IF(ISNUMBER(Z251),1,0)</f>
        <v/>
      </c>
      <c r="BU251" s="55">
        <f>N(Z251)</f>
        <v/>
      </c>
      <c r="BV251" s="55">
        <f>N(L251)+N(M251)</f>
        <v/>
      </c>
      <c r="BW251" s="55">
        <f>ROUNDUP(G251/BN251,0)</f>
        <v/>
      </c>
      <c r="BX251" s="55">
        <f>ROUNDUP(BU251/BN251,0)</f>
        <v/>
      </c>
      <c r="BY251" s="58">
        <f>IF(BO251=1,0,IFERROR(VLOOKUP(BM251,'Gebinde-Kategorie'!$A$5:$G$45,5,0)+0,0))</f>
        <v/>
      </c>
      <c r="BZ251" s="58">
        <f>IFERROR(IF(OR(BQ251=1,BQ251=2,BQ251=3),N(INDEX(Parameter!$I$5:$I$7,BQ251)),0),0)</f>
        <v/>
      </c>
    </row>
    <row r="252">
      <c r="A252" s="53" t="inlineStr">
        <is>
          <t>103823</t>
        </is>
      </c>
      <c r="B252" s="53" t="inlineStr">
        <is>
          <t>Blinddeckel</t>
        </is>
      </c>
      <c r="C252" s="53" t="inlineStr">
        <is>
          <t>F</t>
        </is>
      </c>
      <c r="D252" s="53" t="inlineStr">
        <is>
          <t>KTL</t>
        </is>
      </c>
      <c r="E252" s="53" t="inlineStr">
        <is>
          <t>C</t>
        </is>
      </c>
      <c r="F252" s="54" t="n">
        <v>11.85</v>
      </c>
      <c r="G252" s="55">
        <f>MAX(0,IF(Parameter!$B$20="Jahresanfang 2025 + Export",BG252+BF252,BF252))</f>
        <v/>
      </c>
      <c r="H252" s="55">
        <f>G252*F252</f>
        <v/>
      </c>
      <c r="I252" s="55">
        <f>BI252*Parameter!$B$18</f>
        <v/>
      </c>
      <c r="J252" s="56" t="n">
        <v>28</v>
      </c>
      <c r="K252" s="57" t="n">
        <v>2.571428571428572</v>
      </c>
      <c r="L252" s="55" t="n">
        <v>5</v>
      </c>
      <c r="M252" s="55" t="n">
        <v>70</v>
      </c>
      <c r="N252" s="58" t="n">
        <v>28</v>
      </c>
      <c r="O252" s="53" t="inlineStr">
        <is>
          <t>S51</t>
        </is>
      </c>
      <c r="P252" s="55" t="n">
        <v>25</v>
      </c>
      <c r="Q252" s="59">
        <f>IF(BO252=1,0,IFERROR(VLOOKUP(BM252,'Gebinde-Kategorie'!$A$5:$G$45,6,0)+0,0))</f>
        <v/>
      </c>
      <c r="R252" s="60" t="n"/>
      <c r="S252" s="61" t="n"/>
      <c r="T252" s="61" t="n"/>
      <c r="U252" s="53">
        <f>IF(A252="","",IF(IFERROR(VLOOKUP(D252,Parameter!$A$35:$C$64,2,0),"Nein")="2+3",IF(ISNUMBER(SEARCH("grosser Artikel",BJ252)),2,IFERROR(VLOOKUP(BM252,Parameter!$F$35:$G$64,2,0),2)),IF(OR(IFERROR(VLOOKUP(D252,Parameter!$A$35:$C$64,2,0),"Nein")="Nein",IFERROR(VLOOKUP(D252,Parameter!$A$35:$C$64,2,0),"Nein")=""),"-",VLOOKUP(D252,Parameter!$A$35:$C$64,2,0))))</f>
        <v/>
      </c>
      <c r="V252" s="61" t="n"/>
      <c r="W252" s="62" t="n"/>
      <c r="X252" s="55">
        <f>AM252</f>
        <v/>
      </c>
      <c r="Y252" s="55">
        <f>MAX(AM252,G252)</f>
        <v/>
      </c>
      <c r="Z252" s="63" t="n"/>
      <c r="AA252" s="55">
        <f>IF(LEFT(Cockpit!$C$5,1)="A",G252,IF(BT252=1,BU252,IF(LEFT(Cockpit!$C$5,1)="B",AE252,MAX(AE252,G252))))</f>
        <v/>
      </c>
      <c r="AB252" s="55">
        <f>IF(BO252=1,0,ROUNDUP(AA252/BN252,0))</f>
        <v/>
      </c>
      <c r="AC252" s="64">
        <f>IF(BO252=1,IF(AA252&lt;=0,0,BP252*MAX(1,IF(G252&gt;0,AA252/G252,1))),AB252*Q252)</f>
        <v/>
      </c>
      <c r="AD252" s="55">
        <f>AA252*F252</f>
        <v/>
      </c>
      <c r="AE252" s="55">
        <f>ROUNDUP(MAX(I252/IF(BS252&gt;0,BS252,MAX(0.1,N(Cockpit!$C$6))),BV252)/BN252,0)*BN252</f>
        <v/>
      </c>
      <c r="AF252" s="56">
        <f>IF(AC252&gt;0,I252/AC252,-1)</f>
        <v/>
      </c>
      <c r="AG252" s="56">
        <f>IF(AND(OR(BR252="L1",BR252="L23"),AC252&gt;0),SUMIFS($AC$7:$AC$1570,$BR$7:$BR$1570,BR252,$AF$7:$AF$1570,"&gt;"&amp;AF252)+SUMIFS($AC$7:$AC$1570,$BR$7:$BR$1570,BR252,$AF$7:$AF$1570,AF252,$BL$7:$BL$1570,"&lt;="&amp;BL252),"")</f>
        <v/>
      </c>
      <c r="AH252" s="65">
        <f>IF(AG252="",0,MAX(0,MIN(1,(IF(BR252="L1",Parameter!$K$5,Parameter!$K$6+Parameter!$K$7)-(AG252-AC252))/AC252)))</f>
        <v/>
      </c>
      <c r="AI252" s="55">
        <f>IF(LEFT(Cockpit!$I$5,1)="A",G252,IF(BT252=1,BU252,IF(LEFT(Cockpit!$I$5,1)="B",AM252,MAX(AM252,G252))))</f>
        <v/>
      </c>
      <c r="AJ252" s="55">
        <f>IF(BO252=1,0,ROUNDUP(AI252/BN252,0))</f>
        <v/>
      </c>
      <c r="AK252" s="64">
        <f>IF(BO252=1,IF(AI252&lt;=0,0,BP252*MAX(1,IF(G252&gt;0,AI252/G252,1))),AJ252*Q252)</f>
        <v/>
      </c>
      <c r="AL252" s="55">
        <f>AI252*F252</f>
        <v/>
      </c>
      <c r="AM252" s="55">
        <f>ROUNDUP(MAX(I252/IF(BS252&gt;0,BS252,MAX(0.1,N(Cockpit!$I$6))),BV252)/BN252,0)*BN252</f>
        <v/>
      </c>
      <c r="AN252" s="56">
        <f>IF(AK252&gt;0,I252/AK252,-1)</f>
        <v/>
      </c>
      <c r="AO252" s="56">
        <f>IF(AND(OR(BR252="L1",BR252="L23"),AK252&gt;0),SUMIFS($AK$7:$AK$1570,$BR$7:$BR$1570,BR252,$AN$7:$AN$1570,"&gt;"&amp;AN252)+SUMIFS($AK$7:$AK$1570,$BR$7:$BR$1570,BR252,$AN$7:$AN$1570,AN252,$BL$7:$BL$1570,"&lt;="&amp;BL252),"")</f>
        <v/>
      </c>
      <c r="AP252" s="65">
        <f>IF(AO252="",0,MAX(0,MIN(1,(IF(BR252="L1",Parameter!$K$5,Parameter!$K$6+Parameter!$K$7)-(AO252-AK252))/AK252)))</f>
        <v/>
      </c>
      <c r="AQ252" s="55">
        <f>IF(LEFT(Cockpit!$O$5,1)="A",G252,IF(BT252=1,BU252,IF(LEFT(Cockpit!$O$5,1)="B",AU252,MAX(AU252,G252))))</f>
        <v/>
      </c>
      <c r="AR252" s="55">
        <f>IF(BO252=1,0,ROUNDUP(AQ252/BN252,0))</f>
        <v/>
      </c>
      <c r="AS252" s="64">
        <f>IF(BO252=1,IF(AQ252&lt;=0,0,BP252*MAX(1,IF(G252&gt;0,AQ252/G252,1))),AR252*Q252)</f>
        <v/>
      </c>
      <c r="AT252" s="55">
        <f>AQ252*F252</f>
        <v/>
      </c>
      <c r="AU252" s="55">
        <f>ROUNDUP(MAX(I252/IF(BS252&gt;0,BS252,MAX(0.1,N(Cockpit!$O$6))),BV252)/BN252,0)*BN252</f>
        <v/>
      </c>
      <c r="AV252" s="56">
        <f>IF(AS252&gt;0,I252/AS252,-1)</f>
        <v/>
      </c>
      <c r="AW252" s="56">
        <f>IF(AND(OR(BR252="L1",BR252="L23"),AS252&gt;0),SUMIFS($AS$7:$AS$1570,$BR$7:$BR$1570,BR252,$AV$7:$AV$1570,"&gt;"&amp;AV252)+SUMIFS($AS$7:$AS$1570,$BR$7:$BR$1570,BR252,$AV$7:$AV$1570,AV252,$BL$7:$BL$1570,"&lt;="&amp;BL252),"")</f>
        <v/>
      </c>
      <c r="AX252" s="65">
        <f>IF(AW252="",0,MAX(0,MIN(1,(IF(BR252="L1",Parameter!$K$5,Parameter!$K$6+Parameter!$K$7)-(AW252-AS252))/AS252)))</f>
        <v/>
      </c>
      <c r="AY252" s="53">
        <f>IF(AC252&lt;=0,"",IF(BR252="Aussen","Aussenlager",IF(BR252="-","Nicht im Lift",IF(AH252&gt;=1,"Lift",IF(AH252&lt;=0,"Aussenlager","teilweise")))))</f>
        <v/>
      </c>
      <c r="AZ252" s="53">
        <f>IF(AK252&lt;=0,"",IF(BR252="Aussen","Aussenlager",IF(BR252="-","Nicht im Lift",IF(AP252&gt;=1,"Lift",IF(AP252&lt;=0,"Aussenlager","teilweise")))))</f>
        <v/>
      </c>
      <c r="BA252" s="53">
        <f>IF(AS252&lt;=0,"",IF(BR252="Aussen","Aussenlager",IF(BR252="-","Nicht im Lift",IF(AX252&gt;=1,"Lift",IF(AX252&lt;=0,"Aussenlager","teilweise")))))</f>
        <v/>
      </c>
      <c r="BB252" s="53">
        <f>IF(A252="","",IF(BK252=1,"Neu; ","")&amp;IF(AND(BK252=0,BF252&lt;0),"negativer Bestand (Export "&amp;BF252&amp;"); ","")&amp;IF(I252&lt;=0,"Kein Verbrauch; ","")&amp;IF(BO252=1,"Lose – Fläche geschätzt; ","")&amp;IF(G252&gt;AM252,"Überbestand "&amp;ROUND(G252-AM252,0)&amp;" Stk / CHF "&amp;ROUND((G252-AM252)*F252,0)&amp;"; ","")&amp;IF(AND(BT252=1,BU252&lt;BV252),"MAX &lt; MB+LG; ","")&amp;IF(AND(BZ252&gt;0,BY252*10&gt;BZ252),"zu hoch für Tablar; ","")&amp;IF(AND(BK252=0,OR(BT252=1,V252&lt;&gt;"",S252&lt;&gt;"",T252&lt;&gt;"",W252&lt;&gt;"")),"manuell übersteuert; ","")&amp;IF(AND(BO252=0,Q252=0),"Gebinde unbekannt; ","")&amp;IF(AND(BO252=0,N(T252)&lt;=0,N(P252)&lt;=0),"Menge pro Gebinde fehlt (Ist = 1 Gebinde); ","")&amp;BJ252)</f>
        <v/>
      </c>
      <c r="BC252" s="53" t="n"/>
      <c r="BD252" s="53" t="n"/>
      <c r="BE252" s="61" t="n"/>
      <c r="BF252" s="55" t="n">
        <v>45</v>
      </c>
      <c r="BG252" s="55" t="n">
        <v>24</v>
      </c>
      <c r="BH252" s="54" t="n">
        <v>492.9299999999984</v>
      </c>
      <c r="BI252" s="55" t="n">
        <v>72</v>
      </c>
      <c r="BJ252" s="53" t="inlineStr"/>
      <c r="BK252" s="58" t="n">
        <v>0</v>
      </c>
      <c r="BL252" s="58" t="n">
        <v>252</v>
      </c>
      <c r="BM252" s="53">
        <f>IF(S252&lt;&gt;"",UPPER(TRIM(S252)),IF(O252="","LOSE",O252))</f>
        <v/>
      </c>
      <c r="BN252" s="55">
        <f>IF(BM252="LOSE",1,IF(N(T252)&gt;0,T252,IF(N(P252)&gt;0,P252,MAX(1,G252))))</f>
        <v/>
      </c>
      <c r="BO252" s="58">
        <f>IF(BM252="LOSE",1,0)</f>
        <v/>
      </c>
      <c r="BP252" s="64">
        <f>IF(BO252=0,0,IF(N(R252)&gt;0,R252,IFERROR(VLOOKUP(D252,Parameter!$A$35:$C$64,3,0)+0,0)))</f>
        <v/>
      </c>
      <c r="BQ252" s="53">
        <f>IF(V252&lt;&gt;"",V252,U252)</f>
        <v/>
      </c>
      <c r="BR252" s="53">
        <f>IF(BQ252=1,"L1",IF(OR(BQ252=2,BQ252=3),"L23",IF(BQ252="Aussen","Aussen","-")))</f>
        <v/>
      </c>
      <c r="BS252" s="66">
        <f>IF(N(W252)&gt;0,W252,0)</f>
        <v/>
      </c>
      <c r="BT252" s="58">
        <f>IF(ISNUMBER(Z252),1,0)</f>
        <v/>
      </c>
      <c r="BU252" s="55">
        <f>N(Z252)</f>
        <v/>
      </c>
      <c r="BV252" s="55">
        <f>N(L252)+N(M252)</f>
        <v/>
      </c>
      <c r="BW252" s="55">
        <f>ROUNDUP(G252/BN252,0)</f>
        <v/>
      </c>
      <c r="BX252" s="55">
        <f>ROUNDUP(BU252/BN252,0)</f>
        <v/>
      </c>
      <c r="BY252" s="58">
        <f>IF(BO252=1,0,IFERROR(VLOOKUP(BM252,'Gebinde-Kategorie'!$A$5:$G$45,5,0)+0,0))</f>
        <v/>
      </c>
      <c r="BZ252" s="58">
        <f>IFERROR(IF(OR(BQ252=1,BQ252=2,BQ252=3),N(INDEX(Parameter!$I$5:$I$7,BQ252)),0),0)</f>
        <v/>
      </c>
    </row>
    <row r="253">
      <c r="A253" s="53" t="inlineStr">
        <is>
          <t>112021</t>
        </is>
      </c>
      <c r="B253" s="53" t="inlineStr">
        <is>
          <t>Montageblech</t>
        </is>
      </c>
      <c r="C253" s="53" t="inlineStr">
        <is>
          <t>F</t>
        </is>
      </c>
      <c r="D253" s="53" t="inlineStr">
        <is>
          <t>PAL</t>
        </is>
      </c>
      <c r="E253" s="53" t="inlineStr">
        <is>
          <t>C</t>
        </is>
      </c>
      <c r="F253" s="54" t="n">
        <v>32.33</v>
      </c>
      <c r="G253" s="55">
        <f>MAX(0,IF(Parameter!$B$20="Jahresanfang 2025 + Export",BG253+BF253,BF253))</f>
        <v/>
      </c>
      <c r="H253" s="55">
        <f>G253*F253</f>
        <v/>
      </c>
      <c r="I253" s="55">
        <f>BI253*Parameter!$B$18</f>
        <v/>
      </c>
      <c r="J253" s="56" t="n">
        <v>0</v>
      </c>
      <c r="K253" s="57" t="n">
        <v>0</v>
      </c>
      <c r="L253" s="55" t="n">
        <v>0</v>
      </c>
      <c r="M253" s="55" t="n">
        <v>1</v>
      </c>
      <c r="N253" s="58" t="n">
        <v>9999</v>
      </c>
      <c r="O253" s="53" t="inlineStr">
        <is>
          <t>LOSE</t>
        </is>
      </c>
      <c r="P253" s="55" t="n"/>
      <c r="Q253" s="59">
        <f>IF(BO253=1,0,IFERROR(VLOOKUP(BM253,'Gebinde-Kategorie'!$A$5:$G$45,6,0)+0,0))</f>
        <v/>
      </c>
      <c r="R253" s="60" t="n"/>
      <c r="S253" s="61" t="n"/>
      <c r="T253" s="61" t="n"/>
      <c r="U253" s="53">
        <f>IF(A253="","",IF(IFERROR(VLOOKUP(D253,Parameter!$A$35:$C$64,2,0),"Nein")="2+3",IF(ISNUMBER(SEARCH("grosser Artikel",BJ253)),2,IFERROR(VLOOKUP(BM253,Parameter!$F$35:$G$64,2,0),2)),IF(OR(IFERROR(VLOOKUP(D253,Parameter!$A$35:$C$64,2,0),"Nein")="Nein",IFERROR(VLOOKUP(D253,Parameter!$A$35:$C$64,2,0),"Nein")=""),"-",VLOOKUP(D253,Parameter!$A$35:$C$64,2,0))))</f>
        <v/>
      </c>
      <c r="V253" s="61" t="n"/>
      <c r="W253" s="62" t="n"/>
      <c r="X253" s="55">
        <f>AM253</f>
        <v/>
      </c>
      <c r="Y253" s="55">
        <f>MAX(AM253,G253)</f>
        <v/>
      </c>
      <c r="Z253" s="63" t="n"/>
      <c r="AA253" s="55">
        <f>IF(LEFT(Cockpit!$C$5,1)="A",G253,IF(BT253=1,BU253,IF(LEFT(Cockpit!$C$5,1)="B",AE253,MAX(AE253,G253))))</f>
        <v/>
      </c>
      <c r="AB253" s="55">
        <f>IF(BO253=1,0,ROUNDUP(AA253/BN253,0))</f>
        <v/>
      </c>
      <c r="AC253" s="64">
        <f>IF(BO253=1,IF(AA253&lt;=0,0,BP253*MAX(1,IF(G253&gt;0,AA253/G253,1))),AB253*Q253)</f>
        <v/>
      </c>
      <c r="AD253" s="55">
        <f>AA253*F253</f>
        <v/>
      </c>
      <c r="AE253" s="55">
        <f>ROUNDUP(MAX(I253/IF(BS253&gt;0,BS253,MAX(0.1,N(Cockpit!$C$6))),BV253)/BN253,0)*BN253</f>
        <v/>
      </c>
      <c r="AF253" s="56">
        <f>IF(AC253&gt;0,I253/AC253,-1)</f>
        <v/>
      </c>
      <c r="AG253" s="56">
        <f>IF(AND(OR(BR253="L1",BR253="L23"),AC253&gt;0),SUMIFS($AC$7:$AC$1570,$BR$7:$BR$1570,BR253,$AF$7:$AF$1570,"&gt;"&amp;AF253)+SUMIFS($AC$7:$AC$1570,$BR$7:$BR$1570,BR253,$AF$7:$AF$1570,AF253,$BL$7:$BL$1570,"&lt;="&amp;BL253),"")</f>
        <v/>
      </c>
      <c r="AH253" s="65">
        <f>IF(AG253="",0,MAX(0,MIN(1,(IF(BR253="L1",Parameter!$K$5,Parameter!$K$6+Parameter!$K$7)-(AG253-AC253))/AC253)))</f>
        <v/>
      </c>
      <c r="AI253" s="55">
        <f>IF(LEFT(Cockpit!$I$5,1)="A",G253,IF(BT253=1,BU253,IF(LEFT(Cockpit!$I$5,1)="B",AM253,MAX(AM253,G253))))</f>
        <v/>
      </c>
      <c r="AJ253" s="55">
        <f>IF(BO253=1,0,ROUNDUP(AI253/BN253,0))</f>
        <v/>
      </c>
      <c r="AK253" s="64">
        <f>IF(BO253=1,IF(AI253&lt;=0,0,BP253*MAX(1,IF(G253&gt;0,AI253/G253,1))),AJ253*Q253)</f>
        <v/>
      </c>
      <c r="AL253" s="55">
        <f>AI253*F253</f>
        <v/>
      </c>
      <c r="AM253" s="55">
        <f>ROUNDUP(MAX(I253/IF(BS253&gt;0,BS253,MAX(0.1,N(Cockpit!$I$6))),BV253)/BN253,0)*BN253</f>
        <v/>
      </c>
      <c r="AN253" s="56">
        <f>IF(AK253&gt;0,I253/AK253,-1)</f>
        <v/>
      </c>
      <c r="AO253" s="56">
        <f>IF(AND(OR(BR253="L1",BR253="L23"),AK253&gt;0),SUMIFS($AK$7:$AK$1570,$BR$7:$BR$1570,BR253,$AN$7:$AN$1570,"&gt;"&amp;AN253)+SUMIFS($AK$7:$AK$1570,$BR$7:$BR$1570,BR253,$AN$7:$AN$1570,AN253,$BL$7:$BL$1570,"&lt;="&amp;BL253),"")</f>
        <v/>
      </c>
      <c r="AP253" s="65">
        <f>IF(AO253="",0,MAX(0,MIN(1,(IF(BR253="L1",Parameter!$K$5,Parameter!$K$6+Parameter!$K$7)-(AO253-AK253))/AK253)))</f>
        <v/>
      </c>
      <c r="AQ253" s="55">
        <f>IF(LEFT(Cockpit!$O$5,1)="A",G253,IF(BT253=1,BU253,IF(LEFT(Cockpit!$O$5,1)="B",AU253,MAX(AU253,G253))))</f>
        <v/>
      </c>
      <c r="AR253" s="55">
        <f>IF(BO253=1,0,ROUNDUP(AQ253/BN253,0))</f>
        <v/>
      </c>
      <c r="AS253" s="64">
        <f>IF(BO253=1,IF(AQ253&lt;=0,0,BP253*MAX(1,IF(G253&gt;0,AQ253/G253,1))),AR253*Q253)</f>
        <v/>
      </c>
      <c r="AT253" s="55">
        <f>AQ253*F253</f>
        <v/>
      </c>
      <c r="AU253" s="55">
        <f>ROUNDUP(MAX(I253/IF(BS253&gt;0,BS253,MAX(0.1,N(Cockpit!$O$6))),BV253)/BN253,0)*BN253</f>
        <v/>
      </c>
      <c r="AV253" s="56">
        <f>IF(AS253&gt;0,I253/AS253,-1)</f>
        <v/>
      </c>
      <c r="AW253" s="56">
        <f>IF(AND(OR(BR253="L1",BR253="L23"),AS253&gt;0),SUMIFS($AS$7:$AS$1570,$BR$7:$BR$1570,BR253,$AV$7:$AV$1570,"&gt;"&amp;AV253)+SUMIFS($AS$7:$AS$1570,$BR$7:$BR$1570,BR253,$AV$7:$AV$1570,AV253,$BL$7:$BL$1570,"&lt;="&amp;BL253),"")</f>
        <v/>
      </c>
      <c r="AX253" s="65">
        <f>IF(AW253="",0,MAX(0,MIN(1,(IF(BR253="L1",Parameter!$K$5,Parameter!$K$6+Parameter!$K$7)-(AW253-AS253))/AS253)))</f>
        <v/>
      </c>
      <c r="AY253" s="53">
        <f>IF(AC253&lt;=0,"",IF(BR253="Aussen","Aussenlager",IF(BR253="-","Nicht im Lift",IF(AH253&gt;=1,"Lift",IF(AH253&lt;=0,"Aussenlager","teilweise")))))</f>
        <v/>
      </c>
      <c r="AZ253" s="53">
        <f>IF(AK253&lt;=0,"",IF(BR253="Aussen","Aussenlager",IF(BR253="-","Nicht im Lift",IF(AP253&gt;=1,"Lift",IF(AP253&lt;=0,"Aussenlager","teilweise")))))</f>
        <v/>
      </c>
      <c r="BA253" s="53">
        <f>IF(AS253&lt;=0,"",IF(BR253="Aussen","Aussenlager",IF(BR253="-","Nicht im Lift",IF(AX253&gt;=1,"Lift",IF(AX253&lt;=0,"Aussenlager","teilweise")))))</f>
        <v/>
      </c>
      <c r="BB253" s="53">
        <f>IF(A253="","",IF(BK253=1,"Neu; ","")&amp;IF(AND(BK253=0,BF253&lt;0),"negativer Bestand (Export "&amp;BF253&amp;"); ","")&amp;IF(I253&lt;=0,"Kein Verbrauch; ","")&amp;IF(BO253=1,"Lose – Fläche geschätzt; ","")&amp;IF(G253&gt;AM253,"Überbestand "&amp;ROUND(G253-AM253,0)&amp;" Stk / CHF "&amp;ROUND((G253-AM253)*F253,0)&amp;"; ","")&amp;IF(AND(BT253=1,BU253&lt;BV253),"MAX &lt; MB+LG; ","")&amp;IF(AND(BZ253&gt;0,BY253*10&gt;BZ253),"zu hoch für Tablar; ","")&amp;IF(AND(BK253=0,OR(BT253=1,V253&lt;&gt;"",S253&lt;&gt;"",T253&lt;&gt;"",W253&lt;&gt;"")),"manuell übersteuert; ","")&amp;IF(AND(BO253=0,Q253=0),"Gebinde unbekannt; ","")&amp;IF(AND(BO253=0,N(T253)&lt;=0,N(P253)&lt;=0),"Menge pro Gebinde fehlt (Ist = 1 Gebinde); ","")&amp;BJ253)</f>
        <v/>
      </c>
      <c r="BC253" s="53" t="n"/>
      <c r="BD253" s="53" t="n"/>
      <c r="BE253" s="61" t="n"/>
      <c r="BF253" s="55" t="n">
        <v>15</v>
      </c>
      <c r="BG253" s="55" t="n">
        <v>0</v>
      </c>
      <c r="BH253" s="54" t="n">
        <v>484.95</v>
      </c>
      <c r="BI253" s="55" t="n">
        <v>0</v>
      </c>
      <c r="BJ253" s="53" t="inlineStr"/>
      <c r="BK253" s="58" t="n">
        <v>0</v>
      </c>
      <c r="BL253" s="58" t="n">
        <v>253</v>
      </c>
      <c r="BM253" s="53">
        <f>IF(S253&lt;&gt;"",UPPER(TRIM(S253)),IF(O253="","LOSE",O253))</f>
        <v/>
      </c>
      <c r="BN253" s="55">
        <f>IF(BM253="LOSE",1,IF(N(T253)&gt;0,T253,IF(N(P253)&gt;0,P253,MAX(1,G253))))</f>
        <v/>
      </c>
      <c r="BO253" s="58">
        <f>IF(BM253="LOSE",1,0)</f>
        <v/>
      </c>
      <c r="BP253" s="64">
        <f>IF(BO253=0,0,IF(N(R253)&gt;0,R253,IFERROR(VLOOKUP(D253,Parameter!$A$35:$C$64,3,0)+0,0)))</f>
        <v/>
      </c>
      <c r="BQ253" s="53">
        <f>IF(V253&lt;&gt;"",V253,U253)</f>
        <v/>
      </c>
      <c r="BR253" s="53">
        <f>IF(BQ253=1,"L1",IF(OR(BQ253=2,BQ253=3),"L23",IF(BQ253="Aussen","Aussen","-")))</f>
        <v/>
      </c>
      <c r="BS253" s="66">
        <f>IF(N(W253)&gt;0,W253,0)</f>
        <v/>
      </c>
      <c r="BT253" s="58">
        <f>IF(ISNUMBER(Z253),1,0)</f>
        <v/>
      </c>
      <c r="BU253" s="55">
        <f>N(Z253)</f>
        <v/>
      </c>
      <c r="BV253" s="55">
        <f>N(L253)+N(M253)</f>
        <v/>
      </c>
      <c r="BW253" s="55">
        <f>ROUNDUP(G253/BN253,0)</f>
        <v/>
      </c>
      <c r="BX253" s="55">
        <f>ROUNDUP(BU253/BN253,0)</f>
        <v/>
      </c>
      <c r="BY253" s="58">
        <f>IF(BO253=1,0,IFERROR(VLOOKUP(BM253,'Gebinde-Kategorie'!$A$5:$G$45,5,0)+0,0))</f>
        <v/>
      </c>
      <c r="BZ253" s="58">
        <f>IFERROR(IF(OR(BQ253=1,BQ253=2,BQ253=3),N(INDEX(Parameter!$I$5:$I$7,BQ253)),0),0)</f>
        <v/>
      </c>
    </row>
    <row r="254">
      <c r="A254" s="53" t="inlineStr">
        <is>
          <t>110882</t>
        </is>
      </c>
      <c r="B254" s="53" t="inlineStr">
        <is>
          <t>Koffer</t>
        </is>
      </c>
      <c r="C254" s="53" t="inlineStr">
        <is>
          <t>F</t>
        </is>
      </c>
      <c r="D254" s="53" t="inlineStr">
        <is>
          <t>PAL</t>
        </is>
      </c>
      <c r="E254" s="53" t="inlineStr">
        <is>
          <t>C</t>
        </is>
      </c>
      <c r="F254" s="54" t="n">
        <v>118.62</v>
      </c>
      <c r="G254" s="55">
        <f>MAX(0,IF(Parameter!$B$20="Jahresanfang 2025 + Export",BG254+BF254,BF254))</f>
        <v/>
      </c>
      <c r="H254" s="55">
        <f>G254*F254</f>
        <v/>
      </c>
      <c r="I254" s="55">
        <f>BI254*Parameter!$B$18</f>
        <v/>
      </c>
      <c r="J254" s="56" t="n">
        <v>1.5</v>
      </c>
      <c r="K254" s="57" t="n">
        <v>1.333333333333333</v>
      </c>
      <c r="L254" s="55" t="n">
        <v>0</v>
      </c>
      <c r="M254" s="55" t="n">
        <v>1</v>
      </c>
      <c r="N254" s="58" t="n">
        <v>31</v>
      </c>
      <c r="O254" s="53" t="inlineStr">
        <is>
          <t>LOSE</t>
        </is>
      </c>
      <c r="P254" s="55" t="n"/>
      <c r="Q254" s="59">
        <f>IF(BO254=1,0,IFERROR(VLOOKUP(BM254,'Gebinde-Kategorie'!$A$5:$G$45,6,0)+0,0))</f>
        <v/>
      </c>
      <c r="R254" s="60" t="n"/>
      <c r="S254" s="61" t="n"/>
      <c r="T254" s="61" t="n"/>
      <c r="U254" s="53">
        <f>IF(A254="","",IF(IFERROR(VLOOKUP(D254,Parameter!$A$35:$C$64,2,0),"Nein")="2+3",IF(ISNUMBER(SEARCH("grosser Artikel",BJ254)),2,IFERROR(VLOOKUP(BM254,Parameter!$F$35:$G$64,2,0),2)),IF(OR(IFERROR(VLOOKUP(D254,Parameter!$A$35:$C$64,2,0),"Nein")="Nein",IFERROR(VLOOKUP(D254,Parameter!$A$35:$C$64,2,0),"Nein")=""),"-",VLOOKUP(D254,Parameter!$A$35:$C$64,2,0))))</f>
        <v/>
      </c>
      <c r="V254" s="61" t="n"/>
      <c r="W254" s="62" t="n"/>
      <c r="X254" s="55">
        <f>AM254</f>
        <v/>
      </c>
      <c r="Y254" s="55">
        <f>MAX(AM254,G254)</f>
        <v/>
      </c>
      <c r="Z254" s="63" t="n"/>
      <c r="AA254" s="55">
        <f>IF(LEFT(Cockpit!$C$5,1)="A",G254,IF(BT254=1,BU254,IF(LEFT(Cockpit!$C$5,1)="B",AE254,MAX(AE254,G254))))</f>
        <v/>
      </c>
      <c r="AB254" s="55">
        <f>IF(BO254=1,0,ROUNDUP(AA254/BN254,0))</f>
        <v/>
      </c>
      <c r="AC254" s="64">
        <f>IF(BO254=1,IF(AA254&lt;=0,0,BP254*MAX(1,IF(G254&gt;0,AA254/G254,1))),AB254*Q254)</f>
        <v/>
      </c>
      <c r="AD254" s="55">
        <f>AA254*F254</f>
        <v/>
      </c>
      <c r="AE254" s="55">
        <f>ROUNDUP(MAX(I254/IF(BS254&gt;0,BS254,MAX(0.1,N(Cockpit!$C$6))),BV254)/BN254,0)*BN254</f>
        <v/>
      </c>
      <c r="AF254" s="56">
        <f>IF(AC254&gt;0,I254/AC254,-1)</f>
        <v/>
      </c>
      <c r="AG254" s="56">
        <f>IF(AND(OR(BR254="L1",BR254="L23"),AC254&gt;0),SUMIFS($AC$7:$AC$1570,$BR$7:$BR$1570,BR254,$AF$7:$AF$1570,"&gt;"&amp;AF254)+SUMIFS($AC$7:$AC$1570,$BR$7:$BR$1570,BR254,$AF$7:$AF$1570,AF254,$BL$7:$BL$1570,"&lt;="&amp;BL254),"")</f>
        <v/>
      </c>
      <c r="AH254" s="65">
        <f>IF(AG254="",0,MAX(0,MIN(1,(IF(BR254="L1",Parameter!$K$5,Parameter!$K$6+Parameter!$K$7)-(AG254-AC254))/AC254)))</f>
        <v/>
      </c>
      <c r="AI254" s="55">
        <f>IF(LEFT(Cockpit!$I$5,1)="A",G254,IF(BT254=1,BU254,IF(LEFT(Cockpit!$I$5,1)="B",AM254,MAX(AM254,G254))))</f>
        <v/>
      </c>
      <c r="AJ254" s="55">
        <f>IF(BO254=1,0,ROUNDUP(AI254/BN254,0))</f>
        <v/>
      </c>
      <c r="AK254" s="64">
        <f>IF(BO254=1,IF(AI254&lt;=0,0,BP254*MAX(1,IF(G254&gt;0,AI254/G254,1))),AJ254*Q254)</f>
        <v/>
      </c>
      <c r="AL254" s="55">
        <f>AI254*F254</f>
        <v/>
      </c>
      <c r="AM254" s="55">
        <f>ROUNDUP(MAX(I254/IF(BS254&gt;0,BS254,MAX(0.1,N(Cockpit!$I$6))),BV254)/BN254,0)*BN254</f>
        <v/>
      </c>
      <c r="AN254" s="56">
        <f>IF(AK254&gt;0,I254/AK254,-1)</f>
        <v/>
      </c>
      <c r="AO254" s="56">
        <f>IF(AND(OR(BR254="L1",BR254="L23"),AK254&gt;0),SUMIFS($AK$7:$AK$1570,$BR$7:$BR$1570,BR254,$AN$7:$AN$1570,"&gt;"&amp;AN254)+SUMIFS($AK$7:$AK$1570,$BR$7:$BR$1570,BR254,$AN$7:$AN$1570,AN254,$BL$7:$BL$1570,"&lt;="&amp;BL254),"")</f>
        <v/>
      </c>
      <c r="AP254" s="65">
        <f>IF(AO254="",0,MAX(0,MIN(1,(IF(BR254="L1",Parameter!$K$5,Parameter!$K$6+Parameter!$K$7)-(AO254-AK254))/AK254)))</f>
        <v/>
      </c>
      <c r="AQ254" s="55">
        <f>IF(LEFT(Cockpit!$O$5,1)="A",G254,IF(BT254=1,BU254,IF(LEFT(Cockpit!$O$5,1)="B",AU254,MAX(AU254,G254))))</f>
        <v/>
      </c>
      <c r="AR254" s="55">
        <f>IF(BO254=1,0,ROUNDUP(AQ254/BN254,0))</f>
        <v/>
      </c>
      <c r="AS254" s="64">
        <f>IF(BO254=1,IF(AQ254&lt;=0,0,BP254*MAX(1,IF(G254&gt;0,AQ254/G254,1))),AR254*Q254)</f>
        <v/>
      </c>
      <c r="AT254" s="55">
        <f>AQ254*F254</f>
        <v/>
      </c>
      <c r="AU254" s="55">
        <f>ROUNDUP(MAX(I254/IF(BS254&gt;0,BS254,MAX(0.1,N(Cockpit!$O$6))),BV254)/BN254,0)*BN254</f>
        <v/>
      </c>
      <c r="AV254" s="56">
        <f>IF(AS254&gt;0,I254/AS254,-1)</f>
        <v/>
      </c>
      <c r="AW254" s="56">
        <f>IF(AND(OR(BR254="L1",BR254="L23"),AS254&gt;0),SUMIFS($AS$7:$AS$1570,$BR$7:$BR$1570,BR254,$AV$7:$AV$1570,"&gt;"&amp;AV254)+SUMIFS($AS$7:$AS$1570,$BR$7:$BR$1570,BR254,$AV$7:$AV$1570,AV254,$BL$7:$BL$1570,"&lt;="&amp;BL254),"")</f>
        <v/>
      </c>
      <c r="AX254" s="65">
        <f>IF(AW254="",0,MAX(0,MIN(1,(IF(BR254="L1",Parameter!$K$5,Parameter!$K$6+Parameter!$K$7)-(AW254-AS254))/AS254)))</f>
        <v/>
      </c>
      <c r="AY254" s="53">
        <f>IF(AC254&lt;=0,"",IF(BR254="Aussen","Aussenlager",IF(BR254="-","Nicht im Lift",IF(AH254&gt;=1,"Lift",IF(AH254&lt;=0,"Aussenlager","teilweise")))))</f>
        <v/>
      </c>
      <c r="AZ254" s="53">
        <f>IF(AK254&lt;=0,"",IF(BR254="Aussen","Aussenlager",IF(BR254="-","Nicht im Lift",IF(AP254&gt;=1,"Lift",IF(AP254&lt;=0,"Aussenlager","teilweise")))))</f>
        <v/>
      </c>
      <c r="BA254" s="53">
        <f>IF(AS254&lt;=0,"",IF(BR254="Aussen","Aussenlager",IF(BR254="-","Nicht im Lift",IF(AX254&gt;=1,"Lift",IF(AX254&lt;=0,"Aussenlager","teilweise")))))</f>
        <v/>
      </c>
      <c r="BB254" s="53">
        <f>IF(A254="","",IF(BK254=1,"Neu; ","")&amp;IF(AND(BK254=0,BF254&lt;0),"negativer Bestand (Export "&amp;BF254&amp;"); ","")&amp;IF(I254&lt;=0,"Kein Verbrauch; ","")&amp;IF(BO254=1,"Lose – Fläche geschätzt; ","")&amp;IF(G254&gt;AM254,"Überbestand "&amp;ROUND(G254-AM254,0)&amp;" Stk / CHF "&amp;ROUND((G254-AM254)*F254,0)&amp;"; ","")&amp;IF(AND(BT254=1,BU254&lt;BV254),"MAX &lt; MB+LG; ","")&amp;IF(AND(BZ254&gt;0,BY254*10&gt;BZ254),"zu hoch für Tablar; ","")&amp;IF(AND(BK254=0,OR(BT254=1,V254&lt;&gt;"",S254&lt;&gt;"",T254&lt;&gt;"",W254&lt;&gt;"")),"manuell übersteuert; ","")&amp;IF(AND(BO254=0,Q254=0),"Gebinde unbekannt; ","")&amp;IF(AND(BO254=0,N(T254)&lt;=0,N(P254)&lt;=0),"Menge pro Gebinde fehlt (Ist = 1 Gebinde); ","")&amp;BJ254)</f>
        <v/>
      </c>
      <c r="BC254" s="53" t="n"/>
      <c r="BD254" s="53" t="n"/>
      <c r="BE254" s="61" t="n"/>
      <c r="BF254" s="55" t="n">
        <v>4</v>
      </c>
      <c r="BG254" s="55" t="n">
        <v>0</v>
      </c>
      <c r="BH254" s="54" t="n">
        <v>474.4800000000001</v>
      </c>
      <c r="BI254" s="55" t="n">
        <v>2</v>
      </c>
      <c r="BJ254" s="53" t="inlineStr"/>
      <c r="BK254" s="58" t="n">
        <v>0</v>
      </c>
      <c r="BL254" s="58" t="n">
        <v>254</v>
      </c>
      <c r="BM254" s="53">
        <f>IF(S254&lt;&gt;"",UPPER(TRIM(S254)),IF(O254="","LOSE",O254))</f>
        <v/>
      </c>
      <c r="BN254" s="55">
        <f>IF(BM254="LOSE",1,IF(N(T254)&gt;0,T254,IF(N(P254)&gt;0,P254,MAX(1,G254))))</f>
        <v/>
      </c>
      <c r="BO254" s="58">
        <f>IF(BM254="LOSE",1,0)</f>
        <v/>
      </c>
      <c r="BP254" s="64">
        <f>IF(BO254=0,0,IF(N(R254)&gt;0,R254,IFERROR(VLOOKUP(D254,Parameter!$A$35:$C$64,3,0)+0,0)))</f>
        <v/>
      </c>
      <c r="BQ254" s="53">
        <f>IF(V254&lt;&gt;"",V254,U254)</f>
        <v/>
      </c>
      <c r="BR254" s="53">
        <f>IF(BQ254=1,"L1",IF(OR(BQ254=2,BQ254=3),"L23",IF(BQ254="Aussen","Aussen","-")))</f>
        <v/>
      </c>
      <c r="BS254" s="66">
        <f>IF(N(W254)&gt;0,W254,0)</f>
        <v/>
      </c>
      <c r="BT254" s="58">
        <f>IF(ISNUMBER(Z254),1,0)</f>
        <v/>
      </c>
      <c r="BU254" s="55">
        <f>N(Z254)</f>
        <v/>
      </c>
      <c r="BV254" s="55">
        <f>N(L254)+N(M254)</f>
        <v/>
      </c>
      <c r="BW254" s="55">
        <f>ROUNDUP(G254/BN254,0)</f>
        <v/>
      </c>
      <c r="BX254" s="55">
        <f>ROUNDUP(BU254/BN254,0)</f>
        <v/>
      </c>
      <c r="BY254" s="58">
        <f>IF(BO254=1,0,IFERROR(VLOOKUP(BM254,'Gebinde-Kategorie'!$A$5:$G$45,5,0)+0,0))</f>
        <v/>
      </c>
      <c r="BZ254" s="58">
        <f>IFERROR(IF(OR(BQ254=1,BQ254=2,BQ254=3),N(INDEX(Parameter!$I$5:$I$7,BQ254)),0),0)</f>
        <v/>
      </c>
    </row>
    <row r="255">
      <c r="A255" s="53" t="inlineStr">
        <is>
          <t>109329</t>
        </is>
      </c>
      <c r="B255" s="53" t="inlineStr">
        <is>
          <t>Traglastkleber 630kg</t>
        </is>
      </c>
      <c r="C255" s="53" t="inlineStr">
        <is>
          <t>F</t>
        </is>
      </c>
      <c r="D255" s="53" t="inlineStr">
        <is>
          <t>KTL</t>
        </is>
      </c>
      <c r="E255" s="53" t="inlineStr">
        <is>
          <t>C</t>
        </is>
      </c>
      <c r="F255" s="54" t="n">
        <v>5.93</v>
      </c>
      <c r="G255" s="55">
        <f>MAX(0,IF(Parameter!$B$20="Jahresanfang 2025 + Export",BG255+BF255,BF255))</f>
        <v/>
      </c>
      <c r="H255" s="55">
        <f>G255*F255</f>
        <v/>
      </c>
      <c r="I255" s="55">
        <f>BI255*Parameter!$B$18</f>
        <v/>
      </c>
      <c r="J255" s="56" t="n">
        <v>79</v>
      </c>
      <c r="K255" s="57" t="n">
        <v>2.443037974683544</v>
      </c>
      <c r="L255" s="55" t="n">
        <v>7</v>
      </c>
      <c r="M255" s="55" t="n">
        <v>195</v>
      </c>
      <c r="N255" s="58" t="n">
        <v>14</v>
      </c>
      <c r="O255" s="53" t="inlineStr">
        <is>
          <t>LOSE</t>
        </is>
      </c>
      <c r="P255" s="55" t="n"/>
      <c r="Q255" s="59">
        <f>IF(BO255=1,0,IFERROR(VLOOKUP(BM255,'Gebinde-Kategorie'!$A$5:$G$45,6,0)+0,0))</f>
        <v/>
      </c>
      <c r="R255" s="60" t="n"/>
      <c r="S255" s="61" t="n"/>
      <c r="T255" s="61" t="n"/>
      <c r="U255" s="53">
        <f>IF(A255="","",IF(IFERROR(VLOOKUP(D255,Parameter!$A$35:$C$64,2,0),"Nein")="2+3",IF(ISNUMBER(SEARCH("grosser Artikel",BJ255)),2,IFERROR(VLOOKUP(BM255,Parameter!$F$35:$G$64,2,0),2)),IF(OR(IFERROR(VLOOKUP(D255,Parameter!$A$35:$C$64,2,0),"Nein")="Nein",IFERROR(VLOOKUP(D255,Parameter!$A$35:$C$64,2,0),"Nein")=""),"-",VLOOKUP(D255,Parameter!$A$35:$C$64,2,0))))</f>
        <v/>
      </c>
      <c r="V255" s="61" t="n"/>
      <c r="W255" s="62" t="n"/>
      <c r="X255" s="55">
        <f>AM255</f>
        <v/>
      </c>
      <c r="Y255" s="55">
        <f>MAX(AM255,G255)</f>
        <v/>
      </c>
      <c r="Z255" s="63" t="n"/>
      <c r="AA255" s="55">
        <f>IF(LEFT(Cockpit!$C$5,1)="A",G255,IF(BT255=1,BU255,IF(LEFT(Cockpit!$C$5,1)="B",AE255,MAX(AE255,G255))))</f>
        <v/>
      </c>
      <c r="AB255" s="55">
        <f>IF(BO255=1,0,ROUNDUP(AA255/BN255,0))</f>
        <v/>
      </c>
      <c r="AC255" s="64">
        <f>IF(BO255=1,IF(AA255&lt;=0,0,BP255*MAX(1,IF(G255&gt;0,AA255/G255,1))),AB255*Q255)</f>
        <v/>
      </c>
      <c r="AD255" s="55">
        <f>AA255*F255</f>
        <v/>
      </c>
      <c r="AE255" s="55">
        <f>ROUNDUP(MAX(I255/IF(BS255&gt;0,BS255,MAX(0.1,N(Cockpit!$C$6))),BV255)/BN255,0)*BN255</f>
        <v/>
      </c>
      <c r="AF255" s="56">
        <f>IF(AC255&gt;0,I255/AC255,-1)</f>
        <v/>
      </c>
      <c r="AG255" s="56">
        <f>IF(AND(OR(BR255="L1",BR255="L23"),AC255&gt;0),SUMIFS($AC$7:$AC$1570,$BR$7:$BR$1570,BR255,$AF$7:$AF$1570,"&gt;"&amp;AF255)+SUMIFS($AC$7:$AC$1570,$BR$7:$BR$1570,BR255,$AF$7:$AF$1570,AF255,$BL$7:$BL$1570,"&lt;="&amp;BL255),"")</f>
        <v/>
      </c>
      <c r="AH255" s="65">
        <f>IF(AG255="",0,MAX(0,MIN(1,(IF(BR255="L1",Parameter!$K$5,Parameter!$K$6+Parameter!$K$7)-(AG255-AC255))/AC255)))</f>
        <v/>
      </c>
      <c r="AI255" s="55">
        <f>IF(LEFT(Cockpit!$I$5,1)="A",G255,IF(BT255=1,BU255,IF(LEFT(Cockpit!$I$5,1)="B",AM255,MAX(AM255,G255))))</f>
        <v/>
      </c>
      <c r="AJ255" s="55">
        <f>IF(BO255=1,0,ROUNDUP(AI255/BN255,0))</f>
        <v/>
      </c>
      <c r="AK255" s="64">
        <f>IF(BO255=1,IF(AI255&lt;=0,0,BP255*MAX(1,IF(G255&gt;0,AI255/G255,1))),AJ255*Q255)</f>
        <v/>
      </c>
      <c r="AL255" s="55">
        <f>AI255*F255</f>
        <v/>
      </c>
      <c r="AM255" s="55">
        <f>ROUNDUP(MAX(I255/IF(BS255&gt;0,BS255,MAX(0.1,N(Cockpit!$I$6))),BV255)/BN255,0)*BN255</f>
        <v/>
      </c>
      <c r="AN255" s="56">
        <f>IF(AK255&gt;0,I255/AK255,-1)</f>
        <v/>
      </c>
      <c r="AO255" s="56">
        <f>IF(AND(OR(BR255="L1",BR255="L23"),AK255&gt;0),SUMIFS($AK$7:$AK$1570,$BR$7:$BR$1570,BR255,$AN$7:$AN$1570,"&gt;"&amp;AN255)+SUMIFS($AK$7:$AK$1570,$BR$7:$BR$1570,BR255,$AN$7:$AN$1570,AN255,$BL$7:$BL$1570,"&lt;="&amp;BL255),"")</f>
        <v/>
      </c>
      <c r="AP255" s="65">
        <f>IF(AO255="",0,MAX(0,MIN(1,(IF(BR255="L1",Parameter!$K$5,Parameter!$K$6+Parameter!$K$7)-(AO255-AK255))/AK255)))</f>
        <v/>
      </c>
      <c r="AQ255" s="55">
        <f>IF(LEFT(Cockpit!$O$5,1)="A",G255,IF(BT255=1,BU255,IF(LEFT(Cockpit!$O$5,1)="B",AU255,MAX(AU255,G255))))</f>
        <v/>
      </c>
      <c r="AR255" s="55">
        <f>IF(BO255=1,0,ROUNDUP(AQ255/BN255,0))</f>
        <v/>
      </c>
      <c r="AS255" s="64">
        <f>IF(BO255=1,IF(AQ255&lt;=0,0,BP255*MAX(1,IF(G255&gt;0,AQ255/G255,1))),AR255*Q255)</f>
        <v/>
      </c>
      <c r="AT255" s="55">
        <f>AQ255*F255</f>
        <v/>
      </c>
      <c r="AU255" s="55">
        <f>ROUNDUP(MAX(I255/IF(BS255&gt;0,BS255,MAX(0.1,N(Cockpit!$O$6))),BV255)/BN255,0)*BN255</f>
        <v/>
      </c>
      <c r="AV255" s="56">
        <f>IF(AS255&gt;0,I255/AS255,-1)</f>
        <v/>
      </c>
      <c r="AW255" s="56">
        <f>IF(AND(OR(BR255="L1",BR255="L23"),AS255&gt;0),SUMIFS($AS$7:$AS$1570,$BR$7:$BR$1570,BR255,$AV$7:$AV$1570,"&gt;"&amp;AV255)+SUMIFS($AS$7:$AS$1570,$BR$7:$BR$1570,BR255,$AV$7:$AV$1570,AV255,$BL$7:$BL$1570,"&lt;="&amp;BL255),"")</f>
        <v/>
      </c>
      <c r="AX255" s="65">
        <f>IF(AW255="",0,MAX(0,MIN(1,(IF(BR255="L1",Parameter!$K$5,Parameter!$K$6+Parameter!$K$7)-(AW255-AS255))/AS255)))</f>
        <v/>
      </c>
      <c r="AY255" s="53">
        <f>IF(AC255&lt;=0,"",IF(BR255="Aussen","Aussenlager",IF(BR255="-","Nicht im Lift",IF(AH255&gt;=1,"Lift",IF(AH255&lt;=0,"Aussenlager","teilweise")))))</f>
        <v/>
      </c>
      <c r="AZ255" s="53">
        <f>IF(AK255&lt;=0,"",IF(BR255="Aussen","Aussenlager",IF(BR255="-","Nicht im Lift",IF(AP255&gt;=1,"Lift",IF(AP255&lt;=0,"Aussenlager","teilweise")))))</f>
        <v/>
      </c>
      <c r="BA255" s="53">
        <f>IF(AS255&lt;=0,"",IF(BR255="Aussen","Aussenlager",IF(BR255="-","Nicht im Lift",IF(AX255&gt;=1,"Lift",IF(AX255&lt;=0,"Aussenlager","teilweise")))))</f>
        <v/>
      </c>
      <c r="BB255" s="53">
        <f>IF(A255="","",IF(BK255=1,"Neu; ","")&amp;IF(AND(BK255=0,BF255&lt;0),"negativer Bestand (Export "&amp;BF255&amp;"); ","")&amp;IF(I255&lt;=0,"Kein Verbrauch; ","")&amp;IF(BO255=1,"Lose – Fläche geschätzt; ","")&amp;IF(G255&gt;AM255,"Überbestand "&amp;ROUND(G255-AM255,0)&amp;" Stk / CHF "&amp;ROUND((G255-AM255)*F255,0)&amp;"; ","")&amp;IF(AND(BT255=1,BU255&lt;BV255),"MAX &lt; MB+LG; ","")&amp;IF(AND(BZ255&gt;0,BY255*10&gt;BZ255),"zu hoch für Tablar; ","")&amp;IF(AND(BK255=0,OR(BT255=1,V255&lt;&gt;"",S255&lt;&gt;"",T255&lt;&gt;"",W255&lt;&gt;"")),"manuell übersteuert; ","")&amp;IF(AND(BO255=0,Q255=0),"Gebinde unbekannt; ","")&amp;IF(AND(BO255=0,N(T255)&lt;=0,N(P255)&lt;=0),"Menge pro Gebinde fehlt (Ist = 1 Gebinde); ","")&amp;BJ255)</f>
        <v/>
      </c>
      <c r="BC255" s="53" t="n"/>
      <c r="BD255" s="53" t="n"/>
      <c r="BE255" s="61" t="n"/>
      <c r="BF255" s="55" t="n">
        <v>83</v>
      </c>
      <c r="BG255" s="55" t="n">
        <v>93</v>
      </c>
      <c r="BH255" s="54" t="n">
        <v>470.7999999999998</v>
      </c>
      <c r="BI255" s="55" t="n">
        <v>193</v>
      </c>
      <c r="BJ255" s="53" t="inlineStr"/>
      <c r="BK255" s="58" t="n">
        <v>0</v>
      </c>
      <c r="BL255" s="58" t="n">
        <v>255</v>
      </c>
      <c r="BM255" s="53">
        <f>IF(S255&lt;&gt;"",UPPER(TRIM(S255)),IF(O255="","LOSE",O255))</f>
        <v/>
      </c>
      <c r="BN255" s="55">
        <f>IF(BM255="LOSE",1,IF(N(T255)&gt;0,T255,IF(N(P255)&gt;0,P255,MAX(1,G255))))</f>
        <v/>
      </c>
      <c r="BO255" s="58">
        <f>IF(BM255="LOSE",1,0)</f>
        <v/>
      </c>
      <c r="BP255" s="64">
        <f>IF(BO255=0,0,IF(N(R255)&gt;0,R255,IFERROR(VLOOKUP(D255,Parameter!$A$35:$C$64,3,0)+0,0)))</f>
        <v/>
      </c>
      <c r="BQ255" s="53">
        <f>IF(V255&lt;&gt;"",V255,U255)</f>
        <v/>
      </c>
      <c r="BR255" s="53">
        <f>IF(BQ255=1,"L1",IF(OR(BQ255=2,BQ255=3),"L23",IF(BQ255="Aussen","Aussen","-")))</f>
        <v/>
      </c>
      <c r="BS255" s="66">
        <f>IF(N(W255)&gt;0,W255,0)</f>
        <v/>
      </c>
      <c r="BT255" s="58">
        <f>IF(ISNUMBER(Z255),1,0)</f>
        <v/>
      </c>
      <c r="BU255" s="55">
        <f>N(Z255)</f>
        <v/>
      </c>
      <c r="BV255" s="55">
        <f>N(L255)+N(M255)</f>
        <v/>
      </c>
      <c r="BW255" s="55">
        <f>ROUNDUP(G255/BN255,0)</f>
        <v/>
      </c>
      <c r="BX255" s="55">
        <f>ROUNDUP(BU255/BN255,0)</f>
        <v/>
      </c>
      <c r="BY255" s="58">
        <f>IF(BO255=1,0,IFERROR(VLOOKUP(BM255,'Gebinde-Kategorie'!$A$5:$G$45,5,0)+0,0))</f>
        <v/>
      </c>
      <c r="BZ255" s="58">
        <f>IFERROR(IF(OR(BQ255=1,BQ255=2,BQ255=3),N(INDEX(Parameter!$I$5:$I$7,BQ255)),0),0)</f>
        <v/>
      </c>
    </row>
    <row r="256">
      <c r="A256" s="53" t="inlineStr">
        <is>
          <t>005094</t>
        </is>
      </c>
      <c r="B256" s="53" t="inlineStr">
        <is>
          <t>SPS Erweiterungsmodul</t>
        </is>
      </c>
      <c r="C256" s="53" t="inlineStr">
        <is>
          <t>F</t>
        </is>
      </c>
      <c r="D256" s="53" t="inlineStr">
        <is>
          <t>KTL</t>
        </is>
      </c>
      <c r="E256" s="53" t="inlineStr">
        <is>
          <t>C</t>
        </is>
      </c>
      <c r="F256" s="54" t="n">
        <v>116.9</v>
      </c>
      <c r="G256" s="55">
        <f>MAX(0,IF(Parameter!$B$20="Jahresanfang 2025 + Export",BG256+BF256,BF256))</f>
        <v/>
      </c>
      <c r="H256" s="55">
        <f>G256*F256</f>
        <v/>
      </c>
      <c r="I256" s="55">
        <f>BI256*Parameter!$B$18</f>
        <v/>
      </c>
      <c r="J256" s="56" t="n">
        <v>2.5</v>
      </c>
      <c r="K256" s="57" t="n">
        <v>0</v>
      </c>
      <c r="L256" s="55" t="n">
        <v>0</v>
      </c>
      <c r="M256" s="55" t="n">
        <v>1</v>
      </c>
      <c r="N256" s="58" t="n">
        <v>21</v>
      </c>
      <c r="O256" s="53" t="inlineStr">
        <is>
          <t>S52</t>
        </is>
      </c>
      <c r="P256" s="55" t="n">
        <v>9</v>
      </c>
      <c r="Q256" s="59">
        <f>IF(BO256=1,0,IFERROR(VLOOKUP(BM256,'Gebinde-Kategorie'!$A$5:$G$45,6,0)+0,0))</f>
        <v/>
      </c>
      <c r="R256" s="60" t="n"/>
      <c r="S256" s="61" t="n"/>
      <c r="T256" s="61" t="n"/>
      <c r="U256" s="53">
        <f>IF(A256="","",IF(IFERROR(VLOOKUP(D256,Parameter!$A$35:$C$64,2,0),"Nein")="2+3",IF(ISNUMBER(SEARCH("grosser Artikel",BJ256)),2,IFERROR(VLOOKUP(BM256,Parameter!$F$35:$G$64,2,0),2)),IF(OR(IFERROR(VLOOKUP(D256,Parameter!$A$35:$C$64,2,0),"Nein")="Nein",IFERROR(VLOOKUP(D256,Parameter!$A$35:$C$64,2,0),"Nein")=""),"-",VLOOKUP(D256,Parameter!$A$35:$C$64,2,0))))</f>
        <v/>
      </c>
      <c r="V256" s="61" t="n"/>
      <c r="W256" s="62" t="n"/>
      <c r="X256" s="55">
        <f>AM256</f>
        <v/>
      </c>
      <c r="Y256" s="55">
        <f>MAX(AM256,G256)</f>
        <v/>
      </c>
      <c r="Z256" s="63" t="n"/>
      <c r="AA256" s="55">
        <f>IF(LEFT(Cockpit!$C$5,1)="A",G256,IF(BT256=1,BU256,IF(LEFT(Cockpit!$C$5,1)="B",AE256,MAX(AE256,G256))))</f>
        <v/>
      </c>
      <c r="AB256" s="55">
        <f>IF(BO256=1,0,ROUNDUP(AA256/BN256,0))</f>
        <v/>
      </c>
      <c r="AC256" s="64">
        <f>IF(BO256=1,IF(AA256&lt;=0,0,BP256*MAX(1,IF(G256&gt;0,AA256/G256,1))),AB256*Q256)</f>
        <v/>
      </c>
      <c r="AD256" s="55">
        <f>AA256*F256</f>
        <v/>
      </c>
      <c r="AE256" s="55">
        <f>ROUNDUP(MAX(I256/IF(BS256&gt;0,BS256,MAX(0.1,N(Cockpit!$C$6))),BV256)/BN256,0)*BN256</f>
        <v/>
      </c>
      <c r="AF256" s="56">
        <f>IF(AC256&gt;0,I256/AC256,-1)</f>
        <v/>
      </c>
      <c r="AG256" s="56">
        <f>IF(AND(OR(BR256="L1",BR256="L23"),AC256&gt;0),SUMIFS($AC$7:$AC$1570,$BR$7:$BR$1570,BR256,$AF$7:$AF$1570,"&gt;"&amp;AF256)+SUMIFS($AC$7:$AC$1570,$BR$7:$BR$1570,BR256,$AF$7:$AF$1570,AF256,$BL$7:$BL$1570,"&lt;="&amp;BL256),"")</f>
        <v/>
      </c>
      <c r="AH256" s="65">
        <f>IF(AG256="",0,MAX(0,MIN(1,(IF(BR256="L1",Parameter!$K$5,Parameter!$K$6+Parameter!$K$7)-(AG256-AC256))/AC256)))</f>
        <v/>
      </c>
      <c r="AI256" s="55">
        <f>IF(LEFT(Cockpit!$I$5,1)="A",G256,IF(BT256=1,BU256,IF(LEFT(Cockpit!$I$5,1)="B",AM256,MAX(AM256,G256))))</f>
        <v/>
      </c>
      <c r="AJ256" s="55">
        <f>IF(BO256=1,0,ROUNDUP(AI256/BN256,0))</f>
        <v/>
      </c>
      <c r="AK256" s="64">
        <f>IF(BO256=1,IF(AI256&lt;=0,0,BP256*MAX(1,IF(G256&gt;0,AI256/G256,1))),AJ256*Q256)</f>
        <v/>
      </c>
      <c r="AL256" s="55">
        <f>AI256*F256</f>
        <v/>
      </c>
      <c r="AM256" s="55">
        <f>ROUNDUP(MAX(I256/IF(BS256&gt;0,BS256,MAX(0.1,N(Cockpit!$I$6))),BV256)/BN256,0)*BN256</f>
        <v/>
      </c>
      <c r="AN256" s="56">
        <f>IF(AK256&gt;0,I256/AK256,-1)</f>
        <v/>
      </c>
      <c r="AO256" s="56">
        <f>IF(AND(OR(BR256="L1",BR256="L23"),AK256&gt;0),SUMIFS($AK$7:$AK$1570,$BR$7:$BR$1570,BR256,$AN$7:$AN$1570,"&gt;"&amp;AN256)+SUMIFS($AK$7:$AK$1570,$BR$7:$BR$1570,BR256,$AN$7:$AN$1570,AN256,$BL$7:$BL$1570,"&lt;="&amp;BL256),"")</f>
        <v/>
      </c>
      <c r="AP256" s="65">
        <f>IF(AO256="",0,MAX(0,MIN(1,(IF(BR256="L1",Parameter!$K$5,Parameter!$K$6+Parameter!$K$7)-(AO256-AK256))/AK256)))</f>
        <v/>
      </c>
      <c r="AQ256" s="55">
        <f>IF(LEFT(Cockpit!$O$5,1)="A",G256,IF(BT256=1,BU256,IF(LEFT(Cockpit!$O$5,1)="B",AU256,MAX(AU256,G256))))</f>
        <v/>
      </c>
      <c r="AR256" s="55">
        <f>IF(BO256=1,0,ROUNDUP(AQ256/BN256,0))</f>
        <v/>
      </c>
      <c r="AS256" s="64">
        <f>IF(BO256=1,IF(AQ256&lt;=0,0,BP256*MAX(1,IF(G256&gt;0,AQ256/G256,1))),AR256*Q256)</f>
        <v/>
      </c>
      <c r="AT256" s="55">
        <f>AQ256*F256</f>
        <v/>
      </c>
      <c r="AU256" s="55">
        <f>ROUNDUP(MAX(I256/IF(BS256&gt;0,BS256,MAX(0.1,N(Cockpit!$O$6))),BV256)/BN256,0)*BN256</f>
        <v/>
      </c>
      <c r="AV256" s="56">
        <f>IF(AS256&gt;0,I256/AS256,-1)</f>
        <v/>
      </c>
      <c r="AW256" s="56">
        <f>IF(AND(OR(BR256="L1",BR256="L23"),AS256&gt;0),SUMIFS($AS$7:$AS$1570,$BR$7:$BR$1570,BR256,$AV$7:$AV$1570,"&gt;"&amp;AV256)+SUMIFS($AS$7:$AS$1570,$BR$7:$BR$1570,BR256,$AV$7:$AV$1570,AV256,$BL$7:$BL$1570,"&lt;="&amp;BL256),"")</f>
        <v/>
      </c>
      <c r="AX256" s="65">
        <f>IF(AW256="",0,MAX(0,MIN(1,(IF(BR256="L1",Parameter!$K$5,Parameter!$K$6+Parameter!$K$7)-(AW256-AS256))/AS256)))</f>
        <v/>
      </c>
      <c r="AY256" s="53">
        <f>IF(AC256&lt;=0,"",IF(BR256="Aussen","Aussenlager",IF(BR256="-","Nicht im Lift",IF(AH256&gt;=1,"Lift",IF(AH256&lt;=0,"Aussenlager","teilweise")))))</f>
        <v/>
      </c>
      <c r="AZ256" s="53">
        <f>IF(AK256&lt;=0,"",IF(BR256="Aussen","Aussenlager",IF(BR256="-","Nicht im Lift",IF(AP256&gt;=1,"Lift",IF(AP256&lt;=0,"Aussenlager","teilweise")))))</f>
        <v/>
      </c>
      <c r="BA256" s="53">
        <f>IF(AS256&lt;=0,"",IF(BR256="Aussen","Aussenlager",IF(BR256="-","Nicht im Lift",IF(AX256&gt;=1,"Lift",IF(AX256&lt;=0,"Aussenlager","teilweise")))))</f>
        <v/>
      </c>
      <c r="BB256" s="53">
        <f>IF(A256="","",IF(BK256=1,"Neu; ","")&amp;IF(AND(BK256=0,BF256&lt;0),"negativer Bestand (Export "&amp;BF256&amp;"); ","")&amp;IF(I256&lt;=0,"Kein Verbrauch; ","")&amp;IF(BO256=1,"Lose – Fläche geschätzt; ","")&amp;IF(G256&gt;AM256,"Überbestand "&amp;ROUND(G256-AM256,0)&amp;" Stk / CHF "&amp;ROUND((G256-AM256)*F256,0)&amp;"; ","")&amp;IF(AND(BT256=1,BU256&lt;BV256),"MAX &lt; MB+LG; ","")&amp;IF(AND(BZ256&gt;0,BY256*10&gt;BZ256),"zu hoch für Tablar; ","")&amp;IF(AND(BK256=0,OR(BT256=1,V256&lt;&gt;"",S256&lt;&gt;"",T256&lt;&gt;"",W256&lt;&gt;"")),"manuell übersteuert; ","")&amp;IF(AND(BO256=0,Q256=0),"Gebinde unbekannt; ","")&amp;IF(AND(BO256=0,N(T256)&lt;=0,N(P256)&lt;=0),"Menge pro Gebinde fehlt (Ist = 1 Gebinde); ","")&amp;BJ256)</f>
        <v/>
      </c>
      <c r="BC256" s="53" t="n"/>
      <c r="BD256" s="53" t="n"/>
      <c r="BE256" s="61" t="n"/>
      <c r="BF256" s="55" t="n">
        <v>4</v>
      </c>
      <c r="BG256" s="55" t="n">
        <v>0</v>
      </c>
      <c r="BH256" s="54" t="n">
        <v>467.6</v>
      </c>
      <c r="BI256" s="55" t="n">
        <v>0</v>
      </c>
      <c r="BJ256" s="53" t="inlineStr"/>
      <c r="BK256" s="58" t="n">
        <v>0</v>
      </c>
      <c r="BL256" s="58" t="n">
        <v>256</v>
      </c>
      <c r="BM256" s="53">
        <f>IF(S256&lt;&gt;"",UPPER(TRIM(S256)),IF(O256="","LOSE",O256))</f>
        <v/>
      </c>
      <c r="BN256" s="55">
        <f>IF(BM256="LOSE",1,IF(N(T256)&gt;0,T256,IF(N(P256)&gt;0,P256,MAX(1,G256))))</f>
        <v/>
      </c>
      <c r="BO256" s="58">
        <f>IF(BM256="LOSE",1,0)</f>
        <v/>
      </c>
      <c r="BP256" s="64">
        <f>IF(BO256=0,0,IF(N(R256)&gt;0,R256,IFERROR(VLOOKUP(D256,Parameter!$A$35:$C$64,3,0)+0,0)))</f>
        <v/>
      </c>
      <c r="BQ256" s="53">
        <f>IF(V256&lt;&gt;"",V256,U256)</f>
        <v/>
      </c>
      <c r="BR256" s="53">
        <f>IF(BQ256=1,"L1",IF(OR(BQ256=2,BQ256=3),"L23",IF(BQ256="Aussen","Aussen","-")))</f>
        <v/>
      </c>
      <c r="BS256" s="66">
        <f>IF(N(W256)&gt;0,W256,0)</f>
        <v/>
      </c>
      <c r="BT256" s="58">
        <f>IF(ISNUMBER(Z256),1,0)</f>
        <v/>
      </c>
      <c r="BU256" s="55">
        <f>N(Z256)</f>
        <v/>
      </c>
      <c r="BV256" s="55">
        <f>N(L256)+N(M256)</f>
        <v/>
      </c>
      <c r="BW256" s="55">
        <f>ROUNDUP(G256/BN256,0)</f>
        <v/>
      </c>
      <c r="BX256" s="55">
        <f>ROUNDUP(BU256/BN256,0)</f>
        <v/>
      </c>
      <c r="BY256" s="58">
        <f>IF(BO256=1,0,IFERROR(VLOOKUP(BM256,'Gebinde-Kategorie'!$A$5:$G$45,5,0)+0,0))</f>
        <v/>
      </c>
      <c r="BZ256" s="58">
        <f>IFERROR(IF(OR(BQ256=1,BQ256=2,BQ256=3),N(INDEX(Parameter!$I$5:$I$7,BQ256)),0),0)</f>
        <v/>
      </c>
    </row>
    <row r="257">
      <c r="A257" s="53" t="inlineStr">
        <is>
          <t>005075</t>
        </is>
      </c>
      <c r="B257" s="53" t="inlineStr">
        <is>
          <t>Hochdruck-Ganzmetallschlauch N2</t>
        </is>
      </c>
      <c r="C257" s="53" t="inlineStr">
        <is>
          <t>F</t>
        </is>
      </c>
      <c r="D257" s="53" t="inlineStr">
        <is>
          <t>PAL</t>
        </is>
      </c>
      <c r="E257" s="53" t="inlineStr">
        <is>
          <t>C</t>
        </is>
      </c>
      <c r="F257" s="54" t="n">
        <v>467.1</v>
      </c>
      <c r="G257" s="55">
        <f>MAX(0,IF(Parameter!$B$20="Jahresanfang 2025 + Export",BG257+BF257,BF257))</f>
        <v/>
      </c>
      <c r="H257" s="55">
        <f>G257*F257</f>
        <v/>
      </c>
      <c r="I257" s="55">
        <f>BI257*Parameter!$B$18</f>
        <v/>
      </c>
      <c r="J257" s="56" t="n">
        <v>0.5</v>
      </c>
      <c r="K257" s="57" t="n">
        <v>2</v>
      </c>
      <c r="L257" s="55" t="n">
        <v>0</v>
      </c>
      <c r="M257" s="55" t="n">
        <v>1</v>
      </c>
      <c r="N257" s="58" t="n">
        <v>28</v>
      </c>
      <c r="O257" s="53" t="inlineStr">
        <is>
          <t>LOSE</t>
        </is>
      </c>
      <c r="P257" s="55" t="n"/>
      <c r="Q257" s="59">
        <f>IF(BO257=1,0,IFERROR(VLOOKUP(BM257,'Gebinde-Kategorie'!$A$5:$G$45,6,0)+0,0))</f>
        <v/>
      </c>
      <c r="R257" s="60" t="n"/>
      <c r="S257" s="61" t="n"/>
      <c r="T257" s="61" t="n"/>
      <c r="U257" s="53">
        <f>IF(A257="","",IF(IFERROR(VLOOKUP(D257,Parameter!$A$35:$C$64,2,0),"Nein")="2+3",IF(ISNUMBER(SEARCH("grosser Artikel",BJ257)),2,IFERROR(VLOOKUP(BM257,Parameter!$F$35:$G$64,2,0),2)),IF(OR(IFERROR(VLOOKUP(D257,Parameter!$A$35:$C$64,2,0),"Nein")="Nein",IFERROR(VLOOKUP(D257,Parameter!$A$35:$C$64,2,0),"Nein")=""),"-",VLOOKUP(D257,Parameter!$A$35:$C$64,2,0))))</f>
        <v/>
      </c>
      <c r="V257" s="61" t="n"/>
      <c r="W257" s="62" t="n"/>
      <c r="X257" s="55">
        <f>AM257</f>
        <v/>
      </c>
      <c r="Y257" s="55">
        <f>MAX(AM257,G257)</f>
        <v/>
      </c>
      <c r="Z257" s="63" t="n"/>
      <c r="AA257" s="55">
        <f>IF(LEFT(Cockpit!$C$5,1)="A",G257,IF(BT257=1,BU257,IF(LEFT(Cockpit!$C$5,1)="B",AE257,MAX(AE257,G257))))</f>
        <v/>
      </c>
      <c r="AB257" s="55">
        <f>IF(BO257=1,0,ROUNDUP(AA257/BN257,0))</f>
        <v/>
      </c>
      <c r="AC257" s="64">
        <f>IF(BO257=1,IF(AA257&lt;=0,0,BP257*MAX(1,IF(G257&gt;0,AA257/G257,1))),AB257*Q257)</f>
        <v/>
      </c>
      <c r="AD257" s="55">
        <f>AA257*F257</f>
        <v/>
      </c>
      <c r="AE257" s="55">
        <f>ROUNDUP(MAX(I257/IF(BS257&gt;0,BS257,MAX(0.1,N(Cockpit!$C$6))),BV257)/BN257,0)*BN257</f>
        <v/>
      </c>
      <c r="AF257" s="56">
        <f>IF(AC257&gt;0,I257/AC257,-1)</f>
        <v/>
      </c>
      <c r="AG257" s="56">
        <f>IF(AND(OR(BR257="L1",BR257="L23"),AC257&gt;0),SUMIFS($AC$7:$AC$1570,$BR$7:$BR$1570,BR257,$AF$7:$AF$1570,"&gt;"&amp;AF257)+SUMIFS($AC$7:$AC$1570,$BR$7:$BR$1570,BR257,$AF$7:$AF$1570,AF257,$BL$7:$BL$1570,"&lt;="&amp;BL257),"")</f>
        <v/>
      </c>
      <c r="AH257" s="65">
        <f>IF(AG257="",0,MAX(0,MIN(1,(IF(BR257="L1",Parameter!$K$5,Parameter!$K$6+Parameter!$K$7)-(AG257-AC257))/AC257)))</f>
        <v/>
      </c>
      <c r="AI257" s="55">
        <f>IF(LEFT(Cockpit!$I$5,1)="A",G257,IF(BT257=1,BU257,IF(LEFT(Cockpit!$I$5,1)="B",AM257,MAX(AM257,G257))))</f>
        <v/>
      </c>
      <c r="AJ257" s="55">
        <f>IF(BO257=1,0,ROUNDUP(AI257/BN257,0))</f>
        <v/>
      </c>
      <c r="AK257" s="64">
        <f>IF(BO257=1,IF(AI257&lt;=0,0,BP257*MAX(1,IF(G257&gt;0,AI257/G257,1))),AJ257*Q257)</f>
        <v/>
      </c>
      <c r="AL257" s="55">
        <f>AI257*F257</f>
        <v/>
      </c>
      <c r="AM257" s="55">
        <f>ROUNDUP(MAX(I257/IF(BS257&gt;0,BS257,MAX(0.1,N(Cockpit!$I$6))),BV257)/BN257,0)*BN257</f>
        <v/>
      </c>
      <c r="AN257" s="56">
        <f>IF(AK257&gt;0,I257/AK257,-1)</f>
        <v/>
      </c>
      <c r="AO257" s="56">
        <f>IF(AND(OR(BR257="L1",BR257="L23"),AK257&gt;0),SUMIFS($AK$7:$AK$1570,$BR$7:$BR$1570,BR257,$AN$7:$AN$1570,"&gt;"&amp;AN257)+SUMIFS($AK$7:$AK$1570,$BR$7:$BR$1570,BR257,$AN$7:$AN$1570,AN257,$BL$7:$BL$1570,"&lt;="&amp;BL257),"")</f>
        <v/>
      </c>
      <c r="AP257" s="65">
        <f>IF(AO257="",0,MAX(0,MIN(1,(IF(BR257="L1",Parameter!$K$5,Parameter!$K$6+Parameter!$K$7)-(AO257-AK257))/AK257)))</f>
        <v/>
      </c>
      <c r="AQ257" s="55">
        <f>IF(LEFT(Cockpit!$O$5,1)="A",G257,IF(BT257=1,BU257,IF(LEFT(Cockpit!$O$5,1)="B",AU257,MAX(AU257,G257))))</f>
        <v/>
      </c>
      <c r="AR257" s="55">
        <f>IF(BO257=1,0,ROUNDUP(AQ257/BN257,0))</f>
        <v/>
      </c>
      <c r="AS257" s="64">
        <f>IF(BO257=1,IF(AQ257&lt;=0,0,BP257*MAX(1,IF(G257&gt;0,AQ257/G257,1))),AR257*Q257)</f>
        <v/>
      </c>
      <c r="AT257" s="55">
        <f>AQ257*F257</f>
        <v/>
      </c>
      <c r="AU257" s="55">
        <f>ROUNDUP(MAX(I257/IF(BS257&gt;0,BS257,MAX(0.1,N(Cockpit!$O$6))),BV257)/BN257,0)*BN257</f>
        <v/>
      </c>
      <c r="AV257" s="56">
        <f>IF(AS257&gt;0,I257/AS257,-1)</f>
        <v/>
      </c>
      <c r="AW257" s="56">
        <f>IF(AND(OR(BR257="L1",BR257="L23"),AS257&gt;0),SUMIFS($AS$7:$AS$1570,$BR$7:$BR$1570,BR257,$AV$7:$AV$1570,"&gt;"&amp;AV257)+SUMIFS($AS$7:$AS$1570,$BR$7:$BR$1570,BR257,$AV$7:$AV$1570,AV257,$BL$7:$BL$1570,"&lt;="&amp;BL257),"")</f>
        <v/>
      </c>
      <c r="AX257" s="65">
        <f>IF(AW257="",0,MAX(0,MIN(1,(IF(BR257="L1",Parameter!$K$5,Parameter!$K$6+Parameter!$K$7)-(AW257-AS257))/AS257)))</f>
        <v/>
      </c>
      <c r="AY257" s="53">
        <f>IF(AC257&lt;=0,"",IF(BR257="Aussen","Aussenlager",IF(BR257="-","Nicht im Lift",IF(AH257&gt;=1,"Lift",IF(AH257&lt;=0,"Aussenlager","teilweise")))))</f>
        <v/>
      </c>
      <c r="AZ257" s="53">
        <f>IF(AK257&lt;=0,"",IF(BR257="Aussen","Aussenlager",IF(BR257="-","Nicht im Lift",IF(AP257&gt;=1,"Lift",IF(AP257&lt;=0,"Aussenlager","teilweise")))))</f>
        <v/>
      </c>
      <c r="BA257" s="53">
        <f>IF(AS257&lt;=0,"",IF(BR257="Aussen","Aussenlager",IF(BR257="-","Nicht im Lift",IF(AX257&gt;=1,"Lift",IF(AX257&lt;=0,"Aussenlager","teilweise")))))</f>
        <v/>
      </c>
      <c r="BB257" s="53">
        <f>IF(A257="","",IF(BK257=1,"Neu; ","")&amp;IF(AND(BK257=0,BF257&lt;0),"negativer Bestand (Export "&amp;BF257&amp;"); ","")&amp;IF(I257&lt;=0,"Kein Verbrauch; ","")&amp;IF(BO257=1,"Lose – Fläche geschätzt; ","")&amp;IF(G257&gt;AM257,"Überbestand "&amp;ROUND(G257-AM257,0)&amp;" Stk / CHF "&amp;ROUND((G257-AM257)*F257,0)&amp;"; ","")&amp;IF(AND(BT257=1,BU257&lt;BV257),"MAX &lt; MB+LG; ","")&amp;IF(AND(BZ257&gt;0,BY257*10&gt;BZ257),"zu hoch für Tablar; ","")&amp;IF(AND(BK257=0,OR(BT257=1,V257&lt;&gt;"",S257&lt;&gt;"",T257&lt;&gt;"",W257&lt;&gt;"")),"manuell übersteuert; ","")&amp;IF(AND(BO257=0,Q257=0),"Gebinde unbekannt; ","")&amp;IF(AND(BO257=0,N(T257)&lt;=0,N(P257)&lt;=0),"Menge pro Gebinde fehlt (Ist = 1 Gebinde); ","")&amp;BJ257)</f>
        <v/>
      </c>
      <c r="BC257" s="53" t="n"/>
      <c r="BD257" s="53" t="n"/>
      <c r="BE257" s="61" t="n"/>
      <c r="BF257" s="55" t="n">
        <v>1</v>
      </c>
      <c r="BG257" s="55" t="n">
        <v>0</v>
      </c>
      <c r="BH257" s="54" t="n">
        <v>467.1</v>
      </c>
      <c r="BI257" s="55" t="n">
        <v>1</v>
      </c>
      <c r="BJ257" s="53" t="inlineStr"/>
      <c r="BK257" s="58" t="n">
        <v>0</v>
      </c>
      <c r="BL257" s="58" t="n">
        <v>257</v>
      </c>
      <c r="BM257" s="53">
        <f>IF(S257&lt;&gt;"",UPPER(TRIM(S257)),IF(O257="","LOSE",O257))</f>
        <v/>
      </c>
      <c r="BN257" s="55">
        <f>IF(BM257="LOSE",1,IF(N(T257)&gt;0,T257,IF(N(P257)&gt;0,P257,MAX(1,G257))))</f>
        <v/>
      </c>
      <c r="BO257" s="58">
        <f>IF(BM257="LOSE",1,0)</f>
        <v/>
      </c>
      <c r="BP257" s="64">
        <f>IF(BO257=0,0,IF(N(R257)&gt;0,R257,IFERROR(VLOOKUP(D257,Parameter!$A$35:$C$64,3,0)+0,0)))</f>
        <v/>
      </c>
      <c r="BQ257" s="53">
        <f>IF(V257&lt;&gt;"",V257,U257)</f>
        <v/>
      </c>
      <c r="BR257" s="53">
        <f>IF(BQ257=1,"L1",IF(OR(BQ257=2,BQ257=3),"L23",IF(BQ257="Aussen","Aussen","-")))</f>
        <v/>
      </c>
      <c r="BS257" s="66">
        <f>IF(N(W257)&gt;0,W257,0)</f>
        <v/>
      </c>
      <c r="BT257" s="58">
        <f>IF(ISNUMBER(Z257),1,0)</f>
        <v/>
      </c>
      <c r="BU257" s="55">
        <f>N(Z257)</f>
        <v/>
      </c>
      <c r="BV257" s="55">
        <f>N(L257)+N(M257)</f>
        <v/>
      </c>
      <c r="BW257" s="55">
        <f>ROUNDUP(G257/BN257,0)</f>
        <v/>
      </c>
      <c r="BX257" s="55">
        <f>ROUNDUP(BU257/BN257,0)</f>
        <v/>
      </c>
      <c r="BY257" s="58">
        <f>IF(BO257=1,0,IFERROR(VLOOKUP(BM257,'Gebinde-Kategorie'!$A$5:$G$45,5,0)+0,0))</f>
        <v/>
      </c>
      <c r="BZ257" s="58">
        <f>IFERROR(IF(OR(BQ257=1,BQ257=2,BQ257=3),N(INDEX(Parameter!$I$5:$I$7,BQ257)),0),0)</f>
        <v/>
      </c>
    </row>
    <row r="258">
      <c r="A258" s="53" t="inlineStr">
        <is>
          <t>101561</t>
        </is>
      </c>
      <c r="B258" s="53" t="inlineStr">
        <is>
          <t>Fahrwerk</t>
        </is>
      </c>
      <c r="C258" s="53" t="inlineStr">
        <is>
          <t>F</t>
        </is>
      </c>
      <c r="D258" s="53" t="inlineStr">
        <is>
          <t>PAL</t>
        </is>
      </c>
      <c r="E258" s="53" t="inlineStr">
        <is>
          <t>C</t>
        </is>
      </c>
      <c r="F258" s="54" t="n">
        <v>84.68000000000001</v>
      </c>
      <c r="G258" s="55">
        <f>MAX(0,IF(Parameter!$B$20="Jahresanfang 2025 + Export",BG258+BF258,BF258))</f>
        <v/>
      </c>
      <c r="H258" s="55">
        <f>G258*F258</f>
        <v/>
      </c>
      <c r="I258" s="55">
        <f>BI258*Parameter!$B$18</f>
        <v/>
      </c>
      <c r="J258" s="56" t="n">
        <v>17</v>
      </c>
      <c r="K258" s="57" t="n">
        <v>4.882352941176471</v>
      </c>
      <c r="L258" s="55" t="n">
        <v>2</v>
      </c>
      <c r="M258" s="55" t="n">
        <v>20</v>
      </c>
      <c r="N258" s="58" t="n">
        <v>7</v>
      </c>
      <c r="O258" s="53" t="inlineStr">
        <is>
          <t>S63</t>
        </is>
      </c>
      <c r="P258" s="55" t="n">
        <v>45</v>
      </c>
      <c r="Q258" s="59">
        <f>IF(BO258=1,0,IFERROR(VLOOKUP(BM258,'Gebinde-Kategorie'!$A$5:$G$45,6,0)+0,0))</f>
        <v/>
      </c>
      <c r="R258" s="60" t="n"/>
      <c r="S258" s="61" t="n"/>
      <c r="T258" s="61" t="n"/>
      <c r="U258" s="53">
        <f>IF(A258="","",IF(IFERROR(VLOOKUP(D258,Parameter!$A$35:$C$64,2,0),"Nein")="2+3",IF(ISNUMBER(SEARCH("grosser Artikel",BJ258)),2,IFERROR(VLOOKUP(BM258,Parameter!$F$35:$G$64,2,0),2)),IF(OR(IFERROR(VLOOKUP(D258,Parameter!$A$35:$C$64,2,0),"Nein")="Nein",IFERROR(VLOOKUP(D258,Parameter!$A$35:$C$64,2,0),"Nein")=""),"-",VLOOKUP(D258,Parameter!$A$35:$C$64,2,0))))</f>
        <v/>
      </c>
      <c r="V258" s="61" t="n"/>
      <c r="W258" s="62" t="n"/>
      <c r="X258" s="55">
        <f>AM258</f>
        <v/>
      </c>
      <c r="Y258" s="55">
        <f>MAX(AM258,G258)</f>
        <v/>
      </c>
      <c r="Z258" s="63" t="n"/>
      <c r="AA258" s="55">
        <f>IF(LEFT(Cockpit!$C$5,1)="A",G258,IF(BT258=1,BU258,IF(LEFT(Cockpit!$C$5,1)="B",AE258,MAX(AE258,G258))))</f>
        <v/>
      </c>
      <c r="AB258" s="55">
        <f>IF(BO258=1,0,ROUNDUP(AA258/BN258,0))</f>
        <v/>
      </c>
      <c r="AC258" s="64">
        <f>IF(BO258=1,IF(AA258&lt;=0,0,BP258*MAX(1,IF(G258&gt;0,AA258/G258,1))),AB258*Q258)</f>
        <v/>
      </c>
      <c r="AD258" s="55">
        <f>AA258*F258</f>
        <v/>
      </c>
      <c r="AE258" s="55">
        <f>ROUNDUP(MAX(I258/IF(BS258&gt;0,BS258,MAX(0.1,N(Cockpit!$C$6))),BV258)/BN258,0)*BN258</f>
        <v/>
      </c>
      <c r="AF258" s="56">
        <f>IF(AC258&gt;0,I258/AC258,-1)</f>
        <v/>
      </c>
      <c r="AG258" s="56">
        <f>IF(AND(OR(BR258="L1",BR258="L23"),AC258&gt;0),SUMIFS($AC$7:$AC$1570,$BR$7:$BR$1570,BR258,$AF$7:$AF$1570,"&gt;"&amp;AF258)+SUMIFS($AC$7:$AC$1570,$BR$7:$BR$1570,BR258,$AF$7:$AF$1570,AF258,$BL$7:$BL$1570,"&lt;="&amp;BL258),"")</f>
        <v/>
      </c>
      <c r="AH258" s="65">
        <f>IF(AG258="",0,MAX(0,MIN(1,(IF(BR258="L1",Parameter!$K$5,Parameter!$K$6+Parameter!$K$7)-(AG258-AC258))/AC258)))</f>
        <v/>
      </c>
      <c r="AI258" s="55">
        <f>IF(LEFT(Cockpit!$I$5,1)="A",G258,IF(BT258=1,BU258,IF(LEFT(Cockpit!$I$5,1)="B",AM258,MAX(AM258,G258))))</f>
        <v/>
      </c>
      <c r="AJ258" s="55">
        <f>IF(BO258=1,0,ROUNDUP(AI258/BN258,0))</f>
        <v/>
      </c>
      <c r="AK258" s="64">
        <f>IF(BO258=1,IF(AI258&lt;=0,0,BP258*MAX(1,IF(G258&gt;0,AI258/G258,1))),AJ258*Q258)</f>
        <v/>
      </c>
      <c r="AL258" s="55">
        <f>AI258*F258</f>
        <v/>
      </c>
      <c r="AM258" s="55">
        <f>ROUNDUP(MAX(I258/IF(BS258&gt;0,BS258,MAX(0.1,N(Cockpit!$I$6))),BV258)/BN258,0)*BN258</f>
        <v/>
      </c>
      <c r="AN258" s="56">
        <f>IF(AK258&gt;0,I258/AK258,-1)</f>
        <v/>
      </c>
      <c r="AO258" s="56">
        <f>IF(AND(OR(BR258="L1",BR258="L23"),AK258&gt;0),SUMIFS($AK$7:$AK$1570,$BR$7:$BR$1570,BR258,$AN$7:$AN$1570,"&gt;"&amp;AN258)+SUMIFS($AK$7:$AK$1570,$BR$7:$BR$1570,BR258,$AN$7:$AN$1570,AN258,$BL$7:$BL$1570,"&lt;="&amp;BL258),"")</f>
        <v/>
      </c>
      <c r="AP258" s="65">
        <f>IF(AO258="",0,MAX(0,MIN(1,(IF(BR258="L1",Parameter!$K$5,Parameter!$K$6+Parameter!$K$7)-(AO258-AK258))/AK258)))</f>
        <v/>
      </c>
      <c r="AQ258" s="55">
        <f>IF(LEFT(Cockpit!$O$5,1)="A",G258,IF(BT258=1,BU258,IF(LEFT(Cockpit!$O$5,1)="B",AU258,MAX(AU258,G258))))</f>
        <v/>
      </c>
      <c r="AR258" s="55">
        <f>IF(BO258=1,0,ROUNDUP(AQ258/BN258,0))</f>
        <v/>
      </c>
      <c r="AS258" s="64">
        <f>IF(BO258=1,IF(AQ258&lt;=0,0,BP258*MAX(1,IF(G258&gt;0,AQ258/G258,1))),AR258*Q258)</f>
        <v/>
      </c>
      <c r="AT258" s="55">
        <f>AQ258*F258</f>
        <v/>
      </c>
      <c r="AU258" s="55">
        <f>ROUNDUP(MAX(I258/IF(BS258&gt;0,BS258,MAX(0.1,N(Cockpit!$O$6))),BV258)/BN258,0)*BN258</f>
        <v/>
      </c>
      <c r="AV258" s="56">
        <f>IF(AS258&gt;0,I258/AS258,-1)</f>
        <v/>
      </c>
      <c r="AW258" s="56">
        <f>IF(AND(OR(BR258="L1",BR258="L23"),AS258&gt;0),SUMIFS($AS$7:$AS$1570,$BR$7:$BR$1570,BR258,$AV$7:$AV$1570,"&gt;"&amp;AV258)+SUMIFS($AS$7:$AS$1570,$BR$7:$BR$1570,BR258,$AV$7:$AV$1570,AV258,$BL$7:$BL$1570,"&lt;="&amp;BL258),"")</f>
        <v/>
      </c>
      <c r="AX258" s="65">
        <f>IF(AW258="",0,MAX(0,MIN(1,(IF(BR258="L1",Parameter!$K$5,Parameter!$K$6+Parameter!$K$7)-(AW258-AS258))/AS258)))</f>
        <v/>
      </c>
      <c r="AY258" s="53">
        <f>IF(AC258&lt;=0,"",IF(BR258="Aussen","Aussenlager",IF(BR258="-","Nicht im Lift",IF(AH258&gt;=1,"Lift",IF(AH258&lt;=0,"Aussenlager","teilweise")))))</f>
        <v/>
      </c>
      <c r="AZ258" s="53">
        <f>IF(AK258&lt;=0,"",IF(BR258="Aussen","Aussenlager",IF(BR258="-","Nicht im Lift",IF(AP258&gt;=1,"Lift",IF(AP258&lt;=0,"Aussenlager","teilweise")))))</f>
        <v/>
      </c>
      <c r="BA258" s="53">
        <f>IF(AS258&lt;=0,"",IF(BR258="Aussen","Aussenlager",IF(BR258="-","Nicht im Lift",IF(AX258&gt;=1,"Lift",IF(AX258&lt;=0,"Aussenlager","teilweise")))))</f>
        <v/>
      </c>
      <c r="BB258" s="53">
        <f>IF(A258="","",IF(BK258=1,"Neu; ","")&amp;IF(AND(BK258=0,BF258&lt;0),"negativer Bestand (Export "&amp;BF258&amp;"); ","")&amp;IF(I258&lt;=0,"Kein Verbrauch; ","")&amp;IF(BO258=1,"Lose – Fläche geschätzt; ","")&amp;IF(G258&gt;AM258,"Überbestand "&amp;ROUND(G258-AM258,0)&amp;" Stk / CHF "&amp;ROUND((G258-AM258)*F258,0)&amp;"; ","")&amp;IF(AND(BT258=1,BU258&lt;BV258),"MAX &lt; MB+LG; ","")&amp;IF(AND(BZ258&gt;0,BY258*10&gt;BZ258),"zu hoch für Tablar; ","")&amp;IF(AND(BK258=0,OR(BT258=1,V258&lt;&gt;"",S258&lt;&gt;"",T258&lt;&gt;"",W258&lt;&gt;"")),"manuell übersteuert; ","")&amp;IF(AND(BO258=0,Q258=0),"Gebinde unbekannt; ","")&amp;IF(AND(BO258=0,N(T258)&lt;=0,N(P258)&lt;=0),"Menge pro Gebinde fehlt (Ist = 1 Gebinde); ","")&amp;BJ258)</f>
        <v/>
      </c>
      <c r="BC258" s="53" t="n"/>
      <c r="BD258" s="53" t="n"/>
      <c r="BE258" s="61" t="n"/>
      <c r="BF258" s="55" t="n">
        <v>5</v>
      </c>
      <c r="BG258" s="55" t="n">
        <v>20</v>
      </c>
      <c r="BH258" s="54" t="n">
        <v>459.7999999999985</v>
      </c>
      <c r="BI258" s="55" t="n">
        <v>83</v>
      </c>
      <c r="BJ258" s="53" t="inlineStr"/>
      <c r="BK258" s="58" t="n">
        <v>0</v>
      </c>
      <c r="BL258" s="58" t="n">
        <v>258</v>
      </c>
      <c r="BM258" s="53">
        <f>IF(S258&lt;&gt;"",UPPER(TRIM(S258)),IF(O258="","LOSE",O258))</f>
        <v/>
      </c>
      <c r="BN258" s="55">
        <f>IF(BM258="LOSE",1,IF(N(T258)&gt;0,T258,IF(N(P258)&gt;0,P258,MAX(1,G258))))</f>
        <v/>
      </c>
      <c r="BO258" s="58">
        <f>IF(BM258="LOSE",1,0)</f>
        <v/>
      </c>
      <c r="BP258" s="64">
        <f>IF(BO258=0,0,IF(N(R258)&gt;0,R258,IFERROR(VLOOKUP(D258,Parameter!$A$35:$C$64,3,0)+0,0)))</f>
        <v/>
      </c>
      <c r="BQ258" s="53">
        <f>IF(V258&lt;&gt;"",V258,U258)</f>
        <v/>
      </c>
      <c r="BR258" s="53">
        <f>IF(BQ258=1,"L1",IF(OR(BQ258=2,BQ258=3),"L23",IF(BQ258="Aussen","Aussen","-")))</f>
        <v/>
      </c>
      <c r="BS258" s="66">
        <f>IF(N(W258)&gt;0,W258,0)</f>
        <v/>
      </c>
      <c r="BT258" s="58">
        <f>IF(ISNUMBER(Z258),1,0)</f>
        <v/>
      </c>
      <c r="BU258" s="55">
        <f>N(Z258)</f>
        <v/>
      </c>
      <c r="BV258" s="55">
        <f>N(L258)+N(M258)</f>
        <v/>
      </c>
      <c r="BW258" s="55">
        <f>ROUNDUP(G258/BN258,0)</f>
        <v/>
      </c>
      <c r="BX258" s="55">
        <f>ROUNDUP(BU258/BN258,0)</f>
        <v/>
      </c>
      <c r="BY258" s="58">
        <f>IF(BO258=1,0,IFERROR(VLOOKUP(BM258,'Gebinde-Kategorie'!$A$5:$G$45,5,0)+0,0))</f>
        <v/>
      </c>
      <c r="BZ258" s="58">
        <f>IFERROR(IF(OR(BQ258=1,BQ258=2,BQ258=3),N(INDEX(Parameter!$I$5:$I$7,BQ258)),0),0)</f>
        <v/>
      </c>
    </row>
    <row r="259">
      <c r="A259" s="53" t="inlineStr">
        <is>
          <t>100147</t>
        </is>
      </c>
      <c r="B259" s="53" t="inlineStr">
        <is>
          <t>Sicherungsscheibe</t>
        </is>
      </c>
      <c r="C259" s="53" t="inlineStr">
        <is>
          <t>F</t>
        </is>
      </c>
      <c r="D259" s="53" t="inlineStr">
        <is>
          <t>KTL</t>
        </is>
      </c>
      <c r="E259" s="53" t="inlineStr">
        <is>
          <t>C</t>
        </is>
      </c>
      <c r="F259" s="54" t="n">
        <v>0.35</v>
      </c>
      <c r="G259" s="55">
        <f>MAX(0,IF(Parameter!$B$20="Jahresanfang 2025 + Export",BG259+BF259,BF259))</f>
        <v/>
      </c>
      <c r="H259" s="55">
        <f>G259*F259</f>
        <v/>
      </c>
      <c r="I259" s="55">
        <f>BI259*Parameter!$B$18</f>
        <v/>
      </c>
      <c r="J259" s="56" t="n">
        <v>1287</v>
      </c>
      <c r="K259" s="57" t="n">
        <v>3.563325563325563</v>
      </c>
      <c r="L259" s="55" t="n">
        <v>267</v>
      </c>
      <c r="M259" s="55" t="n">
        <v>2000</v>
      </c>
      <c r="N259" s="58" t="n">
        <v>21</v>
      </c>
      <c r="O259" s="53" t="inlineStr">
        <is>
          <t>S52</t>
        </is>
      </c>
      <c r="P259" s="55" t="n">
        <v>1949</v>
      </c>
      <c r="Q259" s="59">
        <f>IF(BO259=1,0,IFERROR(VLOOKUP(BM259,'Gebinde-Kategorie'!$A$5:$G$45,6,0)+0,0))</f>
        <v/>
      </c>
      <c r="R259" s="60" t="n"/>
      <c r="S259" s="61" t="n"/>
      <c r="T259" s="61" t="n"/>
      <c r="U259" s="53">
        <f>IF(A259="","",IF(IFERROR(VLOOKUP(D259,Parameter!$A$35:$C$64,2,0),"Nein")="2+3",IF(ISNUMBER(SEARCH("grosser Artikel",BJ259)),2,IFERROR(VLOOKUP(BM259,Parameter!$F$35:$G$64,2,0),2)),IF(OR(IFERROR(VLOOKUP(D259,Parameter!$A$35:$C$64,2,0),"Nein")="Nein",IFERROR(VLOOKUP(D259,Parameter!$A$35:$C$64,2,0),"Nein")=""),"-",VLOOKUP(D259,Parameter!$A$35:$C$64,2,0))))</f>
        <v/>
      </c>
      <c r="V259" s="61" t="n"/>
      <c r="W259" s="62" t="n"/>
      <c r="X259" s="55">
        <f>AM259</f>
        <v/>
      </c>
      <c r="Y259" s="55">
        <f>MAX(AM259,G259)</f>
        <v/>
      </c>
      <c r="Z259" s="63" t="n"/>
      <c r="AA259" s="55">
        <f>IF(LEFT(Cockpit!$C$5,1)="A",G259,IF(BT259=1,BU259,IF(LEFT(Cockpit!$C$5,1)="B",AE259,MAX(AE259,G259))))</f>
        <v/>
      </c>
      <c r="AB259" s="55">
        <f>IF(BO259=1,0,ROUNDUP(AA259/BN259,0))</f>
        <v/>
      </c>
      <c r="AC259" s="64">
        <f>IF(BO259=1,IF(AA259&lt;=0,0,BP259*MAX(1,IF(G259&gt;0,AA259/G259,1))),AB259*Q259)</f>
        <v/>
      </c>
      <c r="AD259" s="55">
        <f>AA259*F259</f>
        <v/>
      </c>
      <c r="AE259" s="55">
        <f>ROUNDUP(MAX(I259/IF(BS259&gt;0,BS259,MAX(0.1,N(Cockpit!$C$6))),BV259)/BN259,0)*BN259</f>
        <v/>
      </c>
      <c r="AF259" s="56">
        <f>IF(AC259&gt;0,I259/AC259,-1)</f>
        <v/>
      </c>
      <c r="AG259" s="56">
        <f>IF(AND(OR(BR259="L1",BR259="L23"),AC259&gt;0),SUMIFS($AC$7:$AC$1570,$BR$7:$BR$1570,BR259,$AF$7:$AF$1570,"&gt;"&amp;AF259)+SUMIFS($AC$7:$AC$1570,$BR$7:$BR$1570,BR259,$AF$7:$AF$1570,AF259,$BL$7:$BL$1570,"&lt;="&amp;BL259),"")</f>
        <v/>
      </c>
      <c r="AH259" s="65">
        <f>IF(AG259="",0,MAX(0,MIN(1,(IF(BR259="L1",Parameter!$K$5,Parameter!$K$6+Parameter!$K$7)-(AG259-AC259))/AC259)))</f>
        <v/>
      </c>
      <c r="AI259" s="55">
        <f>IF(LEFT(Cockpit!$I$5,1)="A",G259,IF(BT259=1,BU259,IF(LEFT(Cockpit!$I$5,1)="B",AM259,MAX(AM259,G259))))</f>
        <v/>
      </c>
      <c r="AJ259" s="55">
        <f>IF(BO259=1,0,ROUNDUP(AI259/BN259,0))</f>
        <v/>
      </c>
      <c r="AK259" s="64">
        <f>IF(BO259=1,IF(AI259&lt;=0,0,BP259*MAX(1,IF(G259&gt;0,AI259/G259,1))),AJ259*Q259)</f>
        <v/>
      </c>
      <c r="AL259" s="55">
        <f>AI259*F259</f>
        <v/>
      </c>
      <c r="AM259" s="55">
        <f>ROUNDUP(MAX(I259/IF(BS259&gt;0,BS259,MAX(0.1,N(Cockpit!$I$6))),BV259)/BN259,0)*BN259</f>
        <v/>
      </c>
      <c r="AN259" s="56">
        <f>IF(AK259&gt;0,I259/AK259,-1)</f>
        <v/>
      </c>
      <c r="AO259" s="56">
        <f>IF(AND(OR(BR259="L1",BR259="L23"),AK259&gt;0),SUMIFS($AK$7:$AK$1570,$BR$7:$BR$1570,BR259,$AN$7:$AN$1570,"&gt;"&amp;AN259)+SUMIFS($AK$7:$AK$1570,$BR$7:$BR$1570,BR259,$AN$7:$AN$1570,AN259,$BL$7:$BL$1570,"&lt;="&amp;BL259),"")</f>
        <v/>
      </c>
      <c r="AP259" s="65">
        <f>IF(AO259="",0,MAX(0,MIN(1,(IF(BR259="L1",Parameter!$K$5,Parameter!$K$6+Parameter!$K$7)-(AO259-AK259))/AK259)))</f>
        <v/>
      </c>
      <c r="AQ259" s="55">
        <f>IF(LEFT(Cockpit!$O$5,1)="A",G259,IF(BT259=1,BU259,IF(LEFT(Cockpit!$O$5,1)="B",AU259,MAX(AU259,G259))))</f>
        <v/>
      </c>
      <c r="AR259" s="55">
        <f>IF(BO259=1,0,ROUNDUP(AQ259/BN259,0))</f>
        <v/>
      </c>
      <c r="AS259" s="64">
        <f>IF(BO259=1,IF(AQ259&lt;=0,0,BP259*MAX(1,IF(G259&gt;0,AQ259/G259,1))),AR259*Q259)</f>
        <v/>
      </c>
      <c r="AT259" s="55">
        <f>AQ259*F259</f>
        <v/>
      </c>
      <c r="AU259" s="55">
        <f>ROUNDUP(MAX(I259/IF(BS259&gt;0,BS259,MAX(0.1,N(Cockpit!$O$6))),BV259)/BN259,0)*BN259</f>
        <v/>
      </c>
      <c r="AV259" s="56">
        <f>IF(AS259&gt;0,I259/AS259,-1)</f>
        <v/>
      </c>
      <c r="AW259" s="56">
        <f>IF(AND(OR(BR259="L1",BR259="L23"),AS259&gt;0),SUMIFS($AS$7:$AS$1570,$BR$7:$BR$1570,BR259,$AV$7:$AV$1570,"&gt;"&amp;AV259)+SUMIFS($AS$7:$AS$1570,$BR$7:$BR$1570,BR259,$AV$7:$AV$1570,AV259,$BL$7:$BL$1570,"&lt;="&amp;BL259),"")</f>
        <v/>
      </c>
      <c r="AX259" s="65">
        <f>IF(AW259="",0,MAX(0,MIN(1,(IF(BR259="L1",Parameter!$K$5,Parameter!$K$6+Parameter!$K$7)-(AW259-AS259))/AS259)))</f>
        <v/>
      </c>
      <c r="AY259" s="53">
        <f>IF(AC259&lt;=0,"",IF(BR259="Aussen","Aussenlager",IF(BR259="-","Nicht im Lift",IF(AH259&gt;=1,"Lift",IF(AH259&lt;=0,"Aussenlager","teilweise")))))</f>
        <v/>
      </c>
      <c r="AZ259" s="53">
        <f>IF(AK259&lt;=0,"",IF(BR259="Aussen","Aussenlager",IF(BR259="-","Nicht im Lift",IF(AP259&gt;=1,"Lift",IF(AP259&lt;=0,"Aussenlager","teilweise")))))</f>
        <v/>
      </c>
      <c r="BA259" s="53">
        <f>IF(AS259&lt;=0,"",IF(BR259="Aussen","Aussenlager",IF(BR259="-","Nicht im Lift",IF(AX259&gt;=1,"Lift",IF(AX259&lt;=0,"Aussenlager","teilweise")))))</f>
        <v/>
      </c>
      <c r="BB259" s="53">
        <f>IF(A259="","",IF(BK259=1,"Neu; ","")&amp;IF(AND(BK259=0,BF259&lt;0),"negativer Bestand (Export "&amp;BF259&amp;"); ","")&amp;IF(I259&lt;=0,"Kein Verbrauch; ","")&amp;IF(BO259=1,"Lose – Fläche geschätzt; ","")&amp;IF(G259&gt;AM259,"Überbestand "&amp;ROUND(G259-AM259,0)&amp;" Stk / CHF "&amp;ROUND((G259-AM259)*F259,0)&amp;"; ","")&amp;IF(AND(BT259=1,BU259&lt;BV259),"MAX &lt; MB+LG; ","")&amp;IF(AND(BZ259&gt;0,BY259*10&gt;BZ259),"zu hoch für Tablar; ","")&amp;IF(AND(BK259=0,OR(BT259=1,V259&lt;&gt;"",S259&lt;&gt;"",T259&lt;&gt;"",W259&lt;&gt;"")),"manuell übersteuert; ","")&amp;IF(AND(BO259=0,Q259=0),"Gebinde unbekannt; ","")&amp;IF(AND(BO259=0,N(T259)&lt;=0,N(P259)&lt;=0),"Menge pro Gebinde fehlt (Ist = 1 Gebinde); ","")&amp;BJ259)</f>
        <v/>
      </c>
      <c r="BC259" s="53" t="n"/>
      <c r="BD259" s="53" t="n"/>
      <c r="BE259" s="61" t="n"/>
      <c r="BF259" s="55" t="n">
        <v>1293</v>
      </c>
      <c r="BG259" s="55" t="n">
        <v>1154</v>
      </c>
      <c r="BH259" s="54" t="n">
        <v>452.55</v>
      </c>
      <c r="BI259" s="55" t="n">
        <v>4586</v>
      </c>
      <c r="BJ259" s="53" t="inlineStr"/>
      <c r="BK259" s="58" t="n">
        <v>0</v>
      </c>
      <c r="BL259" s="58" t="n">
        <v>259</v>
      </c>
      <c r="BM259" s="53">
        <f>IF(S259&lt;&gt;"",UPPER(TRIM(S259)),IF(O259="","LOSE",O259))</f>
        <v/>
      </c>
      <c r="BN259" s="55">
        <f>IF(BM259="LOSE",1,IF(N(T259)&gt;0,T259,IF(N(P259)&gt;0,P259,MAX(1,G259))))</f>
        <v/>
      </c>
      <c r="BO259" s="58">
        <f>IF(BM259="LOSE",1,0)</f>
        <v/>
      </c>
      <c r="BP259" s="64">
        <f>IF(BO259=0,0,IF(N(R259)&gt;0,R259,IFERROR(VLOOKUP(D259,Parameter!$A$35:$C$64,3,0)+0,0)))</f>
        <v/>
      </c>
      <c r="BQ259" s="53">
        <f>IF(V259&lt;&gt;"",V259,U259)</f>
        <v/>
      </c>
      <c r="BR259" s="53">
        <f>IF(BQ259=1,"L1",IF(OR(BQ259=2,BQ259=3),"L23",IF(BQ259="Aussen","Aussen","-")))</f>
        <v/>
      </c>
      <c r="BS259" s="66">
        <f>IF(N(W259)&gt;0,W259,0)</f>
        <v/>
      </c>
      <c r="BT259" s="58">
        <f>IF(ISNUMBER(Z259),1,0)</f>
        <v/>
      </c>
      <c r="BU259" s="55">
        <f>N(Z259)</f>
        <v/>
      </c>
      <c r="BV259" s="55">
        <f>N(L259)+N(M259)</f>
        <v/>
      </c>
      <c r="BW259" s="55">
        <f>ROUNDUP(G259/BN259,0)</f>
        <v/>
      </c>
      <c r="BX259" s="55">
        <f>ROUNDUP(BU259/BN259,0)</f>
        <v/>
      </c>
      <c r="BY259" s="58">
        <f>IF(BO259=1,0,IFERROR(VLOOKUP(BM259,'Gebinde-Kategorie'!$A$5:$G$45,5,0)+0,0))</f>
        <v/>
      </c>
      <c r="BZ259" s="58">
        <f>IFERROR(IF(OR(BQ259=1,BQ259=2,BQ259=3),N(INDEX(Parameter!$I$5:$I$7,BQ259)),0),0)</f>
        <v/>
      </c>
    </row>
    <row r="260">
      <c r="A260" s="53" t="inlineStr">
        <is>
          <t>101253</t>
        </is>
      </c>
      <c r="B260" s="53" t="inlineStr">
        <is>
          <t>Federkonsole</t>
        </is>
      </c>
      <c r="C260" s="53" t="inlineStr">
        <is>
          <t>F</t>
        </is>
      </c>
      <c r="D260" s="53" t="inlineStr">
        <is>
          <t>PAL</t>
        </is>
      </c>
      <c r="E260" s="53" t="inlineStr">
        <is>
          <t>C</t>
        </is>
      </c>
      <c r="F260" s="54" t="n">
        <v>428.4</v>
      </c>
      <c r="G260" s="55">
        <f>MAX(0,IF(Parameter!$B$20="Jahresanfang 2025 + Export",BG260+BF260,BF260))</f>
        <v/>
      </c>
      <c r="H260" s="55">
        <f>G260*F260</f>
        <v/>
      </c>
      <c r="I260" s="55">
        <f>BI260*Parameter!$B$18</f>
        <v/>
      </c>
      <c r="J260" s="56" t="n">
        <v>9</v>
      </c>
      <c r="K260" s="57" t="n">
        <v>6.444444444444445</v>
      </c>
      <c r="L260" s="55" t="n">
        <v>5</v>
      </c>
      <c r="M260" s="55" t="n">
        <v>20</v>
      </c>
      <c r="N260" s="58" t="n">
        <v>35</v>
      </c>
      <c r="O260" s="53" t="inlineStr">
        <is>
          <t>S72</t>
        </is>
      </c>
      <c r="P260" s="55" t="n">
        <v>10</v>
      </c>
      <c r="Q260" s="59">
        <f>IF(BO260=1,0,IFERROR(VLOOKUP(BM260,'Gebinde-Kategorie'!$A$5:$G$45,6,0)+0,0))</f>
        <v/>
      </c>
      <c r="R260" s="60" t="n"/>
      <c r="S260" s="61" t="n"/>
      <c r="T260" s="61" t="n"/>
      <c r="U260" s="53">
        <f>IF(A260="","",IF(IFERROR(VLOOKUP(D260,Parameter!$A$35:$C$64,2,0),"Nein")="2+3",IF(ISNUMBER(SEARCH("grosser Artikel",BJ260)),2,IFERROR(VLOOKUP(BM260,Parameter!$F$35:$G$64,2,0),2)),IF(OR(IFERROR(VLOOKUP(D260,Parameter!$A$35:$C$64,2,0),"Nein")="Nein",IFERROR(VLOOKUP(D260,Parameter!$A$35:$C$64,2,0),"Nein")=""),"-",VLOOKUP(D260,Parameter!$A$35:$C$64,2,0))))</f>
        <v/>
      </c>
      <c r="V260" s="61" t="n"/>
      <c r="W260" s="62" t="n"/>
      <c r="X260" s="55">
        <f>AM260</f>
        <v/>
      </c>
      <c r="Y260" s="55">
        <f>MAX(AM260,G260)</f>
        <v/>
      </c>
      <c r="Z260" s="63" t="n"/>
      <c r="AA260" s="55">
        <f>IF(LEFT(Cockpit!$C$5,1)="A",G260,IF(BT260=1,BU260,IF(LEFT(Cockpit!$C$5,1)="B",AE260,MAX(AE260,G260))))</f>
        <v/>
      </c>
      <c r="AB260" s="55">
        <f>IF(BO260=1,0,ROUNDUP(AA260/BN260,0))</f>
        <v/>
      </c>
      <c r="AC260" s="64">
        <f>IF(BO260=1,IF(AA260&lt;=0,0,BP260*MAX(1,IF(G260&gt;0,AA260/G260,1))),AB260*Q260)</f>
        <v/>
      </c>
      <c r="AD260" s="55">
        <f>AA260*F260</f>
        <v/>
      </c>
      <c r="AE260" s="55">
        <f>ROUNDUP(MAX(I260/IF(BS260&gt;0,BS260,MAX(0.1,N(Cockpit!$C$6))),BV260)/BN260,0)*BN260</f>
        <v/>
      </c>
      <c r="AF260" s="56">
        <f>IF(AC260&gt;0,I260/AC260,-1)</f>
        <v/>
      </c>
      <c r="AG260" s="56">
        <f>IF(AND(OR(BR260="L1",BR260="L23"),AC260&gt;0),SUMIFS($AC$7:$AC$1570,$BR$7:$BR$1570,BR260,$AF$7:$AF$1570,"&gt;"&amp;AF260)+SUMIFS($AC$7:$AC$1570,$BR$7:$BR$1570,BR260,$AF$7:$AF$1570,AF260,$BL$7:$BL$1570,"&lt;="&amp;BL260),"")</f>
        <v/>
      </c>
      <c r="AH260" s="65">
        <f>IF(AG260="",0,MAX(0,MIN(1,(IF(BR260="L1",Parameter!$K$5,Parameter!$K$6+Parameter!$K$7)-(AG260-AC260))/AC260)))</f>
        <v/>
      </c>
      <c r="AI260" s="55">
        <f>IF(LEFT(Cockpit!$I$5,1)="A",G260,IF(BT260=1,BU260,IF(LEFT(Cockpit!$I$5,1)="B",AM260,MAX(AM260,G260))))</f>
        <v/>
      </c>
      <c r="AJ260" s="55">
        <f>IF(BO260=1,0,ROUNDUP(AI260/BN260,0))</f>
        <v/>
      </c>
      <c r="AK260" s="64">
        <f>IF(BO260=1,IF(AI260&lt;=0,0,BP260*MAX(1,IF(G260&gt;0,AI260/G260,1))),AJ260*Q260)</f>
        <v/>
      </c>
      <c r="AL260" s="55">
        <f>AI260*F260</f>
        <v/>
      </c>
      <c r="AM260" s="55">
        <f>ROUNDUP(MAX(I260/IF(BS260&gt;0,BS260,MAX(0.1,N(Cockpit!$I$6))),BV260)/BN260,0)*BN260</f>
        <v/>
      </c>
      <c r="AN260" s="56">
        <f>IF(AK260&gt;0,I260/AK260,-1)</f>
        <v/>
      </c>
      <c r="AO260" s="56">
        <f>IF(AND(OR(BR260="L1",BR260="L23"),AK260&gt;0),SUMIFS($AK$7:$AK$1570,$BR$7:$BR$1570,BR260,$AN$7:$AN$1570,"&gt;"&amp;AN260)+SUMIFS($AK$7:$AK$1570,$BR$7:$BR$1570,BR260,$AN$7:$AN$1570,AN260,$BL$7:$BL$1570,"&lt;="&amp;BL260),"")</f>
        <v/>
      </c>
      <c r="AP260" s="65">
        <f>IF(AO260="",0,MAX(0,MIN(1,(IF(BR260="L1",Parameter!$K$5,Parameter!$K$6+Parameter!$K$7)-(AO260-AK260))/AK260)))</f>
        <v/>
      </c>
      <c r="AQ260" s="55">
        <f>IF(LEFT(Cockpit!$O$5,1)="A",G260,IF(BT260=1,BU260,IF(LEFT(Cockpit!$O$5,1)="B",AU260,MAX(AU260,G260))))</f>
        <v/>
      </c>
      <c r="AR260" s="55">
        <f>IF(BO260=1,0,ROUNDUP(AQ260/BN260,0))</f>
        <v/>
      </c>
      <c r="AS260" s="64">
        <f>IF(BO260=1,IF(AQ260&lt;=0,0,BP260*MAX(1,IF(G260&gt;0,AQ260/G260,1))),AR260*Q260)</f>
        <v/>
      </c>
      <c r="AT260" s="55">
        <f>AQ260*F260</f>
        <v/>
      </c>
      <c r="AU260" s="55">
        <f>ROUNDUP(MAX(I260/IF(BS260&gt;0,BS260,MAX(0.1,N(Cockpit!$O$6))),BV260)/BN260,0)*BN260</f>
        <v/>
      </c>
      <c r="AV260" s="56">
        <f>IF(AS260&gt;0,I260/AS260,-1)</f>
        <v/>
      </c>
      <c r="AW260" s="56">
        <f>IF(AND(OR(BR260="L1",BR260="L23"),AS260&gt;0),SUMIFS($AS$7:$AS$1570,$BR$7:$BR$1570,BR260,$AV$7:$AV$1570,"&gt;"&amp;AV260)+SUMIFS($AS$7:$AS$1570,$BR$7:$BR$1570,BR260,$AV$7:$AV$1570,AV260,$BL$7:$BL$1570,"&lt;="&amp;BL260),"")</f>
        <v/>
      </c>
      <c r="AX260" s="65">
        <f>IF(AW260="",0,MAX(0,MIN(1,(IF(BR260="L1",Parameter!$K$5,Parameter!$K$6+Parameter!$K$7)-(AW260-AS260))/AS260)))</f>
        <v/>
      </c>
      <c r="AY260" s="53">
        <f>IF(AC260&lt;=0,"",IF(BR260="Aussen","Aussenlager",IF(BR260="-","Nicht im Lift",IF(AH260&gt;=1,"Lift",IF(AH260&lt;=0,"Aussenlager","teilweise")))))</f>
        <v/>
      </c>
      <c r="AZ260" s="53">
        <f>IF(AK260&lt;=0,"",IF(BR260="Aussen","Aussenlager",IF(BR260="-","Nicht im Lift",IF(AP260&gt;=1,"Lift",IF(AP260&lt;=0,"Aussenlager","teilweise")))))</f>
        <v/>
      </c>
      <c r="BA260" s="53">
        <f>IF(AS260&lt;=0,"",IF(BR260="Aussen","Aussenlager",IF(BR260="-","Nicht im Lift",IF(AX260&gt;=1,"Lift",IF(AX260&lt;=0,"Aussenlager","teilweise")))))</f>
        <v/>
      </c>
      <c r="BB260" s="53">
        <f>IF(A260="","",IF(BK260=1,"Neu; ","")&amp;IF(AND(BK260=0,BF260&lt;0),"negativer Bestand (Export "&amp;BF260&amp;"); ","")&amp;IF(I260&lt;=0,"Kein Verbrauch; ","")&amp;IF(BO260=1,"Lose – Fläche geschätzt; ","")&amp;IF(G260&gt;AM260,"Überbestand "&amp;ROUND(G260-AM260,0)&amp;" Stk / CHF "&amp;ROUND((G260-AM260)*F260,0)&amp;"; ","")&amp;IF(AND(BT260=1,BU260&lt;BV260),"MAX &lt; MB+LG; ","")&amp;IF(AND(BZ260&gt;0,BY260*10&gt;BZ260),"zu hoch für Tablar; ","")&amp;IF(AND(BK260=0,OR(BT260=1,V260&lt;&gt;"",S260&lt;&gt;"",T260&lt;&gt;"",W260&lt;&gt;"")),"manuell übersteuert; ","")&amp;IF(AND(BO260=0,Q260=0),"Gebinde unbekannt; ","")&amp;IF(AND(BO260=0,N(T260)&lt;=0,N(P260)&lt;=0),"Menge pro Gebinde fehlt (Ist = 1 Gebinde); ","")&amp;BJ260)</f>
        <v/>
      </c>
      <c r="BC260" s="53" t="n"/>
      <c r="BD260" s="53" t="n"/>
      <c r="BE260" s="61" t="n"/>
      <c r="BF260" s="55" t="n">
        <v>1</v>
      </c>
      <c r="BG260" s="55" t="n">
        <v>13</v>
      </c>
      <c r="BH260" s="54" t="n">
        <v>449.1999999999998</v>
      </c>
      <c r="BI260" s="55" t="n">
        <v>58</v>
      </c>
      <c r="BJ260" s="53" t="inlineStr"/>
      <c r="BK260" s="58" t="n">
        <v>0</v>
      </c>
      <c r="BL260" s="58" t="n">
        <v>260</v>
      </c>
      <c r="BM260" s="53">
        <f>IF(S260&lt;&gt;"",UPPER(TRIM(S260)),IF(O260="","LOSE",O260))</f>
        <v/>
      </c>
      <c r="BN260" s="55">
        <f>IF(BM260="LOSE",1,IF(N(T260)&gt;0,T260,IF(N(P260)&gt;0,P260,MAX(1,G260))))</f>
        <v/>
      </c>
      <c r="BO260" s="58">
        <f>IF(BM260="LOSE",1,0)</f>
        <v/>
      </c>
      <c r="BP260" s="64">
        <f>IF(BO260=0,0,IF(N(R260)&gt;0,R260,IFERROR(VLOOKUP(D260,Parameter!$A$35:$C$64,3,0)+0,0)))</f>
        <v/>
      </c>
      <c r="BQ260" s="53">
        <f>IF(V260&lt;&gt;"",V260,U260)</f>
        <v/>
      </c>
      <c r="BR260" s="53">
        <f>IF(BQ260=1,"L1",IF(OR(BQ260=2,BQ260=3),"L23",IF(BQ260="Aussen","Aussen","-")))</f>
        <v/>
      </c>
      <c r="BS260" s="66">
        <f>IF(N(W260)&gt;0,W260,0)</f>
        <v/>
      </c>
      <c r="BT260" s="58">
        <f>IF(ISNUMBER(Z260),1,0)</f>
        <v/>
      </c>
      <c r="BU260" s="55">
        <f>N(Z260)</f>
        <v/>
      </c>
      <c r="BV260" s="55">
        <f>N(L260)+N(M260)</f>
        <v/>
      </c>
      <c r="BW260" s="55">
        <f>ROUNDUP(G260/BN260,0)</f>
        <v/>
      </c>
      <c r="BX260" s="55">
        <f>ROUNDUP(BU260/BN260,0)</f>
        <v/>
      </c>
      <c r="BY260" s="58">
        <f>IF(BO260=1,0,IFERROR(VLOOKUP(BM260,'Gebinde-Kategorie'!$A$5:$G$45,5,0)+0,0))</f>
        <v/>
      </c>
      <c r="BZ260" s="58">
        <f>IFERROR(IF(OR(BQ260=1,BQ260=2,BQ260=3),N(INDEX(Parameter!$I$5:$I$7,BQ260)),0),0)</f>
        <v/>
      </c>
    </row>
    <row r="261">
      <c r="A261" s="53" t="inlineStr">
        <is>
          <t>108818</t>
        </is>
      </c>
      <c r="B261" s="53" t="inlineStr">
        <is>
          <t>Rohrschelle</t>
        </is>
      </c>
      <c r="C261" s="53" t="inlineStr">
        <is>
          <t>F</t>
        </is>
      </c>
      <c r="D261" s="53" t="inlineStr">
        <is>
          <t>KTL</t>
        </is>
      </c>
      <c r="E261" s="53" t="inlineStr">
        <is>
          <t>C</t>
        </is>
      </c>
      <c r="F261" s="54" t="n">
        <v>5.29</v>
      </c>
      <c r="G261" s="55">
        <f>MAX(0,IF(Parameter!$B$20="Jahresanfang 2025 + Export",BG261+BF261,BF261))</f>
        <v/>
      </c>
      <c r="H261" s="55">
        <f>G261*F261</f>
        <v/>
      </c>
      <c r="I261" s="55">
        <f>BI261*Parameter!$B$18</f>
        <v/>
      </c>
      <c r="J261" s="56" t="n">
        <v>110</v>
      </c>
      <c r="K261" s="57" t="n">
        <v>1.8</v>
      </c>
      <c r="L261" s="55" t="n">
        <v>7</v>
      </c>
      <c r="M261" s="55" t="n">
        <v>200</v>
      </c>
      <c r="N261" s="58" t="n">
        <v>14</v>
      </c>
      <c r="O261" s="53" t="inlineStr">
        <is>
          <t>S51</t>
        </is>
      </c>
      <c r="P261" s="55" t="n">
        <v>150</v>
      </c>
      <c r="Q261" s="59">
        <f>IF(BO261=1,0,IFERROR(VLOOKUP(BM261,'Gebinde-Kategorie'!$A$5:$G$45,6,0)+0,0))</f>
        <v/>
      </c>
      <c r="R261" s="60" t="n"/>
      <c r="S261" s="61" t="n"/>
      <c r="T261" s="61" t="n"/>
      <c r="U261" s="53">
        <f>IF(A261="","",IF(IFERROR(VLOOKUP(D261,Parameter!$A$35:$C$64,2,0),"Nein")="2+3",IF(ISNUMBER(SEARCH("grosser Artikel",BJ261)),2,IFERROR(VLOOKUP(BM261,Parameter!$F$35:$G$64,2,0),2)),IF(OR(IFERROR(VLOOKUP(D261,Parameter!$A$35:$C$64,2,0),"Nein")="Nein",IFERROR(VLOOKUP(D261,Parameter!$A$35:$C$64,2,0),"Nein")=""),"-",VLOOKUP(D261,Parameter!$A$35:$C$64,2,0))))</f>
        <v/>
      </c>
      <c r="V261" s="61" t="n"/>
      <c r="W261" s="62" t="n"/>
      <c r="X261" s="55">
        <f>AM261</f>
        <v/>
      </c>
      <c r="Y261" s="55">
        <f>MAX(AM261,G261)</f>
        <v/>
      </c>
      <c r="Z261" s="63" t="n"/>
      <c r="AA261" s="55">
        <f>IF(LEFT(Cockpit!$C$5,1)="A",G261,IF(BT261=1,BU261,IF(LEFT(Cockpit!$C$5,1)="B",AE261,MAX(AE261,G261))))</f>
        <v/>
      </c>
      <c r="AB261" s="55">
        <f>IF(BO261=1,0,ROUNDUP(AA261/BN261,0))</f>
        <v/>
      </c>
      <c r="AC261" s="64">
        <f>IF(BO261=1,IF(AA261&lt;=0,0,BP261*MAX(1,IF(G261&gt;0,AA261/G261,1))),AB261*Q261)</f>
        <v/>
      </c>
      <c r="AD261" s="55">
        <f>AA261*F261</f>
        <v/>
      </c>
      <c r="AE261" s="55">
        <f>ROUNDUP(MAX(I261/IF(BS261&gt;0,BS261,MAX(0.1,N(Cockpit!$C$6))),BV261)/BN261,0)*BN261</f>
        <v/>
      </c>
      <c r="AF261" s="56">
        <f>IF(AC261&gt;0,I261/AC261,-1)</f>
        <v/>
      </c>
      <c r="AG261" s="56">
        <f>IF(AND(OR(BR261="L1",BR261="L23"),AC261&gt;0),SUMIFS($AC$7:$AC$1570,$BR$7:$BR$1570,BR261,$AF$7:$AF$1570,"&gt;"&amp;AF261)+SUMIFS($AC$7:$AC$1570,$BR$7:$BR$1570,BR261,$AF$7:$AF$1570,AF261,$BL$7:$BL$1570,"&lt;="&amp;BL261),"")</f>
        <v/>
      </c>
      <c r="AH261" s="65">
        <f>IF(AG261="",0,MAX(0,MIN(1,(IF(BR261="L1",Parameter!$K$5,Parameter!$K$6+Parameter!$K$7)-(AG261-AC261))/AC261)))</f>
        <v/>
      </c>
      <c r="AI261" s="55">
        <f>IF(LEFT(Cockpit!$I$5,1)="A",G261,IF(BT261=1,BU261,IF(LEFT(Cockpit!$I$5,1)="B",AM261,MAX(AM261,G261))))</f>
        <v/>
      </c>
      <c r="AJ261" s="55">
        <f>IF(BO261=1,0,ROUNDUP(AI261/BN261,0))</f>
        <v/>
      </c>
      <c r="AK261" s="64">
        <f>IF(BO261=1,IF(AI261&lt;=0,0,BP261*MAX(1,IF(G261&gt;0,AI261/G261,1))),AJ261*Q261)</f>
        <v/>
      </c>
      <c r="AL261" s="55">
        <f>AI261*F261</f>
        <v/>
      </c>
      <c r="AM261" s="55">
        <f>ROUNDUP(MAX(I261/IF(BS261&gt;0,BS261,MAX(0.1,N(Cockpit!$I$6))),BV261)/BN261,0)*BN261</f>
        <v/>
      </c>
      <c r="AN261" s="56">
        <f>IF(AK261&gt;0,I261/AK261,-1)</f>
        <v/>
      </c>
      <c r="AO261" s="56">
        <f>IF(AND(OR(BR261="L1",BR261="L23"),AK261&gt;0),SUMIFS($AK$7:$AK$1570,$BR$7:$BR$1570,BR261,$AN$7:$AN$1570,"&gt;"&amp;AN261)+SUMIFS($AK$7:$AK$1570,$BR$7:$BR$1570,BR261,$AN$7:$AN$1570,AN261,$BL$7:$BL$1570,"&lt;="&amp;BL261),"")</f>
        <v/>
      </c>
      <c r="AP261" s="65">
        <f>IF(AO261="",0,MAX(0,MIN(1,(IF(BR261="L1",Parameter!$K$5,Parameter!$K$6+Parameter!$K$7)-(AO261-AK261))/AK261)))</f>
        <v/>
      </c>
      <c r="AQ261" s="55">
        <f>IF(LEFT(Cockpit!$O$5,1)="A",G261,IF(BT261=1,BU261,IF(LEFT(Cockpit!$O$5,1)="B",AU261,MAX(AU261,G261))))</f>
        <v/>
      </c>
      <c r="AR261" s="55">
        <f>IF(BO261=1,0,ROUNDUP(AQ261/BN261,0))</f>
        <v/>
      </c>
      <c r="AS261" s="64">
        <f>IF(BO261=1,IF(AQ261&lt;=0,0,BP261*MAX(1,IF(G261&gt;0,AQ261/G261,1))),AR261*Q261)</f>
        <v/>
      </c>
      <c r="AT261" s="55">
        <f>AQ261*F261</f>
        <v/>
      </c>
      <c r="AU261" s="55">
        <f>ROUNDUP(MAX(I261/IF(BS261&gt;0,BS261,MAX(0.1,N(Cockpit!$O$6))),BV261)/BN261,0)*BN261</f>
        <v/>
      </c>
      <c r="AV261" s="56">
        <f>IF(AS261&gt;0,I261/AS261,-1)</f>
        <v/>
      </c>
      <c r="AW261" s="56">
        <f>IF(AND(OR(BR261="L1",BR261="L23"),AS261&gt;0),SUMIFS($AS$7:$AS$1570,$BR$7:$BR$1570,BR261,$AV$7:$AV$1570,"&gt;"&amp;AV261)+SUMIFS($AS$7:$AS$1570,$BR$7:$BR$1570,BR261,$AV$7:$AV$1570,AV261,$BL$7:$BL$1570,"&lt;="&amp;BL261),"")</f>
        <v/>
      </c>
      <c r="AX261" s="65">
        <f>IF(AW261="",0,MAX(0,MIN(1,(IF(BR261="L1",Parameter!$K$5,Parameter!$K$6+Parameter!$K$7)-(AW261-AS261))/AS261)))</f>
        <v/>
      </c>
      <c r="AY261" s="53">
        <f>IF(AC261&lt;=0,"",IF(BR261="Aussen","Aussenlager",IF(BR261="-","Nicht im Lift",IF(AH261&gt;=1,"Lift",IF(AH261&lt;=0,"Aussenlager","teilweise")))))</f>
        <v/>
      </c>
      <c r="AZ261" s="53">
        <f>IF(AK261&lt;=0,"",IF(BR261="Aussen","Aussenlager",IF(BR261="-","Nicht im Lift",IF(AP261&gt;=1,"Lift",IF(AP261&lt;=0,"Aussenlager","teilweise")))))</f>
        <v/>
      </c>
      <c r="BA261" s="53">
        <f>IF(AS261&lt;=0,"",IF(BR261="Aussen","Aussenlager",IF(BR261="-","Nicht im Lift",IF(AX261&gt;=1,"Lift",IF(AX261&lt;=0,"Aussenlager","teilweise")))))</f>
        <v/>
      </c>
      <c r="BB261" s="53">
        <f>IF(A261="","",IF(BK261=1,"Neu; ","")&amp;IF(AND(BK261=0,BF261&lt;0),"negativer Bestand (Export "&amp;BF261&amp;"); ","")&amp;IF(I261&lt;=0,"Kein Verbrauch; ","")&amp;IF(BO261=1,"Lose – Fläche geschätzt; ","")&amp;IF(G261&gt;AM261,"Überbestand "&amp;ROUND(G261-AM261,0)&amp;" Stk / CHF "&amp;ROUND((G261-AM261)*F261,0)&amp;"; ","")&amp;IF(AND(BT261=1,BU261&lt;BV261),"MAX &lt; MB+LG; ","")&amp;IF(AND(BZ261&gt;0,BY261*10&gt;BZ261),"zu hoch für Tablar; ","")&amp;IF(AND(BK261=0,OR(BT261=1,V261&lt;&gt;"",S261&lt;&gt;"",T261&lt;&gt;"",W261&lt;&gt;"")),"manuell übersteuert; ","")&amp;IF(AND(BO261=0,Q261=0),"Gebinde unbekannt; ","")&amp;IF(AND(BO261=0,N(T261)&lt;=0,N(P261)&lt;=0),"Menge pro Gebinde fehlt (Ist = 1 Gebinde); ","")&amp;BJ261)</f>
        <v/>
      </c>
      <c r="BC261" s="53" t="n"/>
      <c r="BD261" s="53" t="n"/>
      <c r="BE261" s="61" t="n"/>
      <c r="BF261" s="55" t="n">
        <v>80</v>
      </c>
      <c r="BG261" s="55" t="n">
        <v>108</v>
      </c>
      <c r="BH261" s="54" t="n">
        <v>448.0399999999998</v>
      </c>
      <c r="BI261" s="55" t="n">
        <v>198</v>
      </c>
      <c r="BJ261" s="53" t="inlineStr"/>
      <c r="BK261" s="58" t="n">
        <v>0</v>
      </c>
      <c r="BL261" s="58" t="n">
        <v>261</v>
      </c>
      <c r="BM261" s="53">
        <f>IF(S261&lt;&gt;"",UPPER(TRIM(S261)),IF(O261="","LOSE",O261))</f>
        <v/>
      </c>
      <c r="BN261" s="55">
        <f>IF(BM261="LOSE",1,IF(N(T261)&gt;0,T261,IF(N(P261)&gt;0,P261,MAX(1,G261))))</f>
        <v/>
      </c>
      <c r="BO261" s="58">
        <f>IF(BM261="LOSE",1,0)</f>
        <v/>
      </c>
      <c r="BP261" s="64">
        <f>IF(BO261=0,0,IF(N(R261)&gt;0,R261,IFERROR(VLOOKUP(D261,Parameter!$A$35:$C$64,3,0)+0,0)))</f>
        <v/>
      </c>
      <c r="BQ261" s="53">
        <f>IF(V261&lt;&gt;"",V261,U261)</f>
        <v/>
      </c>
      <c r="BR261" s="53">
        <f>IF(BQ261=1,"L1",IF(OR(BQ261=2,BQ261=3),"L23",IF(BQ261="Aussen","Aussen","-")))</f>
        <v/>
      </c>
      <c r="BS261" s="66">
        <f>IF(N(W261)&gt;0,W261,0)</f>
        <v/>
      </c>
      <c r="BT261" s="58">
        <f>IF(ISNUMBER(Z261),1,0)</f>
        <v/>
      </c>
      <c r="BU261" s="55">
        <f>N(Z261)</f>
        <v/>
      </c>
      <c r="BV261" s="55">
        <f>N(L261)+N(M261)</f>
        <v/>
      </c>
      <c r="BW261" s="55">
        <f>ROUNDUP(G261/BN261,0)</f>
        <v/>
      </c>
      <c r="BX261" s="55">
        <f>ROUNDUP(BU261/BN261,0)</f>
        <v/>
      </c>
      <c r="BY261" s="58">
        <f>IF(BO261=1,0,IFERROR(VLOOKUP(BM261,'Gebinde-Kategorie'!$A$5:$G$45,5,0)+0,0))</f>
        <v/>
      </c>
      <c r="BZ261" s="58">
        <f>IFERROR(IF(OR(BQ261=1,BQ261=2,BQ261=3),N(INDEX(Parameter!$I$5:$I$7,BQ261)),0),0)</f>
        <v/>
      </c>
    </row>
    <row r="262">
      <c r="A262" s="53" t="inlineStr">
        <is>
          <t>110123</t>
        </is>
      </c>
      <c r="B262" s="53" t="inlineStr">
        <is>
          <t>Transfer Gehäuse SPGr komplett</t>
        </is>
      </c>
      <c r="C262" s="53" t="inlineStr">
        <is>
          <t>F</t>
        </is>
      </c>
      <c r="D262" s="53" t="inlineStr">
        <is>
          <t>PAL</t>
        </is>
      </c>
      <c r="E262" s="53" t="inlineStr">
        <is>
          <t>C</t>
        </is>
      </c>
      <c r="F262" s="54" t="n">
        <v>146.96</v>
      </c>
      <c r="G262" s="55">
        <f>MAX(0,IF(Parameter!$B$20="Jahresanfang 2025 + Export",BG262+BF262,BF262))</f>
        <v/>
      </c>
      <c r="H262" s="55">
        <f>G262*F262</f>
        <v/>
      </c>
      <c r="I262" s="55">
        <f>BI262*Parameter!$B$18</f>
        <v/>
      </c>
      <c r="J262" s="56" t="n">
        <v>2.5</v>
      </c>
      <c r="K262" s="57" t="n">
        <v>4.4</v>
      </c>
      <c r="L262" s="55" t="n">
        <v>0</v>
      </c>
      <c r="M262" s="55" t="n">
        <v>10</v>
      </c>
      <c r="N262" s="58" t="n">
        <v>14</v>
      </c>
      <c r="O262" s="53" t="inlineStr">
        <is>
          <t>LOSE</t>
        </is>
      </c>
      <c r="P262" s="55" t="n"/>
      <c r="Q262" s="59">
        <f>IF(BO262=1,0,IFERROR(VLOOKUP(BM262,'Gebinde-Kategorie'!$A$5:$G$45,6,0)+0,0))</f>
        <v/>
      </c>
      <c r="R262" s="60" t="n"/>
      <c r="S262" s="61" t="n"/>
      <c r="T262" s="61" t="n"/>
      <c r="U262" s="53">
        <f>IF(A262="","",IF(IFERROR(VLOOKUP(D262,Parameter!$A$35:$C$64,2,0),"Nein")="2+3",IF(ISNUMBER(SEARCH("grosser Artikel",BJ262)),2,IFERROR(VLOOKUP(BM262,Parameter!$F$35:$G$64,2,0),2)),IF(OR(IFERROR(VLOOKUP(D262,Parameter!$A$35:$C$64,2,0),"Nein")="Nein",IFERROR(VLOOKUP(D262,Parameter!$A$35:$C$64,2,0),"Nein")=""),"-",VLOOKUP(D262,Parameter!$A$35:$C$64,2,0))))</f>
        <v/>
      </c>
      <c r="V262" s="61" t="n"/>
      <c r="W262" s="62" t="n"/>
      <c r="X262" s="55">
        <f>AM262</f>
        <v/>
      </c>
      <c r="Y262" s="55">
        <f>MAX(AM262,G262)</f>
        <v/>
      </c>
      <c r="Z262" s="63" t="n"/>
      <c r="AA262" s="55">
        <f>IF(LEFT(Cockpit!$C$5,1)="A",G262,IF(BT262=1,BU262,IF(LEFT(Cockpit!$C$5,1)="B",AE262,MAX(AE262,G262))))</f>
        <v/>
      </c>
      <c r="AB262" s="55">
        <f>IF(BO262=1,0,ROUNDUP(AA262/BN262,0))</f>
        <v/>
      </c>
      <c r="AC262" s="64">
        <f>IF(BO262=1,IF(AA262&lt;=0,0,BP262*MAX(1,IF(G262&gt;0,AA262/G262,1))),AB262*Q262)</f>
        <v/>
      </c>
      <c r="AD262" s="55">
        <f>AA262*F262</f>
        <v/>
      </c>
      <c r="AE262" s="55">
        <f>ROUNDUP(MAX(I262/IF(BS262&gt;0,BS262,MAX(0.1,N(Cockpit!$C$6))),BV262)/BN262,0)*BN262</f>
        <v/>
      </c>
      <c r="AF262" s="56">
        <f>IF(AC262&gt;0,I262/AC262,-1)</f>
        <v/>
      </c>
      <c r="AG262" s="56">
        <f>IF(AND(OR(BR262="L1",BR262="L23"),AC262&gt;0),SUMIFS($AC$7:$AC$1570,$BR$7:$BR$1570,BR262,$AF$7:$AF$1570,"&gt;"&amp;AF262)+SUMIFS($AC$7:$AC$1570,$BR$7:$BR$1570,BR262,$AF$7:$AF$1570,AF262,$BL$7:$BL$1570,"&lt;="&amp;BL262),"")</f>
        <v/>
      </c>
      <c r="AH262" s="65">
        <f>IF(AG262="",0,MAX(0,MIN(1,(IF(BR262="L1",Parameter!$K$5,Parameter!$K$6+Parameter!$K$7)-(AG262-AC262))/AC262)))</f>
        <v/>
      </c>
      <c r="AI262" s="55">
        <f>IF(LEFT(Cockpit!$I$5,1)="A",G262,IF(BT262=1,BU262,IF(LEFT(Cockpit!$I$5,1)="B",AM262,MAX(AM262,G262))))</f>
        <v/>
      </c>
      <c r="AJ262" s="55">
        <f>IF(BO262=1,0,ROUNDUP(AI262/BN262,0))</f>
        <v/>
      </c>
      <c r="AK262" s="64">
        <f>IF(BO262=1,IF(AI262&lt;=0,0,BP262*MAX(1,IF(G262&gt;0,AI262/G262,1))),AJ262*Q262)</f>
        <v/>
      </c>
      <c r="AL262" s="55">
        <f>AI262*F262</f>
        <v/>
      </c>
      <c r="AM262" s="55">
        <f>ROUNDUP(MAX(I262/IF(BS262&gt;0,BS262,MAX(0.1,N(Cockpit!$I$6))),BV262)/BN262,0)*BN262</f>
        <v/>
      </c>
      <c r="AN262" s="56">
        <f>IF(AK262&gt;0,I262/AK262,-1)</f>
        <v/>
      </c>
      <c r="AO262" s="56">
        <f>IF(AND(OR(BR262="L1",BR262="L23"),AK262&gt;0),SUMIFS($AK$7:$AK$1570,$BR$7:$BR$1570,BR262,$AN$7:$AN$1570,"&gt;"&amp;AN262)+SUMIFS($AK$7:$AK$1570,$BR$7:$BR$1570,BR262,$AN$7:$AN$1570,AN262,$BL$7:$BL$1570,"&lt;="&amp;BL262),"")</f>
        <v/>
      </c>
      <c r="AP262" s="65">
        <f>IF(AO262="",0,MAX(0,MIN(1,(IF(BR262="L1",Parameter!$K$5,Parameter!$K$6+Parameter!$K$7)-(AO262-AK262))/AK262)))</f>
        <v/>
      </c>
      <c r="AQ262" s="55">
        <f>IF(LEFT(Cockpit!$O$5,1)="A",G262,IF(BT262=1,BU262,IF(LEFT(Cockpit!$O$5,1)="B",AU262,MAX(AU262,G262))))</f>
        <v/>
      </c>
      <c r="AR262" s="55">
        <f>IF(BO262=1,0,ROUNDUP(AQ262/BN262,0))</f>
        <v/>
      </c>
      <c r="AS262" s="64">
        <f>IF(BO262=1,IF(AQ262&lt;=0,0,BP262*MAX(1,IF(G262&gt;0,AQ262/G262,1))),AR262*Q262)</f>
        <v/>
      </c>
      <c r="AT262" s="55">
        <f>AQ262*F262</f>
        <v/>
      </c>
      <c r="AU262" s="55">
        <f>ROUNDUP(MAX(I262/IF(BS262&gt;0,BS262,MAX(0.1,N(Cockpit!$O$6))),BV262)/BN262,0)*BN262</f>
        <v/>
      </c>
      <c r="AV262" s="56">
        <f>IF(AS262&gt;0,I262/AS262,-1)</f>
        <v/>
      </c>
      <c r="AW262" s="56">
        <f>IF(AND(OR(BR262="L1",BR262="L23"),AS262&gt;0),SUMIFS($AS$7:$AS$1570,$BR$7:$BR$1570,BR262,$AV$7:$AV$1570,"&gt;"&amp;AV262)+SUMIFS($AS$7:$AS$1570,$BR$7:$BR$1570,BR262,$AV$7:$AV$1570,AV262,$BL$7:$BL$1570,"&lt;="&amp;BL262),"")</f>
        <v/>
      </c>
      <c r="AX262" s="65">
        <f>IF(AW262="",0,MAX(0,MIN(1,(IF(BR262="L1",Parameter!$K$5,Parameter!$K$6+Parameter!$K$7)-(AW262-AS262))/AS262)))</f>
        <v/>
      </c>
      <c r="AY262" s="53">
        <f>IF(AC262&lt;=0,"",IF(BR262="Aussen","Aussenlager",IF(BR262="-","Nicht im Lift",IF(AH262&gt;=1,"Lift",IF(AH262&lt;=0,"Aussenlager","teilweise")))))</f>
        <v/>
      </c>
      <c r="AZ262" s="53">
        <f>IF(AK262&lt;=0,"",IF(BR262="Aussen","Aussenlager",IF(BR262="-","Nicht im Lift",IF(AP262&gt;=1,"Lift",IF(AP262&lt;=0,"Aussenlager","teilweise")))))</f>
        <v/>
      </c>
      <c r="BA262" s="53">
        <f>IF(AS262&lt;=0,"",IF(BR262="Aussen","Aussenlager",IF(BR262="-","Nicht im Lift",IF(AX262&gt;=1,"Lift",IF(AX262&lt;=0,"Aussenlager","teilweise")))))</f>
        <v/>
      </c>
      <c r="BB262" s="53">
        <f>IF(A262="","",IF(BK262=1,"Neu; ","")&amp;IF(AND(BK262=0,BF262&lt;0),"negativer Bestand (Export "&amp;BF262&amp;"); ","")&amp;IF(I262&lt;=0,"Kein Verbrauch; ","")&amp;IF(BO262=1,"Lose – Fläche geschätzt; ","")&amp;IF(G262&gt;AM262,"Überbestand "&amp;ROUND(G262-AM262,0)&amp;" Stk / CHF "&amp;ROUND((G262-AM262)*F262,0)&amp;"; ","")&amp;IF(AND(BT262=1,BU262&lt;BV262),"MAX &lt; MB+LG; ","")&amp;IF(AND(BZ262&gt;0,BY262*10&gt;BZ262),"zu hoch für Tablar; ","")&amp;IF(AND(BK262=0,OR(BT262=1,V262&lt;&gt;"",S262&lt;&gt;"",T262&lt;&gt;"",W262&lt;&gt;"")),"manuell übersteuert; ","")&amp;IF(AND(BO262=0,Q262=0),"Gebinde unbekannt; ","")&amp;IF(AND(BO262=0,N(T262)&lt;=0,N(P262)&lt;=0),"Menge pro Gebinde fehlt (Ist = 1 Gebinde); ","")&amp;BJ262)</f>
        <v/>
      </c>
      <c r="BC262" s="53" t="n"/>
      <c r="BD262" s="53" t="n"/>
      <c r="BE262" s="61" t="n"/>
      <c r="BF262" s="55" t="n">
        <v>3</v>
      </c>
      <c r="BG262" s="55" t="n">
        <v>0</v>
      </c>
      <c r="BH262" s="54" t="n">
        <v>440.8799999999997</v>
      </c>
      <c r="BI262" s="55" t="n">
        <v>11</v>
      </c>
      <c r="BJ262" s="53" t="inlineStr"/>
      <c r="BK262" s="58" t="n">
        <v>0</v>
      </c>
      <c r="BL262" s="58" t="n">
        <v>262</v>
      </c>
      <c r="BM262" s="53">
        <f>IF(S262&lt;&gt;"",UPPER(TRIM(S262)),IF(O262="","LOSE",O262))</f>
        <v/>
      </c>
      <c r="BN262" s="55">
        <f>IF(BM262="LOSE",1,IF(N(T262)&gt;0,T262,IF(N(P262)&gt;0,P262,MAX(1,G262))))</f>
        <v/>
      </c>
      <c r="BO262" s="58">
        <f>IF(BM262="LOSE",1,0)</f>
        <v/>
      </c>
      <c r="BP262" s="64">
        <f>IF(BO262=0,0,IF(N(R262)&gt;0,R262,IFERROR(VLOOKUP(D262,Parameter!$A$35:$C$64,3,0)+0,0)))</f>
        <v/>
      </c>
      <c r="BQ262" s="53">
        <f>IF(V262&lt;&gt;"",V262,U262)</f>
        <v/>
      </c>
      <c r="BR262" s="53">
        <f>IF(BQ262=1,"L1",IF(OR(BQ262=2,BQ262=3),"L23",IF(BQ262="Aussen","Aussen","-")))</f>
        <v/>
      </c>
      <c r="BS262" s="66">
        <f>IF(N(W262)&gt;0,W262,0)</f>
        <v/>
      </c>
      <c r="BT262" s="58">
        <f>IF(ISNUMBER(Z262),1,0)</f>
        <v/>
      </c>
      <c r="BU262" s="55">
        <f>N(Z262)</f>
        <v/>
      </c>
      <c r="BV262" s="55">
        <f>N(L262)+N(M262)</f>
        <v/>
      </c>
      <c r="BW262" s="55">
        <f>ROUNDUP(G262/BN262,0)</f>
        <v/>
      </c>
      <c r="BX262" s="55">
        <f>ROUNDUP(BU262/BN262,0)</f>
        <v/>
      </c>
      <c r="BY262" s="58">
        <f>IF(BO262=1,0,IFERROR(VLOOKUP(BM262,'Gebinde-Kategorie'!$A$5:$G$45,5,0)+0,0))</f>
        <v/>
      </c>
      <c r="BZ262" s="58">
        <f>IFERROR(IF(OR(BQ262=1,BQ262=2,BQ262=3),N(INDEX(Parameter!$I$5:$I$7,BQ262)),0),0)</f>
        <v/>
      </c>
    </row>
    <row r="263">
      <c r="A263" s="53" t="inlineStr">
        <is>
          <t>111932</t>
        </is>
      </c>
      <c r="B263" s="53" t="inlineStr">
        <is>
          <t>Aufschraubverschraubung</t>
        </is>
      </c>
      <c r="C263" s="53" t="inlineStr">
        <is>
          <t>F</t>
        </is>
      </c>
      <c r="D263" s="53" t="inlineStr">
        <is>
          <t>KTL</t>
        </is>
      </c>
      <c r="E263" s="53" t="inlineStr">
        <is>
          <t>C</t>
        </is>
      </c>
      <c r="F263" s="54" t="n">
        <v>17.59</v>
      </c>
      <c r="G263" s="55">
        <f>MAX(0,IF(Parameter!$B$20="Jahresanfang 2025 + Export",BG263+BF263,BF263))</f>
        <v/>
      </c>
      <c r="H263" s="55">
        <f>G263*F263</f>
        <v/>
      </c>
      <c r="I263" s="55">
        <f>BI263*Parameter!$B$18</f>
        <v/>
      </c>
      <c r="J263" s="56" t="n">
        <v>0</v>
      </c>
      <c r="K263" s="57" t="n">
        <v>0</v>
      </c>
      <c r="L263" s="55" t="n">
        <v>0</v>
      </c>
      <c r="M263" s="55" t="n">
        <v>5</v>
      </c>
      <c r="N263" s="58" t="n">
        <v>9999</v>
      </c>
      <c r="O263" s="53" t="inlineStr">
        <is>
          <t>LOSE</t>
        </is>
      </c>
      <c r="P263" s="55" t="n"/>
      <c r="Q263" s="59">
        <f>IF(BO263=1,0,IFERROR(VLOOKUP(BM263,'Gebinde-Kategorie'!$A$5:$G$45,6,0)+0,0))</f>
        <v/>
      </c>
      <c r="R263" s="60" t="n"/>
      <c r="S263" s="61" t="n"/>
      <c r="T263" s="61" t="n"/>
      <c r="U263" s="53">
        <f>IF(A263="","",IF(IFERROR(VLOOKUP(D263,Parameter!$A$35:$C$64,2,0),"Nein")="2+3",IF(ISNUMBER(SEARCH("grosser Artikel",BJ263)),2,IFERROR(VLOOKUP(BM263,Parameter!$F$35:$G$64,2,0),2)),IF(OR(IFERROR(VLOOKUP(D263,Parameter!$A$35:$C$64,2,0),"Nein")="Nein",IFERROR(VLOOKUP(D263,Parameter!$A$35:$C$64,2,0),"Nein")=""),"-",VLOOKUP(D263,Parameter!$A$35:$C$64,2,0))))</f>
        <v/>
      </c>
      <c r="V263" s="61" t="n"/>
      <c r="W263" s="62" t="n"/>
      <c r="X263" s="55">
        <f>AM263</f>
        <v/>
      </c>
      <c r="Y263" s="55">
        <f>MAX(AM263,G263)</f>
        <v/>
      </c>
      <c r="Z263" s="63" t="n"/>
      <c r="AA263" s="55">
        <f>IF(LEFT(Cockpit!$C$5,1)="A",G263,IF(BT263=1,BU263,IF(LEFT(Cockpit!$C$5,1)="B",AE263,MAX(AE263,G263))))</f>
        <v/>
      </c>
      <c r="AB263" s="55">
        <f>IF(BO263=1,0,ROUNDUP(AA263/BN263,0))</f>
        <v/>
      </c>
      <c r="AC263" s="64">
        <f>IF(BO263=1,IF(AA263&lt;=0,0,BP263*MAX(1,IF(G263&gt;0,AA263/G263,1))),AB263*Q263)</f>
        <v/>
      </c>
      <c r="AD263" s="55">
        <f>AA263*F263</f>
        <v/>
      </c>
      <c r="AE263" s="55">
        <f>ROUNDUP(MAX(I263/IF(BS263&gt;0,BS263,MAX(0.1,N(Cockpit!$C$6))),BV263)/BN263,0)*BN263</f>
        <v/>
      </c>
      <c r="AF263" s="56">
        <f>IF(AC263&gt;0,I263/AC263,-1)</f>
        <v/>
      </c>
      <c r="AG263" s="56">
        <f>IF(AND(OR(BR263="L1",BR263="L23"),AC263&gt;0),SUMIFS($AC$7:$AC$1570,$BR$7:$BR$1570,BR263,$AF$7:$AF$1570,"&gt;"&amp;AF263)+SUMIFS($AC$7:$AC$1570,$BR$7:$BR$1570,BR263,$AF$7:$AF$1570,AF263,$BL$7:$BL$1570,"&lt;="&amp;BL263),"")</f>
        <v/>
      </c>
      <c r="AH263" s="65">
        <f>IF(AG263="",0,MAX(0,MIN(1,(IF(BR263="L1",Parameter!$K$5,Parameter!$K$6+Parameter!$K$7)-(AG263-AC263))/AC263)))</f>
        <v/>
      </c>
      <c r="AI263" s="55">
        <f>IF(LEFT(Cockpit!$I$5,1)="A",G263,IF(BT263=1,BU263,IF(LEFT(Cockpit!$I$5,1)="B",AM263,MAX(AM263,G263))))</f>
        <v/>
      </c>
      <c r="AJ263" s="55">
        <f>IF(BO263=1,0,ROUNDUP(AI263/BN263,0))</f>
        <v/>
      </c>
      <c r="AK263" s="64">
        <f>IF(BO263=1,IF(AI263&lt;=0,0,BP263*MAX(1,IF(G263&gt;0,AI263/G263,1))),AJ263*Q263)</f>
        <v/>
      </c>
      <c r="AL263" s="55">
        <f>AI263*F263</f>
        <v/>
      </c>
      <c r="AM263" s="55">
        <f>ROUNDUP(MAX(I263/IF(BS263&gt;0,BS263,MAX(0.1,N(Cockpit!$I$6))),BV263)/BN263,0)*BN263</f>
        <v/>
      </c>
      <c r="AN263" s="56">
        <f>IF(AK263&gt;0,I263/AK263,-1)</f>
        <v/>
      </c>
      <c r="AO263" s="56">
        <f>IF(AND(OR(BR263="L1",BR263="L23"),AK263&gt;0),SUMIFS($AK$7:$AK$1570,$BR$7:$BR$1570,BR263,$AN$7:$AN$1570,"&gt;"&amp;AN263)+SUMIFS($AK$7:$AK$1570,$BR$7:$BR$1570,BR263,$AN$7:$AN$1570,AN263,$BL$7:$BL$1570,"&lt;="&amp;BL263),"")</f>
        <v/>
      </c>
      <c r="AP263" s="65">
        <f>IF(AO263="",0,MAX(0,MIN(1,(IF(BR263="L1",Parameter!$K$5,Parameter!$K$6+Parameter!$K$7)-(AO263-AK263))/AK263)))</f>
        <v/>
      </c>
      <c r="AQ263" s="55">
        <f>IF(LEFT(Cockpit!$O$5,1)="A",G263,IF(BT263=1,BU263,IF(LEFT(Cockpit!$O$5,1)="B",AU263,MAX(AU263,G263))))</f>
        <v/>
      </c>
      <c r="AR263" s="55">
        <f>IF(BO263=1,0,ROUNDUP(AQ263/BN263,0))</f>
        <v/>
      </c>
      <c r="AS263" s="64">
        <f>IF(BO263=1,IF(AQ263&lt;=0,0,BP263*MAX(1,IF(G263&gt;0,AQ263/G263,1))),AR263*Q263)</f>
        <v/>
      </c>
      <c r="AT263" s="55">
        <f>AQ263*F263</f>
        <v/>
      </c>
      <c r="AU263" s="55">
        <f>ROUNDUP(MAX(I263/IF(BS263&gt;0,BS263,MAX(0.1,N(Cockpit!$O$6))),BV263)/BN263,0)*BN263</f>
        <v/>
      </c>
      <c r="AV263" s="56">
        <f>IF(AS263&gt;0,I263/AS263,-1)</f>
        <v/>
      </c>
      <c r="AW263" s="56">
        <f>IF(AND(OR(BR263="L1",BR263="L23"),AS263&gt;0),SUMIFS($AS$7:$AS$1570,$BR$7:$BR$1570,BR263,$AV$7:$AV$1570,"&gt;"&amp;AV263)+SUMIFS($AS$7:$AS$1570,$BR$7:$BR$1570,BR263,$AV$7:$AV$1570,AV263,$BL$7:$BL$1570,"&lt;="&amp;BL263),"")</f>
        <v/>
      </c>
      <c r="AX263" s="65">
        <f>IF(AW263="",0,MAX(0,MIN(1,(IF(BR263="L1",Parameter!$K$5,Parameter!$K$6+Parameter!$K$7)-(AW263-AS263))/AS263)))</f>
        <v/>
      </c>
      <c r="AY263" s="53">
        <f>IF(AC263&lt;=0,"",IF(BR263="Aussen","Aussenlager",IF(BR263="-","Nicht im Lift",IF(AH263&gt;=1,"Lift",IF(AH263&lt;=0,"Aussenlager","teilweise")))))</f>
        <v/>
      </c>
      <c r="AZ263" s="53">
        <f>IF(AK263&lt;=0,"",IF(BR263="Aussen","Aussenlager",IF(BR263="-","Nicht im Lift",IF(AP263&gt;=1,"Lift",IF(AP263&lt;=0,"Aussenlager","teilweise")))))</f>
        <v/>
      </c>
      <c r="BA263" s="53">
        <f>IF(AS263&lt;=0,"",IF(BR263="Aussen","Aussenlager",IF(BR263="-","Nicht im Lift",IF(AX263&gt;=1,"Lift",IF(AX263&lt;=0,"Aussenlager","teilweise")))))</f>
        <v/>
      </c>
      <c r="BB263" s="53">
        <f>IF(A263="","",IF(BK263=1,"Neu; ","")&amp;IF(AND(BK263=0,BF263&lt;0),"negativer Bestand (Export "&amp;BF263&amp;"); ","")&amp;IF(I263&lt;=0,"Kein Verbrauch; ","")&amp;IF(BO263=1,"Lose – Fläche geschätzt; ","")&amp;IF(G263&gt;AM263,"Überbestand "&amp;ROUND(G263-AM263,0)&amp;" Stk / CHF "&amp;ROUND((G263-AM263)*F263,0)&amp;"; ","")&amp;IF(AND(BT263=1,BU263&lt;BV263),"MAX &lt; MB+LG; ","")&amp;IF(AND(BZ263&gt;0,BY263*10&gt;BZ263),"zu hoch für Tablar; ","")&amp;IF(AND(BK263=0,OR(BT263=1,V263&lt;&gt;"",S263&lt;&gt;"",T263&lt;&gt;"",W263&lt;&gt;"")),"manuell übersteuert; ","")&amp;IF(AND(BO263=0,Q263=0),"Gebinde unbekannt; ","")&amp;IF(AND(BO263=0,N(T263)&lt;=0,N(P263)&lt;=0),"Menge pro Gebinde fehlt (Ist = 1 Gebinde); ","")&amp;BJ263)</f>
        <v/>
      </c>
      <c r="BC263" s="53" t="n"/>
      <c r="BD263" s="53" t="n"/>
      <c r="BE263" s="61" t="n"/>
      <c r="BF263" s="55" t="n">
        <v>25</v>
      </c>
      <c r="BG263" s="55" t="n">
        <v>0</v>
      </c>
      <c r="BH263" s="54" t="n">
        <v>439.75</v>
      </c>
      <c r="BI263" s="55" t="n">
        <v>0</v>
      </c>
      <c r="BJ263" s="53" t="inlineStr"/>
      <c r="BK263" s="58" t="n">
        <v>0</v>
      </c>
      <c r="BL263" s="58" t="n">
        <v>263</v>
      </c>
      <c r="BM263" s="53">
        <f>IF(S263&lt;&gt;"",UPPER(TRIM(S263)),IF(O263="","LOSE",O263))</f>
        <v/>
      </c>
      <c r="BN263" s="55">
        <f>IF(BM263="LOSE",1,IF(N(T263)&gt;0,T263,IF(N(P263)&gt;0,P263,MAX(1,G263))))</f>
        <v/>
      </c>
      <c r="BO263" s="58">
        <f>IF(BM263="LOSE",1,0)</f>
        <v/>
      </c>
      <c r="BP263" s="64">
        <f>IF(BO263=0,0,IF(N(R263)&gt;0,R263,IFERROR(VLOOKUP(D263,Parameter!$A$35:$C$64,3,0)+0,0)))</f>
        <v/>
      </c>
      <c r="BQ263" s="53">
        <f>IF(V263&lt;&gt;"",V263,U263)</f>
        <v/>
      </c>
      <c r="BR263" s="53">
        <f>IF(BQ263=1,"L1",IF(OR(BQ263=2,BQ263=3),"L23",IF(BQ263="Aussen","Aussen","-")))</f>
        <v/>
      </c>
      <c r="BS263" s="66">
        <f>IF(N(W263)&gt;0,W263,0)</f>
        <v/>
      </c>
      <c r="BT263" s="58">
        <f>IF(ISNUMBER(Z263),1,0)</f>
        <v/>
      </c>
      <c r="BU263" s="55">
        <f>N(Z263)</f>
        <v/>
      </c>
      <c r="BV263" s="55">
        <f>N(L263)+N(M263)</f>
        <v/>
      </c>
      <c r="BW263" s="55">
        <f>ROUNDUP(G263/BN263,0)</f>
        <v/>
      </c>
      <c r="BX263" s="55">
        <f>ROUNDUP(BU263/BN263,0)</f>
        <v/>
      </c>
      <c r="BY263" s="58">
        <f>IF(BO263=1,0,IFERROR(VLOOKUP(BM263,'Gebinde-Kategorie'!$A$5:$G$45,5,0)+0,0))</f>
        <v/>
      </c>
      <c r="BZ263" s="58">
        <f>IFERROR(IF(OR(BQ263=1,BQ263=2,BQ263=3),N(INDEX(Parameter!$I$5:$I$7,BQ263)),0),0)</f>
        <v/>
      </c>
    </row>
    <row r="264">
      <c r="A264" s="53" t="inlineStr">
        <is>
          <t>106419</t>
        </is>
      </c>
      <c r="B264" s="53" t="inlineStr">
        <is>
          <t>O-Ring</t>
        </is>
      </c>
      <c r="C264" s="53" t="inlineStr">
        <is>
          <t>F</t>
        </is>
      </c>
      <c r="D264" s="53" t="inlineStr">
        <is>
          <t>KTL</t>
        </is>
      </c>
      <c r="E264" s="53" t="inlineStr">
        <is>
          <t>C</t>
        </is>
      </c>
      <c r="F264" s="54" t="n">
        <v>6.92</v>
      </c>
      <c r="G264" s="55">
        <f>MAX(0,IF(Parameter!$B$20="Jahresanfang 2025 + Export",BG264+BF264,BF264))</f>
        <v/>
      </c>
      <c r="H264" s="55">
        <f>G264*F264</f>
        <v/>
      </c>
      <c r="I264" s="55">
        <f>BI264*Parameter!$B$18</f>
        <v/>
      </c>
      <c r="J264" s="56" t="n">
        <v>49.5</v>
      </c>
      <c r="K264" s="57" t="n">
        <v>3.03030303030303</v>
      </c>
      <c r="L264" s="55" t="n">
        <v>5</v>
      </c>
      <c r="M264" s="55" t="n">
        <v>150</v>
      </c>
      <c r="N264" s="58" t="n">
        <v>14</v>
      </c>
      <c r="O264" s="53" t="inlineStr">
        <is>
          <t>S51</t>
        </is>
      </c>
      <c r="P264" s="55" t="n">
        <v>72</v>
      </c>
      <c r="Q264" s="59">
        <f>IF(BO264=1,0,IFERROR(VLOOKUP(BM264,'Gebinde-Kategorie'!$A$5:$G$45,6,0)+0,0))</f>
        <v/>
      </c>
      <c r="R264" s="60" t="n"/>
      <c r="S264" s="61" t="n"/>
      <c r="T264" s="61" t="n"/>
      <c r="U264" s="53">
        <f>IF(A264="","",IF(IFERROR(VLOOKUP(D264,Parameter!$A$35:$C$64,2,0),"Nein")="2+3",IF(ISNUMBER(SEARCH("grosser Artikel",BJ264)),2,IFERROR(VLOOKUP(BM264,Parameter!$F$35:$G$64,2,0),2)),IF(OR(IFERROR(VLOOKUP(D264,Parameter!$A$35:$C$64,2,0),"Nein")="Nein",IFERROR(VLOOKUP(D264,Parameter!$A$35:$C$64,2,0),"Nein")=""),"-",VLOOKUP(D264,Parameter!$A$35:$C$64,2,0))))</f>
        <v/>
      </c>
      <c r="V264" s="61" t="n"/>
      <c r="W264" s="62" t="n"/>
      <c r="X264" s="55">
        <f>AM264</f>
        <v/>
      </c>
      <c r="Y264" s="55">
        <f>MAX(AM264,G264)</f>
        <v/>
      </c>
      <c r="Z264" s="63" t="n"/>
      <c r="AA264" s="55">
        <f>IF(LEFT(Cockpit!$C$5,1)="A",G264,IF(BT264=1,BU264,IF(LEFT(Cockpit!$C$5,1)="B",AE264,MAX(AE264,G264))))</f>
        <v/>
      </c>
      <c r="AB264" s="55">
        <f>IF(BO264=1,0,ROUNDUP(AA264/BN264,0))</f>
        <v/>
      </c>
      <c r="AC264" s="64">
        <f>IF(BO264=1,IF(AA264&lt;=0,0,BP264*MAX(1,IF(G264&gt;0,AA264/G264,1))),AB264*Q264)</f>
        <v/>
      </c>
      <c r="AD264" s="55">
        <f>AA264*F264</f>
        <v/>
      </c>
      <c r="AE264" s="55">
        <f>ROUNDUP(MAX(I264/IF(BS264&gt;0,BS264,MAX(0.1,N(Cockpit!$C$6))),BV264)/BN264,0)*BN264</f>
        <v/>
      </c>
      <c r="AF264" s="56">
        <f>IF(AC264&gt;0,I264/AC264,-1)</f>
        <v/>
      </c>
      <c r="AG264" s="56">
        <f>IF(AND(OR(BR264="L1",BR264="L23"),AC264&gt;0),SUMIFS($AC$7:$AC$1570,$BR$7:$BR$1570,BR264,$AF$7:$AF$1570,"&gt;"&amp;AF264)+SUMIFS($AC$7:$AC$1570,$BR$7:$BR$1570,BR264,$AF$7:$AF$1570,AF264,$BL$7:$BL$1570,"&lt;="&amp;BL264),"")</f>
        <v/>
      </c>
      <c r="AH264" s="65">
        <f>IF(AG264="",0,MAX(0,MIN(1,(IF(BR264="L1",Parameter!$K$5,Parameter!$K$6+Parameter!$K$7)-(AG264-AC264))/AC264)))</f>
        <v/>
      </c>
      <c r="AI264" s="55">
        <f>IF(LEFT(Cockpit!$I$5,1)="A",G264,IF(BT264=1,BU264,IF(LEFT(Cockpit!$I$5,1)="B",AM264,MAX(AM264,G264))))</f>
        <v/>
      </c>
      <c r="AJ264" s="55">
        <f>IF(BO264=1,0,ROUNDUP(AI264/BN264,0))</f>
        <v/>
      </c>
      <c r="AK264" s="64">
        <f>IF(BO264=1,IF(AI264&lt;=0,0,BP264*MAX(1,IF(G264&gt;0,AI264/G264,1))),AJ264*Q264)</f>
        <v/>
      </c>
      <c r="AL264" s="55">
        <f>AI264*F264</f>
        <v/>
      </c>
      <c r="AM264" s="55">
        <f>ROUNDUP(MAX(I264/IF(BS264&gt;0,BS264,MAX(0.1,N(Cockpit!$I$6))),BV264)/BN264,0)*BN264</f>
        <v/>
      </c>
      <c r="AN264" s="56">
        <f>IF(AK264&gt;0,I264/AK264,-1)</f>
        <v/>
      </c>
      <c r="AO264" s="56">
        <f>IF(AND(OR(BR264="L1",BR264="L23"),AK264&gt;0),SUMIFS($AK$7:$AK$1570,$BR$7:$BR$1570,BR264,$AN$7:$AN$1570,"&gt;"&amp;AN264)+SUMIFS($AK$7:$AK$1570,$BR$7:$BR$1570,BR264,$AN$7:$AN$1570,AN264,$BL$7:$BL$1570,"&lt;="&amp;BL264),"")</f>
        <v/>
      </c>
      <c r="AP264" s="65">
        <f>IF(AO264="",0,MAX(0,MIN(1,(IF(BR264="L1",Parameter!$K$5,Parameter!$K$6+Parameter!$K$7)-(AO264-AK264))/AK264)))</f>
        <v/>
      </c>
      <c r="AQ264" s="55">
        <f>IF(LEFT(Cockpit!$O$5,1)="A",G264,IF(BT264=1,BU264,IF(LEFT(Cockpit!$O$5,1)="B",AU264,MAX(AU264,G264))))</f>
        <v/>
      </c>
      <c r="AR264" s="55">
        <f>IF(BO264=1,0,ROUNDUP(AQ264/BN264,0))</f>
        <v/>
      </c>
      <c r="AS264" s="64">
        <f>IF(BO264=1,IF(AQ264&lt;=0,0,BP264*MAX(1,IF(G264&gt;0,AQ264/G264,1))),AR264*Q264)</f>
        <v/>
      </c>
      <c r="AT264" s="55">
        <f>AQ264*F264</f>
        <v/>
      </c>
      <c r="AU264" s="55">
        <f>ROUNDUP(MAX(I264/IF(BS264&gt;0,BS264,MAX(0.1,N(Cockpit!$O$6))),BV264)/BN264,0)*BN264</f>
        <v/>
      </c>
      <c r="AV264" s="56">
        <f>IF(AS264&gt;0,I264/AS264,-1)</f>
        <v/>
      </c>
      <c r="AW264" s="56">
        <f>IF(AND(OR(BR264="L1",BR264="L23"),AS264&gt;0),SUMIFS($AS$7:$AS$1570,$BR$7:$BR$1570,BR264,$AV$7:$AV$1570,"&gt;"&amp;AV264)+SUMIFS($AS$7:$AS$1570,$BR$7:$BR$1570,BR264,$AV$7:$AV$1570,AV264,$BL$7:$BL$1570,"&lt;="&amp;BL264),"")</f>
        <v/>
      </c>
      <c r="AX264" s="65">
        <f>IF(AW264="",0,MAX(0,MIN(1,(IF(BR264="L1",Parameter!$K$5,Parameter!$K$6+Parameter!$K$7)-(AW264-AS264))/AS264)))</f>
        <v/>
      </c>
      <c r="AY264" s="53">
        <f>IF(AC264&lt;=0,"",IF(BR264="Aussen","Aussenlager",IF(BR264="-","Nicht im Lift",IF(AH264&gt;=1,"Lift",IF(AH264&lt;=0,"Aussenlager","teilweise")))))</f>
        <v/>
      </c>
      <c r="AZ264" s="53">
        <f>IF(AK264&lt;=0,"",IF(BR264="Aussen","Aussenlager",IF(BR264="-","Nicht im Lift",IF(AP264&gt;=1,"Lift",IF(AP264&lt;=0,"Aussenlager","teilweise")))))</f>
        <v/>
      </c>
      <c r="BA264" s="53">
        <f>IF(AS264&lt;=0,"",IF(BR264="Aussen","Aussenlager",IF(BR264="-","Nicht im Lift",IF(AX264&gt;=1,"Lift",IF(AX264&lt;=0,"Aussenlager","teilweise")))))</f>
        <v/>
      </c>
      <c r="BB264" s="53">
        <f>IF(A264="","",IF(BK264=1,"Neu; ","")&amp;IF(AND(BK264=0,BF264&lt;0),"negativer Bestand (Export "&amp;BF264&amp;"); ","")&amp;IF(I264&lt;=0,"Kein Verbrauch; ","")&amp;IF(BO264=1,"Lose – Fläche geschätzt; ","")&amp;IF(G264&gt;AM264,"Überbestand "&amp;ROUND(G264-AM264,0)&amp;" Stk / CHF "&amp;ROUND((G264-AM264)*F264,0)&amp;"; ","")&amp;IF(AND(BT264=1,BU264&lt;BV264),"MAX &lt; MB+LG; ","")&amp;IF(AND(BZ264&gt;0,BY264*10&gt;BZ264),"zu hoch für Tablar; ","")&amp;IF(AND(BK264=0,OR(BT264=1,V264&lt;&gt;"",S264&lt;&gt;"",T264&lt;&gt;"",W264&lt;&gt;"")),"manuell übersteuert; ","")&amp;IF(AND(BO264=0,Q264=0),"Gebinde unbekannt; ","")&amp;IF(AND(BO264=0,N(T264)&lt;=0,N(P264)&lt;=0),"Menge pro Gebinde fehlt (Ist = 1 Gebinde); ","")&amp;BJ264)</f>
        <v/>
      </c>
      <c r="BC264" s="53" t="n"/>
      <c r="BD264" s="53" t="n"/>
      <c r="BE264" s="61" t="n"/>
      <c r="BF264" s="55" t="n">
        <v>64</v>
      </c>
      <c r="BG264" s="55" t="n">
        <v>36</v>
      </c>
      <c r="BH264" s="54" t="n">
        <v>439.6900000000002</v>
      </c>
      <c r="BI264" s="55" t="n">
        <v>150</v>
      </c>
      <c r="BJ264" s="53" t="inlineStr"/>
      <c r="BK264" s="58" t="n">
        <v>0</v>
      </c>
      <c r="BL264" s="58" t="n">
        <v>264</v>
      </c>
      <c r="BM264" s="53">
        <f>IF(S264&lt;&gt;"",UPPER(TRIM(S264)),IF(O264="","LOSE",O264))</f>
        <v/>
      </c>
      <c r="BN264" s="55">
        <f>IF(BM264="LOSE",1,IF(N(T264)&gt;0,T264,IF(N(P264)&gt;0,P264,MAX(1,G264))))</f>
        <v/>
      </c>
      <c r="BO264" s="58">
        <f>IF(BM264="LOSE",1,0)</f>
        <v/>
      </c>
      <c r="BP264" s="64">
        <f>IF(BO264=0,0,IF(N(R264)&gt;0,R264,IFERROR(VLOOKUP(D264,Parameter!$A$35:$C$64,3,0)+0,0)))</f>
        <v/>
      </c>
      <c r="BQ264" s="53">
        <f>IF(V264&lt;&gt;"",V264,U264)</f>
        <v/>
      </c>
      <c r="BR264" s="53">
        <f>IF(BQ264=1,"L1",IF(OR(BQ264=2,BQ264=3),"L23",IF(BQ264="Aussen","Aussen","-")))</f>
        <v/>
      </c>
      <c r="BS264" s="66">
        <f>IF(N(W264)&gt;0,W264,0)</f>
        <v/>
      </c>
      <c r="BT264" s="58">
        <f>IF(ISNUMBER(Z264),1,0)</f>
        <v/>
      </c>
      <c r="BU264" s="55">
        <f>N(Z264)</f>
        <v/>
      </c>
      <c r="BV264" s="55">
        <f>N(L264)+N(M264)</f>
        <v/>
      </c>
      <c r="BW264" s="55">
        <f>ROUNDUP(G264/BN264,0)</f>
        <v/>
      </c>
      <c r="BX264" s="55">
        <f>ROUNDUP(BU264/BN264,0)</f>
        <v/>
      </c>
      <c r="BY264" s="58">
        <f>IF(BO264=1,0,IFERROR(VLOOKUP(BM264,'Gebinde-Kategorie'!$A$5:$G$45,5,0)+0,0))</f>
        <v/>
      </c>
      <c r="BZ264" s="58">
        <f>IFERROR(IF(OR(BQ264=1,BQ264=2,BQ264=3),N(INDEX(Parameter!$I$5:$I$7,BQ264)),0),0)</f>
        <v/>
      </c>
    </row>
    <row r="265">
      <c r="A265" s="53" t="inlineStr">
        <is>
          <t>100411</t>
        </is>
      </c>
      <c r="B265" s="53" t="inlineStr">
        <is>
          <t>Flammschutz</t>
        </is>
      </c>
      <c r="C265" s="53" t="inlineStr">
        <is>
          <t>F</t>
        </is>
      </c>
      <c r="D265" s="53" t="inlineStr">
        <is>
          <t>KTL</t>
        </is>
      </c>
      <c r="E265" s="53" t="inlineStr">
        <is>
          <t>C</t>
        </is>
      </c>
      <c r="F265" s="54" t="n">
        <v>11.14</v>
      </c>
      <c r="G265" s="55">
        <f>MAX(0,IF(Parameter!$B$20="Jahresanfang 2025 + Export",BG265+BF265,BF265))</f>
        <v/>
      </c>
      <c r="H265" s="55">
        <f>G265*F265</f>
        <v/>
      </c>
      <c r="I265" s="55">
        <f>BI265*Parameter!$B$18</f>
        <v/>
      </c>
      <c r="J265" s="56" t="n">
        <v>57</v>
      </c>
      <c r="K265" s="57" t="n">
        <v>3.87719298245614</v>
      </c>
      <c r="L265" s="55" t="n">
        <v>21</v>
      </c>
      <c r="M265" s="55" t="n">
        <v>100</v>
      </c>
      <c r="N265" s="58" t="n">
        <v>21</v>
      </c>
      <c r="O265" s="53" t="inlineStr">
        <is>
          <t>S41</t>
        </is>
      </c>
      <c r="P265" s="55" t="n">
        <v>188</v>
      </c>
      <c r="Q265" s="59">
        <f>IF(BO265=1,0,IFERROR(VLOOKUP(BM265,'Gebinde-Kategorie'!$A$5:$G$45,6,0)+0,0))</f>
        <v/>
      </c>
      <c r="R265" s="60" t="n"/>
      <c r="S265" s="61" t="n"/>
      <c r="T265" s="61" t="n"/>
      <c r="U265" s="53">
        <f>IF(A265="","",IF(IFERROR(VLOOKUP(D265,Parameter!$A$35:$C$64,2,0),"Nein")="2+3",IF(ISNUMBER(SEARCH("grosser Artikel",BJ265)),2,IFERROR(VLOOKUP(BM265,Parameter!$F$35:$G$64,2,0),2)),IF(OR(IFERROR(VLOOKUP(D265,Parameter!$A$35:$C$64,2,0),"Nein")="Nein",IFERROR(VLOOKUP(D265,Parameter!$A$35:$C$64,2,0),"Nein")=""),"-",VLOOKUP(D265,Parameter!$A$35:$C$64,2,0))))</f>
        <v/>
      </c>
      <c r="V265" s="61" t="n"/>
      <c r="W265" s="62" t="n"/>
      <c r="X265" s="55">
        <f>AM265</f>
        <v/>
      </c>
      <c r="Y265" s="55">
        <f>MAX(AM265,G265)</f>
        <v/>
      </c>
      <c r="Z265" s="63" t="n"/>
      <c r="AA265" s="55">
        <f>IF(LEFT(Cockpit!$C$5,1)="A",G265,IF(BT265=1,BU265,IF(LEFT(Cockpit!$C$5,1)="B",AE265,MAX(AE265,G265))))</f>
        <v/>
      </c>
      <c r="AB265" s="55">
        <f>IF(BO265=1,0,ROUNDUP(AA265/BN265,0))</f>
        <v/>
      </c>
      <c r="AC265" s="64">
        <f>IF(BO265=1,IF(AA265&lt;=0,0,BP265*MAX(1,IF(G265&gt;0,AA265/G265,1))),AB265*Q265)</f>
        <v/>
      </c>
      <c r="AD265" s="55">
        <f>AA265*F265</f>
        <v/>
      </c>
      <c r="AE265" s="55">
        <f>ROUNDUP(MAX(I265/IF(BS265&gt;0,BS265,MAX(0.1,N(Cockpit!$C$6))),BV265)/BN265,0)*BN265</f>
        <v/>
      </c>
      <c r="AF265" s="56">
        <f>IF(AC265&gt;0,I265/AC265,-1)</f>
        <v/>
      </c>
      <c r="AG265" s="56">
        <f>IF(AND(OR(BR265="L1",BR265="L23"),AC265&gt;0),SUMIFS($AC$7:$AC$1570,$BR$7:$BR$1570,BR265,$AF$7:$AF$1570,"&gt;"&amp;AF265)+SUMIFS($AC$7:$AC$1570,$BR$7:$BR$1570,BR265,$AF$7:$AF$1570,AF265,$BL$7:$BL$1570,"&lt;="&amp;BL265),"")</f>
        <v/>
      </c>
      <c r="AH265" s="65">
        <f>IF(AG265="",0,MAX(0,MIN(1,(IF(BR265="L1",Parameter!$K$5,Parameter!$K$6+Parameter!$K$7)-(AG265-AC265))/AC265)))</f>
        <v/>
      </c>
      <c r="AI265" s="55">
        <f>IF(LEFT(Cockpit!$I$5,1)="A",G265,IF(BT265=1,BU265,IF(LEFT(Cockpit!$I$5,1)="B",AM265,MAX(AM265,G265))))</f>
        <v/>
      </c>
      <c r="AJ265" s="55">
        <f>IF(BO265=1,0,ROUNDUP(AI265/BN265,0))</f>
        <v/>
      </c>
      <c r="AK265" s="64">
        <f>IF(BO265=1,IF(AI265&lt;=0,0,BP265*MAX(1,IF(G265&gt;0,AI265/G265,1))),AJ265*Q265)</f>
        <v/>
      </c>
      <c r="AL265" s="55">
        <f>AI265*F265</f>
        <v/>
      </c>
      <c r="AM265" s="55">
        <f>ROUNDUP(MAX(I265/IF(BS265&gt;0,BS265,MAX(0.1,N(Cockpit!$I$6))),BV265)/BN265,0)*BN265</f>
        <v/>
      </c>
      <c r="AN265" s="56">
        <f>IF(AK265&gt;0,I265/AK265,-1)</f>
        <v/>
      </c>
      <c r="AO265" s="56">
        <f>IF(AND(OR(BR265="L1",BR265="L23"),AK265&gt;0),SUMIFS($AK$7:$AK$1570,$BR$7:$BR$1570,BR265,$AN$7:$AN$1570,"&gt;"&amp;AN265)+SUMIFS($AK$7:$AK$1570,$BR$7:$BR$1570,BR265,$AN$7:$AN$1570,AN265,$BL$7:$BL$1570,"&lt;="&amp;BL265),"")</f>
        <v/>
      </c>
      <c r="AP265" s="65">
        <f>IF(AO265="",0,MAX(0,MIN(1,(IF(BR265="L1",Parameter!$K$5,Parameter!$K$6+Parameter!$K$7)-(AO265-AK265))/AK265)))</f>
        <v/>
      </c>
      <c r="AQ265" s="55">
        <f>IF(LEFT(Cockpit!$O$5,1)="A",G265,IF(BT265=1,BU265,IF(LEFT(Cockpit!$O$5,1)="B",AU265,MAX(AU265,G265))))</f>
        <v/>
      </c>
      <c r="AR265" s="55">
        <f>IF(BO265=1,0,ROUNDUP(AQ265/BN265,0))</f>
        <v/>
      </c>
      <c r="AS265" s="64">
        <f>IF(BO265=1,IF(AQ265&lt;=0,0,BP265*MAX(1,IF(G265&gt;0,AQ265/G265,1))),AR265*Q265)</f>
        <v/>
      </c>
      <c r="AT265" s="55">
        <f>AQ265*F265</f>
        <v/>
      </c>
      <c r="AU265" s="55">
        <f>ROUNDUP(MAX(I265/IF(BS265&gt;0,BS265,MAX(0.1,N(Cockpit!$O$6))),BV265)/BN265,0)*BN265</f>
        <v/>
      </c>
      <c r="AV265" s="56">
        <f>IF(AS265&gt;0,I265/AS265,-1)</f>
        <v/>
      </c>
      <c r="AW265" s="56">
        <f>IF(AND(OR(BR265="L1",BR265="L23"),AS265&gt;0),SUMIFS($AS$7:$AS$1570,$BR$7:$BR$1570,BR265,$AV$7:$AV$1570,"&gt;"&amp;AV265)+SUMIFS($AS$7:$AS$1570,$BR$7:$BR$1570,BR265,$AV$7:$AV$1570,AV265,$BL$7:$BL$1570,"&lt;="&amp;BL265),"")</f>
        <v/>
      </c>
      <c r="AX265" s="65">
        <f>IF(AW265="",0,MAX(0,MIN(1,(IF(BR265="L1",Parameter!$K$5,Parameter!$K$6+Parameter!$K$7)-(AW265-AS265))/AS265)))</f>
        <v/>
      </c>
      <c r="AY265" s="53">
        <f>IF(AC265&lt;=0,"",IF(BR265="Aussen","Aussenlager",IF(BR265="-","Nicht im Lift",IF(AH265&gt;=1,"Lift",IF(AH265&lt;=0,"Aussenlager","teilweise")))))</f>
        <v/>
      </c>
      <c r="AZ265" s="53">
        <f>IF(AK265&lt;=0,"",IF(BR265="Aussen","Aussenlager",IF(BR265="-","Nicht im Lift",IF(AP265&gt;=1,"Lift",IF(AP265&lt;=0,"Aussenlager","teilweise")))))</f>
        <v/>
      </c>
      <c r="BA265" s="53">
        <f>IF(AS265&lt;=0,"",IF(BR265="Aussen","Aussenlager",IF(BR265="-","Nicht im Lift",IF(AX265&gt;=1,"Lift",IF(AX265&lt;=0,"Aussenlager","teilweise")))))</f>
        <v/>
      </c>
      <c r="BB265" s="53">
        <f>IF(A265="","",IF(BK265=1,"Neu; ","")&amp;IF(AND(BK265=0,BF265&lt;0),"negativer Bestand (Export "&amp;BF265&amp;"); ","")&amp;IF(I265&lt;=0,"Kein Verbrauch; ","")&amp;IF(BO265=1,"Lose – Fläche geschätzt; ","")&amp;IF(G265&gt;AM265,"Überbestand "&amp;ROUND(G265-AM265,0)&amp;" Stk / CHF "&amp;ROUND((G265-AM265)*F265,0)&amp;"; ","")&amp;IF(AND(BT265=1,BU265&lt;BV265),"MAX &lt; MB+LG; ","")&amp;IF(AND(BZ265&gt;0,BY265*10&gt;BZ265),"zu hoch für Tablar; ","")&amp;IF(AND(BK265=0,OR(BT265=1,V265&lt;&gt;"",S265&lt;&gt;"",T265&lt;&gt;"",W265&lt;&gt;"")),"manuell übersteuert; ","")&amp;IF(AND(BO265=0,Q265=0),"Gebinde unbekannt; ","")&amp;IF(AND(BO265=0,N(T265)&lt;=0,N(P265)&lt;=0),"Menge pro Gebinde fehlt (Ist = 1 Gebinde); ","")&amp;BJ265)</f>
        <v/>
      </c>
      <c r="BC265" s="53" t="n"/>
      <c r="BD265" s="53" t="n"/>
      <c r="BE265" s="61" t="n"/>
      <c r="BF265" s="55" t="n">
        <v>18</v>
      </c>
      <c r="BG265" s="55" t="n">
        <v>67</v>
      </c>
      <c r="BH265" s="54" t="n">
        <v>429.8400000000012</v>
      </c>
      <c r="BI265" s="55" t="n">
        <v>221</v>
      </c>
      <c r="BJ265" s="53" t="inlineStr"/>
      <c r="BK265" s="58" t="n">
        <v>0</v>
      </c>
      <c r="BL265" s="58" t="n">
        <v>265</v>
      </c>
      <c r="BM265" s="53">
        <f>IF(S265&lt;&gt;"",UPPER(TRIM(S265)),IF(O265="","LOSE",O265))</f>
        <v/>
      </c>
      <c r="BN265" s="55">
        <f>IF(BM265="LOSE",1,IF(N(T265)&gt;0,T265,IF(N(P265)&gt;0,P265,MAX(1,G265))))</f>
        <v/>
      </c>
      <c r="BO265" s="58">
        <f>IF(BM265="LOSE",1,0)</f>
        <v/>
      </c>
      <c r="BP265" s="64">
        <f>IF(BO265=0,0,IF(N(R265)&gt;0,R265,IFERROR(VLOOKUP(D265,Parameter!$A$35:$C$64,3,0)+0,0)))</f>
        <v/>
      </c>
      <c r="BQ265" s="53">
        <f>IF(V265&lt;&gt;"",V265,U265)</f>
        <v/>
      </c>
      <c r="BR265" s="53">
        <f>IF(BQ265=1,"L1",IF(OR(BQ265=2,BQ265=3),"L23",IF(BQ265="Aussen","Aussen","-")))</f>
        <v/>
      </c>
      <c r="BS265" s="66">
        <f>IF(N(W265)&gt;0,W265,0)</f>
        <v/>
      </c>
      <c r="BT265" s="58">
        <f>IF(ISNUMBER(Z265),1,0)</f>
        <v/>
      </c>
      <c r="BU265" s="55">
        <f>N(Z265)</f>
        <v/>
      </c>
      <c r="BV265" s="55">
        <f>N(L265)+N(M265)</f>
        <v/>
      </c>
      <c r="BW265" s="55">
        <f>ROUNDUP(G265/BN265,0)</f>
        <v/>
      </c>
      <c r="BX265" s="55">
        <f>ROUNDUP(BU265/BN265,0)</f>
        <v/>
      </c>
      <c r="BY265" s="58">
        <f>IF(BO265=1,0,IFERROR(VLOOKUP(BM265,'Gebinde-Kategorie'!$A$5:$G$45,5,0)+0,0))</f>
        <v/>
      </c>
      <c r="BZ265" s="58">
        <f>IFERROR(IF(OR(BQ265=1,BQ265=2,BQ265=3),N(INDEX(Parameter!$I$5:$I$7,BQ265)),0),0)</f>
        <v/>
      </c>
    </row>
    <row r="266">
      <c r="A266" s="53" t="inlineStr">
        <is>
          <t>110887</t>
        </is>
      </c>
      <c r="B266" s="53" t="inlineStr">
        <is>
          <t>Verschlussstopfen</t>
        </is>
      </c>
      <c r="C266" s="53" t="inlineStr">
        <is>
          <t>F</t>
        </is>
      </c>
      <c r="D266" s="53" t="inlineStr">
        <is>
          <t>KTL</t>
        </is>
      </c>
      <c r="E266" s="53" t="inlineStr">
        <is>
          <t>C</t>
        </is>
      </c>
      <c r="F266" s="54" t="n">
        <v>2.9</v>
      </c>
      <c r="G266" s="55">
        <f>MAX(0,IF(Parameter!$B$20="Jahresanfang 2025 + Export",BG266+BF266,BF266))</f>
        <v/>
      </c>
      <c r="H266" s="55">
        <f>G266*F266</f>
        <v/>
      </c>
      <c r="I266" s="55">
        <f>BI266*Parameter!$B$18</f>
        <v/>
      </c>
      <c r="J266" s="56" t="n">
        <v>0</v>
      </c>
      <c r="K266" s="57" t="n">
        <v>0</v>
      </c>
      <c r="L266" s="55" t="n">
        <v>1</v>
      </c>
      <c r="M266" s="55" t="n">
        <v>40</v>
      </c>
      <c r="N266" s="58" t="n">
        <v>14</v>
      </c>
      <c r="O266" s="53" t="inlineStr">
        <is>
          <t>S32</t>
        </is>
      </c>
      <c r="P266" s="55" t="n">
        <v>40</v>
      </c>
      <c r="Q266" s="59">
        <f>IF(BO266=1,0,IFERROR(VLOOKUP(BM266,'Gebinde-Kategorie'!$A$5:$G$45,6,0)+0,0))</f>
        <v/>
      </c>
      <c r="R266" s="60" t="n"/>
      <c r="S266" s="61" t="n"/>
      <c r="T266" s="61" t="n"/>
      <c r="U266" s="53">
        <f>IF(A266="","",IF(IFERROR(VLOOKUP(D266,Parameter!$A$35:$C$64,2,0),"Nein")="2+3",IF(ISNUMBER(SEARCH("grosser Artikel",BJ266)),2,IFERROR(VLOOKUP(BM266,Parameter!$F$35:$G$64,2,0),2)),IF(OR(IFERROR(VLOOKUP(D266,Parameter!$A$35:$C$64,2,0),"Nein")="Nein",IFERROR(VLOOKUP(D266,Parameter!$A$35:$C$64,2,0),"Nein")=""),"-",VLOOKUP(D266,Parameter!$A$35:$C$64,2,0))))</f>
        <v/>
      </c>
      <c r="V266" s="61" t="n"/>
      <c r="W266" s="62" t="n"/>
      <c r="X266" s="55">
        <f>AM266</f>
        <v/>
      </c>
      <c r="Y266" s="55">
        <f>MAX(AM266,G266)</f>
        <v/>
      </c>
      <c r="Z266" s="63" t="n"/>
      <c r="AA266" s="55">
        <f>IF(LEFT(Cockpit!$C$5,1)="A",G266,IF(BT266=1,BU266,IF(LEFT(Cockpit!$C$5,1)="B",AE266,MAX(AE266,G266))))</f>
        <v/>
      </c>
      <c r="AB266" s="55">
        <f>IF(BO266=1,0,ROUNDUP(AA266/BN266,0))</f>
        <v/>
      </c>
      <c r="AC266" s="64">
        <f>IF(BO266=1,IF(AA266&lt;=0,0,BP266*MAX(1,IF(G266&gt;0,AA266/G266,1))),AB266*Q266)</f>
        <v/>
      </c>
      <c r="AD266" s="55">
        <f>AA266*F266</f>
        <v/>
      </c>
      <c r="AE266" s="55">
        <f>ROUNDUP(MAX(I266/IF(BS266&gt;0,BS266,MAX(0.1,N(Cockpit!$C$6))),BV266)/BN266,0)*BN266</f>
        <v/>
      </c>
      <c r="AF266" s="56">
        <f>IF(AC266&gt;0,I266/AC266,-1)</f>
        <v/>
      </c>
      <c r="AG266" s="56">
        <f>IF(AND(OR(BR266="L1",BR266="L23"),AC266&gt;0),SUMIFS($AC$7:$AC$1570,$BR$7:$BR$1570,BR266,$AF$7:$AF$1570,"&gt;"&amp;AF266)+SUMIFS($AC$7:$AC$1570,$BR$7:$BR$1570,BR266,$AF$7:$AF$1570,AF266,$BL$7:$BL$1570,"&lt;="&amp;BL266),"")</f>
        <v/>
      </c>
      <c r="AH266" s="65">
        <f>IF(AG266="",0,MAX(0,MIN(1,(IF(BR266="L1",Parameter!$K$5,Parameter!$K$6+Parameter!$K$7)-(AG266-AC266))/AC266)))</f>
        <v/>
      </c>
      <c r="AI266" s="55">
        <f>IF(LEFT(Cockpit!$I$5,1)="A",G266,IF(BT266=1,BU266,IF(LEFT(Cockpit!$I$5,1)="B",AM266,MAX(AM266,G266))))</f>
        <v/>
      </c>
      <c r="AJ266" s="55">
        <f>IF(BO266=1,0,ROUNDUP(AI266/BN266,0))</f>
        <v/>
      </c>
      <c r="AK266" s="64">
        <f>IF(BO266=1,IF(AI266&lt;=0,0,BP266*MAX(1,IF(G266&gt;0,AI266/G266,1))),AJ266*Q266)</f>
        <v/>
      </c>
      <c r="AL266" s="55">
        <f>AI266*F266</f>
        <v/>
      </c>
      <c r="AM266" s="55">
        <f>ROUNDUP(MAX(I266/IF(BS266&gt;0,BS266,MAX(0.1,N(Cockpit!$I$6))),BV266)/BN266,0)*BN266</f>
        <v/>
      </c>
      <c r="AN266" s="56">
        <f>IF(AK266&gt;0,I266/AK266,-1)</f>
        <v/>
      </c>
      <c r="AO266" s="56">
        <f>IF(AND(OR(BR266="L1",BR266="L23"),AK266&gt;0),SUMIFS($AK$7:$AK$1570,$BR$7:$BR$1570,BR266,$AN$7:$AN$1570,"&gt;"&amp;AN266)+SUMIFS($AK$7:$AK$1570,$BR$7:$BR$1570,BR266,$AN$7:$AN$1570,AN266,$BL$7:$BL$1570,"&lt;="&amp;BL266),"")</f>
        <v/>
      </c>
      <c r="AP266" s="65">
        <f>IF(AO266="",0,MAX(0,MIN(1,(IF(BR266="L1",Parameter!$K$5,Parameter!$K$6+Parameter!$K$7)-(AO266-AK266))/AK266)))</f>
        <v/>
      </c>
      <c r="AQ266" s="55">
        <f>IF(LEFT(Cockpit!$O$5,1)="A",G266,IF(BT266=1,BU266,IF(LEFT(Cockpit!$O$5,1)="B",AU266,MAX(AU266,G266))))</f>
        <v/>
      </c>
      <c r="AR266" s="55">
        <f>IF(BO266=1,0,ROUNDUP(AQ266/BN266,0))</f>
        <v/>
      </c>
      <c r="AS266" s="64">
        <f>IF(BO266=1,IF(AQ266&lt;=0,0,BP266*MAX(1,IF(G266&gt;0,AQ266/G266,1))),AR266*Q266)</f>
        <v/>
      </c>
      <c r="AT266" s="55">
        <f>AQ266*F266</f>
        <v/>
      </c>
      <c r="AU266" s="55">
        <f>ROUNDUP(MAX(I266/IF(BS266&gt;0,BS266,MAX(0.1,N(Cockpit!$O$6))),BV266)/BN266,0)*BN266</f>
        <v/>
      </c>
      <c r="AV266" s="56">
        <f>IF(AS266&gt;0,I266/AS266,-1)</f>
        <v/>
      </c>
      <c r="AW266" s="56">
        <f>IF(AND(OR(BR266="L1",BR266="L23"),AS266&gt;0),SUMIFS($AS$7:$AS$1570,$BR$7:$BR$1570,BR266,$AV$7:$AV$1570,"&gt;"&amp;AV266)+SUMIFS($AS$7:$AS$1570,$BR$7:$BR$1570,BR266,$AV$7:$AV$1570,AV266,$BL$7:$BL$1570,"&lt;="&amp;BL266),"")</f>
        <v/>
      </c>
      <c r="AX266" s="65">
        <f>IF(AW266="",0,MAX(0,MIN(1,(IF(BR266="L1",Parameter!$K$5,Parameter!$K$6+Parameter!$K$7)-(AW266-AS266))/AS266)))</f>
        <v/>
      </c>
      <c r="AY266" s="53">
        <f>IF(AC266&lt;=0,"",IF(BR266="Aussen","Aussenlager",IF(BR266="-","Nicht im Lift",IF(AH266&gt;=1,"Lift",IF(AH266&lt;=0,"Aussenlager","teilweise")))))</f>
        <v/>
      </c>
      <c r="AZ266" s="53">
        <f>IF(AK266&lt;=0,"",IF(BR266="Aussen","Aussenlager",IF(BR266="-","Nicht im Lift",IF(AP266&gt;=1,"Lift",IF(AP266&lt;=0,"Aussenlager","teilweise")))))</f>
        <v/>
      </c>
      <c r="BA266" s="53">
        <f>IF(AS266&lt;=0,"",IF(BR266="Aussen","Aussenlager",IF(BR266="-","Nicht im Lift",IF(AX266&gt;=1,"Lift",IF(AX266&lt;=0,"Aussenlager","teilweise")))))</f>
        <v/>
      </c>
      <c r="BB266" s="53">
        <f>IF(A266="","",IF(BK266=1,"Neu; ","")&amp;IF(AND(BK266=0,BF266&lt;0),"negativer Bestand (Export "&amp;BF266&amp;"); ","")&amp;IF(I266&lt;=0,"Kein Verbrauch; ","")&amp;IF(BO266=1,"Lose – Fläche geschätzt; ","")&amp;IF(G266&gt;AM266,"Überbestand "&amp;ROUND(G266-AM266,0)&amp;" Stk / CHF "&amp;ROUND((G266-AM266)*F266,0)&amp;"; ","")&amp;IF(AND(BT266=1,BU266&lt;BV266),"MAX &lt; MB+LG; ","")&amp;IF(AND(BZ266&gt;0,BY266*10&gt;BZ266),"zu hoch für Tablar; ","")&amp;IF(AND(BK266=0,OR(BT266=1,V266&lt;&gt;"",S266&lt;&gt;"",T266&lt;&gt;"",W266&lt;&gt;"")),"manuell übersteuert; ","")&amp;IF(AND(BO266=0,Q266=0),"Gebinde unbekannt; ","")&amp;IF(AND(BO266=0,N(T266)&lt;=0,N(P266)&lt;=0),"Menge pro Gebinde fehlt (Ist = 1 Gebinde); ","")&amp;BJ266)</f>
        <v/>
      </c>
      <c r="BC266" s="53" t="n"/>
      <c r="BD266" s="53" t="n"/>
      <c r="BE266" s="61" t="n"/>
      <c r="BF266" s="55" t="n">
        <v>148</v>
      </c>
      <c r="BG266" s="55" t="n">
        <v>0</v>
      </c>
      <c r="BH266" s="54" t="n">
        <v>429.2</v>
      </c>
      <c r="BI266" s="55" t="n">
        <v>40</v>
      </c>
      <c r="BJ266" s="53" t="inlineStr"/>
      <c r="BK266" s="58" t="n">
        <v>0</v>
      </c>
      <c r="BL266" s="58" t="n">
        <v>266</v>
      </c>
      <c r="BM266" s="53">
        <f>IF(S266&lt;&gt;"",UPPER(TRIM(S266)),IF(O266="","LOSE",O266))</f>
        <v/>
      </c>
      <c r="BN266" s="55">
        <f>IF(BM266="LOSE",1,IF(N(T266)&gt;0,T266,IF(N(P266)&gt;0,P266,MAX(1,G266))))</f>
        <v/>
      </c>
      <c r="BO266" s="58">
        <f>IF(BM266="LOSE",1,0)</f>
        <v/>
      </c>
      <c r="BP266" s="64">
        <f>IF(BO266=0,0,IF(N(R266)&gt;0,R266,IFERROR(VLOOKUP(D266,Parameter!$A$35:$C$64,3,0)+0,0)))</f>
        <v/>
      </c>
      <c r="BQ266" s="53">
        <f>IF(V266&lt;&gt;"",V266,U266)</f>
        <v/>
      </c>
      <c r="BR266" s="53">
        <f>IF(BQ266=1,"L1",IF(OR(BQ266=2,BQ266=3),"L23",IF(BQ266="Aussen","Aussen","-")))</f>
        <v/>
      </c>
      <c r="BS266" s="66">
        <f>IF(N(W266)&gt;0,W266,0)</f>
        <v/>
      </c>
      <c r="BT266" s="58">
        <f>IF(ISNUMBER(Z266),1,0)</f>
        <v/>
      </c>
      <c r="BU266" s="55">
        <f>N(Z266)</f>
        <v/>
      </c>
      <c r="BV266" s="55">
        <f>N(L266)+N(M266)</f>
        <v/>
      </c>
      <c r="BW266" s="55">
        <f>ROUNDUP(G266/BN266,0)</f>
        <v/>
      </c>
      <c r="BX266" s="55">
        <f>ROUNDUP(BU266/BN266,0)</f>
        <v/>
      </c>
      <c r="BY266" s="58">
        <f>IF(BO266=1,0,IFERROR(VLOOKUP(BM266,'Gebinde-Kategorie'!$A$5:$G$45,5,0)+0,0))</f>
        <v/>
      </c>
      <c r="BZ266" s="58">
        <f>IFERROR(IF(OR(BQ266=1,BQ266=2,BQ266=3),N(INDEX(Parameter!$I$5:$I$7,BQ266)),0),0)</f>
        <v/>
      </c>
    </row>
    <row r="267">
      <c r="A267" s="53" t="inlineStr">
        <is>
          <t>107723</t>
        </is>
      </c>
      <c r="B267" s="53" t="inlineStr">
        <is>
          <t>Drahtseillklemme</t>
        </is>
      </c>
      <c r="C267" s="53" t="inlineStr">
        <is>
          <t>F</t>
        </is>
      </c>
      <c r="D267" s="53" t="inlineStr">
        <is>
          <t>KTL</t>
        </is>
      </c>
      <c r="E267" s="53" t="inlineStr">
        <is>
          <t>C</t>
        </is>
      </c>
      <c r="F267" s="54" t="n">
        <v>1.77</v>
      </c>
      <c r="G267" s="55">
        <f>MAX(0,IF(Parameter!$B$20="Jahresanfang 2025 + Export",BG267+BF267,BF267))</f>
        <v/>
      </c>
      <c r="H267" s="55">
        <f>G267*F267</f>
        <v/>
      </c>
      <c r="I267" s="55">
        <f>BI267*Parameter!$B$18</f>
        <v/>
      </c>
      <c r="J267" s="56" t="n">
        <v>92</v>
      </c>
      <c r="K267" s="57" t="n">
        <v>2.804347826086957</v>
      </c>
      <c r="L267" s="55" t="n">
        <v>15</v>
      </c>
      <c r="M267" s="55" t="n">
        <v>300</v>
      </c>
      <c r="N267" s="58" t="n">
        <v>21</v>
      </c>
      <c r="O267" s="53" t="inlineStr">
        <is>
          <t>S32</t>
        </is>
      </c>
      <c r="P267" s="55" t="n">
        <v>241</v>
      </c>
      <c r="Q267" s="59">
        <f>IF(BO267=1,0,IFERROR(VLOOKUP(BM267,'Gebinde-Kategorie'!$A$5:$G$45,6,0)+0,0))</f>
        <v/>
      </c>
      <c r="R267" s="60" t="n"/>
      <c r="S267" s="61" t="n"/>
      <c r="T267" s="61" t="n"/>
      <c r="U267" s="53">
        <f>IF(A267="","",IF(IFERROR(VLOOKUP(D267,Parameter!$A$35:$C$64,2,0),"Nein")="2+3",IF(ISNUMBER(SEARCH("grosser Artikel",BJ267)),2,IFERROR(VLOOKUP(BM267,Parameter!$F$35:$G$64,2,0),2)),IF(OR(IFERROR(VLOOKUP(D267,Parameter!$A$35:$C$64,2,0),"Nein")="Nein",IFERROR(VLOOKUP(D267,Parameter!$A$35:$C$64,2,0),"Nein")=""),"-",VLOOKUP(D267,Parameter!$A$35:$C$64,2,0))))</f>
        <v/>
      </c>
      <c r="V267" s="61" t="n"/>
      <c r="W267" s="62" t="n"/>
      <c r="X267" s="55">
        <f>AM267</f>
        <v/>
      </c>
      <c r="Y267" s="55">
        <f>MAX(AM267,G267)</f>
        <v/>
      </c>
      <c r="Z267" s="63" t="n"/>
      <c r="AA267" s="55">
        <f>IF(LEFT(Cockpit!$C$5,1)="A",G267,IF(BT267=1,BU267,IF(LEFT(Cockpit!$C$5,1)="B",AE267,MAX(AE267,G267))))</f>
        <v/>
      </c>
      <c r="AB267" s="55">
        <f>IF(BO267=1,0,ROUNDUP(AA267/BN267,0))</f>
        <v/>
      </c>
      <c r="AC267" s="64">
        <f>IF(BO267=1,IF(AA267&lt;=0,0,BP267*MAX(1,IF(G267&gt;0,AA267/G267,1))),AB267*Q267)</f>
        <v/>
      </c>
      <c r="AD267" s="55">
        <f>AA267*F267</f>
        <v/>
      </c>
      <c r="AE267" s="55">
        <f>ROUNDUP(MAX(I267/IF(BS267&gt;0,BS267,MAX(0.1,N(Cockpit!$C$6))),BV267)/BN267,0)*BN267</f>
        <v/>
      </c>
      <c r="AF267" s="56">
        <f>IF(AC267&gt;0,I267/AC267,-1)</f>
        <v/>
      </c>
      <c r="AG267" s="56">
        <f>IF(AND(OR(BR267="L1",BR267="L23"),AC267&gt;0),SUMIFS($AC$7:$AC$1570,$BR$7:$BR$1570,BR267,$AF$7:$AF$1570,"&gt;"&amp;AF267)+SUMIFS($AC$7:$AC$1570,$BR$7:$BR$1570,BR267,$AF$7:$AF$1570,AF267,$BL$7:$BL$1570,"&lt;="&amp;BL267),"")</f>
        <v/>
      </c>
      <c r="AH267" s="65">
        <f>IF(AG267="",0,MAX(0,MIN(1,(IF(BR267="L1",Parameter!$K$5,Parameter!$K$6+Parameter!$K$7)-(AG267-AC267))/AC267)))</f>
        <v/>
      </c>
      <c r="AI267" s="55">
        <f>IF(LEFT(Cockpit!$I$5,1)="A",G267,IF(BT267=1,BU267,IF(LEFT(Cockpit!$I$5,1)="B",AM267,MAX(AM267,G267))))</f>
        <v/>
      </c>
      <c r="AJ267" s="55">
        <f>IF(BO267=1,0,ROUNDUP(AI267/BN267,0))</f>
        <v/>
      </c>
      <c r="AK267" s="64">
        <f>IF(BO267=1,IF(AI267&lt;=0,0,BP267*MAX(1,IF(G267&gt;0,AI267/G267,1))),AJ267*Q267)</f>
        <v/>
      </c>
      <c r="AL267" s="55">
        <f>AI267*F267</f>
        <v/>
      </c>
      <c r="AM267" s="55">
        <f>ROUNDUP(MAX(I267/IF(BS267&gt;0,BS267,MAX(0.1,N(Cockpit!$I$6))),BV267)/BN267,0)*BN267</f>
        <v/>
      </c>
      <c r="AN267" s="56">
        <f>IF(AK267&gt;0,I267/AK267,-1)</f>
        <v/>
      </c>
      <c r="AO267" s="56">
        <f>IF(AND(OR(BR267="L1",BR267="L23"),AK267&gt;0),SUMIFS($AK$7:$AK$1570,$BR$7:$BR$1570,BR267,$AN$7:$AN$1570,"&gt;"&amp;AN267)+SUMIFS($AK$7:$AK$1570,$BR$7:$BR$1570,BR267,$AN$7:$AN$1570,AN267,$BL$7:$BL$1570,"&lt;="&amp;BL267),"")</f>
        <v/>
      </c>
      <c r="AP267" s="65">
        <f>IF(AO267="",0,MAX(0,MIN(1,(IF(BR267="L1",Parameter!$K$5,Parameter!$K$6+Parameter!$K$7)-(AO267-AK267))/AK267)))</f>
        <v/>
      </c>
      <c r="AQ267" s="55">
        <f>IF(LEFT(Cockpit!$O$5,1)="A",G267,IF(BT267=1,BU267,IF(LEFT(Cockpit!$O$5,1)="B",AU267,MAX(AU267,G267))))</f>
        <v/>
      </c>
      <c r="AR267" s="55">
        <f>IF(BO267=1,0,ROUNDUP(AQ267/BN267,0))</f>
        <v/>
      </c>
      <c r="AS267" s="64">
        <f>IF(BO267=1,IF(AQ267&lt;=0,0,BP267*MAX(1,IF(G267&gt;0,AQ267/G267,1))),AR267*Q267)</f>
        <v/>
      </c>
      <c r="AT267" s="55">
        <f>AQ267*F267</f>
        <v/>
      </c>
      <c r="AU267" s="55">
        <f>ROUNDUP(MAX(I267/IF(BS267&gt;0,BS267,MAX(0.1,N(Cockpit!$O$6))),BV267)/BN267,0)*BN267</f>
        <v/>
      </c>
      <c r="AV267" s="56">
        <f>IF(AS267&gt;0,I267/AS267,-1)</f>
        <v/>
      </c>
      <c r="AW267" s="56">
        <f>IF(AND(OR(BR267="L1",BR267="L23"),AS267&gt;0),SUMIFS($AS$7:$AS$1570,$BR$7:$BR$1570,BR267,$AV$7:$AV$1570,"&gt;"&amp;AV267)+SUMIFS($AS$7:$AS$1570,$BR$7:$BR$1570,BR267,$AV$7:$AV$1570,AV267,$BL$7:$BL$1570,"&lt;="&amp;BL267),"")</f>
        <v/>
      </c>
      <c r="AX267" s="65">
        <f>IF(AW267="",0,MAX(0,MIN(1,(IF(BR267="L1",Parameter!$K$5,Parameter!$K$6+Parameter!$K$7)-(AW267-AS267))/AS267)))</f>
        <v/>
      </c>
      <c r="AY267" s="53">
        <f>IF(AC267&lt;=0,"",IF(BR267="Aussen","Aussenlager",IF(BR267="-","Nicht im Lift",IF(AH267&gt;=1,"Lift",IF(AH267&lt;=0,"Aussenlager","teilweise")))))</f>
        <v/>
      </c>
      <c r="AZ267" s="53">
        <f>IF(AK267&lt;=0,"",IF(BR267="Aussen","Aussenlager",IF(BR267="-","Nicht im Lift",IF(AP267&gt;=1,"Lift",IF(AP267&lt;=0,"Aussenlager","teilweise")))))</f>
        <v/>
      </c>
      <c r="BA267" s="53">
        <f>IF(AS267&lt;=0,"",IF(BR267="Aussen","Aussenlager",IF(BR267="-","Nicht im Lift",IF(AX267&gt;=1,"Lift",IF(AX267&lt;=0,"Aussenlager","teilweise")))))</f>
        <v/>
      </c>
      <c r="BB267" s="53">
        <f>IF(A267="","",IF(BK267=1,"Neu; ","")&amp;IF(AND(BK267=0,BF267&lt;0),"negativer Bestand (Export "&amp;BF267&amp;"); ","")&amp;IF(I267&lt;=0,"Kein Verbrauch; ","")&amp;IF(BO267=1,"Lose – Fläche geschätzt; ","")&amp;IF(G267&gt;AM267,"Überbestand "&amp;ROUND(G267-AM267,0)&amp;" Stk / CHF "&amp;ROUND((G267-AM267)*F267,0)&amp;"; ","")&amp;IF(AND(BT267=1,BU267&lt;BV267),"MAX &lt; MB+LG; ","")&amp;IF(AND(BZ267&gt;0,BY267*10&gt;BZ267),"zu hoch für Tablar; ","")&amp;IF(AND(BK267=0,OR(BT267=1,V267&lt;&gt;"",S267&lt;&gt;"",T267&lt;&gt;"",W267&lt;&gt;"")),"manuell übersteuert; ","")&amp;IF(AND(BO267=0,Q267=0),"Gebinde unbekannt; ","")&amp;IF(AND(BO267=0,N(T267)&lt;=0,N(P267)&lt;=0),"Menge pro Gebinde fehlt (Ist = 1 Gebinde); ","")&amp;BJ267)</f>
        <v/>
      </c>
      <c r="BC267" s="53" t="n"/>
      <c r="BD267" s="53" t="n"/>
      <c r="BE267" s="61" t="n"/>
      <c r="BF267" s="55" t="n">
        <v>242</v>
      </c>
      <c r="BG267" s="55" t="n">
        <v>73</v>
      </c>
      <c r="BH267" s="54" t="n">
        <v>426.1499999999996</v>
      </c>
      <c r="BI267" s="55" t="n">
        <v>258</v>
      </c>
      <c r="BJ267" s="53" t="inlineStr"/>
      <c r="BK267" s="58" t="n">
        <v>0</v>
      </c>
      <c r="BL267" s="58" t="n">
        <v>267</v>
      </c>
      <c r="BM267" s="53">
        <f>IF(S267&lt;&gt;"",UPPER(TRIM(S267)),IF(O267="","LOSE",O267))</f>
        <v/>
      </c>
      <c r="BN267" s="55">
        <f>IF(BM267="LOSE",1,IF(N(T267)&gt;0,T267,IF(N(P267)&gt;0,P267,MAX(1,G267))))</f>
        <v/>
      </c>
      <c r="BO267" s="58">
        <f>IF(BM267="LOSE",1,0)</f>
        <v/>
      </c>
      <c r="BP267" s="64">
        <f>IF(BO267=0,0,IF(N(R267)&gt;0,R267,IFERROR(VLOOKUP(D267,Parameter!$A$35:$C$64,3,0)+0,0)))</f>
        <v/>
      </c>
      <c r="BQ267" s="53">
        <f>IF(V267&lt;&gt;"",V267,U267)</f>
        <v/>
      </c>
      <c r="BR267" s="53">
        <f>IF(BQ267=1,"L1",IF(OR(BQ267=2,BQ267=3),"L23",IF(BQ267="Aussen","Aussen","-")))</f>
        <v/>
      </c>
      <c r="BS267" s="66">
        <f>IF(N(W267)&gt;0,W267,0)</f>
        <v/>
      </c>
      <c r="BT267" s="58">
        <f>IF(ISNUMBER(Z267),1,0)</f>
        <v/>
      </c>
      <c r="BU267" s="55">
        <f>N(Z267)</f>
        <v/>
      </c>
      <c r="BV267" s="55">
        <f>N(L267)+N(M267)</f>
        <v/>
      </c>
      <c r="BW267" s="55">
        <f>ROUNDUP(G267/BN267,0)</f>
        <v/>
      </c>
      <c r="BX267" s="55">
        <f>ROUNDUP(BU267/BN267,0)</f>
        <v/>
      </c>
      <c r="BY267" s="58">
        <f>IF(BO267=1,0,IFERROR(VLOOKUP(BM267,'Gebinde-Kategorie'!$A$5:$G$45,5,0)+0,0))</f>
        <v/>
      </c>
      <c r="BZ267" s="58">
        <f>IFERROR(IF(OR(BQ267=1,BQ267=2,BQ267=3),N(INDEX(Parameter!$I$5:$I$7,BQ267)),0),0)</f>
        <v/>
      </c>
    </row>
    <row r="268">
      <c r="A268" s="53" t="inlineStr">
        <is>
          <t>106900</t>
        </is>
      </c>
      <c r="B268" s="53" t="inlineStr">
        <is>
          <t>Anschlusselement</t>
        </is>
      </c>
      <c r="C268" s="53" t="inlineStr">
        <is>
          <t>F</t>
        </is>
      </c>
      <c r="D268" s="53" t="inlineStr">
        <is>
          <t>KTL</t>
        </is>
      </c>
      <c r="E268" s="53" t="inlineStr">
        <is>
          <t>C</t>
        </is>
      </c>
      <c r="F268" s="54" t="n">
        <v>21.54</v>
      </c>
      <c r="G268" s="55">
        <f>MAX(0,IF(Parameter!$B$20="Jahresanfang 2025 + Export",BG268+BF268,BF268))</f>
        <v/>
      </c>
      <c r="H268" s="55">
        <f>G268*F268</f>
        <v/>
      </c>
      <c r="I268" s="55">
        <f>BI268*Parameter!$B$18</f>
        <v/>
      </c>
      <c r="J268" s="56" t="n">
        <v>42</v>
      </c>
      <c r="K268" s="57" t="n">
        <v>1.380952380952381</v>
      </c>
      <c r="L268" s="55" t="n">
        <v>4</v>
      </c>
      <c r="M268" s="55" t="n">
        <v>60</v>
      </c>
      <c r="N268" s="58" t="n">
        <v>28</v>
      </c>
      <c r="O268" s="53" t="inlineStr">
        <is>
          <t>S62</t>
        </is>
      </c>
      <c r="P268" s="55" t="n">
        <v>28</v>
      </c>
      <c r="Q268" s="59">
        <f>IF(BO268=1,0,IFERROR(VLOOKUP(BM268,'Gebinde-Kategorie'!$A$5:$G$45,6,0)+0,0))</f>
        <v/>
      </c>
      <c r="R268" s="60" t="n"/>
      <c r="S268" s="61" t="n"/>
      <c r="T268" s="61" t="n"/>
      <c r="U268" s="53">
        <f>IF(A268="","",IF(IFERROR(VLOOKUP(D268,Parameter!$A$35:$C$64,2,0),"Nein")="2+3",IF(ISNUMBER(SEARCH("grosser Artikel",BJ268)),2,IFERROR(VLOOKUP(BM268,Parameter!$F$35:$G$64,2,0),2)),IF(OR(IFERROR(VLOOKUP(D268,Parameter!$A$35:$C$64,2,0),"Nein")="Nein",IFERROR(VLOOKUP(D268,Parameter!$A$35:$C$64,2,0),"Nein")=""),"-",VLOOKUP(D268,Parameter!$A$35:$C$64,2,0))))</f>
        <v/>
      </c>
      <c r="V268" s="61" t="n"/>
      <c r="W268" s="62" t="n"/>
      <c r="X268" s="55">
        <f>AM268</f>
        <v/>
      </c>
      <c r="Y268" s="55">
        <f>MAX(AM268,G268)</f>
        <v/>
      </c>
      <c r="Z268" s="63" t="n"/>
      <c r="AA268" s="55">
        <f>IF(LEFT(Cockpit!$C$5,1)="A",G268,IF(BT268=1,BU268,IF(LEFT(Cockpit!$C$5,1)="B",AE268,MAX(AE268,G268))))</f>
        <v/>
      </c>
      <c r="AB268" s="55">
        <f>IF(BO268=1,0,ROUNDUP(AA268/BN268,0))</f>
        <v/>
      </c>
      <c r="AC268" s="64">
        <f>IF(BO268=1,IF(AA268&lt;=0,0,BP268*MAX(1,IF(G268&gt;0,AA268/G268,1))),AB268*Q268)</f>
        <v/>
      </c>
      <c r="AD268" s="55">
        <f>AA268*F268</f>
        <v/>
      </c>
      <c r="AE268" s="55">
        <f>ROUNDUP(MAX(I268/IF(BS268&gt;0,BS268,MAX(0.1,N(Cockpit!$C$6))),BV268)/BN268,0)*BN268</f>
        <v/>
      </c>
      <c r="AF268" s="56">
        <f>IF(AC268&gt;0,I268/AC268,-1)</f>
        <v/>
      </c>
      <c r="AG268" s="56">
        <f>IF(AND(OR(BR268="L1",BR268="L23"),AC268&gt;0),SUMIFS($AC$7:$AC$1570,$BR$7:$BR$1570,BR268,$AF$7:$AF$1570,"&gt;"&amp;AF268)+SUMIFS($AC$7:$AC$1570,$BR$7:$BR$1570,BR268,$AF$7:$AF$1570,AF268,$BL$7:$BL$1570,"&lt;="&amp;BL268),"")</f>
        <v/>
      </c>
      <c r="AH268" s="65">
        <f>IF(AG268="",0,MAX(0,MIN(1,(IF(BR268="L1",Parameter!$K$5,Parameter!$K$6+Parameter!$K$7)-(AG268-AC268))/AC268)))</f>
        <v/>
      </c>
      <c r="AI268" s="55">
        <f>IF(LEFT(Cockpit!$I$5,1)="A",G268,IF(BT268=1,BU268,IF(LEFT(Cockpit!$I$5,1)="B",AM268,MAX(AM268,G268))))</f>
        <v/>
      </c>
      <c r="AJ268" s="55">
        <f>IF(BO268=1,0,ROUNDUP(AI268/BN268,0))</f>
        <v/>
      </c>
      <c r="AK268" s="64">
        <f>IF(BO268=1,IF(AI268&lt;=0,0,BP268*MAX(1,IF(G268&gt;0,AI268/G268,1))),AJ268*Q268)</f>
        <v/>
      </c>
      <c r="AL268" s="55">
        <f>AI268*F268</f>
        <v/>
      </c>
      <c r="AM268" s="55">
        <f>ROUNDUP(MAX(I268/IF(BS268&gt;0,BS268,MAX(0.1,N(Cockpit!$I$6))),BV268)/BN268,0)*BN268</f>
        <v/>
      </c>
      <c r="AN268" s="56">
        <f>IF(AK268&gt;0,I268/AK268,-1)</f>
        <v/>
      </c>
      <c r="AO268" s="56">
        <f>IF(AND(OR(BR268="L1",BR268="L23"),AK268&gt;0),SUMIFS($AK$7:$AK$1570,$BR$7:$BR$1570,BR268,$AN$7:$AN$1570,"&gt;"&amp;AN268)+SUMIFS($AK$7:$AK$1570,$BR$7:$BR$1570,BR268,$AN$7:$AN$1570,AN268,$BL$7:$BL$1570,"&lt;="&amp;BL268),"")</f>
        <v/>
      </c>
      <c r="AP268" s="65">
        <f>IF(AO268="",0,MAX(0,MIN(1,(IF(BR268="L1",Parameter!$K$5,Parameter!$K$6+Parameter!$K$7)-(AO268-AK268))/AK268)))</f>
        <v/>
      </c>
      <c r="AQ268" s="55">
        <f>IF(LEFT(Cockpit!$O$5,1)="A",G268,IF(BT268=1,BU268,IF(LEFT(Cockpit!$O$5,1)="B",AU268,MAX(AU268,G268))))</f>
        <v/>
      </c>
      <c r="AR268" s="55">
        <f>IF(BO268=1,0,ROUNDUP(AQ268/BN268,0))</f>
        <v/>
      </c>
      <c r="AS268" s="64">
        <f>IF(BO268=1,IF(AQ268&lt;=0,0,BP268*MAX(1,IF(G268&gt;0,AQ268/G268,1))),AR268*Q268)</f>
        <v/>
      </c>
      <c r="AT268" s="55">
        <f>AQ268*F268</f>
        <v/>
      </c>
      <c r="AU268" s="55">
        <f>ROUNDUP(MAX(I268/IF(BS268&gt;0,BS268,MAX(0.1,N(Cockpit!$O$6))),BV268)/BN268,0)*BN268</f>
        <v/>
      </c>
      <c r="AV268" s="56">
        <f>IF(AS268&gt;0,I268/AS268,-1)</f>
        <v/>
      </c>
      <c r="AW268" s="56">
        <f>IF(AND(OR(BR268="L1",BR268="L23"),AS268&gt;0),SUMIFS($AS$7:$AS$1570,$BR$7:$BR$1570,BR268,$AV$7:$AV$1570,"&gt;"&amp;AV268)+SUMIFS($AS$7:$AS$1570,$BR$7:$BR$1570,BR268,$AV$7:$AV$1570,AV268,$BL$7:$BL$1570,"&lt;="&amp;BL268),"")</f>
        <v/>
      </c>
      <c r="AX268" s="65">
        <f>IF(AW268="",0,MAX(0,MIN(1,(IF(BR268="L1",Parameter!$K$5,Parameter!$K$6+Parameter!$K$7)-(AW268-AS268))/AS268)))</f>
        <v/>
      </c>
      <c r="AY268" s="53">
        <f>IF(AC268&lt;=0,"",IF(BR268="Aussen","Aussenlager",IF(BR268="-","Nicht im Lift",IF(AH268&gt;=1,"Lift",IF(AH268&lt;=0,"Aussenlager","teilweise")))))</f>
        <v/>
      </c>
      <c r="AZ268" s="53">
        <f>IF(AK268&lt;=0,"",IF(BR268="Aussen","Aussenlager",IF(BR268="-","Nicht im Lift",IF(AP268&gt;=1,"Lift",IF(AP268&lt;=0,"Aussenlager","teilweise")))))</f>
        <v/>
      </c>
      <c r="BA268" s="53">
        <f>IF(AS268&lt;=0,"",IF(BR268="Aussen","Aussenlager",IF(BR268="-","Nicht im Lift",IF(AX268&gt;=1,"Lift",IF(AX268&lt;=0,"Aussenlager","teilweise")))))</f>
        <v/>
      </c>
      <c r="BB268" s="53">
        <f>IF(A268="","",IF(BK268=1,"Neu; ","")&amp;IF(AND(BK268=0,BF268&lt;0),"negativer Bestand (Export "&amp;BF268&amp;"); ","")&amp;IF(I268&lt;=0,"Kein Verbrauch; ","")&amp;IF(BO268=1,"Lose – Fläche geschätzt; ","")&amp;IF(G268&gt;AM268,"Überbestand "&amp;ROUND(G268-AM268,0)&amp;" Stk / CHF "&amp;ROUND((G268-AM268)*F268,0)&amp;"; ","")&amp;IF(AND(BT268=1,BU268&lt;BV268),"MAX &lt; MB+LG; ","")&amp;IF(AND(BZ268&gt;0,BY268*10&gt;BZ268),"zu hoch für Tablar; ","")&amp;IF(AND(BK268=0,OR(BT268=1,V268&lt;&gt;"",S268&lt;&gt;"",T268&lt;&gt;"",W268&lt;&gt;"")),"manuell übersteuert; ","")&amp;IF(AND(BO268=0,Q268=0),"Gebinde unbekannt; ","")&amp;IF(AND(BO268=0,N(T268)&lt;=0,N(P268)&lt;=0),"Menge pro Gebinde fehlt (Ist = 1 Gebinde); ","")&amp;BJ268)</f>
        <v/>
      </c>
      <c r="BC268" s="53" t="n"/>
      <c r="BD268" s="53" t="n"/>
      <c r="BE268" s="61" t="n"/>
      <c r="BF268" s="55" t="n">
        <v>18</v>
      </c>
      <c r="BG268" s="55" t="n">
        <v>49</v>
      </c>
      <c r="BH268" s="54" t="n">
        <v>425.15</v>
      </c>
      <c r="BI268" s="55" t="n">
        <v>58</v>
      </c>
      <c r="BJ268" s="53" t="inlineStr"/>
      <c r="BK268" s="58" t="n">
        <v>0</v>
      </c>
      <c r="BL268" s="58" t="n">
        <v>268</v>
      </c>
      <c r="BM268" s="53">
        <f>IF(S268&lt;&gt;"",UPPER(TRIM(S268)),IF(O268="","LOSE",O268))</f>
        <v/>
      </c>
      <c r="BN268" s="55">
        <f>IF(BM268="LOSE",1,IF(N(T268)&gt;0,T268,IF(N(P268)&gt;0,P268,MAX(1,G268))))</f>
        <v/>
      </c>
      <c r="BO268" s="58">
        <f>IF(BM268="LOSE",1,0)</f>
        <v/>
      </c>
      <c r="BP268" s="64">
        <f>IF(BO268=0,0,IF(N(R268)&gt;0,R268,IFERROR(VLOOKUP(D268,Parameter!$A$35:$C$64,3,0)+0,0)))</f>
        <v/>
      </c>
      <c r="BQ268" s="53">
        <f>IF(V268&lt;&gt;"",V268,U268)</f>
        <v/>
      </c>
      <c r="BR268" s="53">
        <f>IF(BQ268=1,"L1",IF(OR(BQ268=2,BQ268=3),"L23",IF(BQ268="Aussen","Aussen","-")))</f>
        <v/>
      </c>
      <c r="BS268" s="66">
        <f>IF(N(W268)&gt;0,W268,0)</f>
        <v/>
      </c>
      <c r="BT268" s="58">
        <f>IF(ISNUMBER(Z268),1,0)</f>
        <v/>
      </c>
      <c r="BU268" s="55">
        <f>N(Z268)</f>
        <v/>
      </c>
      <c r="BV268" s="55">
        <f>N(L268)+N(M268)</f>
        <v/>
      </c>
      <c r="BW268" s="55">
        <f>ROUNDUP(G268/BN268,0)</f>
        <v/>
      </c>
      <c r="BX268" s="55">
        <f>ROUNDUP(BU268/BN268,0)</f>
        <v/>
      </c>
      <c r="BY268" s="58">
        <f>IF(BO268=1,0,IFERROR(VLOOKUP(BM268,'Gebinde-Kategorie'!$A$5:$G$45,5,0)+0,0))</f>
        <v/>
      </c>
      <c r="BZ268" s="58">
        <f>IFERROR(IF(OR(BQ268=1,BQ268=2,BQ268=3),N(INDEX(Parameter!$I$5:$I$7,BQ268)),0),0)</f>
        <v/>
      </c>
    </row>
    <row r="269">
      <c r="A269" s="53" t="inlineStr">
        <is>
          <t>105395</t>
        </is>
      </c>
      <c r="B269" s="53" t="inlineStr">
        <is>
          <t>Flansch</t>
        </is>
      </c>
      <c r="C269" s="53" t="inlineStr">
        <is>
          <t>F</t>
        </is>
      </c>
      <c r="D269" s="53" t="inlineStr">
        <is>
          <t>PAL</t>
        </is>
      </c>
      <c r="E269" s="53" t="inlineStr">
        <is>
          <t>C</t>
        </is>
      </c>
      <c r="F269" s="54" t="n">
        <v>97.95</v>
      </c>
      <c r="G269" s="55">
        <f>MAX(0,IF(Parameter!$B$20="Jahresanfang 2025 + Export",BG269+BF269,BF269))</f>
        <v/>
      </c>
      <c r="H269" s="55">
        <f>G269*F269</f>
        <v/>
      </c>
      <c r="I269" s="55">
        <f>BI269*Parameter!$B$18</f>
        <v/>
      </c>
      <c r="J269" s="56" t="n">
        <v>9.5</v>
      </c>
      <c r="K269" s="57" t="n">
        <v>2.631578947368421</v>
      </c>
      <c r="L269" s="55" t="n">
        <v>2</v>
      </c>
      <c r="M269" s="55" t="n">
        <v>25</v>
      </c>
      <c r="N269" s="58" t="n">
        <v>35</v>
      </c>
      <c r="O269" s="53" t="inlineStr">
        <is>
          <t>S61</t>
        </is>
      </c>
      <c r="P269" s="55" t="n">
        <v>13</v>
      </c>
      <c r="Q269" s="59">
        <f>IF(BO269=1,0,IFERROR(VLOOKUP(BM269,'Gebinde-Kategorie'!$A$5:$G$45,6,0)+0,0))</f>
        <v/>
      </c>
      <c r="R269" s="60" t="n"/>
      <c r="S269" s="61" t="n"/>
      <c r="T269" s="61" t="n"/>
      <c r="U269" s="53">
        <f>IF(A269="","",IF(IFERROR(VLOOKUP(D269,Parameter!$A$35:$C$64,2,0),"Nein")="2+3",IF(ISNUMBER(SEARCH("grosser Artikel",BJ269)),2,IFERROR(VLOOKUP(BM269,Parameter!$F$35:$G$64,2,0),2)),IF(OR(IFERROR(VLOOKUP(D269,Parameter!$A$35:$C$64,2,0),"Nein")="Nein",IFERROR(VLOOKUP(D269,Parameter!$A$35:$C$64,2,0),"Nein")=""),"-",VLOOKUP(D269,Parameter!$A$35:$C$64,2,0))))</f>
        <v/>
      </c>
      <c r="V269" s="61" t="n"/>
      <c r="W269" s="62" t="n"/>
      <c r="X269" s="55">
        <f>AM269</f>
        <v/>
      </c>
      <c r="Y269" s="55">
        <f>MAX(AM269,G269)</f>
        <v/>
      </c>
      <c r="Z269" s="63" t="n"/>
      <c r="AA269" s="55">
        <f>IF(LEFT(Cockpit!$C$5,1)="A",G269,IF(BT269=1,BU269,IF(LEFT(Cockpit!$C$5,1)="B",AE269,MAX(AE269,G269))))</f>
        <v/>
      </c>
      <c r="AB269" s="55">
        <f>IF(BO269=1,0,ROUNDUP(AA269/BN269,0))</f>
        <v/>
      </c>
      <c r="AC269" s="64">
        <f>IF(BO269=1,IF(AA269&lt;=0,0,BP269*MAX(1,IF(G269&gt;0,AA269/G269,1))),AB269*Q269)</f>
        <v/>
      </c>
      <c r="AD269" s="55">
        <f>AA269*F269</f>
        <v/>
      </c>
      <c r="AE269" s="55">
        <f>ROUNDUP(MAX(I269/IF(BS269&gt;0,BS269,MAX(0.1,N(Cockpit!$C$6))),BV269)/BN269,0)*BN269</f>
        <v/>
      </c>
      <c r="AF269" s="56">
        <f>IF(AC269&gt;0,I269/AC269,-1)</f>
        <v/>
      </c>
      <c r="AG269" s="56">
        <f>IF(AND(OR(BR269="L1",BR269="L23"),AC269&gt;0),SUMIFS($AC$7:$AC$1570,$BR$7:$BR$1570,BR269,$AF$7:$AF$1570,"&gt;"&amp;AF269)+SUMIFS($AC$7:$AC$1570,$BR$7:$BR$1570,BR269,$AF$7:$AF$1570,AF269,$BL$7:$BL$1570,"&lt;="&amp;BL269),"")</f>
        <v/>
      </c>
      <c r="AH269" s="65">
        <f>IF(AG269="",0,MAX(0,MIN(1,(IF(BR269="L1",Parameter!$K$5,Parameter!$K$6+Parameter!$K$7)-(AG269-AC269))/AC269)))</f>
        <v/>
      </c>
      <c r="AI269" s="55">
        <f>IF(LEFT(Cockpit!$I$5,1)="A",G269,IF(BT269=1,BU269,IF(LEFT(Cockpit!$I$5,1)="B",AM269,MAX(AM269,G269))))</f>
        <v/>
      </c>
      <c r="AJ269" s="55">
        <f>IF(BO269=1,0,ROUNDUP(AI269/BN269,0))</f>
        <v/>
      </c>
      <c r="AK269" s="64">
        <f>IF(BO269=1,IF(AI269&lt;=0,0,BP269*MAX(1,IF(G269&gt;0,AI269/G269,1))),AJ269*Q269)</f>
        <v/>
      </c>
      <c r="AL269" s="55">
        <f>AI269*F269</f>
        <v/>
      </c>
      <c r="AM269" s="55">
        <f>ROUNDUP(MAX(I269/IF(BS269&gt;0,BS269,MAX(0.1,N(Cockpit!$I$6))),BV269)/BN269,0)*BN269</f>
        <v/>
      </c>
      <c r="AN269" s="56">
        <f>IF(AK269&gt;0,I269/AK269,-1)</f>
        <v/>
      </c>
      <c r="AO269" s="56">
        <f>IF(AND(OR(BR269="L1",BR269="L23"),AK269&gt;0),SUMIFS($AK$7:$AK$1570,$BR$7:$BR$1570,BR269,$AN$7:$AN$1570,"&gt;"&amp;AN269)+SUMIFS($AK$7:$AK$1570,$BR$7:$BR$1570,BR269,$AN$7:$AN$1570,AN269,$BL$7:$BL$1570,"&lt;="&amp;BL269),"")</f>
        <v/>
      </c>
      <c r="AP269" s="65">
        <f>IF(AO269="",0,MAX(0,MIN(1,(IF(BR269="L1",Parameter!$K$5,Parameter!$K$6+Parameter!$K$7)-(AO269-AK269))/AK269)))</f>
        <v/>
      </c>
      <c r="AQ269" s="55">
        <f>IF(LEFT(Cockpit!$O$5,1)="A",G269,IF(BT269=1,BU269,IF(LEFT(Cockpit!$O$5,1)="B",AU269,MAX(AU269,G269))))</f>
        <v/>
      </c>
      <c r="AR269" s="55">
        <f>IF(BO269=1,0,ROUNDUP(AQ269/BN269,0))</f>
        <v/>
      </c>
      <c r="AS269" s="64">
        <f>IF(BO269=1,IF(AQ269&lt;=0,0,BP269*MAX(1,IF(G269&gt;0,AQ269/G269,1))),AR269*Q269)</f>
        <v/>
      </c>
      <c r="AT269" s="55">
        <f>AQ269*F269</f>
        <v/>
      </c>
      <c r="AU269" s="55">
        <f>ROUNDUP(MAX(I269/IF(BS269&gt;0,BS269,MAX(0.1,N(Cockpit!$O$6))),BV269)/BN269,0)*BN269</f>
        <v/>
      </c>
      <c r="AV269" s="56">
        <f>IF(AS269&gt;0,I269/AS269,-1)</f>
        <v/>
      </c>
      <c r="AW269" s="56">
        <f>IF(AND(OR(BR269="L1",BR269="L23"),AS269&gt;0),SUMIFS($AS$7:$AS$1570,$BR$7:$BR$1570,BR269,$AV$7:$AV$1570,"&gt;"&amp;AV269)+SUMIFS($AS$7:$AS$1570,$BR$7:$BR$1570,BR269,$AV$7:$AV$1570,AV269,$BL$7:$BL$1570,"&lt;="&amp;BL269),"")</f>
        <v/>
      </c>
      <c r="AX269" s="65">
        <f>IF(AW269="",0,MAX(0,MIN(1,(IF(BR269="L1",Parameter!$K$5,Parameter!$K$6+Parameter!$K$7)-(AW269-AS269))/AS269)))</f>
        <v/>
      </c>
      <c r="AY269" s="53">
        <f>IF(AC269&lt;=0,"",IF(BR269="Aussen","Aussenlager",IF(BR269="-","Nicht im Lift",IF(AH269&gt;=1,"Lift",IF(AH269&lt;=0,"Aussenlager","teilweise")))))</f>
        <v/>
      </c>
      <c r="AZ269" s="53">
        <f>IF(AK269&lt;=0,"",IF(BR269="Aussen","Aussenlager",IF(BR269="-","Nicht im Lift",IF(AP269&gt;=1,"Lift",IF(AP269&lt;=0,"Aussenlager","teilweise")))))</f>
        <v/>
      </c>
      <c r="BA269" s="53">
        <f>IF(AS269&lt;=0,"",IF(BR269="Aussen","Aussenlager",IF(BR269="-","Nicht im Lift",IF(AX269&gt;=1,"Lift",IF(AX269&lt;=0,"Aussenlager","teilweise")))))</f>
        <v/>
      </c>
      <c r="BB269" s="53">
        <f>IF(A269="","",IF(BK269=1,"Neu; ","")&amp;IF(AND(BK269=0,BF269&lt;0),"negativer Bestand (Export "&amp;BF269&amp;"); ","")&amp;IF(I269&lt;=0,"Kein Verbrauch; ","")&amp;IF(BO269=1,"Lose – Fläche geschätzt; ","")&amp;IF(G269&gt;AM269,"Überbestand "&amp;ROUND(G269-AM269,0)&amp;" Stk / CHF "&amp;ROUND((G269-AM269)*F269,0)&amp;"; ","")&amp;IF(AND(BT269=1,BU269&lt;BV269),"MAX &lt; MB+LG; ","")&amp;IF(AND(BZ269&gt;0,BY269*10&gt;BZ269),"zu hoch für Tablar; ","")&amp;IF(AND(BK269=0,OR(BT269=1,V269&lt;&gt;"",S269&lt;&gt;"",T269&lt;&gt;"",W269&lt;&gt;"")),"manuell übersteuert; ","")&amp;IF(AND(BO269=0,Q269=0),"Gebinde unbekannt; ","")&amp;IF(AND(BO269=0,N(T269)&lt;=0,N(P269)&lt;=0),"Menge pro Gebinde fehlt (Ist = 1 Gebinde); ","")&amp;BJ269)</f>
        <v/>
      </c>
      <c r="BC269" s="53" t="n"/>
      <c r="BD269" s="53" t="n"/>
      <c r="BE269" s="61" t="n"/>
      <c r="BF269" s="55" t="n">
        <v>4</v>
      </c>
      <c r="BG269" s="55" t="n">
        <v>7</v>
      </c>
      <c r="BH269" s="54" t="n">
        <v>417.5599999999998</v>
      </c>
      <c r="BI269" s="55" t="n">
        <v>25</v>
      </c>
      <c r="BJ269" s="53" t="inlineStr"/>
      <c r="BK269" s="58" t="n">
        <v>0</v>
      </c>
      <c r="BL269" s="58" t="n">
        <v>269</v>
      </c>
      <c r="BM269" s="53">
        <f>IF(S269&lt;&gt;"",UPPER(TRIM(S269)),IF(O269="","LOSE",O269))</f>
        <v/>
      </c>
      <c r="BN269" s="55">
        <f>IF(BM269="LOSE",1,IF(N(T269)&gt;0,T269,IF(N(P269)&gt;0,P269,MAX(1,G269))))</f>
        <v/>
      </c>
      <c r="BO269" s="58">
        <f>IF(BM269="LOSE",1,0)</f>
        <v/>
      </c>
      <c r="BP269" s="64">
        <f>IF(BO269=0,0,IF(N(R269)&gt;0,R269,IFERROR(VLOOKUP(D269,Parameter!$A$35:$C$64,3,0)+0,0)))</f>
        <v/>
      </c>
      <c r="BQ269" s="53">
        <f>IF(V269&lt;&gt;"",V269,U269)</f>
        <v/>
      </c>
      <c r="BR269" s="53">
        <f>IF(BQ269=1,"L1",IF(OR(BQ269=2,BQ269=3),"L23",IF(BQ269="Aussen","Aussen","-")))</f>
        <v/>
      </c>
      <c r="BS269" s="66">
        <f>IF(N(W269)&gt;0,W269,0)</f>
        <v/>
      </c>
      <c r="BT269" s="58">
        <f>IF(ISNUMBER(Z269),1,0)</f>
        <v/>
      </c>
      <c r="BU269" s="55">
        <f>N(Z269)</f>
        <v/>
      </c>
      <c r="BV269" s="55">
        <f>N(L269)+N(M269)</f>
        <v/>
      </c>
      <c r="BW269" s="55">
        <f>ROUNDUP(G269/BN269,0)</f>
        <v/>
      </c>
      <c r="BX269" s="55">
        <f>ROUNDUP(BU269/BN269,0)</f>
        <v/>
      </c>
      <c r="BY269" s="58">
        <f>IF(BO269=1,0,IFERROR(VLOOKUP(BM269,'Gebinde-Kategorie'!$A$5:$G$45,5,0)+0,0))</f>
        <v/>
      </c>
      <c r="BZ269" s="58">
        <f>IFERROR(IF(OR(BQ269=1,BQ269=2,BQ269=3),N(INDEX(Parameter!$I$5:$I$7,BQ269)),0),0)</f>
        <v/>
      </c>
    </row>
    <row r="270">
      <c r="A270" s="53" t="inlineStr">
        <is>
          <t>111897</t>
        </is>
      </c>
      <c r="B270" s="53" t="inlineStr">
        <is>
          <t>Steckverbinder</t>
        </is>
      </c>
      <c r="C270" s="53" t="inlineStr">
        <is>
          <t>F</t>
        </is>
      </c>
      <c r="D270" s="53" t="inlineStr">
        <is>
          <t>KTL</t>
        </is>
      </c>
      <c r="E270" s="53" t="inlineStr">
        <is>
          <t>C</t>
        </is>
      </c>
      <c r="F270" s="54" t="n">
        <v>16.65</v>
      </c>
      <c r="G270" s="55">
        <f>MAX(0,IF(Parameter!$B$20="Jahresanfang 2025 + Export",BG270+BF270,BF270))</f>
        <v/>
      </c>
      <c r="H270" s="55">
        <f>G270*F270</f>
        <v/>
      </c>
      <c r="I270" s="55">
        <f>BI270*Parameter!$B$18</f>
        <v/>
      </c>
      <c r="J270" s="56" t="n">
        <v>0</v>
      </c>
      <c r="K270" s="57" t="n">
        <v>0</v>
      </c>
      <c r="L270" s="55" t="n">
        <v>0</v>
      </c>
      <c r="M270" s="55" t="n">
        <v>5</v>
      </c>
      <c r="N270" s="58" t="n">
        <v>9999</v>
      </c>
      <c r="O270" s="53" t="inlineStr">
        <is>
          <t>LOSE</t>
        </is>
      </c>
      <c r="P270" s="55" t="n"/>
      <c r="Q270" s="59">
        <f>IF(BO270=1,0,IFERROR(VLOOKUP(BM270,'Gebinde-Kategorie'!$A$5:$G$45,6,0)+0,0))</f>
        <v/>
      </c>
      <c r="R270" s="60" t="n"/>
      <c r="S270" s="61" t="n"/>
      <c r="T270" s="61" t="n"/>
      <c r="U270" s="53">
        <f>IF(A270="","",IF(IFERROR(VLOOKUP(D270,Parameter!$A$35:$C$64,2,0),"Nein")="2+3",IF(ISNUMBER(SEARCH("grosser Artikel",BJ270)),2,IFERROR(VLOOKUP(BM270,Parameter!$F$35:$G$64,2,0),2)),IF(OR(IFERROR(VLOOKUP(D270,Parameter!$A$35:$C$64,2,0),"Nein")="Nein",IFERROR(VLOOKUP(D270,Parameter!$A$35:$C$64,2,0),"Nein")=""),"-",VLOOKUP(D270,Parameter!$A$35:$C$64,2,0))))</f>
        <v/>
      </c>
      <c r="V270" s="61" t="n"/>
      <c r="W270" s="62" t="n"/>
      <c r="X270" s="55">
        <f>AM270</f>
        <v/>
      </c>
      <c r="Y270" s="55">
        <f>MAX(AM270,G270)</f>
        <v/>
      </c>
      <c r="Z270" s="63" t="n"/>
      <c r="AA270" s="55">
        <f>IF(LEFT(Cockpit!$C$5,1)="A",G270,IF(BT270=1,BU270,IF(LEFT(Cockpit!$C$5,1)="B",AE270,MAX(AE270,G270))))</f>
        <v/>
      </c>
      <c r="AB270" s="55">
        <f>IF(BO270=1,0,ROUNDUP(AA270/BN270,0))</f>
        <v/>
      </c>
      <c r="AC270" s="64">
        <f>IF(BO270=1,IF(AA270&lt;=0,0,BP270*MAX(1,IF(G270&gt;0,AA270/G270,1))),AB270*Q270)</f>
        <v/>
      </c>
      <c r="AD270" s="55">
        <f>AA270*F270</f>
        <v/>
      </c>
      <c r="AE270" s="55">
        <f>ROUNDUP(MAX(I270/IF(BS270&gt;0,BS270,MAX(0.1,N(Cockpit!$C$6))),BV270)/BN270,0)*BN270</f>
        <v/>
      </c>
      <c r="AF270" s="56">
        <f>IF(AC270&gt;0,I270/AC270,-1)</f>
        <v/>
      </c>
      <c r="AG270" s="56">
        <f>IF(AND(OR(BR270="L1",BR270="L23"),AC270&gt;0),SUMIFS($AC$7:$AC$1570,$BR$7:$BR$1570,BR270,$AF$7:$AF$1570,"&gt;"&amp;AF270)+SUMIFS($AC$7:$AC$1570,$BR$7:$BR$1570,BR270,$AF$7:$AF$1570,AF270,$BL$7:$BL$1570,"&lt;="&amp;BL270),"")</f>
        <v/>
      </c>
      <c r="AH270" s="65">
        <f>IF(AG270="",0,MAX(0,MIN(1,(IF(BR270="L1",Parameter!$K$5,Parameter!$K$6+Parameter!$K$7)-(AG270-AC270))/AC270)))</f>
        <v/>
      </c>
      <c r="AI270" s="55">
        <f>IF(LEFT(Cockpit!$I$5,1)="A",G270,IF(BT270=1,BU270,IF(LEFT(Cockpit!$I$5,1)="B",AM270,MAX(AM270,G270))))</f>
        <v/>
      </c>
      <c r="AJ270" s="55">
        <f>IF(BO270=1,0,ROUNDUP(AI270/BN270,0))</f>
        <v/>
      </c>
      <c r="AK270" s="64">
        <f>IF(BO270=1,IF(AI270&lt;=0,0,BP270*MAX(1,IF(G270&gt;0,AI270/G270,1))),AJ270*Q270)</f>
        <v/>
      </c>
      <c r="AL270" s="55">
        <f>AI270*F270</f>
        <v/>
      </c>
      <c r="AM270" s="55">
        <f>ROUNDUP(MAX(I270/IF(BS270&gt;0,BS270,MAX(0.1,N(Cockpit!$I$6))),BV270)/BN270,0)*BN270</f>
        <v/>
      </c>
      <c r="AN270" s="56">
        <f>IF(AK270&gt;0,I270/AK270,-1)</f>
        <v/>
      </c>
      <c r="AO270" s="56">
        <f>IF(AND(OR(BR270="L1",BR270="L23"),AK270&gt;0),SUMIFS($AK$7:$AK$1570,$BR$7:$BR$1570,BR270,$AN$7:$AN$1570,"&gt;"&amp;AN270)+SUMIFS($AK$7:$AK$1570,$BR$7:$BR$1570,BR270,$AN$7:$AN$1570,AN270,$BL$7:$BL$1570,"&lt;="&amp;BL270),"")</f>
        <v/>
      </c>
      <c r="AP270" s="65">
        <f>IF(AO270="",0,MAX(0,MIN(1,(IF(BR270="L1",Parameter!$K$5,Parameter!$K$6+Parameter!$K$7)-(AO270-AK270))/AK270)))</f>
        <v/>
      </c>
      <c r="AQ270" s="55">
        <f>IF(LEFT(Cockpit!$O$5,1)="A",G270,IF(BT270=1,BU270,IF(LEFT(Cockpit!$O$5,1)="B",AU270,MAX(AU270,G270))))</f>
        <v/>
      </c>
      <c r="AR270" s="55">
        <f>IF(BO270=1,0,ROUNDUP(AQ270/BN270,0))</f>
        <v/>
      </c>
      <c r="AS270" s="64">
        <f>IF(BO270=1,IF(AQ270&lt;=0,0,BP270*MAX(1,IF(G270&gt;0,AQ270/G270,1))),AR270*Q270)</f>
        <v/>
      </c>
      <c r="AT270" s="55">
        <f>AQ270*F270</f>
        <v/>
      </c>
      <c r="AU270" s="55">
        <f>ROUNDUP(MAX(I270/IF(BS270&gt;0,BS270,MAX(0.1,N(Cockpit!$O$6))),BV270)/BN270,0)*BN270</f>
        <v/>
      </c>
      <c r="AV270" s="56">
        <f>IF(AS270&gt;0,I270/AS270,-1)</f>
        <v/>
      </c>
      <c r="AW270" s="56">
        <f>IF(AND(OR(BR270="L1",BR270="L23"),AS270&gt;0),SUMIFS($AS$7:$AS$1570,$BR$7:$BR$1570,BR270,$AV$7:$AV$1570,"&gt;"&amp;AV270)+SUMIFS($AS$7:$AS$1570,$BR$7:$BR$1570,BR270,$AV$7:$AV$1570,AV270,$BL$7:$BL$1570,"&lt;="&amp;BL270),"")</f>
        <v/>
      </c>
      <c r="AX270" s="65">
        <f>IF(AW270="",0,MAX(0,MIN(1,(IF(BR270="L1",Parameter!$K$5,Parameter!$K$6+Parameter!$K$7)-(AW270-AS270))/AS270)))</f>
        <v/>
      </c>
      <c r="AY270" s="53">
        <f>IF(AC270&lt;=0,"",IF(BR270="Aussen","Aussenlager",IF(BR270="-","Nicht im Lift",IF(AH270&gt;=1,"Lift",IF(AH270&lt;=0,"Aussenlager","teilweise")))))</f>
        <v/>
      </c>
      <c r="AZ270" s="53">
        <f>IF(AK270&lt;=0,"",IF(BR270="Aussen","Aussenlager",IF(BR270="-","Nicht im Lift",IF(AP270&gt;=1,"Lift",IF(AP270&lt;=0,"Aussenlager","teilweise")))))</f>
        <v/>
      </c>
      <c r="BA270" s="53">
        <f>IF(AS270&lt;=0,"",IF(BR270="Aussen","Aussenlager",IF(BR270="-","Nicht im Lift",IF(AX270&gt;=1,"Lift",IF(AX270&lt;=0,"Aussenlager","teilweise")))))</f>
        <v/>
      </c>
      <c r="BB270" s="53">
        <f>IF(A270="","",IF(BK270=1,"Neu; ","")&amp;IF(AND(BK270=0,BF270&lt;0),"negativer Bestand (Export "&amp;BF270&amp;"); ","")&amp;IF(I270&lt;=0,"Kein Verbrauch; ","")&amp;IF(BO270=1,"Lose – Fläche geschätzt; ","")&amp;IF(G270&gt;AM270,"Überbestand "&amp;ROUND(G270-AM270,0)&amp;" Stk / CHF "&amp;ROUND((G270-AM270)*F270,0)&amp;"; ","")&amp;IF(AND(BT270=1,BU270&lt;BV270),"MAX &lt; MB+LG; ","")&amp;IF(AND(BZ270&gt;0,BY270*10&gt;BZ270),"zu hoch für Tablar; ","")&amp;IF(AND(BK270=0,OR(BT270=1,V270&lt;&gt;"",S270&lt;&gt;"",T270&lt;&gt;"",W270&lt;&gt;"")),"manuell übersteuert; ","")&amp;IF(AND(BO270=0,Q270=0),"Gebinde unbekannt; ","")&amp;IF(AND(BO270=0,N(T270)&lt;=0,N(P270)&lt;=0),"Menge pro Gebinde fehlt (Ist = 1 Gebinde); ","")&amp;BJ270)</f>
        <v/>
      </c>
      <c r="BC270" s="53" t="n"/>
      <c r="BD270" s="53" t="n"/>
      <c r="BE270" s="61" t="n"/>
      <c r="BF270" s="55" t="n">
        <v>25</v>
      </c>
      <c r="BG270" s="55" t="n">
        <v>0</v>
      </c>
      <c r="BH270" s="54" t="n">
        <v>416.25</v>
      </c>
      <c r="BI270" s="55" t="n">
        <v>0</v>
      </c>
      <c r="BJ270" s="53" t="inlineStr"/>
      <c r="BK270" s="58" t="n">
        <v>0</v>
      </c>
      <c r="BL270" s="58" t="n">
        <v>270</v>
      </c>
      <c r="BM270" s="53">
        <f>IF(S270&lt;&gt;"",UPPER(TRIM(S270)),IF(O270="","LOSE",O270))</f>
        <v/>
      </c>
      <c r="BN270" s="55">
        <f>IF(BM270="LOSE",1,IF(N(T270)&gt;0,T270,IF(N(P270)&gt;0,P270,MAX(1,G270))))</f>
        <v/>
      </c>
      <c r="BO270" s="58">
        <f>IF(BM270="LOSE",1,0)</f>
        <v/>
      </c>
      <c r="BP270" s="64">
        <f>IF(BO270=0,0,IF(N(R270)&gt;0,R270,IFERROR(VLOOKUP(D270,Parameter!$A$35:$C$64,3,0)+0,0)))</f>
        <v/>
      </c>
      <c r="BQ270" s="53">
        <f>IF(V270&lt;&gt;"",V270,U270)</f>
        <v/>
      </c>
      <c r="BR270" s="53">
        <f>IF(BQ270=1,"L1",IF(OR(BQ270=2,BQ270=3),"L23",IF(BQ270="Aussen","Aussen","-")))</f>
        <v/>
      </c>
      <c r="BS270" s="66">
        <f>IF(N(W270)&gt;0,W270,0)</f>
        <v/>
      </c>
      <c r="BT270" s="58">
        <f>IF(ISNUMBER(Z270),1,0)</f>
        <v/>
      </c>
      <c r="BU270" s="55">
        <f>N(Z270)</f>
        <v/>
      </c>
      <c r="BV270" s="55">
        <f>N(L270)+N(M270)</f>
        <v/>
      </c>
      <c r="BW270" s="55">
        <f>ROUNDUP(G270/BN270,0)</f>
        <v/>
      </c>
      <c r="BX270" s="55">
        <f>ROUNDUP(BU270/BN270,0)</f>
        <v/>
      </c>
      <c r="BY270" s="58">
        <f>IF(BO270=1,0,IFERROR(VLOOKUP(BM270,'Gebinde-Kategorie'!$A$5:$G$45,5,0)+0,0))</f>
        <v/>
      </c>
      <c r="BZ270" s="58">
        <f>IFERROR(IF(OR(BQ270=1,BQ270=2,BQ270=3),N(INDEX(Parameter!$I$5:$I$7,BQ270)),0),0)</f>
        <v/>
      </c>
    </row>
    <row r="271">
      <c r="A271" s="53" t="inlineStr">
        <is>
          <t>110682</t>
        </is>
      </c>
      <c r="B271" s="53" t="inlineStr">
        <is>
          <t>Nadelventil</t>
        </is>
      </c>
      <c r="C271" s="53" t="inlineStr">
        <is>
          <t>F</t>
        </is>
      </c>
      <c r="D271" s="53" t="inlineStr">
        <is>
          <t>KTL</t>
        </is>
      </c>
      <c r="E271" s="53" t="inlineStr">
        <is>
          <t>C</t>
        </is>
      </c>
      <c r="F271" s="54" t="n">
        <v>100.35</v>
      </c>
      <c r="G271" s="55">
        <f>MAX(0,IF(Parameter!$B$20="Jahresanfang 2025 + Export",BG271+BF271,BF271))</f>
        <v/>
      </c>
      <c r="H271" s="55">
        <f>G271*F271</f>
        <v/>
      </c>
      <c r="I271" s="55">
        <f>BI271*Parameter!$B$18</f>
        <v/>
      </c>
      <c r="J271" s="56" t="n">
        <v>0</v>
      </c>
      <c r="K271" s="57" t="n">
        <v>0</v>
      </c>
      <c r="L271" s="55" t="n">
        <v>0</v>
      </c>
      <c r="M271" s="55" t="n">
        <v>5</v>
      </c>
      <c r="N271" s="58" t="n">
        <v>14</v>
      </c>
      <c r="O271" s="53" t="inlineStr">
        <is>
          <t>S32</t>
        </is>
      </c>
      <c r="P271" s="55" t="n">
        <v>4</v>
      </c>
      <c r="Q271" s="59">
        <f>IF(BO271=1,0,IFERROR(VLOOKUP(BM271,'Gebinde-Kategorie'!$A$5:$G$45,6,0)+0,0))</f>
        <v/>
      </c>
      <c r="R271" s="60" t="n"/>
      <c r="S271" s="61" t="n"/>
      <c r="T271" s="61" t="n"/>
      <c r="U271" s="53">
        <f>IF(A271="","",IF(IFERROR(VLOOKUP(D271,Parameter!$A$35:$C$64,2,0),"Nein")="2+3",IF(ISNUMBER(SEARCH("grosser Artikel",BJ271)),2,IFERROR(VLOOKUP(BM271,Parameter!$F$35:$G$64,2,0),2)),IF(OR(IFERROR(VLOOKUP(D271,Parameter!$A$35:$C$64,2,0),"Nein")="Nein",IFERROR(VLOOKUP(D271,Parameter!$A$35:$C$64,2,0),"Nein")=""),"-",VLOOKUP(D271,Parameter!$A$35:$C$64,2,0))))</f>
        <v/>
      </c>
      <c r="V271" s="61" t="n"/>
      <c r="W271" s="62" t="n"/>
      <c r="X271" s="55">
        <f>AM271</f>
        <v/>
      </c>
      <c r="Y271" s="55">
        <f>MAX(AM271,G271)</f>
        <v/>
      </c>
      <c r="Z271" s="63" t="n"/>
      <c r="AA271" s="55">
        <f>IF(LEFT(Cockpit!$C$5,1)="A",G271,IF(BT271=1,BU271,IF(LEFT(Cockpit!$C$5,1)="B",AE271,MAX(AE271,G271))))</f>
        <v/>
      </c>
      <c r="AB271" s="55">
        <f>IF(BO271=1,0,ROUNDUP(AA271/BN271,0))</f>
        <v/>
      </c>
      <c r="AC271" s="64">
        <f>IF(BO271=1,IF(AA271&lt;=0,0,BP271*MAX(1,IF(G271&gt;0,AA271/G271,1))),AB271*Q271)</f>
        <v/>
      </c>
      <c r="AD271" s="55">
        <f>AA271*F271</f>
        <v/>
      </c>
      <c r="AE271" s="55">
        <f>ROUNDUP(MAX(I271/IF(BS271&gt;0,BS271,MAX(0.1,N(Cockpit!$C$6))),BV271)/BN271,0)*BN271</f>
        <v/>
      </c>
      <c r="AF271" s="56">
        <f>IF(AC271&gt;0,I271/AC271,-1)</f>
        <v/>
      </c>
      <c r="AG271" s="56">
        <f>IF(AND(OR(BR271="L1",BR271="L23"),AC271&gt;0),SUMIFS($AC$7:$AC$1570,$BR$7:$BR$1570,BR271,$AF$7:$AF$1570,"&gt;"&amp;AF271)+SUMIFS($AC$7:$AC$1570,$BR$7:$BR$1570,BR271,$AF$7:$AF$1570,AF271,$BL$7:$BL$1570,"&lt;="&amp;BL271),"")</f>
        <v/>
      </c>
      <c r="AH271" s="65">
        <f>IF(AG271="",0,MAX(0,MIN(1,(IF(BR271="L1",Parameter!$K$5,Parameter!$K$6+Parameter!$K$7)-(AG271-AC271))/AC271)))</f>
        <v/>
      </c>
      <c r="AI271" s="55">
        <f>IF(LEFT(Cockpit!$I$5,1)="A",G271,IF(BT271=1,BU271,IF(LEFT(Cockpit!$I$5,1)="B",AM271,MAX(AM271,G271))))</f>
        <v/>
      </c>
      <c r="AJ271" s="55">
        <f>IF(BO271=1,0,ROUNDUP(AI271/BN271,0))</f>
        <v/>
      </c>
      <c r="AK271" s="64">
        <f>IF(BO271=1,IF(AI271&lt;=0,0,BP271*MAX(1,IF(G271&gt;0,AI271/G271,1))),AJ271*Q271)</f>
        <v/>
      </c>
      <c r="AL271" s="55">
        <f>AI271*F271</f>
        <v/>
      </c>
      <c r="AM271" s="55">
        <f>ROUNDUP(MAX(I271/IF(BS271&gt;0,BS271,MAX(0.1,N(Cockpit!$I$6))),BV271)/BN271,0)*BN271</f>
        <v/>
      </c>
      <c r="AN271" s="56">
        <f>IF(AK271&gt;0,I271/AK271,-1)</f>
        <v/>
      </c>
      <c r="AO271" s="56">
        <f>IF(AND(OR(BR271="L1",BR271="L23"),AK271&gt;0),SUMIFS($AK$7:$AK$1570,$BR$7:$BR$1570,BR271,$AN$7:$AN$1570,"&gt;"&amp;AN271)+SUMIFS($AK$7:$AK$1570,$BR$7:$BR$1570,BR271,$AN$7:$AN$1570,AN271,$BL$7:$BL$1570,"&lt;="&amp;BL271),"")</f>
        <v/>
      </c>
      <c r="AP271" s="65">
        <f>IF(AO271="",0,MAX(0,MIN(1,(IF(BR271="L1",Parameter!$K$5,Parameter!$K$6+Parameter!$K$7)-(AO271-AK271))/AK271)))</f>
        <v/>
      </c>
      <c r="AQ271" s="55">
        <f>IF(LEFT(Cockpit!$O$5,1)="A",G271,IF(BT271=1,BU271,IF(LEFT(Cockpit!$O$5,1)="B",AU271,MAX(AU271,G271))))</f>
        <v/>
      </c>
      <c r="AR271" s="55">
        <f>IF(BO271=1,0,ROUNDUP(AQ271/BN271,0))</f>
        <v/>
      </c>
      <c r="AS271" s="64">
        <f>IF(BO271=1,IF(AQ271&lt;=0,0,BP271*MAX(1,IF(G271&gt;0,AQ271/G271,1))),AR271*Q271)</f>
        <v/>
      </c>
      <c r="AT271" s="55">
        <f>AQ271*F271</f>
        <v/>
      </c>
      <c r="AU271" s="55">
        <f>ROUNDUP(MAX(I271/IF(BS271&gt;0,BS271,MAX(0.1,N(Cockpit!$O$6))),BV271)/BN271,0)*BN271</f>
        <v/>
      </c>
      <c r="AV271" s="56">
        <f>IF(AS271&gt;0,I271/AS271,-1)</f>
        <v/>
      </c>
      <c r="AW271" s="56">
        <f>IF(AND(OR(BR271="L1",BR271="L23"),AS271&gt;0),SUMIFS($AS$7:$AS$1570,$BR$7:$BR$1570,BR271,$AV$7:$AV$1570,"&gt;"&amp;AV271)+SUMIFS($AS$7:$AS$1570,$BR$7:$BR$1570,BR271,$AV$7:$AV$1570,AV271,$BL$7:$BL$1570,"&lt;="&amp;BL271),"")</f>
        <v/>
      </c>
      <c r="AX271" s="65">
        <f>IF(AW271="",0,MAX(0,MIN(1,(IF(BR271="L1",Parameter!$K$5,Parameter!$K$6+Parameter!$K$7)-(AW271-AS271))/AS271)))</f>
        <v/>
      </c>
      <c r="AY271" s="53">
        <f>IF(AC271&lt;=0,"",IF(BR271="Aussen","Aussenlager",IF(BR271="-","Nicht im Lift",IF(AH271&gt;=1,"Lift",IF(AH271&lt;=0,"Aussenlager","teilweise")))))</f>
        <v/>
      </c>
      <c r="AZ271" s="53">
        <f>IF(AK271&lt;=0,"",IF(BR271="Aussen","Aussenlager",IF(BR271="-","Nicht im Lift",IF(AP271&gt;=1,"Lift",IF(AP271&lt;=0,"Aussenlager","teilweise")))))</f>
        <v/>
      </c>
      <c r="BA271" s="53">
        <f>IF(AS271&lt;=0,"",IF(BR271="Aussen","Aussenlager",IF(BR271="-","Nicht im Lift",IF(AX271&gt;=1,"Lift",IF(AX271&lt;=0,"Aussenlager","teilweise")))))</f>
        <v/>
      </c>
      <c r="BB271" s="53">
        <f>IF(A271="","",IF(BK271=1,"Neu; ","")&amp;IF(AND(BK271=0,BF271&lt;0),"negativer Bestand (Export "&amp;BF271&amp;"); ","")&amp;IF(I271&lt;=0,"Kein Verbrauch; ","")&amp;IF(BO271=1,"Lose – Fläche geschätzt; ","")&amp;IF(G271&gt;AM271,"Überbestand "&amp;ROUND(G271-AM271,0)&amp;" Stk / CHF "&amp;ROUND((G271-AM271)*F271,0)&amp;"; ","")&amp;IF(AND(BT271=1,BU271&lt;BV271),"MAX &lt; MB+LG; ","")&amp;IF(AND(BZ271&gt;0,BY271*10&gt;BZ271),"zu hoch für Tablar; ","")&amp;IF(AND(BK271=0,OR(BT271=1,V271&lt;&gt;"",S271&lt;&gt;"",T271&lt;&gt;"",W271&lt;&gt;"")),"manuell übersteuert; ","")&amp;IF(AND(BO271=0,Q271=0),"Gebinde unbekannt; ","")&amp;IF(AND(BO271=0,N(T271)&lt;=0,N(P271)&lt;=0),"Menge pro Gebinde fehlt (Ist = 1 Gebinde); ","")&amp;BJ271)</f>
        <v/>
      </c>
      <c r="BC271" s="53" t="n"/>
      <c r="BD271" s="53" t="n"/>
      <c r="BE271" s="61" t="n"/>
      <c r="BF271" s="55" t="n">
        <v>4</v>
      </c>
      <c r="BG271" s="55" t="n">
        <v>0</v>
      </c>
      <c r="BH271" s="54" t="n">
        <v>401.4</v>
      </c>
      <c r="BI271" s="55" t="n">
        <v>6</v>
      </c>
      <c r="BJ271" s="53" t="inlineStr"/>
      <c r="BK271" s="58" t="n">
        <v>0</v>
      </c>
      <c r="BL271" s="58" t="n">
        <v>271</v>
      </c>
      <c r="BM271" s="53">
        <f>IF(S271&lt;&gt;"",UPPER(TRIM(S271)),IF(O271="","LOSE",O271))</f>
        <v/>
      </c>
      <c r="BN271" s="55">
        <f>IF(BM271="LOSE",1,IF(N(T271)&gt;0,T271,IF(N(P271)&gt;0,P271,MAX(1,G271))))</f>
        <v/>
      </c>
      <c r="BO271" s="58">
        <f>IF(BM271="LOSE",1,0)</f>
        <v/>
      </c>
      <c r="BP271" s="64">
        <f>IF(BO271=0,0,IF(N(R271)&gt;0,R271,IFERROR(VLOOKUP(D271,Parameter!$A$35:$C$64,3,0)+0,0)))</f>
        <v/>
      </c>
      <c r="BQ271" s="53">
        <f>IF(V271&lt;&gt;"",V271,U271)</f>
        <v/>
      </c>
      <c r="BR271" s="53">
        <f>IF(BQ271=1,"L1",IF(OR(BQ271=2,BQ271=3),"L23",IF(BQ271="Aussen","Aussen","-")))</f>
        <v/>
      </c>
      <c r="BS271" s="66">
        <f>IF(N(W271)&gt;0,W271,0)</f>
        <v/>
      </c>
      <c r="BT271" s="58">
        <f>IF(ISNUMBER(Z271),1,0)</f>
        <v/>
      </c>
      <c r="BU271" s="55">
        <f>N(Z271)</f>
        <v/>
      </c>
      <c r="BV271" s="55">
        <f>N(L271)+N(M271)</f>
        <v/>
      </c>
      <c r="BW271" s="55">
        <f>ROUNDUP(G271/BN271,0)</f>
        <v/>
      </c>
      <c r="BX271" s="55">
        <f>ROUNDUP(BU271/BN271,0)</f>
        <v/>
      </c>
      <c r="BY271" s="58">
        <f>IF(BO271=1,0,IFERROR(VLOOKUP(BM271,'Gebinde-Kategorie'!$A$5:$G$45,5,0)+0,0))</f>
        <v/>
      </c>
      <c r="BZ271" s="58">
        <f>IFERROR(IF(OR(BQ271=1,BQ271=2,BQ271=3),N(INDEX(Parameter!$I$5:$I$7,BQ271)),0),0)</f>
        <v/>
      </c>
    </row>
    <row r="272">
      <c r="A272" s="53" t="inlineStr">
        <is>
          <t>005341</t>
        </is>
      </c>
      <c r="B272" s="53" t="inlineStr">
        <is>
          <t>Montageschlüssel</t>
        </is>
      </c>
      <c r="C272" s="53" t="inlineStr">
        <is>
          <t>F</t>
        </is>
      </c>
      <c r="D272" s="53" t="inlineStr">
        <is>
          <t>KTL</t>
        </is>
      </c>
      <c r="E272" s="53" t="inlineStr">
        <is>
          <t>C</t>
        </is>
      </c>
      <c r="F272" s="54" t="n">
        <v>38.7</v>
      </c>
      <c r="G272" s="55">
        <f>MAX(0,IF(Parameter!$B$20="Jahresanfang 2025 + Export",BG272+BF272,BF272))</f>
        <v/>
      </c>
      <c r="H272" s="55">
        <f>G272*F272</f>
        <v/>
      </c>
      <c r="I272" s="55">
        <f>BI272*Parameter!$B$18</f>
        <v/>
      </c>
      <c r="J272" s="56" t="n">
        <v>17</v>
      </c>
      <c r="K272" s="57" t="n">
        <v>0.7647058823529411</v>
      </c>
      <c r="L272" s="55" t="n">
        <v>1</v>
      </c>
      <c r="M272" s="55" t="n">
        <v>15</v>
      </c>
      <c r="N272" s="58" t="n">
        <v>28</v>
      </c>
      <c r="O272" s="53" t="inlineStr">
        <is>
          <t>S32</t>
        </is>
      </c>
      <c r="P272" s="55" t="n">
        <v>31</v>
      </c>
      <c r="Q272" s="59">
        <f>IF(BO272=1,0,IFERROR(VLOOKUP(BM272,'Gebinde-Kategorie'!$A$5:$G$45,6,0)+0,0))</f>
        <v/>
      </c>
      <c r="R272" s="60" t="n"/>
      <c r="S272" s="61" t="n"/>
      <c r="T272" s="61" t="n"/>
      <c r="U272" s="53">
        <f>IF(A272="","",IF(IFERROR(VLOOKUP(D272,Parameter!$A$35:$C$64,2,0),"Nein")="2+3",IF(ISNUMBER(SEARCH("grosser Artikel",BJ272)),2,IFERROR(VLOOKUP(BM272,Parameter!$F$35:$G$64,2,0),2)),IF(OR(IFERROR(VLOOKUP(D272,Parameter!$A$35:$C$64,2,0),"Nein")="Nein",IFERROR(VLOOKUP(D272,Parameter!$A$35:$C$64,2,0),"Nein")=""),"-",VLOOKUP(D272,Parameter!$A$35:$C$64,2,0))))</f>
        <v/>
      </c>
      <c r="V272" s="61" t="n"/>
      <c r="W272" s="62" t="n"/>
      <c r="X272" s="55">
        <f>AM272</f>
        <v/>
      </c>
      <c r="Y272" s="55">
        <f>MAX(AM272,G272)</f>
        <v/>
      </c>
      <c r="Z272" s="63" t="n"/>
      <c r="AA272" s="55">
        <f>IF(LEFT(Cockpit!$C$5,1)="A",G272,IF(BT272=1,BU272,IF(LEFT(Cockpit!$C$5,1)="B",AE272,MAX(AE272,G272))))</f>
        <v/>
      </c>
      <c r="AB272" s="55">
        <f>IF(BO272=1,0,ROUNDUP(AA272/BN272,0))</f>
        <v/>
      </c>
      <c r="AC272" s="64">
        <f>IF(BO272=1,IF(AA272&lt;=0,0,BP272*MAX(1,IF(G272&gt;0,AA272/G272,1))),AB272*Q272)</f>
        <v/>
      </c>
      <c r="AD272" s="55">
        <f>AA272*F272</f>
        <v/>
      </c>
      <c r="AE272" s="55">
        <f>ROUNDUP(MAX(I272/IF(BS272&gt;0,BS272,MAX(0.1,N(Cockpit!$C$6))),BV272)/BN272,0)*BN272</f>
        <v/>
      </c>
      <c r="AF272" s="56">
        <f>IF(AC272&gt;0,I272/AC272,-1)</f>
        <v/>
      </c>
      <c r="AG272" s="56">
        <f>IF(AND(OR(BR272="L1",BR272="L23"),AC272&gt;0),SUMIFS($AC$7:$AC$1570,$BR$7:$BR$1570,BR272,$AF$7:$AF$1570,"&gt;"&amp;AF272)+SUMIFS($AC$7:$AC$1570,$BR$7:$BR$1570,BR272,$AF$7:$AF$1570,AF272,$BL$7:$BL$1570,"&lt;="&amp;BL272),"")</f>
        <v/>
      </c>
      <c r="AH272" s="65">
        <f>IF(AG272="",0,MAX(0,MIN(1,(IF(BR272="L1",Parameter!$K$5,Parameter!$K$6+Parameter!$K$7)-(AG272-AC272))/AC272)))</f>
        <v/>
      </c>
      <c r="AI272" s="55">
        <f>IF(LEFT(Cockpit!$I$5,1)="A",G272,IF(BT272=1,BU272,IF(LEFT(Cockpit!$I$5,1)="B",AM272,MAX(AM272,G272))))</f>
        <v/>
      </c>
      <c r="AJ272" s="55">
        <f>IF(BO272=1,0,ROUNDUP(AI272/BN272,0))</f>
        <v/>
      </c>
      <c r="AK272" s="64">
        <f>IF(BO272=1,IF(AI272&lt;=0,0,BP272*MAX(1,IF(G272&gt;0,AI272/G272,1))),AJ272*Q272)</f>
        <v/>
      </c>
      <c r="AL272" s="55">
        <f>AI272*F272</f>
        <v/>
      </c>
      <c r="AM272" s="55">
        <f>ROUNDUP(MAX(I272/IF(BS272&gt;0,BS272,MAX(0.1,N(Cockpit!$I$6))),BV272)/BN272,0)*BN272</f>
        <v/>
      </c>
      <c r="AN272" s="56">
        <f>IF(AK272&gt;0,I272/AK272,-1)</f>
        <v/>
      </c>
      <c r="AO272" s="56">
        <f>IF(AND(OR(BR272="L1",BR272="L23"),AK272&gt;0),SUMIFS($AK$7:$AK$1570,$BR$7:$BR$1570,BR272,$AN$7:$AN$1570,"&gt;"&amp;AN272)+SUMIFS($AK$7:$AK$1570,$BR$7:$BR$1570,BR272,$AN$7:$AN$1570,AN272,$BL$7:$BL$1570,"&lt;="&amp;BL272),"")</f>
        <v/>
      </c>
      <c r="AP272" s="65">
        <f>IF(AO272="",0,MAX(0,MIN(1,(IF(BR272="L1",Parameter!$K$5,Parameter!$K$6+Parameter!$K$7)-(AO272-AK272))/AK272)))</f>
        <v/>
      </c>
      <c r="AQ272" s="55">
        <f>IF(LEFT(Cockpit!$O$5,1)="A",G272,IF(BT272=1,BU272,IF(LEFT(Cockpit!$O$5,1)="B",AU272,MAX(AU272,G272))))</f>
        <v/>
      </c>
      <c r="AR272" s="55">
        <f>IF(BO272=1,0,ROUNDUP(AQ272/BN272,0))</f>
        <v/>
      </c>
      <c r="AS272" s="64">
        <f>IF(BO272=1,IF(AQ272&lt;=0,0,BP272*MAX(1,IF(G272&gt;0,AQ272/G272,1))),AR272*Q272)</f>
        <v/>
      </c>
      <c r="AT272" s="55">
        <f>AQ272*F272</f>
        <v/>
      </c>
      <c r="AU272" s="55">
        <f>ROUNDUP(MAX(I272/IF(BS272&gt;0,BS272,MAX(0.1,N(Cockpit!$O$6))),BV272)/BN272,0)*BN272</f>
        <v/>
      </c>
      <c r="AV272" s="56">
        <f>IF(AS272&gt;0,I272/AS272,-1)</f>
        <v/>
      </c>
      <c r="AW272" s="56">
        <f>IF(AND(OR(BR272="L1",BR272="L23"),AS272&gt;0),SUMIFS($AS$7:$AS$1570,$BR$7:$BR$1570,BR272,$AV$7:$AV$1570,"&gt;"&amp;AV272)+SUMIFS($AS$7:$AS$1570,$BR$7:$BR$1570,BR272,$AV$7:$AV$1570,AV272,$BL$7:$BL$1570,"&lt;="&amp;BL272),"")</f>
        <v/>
      </c>
      <c r="AX272" s="65">
        <f>IF(AW272="",0,MAX(0,MIN(1,(IF(BR272="L1",Parameter!$K$5,Parameter!$K$6+Parameter!$K$7)-(AW272-AS272))/AS272)))</f>
        <v/>
      </c>
      <c r="AY272" s="53">
        <f>IF(AC272&lt;=0,"",IF(BR272="Aussen","Aussenlager",IF(BR272="-","Nicht im Lift",IF(AH272&gt;=1,"Lift",IF(AH272&lt;=0,"Aussenlager","teilweise")))))</f>
        <v/>
      </c>
      <c r="AZ272" s="53">
        <f>IF(AK272&lt;=0,"",IF(BR272="Aussen","Aussenlager",IF(BR272="-","Nicht im Lift",IF(AP272&gt;=1,"Lift",IF(AP272&lt;=0,"Aussenlager","teilweise")))))</f>
        <v/>
      </c>
      <c r="BA272" s="53">
        <f>IF(AS272&lt;=0,"",IF(BR272="Aussen","Aussenlager",IF(BR272="-","Nicht im Lift",IF(AX272&gt;=1,"Lift",IF(AX272&lt;=0,"Aussenlager","teilweise")))))</f>
        <v/>
      </c>
      <c r="BB272" s="53">
        <f>IF(A272="","",IF(BK272=1,"Neu; ","")&amp;IF(AND(BK272=0,BF272&lt;0),"negativer Bestand (Export "&amp;BF272&amp;"); ","")&amp;IF(I272&lt;=0,"Kein Verbrauch; ","")&amp;IF(BO272=1,"Lose – Fläche geschätzt; ","")&amp;IF(G272&gt;AM272,"Überbestand "&amp;ROUND(G272-AM272,0)&amp;" Stk / CHF "&amp;ROUND((G272-AM272)*F272,0)&amp;"; ","")&amp;IF(AND(BT272=1,BU272&lt;BV272),"MAX &lt; MB+LG; ","")&amp;IF(AND(BZ272&gt;0,BY272*10&gt;BZ272),"zu hoch für Tablar; ","")&amp;IF(AND(BK272=0,OR(BT272=1,V272&lt;&gt;"",S272&lt;&gt;"",T272&lt;&gt;"",W272&lt;&gt;"")),"manuell übersteuert; ","")&amp;IF(AND(BO272=0,Q272=0),"Gebinde unbekannt; ","")&amp;IF(AND(BO272=0,N(T272)&lt;=0,N(P272)&lt;=0),"Menge pro Gebinde fehlt (Ist = 1 Gebinde); ","")&amp;BJ272)</f>
        <v/>
      </c>
      <c r="BC272" s="53" t="n"/>
      <c r="BD272" s="53" t="n"/>
      <c r="BE272" s="61" t="n"/>
      <c r="BF272" s="55" t="n">
        <v>10</v>
      </c>
      <c r="BG272" s="55" t="n">
        <v>11</v>
      </c>
      <c r="BH272" s="54" t="n">
        <v>387</v>
      </c>
      <c r="BI272" s="55" t="n">
        <v>13</v>
      </c>
      <c r="BJ272" s="53" t="inlineStr"/>
      <c r="BK272" s="58" t="n">
        <v>0</v>
      </c>
      <c r="BL272" s="58" t="n">
        <v>272</v>
      </c>
      <c r="BM272" s="53">
        <f>IF(S272&lt;&gt;"",UPPER(TRIM(S272)),IF(O272="","LOSE",O272))</f>
        <v/>
      </c>
      <c r="BN272" s="55">
        <f>IF(BM272="LOSE",1,IF(N(T272)&gt;0,T272,IF(N(P272)&gt;0,P272,MAX(1,G272))))</f>
        <v/>
      </c>
      <c r="BO272" s="58">
        <f>IF(BM272="LOSE",1,0)</f>
        <v/>
      </c>
      <c r="BP272" s="64">
        <f>IF(BO272=0,0,IF(N(R272)&gt;0,R272,IFERROR(VLOOKUP(D272,Parameter!$A$35:$C$64,3,0)+0,0)))</f>
        <v/>
      </c>
      <c r="BQ272" s="53">
        <f>IF(V272&lt;&gt;"",V272,U272)</f>
        <v/>
      </c>
      <c r="BR272" s="53">
        <f>IF(BQ272=1,"L1",IF(OR(BQ272=2,BQ272=3),"L23",IF(BQ272="Aussen","Aussen","-")))</f>
        <v/>
      </c>
      <c r="BS272" s="66">
        <f>IF(N(W272)&gt;0,W272,0)</f>
        <v/>
      </c>
      <c r="BT272" s="58">
        <f>IF(ISNUMBER(Z272),1,0)</f>
        <v/>
      </c>
      <c r="BU272" s="55">
        <f>N(Z272)</f>
        <v/>
      </c>
      <c r="BV272" s="55">
        <f>N(L272)+N(M272)</f>
        <v/>
      </c>
      <c r="BW272" s="55">
        <f>ROUNDUP(G272/BN272,0)</f>
        <v/>
      </c>
      <c r="BX272" s="55">
        <f>ROUNDUP(BU272/BN272,0)</f>
        <v/>
      </c>
      <c r="BY272" s="58">
        <f>IF(BO272=1,0,IFERROR(VLOOKUP(BM272,'Gebinde-Kategorie'!$A$5:$G$45,5,0)+0,0))</f>
        <v/>
      </c>
      <c r="BZ272" s="58">
        <f>IFERROR(IF(OR(BQ272=1,BQ272=2,BQ272=3),N(INDEX(Parameter!$I$5:$I$7,BQ272)),0),0)</f>
        <v/>
      </c>
    </row>
    <row r="273">
      <c r="A273" s="53" t="inlineStr">
        <is>
          <t>107102</t>
        </is>
      </c>
      <c r="B273" s="53" t="inlineStr">
        <is>
          <t>Sechskant Stifteinsatz</t>
        </is>
      </c>
      <c r="C273" s="53" t="inlineStr">
        <is>
          <t>F</t>
        </is>
      </c>
      <c r="D273" s="53" t="inlineStr">
        <is>
          <t>KTL</t>
        </is>
      </c>
      <c r="E273" s="53" t="inlineStr">
        <is>
          <t>C</t>
        </is>
      </c>
      <c r="F273" s="54" t="n">
        <v>9.25</v>
      </c>
      <c r="G273" s="55">
        <f>MAX(0,IF(Parameter!$B$20="Jahresanfang 2025 + Export",BG273+BF273,BF273))</f>
        <v/>
      </c>
      <c r="H273" s="55">
        <f>G273*F273</f>
        <v/>
      </c>
      <c r="I273" s="55">
        <f>BI273*Parameter!$B$18</f>
        <v/>
      </c>
      <c r="J273" s="56" t="n">
        <v>5.5</v>
      </c>
      <c r="K273" s="57" t="n">
        <v>1.454545454545455</v>
      </c>
      <c r="L273" s="55" t="n">
        <v>0</v>
      </c>
      <c r="M273" s="55" t="n">
        <v>10</v>
      </c>
      <c r="N273" s="58" t="n">
        <v>18</v>
      </c>
      <c r="O273" s="53" t="inlineStr">
        <is>
          <t>S22</t>
        </is>
      </c>
      <c r="P273" s="55" t="n">
        <v>21</v>
      </c>
      <c r="Q273" s="59">
        <f>IF(BO273=1,0,IFERROR(VLOOKUP(BM273,'Gebinde-Kategorie'!$A$5:$G$45,6,0)+0,0))</f>
        <v/>
      </c>
      <c r="R273" s="60" t="n"/>
      <c r="S273" s="61" t="n"/>
      <c r="T273" s="61" t="n"/>
      <c r="U273" s="53">
        <f>IF(A273="","",IF(IFERROR(VLOOKUP(D273,Parameter!$A$35:$C$64,2,0),"Nein")="2+3",IF(ISNUMBER(SEARCH("grosser Artikel",BJ273)),2,IFERROR(VLOOKUP(BM273,Parameter!$F$35:$G$64,2,0),2)),IF(OR(IFERROR(VLOOKUP(D273,Parameter!$A$35:$C$64,2,0),"Nein")="Nein",IFERROR(VLOOKUP(D273,Parameter!$A$35:$C$64,2,0),"Nein")=""),"-",VLOOKUP(D273,Parameter!$A$35:$C$64,2,0))))</f>
        <v/>
      </c>
      <c r="V273" s="61" t="n"/>
      <c r="W273" s="62" t="n"/>
      <c r="X273" s="55">
        <f>AM273</f>
        <v/>
      </c>
      <c r="Y273" s="55">
        <f>MAX(AM273,G273)</f>
        <v/>
      </c>
      <c r="Z273" s="63" t="n"/>
      <c r="AA273" s="55">
        <f>IF(LEFT(Cockpit!$C$5,1)="A",G273,IF(BT273=1,BU273,IF(LEFT(Cockpit!$C$5,1)="B",AE273,MAX(AE273,G273))))</f>
        <v/>
      </c>
      <c r="AB273" s="55">
        <f>IF(BO273=1,0,ROUNDUP(AA273/BN273,0))</f>
        <v/>
      </c>
      <c r="AC273" s="64">
        <f>IF(BO273=1,IF(AA273&lt;=0,0,BP273*MAX(1,IF(G273&gt;0,AA273/G273,1))),AB273*Q273)</f>
        <v/>
      </c>
      <c r="AD273" s="55">
        <f>AA273*F273</f>
        <v/>
      </c>
      <c r="AE273" s="55">
        <f>ROUNDUP(MAX(I273/IF(BS273&gt;0,BS273,MAX(0.1,N(Cockpit!$C$6))),BV273)/BN273,0)*BN273</f>
        <v/>
      </c>
      <c r="AF273" s="56">
        <f>IF(AC273&gt;0,I273/AC273,-1)</f>
        <v/>
      </c>
      <c r="AG273" s="56">
        <f>IF(AND(OR(BR273="L1",BR273="L23"),AC273&gt;0),SUMIFS($AC$7:$AC$1570,$BR$7:$BR$1570,BR273,$AF$7:$AF$1570,"&gt;"&amp;AF273)+SUMIFS($AC$7:$AC$1570,$BR$7:$BR$1570,BR273,$AF$7:$AF$1570,AF273,$BL$7:$BL$1570,"&lt;="&amp;BL273),"")</f>
        <v/>
      </c>
      <c r="AH273" s="65">
        <f>IF(AG273="",0,MAX(0,MIN(1,(IF(BR273="L1",Parameter!$K$5,Parameter!$K$6+Parameter!$K$7)-(AG273-AC273))/AC273)))</f>
        <v/>
      </c>
      <c r="AI273" s="55">
        <f>IF(LEFT(Cockpit!$I$5,1)="A",G273,IF(BT273=1,BU273,IF(LEFT(Cockpit!$I$5,1)="B",AM273,MAX(AM273,G273))))</f>
        <v/>
      </c>
      <c r="AJ273" s="55">
        <f>IF(BO273=1,0,ROUNDUP(AI273/BN273,0))</f>
        <v/>
      </c>
      <c r="AK273" s="64">
        <f>IF(BO273=1,IF(AI273&lt;=0,0,BP273*MAX(1,IF(G273&gt;0,AI273/G273,1))),AJ273*Q273)</f>
        <v/>
      </c>
      <c r="AL273" s="55">
        <f>AI273*F273</f>
        <v/>
      </c>
      <c r="AM273" s="55">
        <f>ROUNDUP(MAX(I273/IF(BS273&gt;0,BS273,MAX(0.1,N(Cockpit!$I$6))),BV273)/BN273,0)*BN273</f>
        <v/>
      </c>
      <c r="AN273" s="56">
        <f>IF(AK273&gt;0,I273/AK273,-1)</f>
        <v/>
      </c>
      <c r="AO273" s="56">
        <f>IF(AND(OR(BR273="L1",BR273="L23"),AK273&gt;0),SUMIFS($AK$7:$AK$1570,$BR$7:$BR$1570,BR273,$AN$7:$AN$1570,"&gt;"&amp;AN273)+SUMIFS($AK$7:$AK$1570,$BR$7:$BR$1570,BR273,$AN$7:$AN$1570,AN273,$BL$7:$BL$1570,"&lt;="&amp;BL273),"")</f>
        <v/>
      </c>
      <c r="AP273" s="65">
        <f>IF(AO273="",0,MAX(0,MIN(1,(IF(BR273="L1",Parameter!$K$5,Parameter!$K$6+Parameter!$K$7)-(AO273-AK273))/AK273)))</f>
        <v/>
      </c>
      <c r="AQ273" s="55">
        <f>IF(LEFT(Cockpit!$O$5,1)="A",G273,IF(BT273=1,BU273,IF(LEFT(Cockpit!$O$5,1)="B",AU273,MAX(AU273,G273))))</f>
        <v/>
      </c>
      <c r="AR273" s="55">
        <f>IF(BO273=1,0,ROUNDUP(AQ273/BN273,0))</f>
        <v/>
      </c>
      <c r="AS273" s="64">
        <f>IF(BO273=1,IF(AQ273&lt;=0,0,BP273*MAX(1,IF(G273&gt;0,AQ273/G273,1))),AR273*Q273)</f>
        <v/>
      </c>
      <c r="AT273" s="55">
        <f>AQ273*F273</f>
        <v/>
      </c>
      <c r="AU273" s="55">
        <f>ROUNDUP(MAX(I273/IF(BS273&gt;0,BS273,MAX(0.1,N(Cockpit!$O$6))),BV273)/BN273,0)*BN273</f>
        <v/>
      </c>
      <c r="AV273" s="56">
        <f>IF(AS273&gt;0,I273/AS273,-1)</f>
        <v/>
      </c>
      <c r="AW273" s="56">
        <f>IF(AND(OR(BR273="L1",BR273="L23"),AS273&gt;0),SUMIFS($AS$7:$AS$1570,$BR$7:$BR$1570,BR273,$AV$7:$AV$1570,"&gt;"&amp;AV273)+SUMIFS($AS$7:$AS$1570,$BR$7:$BR$1570,BR273,$AV$7:$AV$1570,AV273,$BL$7:$BL$1570,"&lt;="&amp;BL273),"")</f>
        <v/>
      </c>
      <c r="AX273" s="65">
        <f>IF(AW273="",0,MAX(0,MIN(1,(IF(BR273="L1",Parameter!$K$5,Parameter!$K$6+Parameter!$K$7)-(AW273-AS273))/AS273)))</f>
        <v/>
      </c>
      <c r="AY273" s="53">
        <f>IF(AC273&lt;=0,"",IF(BR273="Aussen","Aussenlager",IF(BR273="-","Nicht im Lift",IF(AH273&gt;=1,"Lift",IF(AH273&lt;=0,"Aussenlager","teilweise")))))</f>
        <v/>
      </c>
      <c r="AZ273" s="53">
        <f>IF(AK273&lt;=0,"",IF(BR273="Aussen","Aussenlager",IF(BR273="-","Nicht im Lift",IF(AP273&gt;=1,"Lift",IF(AP273&lt;=0,"Aussenlager","teilweise")))))</f>
        <v/>
      </c>
      <c r="BA273" s="53">
        <f>IF(AS273&lt;=0,"",IF(BR273="Aussen","Aussenlager",IF(BR273="-","Nicht im Lift",IF(AX273&gt;=1,"Lift",IF(AX273&lt;=0,"Aussenlager","teilweise")))))</f>
        <v/>
      </c>
      <c r="BB273" s="53">
        <f>IF(A273="","",IF(BK273=1,"Neu; ","")&amp;IF(AND(BK273=0,BF273&lt;0),"negativer Bestand (Export "&amp;BF273&amp;"); ","")&amp;IF(I273&lt;=0,"Kein Verbrauch; ","")&amp;IF(BO273=1,"Lose – Fläche geschätzt; ","")&amp;IF(G273&gt;AM273,"Überbestand "&amp;ROUND(G273-AM273,0)&amp;" Stk / CHF "&amp;ROUND((G273-AM273)*F273,0)&amp;"; ","")&amp;IF(AND(BT273=1,BU273&lt;BV273),"MAX &lt; MB+LG; ","")&amp;IF(AND(BZ273&gt;0,BY273*10&gt;BZ273),"zu hoch für Tablar; ","")&amp;IF(AND(BK273=0,OR(BT273=1,V273&lt;&gt;"",S273&lt;&gt;"",T273&lt;&gt;"",W273&lt;&gt;"")),"manuell übersteuert; ","")&amp;IF(AND(BO273=0,Q273=0),"Gebinde unbekannt; ","")&amp;IF(AND(BO273=0,N(T273)&lt;=0,N(P273)&lt;=0),"Menge pro Gebinde fehlt (Ist = 1 Gebinde); ","")&amp;BJ273)</f>
        <v/>
      </c>
      <c r="BC273" s="53" t="n"/>
      <c r="BD273" s="53" t="n"/>
      <c r="BE273" s="61" t="n"/>
      <c r="BF273" s="55" t="n">
        <v>44</v>
      </c>
      <c r="BG273" s="55" t="n">
        <v>9</v>
      </c>
      <c r="BH273" s="54" t="n">
        <v>378.38</v>
      </c>
      <c r="BI273" s="55" t="n">
        <v>8</v>
      </c>
      <c r="BJ273" s="53" t="inlineStr"/>
      <c r="BK273" s="58" t="n">
        <v>0</v>
      </c>
      <c r="BL273" s="58" t="n">
        <v>273</v>
      </c>
      <c r="BM273" s="53">
        <f>IF(S273&lt;&gt;"",UPPER(TRIM(S273)),IF(O273="","LOSE",O273))</f>
        <v/>
      </c>
      <c r="BN273" s="55">
        <f>IF(BM273="LOSE",1,IF(N(T273)&gt;0,T273,IF(N(P273)&gt;0,P273,MAX(1,G273))))</f>
        <v/>
      </c>
      <c r="BO273" s="58">
        <f>IF(BM273="LOSE",1,0)</f>
        <v/>
      </c>
      <c r="BP273" s="64">
        <f>IF(BO273=0,0,IF(N(R273)&gt;0,R273,IFERROR(VLOOKUP(D273,Parameter!$A$35:$C$64,3,0)+0,0)))</f>
        <v/>
      </c>
      <c r="BQ273" s="53">
        <f>IF(V273&lt;&gt;"",V273,U273)</f>
        <v/>
      </c>
      <c r="BR273" s="53">
        <f>IF(BQ273=1,"L1",IF(OR(BQ273=2,BQ273=3),"L23",IF(BQ273="Aussen","Aussen","-")))</f>
        <v/>
      </c>
      <c r="BS273" s="66">
        <f>IF(N(W273)&gt;0,W273,0)</f>
        <v/>
      </c>
      <c r="BT273" s="58">
        <f>IF(ISNUMBER(Z273),1,0)</f>
        <v/>
      </c>
      <c r="BU273" s="55">
        <f>N(Z273)</f>
        <v/>
      </c>
      <c r="BV273" s="55">
        <f>N(L273)+N(M273)</f>
        <v/>
      </c>
      <c r="BW273" s="55">
        <f>ROUNDUP(G273/BN273,0)</f>
        <v/>
      </c>
      <c r="BX273" s="55">
        <f>ROUNDUP(BU273/BN273,0)</f>
        <v/>
      </c>
      <c r="BY273" s="58">
        <f>IF(BO273=1,0,IFERROR(VLOOKUP(BM273,'Gebinde-Kategorie'!$A$5:$G$45,5,0)+0,0))</f>
        <v/>
      </c>
      <c r="BZ273" s="58">
        <f>IFERROR(IF(OR(BQ273=1,BQ273=2,BQ273=3),N(INDEX(Parameter!$I$5:$I$7,BQ273)),0),0)</f>
        <v/>
      </c>
    </row>
    <row r="274">
      <c r="A274" s="53" t="inlineStr">
        <is>
          <t>001086</t>
        </is>
      </c>
      <c r="B274" s="53" t="inlineStr">
        <is>
          <t>Loctite 243</t>
        </is>
      </c>
      <c r="C274" s="53" t="inlineStr">
        <is>
          <t>F</t>
        </is>
      </c>
      <c r="D274" s="53" t="inlineStr">
        <is>
          <t>KTL</t>
        </is>
      </c>
      <c r="E274" s="53" t="inlineStr">
        <is>
          <t>C</t>
        </is>
      </c>
      <c r="F274" s="54" t="n">
        <v>15.2</v>
      </c>
      <c r="G274" s="55">
        <f>MAX(0,IF(Parameter!$B$20="Jahresanfang 2025 + Export",BG274+BF274,BF274))</f>
        <v/>
      </c>
      <c r="H274" s="55">
        <f>G274*F274</f>
        <v/>
      </c>
      <c r="I274" s="55">
        <f>BI274*Parameter!$B$18</f>
        <v/>
      </c>
      <c r="J274" s="56" t="n">
        <v>17.5</v>
      </c>
      <c r="K274" s="57" t="n">
        <v>2.742857142857143</v>
      </c>
      <c r="L274" s="55" t="n">
        <v>1</v>
      </c>
      <c r="M274" s="55" t="n">
        <v>50</v>
      </c>
      <c r="N274" s="58" t="n">
        <v>14</v>
      </c>
      <c r="O274" s="53" t="inlineStr">
        <is>
          <t>S41</t>
        </is>
      </c>
      <c r="P274" s="55" t="n">
        <v>43</v>
      </c>
      <c r="Q274" s="59">
        <f>IF(BO274=1,0,IFERROR(VLOOKUP(BM274,'Gebinde-Kategorie'!$A$5:$G$45,6,0)+0,0))</f>
        <v/>
      </c>
      <c r="R274" s="60" t="n"/>
      <c r="S274" s="61" t="n"/>
      <c r="T274" s="61" t="n"/>
      <c r="U274" s="53">
        <f>IF(A274="","",IF(IFERROR(VLOOKUP(D274,Parameter!$A$35:$C$64,2,0),"Nein")="2+3",IF(ISNUMBER(SEARCH("grosser Artikel",BJ274)),2,IFERROR(VLOOKUP(BM274,Parameter!$F$35:$G$64,2,0),2)),IF(OR(IFERROR(VLOOKUP(D274,Parameter!$A$35:$C$64,2,0),"Nein")="Nein",IFERROR(VLOOKUP(D274,Parameter!$A$35:$C$64,2,0),"Nein")=""),"-",VLOOKUP(D274,Parameter!$A$35:$C$64,2,0))))</f>
        <v/>
      </c>
      <c r="V274" s="61" t="n"/>
      <c r="W274" s="62" t="n"/>
      <c r="X274" s="55">
        <f>AM274</f>
        <v/>
      </c>
      <c r="Y274" s="55">
        <f>MAX(AM274,G274)</f>
        <v/>
      </c>
      <c r="Z274" s="63" t="n"/>
      <c r="AA274" s="55">
        <f>IF(LEFT(Cockpit!$C$5,1)="A",G274,IF(BT274=1,BU274,IF(LEFT(Cockpit!$C$5,1)="B",AE274,MAX(AE274,G274))))</f>
        <v/>
      </c>
      <c r="AB274" s="55">
        <f>IF(BO274=1,0,ROUNDUP(AA274/BN274,0))</f>
        <v/>
      </c>
      <c r="AC274" s="64">
        <f>IF(BO274=1,IF(AA274&lt;=0,0,BP274*MAX(1,IF(G274&gt;0,AA274/G274,1))),AB274*Q274)</f>
        <v/>
      </c>
      <c r="AD274" s="55">
        <f>AA274*F274</f>
        <v/>
      </c>
      <c r="AE274" s="55">
        <f>ROUNDUP(MAX(I274/IF(BS274&gt;0,BS274,MAX(0.1,N(Cockpit!$C$6))),BV274)/BN274,0)*BN274</f>
        <v/>
      </c>
      <c r="AF274" s="56">
        <f>IF(AC274&gt;0,I274/AC274,-1)</f>
        <v/>
      </c>
      <c r="AG274" s="56">
        <f>IF(AND(OR(BR274="L1",BR274="L23"),AC274&gt;0),SUMIFS($AC$7:$AC$1570,$BR$7:$BR$1570,BR274,$AF$7:$AF$1570,"&gt;"&amp;AF274)+SUMIFS($AC$7:$AC$1570,$BR$7:$BR$1570,BR274,$AF$7:$AF$1570,AF274,$BL$7:$BL$1570,"&lt;="&amp;BL274),"")</f>
        <v/>
      </c>
      <c r="AH274" s="65">
        <f>IF(AG274="",0,MAX(0,MIN(1,(IF(BR274="L1",Parameter!$K$5,Parameter!$K$6+Parameter!$K$7)-(AG274-AC274))/AC274)))</f>
        <v/>
      </c>
      <c r="AI274" s="55">
        <f>IF(LEFT(Cockpit!$I$5,1)="A",G274,IF(BT274=1,BU274,IF(LEFT(Cockpit!$I$5,1)="B",AM274,MAX(AM274,G274))))</f>
        <v/>
      </c>
      <c r="AJ274" s="55">
        <f>IF(BO274=1,0,ROUNDUP(AI274/BN274,0))</f>
        <v/>
      </c>
      <c r="AK274" s="64">
        <f>IF(BO274=1,IF(AI274&lt;=0,0,BP274*MAX(1,IF(G274&gt;0,AI274/G274,1))),AJ274*Q274)</f>
        <v/>
      </c>
      <c r="AL274" s="55">
        <f>AI274*F274</f>
        <v/>
      </c>
      <c r="AM274" s="55">
        <f>ROUNDUP(MAX(I274/IF(BS274&gt;0,BS274,MAX(0.1,N(Cockpit!$I$6))),BV274)/BN274,0)*BN274</f>
        <v/>
      </c>
      <c r="AN274" s="56">
        <f>IF(AK274&gt;0,I274/AK274,-1)</f>
        <v/>
      </c>
      <c r="AO274" s="56">
        <f>IF(AND(OR(BR274="L1",BR274="L23"),AK274&gt;0),SUMIFS($AK$7:$AK$1570,$BR$7:$BR$1570,BR274,$AN$7:$AN$1570,"&gt;"&amp;AN274)+SUMIFS($AK$7:$AK$1570,$BR$7:$BR$1570,BR274,$AN$7:$AN$1570,AN274,$BL$7:$BL$1570,"&lt;="&amp;BL274),"")</f>
        <v/>
      </c>
      <c r="AP274" s="65">
        <f>IF(AO274="",0,MAX(0,MIN(1,(IF(BR274="L1",Parameter!$K$5,Parameter!$K$6+Parameter!$K$7)-(AO274-AK274))/AK274)))</f>
        <v/>
      </c>
      <c r="AQ274" s="55">
        <f>IF(LEFT(Cockpit!$O$5,1)="A",G274,IF(BT274=1,BU274,IF(LEFT(Cockpit!$O$5,1)="B",AU274,MAX(AU274,G274))))</f>
        <v/>
      </c>
      <c r="AR274" s="55">
        <f>IF(BO274=1,0,ROUNDUP(AQ274/BN274,0))</f>
        <v/>
      </c>
      <c r="AS274" s="64">
        <f>IF(BO274=1,IF(AQ274&lt;=0,0,BP274*MAX(1,IF(G274&gt;0,AQ274/G274,1))),AR274*Q274)</f>
        <v/>
      </c>
      <c r="AT274" s="55">
        <f>AQ274*F274</f>
        <v/>
      </c>
      <c r="AU274" s="55">
        <f>ROUNDUP(MAX(I274/IF(BS274&gt;0,BS274,MAX(0.1,N(Cockpit!$O$6))),BV274)/BN274,0)*BN274</f>
        <v/>
      </c>
      <c r="AV274" s="56">
        <f>IF(AS274&gt;0,I274/AS274,-1)</f>
        <v/>
      </c>
      <c r="AW274" s="56">
        <f>IF(AND(OR(BR274="L1",BR274="L23"),AS274&gt;0),SUMIFS($AS$7:$AS$1570,$BR$7:$BR$1570,BR274,$AV$7:$AV$1570,"&gt;"&amp;AV274)+SUMIFS($AS$7:$AS$1570,$BR$7:$BR$1570,BR274,$AV$7:$AV$1570,AV274,$BL$7:$BL$1570,"&lt;="&amp;BL274),"")</f>
        <v/>
      </c>
      <c r="AX274" s="65">
        <f>IF(AW274="",0,MAX(0,MIN(1,(IF(BR274="L1",Parameter!$K$5,Parameter!$K$6+Parameter!$K$7)-(AW274-AS274))/AS274)))</f>
        <v/>
      </c>
      <c r="AY274" s="53">
        <f>IF(AC274&lt;=0,"",IF(BR274="Aussen","Aussenlager",IF(BR274="-","Nicht im Lift",IF(AH274&gt;=1,"Lift",IF(AH274&lt;=0,"Aussenlager","teilweise")))))</f>
        <v/>
      </c>
      <c r="AZ274" s="53">
        <f>IF(AK274&lt;=0,"",IF(BR274="Aussen","Aussenlager",IF(BR274="-","Nicht im Lift",IF(AP274&gt;=1,"Lift",IF(AP274&lt;=0,"Aussenlager","teilweise")))))</f>
        <v/>
      </c>
      <c r="BA274" s="53">
        <f>IF(AS274&lt;=0,"",IF(BR274="Aussen","Aussenlager",IF(BR274="-","Nicht im Lift",IF(AX274&gt;=1,"Lift",IF(AX274&lt;=0,"Aussenlager","teilweise")))))</f>
        <v/>
      </c>
      <c r="BB274" s="53">
        <f>IF(A274="","",IF(BK274=1,"Neu; ","")&amp;IF(AND(BK274=0,BF274&lt;0),"negativer Bestand (Export "&amp;BF274&amp;"); ","")&amp;IF(I274&lt;=0,"Kein Verbrauch; ","")&amp;IF(BO274=1,"Lose – Fläche geschätzt; ","")&amp;IF(G274&gt;AM274,"Überbestand "&amp;ROUND(G274-AM274,0)&amp;" Stk / CHF "&amp;ROUND((G274-AM274)*F274,0)&amp;"; ","")&amp;IF(AND(BT274=1,BU274&lt;BV274),"MAX &lt; MB+LG; ","")&amp;IF(AND(BZ274&gt;0,BY274*10&gt;BZ274),"zu hoch für Tablar; ","")&amp;IF(AND(BK274=0,OR(BT274=1,V274&lt;&gt;"",S274&lt;&gt;"",T274&lt;&gt;"",W274&lt;&gt;"")),"manuell übersteuert; ","")&amp;IF(AND(BO274=0,Q274=0),"Gebinde unbekannt; ","")&amp;IF(AND(BO274=0,N(T274)&lt;=0,N(P274)&lt;=0),"Menge pro Gebinde fehlt (Ist = 1 Gebinde); ","")&amp;BJ274)</f>
        <v/>
      </c>
      <c r="BC274" s="53" t="n"/>
      <c r="BD274" s="53" t="n"/>
      <c r="BE274" s="61" t="n"/>
      <c r="BF274" s="55" t="n">
        <v>26</v>
      </c>
      <c r="BG274" s="55" t="n">
        <v>19</v>
      </c>
      <c r="BH274" s="54" t="n">
        <v>375.0599999999998</v>
      </c>
      <c r="BI274" s="55" t="n">
        <v>48</v>
      </c>
      <c r="BJ274" s="53" t="inlineStr"/>
      <c r="BK274" s="58" t="n">
        <v>0</v>
      </c>
      <c r="BL274" s="58" t="n">
        <v>274</v>
      </c>
      <c r="BM274" s="53">
        <f>IF(S274&lt;&gt;"",UPPER(TRIM(S274)),IF(O274="","LOSE",O274))</f>
        <v/>
      </c>
      <c r="BN274" s="55">
        <f>IF(BM274="LOSE",1,IF(N(T274)&gt;0,T274,IF(N(P274)&gt;0,P274,MAX(1,G274))))</f>
        <v/>
      </c>
      <c r="BO274" s="58">
        <f>IF(BM274="LOSE",1,0)</f>
        <v/>
      </c>
      <c r="BP274" s="64">
        <f>IF(BO274=0,0,IF(N(R274)&gt;0,R274,IFERROR(VLOOKUP(D274,Parameter!$A$35:$C$64,3,0)+0,0)))</f>
        <v/>
      </c>
      <c r="BQ274" s="53">
        <f>IF(V274&lt;&gt;"",V274,U274)</f>
        <v/>
      </c>
      <c r="BR274" s="53">
        <f>IF(BQ274=1,"L1",IF(OR(BQ274=2,BQ274=3),"L23",IF(BQ274="Aussen","Aussen","-")))</f>
        <v/>
      </c>
      <c r="BS274" s="66">
        <f>IF(N(W274)&gt;0,W274,0)</f>
        <v/>
      </c>
      <c r="BT274" s="58">
        <f>IF(ISNUMBER(Z274),1,0)</f>
        <v/>
      </c>
      <c r="BU274" s="55">
        <f>N(Z274)</f>
        <v/>
      </c>
      <c r="BV274" s="55">
        <f>N(L274)+N(M274)</f>
        <v/>
      </c>
      <c r="BW274" s="55">
        <f>ROUNDUP(G274/BN274,0)</f>
        <v/>
      </c>
      <c r="BX274" s="55">
        <f>ROUNDUP(BU274/BN274,0)</f>
        <v/>
      </c>
      <c r="BY274" s="58">
        <f>IF(BO274=1,0,IFERROR(VLOOKUP(BM274,'Gebinde-Kategorie'!$A$5:$G$45,5,0)+0,0))</f>
        <v/>
      </c>
      <c r="BZ274" s="58">
        <f>IFERROR(IF(OR(BQ274=1,BQ274=2,BQ274=3),N(INDEX(Parameter!$I$5:$I$7,BQ274)),0),0)</f>
        <v/>
      </c>
    </row>
    <row r="275">
      <c r="A275" s="53" t="inlineStr">
        <is>
          <t>109665</t>
        </is>
      </c>
      <c r="B275" s="53" t="inlineStr">
        <is>
          <t>Flansch</t>
        </is>
      </c>
      <c r="C275" s="53" t="inlineStr">
        <is>
          <t>F</t>
        </is>
      </c>
      <c r="D275" s="53" t="inlineStr">
        <is>
          <t>PAL</t>
        </is>
      </c>
      <c r="E275" s="53" t="inlineStr">
        <is>
          <t>C</t>
        </is>
      </c>
      <c r="F275" s="54" t="n">
        <v>74.17</v>
      </c>
      <c r="G275" s="55">
        <f>MAX(0,IF(Parameter!$B$20="Jahresanfang 2025 + Export",BG275+BF275,BF275))</f>
        <v/>
      </c>
      <c r="H275" s="55">
        <f>G275*F275</f>
        <v/>
      </c>
      <c r="I275" s="55">
        <f>BI275*Parameter!$B$18</f>
        <v/>
      </c>
      <c r="J275" s="56" t="n">
        <v>8.5</v>
      </c>
      <c r="K275" s="57" t="n">
        <v>0.2352941176470588</v>
      </c>
      <c r="L275" s="55" t="n">
        <v>0</v>
      </c>
      <c r="M275" s="55" t="n">
        <v>1</v>
      </c>
      <c r="N275" s="58" t="n">
        <v>28</v>
      </c>
      <c r="O275" s="53" t="inlineStr">
        <is>
          <t>S61</t>
        </is>
      </c>
      <c r="P275" s="55" t="n">
        <v>12</v>
      </c>
      <c r="Q275" s="59">
        <f>IF(BO275=1,0,IFERROR(VLOOKUP(BM275,'Gebinde-Kategorie'!$A$5:$G$45,6,0)+0,0))</f>
        <v/>
      </c>
      <c r="R275" s="60" t="n"/>
      <c r="S275" s="61" t="n"/>
      <c r="T275" s="61" t="n"/>
      <c r="U275" s="53">
        <f>IF(A275="","",IF(IFERROR(VLOOKUP(D275,Parameter!$A$35:$C$64,2,0),"Nein")="2+3",IF(ISNUMBER(SEARCH("grosser Artikel",BJ275)),2,IFERROR(VLOOKUP(BM275,Parameter!$F$35:$G$64,2,0),2)),IF(OR(IFERROR(VLOOKUP(D275,Parameter!$A$35:$C$64,2,0),"Nein")="Nein",IFERROR(VLOOKUP(D275,Parameter!$A$35:$C$64,2,0),"Nein")=""),"-",VLOOKUP(D275,Parameter!$A$35:$C$64,2,0))))</f>
        <v/>
      </c>
      <c r="V275" s="61" t="n"/>
      <c r="W275" s="62" t="n"/>
      <c r="X275" s="55">
        <f>AM275</f>
        <v/>
      </c>
      <c r="Y275" s="55">
        <f>MAX(AM275,G275)</f>
        <v/>
      </c>
      <c r="Z275" s="63" t="n"/>
      <c r="AA275" s="55">
        <f>IF(LEFT(Cockpit!$C$5,1)="A",G275,IF(BT275=1,BU275,IF(LEFT(Cockpit!$C$5,1)="B",AE275,MAX(AE275,G275))))</f>
        <v/>
      </c>
      <c r="AB275" s="55">
        <f>IF(BO275=1,0,ROUNDUP(AA275/BN275,0))</f>
        <v/>
      </c>
      <c r="AC275" s="64">
        <f>IF(BO275=1,IF(AA275&lt;=0,0,BP275*MAX(1,IF(G275&gt;0,AA275/G275,1))),AB275*Q275)</f>
        <v/>
      </c>
      <c r="AD275" s="55">
        <f>AA275*F275</f>
        <v/>
      </c>
      <c r="AE275" s="55">
        <f>ROUNDUP(MAX(I275/IF(BS275&gt;0,BS275,MAX(0.1,N(Cockpit!$C$6))),BV275)/BN275,0)*BN275</f>
        <v/>
      </c>
      <c r="AF275" s="56">
        <f>IF(AC275&gt;0,I275/AC275,-1)</f>
        <v/>
      </c>
      <c r="AG275" s="56">
        <f>IF(AND(OR(BR275="L1",BR275="L23"),AC275&gt;0),SUMIFS($AC$7:$AC$1570,$BR$7:$BR$1570,BR275,$AF$7:$AF$1570,"&gt;"&amp;AF275)+SUMIFS($AC$7:$AC$1570,$BR$7:$BR$1570,BR275,$AF$7:$AF$1570,AF275,$BL$7:$BL$1570,"&lt;="&amp;BL275),"")</f>
        <v/>
      </c>
      <c r="AH275" s="65">
        <f>IF(AG275="",0,MAX(0,MIN(1,(IF(BR275="L1",Parameter!$K$5,Parameter!$K$6+Parameter!$K$7)-(AG275-AC275))/AC275)))</f>
        <v/>
      </c>
      <c r="AI275" s="55">
        <f>IF(LEFT(Cockpit!$I$5,1)="A",G275,IF(BT275=1,BU275,IF(LEFT(Cockpit!$I$5,1)="B",AM275,MAX(AM275,G275))))</f>
        <v/>
      </c>
      <c r="AJ275" s="55">
        <f>IF(BO275=1,0,ROUNDUP(AI275/BN275,0))</f>
        <v/>
      </c>
      <c r="AK275" s="64">
        <f>IF(BO275=1,IF(AI275&lt;=0,0,BP275*MAX(1,IF(G275&gt;0,AI275/G275,1))),AJ275*Q275)</f>
        <v/>
      </c>
      <c r="AL275" s="55">
        <f>AI275*F275</f>
        <v/>
      </c>
      <c r="AM275" s="55">
        <f>ROUNDUP(MAX(I275/IF(BS275&gt;0,BS275,MAX(0.1,N(Cockpit!$I$6))),BV275)/BN275,0)*BN275</f>
        <v/>
      </c>
      <c r="AN275" s="56">
        <f>IF(AK275&gt;0,I275/AK275,-1)</f>
        <v/>
      </c>
      <c r="AO275" s="56">
        <f>IF(AND(OR(BR275="L1",BR275="L23"),AK275&gt;0),SUMIFS($AK$7:$AK$1570,$BR$7:$BR$1570,BR275,$AN$7:$AN$1570,"&gt;"&amp;AN275)+SUMIFS($AK$7:$AK$1570,$BR$7:$BR$1570,BR275,$AN$7:$AN$1570,AN275,$BL$7:$BL$1570,"&lt;="&amp;BL275),"")</f>
        <v/>
      </c>
      <c r="AP275" s="65">
        <f>IF(AO275="",0,MAX(0,MIN(1,(IF(BR275="L1",Parameter!$K$5,Parameter!$K$6+Parameter!$K$7)-(AO275-AK275))/AK275)))</f>
        <v/>
      </c>
      <c r="AQ275" s="55">
        <f>IF(LEFT(Cockpit!$O$5,1)="A",G275,IF(BT275=1,BU275,IF(LEFT(Cockpit!$O$5,1)="B",AU275,MAX(AU275,G275))))</f>
        <v/>
      </c>
      <c r="AR275" s="55">
        <f>IF(BO275=1,0,ROUNDUP(AQ275/BN275,0))</f>
        <v/>
      </c>
      <c r="AS275" s="64">
        <f>IF(BO275=1,IF(AQ275&lt;=0,0,BP275*MAX(1,IF(G275&gt;0,AQ275/G275,1))),AR275*Q275)</f>
        <v/>
      </c>
      <c r="AT275" s="55">
        <f>AQ275*F275</f>
        <v/>
      </c>
      <c r="AU275" s="55">
        <f>ROUNDUP(MAX(I275/IF(BS275&gt;0,BS275,MAX(0.1,N(Cockpit!$O$6))),BV275)/BN275,0)*BN275</f>
        <v/>
      </c>
      <c r="AV275" s="56">
        <f>IF(AS275&gt;0,I275/AS275,-1)</f>
        <v/>
      </c>
      <c r="AW275" s="56">
        <f>IF(AND(OR(BR275="L1",BR275="L23"),AS275&gt;0),SUMIFS($AS$7:$AS$1570,$BR$7:$BR$1570,BR275,$AV$7:$AV$1570,"&gt;"&amp;AV275)+SUMIFS($AS$7:$AS$1570,$BR$7:$BR$1570,BR275,$AV$7:$AV$1570,AV275,$BL$7:$BL$1570,"&lt;="&amp;BL275),"")</f>
        <v/>
      </c>
      <c r="AX275" s="65">
        <f>IF(AW275="",0,MAX(0,MIN(1,(IF(BR275="L1",Parameter!$K$5,Parameter!$K$6+Parameter!$K$7)-(AW275-AS275))/AS275)))</f>
        <v/>
      </c>
      <c r="AY275" s="53">
        <f>IF(AC275&lt;=0,"",IF(BR275="Aussen","Aussenlager",IF(BR275="-","Nicht im Lift",IF(AH275&gt;=1,"Lift",IF(AH275&lt;=0,"Aussenlager","teilweise")))))</f>
        <v/>
      </c>
      <c r="AZ275" s="53">
        <f>IF(AK275&lt;=0,"",IF(BR275="Aussen","Aussenlager",IF(BR275="-","Nicht im Lift",IF(AP275&gt;=1,"Lift",IF(AP275&lt;=0,"Aussenlager","teilweise")))))</f>
        <v/>
      </c>
      <c r="BA275" s="53">
        <f>IF(AS275&lt;=0,"",IF(BR275="Aussen","Aussenlager",IF(BR275="-","Nicht im Lift",IF(AX275&gt;=1,"Lift",IF(AX275&lt;=0,"Aussenlager","teilweise")))))</f>
        <v/>
      </c>
      <c r="BB275" s="53">
        <f>IF(A275="","",IF(BK275=1,"Neu; ","")&amp;IF(AND(BK275=0,BF275&lt;0),"negativer Bestand (Export "&amp;BF275&amp;"); ","")&amp;IF(I275&lt;=0,"Kein Verbrauch; ","")&amp;IF(BO275=1,"Lose – Fläche geschätzt; ","")&amp;IF(G275&gt;AM275,"Überbestand "&amp;ROUND(G275-AM275,0)&amp;" Stk / CHF "&amp;ROUND((G275-AM275)*F275,0)&amp;"; ","")&amp;IF(AND(BT275=1,BU275&lt;BV275),"MAX &lt; MB+LG; ","")&amp;IF(AND(BZ275&gt;0,BY275*10&gt;BZ275),"zu hoch für Tablar; ","")&amp;IF(AND(BK275=0,OR(BT275=1,V275&lt;&gt;"",S275&lt;&gt;"",T275&lt;&gt;"",W275&lt;&gt;"")),"manuell übersteuert; ","")&amp;IF(AND(BO275=0,Q275=0),"Gebinde unbekannt; ","")&amp;IF(AND(BO275=0,N(T275)&lt;=0,N(P275)&lt;=0),"Menge pro Gebinde fehlt (Ist = 1 Gebinde); ","")&amp;BJ275)</f>
        <v/>
      </c>
      <c r="BC275" s="53" t="n"/>
      <c r="BD275" s="53" t="n"/>
      <c r="BE275" s="61" t="n"/>
      <c r="BF275" s="55" t="n">
        <v>5</v>
      </c>
      <c r="BG275" s="55" t="n">
        <v>6</v>
      </c>
      <c r="BH275" s="54" t="n">
        <v>370.85</v>
      </c>
      <c r="BI275" s="55" t="n">
        <v>2</v>
      </c>
      <c r="BJ275" s="53" t="inlineStr"/>
      <c r="BK275" s="58" t="n">
        <v>0</v>
      </c>
      <c r="BL275" s="58" t="n">
        <v>275</v>
      </c>
      <c r="BM275" s="53">
        <f>IF(S275&lt;&gt;"",UPPER(TRIM(S275)),IF(O275="","LOSE",O275))</f>
        <v/>
      </c>
      <c r="BN275" s="55">
        <f>IF(BM275="LOSE",1,IF(N(T275)&gt;0,T275,IF(N(P275)&gt;0,P275,MAX(1,G275))))</f>
        <v/>
      </c>
      <c r="BO275" s="58">
        <f>IF(BM275="LOSE",1,0)</f>
        <v/>
      </c>
      <c r="BP275" s="64">
        <f>IF(BO275=0,0,IF(N(R275)&gt;0,R275,IFERROR(VLOOKUP(D275,Parameter!$A$35:$C$64,3,0)+0,0)))</f>
        <v/>
      </c>
      <c r="BQ275" s="53">
        <f>IF(V275&lt;&gt;"",V275,U275)</f>
        <v/>
      </c>
      <c r="BR275" s="53">
        <f>IF(BQ275=1,"L1",IF(OR(BQ275=2,BQ275=3),"L23",IF(BQ275="Aussen","Aussen","-")))</f>
        <v/>
      </c>
      <c r="BS275" s="66">
        <f>IF(N(W275)&gt;0,W275,0)</f>
        <v/>
      </c>
      <c r="BT275" s="58">
        <f>IF(ISNUMBER(Z275),1,0)</f>
        <v/>
      </c>
      <c r="BU275" s="55">
        <f>N(Z275)</f>
        <v/>
      </c>
      <c r="BV275" s="55">
        <f>N(L275)+N(M275)</f>
        <v/>
      </c>
      <c r="BW275" s="55">
        <f>ROUNDUP(G275/BN275,0)</f>
        <v/>
      </c>
      <c r="BX275" s="55">
        <f>ROUNDUP(BU275/BN275,0)</f>
        <v/>
      </c>
      <c r="BY275" s="58">
        <f>IF(BO275=1,0,IFERROR(VLOOKUP(BM275,'Gebinde-Kategorie'!$A$5:$G$45,5,0)+0,0))</f>
        <v/>
      </c>
      <c r="BZ275" s="58">
        <f>IFERROR(IF(OR(BQ275=1,BQ275=2,BQ275=3),N(INDEX(Parameter!$I$5:$I$7,BQ275)),0),0)</f>
        <v/>
      </c>
    </row>
    <row r="276">
      <c r="A276" s="53" t="inlineStr">
        <is>
          <t>111991</t>
        </is>
      </c>
      <c r="B276" s="53" t="inlineStr">
        <is>
          <t>Typenschild</t>
        </is>
      </c>
      <c r="C276" s="53" t="inlineStr">
        <is>
          <t>F</t>
        </is>
      </c>
      <c r="D276" s="53" t="inlineStr">
        <is>
          <t>KTL</t>
        </is>
      </c>
      <c r="E276" s="53" t="inlineStr">
        <is>
          <t>C</t>
        </is>
      </c>
      <c r="F276" s="54" t="n">
        <v>24.5</v>
      </c>
      <c r="G276" s="55">
        <f>MAX(0,IF(Parameter!$B$20="Jahresanfang 2025 + Export",BG276+BF276,BF276))</f>
        <v/>
      </c>
      <c r="H276" s="55">
        <f>G276*F276</f>
        <v/>
      </c>
      <c r="I276" s="55">
        <f>BI276*Parameter!$B$18</f>
        <v/>
      </c>
      <c r="J276" s="56" t="n">
        <v>0</v>
      </c>
      <c r="K276" s="57" t="n">
        <v>0</v>
      </c>
      <c r="L276" s="55" t="n">
        <v>0</v>
      </c>
      <c r="M276" s="55" t="n">
        <v>15</v>
      </c>
      <c r="N276" s="58" t="n">
        <v>9999</v>
      </c>
      <c r="O276" s="53" t="inlineStr">
        <is>
          <t>LOSE</t>
        </is>
      </c>
      <c r="P276" s="55" t="n"/>
      <c r="Q276" s="59">
        <f>IF(BO276=1,0,IFERROR(VLOOKUP(BM276,'Gebinde-Kategorie'!$A$5:$G$45,6,0)+0,0))</f>
        <v/>
      </c>
      <c r="R276" s="60" t="n"/>
      <c r="S276" s="61" t="n"/>
      <c r="T276" s="61" t="n"/>
      <c r="U276" s="53">
        <f>IF(A276="","",IF(IFERROR(VLOOKUP(D276,Parameter!$A$35:$C$64,2,0),"Nein")="2+3",IF(ISNUMBER(SEARCH("grosser Artikel",BJ276)),2,IFERROR(VLOOKUP(BM276,Parameter!$F$35:$G$64,2,0),2)),IF(OR(IFERROR(VLOOKUP(D276,Parameter!$A$35:$C$64,2,0),"Nein")="Nein",IFERROR(VLOOKUP(D276,Parameter!$A$35:$C$64,2,0),"Nein")=""),"-",VLOOKUP(D276,Parameter!$A$35:$C$64,2,0))))</f>
        <v/>
      </c>
      <c r="V276" s="61" t="n"/>
      <c r="W276" s="62" t="n"/>
      <c r="X276" s="55">
        <f>AM276</f>
        <v/>
      </c>
      <c r="Y276" s="55">
        <f>MAX(AM276,G276)</f>
        <v/>
      </c>
      <c r="Z276" s="63" t="n"/>
      <c r="AA276" s="55">
        <f>IF(LEFT(Cockpit!$C$5,1)="A",G276,IF(BT276=1,BU276,IF(LEFT(Cockpit!$C$5,1)="B",AE276,MAX(AE276,G276))))</f>
        <v/>
      </c>
      <c r="AB276" s="55">
        <f>IF(BO276=1,0,ROUNDUP(AA276/BN276,0))</f>
        <v/>
      </c>
      <c r="AC276" s="64">
        <f>IF(BO276=1,IF(AA276&lt;=0,0,BP276*MAX(1,IF(G276&gt;0,AA276/G276,1))),AB276*Q276)</f>
        <v/>
      </c>
      <c r="AD276" s="55">
        <f>AA276*F276</f>
        <v/>
      </c>
      <c r="AE276" s="55">
        <f>ROUNDUP(MAX(I276/IF(BS276&gt;0,BS276,MAX(0.1,N(Cockpit!$C$6))),BV276)/BN276,0)*BN276</f>
        <v/>
      </c>
      <c r="AF276" s="56">
        <f>IF(AC276&gt;0,I276/AC276,-1)</f>
        <v/>
      </c>
      <c r="AG276" s="56">
        <f>IF(AND(OR(BR276="L1",BR276="L23"),AC276&gt;0),SUMIFS($AC$7:$AC$1570,$BR$7:$BR$1570,BR276,$AF$7:$AF$1570,"&gt;"&amp;AF276)+SUMIFS($AC$7:$AC$1570,$BR$7:$BR$1570,BR276,$AF$7:$AF$1570,AF276,$BL$7:$BL$1570,"&lt;="&amp;BL276),"")</f>
        <v/>
      </c>
      <c r="AH276" s="65">
        <f>IF(AG276="",0,MAX(0,MIN(1,(IF(BR276="L1",Parameter!$K$5,Parameter!$K$6+Parameter!$K$7)-(AG276-AC276))/AC276)))</f>
        <v/>
      </c>
      <c r="AI276" s="55">
        <f>IF(LEFT(Cockpit!$I$5,1)="A",G276,IF(BT276=1,BU276,IF(LEFT(Cockpit!$I$5,1)="B",AM276,MAX(AM276,G276))))</f>
        <v/>
      </c>
      <c r="AJ276" s="55">
        <f>IF(BO276=1,0,ROUNDUP(AI276/BN276,0))</f>
        <v/>
      </c>
      <c r="AK276" s="64">
        <f>IF(BO276=1,IF(AI276&lt;=0,0,BP276*MAX(1,IF(G276&gt;0,AI276/G276,1))),AJ276*Q276)</f>
        <v/>
      </c>
      <c r="AL276" s="55">
        <f>AI276*F276</f>
        <v/>
      </c>
      <c r="AM276" s="55">
        <f>ROUNDUP(MAX(I276/IF(BS276&gt;0,BS276,MAX(0.1,N(Cockpit!$I$6))),BV276)/BN276,0)*BN276</f>
        <v/>
      </c>
      <c r="AN276" s="56">
        <f>IF(AK276&gt;0,I276/AK276,-1)</f>
        <v/>
      </c>
      <c r="AO276" s="56">
        <f>IF(AND(OR(BR276="L1",BR276="L23"),AK276&gt;0),SUMIFS($AK$7:$AK$1570,$BR$7:$BR$1570,BR276,$AN$7:$AN$1570,"&gt;"&amp;AN276)+SUMIFS($AK$7:$AK$1570,$BR$7:$BR$1570,BR276,$AN$7:$AN$1570,AN276,$BL$7:$BL$1570,"&lt;="&amp;BL276),"")</f>
        <v/>
      </c>
      <c r="AP276" s="65">
        <f>IF(AO276="",0,MAX(0,MIN(1,(IF(BR276="L1",Parameter!$K$5,Parameter!$K$6+Parameter!$K$7)-(AO276-AK276))/AK276)))</f>
        <v/>
      </c>
      <c r="AQ276" s="55">
        <f>IF(LEFT(Cockpit!$O$5,1)="A",G276,IF(BT276=1,BU276,IF(LEFT(Cockpit!$O$5,1)="B",AU276,MAX(AU276,G276))))</f>
        <v/>
      </c>
      <c r="AR276" s="55">
        <f>IF(BO276=1,0,ROUNDUP(AQ276/BN276,0))</f>
        <v/>
      </c>
      <c r="AS276" s="64">
        <f>IF(BO276=1,IF(AQ276&lt;=0,0,BP276*MAX(1,IF(G276&gt;0,AQ276/G276,1))),AR276*Q276)</f>
        <v/>
      </c>
      <c r="AT276" s="55">
        <f>AQ276*F276</f>
        <v/>
      </c>
      <c r="AU276" s="55">
        <f>ROUNDUP(MAX(I276/IF(BS276&gt;0,BS276,MAX(0.1,N(Cockpit!$O$6))),BV276)/BN276,0)*BN276</f>
        <v/>
      </c>
      <c r="AV276" s="56">
        <f>IF(AS276&gt;0,I276/AS276,-1)</f>
        <v/>
      </c>
      <c r="AW276" s="56">
        <f>IF(AND(OR(BR276="L1",BR276="L23"),AS276&gt;0),SUMIFS($AS$7:$AS$1570,$BR$7:$BR$1570,BR276,$AV$7:$AV$1570,"&gt;"&amp;AV276)+SUMIFS($AS$7:$AS$1570,$BR$7:$BR$1570,BR276,$AV$7:$AV$1570,AV276,$BL$7:$BL$1570,"&lt;="&amp;BL276),"")</f>
        <v/>
      </c>
      <c r="AX276" s="65">
        <f>IF(AW276="",0,MAX(0,MIN(1,(IF(BR276="L1",Parameter!$K$5,Parameter!$K$6+Parameter!$K$7)-(AW276-AS276))/AS276)))</f>
        <v/>
      </c>
      <c r="AY276" s="53">
        <f>IF(AC276&lt;=0,"",IF(BR276="Aussen","Aussenlager",IF(BR276="-","Nicht im Lift",IF(AH276&gt;=1,"Lift",IF(AH276&lt;=0,"Aussenlager","teilweise")))))</f>
        <v/>
      </c>
      <c r="AZ276" s="53">
        <f>IF(AK276&lt;=0,"",IF(BR276="Aussen","Aussenlager",IF(BR276="-","Nicht im Lift",IF(AP276&gt;=1,"Lift",IF(AP276&lt;=0,"Aussenlager","teilweise")))))</f>
        <v/>
      </c>
      <c r="BA276" s="53">
        <f>IF(AS276&lt;=0,"",IF(BR276="Aussen","Aussenlager",IF(BR276="-","Nicht im Lift",IF(AX276&gt;=1,"Lift",IF(AX276&lt;=0,"Aussenlager","teilweise")))))</f>
        <v/>
      </c>
      <c r="BB276" s="53">
        <f>IF(A276="","",IF(BK276=1,"Neu; ","")&amp;IF(AND(BK276=0,BF276&lt;0),"negativer Bestand (Export "&amp;BF276&amp;"); ","")&amp;IF(I276&lt;=0,"Kein Verbrauch; ","")&amp;IF(BO276=1,"Lose – Fläche geschätzt; ","")&amp;IF(G276&gt;AM276,"Überbestand "&amp;ROUND(G276-AM276,0)&amp;" Stk / CHF "&amp;ROUND((G276-AM276)*F276,0)&amp;"; ","")&amp;IF(AND(BT276=1,BU276&lt;BV276),"MAX &lt; MB+LG; ","")&amp;IF(AND(BZ276&gt;0,BY276*10&gt;BZ276),"zu hoch für Tablar; ","")&amp;IF(AND(BK276=0,OR(BT276=1,V276&lt;&gt;"",S276&lt;&gt;"",T276&lt;&gt;"",W276&lt;&gt;"")),"manuell übersteuert; ","")&amp;IF(AND(BO276=0,Q276=0),"Gebinde unbekannt; ","")&amp;IF(AND(BO276=0,N(T276)&lt;=0,N(P276)&lt;=0),"Menge pro Gebinde fehlt (Ist = 1 Gebinde); ","")&amp;BJ276)</f>
        <v/>
      </c>
      <c r="BC276" s="53" t="n"/>
      <c r="BD276" s="53" t="n"/>
      <c r="BE276" s="61" t="n"/>
      <c r="BF276" s="55" t="n">
        <v>15</v>
      </c>
      <c r="BG276" s="55" t="n">
        <v>0</v>
      </c>
      <c r="BH276" s="54" t="n">
        <v>367.5</v>
      </c>
      <c r="BI276" s="55" t="n">
        <v>0</v>
      </c>
      <c r="BJ276" s="53" t="inlineStr"/>
      <c r="BK276" s="58" t="n">
        <v>0</v>
      </c>
      <c r="BL276" s="58" t="n">
        <v>276</v>
      </c>
      <c r="BM276" s="53">
        <f>IF(S276&lt;&gt;"",UPPER(TRIM(S276)),IF(O276="","LOSE",O276))</f>
        <v/>
      </c>
      <c r="BN276" s="55">
        <f>IF(BM276="LOSE",1,IF(N(T276)&gt;0,T276,IF(N(P276)&gt;0,P276,MAX(1,G276))))</f>
        <v/>
      </c>
      <c r="BO276" s="58">
        <f>IF(BM276="LOSE",1,0)</f>
        <v/>
      </c>
      <c r="BP276" s="64">
        <f>IF(BO276=0,0,IF(N(R276)&gt;0,R276,IFERROR(VLOOKUP(D276,Parameter!$A$35:$C$64,3,0)+0,0)))</f>
        <v/>
      </c>
      <c r="BQ276" s="53">
        <f>IF(V276&lt;&gt;"",V276,U276)</f>
        <v/>
      </c>
      <c r="BR276" s="53">
        <f>IF(BQ276=1,"L1",IF(OR(BQ276=2,BQ276=3),"L23",IF(BQ276="Aussen","Aussen","-")))</f>
        <v/>
      </c>
      <c r="BS276" s="66">
        <f>IF(N(W276)&gt;0,W276,0)</f>
        <v/>
      </c>
      <c r="BT276" s="58">
        <f>IF(ISNUMBER(Z276),1,0)</f>
        <v/>
      </c>
      <c r="BU276" s="55">
        <f>N(Z276)</f>
        <v/>
      </c>
      <c r="BV276" s="55">
        <f>N(L276)+N(M276)</f>
        <v/>
      </c>
      <c r="BW276" s="55">
        <f>ROUNDUP(G276/BN276,0)</f>
        <v/>
      </c>
      <c r="BX276" s="55">
        <f>ROUNDUP(BU276/BN276,0)</f>
        <v/>
      </c>
      <c r="BY276" s="58">
        <f>IF(BO276=1,0,IFERROR(VLOOKUP(BM276,'Gebinde-Kategorie'!$A$5:$G$45,5,0)+0,0))</f>
        <v/>
      </c>
      <c r="BZ276" s="58">
        <f>IFERROR(IF(OR(BQ276=1,BQ276=2,BQ276=3),N(INDEX(Parameter!$I$5:$I$7,BQ276)),0),0)</f>
        <v/>
      </c>
    </row>
    <row r="277">
      <c r="A277" s="53" t="inlineStr">
        <is>
          <t>108513</t>
        </is>
      </c>
      <c r="B277" s="53" t="inlineStr">
        <is>
          <t>Typenschild Servicetechniker-Set SPGr16</t>
        </is>
      </c>
      <c r="C277" s="53" t="inlineStr">
        <is>
          <t>F</t>
        </is>
      </c>
      <c r="D277" s="53" t="inlineStr">
        <is>
          <t>KTL</t>
        </is>
      </c>
      <c r="E277" s="53" t="inlineStr">
        <is>
          <t>C</t>
        </is>
      </c>
      <c r="F277" s="54" t="n">
        <v>20.67</v>
      </c>
      <c r="G277" s="55">
        <f>MAX(0,IF(Parameter!$B$20="Jahresanfang 2025 + Export",BG277+BF277,BF277))</f>
        <v/>
      </c>
      <c r="H277" s="55">
        <f>G277*F277</f>
        <v/>
      </c>
      <c r="I277" s="55">
        <f>BI277*Parameter!$B$18</f>
        <v/>
      </c>
      <c r="J277" s="56" t="n">
        <v>13</v>
      </c>
      <c r="K277" s="57" t="n">
        <v>0.3076923076923077</v>
      </c>
      <c r="L277" s="55" t="n">
        <v>0</v>
      </c>
      <c r="M277" s="55" t="n">
        <v>5</v>
      </c>
      <c r="N277" s="58" t="n">
        <v>21</v>
      </c>
      <c r="O277" s="53" t="inlineStr">
        <is>
          <t>S32</t>
        </is>
      </c>
      <c r="P277" s="55" t="n">
        <v>13</v>
      </c>
      <c r="Q277" s="59">
        <f>IF(BO277=1,0,IFERROR(VLOOKUP(BM277,'Gebinde-Kategorie'!$A$5:$G$45,6,0)+0,0))</f>
        <v/>
      </c>
      <c r="R277" s="60" t="n"/>
      <c r="S277" s="61" t="n"/>
      <c r="T277" s="61" t="n"/>
      <c r="U277" s="53">
        <f>IF(A277="","",IF(IFERROR(VLOOKUP(D277,Parameter!$A$35:$C$64,2,0),"Nein")="2+3",IF(ISNUMBER(SEARCH("grosser Artikel",BJ277)),2,IFERROR(VLOOKUP(BM277,Parameter!$F$35:$G$64,2,0),2)),IF(OR(IFERROR(VLOOKUP(D277,Parameter!$A$35:$C$64,2,0),"Nein")="Nein",IFERROR(VLOOKUP(D277,Parameter!$A$35:$C$64,2,0),"Nein")=""),"-",VLOOKUP(D277,Parameter!$A$35:$C$64,2,0))))</f>
        <v/>
      </c>
      <c r="V277" s="61" t="n"/>
      <c r="W277" s="62" t="n"/>
      <c r="X277" s="55">
        <f>AM277</f>
        <v/>
      </c>
      <c r="Y277" s="55">
        <f>MAX(AM277,G277)</f>
        <v/>
      </c>
      <c r="Z277" s="63" t="n"/>
      <c r="AA277" s="55">
        <f>IF(LEFT(Cockpit!$C$5,1)="A",G277,IF(BT277=1,BU277,IF(LEFT(Cockpit!$C$5,1)="B",AE277,MAX(AE277,G277))))</f>
        <v/>
      </c>
      <c r="AB277" s="55">
        <f>IF(BO277=1,0,ROUNDUP(AA277/BN277,0))</f>
        <v/>
      </c>
      <c r="AC277" s="64">
        <f>IF(BO277=1,IF(AA277&lt;=0,0,BP277*MAX(1,IF(G277&gt;0,AA277/G277,1))),AB277*Q277)</f>
        <v/>
      </c>
      <c r="AD277" s="55">
        <f>AA277*F277</f>
        <v/>
      </c>
      <c r="AE277" s="55">
        <f>ROUNDUP(MAX(I277/IF(BS277&gt;0,BS277,MAX(0.1,N(Cockpit!$C$6))),BV277)/BN277,0)*BN277</f>
        <v/>
      </c>
      <c r="AF277" s="56">
        <f>IF(AC277&gt;0,I277/AC277,-1)</f>
        <v/>
      </c>
      <c r="AG277" s="56">
        <f>IF(AND(OR(BR277="L1",BR277="L23"),AC277&gt;0),SUMIFS($AC$7:$AC$1570,$BR$7:$BR$1570,BR277,$AF$7:$AF$1570,"&gt;"&amp;AF277)+SUMIFS($AC$7:$AC$1570,$BR$7:$BR$1570,BR277,$AF$7:$AF$1570,AF277,$BL$7:$BL$1570,"&lt;="&amp;BL277),"")</f>
        <v/>
      </c>
      <c r="AH277" s="65">
        <f>IF(AG277="",0,MAX(0,MIN(1,(IF(BR277="L1",Parameter!$K$5,Parameter!$K$6+Parameter!$K$7)-(AG277-AC277))/AC277)))</f>
        <v/>
      </c>
      <c r="AI277" s="55">
        <f>IF(LEFT(Cockpit!$I$5,1)="A",G277,IF(BT277=1,BU277,IF(LEFT(Cockpit!$I$5,1)="B",AM277,MAX(AM277,G277))))</f>
        <v/>
      </c>
      <c r="AJ277" s="55">
        <f>IF(BO277=1,0,ROUNDUP(AI277/BN277,0))</f>
        <v/>
      </c>
      <c r="AK277" s="64">
        <f>IF(BO277=1,IF(AI277&lt;=0,0,BP277*MAX(1,IF(G277&gt;0,AI277/G277,1))),AJ277*Q277)</f>
        <v/>
      </c>
      <c r="AL277" s="55">
        <f>AI277*F277</f>
        <v/>
      </c>
      <c r="AM277" s="55">
        <f>ROUNDUP(MAX(I277/IF(BS277&gt;0,BS277,MAX(0.1,N(Cockpit!$I$6))),BV277)/BN277,0)*BN277</f>
        <v/>
      </c>
      <c r="AN277" s="56">
        <f>IF(AK277&gt;0,I277/AK277,-1)</f>
        <v/>
      </c>
      <c r="AO277" s="56">
        <f>IF(AND(OR(BR277="L1",BR277="L23"),AK277&gt;0),SUMIFS($AK$7:$AK$1570,$BR$7:$BR$1570,BR277,$AN$7:$AN$1570,"&gt;"&amp;AN277)+SUMIFS($AK$7:$AK$1570,$BR$7:$BR$1570,BR277,$AN$7:$AN$1570,AN277,$BL$7:$BL$1570,"&lt;="&amp;BL277),"")</f>
        <v/>
      </c>
      <c r="AP277" s="65">
        <f>IF(AO277="",0,MAX(0,MIN(1,(IF(BR277="L1",Parameter!$K$5,Parameter!$K$6+Parameter!$K$7)-(AO277-AK277))/AK277)))</f>
        <v/>
      </c>
      <c r="AQ277" s="55">
        <f>IF(LEFT(Cockpit!$O$5,1)="A",G277,IF(BT277=1,BU277,IF(LEFT(Cockpit!$O$5,1)="B",AU277,MAX(AU277,G277))))</f>
        <v/>
      </c>
      <c r="AR277" s="55">
        <f>IF(BO277=1,0,ROUNDUP(AQ277/BN277,0))</f>
        <v/>
      </c>
      <c r="AS277" s="64">
        <f>IF(BO277=1,IF(AQ277&lt;=0,0,BP277*MAX(1,IF(G277&gt;0,AQ277/G277,1))),AR277*Q277)</f>
        <v/>
      </c>
      <c r="AT277" s="55">
        <f>AQ277*F277</f>
        <v/>
      </c>
      <c r="AU277" s="55">
        <f>ROUNDUP(MAX(I277/IF(BS277&gt;0,BS277,MAX(0.1,N(Cockpit!$O$6))),BV277)/BN277,0)*BN277</f>
        <v/>
      </c>
      <c r="AV277" s="56">
        <f>IF(AS277&gt;0,I277/AS277,-1)</f>
        <v/>
      </c>
      <c r="AW277" s="56">
        <f>IF(AND(OR(BR277="L1",BR277="L23"),AS277&gt;0),SUMIFS($AS$7:$AS$1570,$BR$7:$BR$1570,BR277,$AV$7:$AV$1570,"&gt;"&amp;AV277)+SUMIFS($AS$7:$AS$1570,$BR$7:$BR$1570,BR277,$AV$7:$AV$1570,AV277,$BL$7:$BL$1570,"&lt;="&amp;BL277),"")</f>
        <v/>
      </c>
      <c r="AX277" s="65">
        <f>IF(AW277="",0,MAX(0,MIN(1,(IF(BR277="L1",Parameter!$K$5,Parameter!$K$6+Parameter!$K$7)-(AW277-AS277))/AS277)))</f>
        <v/>
      </c>
      <c r="AY277" s="53">
        <f>IF(AC277&lt;=0,"",IF(BR277="Aussen","Aussenlager",IF(BR277="-","Nicht im Lift",IF(AH277&gt;=1,"Lift",IF(AH277&lt;=0,"Aussenlager","teilweise")))))</f>
        <v/>
      </c>
      <c r="AZ277" s="53">
        <f>IF(AK277&lt;=0,"",IF(BR277="Aussen","Aussenlager",IF(BR277="-","Nicht im Lift",IF(AP277&gt;=1,"Lift",IF(AP277&lt;=0,"Aussenlager","teilweise")))))</f>
        <v/>
      </c>
      <c r="BA277" s="53">
        <f>IF(AS277&lt;=0,"",IF(BR277="Aussen","Aussenlager",IF(BR277="-","Nicht im Lift",IF(AX277&gt;=1,"Lift",IF(AX277&lt;=0,"Aussenlager","teilweise")))))</f>
        <v/>
      </c>
      <c r="BB277" s="53">
        <f>IF(A277="","",IF(BK277=1,"Neu; ","")&amp;IF(AND(BK277=0,BF277&lt;0),"negativer Bestand (Export "&amp;BF277&amp;"); ","")&amp;IF(I277&lt;=0,"Kein Verbrauch; ","")&amp;IF(BO277=1,"Lose – Fläche geschätzt; ","")&amp;IF(G277&gt;AM277,"Überbestand "&amp;ROUND(G277-AM277,0)&amp;" Stk / CHF "&amp;ROUND((G277-AM277)*F277,0)&amp;"; ","")&amp;IF(AND(BT277=1,BU277&lt;BV277),"MAX &lt; MB+LG; ","")&amp;IF(AND(BZ277&gt;0,BY277*10&gt;BZ277),"zu hoch für Tablar; ","")&amp;IF(AND(BK277=0,OR(BT277=1,V277&lt;&gt;"",S277&lt;&gt;"",T277&lt;&gt;"",W277&lt;&gt;"")),"manuell übersteuert; ","")&amp;IF(AND(BO277=0,Q277=0),"Gebinde unbekannt; ","")&amp;IF(AND(BO277=0,N(T277)&lt;=0,N(P277)&lt;=0),"Menge pro Gebinde fehlt (Ist = 1 Gebinde); ","")&amp;BJ277)</f>
        <v/>
      </c>
      <c r="BC277" s="53" t="n"/>
      <c r="BD277" s="53" t="n"/>
      <c r="BE277" s="61" t="n"/>
      <c r="BF277" s="55" t="n">
        <v>17</v>
      </c>
      <c r="BG277" s="55" t="n">
        <v>5</v>
      </c>
      <c r="BH277" s="54" t="n">
        <v>364.74</v>
      </c>
      <c r="BI277" s="55" t="n">
        <v>4</v>
      </c>
      <c r="BJ277" s="53" t="inlineStr"/>
      <c r="BK277" s="58" t="n">
        <v>0</v>
      </c>
      <c r="BL277" s="58" t="n">
        <v>277</v>
      </c>
      <c r="BM277" s="53">
        <f>IF(S277&lt;&gt;"",UPPER(TRIM(S277)),IF(O277="","LOSE",O277))</f>
        <v/>
      </c>
      <c r="BN277" s="55">
        <f>IF(BM277="LOSE",1,IF(N(T277)&gt;0,T277,IF(N(P277)&gt;0,P277,MAX(1,G277))))</f>
        <v/>
      </c>
      <c r="BO277" s="58">
        <f>IF(BM277="LOSE",1,0)</f>
        <v/>
      </c>
      <c r="BP277" s="64">
        <f>IF(BO277=0,0,IF(N(R277)&gt;0,R277,IFERROR(VLOOKUP(D277,Parameter!$A$35:$C$64,3,0)+0,0)))</f>
        <v/>
      </c>
      <c r="BQ277" s="53">
        <f>IF(V277&lt;&gt;"",V277,U277)</f>
        <v/>
      </c>
      <c r="BR277" s="53">
        <f>IF(BQ277=1,"L1",IF(OR(BQ277=2,BQ277=3),"L23",IF(BQ277="Aussen","Aussen","-")))</f>
        <v/>
      </c>
      <c r="BS277" s="66">
        <f>IF(N(W277)&gt;0,W277,0)</f>
        <v/>
      </c>
      <c r="BT277" s="58">
        <f>IF(ISNUMBER(Z277),1,0)</f>
        <v/>
      </c>
      <c r="BU277" s="55">
        <f>N(Z277)</f>
        <v/>
      </c>
      <c r="BV277" s="55">
        <f>N(L277)+N(M277)</f>
        <v/>
      </c>
      <c r="BW277" s="55">
        <f>ROUNDUP(G277/BN277,0)</f>
        <v/>
      </c>
      <c r="BX277" s="55">
        <f>ROUNDUP(BU277/BN277,0)</f>
        <v/>
      </c>
      <c r="BY277" s="58">
        <f>IF(BO277=1,0,IFERROR(VLOOKUP(BM277,'Gebinde-Kategorie'!$A$5:$G$45,5,0)+0,0))</f>
        <v/>
      </c>
      <c r="BZ277" s="58">
        <f>IFERROR(IF(OR(BQ277=1,BQ277=2,BQ277=3),N(INDEX(Parameter!$I$5:$I$7,BQ277)),0),0)</f>
        <v/>
      </c>
    </row>
    <row r="278">
      <c r="A278" s="53" t="inlineStr">
        <is>
          <t>106470</t>
        </is>
      </c>
      <c r="B278" s="53" t="inlineStr">
        <is>
          <t>Magnetventil komplett</t>
        </is>
      </c>
      <c r="C278" s="53" t="inlineStr">
        <is>
          <t>F</t>
        </is>
      </c>
      <c r="D278" s="53" t="inlineStr">
        <is>
          <t>KTL</t>
        </is>
      </c>
      <c r="E278" s="53" t="inlineStr">
        <is>
          <t>C</t>
        </is>
      </c>
      <c r="F278" s="54" t="n">
        <v>364</v>
      </c>
      <c r="G278" s="55">
        <f>MAX(0,IF(Parameter!$B$20="Jahresanfang 2025 + Export",BG278+BF278,BF278))</f>
        <v/>
      </c>
      <c r="H278" s="55">
        <f>G278*F278</f>
        <v/>
      </c>
      <c r="I278" s="55">
        <f>BI278*Parameter!$B$18</f>
        <v/>
      </c>
      <c r="J278" s="56" t="n">
        <v>0.5</v>
      </c>
      <c r="K278" s="57" t="n">
        <v>0</v>
      </c>
      <c r="L278" s="55" t="n">
        <v>0</v>
      </c>
      <c r="M278" s="55" t="n">
        <v>1</v>
      </c>
      <c r="N278" s="58" t="n">
        <v>110</v>
      </c>
      <c r="O278" s="53" t="inlineStr">
        <is>
          <t>S22</t>
        </is>
      </c>
      <c r="P278" s="55" t="n">
        <v>5</v>
      </c>
      <c r="Q278" s="59">
        <f>IF(BO278=1,0,IFERROR(VLOOKUP(BM278,'Gebinde-Kategorie'!$A$5:$G$45,6,0)+0,0))</f>
        <v/>
      </c>
      <c r="R278" s="60" t="n"/>
      <c r="S278" s="61" t="n"/>
      <c r="T278" s="61" t="n"/>
      <c r="U278" s="53">
        <f>IF(A278="","",IF(IFERROR(VLOOKUP(D278,Parameter!$A$35:$C$64,2,0),"Nein")="2+3",IF(ISNUMBER(SEARCH("grosser Artikel",BJ278)),2,IFERROR(VLOOKUP(BM278,Parameter!$F$35:$G$64,2,0),2)),IF(OR(IFERROR(VLOOKUP(D278,Parameter!$A$35:$C$64,2,0),"Nein")="Nein",IFERROR(VLOOKUP(D278,Parameter!$A$35:$C$64,2,0),"Nein")=""),"-",VLOOKUP(D278,Parameter!$A$35:$C$64,2,0))))</f>
        <v/>
      </c>
      <c r="V278" s="61" t="n"/>
      <c r="W278" s="62" t="n"/>
      <c r="X278" s="55">
        <f>AM278</f>
        <v/>
      </c>
      <c r="Y278" s="55">
        <f>MAX(AM278,G278)</f>
        <v/>
      </c>
      <c r="Z278" s="63" t="n"/>
      <c r="AA278" s="55">
        <f>IF(LEFT(Cockpit!$C$5,1)="A",G278,IF(BT278=1,BU278,IF(LEFT(Cockpit!$C$5,1)="B",AE278,MAX(AE278,G278))))</f>
        <v/>
      </c>
      <c r="AB278" s="55">
        <f>IF(BO278=1,0,ROUNDUP(AA278/BN278,0))</f>
        <v/>
      </c>
      <c r="AC278" s="64">
        <f>IF(BO278=1,IF(AA278&lt;=0,0,BP278*MAX(1,IF(G278&gt;0,AA278/G278,1))),AB278*Q278)</f>
        <v/>
      </c>
      <c r="AD278" s="55">
        <f>AA278*F278</f>
        <v/>
      </c>
      <c r="AE278" s="55">
        <f>ROUNDUP(MAX(I278/IF(BS278&gt;0,BS278,MAX(0.1,N(Cockpit!$C$6))),BV278)/BN278,0)*BN278</f>
        <v/>
      </c>
      <c r="AF278" s="56">
        <f>IF(AC278&gt;0,I278/AC278,-1)</f>
        <v/>
      </c>
      <c r="AG278" s="56">
        <f>IF(AND(OR(BR278="L1",BR278="L23"),AC278&gt;0),SUMIFS($AC$7:$AC$1570,$BR$7:$BR$1570,BR278,$AF$7:$AF$1570,"&gt;"&amp;AF278)+SUMIFS($AC$7:$AC$1570,$BR$7:$BR$1570,BR278,$AF$7:$AF$1570,AF278,$BL$7:$BL$1570,"&lt;="&amp;BL278),"")</f>
        <v/>
      </c>
      <c r="AH278" s="65">
        <f>IF(AG278="",0,MAX(0,MIN(1,(IF(BR278="L1",Parameter!$K$5,Parameter!$K$6+Parameter!$K$7)-(AG278-AC278))/AC278)))</f>
        <v/>
      </c>
      <c r="AI278" s="55">
        <f>IF(LEFT(Cockpit!$I$5,1)="A",G278,IF(BT278=1,BU278,IF(LEFT(Cockpit!$I$5,1)="B",AM278,MAX(AM278,G278))))</f>
        <v/>
      </c>
      <c r="AJ278" s="55">
        <f>IF(BO278=1,0,ROUNDUP(AI278/BN278,0))</f>
        <v/>
      </c>
      <c r="AK278" s="64">
        <f>IF(BO278=1,IF(AI278&lt;=0,0,BP278*MAX(1,IF(G278&gt;0,AI278/G278,1))),AJ278*Q278)</f>
        <v/>
      </c>
      <c r="AL278" s="55">
        <f>AI278*F278</f>
        <v/>
      </c>
      <c r="AM278" s="55">
        <f>ROUNDUP(MAX(I278/IF(BS278&gt;0,BS278,MAX(0.1,N(Cockpit!$I$6))),BV278)/BN278,0)*BN278</f>
        <v/>
      </c>
      <c r="AN278" s="56">
        <f>IF(AK278&gt;0,I278/AK278,-1)</f>
        <v/>
      </c>
      <c r="AO278" s="56">
        <f>IF(AND(OR(BR278="L1",BR278="L23"),AK278&gt;0),SUMIFS($AK$7:$AK$1570,$BR$7:$BR$1570,BR278,$AN$7:$AN$1570,"&gt;"&amp;AN278)+SUMIFS($AK$7:$AK$1570,$BR$7:$BR$1570,BR278,$AN$7:$AN$1570,AN278,$BL$7:$BL$1570,"&lt;="&amp;BL278),"")</f>
        <v/>
      </c>
      <c r="AP278" s="65">
        <f>IF(AO278="",0,MAX(0,MIN(1,(IF(BR278="L1",Parameter!$K$5,Parameter!$K$6+Parameter!$K$7)-(AO278-AK278))/AK278)))</f>
        <v/>
      </c>
      <c r="AQ278" s="55">
        <f>IF(LEFT(Cockpit!$O$5,1)="A",G278,IF(BT278=1,BU278,IF(LEFT(Cockpit!$O$5,1)="B",AU278,MAX(AU278,G278))))</f>
        <v/>
      </c>
      <c r="AR278" s="55">
        <f>IF(BO278=1,0,ROUNDUP(AQ278/BN278,0))</f>
        <v/>
      </c>
      <c r="AS278" s="64">
        <f>IF(BO278=1,IF(AQ278&lt;=0,0,BP278*MAX(1,IF(G278&gt;0,AQ278/G278,1))),AR278*Q278)</f>
        <v/>
      </c>
      <c r="AT278" s="55">
        <f>AQ278*F278</f>
        <v/>
      </c>
      <c r="AU278" s="55">
        <f>ROUNDUP(MAX(I278/IF(BS278&gt;0,BS278,MAX(0.1,N(Cockpit!$O$6))),BV278)/BN278,0)*BN278</f>
        <v/>
      </c>
      <c r="AV278" s="56">
        <f>IF(AS278&gt;0,I278/AS278,-1)</f>
        <v/>
      </c>
      <c r="AW278" s="56">
        <f>IF(AND(OR(BR278="L1",BR278="L23"),AS278&gt;0),SUMIFS($AS$7:$AS$1570,$BR$7:$BR$1570,BR278,$AV$7:$AV$1570,"&gt;"&amp;AV278)+SUMIFS($AS$7:$AS$1570,$BR$7:$BR$1570,BR278,$AV$7:$AV$1570,AV278,$BL$7:$BL$1570,"&lt;="&amp;BL278),"")</f>
        <v/>
      </c>
      <c r="AX278" s="65">
        <f>IF(AW278="",0,MAX(0,MIN(1,(IF(BR278="L1",Parameter!$K$5,Parameter!$K$6+Parameter!$K$7)-(AW278-AS278))/AS278)))</f>
        <v/>
      </c>
      <c r="AY278" s="53">
        <f>IF(AC278&lt;=0,"",IF(BR278="Aussen","Aussenlager",IF(BR278="-","Nicht im Lift",IF(AH278&gt;=1,"Lift",IF(AH278&lt;=0,"Aussenlager","teilweise")))))</f>
        <v/>
      </c>
      <c r="AZ278" s="53">
        <f>IF(AK278&lt;=0,"",IF(BR278="Aussen","Aussenlager",IF(BR278="-","Nicht im Lift",IF(AP278&gt;=1,"Lift",IF(AP278&lt;=0,"Aussenlager","teilweise")))))</f>
        <v/>
      </c>
      <c r="BA278" s="53">
        <f>IF(AS278&lt;=0,"",IF(BR278="Aussen","Aussenlager",IF(BR278="-","Nicht im Lift",IF(AX278&gt;=1,"Lift",IF(AX278&lt;=0,"Aussenlager","teilweise")))))</f>
        <v/>
      </c>
      <c r="BB278" s="53">
        <f>IF(A278="","",IF(BK278=1,"Neu; ","")&amp;IF(AND(BK278=0,BF278&lt;0),"negativer Bestand (Export "&amp;BF278&amp;"); ","")&amp;IF(I278&lt;=0,"Kein Verbrauch; ","")&amp;IF(BO278=1,"Lose – Fläche geschätzt; ","")&amp;IF(G278&gt;AM278,"Überbestand "&amp;ROUND(G278-AM278,0)&amp;" Stk / CHF "&amp;ROUND((G278-AM278)*F278,0)&amp;"; ","")&amp;IF(AND(BT278=1,BU278&lt;BV278),"MAX &lt; MB+LG; ","")&amp;IF(AND(BZ278&gt;0,BY278*10&gt;BZ278),"zu hoch für Tablar; ","")&amp;IF(AND(BK278=0,OR(BT278=1,V278&lt;&gt;"",S278&lt;&gt;"",T278&lt;&gt;"",W278&lt;&gt;"")),"manuell übersteuert; ","")&amp;IF(AND(BO278=0,Q278=0),"Gebinde unbekannt; ","")&amp;IF(AND(BO278=0,N(T278)&lt;=0,N(P278)&lt;=0),"Menge pro Gebinde fehlt (Ist = 1 Gebinde); ","")&amp;BJ278)</f>
        <v/>
      </c>
      <c r="BC278" s="53" t="n"/>
      <c r="BD278" s="53" t="n"/>
      <c r="BE278" s="61" t="n"/>
      <c r="BF278" s="55" t="n">
        <v>1</v>
      </c>
      <c r="BG278" s="55" t="n">
        <v>0</v>
      </c>
      <c r="BH278" s="54" t="n">
        <v>364</v>
      </c>
      <c r="BI278" s="55" t="n">
        <v>0</v>
      </c>
      <c r="BJ278" s="53" t="inlineStr"/>
      <c r="BK278" s="58" t="n">
        <v>0</v>
      </c>
      <c r="BL278" s="58" t="n">
        <v>278</v>
      </c>
      <c r="BM278" s="53">
        <f>IF(S278&lt;&gt;"",UPPER(TRIM(S278)),IF(O278="","LOSE",O278))</f>
        <v/>
      </c>
      <c r="BN278" s="55">
        <f>IF(BM278="LOSE",1,IF(N(T278)&gt;0,T278,IF(N(P278)&gt;0,P278,MAX(1,G278))))</f>
        <v/>
      </c>
      <c r="BO278" s="58">
        <f>IF(BM278="LOSE",1,0)</f>
        <v/>
      </c>
      <c r="BP278" s="64">
        <f>IF(BO278=0,0,IF(N(R278)&gt;0,R278,IFERROR(VLOOKUP(D278,Parameter!$A$35:$C$64,3,0)+0,0)))</f>
        <v/>
      </c>
      <c r="BQ278" s="53">
        <f>IF(V278&lt;&gt;"",V278,U278)</f>
        <v/>
      </c>
      <c r="BR278" s="53">
        <f>IF(BQ278=1,"L1",IF(OR(BQ278=2,BQ278=3),"L23",IF(BQ278="Aussen","Aussen","-")))</f>
        <v/>
      </c>
      <c r="BS278" s="66">
        <f>IF(N(W278)&gt;0,W278,0)</f>
        <v/>
      </c>
      <c r="BT278" s="58">
        <f>IF(ISNUMBER(Z278),1,0)</f>
        <v/>
      </c>
      <c r="BU278" s="55">
        <f>N(Z278)</f>
        <v/>
      </c>
      <c r="BV278" s="55">
        <f>N(L278)+N(M278)</f>
        <v/>
      </c>
      <c r="BW278" s="55">
        <f>ROUNDUP(G278/BN278,0)</f>
        <v/>
      </c>
      <c r="BX278" s="55">
        <f>ROUNDUP(BU278/BN278,0)</f>
        <v/>
      </c>
      <c r="BY278" s="58">
        <f>IF(BO278=1,0,IFERROR(VLOOKUP(BM278,'Gebinde-Kategorie'!$A$5:$G$45,5,0)+0,0))</f>
        <v/>
      </c>
      <c r="BZ278" s="58">
        <f>IFERROR(IF(OR(BQ278=1,BQ278=2,BQ278=3),N(INDEX(Parameter!$I$5:$I$7,BQ278)),0),0)</f>
        <v/>
      </c>
    </row>
    <row r="279">
      <c r="A279" s="53" t="inlineStr">
        <is>
          <t>107358</t>
        </is>
      </c>
      <c r="B279" s="53" t="inlineStr">
        <is>
          <t>Achse</t>
        </is>
      </c>
      <c r="C279" s="53" t="inlineStr">
        <is>
          <t>F</t>
        </is>
      </c>
      <c r="D279" s="53" t="inlineStr">
        <is>
          <t>KTL</t>
        </is>
      </c>
      <c r="E279" s="53" t="inlineStr">
        <is>
          <t>C</t>
        </is>
      </c>
      <c r="F279" s="54" t="n">
        <v>18.62</v>
      </c>
      <c r="G279" s="55">
        <f>MAX(0,IF(Parameter!$B$20="Jahresanfang 2025 + Export",BG279+BF279,BF279))</f>
        <v/>
      </c>
      <c r="H279" s="55">
        <f>G279*F279</f>
        <v/>
      </c>
      <c r="I279" s="55">
        <f>BI279*Parameter!$B$18</f>
        <v/>
      </c>
      <c r="J279" s="56" t="n">
        <v>14.5</v>
      </c>
      <c r="K279" s="57" t="n">
        <v>1.586206896551724</v>
      </c>
      <c r="L279" s="55" t="n">
        <v>1</v>
      </c>
      <c r="M279" s="55" t="n">
        <v>25</v>
      </c>
      <c r="N279" s="58" t="n">
        <v>28</v>
      </c>
      <c r="O279" s="53" t="inlineStr">
        <is>
          <t>S41</t>
        </is>
      </c>
      <c r="P279" s="55" t="n">
        <v>13</v>
      </c>
      <c r="Q279" s="59">
        <f>IF(BO279=1,0,IFERROR(VLOOKUP(BM279,'Gebinde-Kategorie'!$A$5:$G$45,6,0)+0,0))</f>
        <v/>
      </c>
      <c r="R279" s="60" t="n"/>
      <c r="S279" s="61" t="n"/>
      <c r="T279" s="61" t="n"/>
      <c r="U279" s="53">
        <f>IF(A279="","",IF(IFERROR(VLOOKUP(D279,Parameter!$A$35:$C$64,2,0),"Nein")="2+3",IF(ISNUMBER(SEARCH("grosser Artikel",BJ279)),2,IFERROR(VLOOKUP(BM279,Parameter!$F$35:$G$64,2,0),2)),IF(OR(IFERROR(VLOOKUP(D279,Parameter!$A$35:$C$64,2,0),"Nein")="Nein",IFERROR(VLOOKUP(D279,Parameter!$A$35:$C$64,2,0),"Nein")=""),"-",VLOOKUP(D279,Parameter!$A$35:$C$64,2,0))))</f>
        <v/>
      </c>
      <c r="V279" s="61" t="n"/>
      <c r="W279" s="62" t="n"/>
      <c r="X279" s="55">
        <f>AM279</f>
        <v/>
      </c>
      <c r="Y279" s="55">
        <f>MAX(AM279,G279)</f>
        <v/>
      </c>
      <c r="Z279" s="63" t="n"/>
      <c r="AA279" s="55">
        <f>IF(LEFT(Cockpit!$C$5,1)="A",G279,IF(BT279=1,BU279,IF(LEFT(Cockpit!$C$5,1)="B",AE279,MAX(AE279,G279))))</f>
        <v/>
      </c>
      <c r="AB279" s="55">
        <f>IF(BO279=1,0,ROUNDUP(AA279/BN279,0))</f>
        <v/>
      </c>
      <c r="AC279" s="64">
        <f>IF(BO279=1,IF(AA279&lt;=0,0,BP279*MAX(1,IF(G279&gt;0,AA279/G279,1))),AB279*Q279)</f>
        <v/>
      </c>
      <c r="AD279" s="55">
        <f>AA279*F279</f>
        <v/>
      </c>
      <c r="AE279" s="55">
        <f>ROUNDUP(MAX(I279/IF(BS279&gt;0,BS279,MAX(0.1,N(Cockpit!$C$6))),BV279)/BN279,0)*BN279</f>
        <v/>
      </c>
      <c r="AF279" s="56">
        <f>IF(AC279&gt;0,I279/AC279,-1)</f>
        <v/>
      </c>
      <c r="AG279" s="56">
        <f>IF(AND(OR(BR279="L1",BR279="L23"),AC279&gt;0),SUMIFS($AC$7:$AC$1570,$BR$7:$BR$1570,BR279,$AF$7:$AF$1570,"&gt;"&amp;AF279)+SUMIFS($AC$7:$AC$1570,$BR$7:$BR$1570,BR279,$AF$7:$AF$1570,AF279,$BL$7:$BL$1570,"&lt;="&amp;BL279),"")</f>
        <v/>
      </c>
      <c r="AH279" s="65">
        <f>IF(AG279="",0,MAX(0,MIN(1,(IF(BR279="L1",Parameter!$K$5,Parameter!$K$6+Parameter!$K$7)-(AG279-AC279))/AC279)))</f>
        <v/>
      </c>
      <c r="AI279" s="55">
        <f>IF(LEFT(Cockpit!$I$5,1)="A",G279,IF(BT279=1,BU279,IF(LEFT(Cockpit!$I$5,1)="B",AM279,MAX(AM279,G279))))</f>
        <v/>
      </c>
      <c r="AJ279" s="55">
        <f>IF(BO279=1,0,ROUNDUP(AI279/BN279,0))</f>
        <v/>
      </c>
      <c r="AK279" s="64">
        <f>IF(BO279=1,IF(AI279&lt;=0,0,BP279*MAX(1,IF(G279&gt;0,AI279/G279,1))),AJ279*Q279)</f>
        <v/>
      </c>
      <c r="AL279" s="55">
        <f>AI279*F279</f>
        <v/>
      </c>
      <c r="AM279" s="55">
        <f>ROUNDUP(MAX(I279/IF(BS279&gt;0,BS279,MAX(0.1,N(Cockpit!$I$6))),BV279)/BN279,0)*BN279</f>
        <v/>
      </c>
      <c r="AN279" s="56">
        <f>IF(AK279&gt;0,I279/AK279,-1)</f>
        <v/>
      </c>
      <c r="AO279" s="56">
        <f>IF(AND(OR(BR279="L1",BR279="L23"),AK279&gt;0),SUMIFS($AK$7:$AK$1570,$BR$7:$BR$1570,BR279,$AN$7:$AN$1570,"&gt;"&amp;AN279)+SUMIFS($AK$7:$AK$1570,$BR$7:$BR$1570,BR279,$AN$7:$AN$1570,AN279,$BL$7:$BL$1570,"&lt;="&amp;BL279),"")</f>
        <v/>
      </c>
      <c r="AP279" s="65">
        <f>IF(AO279="",0,MAX(0,MIN(1,(IF(BR279="L1",Parameter!$K$5,Parameter!$K$6+Parameter!$K$7)-(AO279-AK279))/AK279)))</f>
        <v/>
      </c>
      <c r="AQ279" s="55">
        <f>IF(LEFT(Cockpit!$O$5,1)="A",G279,IF(BT279=1,BU279,IF(LEFT(Cockpit!$O$5,1)="B",AU279,MAX(AU279,G279))))</f>
        <v/>
      </c>
      <c r="AR279" s="55">
        <f>IF(BO279=1,0,ROUNDUP(AQ279/BN279,0))</f>
        <v/>
      </c>
      <c r="AS279" s="64">
        <f>IF(BO279=1,IF(AQ279&lt;=0,0,BP279*MAX(1,IF(G279&gt;0,AQ279/G279,1))),AR279*Q279)</f>
        <v/>
      </c>
      <c r="AT279" s="55">
        <f>AQ279*F279</f>
        <v/>
      </c>
      <c r="AU279" s="55">
        <f>ROUNDUP(MAX(I279/IF(BS279&gt;0,BS279,MAX(0.1,N(Cockpit!$O$6))),BV279)/BN279,0)*BN279</f>
        <v/>
      </c>
      <c r="AV279" s="56">
        <f>IF(AS279&gt;0,I279/AS279,-1)</f>
        <v/>
      </c>
      <c r="AW279" s="56">
        <f>IF(AND(OR(BR279="L1",BR279="L23"),AS279&gt;0),SUMIFS($AS$7:$AS$1570,$BR$7:$BR$1570,BR279,$AV$7:$AV$1570,"&gt;"&amp;AV279)+SUMIFS($AS$7:$AS$1570,$BR$7:$BR$1570,BR279,$AV$7:$AV$1570,AV279,$BL$7:$BL$1570,"&lt;="&amp;BL279),"")</f>
        <v/>
      </c>
      <c r="AX279" s="65">
        <f>IF(AW279="",0,MAX(0,MIN(1,(IF(BR279="L1",Parameter!$K$5,Parameter!$K$6+Parameter!$K$7)-(AW279-AS279))/AS279)))</f>
        <v/>
      </c>
      <c r="AY279" s="53">
        <f>IF(AC279&lt;=0,"",IF(BR279="Aussen","Aussenlager",IF(BR279="-","Nicht im Lift",IF(AH279&gt;=1,"Lift",IF(AH279&lt;=0,"Aussenlager","teilweise")))))</f>
        <v/>
      </c>
      <c r="AZ279" s="53">
        <f>IF(AK279&lt;=0,"",IF(BR279="Aussen","Aussenlager",IF(BR279="-","Nicht im Lift",IF(AP279&gt;=1,"Lift",IF(AP279&lt;=0,"Aussenlager","teilweise")))))</f>
        <v/>
      </c>
      <c r="BA279" s="53">
        <f>IF(AS279&lt;=0,"",IF(BR279="Aussen","Aussenlager",IF(BR279="-","Nicht im Lift",IF(AX279&gt;=1,"Lift",IF(AX279&lt;=0,"Aussenlager","teilweise")))))</f>
        <v/>
      </c>
      <c r="BB279" s="53">
        <f>IF(A279="","",IF(BK279=1,"Neu; ","")&amp;IF(AND(BK279=0,BF279&lt;0),"negativer Bestand (Export "&amp;BF279&amp;"); ","")&amp;IF(I279&lt;=0,"Kein Verbrauch; ","")&amp;IF(BO279=1,"Lose – Fläche geschätzt; ","")&amp;IF(G279&gt;AM279,"Überbestand "&amp;ROUND(G279-AM279,0)&amp;" Stk / CHF "&amp;ROUND((G279-AM279)*F279,0)&amp;"; ","")&amp;IF(AND(BT279=1,BU279&lt;BV279),"MAX &lt; MB+LG; ","")&amp;IF(AND(BZ279&gt;0,BY279*10&gt;BZ279),"zu hoch für Tablar; ","")&amp;IF(AND(BK279=0,OR(BT279=1,V279&lt;&gt;"",S279&lt;&gt;"",T279&lt;&gt;"",W279&lt;&gt;"")),"manuell übersteuert; ","")&amp;IF(AND(BO279=0,Q279=0),"Gebinde unbekannt; ","")&amp;IF(AND(BO279=0,N(T279)&lt;=0,N(P279)&lt;=0),"Menge pro Gebinde fehlt (Ist = 1 Gebinde); ","")&amp;BJ279)</f>
        <v/>
      </c>
      <c r="BC279" s="53" t="n"/>
      <c r="BD279" s="53" t="n"/>
      <c r="BE279" s="61" t="n"/>
      <c r="BF279" s="55" t="n">
        <v>22</v>
      </c>
      <c r="BG279" s="55" t="n">
        <v>14</v>
      </c>
      <c r="BH279" s="54" t="n">
        <v>361.4800000000006</v>
      </c>
      <c r="BI279" s="55" t="n">
        <v>23</v>
      </c>
      <c r="BJ279" s="53" t="inlineStr"/>
      <c r="BK279" s="58" t="n">
        <v>0</v>
      </c>
      <c r="BL279" s="58" t="n">
        <v>279</v>
      </c>
      <c r="BM279" s="53">
        <f>IF(S279&lt;&gt;"",UPPER(TRIM(S279)),IF(O279="","LOSE",O279))</f>
        <v/>
      </c>
      <c r="BN279" s="55">
        <f>IF(BM279="LOSE",1,IF(N(T279)&gt;0,T279,IF(N(P279)&gt;0,P279,MAX(1,G279))))</f>
        <v/>
      </c>
      <c r="BO279" s="58">
        <f>IF(BM279="LOSE",1,0)</f>
        <v/>
      </c>
      <c r="BP279" s="64">
        <f>IF(BO279=0,0,IF(N(R279)&gt;0,R279,IFERROR(VLOOKUP(D279,Parameter!$A$35:$C$64,3,0)+0,0)))</f>
        <v/>
      </c>
      <c r="BQ279" s="53">
        <f>IF(V279&lt;&gt;"",V279,U279)</f>
        <v/>
      </c>
      <c r="BR279" s="53">
        <f>IF(BQ279=1,"L1",IF(OR(BQ279=2,BQ279=3),"L23",IF(BQ279="Aussen","Aussen","-")))</f>
        <v/>
      </c>
      <c r="BS279" s="66">
        <f>IF(N(W279)&gt;0,W279,0)</f>
        <v/>
      </c>
      <c r="BT279" s="58">
        <f>IF(ISNUMBER(Z279),1,0)</f>
        <v/>
      </c>
      <c r="BU279" s="55">
        <f>N(Z279)</f>
        <v/>
      </c>
      <c r="BV279" s="55">
        <f>N(L279)+N(M279)</f>
        <v/>
      </c>
      <c r="BW279" s="55">
        <f>ROUNDUP(G279/BN279,0)</f>
        <v/>
      </c>
      <c r="BX279" s="55">
        <f>ROUNDUP(BU279/BN279,0)</f>
        <v/>
      </c>
      <c r="BY279" s="58">
        <f>IF(BO279=1,0,IFERROR(VLOOKUP(BM279,'Gebinde-Kategorie'!$A$5:$G$45,5,0)+0,0))</f>
        <v/>
      </c>
      <c r="BZ279" s="58">
        <f>IFERROR(IF(OR(BQ279=1,BQ279=2,BQ279=3),N(INDEX(Parameter!$I$5:$I$7,BQ279)),0),0)</f>
        <v/>
      </c>
    </row>
    <row r="280">
      <c r="A280" s="53" t="inlineStr">
        <is>
          <t>110095</t>
        </is>
      </c>
      <c r="B280" s="53" t="inlineStr">
        <is>
          <t>Sensor-/Aktor-Kabel</t>
        </is>
      </c>
      <c r="C280" s="53" t="inlineStr">
        <is>
          <t>F</t>
        </is>
      </c>
      <c r="D280" s="53" t="inlineStr">
        <is>
          <t>KTL</t>
        </is>
      </c>
      <c r="E280" s="53" t="inlineStr">
        <is>
          <t>C</t>
        </is>
      </c>
      <c r="F280" s="54" t="n">
        <v>13.98</v>
      </c>
      <c r="G280" s="55">
        <f>MAX(0,IF(Parameter!$B$20="Jahresanfang 2025 + Export",BG280+BF280,BF280))</f>
        <v/>
      </c>
      <c r="H280" s="55">
        <f>G280*F280</f>
        <v/>
      </c>
      <c r="I280" s="55">
        <f>BI280*Parameter!$B$18</f>
        <v/>
      </c>
      <c r="J280" s="56" t="n">
        <v>6.5</v>
      </c>
      <c r="K280" s="57" t="n">
        <v>8.615384615384615</v>
      </c>
      <c r="L280" s="55" t="n">
        <v>4</v>
      </c>
      <c r="M280" s="55" t="n">
        <v>55</v>
      </c>
      <c r="N280" s="58" t="n">
        <v>28</v>
      </c>
      <c r="O280" s="53" t="inlineStr">
        <is>
          <t>S52</t>
        </is>
      </c>
      <c r="P280" s="55" t="n">
        <v>30</v>
      </c>
      <c r="Q280" s="59">
        <f>IF(BO280=1,0,IFERROR(VLOOKUP(BM280,'Gebinde-Kategorie'!$A$5:$G$45,6,0)+0,0))</f>
        <v/>
      </c>
      <c r="R280" s="60" t="n"/>
      <c r="S280" s="61" t="n"/>
      <c r="T280" s="61" t="n"/>
      <c r="U280" s="53">
        <f>IF(A280="","",IF(IFERROR(VLOOKUP(D280,Parameter!$A$35:$C$64,2,0),"Nein")="2+3",IF(ISNUMBER(SEARCH("grosser Artikel",BJ280)),2,IFERROR(VLOOKUP(BM280,Parameter!$F$35:$G$64,2,0),2)),IF(OR(IFERROR(VLOOKUP(D280,Parameter!$A$35:$C$64,2,0),"Nein")="Nein",IFERROR(VLOOKUP(D280,Parameter!$A$35:$C$64,2,0),"Nein")=""),"-",VLOOKUP(D280,Parameter!$A$35:$C$64,2,0))))</f>
        <v/>
      </c>
      <c r="V280" s="61" t="n"/>
      <c r="W280" s="62" t="n"/>
      <c r="X280" s="55">
        <f>AM280</f>
        <v/>
      </c>
      <c r="Y280" s="55">
        <f>MAX(AM280,G280)</f>
        <v/>
      </c>
      <c r="Z280" s="63" t="n"/>
      <c r="AA280" s="55">
        <f>IF(LEFT(Cockpit!$C$5,1)="A",G280,IF(BT280=1,BU280,IF(LEFT(Cockpit!$C$5,1)="B",AE280,MAX(AE280,G280))))</f>
        <v/>
      </c>
      <c r="AB280" s="55">
        <f>IF(BO280=1,0,ROUNDUP(AA280/BN280,0))</f>
        <v/>
      </c>
      <c r="AC280" s="64">
        <f>IF(BO280=1,IF(AA280&lt;=0,0,BP280*MAX(1,IF(G280&gt;0,AA280/G280,1))),AB280*Q280)</f>
        <v/>
      </c>
      <c r="AD280" s="55">
        <f>AA280*F280</f>
        <v/>
      </c>
      <c r="AE280" s="55">
        <f>ROUNDUP(MAX(I280/IF(BS280&gt;0,BS280,MAX(0.1,N(Cockpit!$C$6))),BV280)/BN280,0)*BN280</f>
        <v/>
      </c>
      <c r="AF280" s="56">
        <f>IF(AC280&gt;0,I280/AC280,-1)</f>
        <v/>
      </c>
      <c r="AG280" s="56">
        <f>IF(AND(OR(BR280="L1",BR280="L23"),AC280&gt;0),SUMIFS($AC$7:$AC$1570,$BR$7:$BR$1570,BR280,$AF$7:$AF$1570,"&gt;"&amp;AF280)+SUMIFS($AC$7:$AC$1570,$BR$7:$BR$1570,BR280,$AF$7:$AF$1570,AF280,$BL$7:$BL$1570,"&lt;="&amp;BL280),"")</f>
        <v/>
      </c>
      <c r="AH280" s="65">
        <f>IF(AG280="",0,MAX(0,MIN(1,(IF(BR280="L1",Parameter!$K$5,Parameter!$K$6+Parameter!$K$7)-(AG280-AC280))/AC280)))</f>
        <v/>
      </c>
      <c r="AI280" s="55">
        <f>IF(LEFT(Cockpit!$I$5,1)="A",G280,IF(BT280=1,BU280,IF(LEFT(Cockpit!$I$5,1)="B",AM280,MAX(AM280,G280))))</f>
        <v/>
      </c>
      <c r="AJ280" s="55">
        <f>IF(BO280=1,0,ROUNDUP(AI280/BN280,0))</f>
        <v/>
      </c>
      <c r="AK280" s="64">
        <f>IF(BO280=1,IF(AI280&lt;=0,0,BP280*MAX(1,IF(G280&gt;0,AI280/G280,1))),AJ280*Q280)</f>
        <v/>
      </c>
      <c r="AL280" s="55">
        <f>AI280*F280</f>
        <v/>
      </c>
      <c r="AM280" s="55">
        <f>ROUNDUP(MAX(I280/IF(BS280&gt;0,BS280,MAX(0.1,N(Cockpit!$I$6))),BV280)/BN280,0)*BN280</f>
        <v/>
      </c>
      <c r="AN280" s="56">
        <f>IF(AK280&gt;0,I280/AK280,-1)</f>
        <v/>
      </c>
      <c r="AO280" s="56">
        <f>IF(AND(OR(BR280="L1",BR280="L23"),AK280&gt;0),SUMIFS($AK$7:$AK$1570,$BR$7:$BR$1570,BR280,$AN$7:$AN$1570,"&gt;"&amp;AN280)+SUMIFS($AK$7:$AK$1570,$BR$7:$BR$1570,BR280,$AN$7:$AN$1570,AN280,$BL$7:$BL$1570,"&lt;="&amp;BL280),"")</f>
        <v/>
      </c>
      <c r="AP280" s="65">
        <f>IF(AO280="",0,MAX(0,MIN(1,(IF(BR280="L1",Parameter!$K$5,Parameter!$K$6+Parameter!$K$7)-(AO280-AK280))/AK280)))</f>
        <v/>
      </c>
      <c r="AQ280" s="55">
        <f>IF(LEFT(Cockpit!$O$5,1)="A",G280,IF(BT280=1,BU280,IF(LEFT(Cockpit!$O$5,1)="B",AU280,MAX(AU280,G280))))</f>
        <v/>
      </c>
      <c r="AR280" s="55">
        <f>IF(BO280=1,0,ROUNDUP(AQ280/BN280,0))</f>
        <v/>
      </c>
      <c r="AS280" s="64">
        <f>IF(BO280=1,IF(AQ280&lt;=0,0,BP280*MAX(1,IF(G280&gt;0,AQ280/G280,1))),AR280*Q280)</f>
        <v/>
      </c>
      <c r="AT280" s="55">
        <f>AQ280*F280</f>
        <v/>
      </c>
      <c r="AU280" s="55">
        <f>ROUNDUP(MAX(I280/IF(BS280&gt;0,BS280,MAX(0.1,N(Cockpit!$O$6))),BV280)/BN280,0)*BN280</f>
        <v/>
      </c>
      <c r="AV280" s="56">
        <f>IF(AS280&gt;0,I280/AS280,-1)</f>
        <v/>
      </c>
      <c r="AW280" s="56">
        <f>IF(AND(OR(BR280="L1",BR280="L23"),AS280&gt;0),SUMIFS($AS$7:$AS$1570,$BR$7:$BR$1570,BR280,$AV$7:$AV$1570,"&gt;"&amp;AV280)+SUMIFS($AS$7:$AS$1570,$BR$7:$BR$1570,BR280,$AV$7:$AV$1570,AV280,$BL$7:$BL$1570,"&lt;="&amp;BL280),"")</f>
        <v/>
      </c>
      <c r="AX280" s="65">
        <f>IF(AW280="",0,MAX(0,MIN(1,(IF(BR280="L1",Parameter!$K$5,Parameter!$K$6+Parameter!$K$7)-(AW280-AS280))/AS280)))</f>
        <v/>
      </c>
      <c r="AY280" s="53">
        <f>IF(AC280&lt;=0,"",IF(BR280="Aussen","Aussenlager",IF(BR280="-","Nicht im Lift",IF(AH280&gt;=1,"Lift",IF(AH280&lt;=0,"Aussenlager","teilweise")))))</f>
        <v/>
      </c>
      <c r="AZ280" s="53">
        <f>IF(AK280&lt;=0,"",IF(BR280="Aussen","Aussenlager",IF(BR280="-","Nicht im Lift",IF(AP280&gt;=1,"Lift",IF(AP280&lt;=0,"Aussenlager","teilweise")))))</f>
        <v/>
      </c>
      <c r="BA280" s="53">
        <f>IF(AS280&lt;=0,"",IF(BR280="Aussen","Aussenlager",IF(BR280="-","Nicht im Lift",IF(AX280&gt;=1,"Lift",IF(AX280&lt;=0,"Aussenlager","teilweise")))))</f>
        <v/>
      </c>
      <c r="BB280" s="53">
        <f>IF(A280="","",IF(BK280=1,"Neu; ","")&amp;IF(AND(BK280=0,BF280&lt;0),"negativer Bestand (Export "&amp;BF280&amp;"); ","")&amp;IF(I280&lt;=0,"Kein Verbrauch; ","")&amp;IF(BO280=1,"Lose – Fläche geschätzt; ","")&amp;IF(G280&gt;AM280,"Überbestand "&amp;ROUND(G280-AM280,0)&amp;" Stk / CHF "&amp;ROUND((G280-AM280)*F280,0)&amp;"; ","")&amp;IF(AND(BT280=1,BU280&lt;BV280),"MAX &lt; MB+LG; ","")&amp;IF(AND(BZ280&gt;0,BY280*10&gt;BZ280),"zu hoch für Tablar; ","")&amp;IF(AND(BK280=0,OR(BT280=1,V280&lt;&gt;"",S280&lt;&gt;"",T280&lt;&gt;"",W280&lt;&gt;"")),"manuell übersteuert; ","")&amp;IF(AND(BO280=0,Q280=0),"Gebinde unbekannt; ","")&amp;IF(AND(BO280=0,N(T280)&lt;=0,N(P280)&lt;=0),"Menge pro Gebinde fehlt (Ist = 1 Gebinde); ","")&amp;BJ280)</f>
        <v/>
      </c>
      <c r="BC280" s="53" t="n"/>
      <c r="BD280" s="53" t="n"/>
      <c r="BE280" s="61" t="n"/>
      <c r="BF280" s="55" t="n">
        <v>25</v>
      </c>
      <c r="BG280" s="55" t="n">
        <v>13</v>
      </c>
      <c r="BH280" s="54" t="n">
        <v>351.0599999999995</v>
      </c>
      <c r="BI280" s="55" t="n">
        <v>56</v>
      </c>
      <c r="BJ280" s="53" t="inlineStr"/>
      <c r="BK280" s="58" t="n">
        <v>0</v>
      </c>
      <c r="BL280" s="58" t="n">
        <v>280</v>
      </c>
      <c r="BM280" s="53">
        <f>IF(S280&lt;&gt;"",UPPER(TRIM(S280)),IF(O280="","LOSE",O280))</f>
        <v/>
      </c>
      <c r="BN280" s="55">
        <f>IF(BM280="LOSE",1,IF(N(T280)&gt;0,T280,IF(N(P280)&gt;0,P280,MAX(1,G280))))</f>
        <v/>
      </c>
      <c r="BO280" s="58">
        <f>IF(BM280="LOSE",1,0)</f>
        <v/>
      </c>
      <c r="BP280" s="64">
        <f>IF(BO280=0,0,IF(N(R280)&gt;0,R280,IFERROR(VLOOKUP(D280,Parameter!$A$35:$C$64,3,0)+0,0)))</f>
        <v/>
      </c>
      <c r="BQ280" s="53">
        <f>IF(V280&lt;&gt;"",V280,U280)</f>
        <v/>
      </c>
      <c r="BR280" s="53">
        <f>IF(BQ280=1,"L1",IF(OR(BQ280=2,BQ280=3),"L23",IF(BQ280="Aussen","Aussen","-")))</f>
        <v/>
      </c>
      <c r="BS280" s="66">
        <f>IF(N(W280)&gt;0,W280,0)</f>
        <v/>
      </c>
      <c r="BT280" s="58">
        <f>IF(ISNUMBER(Z280),1,0)</f>
        <v/>
      </c>
      <c r="BU280" s="55">
        <f>N(Z280)</f>
        <v/>
      </c>
      <c r="BV280" s="55">
        <f>N(L280)+N(M280)</f>
        <v/>
      </c>
      <c r="BW280" s="55">
        <f>ROUNDUP(G280/BN280,0)</f>
        <v/>
      </c>
      <c r="BX280" s="55">
        <f>ROUNDUP(BU280/BN280,0)</f>
        <v/>
      </c>
      <c r="BY280" s="58">
        <f>IF(BO280=1,0,IFERROR(VLOOKUP(BM280,'Gebinde-Kategorie'!$A$5:$G$45,5,0)+0,0))</f>
        <v/>
      </c>
      <c r="BZ280" s="58">
        <f>IFERROR(IF(OR(BQ280=1,BQ280=2,BQ280=3),N(INDEX(Parameter!$I$5:$I$7,BQ280)),0),0)</f>
        <v/>
      </c>
    </row>
    <row r="281">
      <c r="A281" s="53" t="inlineStr">
        <is>
          <t>101639</t>
        </is>
      </c>
      <c r="B281" s="53" t="inlineStr">
        <is>
          <t>Sensorkabel</t>
        </is>
      </c>
      <c r="C281" s="53" t="inlineStr">
        <is>
          <t>F</t>
        </is>
      </c>
      <c r="D281" s="53" t="inlineStr">
        <is>
          <t>KTL</t>
        </is>
      </c>
      <c r="E281" s="53" t="inlineStr">
        <is>
          <t>C</t>
        </is>
      </c>
      <c r="F281" s="54" t="n">
        <v>10</v>
      </c>
      <c r="G281" s="55">
        <f>MAX(0,IF(Parameter!$B$20="Jahresanfang 2025 + Export",BG281+BF281,BF281))</f>
        <v/>
      </c>
      <c r="H281" s="55">
        <f>G281*F281</f>
        <v/>
      </c>
      <c r="I281" s="55">
        <f>BI281*Parameter!$B$18</f>
        <v/>
      </c>
      <c r="J281" s="56" t="n">
        <v>34.5</v>
      </c>
      <c r="K281" s="57" t="n">
        <v>0</v>
      </c>
      <c r="L281" s="55" t="n">
        <v>0</v>
      </c>
      <c r="M281" s="55" t="n">
        <v>1</v>
      </c>
      <c r="N281" s="58" t="n">
        <v>14</v>
      </c>
      <c r="O281" s="53" t="inlineStr">
        <is>
          <t>S51</t>
        </is>
      </c>
      <c r="P281" s="55" t="n">
        <v>44</v>
      </c>
      <c r="Q281" s="59">
        <f>IF(BO281=1,0,IFERROR(VLOOKUP(BM281,'Gebinde-Kategorie'!$A$5:$G$45,6,0)+0,0))</f>
        <v/>
      </c>
      <c r="R281" s="60" t="n"/>
      <c r="S281" s="61" t="n"/>
      <c r="T281" s="61" t="n"/>
      <c r="U281" s="53">
        <f>IF(A281="","",IF(IFERROR(VLOOKUP(D281,Parameter!$A$35:$C$64,2,0),"Nein")="2+3",IF(ISNUMBER(SEARCH("grosser Artikel",BJ281)),2,IFERROR(VLOOKUP(BM281,Parameter!$F$35:$G$64,2,0),2)),IF(OR(IFERROR(VLOOKUP(D281,Parameter!$A$35:$C$64,2,0),"Nein")="Nein",IFERROR(VLOOKUP(D281,Parameter!$A$35:$C$64,2,0),"Nein")=""),"-",VLOOKUP(D281,Parameter!$A$35:$C$64,2,0))))</f>
        <v/>
      </c>
      <c r="V281" s="61" t="n"/>
      <c r="W281" s="62" t="n"/>
      <c r="X281" s="55">
        <f>AM281</f>
        <v/>
      </c>
      <c r="Y281" s="55">
        <f>MAX(AM281,G281)</f>
        <v/>
      </c>
      <c r="Z281" s="63" t="n"/>
      <c r="AA281" s="55">
        <f>IF(LEFT(Cockpit!$C$5,1)="A",G281,IF(BT281=1,BU281,IF(LEFT(Cockpit!$C$5,1)="B",AE281,MAX(AE281,G281))))</f>
        <v/>
      </c>
      <c r="AB281" s="55">
        <f>IF(BO281=1,0,ROUNDUP(AA281/BN281,0))</f>
        <v/>
      </c>
      <c r="AC281" s="64">
        <f>IF(BO281=1,IF(AA281&lt;=0,0,BP281*MAX(1,IF(G281&gt;0,AA281/G281,1))),AB281*Q281)</f>
        <v/>
      </c>
      <c r="AD281" s="55">
        <f>AA281*F281</f>
        <v/>
      </c>
      <c r="AE281" s="55">
        <f>ROUNDUP(MAX(I281/IF(BS281&gt;0,BS281,MAX(0.1,N(Cockpit!$C$6))),BV281)/BN281,0)*BN281</f>
        <v/>
      </c>
      <c r="AF281" s="56">
        <f>IF(AC281&gt;0,I281/AC281,-1)</f>
        <v/>
      </c>
      <c r="AG281" s="56">
        <f>IF(AND(OR(BR281="L1",BR281="L23"),AC281&gt;0),SUMIFS($AC$7:$AC$1570,$BR$7:$BR$1570,BR281,$AF$7:$AF$1570,"&gt;"&amp;AF281)+SUMIFS($AC$7:$AC$1570,$BR$7:$BR$1570,BR281,$AF$7:$AF$1570,AF281,$BL$7:$BL$1570,"&lt;="&amp;BL281),"")</f>
        <v/>
      </c>
      <c r="AH281" s="65">
        <f>IF(AG281="",0,MAX(0,MIN(1,(IF(BR281="L1",Parameter!$K$5,Parameter!$K$6+Parameter!$K$7)-(AG281-AC281))/AC281)))</f>
        <v/>
      </c>
      <c r="AI281" s="55">
        <f>IF(LEFT(Cockpit!$I$5,1)="A",G281,IF(BT281=1,BU281,IF(LEFT(Cockpit!$I$5,1)="B",AM281,MAX(AM281,G281))))</f>
        <v/>
      </c>
      <c r="AJ281" s="55">
        <f>IF(BO281=1,0,ROUNDUP(AI281/BN281,0))</f>
        <v/>
      </c>
      <c r="AK281" s="64">
        <f>IF(BO281=1,IF(AI281&lt;=0,0,BP281*MAX(1,IF(G281&gt;0,AI281/G281,1))),AJ281*Q281)</f>
        <v/>
      </c>
      <c r="AL281" s="55">
        <f>AI281*F281</f>
        <v/>
      </c>
      <c r="AM281" s="55">
        <f>ROUNDUP(MAX(I281/IF(BS281&gt;0,BS281,MAX(0.1,N(Cockpit!$I$6))),BV281)/BN281,0)*BN281</f>
        <v/>
      </c>
      <c r="AN281" s="56">
        <f>IF(AK281&gt;0,I281/AK281,-1)</f>
        <v/>
      </c>
      <c r="AO281" s="56">
        <f>IF(AND(OR(BR281="L1",BR281="L23"),AK281&gt;0),SUMIFS($AK$7:$AK$1570,$BR$7:$BR$1570,BR281,$AN$7:$AN$1570,"&gt;"&amp;AN281)+SUMIFS($AK$7:$AK$1570,$BR$7:$BR$1570,BR281,$AN$7:$AN$1570,AN281,$BL$7:$BL$1570,"&lt;="&amp;BL281),"")</f>
        <v/>
      </c>
      <c r="AP281" s="65">
        <f>IF(AO281="",0,MAX(0,MIN(1,(IF(BR281="L1",Parameter!$K$5,Parameter!$K$6+Parameter!$K$7)-(AO281-AK281))/AK281)))</f>
        <v/>
      </c>
      <c r="AQ281" s="55">
        <f>IF(LEFT(Cockpit!$O$5,1)="A",G281,IF(BT281=1,BU281,IF(LEFT(Cockpit!$O$5,1)="B",AU281,MAX(AU281,G281))))</f>
        <v/>
      </c>
      <c r="AR281" s="55">
        <f>IF(BO281=1,0,ROUNDUP(AQ281/BN281,0))</f>
        <v/>
      </c>
      <c r="AS281" s="64">
        <f>IF(BO281=1,IF(AQ281&lt;=0,0,BP281*MAX(1,IF(G281&gt;0,AQ281/G281,1))),AR281*Q281)</f>
        <v/>
      </c>
      <c r="AT281" s="55">
        <f>AQ281*F281</f>
        <v/>
      </c>
      <c r="AU281" s="55">
        <f>ROUNDUP(MAX(I281/IF(BS281&gt;0,BS281,MAX(0.1,N(Cockpit!$O$6))),BV281)/BN281,0)*BN281</f>
        <v/>
      </c>
      <c r="AV281" s="56">
        <f>IF(AS281&gt;0,I281/AS281,-1)</f>
        <v/>
      </c>
      <c r="AW281" s="56">
        <f>IF(AND(OR(BR281="L1",BR281="L23"),AS281&gt;0),SUMIFS($AS$7:$AS$1570,$BR$7:$BR$1570,BR281,$AV$7:$AV$1570,"&gt;"&amp;AV281)+SUMIFS($AS$7:$AS$1570,$BR$7:$BR$1570,BR281,$AV$7:$AV$1570,AV281,$BL$7:$BL$1570,"&lt;="&amp;BL281),"")</f>
        <v/>
      </c>
      <c r="AX281" s="65">
        <f>IF(AW281="",0,MAX(0,MIN(1,(IF(BR281="L1",Parameter!$K$5,Parameter!$K$6+Parameter!$K$7)-(AW281-AS281))/AS281)))</f>
        <v/>
      </c>
      <c r="AY281" s="53">
        <f>IF(AC281&lt;=0,"",IF(BR281="Aussen","Aussenlager",IF(BR281="-","Nicht im Lift",IF(AH281&gt;=1,"Lift",IF(AH281&lt;=0,"Aussenlager","teilweise")))))</f>
        <v/>
      </c>
      <c r="AZ281" s="53">
        <f>IF(AK281&lt;=0,"",IF(BR281="Aussen","Aussenlager",IF(BR281="-","Nicht im Lift",IF(AP281&gt;=1,"Lift",IF(AP281&lt;=0,"Aussenlager","teilweise")))))</f>
        <v/>
      </c>
      <c r="BA281" s="53">
        <f>IF(AS281&lt;=0,"",IF(BR281="Aussen","Aussenlager",IF(BR281="-","Nicht im Lift",IF(AX281&gt;=1,"Lift",IF(AX281&lt;=0,"Aussenlager","teilweise")))))</f>
        <v/>
      </c>
      <c r="BB281" s="53">
        <f>IF(A281="","",IF(BK281=1,"Neu; ","")&amp;IF(AND(BK281=0,BF281&lt;0),"negativer Bestand (Export "&amp;BF281&amp;"); ","")&amp;IF(I281&lt;=0,"Kein Verbrauch; ","")&amp;IF(BO281=1,"Lose – Fläche geschätzt; ","")&amp;IF(G281&gt;AM281,"Überbestand "&amp;ROUND(G281-AM281,0)&amp;" Stk / CHF "&amp;ROUND((G281-AM281)*F281,0)&amp;"; ","")&amp;IF(AND(BT281=1,BU281&lt;BV281),"MAX &lt; MB+LG; ","")&amp;IF(AND(BZ281&gt;0,BY281*10&gt;BZ281),"zu hoch für Tablar; ","")&amp;IF(AND(BK281=0,OR(BT281=1,V281&lt;&gt;"",S281&lt;&gt;"",T281&lt;&gt;"",W281&lt;&gt;"")),"manuell übersteuert; ","")&amp;IF(AND(BO281=0,Q281=0),"Gebinde unbekannt; ","")&amp;IF(AND(BO281=0,N(T281)&lt;=0,N(P281)&lt;=0),"Menge pro Gebinde fehlt (Ist = 1 Gebinde); ","")&amp;BJ281)</f>
        <v/>
      </c>
      <c r="BC281" s="53" t="n"/>
      <c r="BD281" s="53" t="n"/>
      <c r="BE281" s="61" t="n"/>
      <c r="BF281" s="55" t="n">
        <v>35</v>
      </c>
      <c r="BG281" s="55" t="n">
        <v>17</v>
      </c>
      <c r="BH281" s="54" t="n">
        <v>350</v>
      </c>
      <c r="BI281" s="55" t="n">
        <v>0</v>
      </c>
      <c r="BJ281" s="53" t="inlineStr"/>
      <c r="BK281" s="58" t="n">
        <v>0</v>
      </c>
      <c r="BL281" s="58" t="n">
        <v>281</v>
      </c>
      <c r="BM281" s="53">
        <f>IF(S281&lt;&gt;"",UPPER(TRIM(S281)),IF(O281="","LOSE",O281))</f>
        <v/>
      </c>
      <c r="BN281" s="55">
        <f>IF(BM281="LOSE",1,IF(N(T281)&gt;0,T281,IF(N(P281)&gt;0,P281,MAX(1,G281))))</f>
        <v/>
      </c>
      <c r="BO281" s="58">
        <f>IF(BM281="LOSE",1,0)</f>
        <v/>
      </c>
      <c r="BP281" s="64">
        <f>IF(BO281=0,0,IF(N(R281)&gt;0,R281,IFERROR(VLOOKUP(D281,Parameter!$A$35:$C$64,3,0)+0,0)))</f>
        <v/>
      </c>
      <c r="BQ281" s="53">
        <f>IF(V281&lt;&gt;"",V281,U281)</f>
        <v/>
      </c>
      <c r="BR281" s="53">
        <f>IF(BQ281=1,"L1",IF(OR(BQ281=2,BQ281=3),"L23",IF(BQ281="Aussen","Aussen","-")))</f>
        <v/>
      </c>
      <c r="BS281" s="66">
        <f>IF(N(W281)&gt;0,W281,0)</f>
        <v/>
      </c>
      <c r="BT281" s="58">
        <f>IF(ISNUMBER(Z281),1,0)</f>
        <v/>
      </c>
      <c r="BU281" s="55">
        <f>N(Z281)</f>
        <v/>
      </c>
      <c r="BV281" s="55">
        <f>N(L281)+N(M281)</f>
        <v/>
      </c>
      <c r="BW281" s="55">
        <f>ROUNDUP(G281/BN281,0)</f>
        <v/>
      </c>
      <c r="BX281" s="55">
        <f>ROUNDUP(BU281/BN281,0)</f>
        <v/>
      </c>
      <c r="BY281" s="58">
        <f>IF(BO281=1,0,IFERROR(VLOOKUP(BM281,'Gebinde-Kategorie'!$A$5:$G$45,5,0)+0,0))</f>
        <v/>
      </c>
      <c r="BZ281" s="58">
        <f>IFERROR(IF(OR(BQ281=1,BQ281=2,BQ281=3),N(INDEX(Parameter!$I$5:$I$7,BQ281)),0),0)</f>
        <v/>
      </c>
    </row>
    <row r="282">
      <c r="A282" s="53" t="inlineStr">
        <is>
          <t>107872</t>
        </is>
      </c>
      <c r="B282" s="53" t="inlineStr">
        <is>
          <t>Blende</t>
        </is>
      </c>
      <c r="C282" s="53" t="inlineStr">
        <is>
          <t>F</t>
        </is>
      </c>
      <c r="D282" s="53" t="inlineStr">
        <is>
          <t>KTL</t>
        </is>
      </c>
      <c r="E282" s="53" t="inlineStr">
        <is>
          <t>C</t>
        </is>
      </c>
      <c r="F282" s="54" t="n">
        <v>1.62</v>
      </c>
      <c r="G282" s="55">
        <f>MAX(0,IF(Parameter!$B$20="Jahresanfang 2025 + Export",BG282+BF282,BF282))</f>
        <v/>
      </c>
      <c r="H282" s="55">
        <f>G282*F282</f>
        <v/>
      </c>
      <c r="I282" s="55">
        <f>BI282*Parameter!$B$18</f>
        <v/>
      </c>
      <c r="J282" s="56" t="n">
        <v>85</v>
      </c>
      <c r="K282" s="57" t="n">
        <v>3.635294117647059</v>
      </c>
      <c r="L282" s="55" t="n">
        <v>18</v>
      </c>
      <c r="M282" s="55" t="n">
        <v>310</v>
      </c>
      <c r="N282" s="58" t="n">
        <v>21</v>
      </c>
      <c r="O282" s="53" t="inlineStr">
        <is>
          <t>S21</t>
        </is>
      </c>
      <c r="P282" s="55" t="n">
        <v>175</v>
      </c>
      <c r="Q282" s="59">
        <f>IF(BO282=1,0,IFERROR(VLOOKUP(BM282,'Gebinde-Kategorie'!$A$5:$G$45,6,0)+0,0))</f>
        <v/>
      </c>
      <c r="R282" s="60" t="n"/>
      <c r="S282" s="61" t="n"/>
      <c r="T282" s="61" t="n"/>
      <c r="U282" s="53">
        <f>IF(A282="","",IF(IFERROR(VLOOKUP(D282,Parameter!$A$35:$C$64,2,0),"Nein")="2+3",IF(ISNUMBER(SEARCH("grosser Artikel",BJ282)),2,IFERROR(VLOOKUP(BM282,Parameter!$F$35:$G$64,2,0),2)),IF(OR(IFERROR(VLOOKUP(D282,Parameter!$A$35:$C$64,2,0),"Nein")="Nein",IFERROR(VLOOKUP(D282,Parameter!$A$35:$C$64,2,0),"Nein")=""),"-",VLOOKUP(D282,Parameter!$A$35:$C$64,2,0))))</f>
        <v/>
      </c>
      <c r="V282" s="61" t="n"/>
      <c r="W282" s="62" t="n"/>
      <c r="X282" s="55">
        <f>AM282</f>
        <v/>
      </c>
      <c r="Y282" s="55">
        <f>MAX(AM282,G282)</f>
        <v/>
      </c>
      <c r="Z282" s="63" t="n"/>
      <c r="AA282" s="55">
        <f>IF(LEFT(Cockpit!$C$5,1)="A",G282,IF(BT282=1,BU282,IF(LEFT(Cockpit!$C$5,1)="B",AE282,MAX(AE282,G282))))</f>
        <v/>
      </c>
      <c r="AB282" s="55">
        <f>IF(BO282=1,0,ROUNDUP(AA282/BN282,0))</f>
        <v/>
      </c>
      <c r="AC282" s="64">
        <f>IF(BO282=1,IF(AA282&lt;=0,0,BP282*MAX(1,IF(G282&gt;0,AA282/G282,1))),AB282*Q282)</f>
        <v/>
      </c>
      <c r="AD282" s="55">
        <f>AA282*F282</f>
        <v/>
      </c>
      <c r="AE282" s="55">
        <f>ROUNDUP(MAX(I282/IF(BS282&gt;0,BS282,MAX(0.1,N(Cockpit!$C$6))),BV282)/BN282,0)*BN282</f>
        <v/>
      </c>
      <c r="AF282" s="56">
        <f>IF(AC282&gt;0,I282/AC282,-1)</f>
        <v/>
      </c>
      <c r="AG282" s="56">
        <f>IF(AND(OR(BR282="L1",BR282="L23"),AC282&gt;0),SUMIFS($AC$7:$AC$1570,$BR$7:$BR$1570,BR282,$AF$7:$AF$1570,"&gt;"&amp;AF282)+SUMIFS($AC$7:$AC$1570,$BR$7:$BR$1570,BR282,$AF$7:$AF$1570,AF282,$BL$7:$BL$1570,"&lt;="&amp;BL282),"")</f>
        <v/>
      </c>
      <c r="AH282" s="65">
        <f>IF(AG282="",0,MAX(0,MIN(1,(IF(BR282="L1",Parameter!$K$5,Parameter!$K$6+Parameter!$K$7)-(AG282-AC282))/AC282)))</f>
        <v/>
      </c>
      <c r="AI282" s="55">
        <f>IF(LEFT(Cockpit!$I$5,1)="A",G282,IF(BT282=1,BU282,IF(LEFT(Cockpit!$I$5,1)="B",AM282,MAX(AM282,G282))))</f>
        <v/>
      </c>
      <c r="AJ282" s="55">
        <f>IF(BO282=1,0,ROUNDUP(AI282/BN282,0))</f>
        <v/>
      </c>
      <c r="AK282" s="64">
        <f>IF(BO282=1,IF(AI282&lt;=0,0,BP282*MAX(1,IF(G282&gt;0,AI282/G282,1))),AJ282*Q282)</f>
        <v/>
      </c>
      <c r="AL282" s="55">
        <f>AI282*F282</f>
        <v/>
      </c>
      <c r="AM282" s="55">
        <f>ROUNDUP(MAX(I282/IF(BS282&gt;0,BS282,MAX(0.1,N(Cockpit!$I$6))),BV282)/BN282,0)*BN282</f>
        <v/>
      </c>
      <c r="AN282" s="56">
        <f>IF(AK282&gt;0,I282/AK282,-1)</f>
        <v/>
      </c>
      <c r="AO282" s="56">
        <f>IF(AND(OR(BR282="L1",BR282="L23"),AK282&gt;0),SUMIFS($AK$7:$AK$1570,$BR$7:$BR$1570,BR282,$AN$7:$AN$1570,"&gt;"&amp;AN282)+SUMIFS($AK$7:$AK$1570,$BR$7:$BR$1570,BR282,$AN$7:$AN$1570,AN282,$BL$7:$BL$1570,"&lt;="&amp;BL282),"")</f>
        <v/>
      </c>
      <c r="AP282" s="65">
        <f>IF(AO282="",0,MAX(0,MIN(1,(IF(BR282="L1",Parameter!$K$5,Parameter!$K$6+Parameter!$K$7)-(AO282-AK282))/AK282)))</f>
        <v/>
      </c>
      <c r="AQ282" s="55">
        <f>IF(LEFT(Cockpit!$O$5,1)="A",G282,IF(BT282=1,BU282,IF(LEFT(Cockpit!$O$5,1)="B",AU282,MAX(AU282,G282))))</f>
        <v/>
      </c>
      <c r="AR282" s="55">
        <f>IF(BO282=1,0,ROUNDUP(AQ282/BN282,0))</f>
        <v/>
      </c>
      <c r="AS282" s="64">
        <f>IF(BO282=1,IF(AQ282&lt;=0,0,BP282*MAX(1,IF(G282&gt;0,AQ282/G282,1))),AR282*Q282)</f>
        <v/>
      </c>
      <c r="AT282" s="55">
        <f>AQ282*F282</f>
        <v/>
      </c>
      <c r="AU282" s="55">
        <f>ROUNDUP(MAX(I282/IF(BS282&gt;0,BS282,MAX(0.1,N(Cockpit!$O$6))),BV282)/BN282,0)*BN282</f>
        <v/>
      </c>
      <c r="AV282" s="56">
        <f>IF(AS282&gt;0,I282/AS282,-1)</f>
        <v/>
      </c>
      <c r="AW282" s="56">
        <f>IF(AND(OR(BR282="L1",BR282="L23"),AS282&gt;0),SUMIFS($AS$7:$AS$1570,$BR$7:$BR$1570,BR282,$AV$7:$AV$1570,"&gt;"&amp;AV282)+SUMIFS($AS$7:$AS$1570,$BR$7:$BR$1570,BR282,$AV$7:$AV$1570,AV282,$BL$7:$BL$1570,"&lt;="&amp;BL282),"")</f>
        <v/>
      </c>
      <c r="AX282" s="65">
        <f>IF(AW282="",0,MAX(0,MIN(1,(IF(BR282="L1",Parameter!$K$5,Parameter!$K$6+Parameter!$K$7)-(AW282-AS282))/AS282)))</f>
        <v/>
      </c>
      <c r="AY282" s="53">
        <f>IF(AC282&lt;=0,"",IF(BR282="Aussen","Aussenlager",IF(BR282="-","Nicht im Lift",IF(AH282&gt;=1,"Lift",IF(AH282&lt;=0,"Aussenlager","teilweise")))))</f>
        <v/>
      </c>
      <c r="AZ282" s="53">
        <f>IF(AK282&lt;=0,"",IF(BR282="Aussen","Aussenlager",IF(BR282="-","Nicht im Lift",IF(AP282&gt;=1,"Lift",IF(AP282&lt;=0,"Aussenlager","teilweise")))))</f>
        <v/>
      </c>
      <c r="BA282" s="53">
        <f>IF(AS282&lt;=0,"",IF(BR282="Aussen","Aussenlager",IF(BR282="-","Nicht im Lift",IF(AX282&gt;=1,"Lift",IF(AX282&lt;=0,"Aussenlager","teilweise")))))</f>
        <v/>
      </c>
      <c r="BB282" s="53">
        <f>IF(A282="","",IF(BK282=1,"Neu; ","")&amp;IF(AND(BK282=0,BF282&lt;0),"negativer Bestand (Export "&amp;BF282&amp;"); ","")&amp;IF(I282&lt;=0,"Kein Verbrauch; ","")&amp;IF(BO282=1,"Lose – Fläche geschätzt; ","")&amp;IF(G282&gt;AM282,"Überbestand "&amp;ROUND(G282-AM282,0)&amp;" Stk / CHF "&amp;ROUND((G282-AM282)*F282,0)&amp;"; ","")&amp;IF(AND(BT282=1,BU282&lt;BV282),"MAX &lt; MB+LG; ","")&amp;IF(AND(BZ282&gt;0,BY282*10&gt;BZ282),"zu hoch für Tablar; ","")&amp;IF(AND(BK282=0,OR(BT282=1,V282&lt;&gt;"",S282&lt;&gt;"",T282&lt;&gt;"",W282&lt;&gt;"")),"manuell übersteuert; ","")&amp;IF(AND(BO282=0,Q282=0),"Gebinde unbekannt; ","")&amp;IF(AND(BO282=0,N(T282)&lt;=0,N(P282)&lt;=0),"Menge pro Gebinde fehlt (Ist = 1 Gebinde); ","")&amp;BJ282)</f>
        <v/>
      </c>
      <c r="BC282" s="53" t="n"/>
      <c r="BD282" s="53" t="n"/>
      <c r="BE282" s="61" t="n"/>
      <c r="BF282" s="55" t="n">
        <v>224</v>
      </c>
      <c r="BG282" s="55" t="n">
        <v>98</v>
      </c>
      <c r="BH282" s="54" t="n">
        <v>345.2400000000001</v>
      </c>
      <c r="BI282" s="55" t="n">
        <v>309</v>
      </c>
      <c r="BJ282" s="53" t="inlineStr"/>
      <c r="BK282" s="58" t="n">
        <v>0</v>
      </c>
      <c r="BL282" s="58" t="n">
        <v>282</v>
      </c>
      <c r="BM282" s="53">
        <f>IF(S282&lt;&gt;"",UPPER(TRIM(S282)),IF(O282="","LOSE",O282))</f>
        <v/>
      </c>
      <c r="BN282" s="55">
        <f>IF(BM282="LOSE",1,IF(N(T282)&gt;0,T282,IF(N(P282)&gt;0,P282,MAX(1,G282))))</f>
        <v/>
      </c>
      <c r="BO282" s="58">
        <f>IF(BM282="LOSE",1,0)</f>
        <v/>
      </c>
      <c r="BP282" s="64">
        <f>IF(BO282=0,0,IF(N(R282)&gt;0,R282,IFERROR(VLOOKUP(D282,Parameter!$A$35:$C$64,3,0)+0,0)))</f>
        <v/>
      </c>
      <c r="BQ282" s="53">
        <f>IF(V282&lt;&gt;"",V282,U282)</f>
        <v/>
      </c>
      <c r="BR282" s="53">
        <f>IF(BQ282=1,"L1",IF(OR(BQ282=2,BQ282=3),"L23",IF(BQ282="Aussen","Aussen","-")))</f>
        <v/>
      </c>
      <c r="BS282" s="66">
        <f>IF(N(W282)&gt;0,W282,0)</f>
        <v/>
      </c>
      <c r="BT282" s="58">
        <f>IF(ISNUMBER(Z282),1,0)</f>
        <v/>
      </c>
      <c r="BU282" s="55">
        <f>N(Z282)</f>
        <v/>
      </c>
      <c r="BV282" s="55">
        <f>N(L282)+N(M282)</f>
        <v/>
      </c>
      <c r="BW282" s="55">
        <f>ROUNDUP(G282/BN282,0)</f>
        <v/>
      </c>
      <c r="BX282" s="55">
        <f>ROUNDUP(BU282/BN282,0)</f>
        <v/>
      </c>
      <c r="BY282" s="58">
        <f>IF(BO282=1,0,IFERROR(VLOOKUP(BM282,'Gebinde-Kategorie'!$A$5:$G$45,5,0)+0,0))</f>
        <v/>
      </c>
      <c r="BZ282" s="58">
        <f>IFERROR(IF(OR(BQ282=1,BQ282=2,BQ282=3),N(INDEX(Parameter!$I$5:$I$7,BQ282)),0),0)</f>
        <v/>
      </c>
    </row>
    <row r="283">
      <c r="A283" s="53" t="inlineStr">
        <is>
          <t>108001</t>
        </is>
      </c>
      <c r="B283" s="53" t="inlineStr">
        <is>
          <t>Ventilatorkabel mit Stecker</t>
        </is>
      </c>
      <c r="C283" s="53" t="inlineStr">
        <is>
          <t>F</t>
        </is>
      </c>
      <c r="D283" s="53" t="inlineStr">
        <is>
          <t>KTL</t>
        </is>
      </c>
      <c r="E283" s="53" t="inlineStr">
        <is>
          <t>C</t>
        </is>
      </c>
      <c r="F283" s="54" t="n">
        <v>22.11</v>
      </c>
      <c r="G283" s="55">
        <f>MAX(0,IF(Parameter!$B$20="Jahresanfang 2025 + Export",BG283+BF283,BF283))</f>
        <v/>
      </c>
      <c r="H283" s="55">
        <f>G283*F283</f>
        <v/>
      </c>
      <c r="I283" s="55">
        <f>BI283*Parameter!$B$18</f>
        <v/>
      </c>
      <c r="J283" s="56" t="n">
        <v>57</v>
      </c>
      <c r="K283" s="57" t="n">
        <v>2.666666666666667</v>
      </c>
      <c r="L283" s="55" t="n">
        <v>15</v>
      </c>
      <c r="M283" s="55" t="n">
        <v>24</v>
      </c>
      <c r="N283" s="58" t="n">
        <v>28</v>
      </c>
      <c r="O283" s="53" t="inlineStr">
        <is>
          <t>S61</t>
        </is>
      </c>
      <c r="P283" s="55" t="n">
        <v>80</v>
      </c>
      <c r="Q283" s="59">
        <f>IF(BO283=1,0,IFERROR(VLOOKUP(BM283,'Gebinde-Kategorie'!$A$5:$G$45,6,0)+0,0))</f>
        <v/>
      </c>
      <c r="R283" s="60" t="n"/>
      <c r="S283" s="61" t="n"/>
      <c r="T283" s="61" t="n"/>
      <c r="U283" s="53">
        <f>IF(A283="","",IF(IFERROR(VLOOKUP(D283,Parameter!$A$35:$C$64,2,0),"Nein")="2+3",IF(ISNUMBER(SEARCH("grosser Artikel",BJ283)),2,IFERROR(VLOOKUP(BM283,Parameter!$F$35:$G$64,2,0),2)),IF(OR(IFERROR(VLOOKUP(D283,Parameter!$A$35:$C$64,2,0),"Nein")="Nein",IFERROR(VLOOKUP(D283,Parameter!$A$35:$C$64,2,0),"Nein")=""),"-",VLOOKUP(D283,Parameter!$A$35:$C$64,2,0))))</f>
        <v/>
      </c>
      <c r="V283" s="61" t="n"/>
      <c r="W283" s="62" t="n"/>
      <c r="X283" s="55">
        <f>AM283</f>
        <v/>
      </c>
      <c r="Y283" s="55">
        <f>MAX(AM283,G283)</f>
        <v/>
      </c>
      <c r="Z283" s="63" t="n"/>
      <c r="AA283" s="55">
        <f>IF(LEFT(Cockpit!$C$5,1)="A",G283,IF(BT283=1,BU283,IF(LEFT(Cockpit!$C$5,1)="B",AE283,MAX(AE283,G283))))</f>
        <v/>
      </c>
      <c r="AB283" s="55">
        <f>IF(BO283=1,0,ROUNDUP(AA283/BN283,0))</f>
        <v/>
      </c>
      <c r="AC283" s="64">
        <f>IF(BO283=1,IF(AA283&lt;=0,0,BP283*MAX(1,IF(G283&gt;0,AA283/G283,1))),AB283*Q283)</f>
        <v/>
      </c>
      <c r="AD283" s="55">
        <f>AA283*F283</f>
        <v/>
      </c>
      <c r="AE283" s="55">
        <f>ROUNDUP(MAX(I283/IF(BS283&gt;0,BS283,MAX(0.1,N(Cockpit!$C$6))),BV283)/BN283,0)*BN283</f>
        <v/>
      </c>
      <c r="AF283" s="56">
        <f>IF(AC283&gt;0,I283/AC283,-1)</f>
        <v/>
      </c>
      <c r="AG283" s="56">
        <f>IF(AND(OR(BR283="L1",BR283="L23"),AC283&gt;0),SUMIFS($AC$7:$AC$1570,$BR$7:$BR$1570,BR283,$AF$7:$AF$1570,"&gt;"&amp;AF283)+SUMIFS($AC$7:$AC$1570,$BR$7:$BR$1570,BR283,$AF$7:$AF$1570,AF283,$BL$7:$BL$1570,"&lt;="&amp;BL283),"")</f>
        <v/>
      </c>
      <c r="AH283" s="65">
        <f>IF(AG283="",0,MAX(0,MIN(1,(IF(BR283="L1",Parameter!$K$5,Parameter!$K$6+Parameter!$K$7)-(AG283-AC283))/AC283)))</f>
        <v/>
      </c>
      <c r="AI283" s="55">
        <f>IF(LEFT(Cockpit!$I$5,1)="A",G283,IF(BT283=1,BU283,IF(LEFT(Cockpit!$I$5,1)="B",AM283,MAX(AM283,G283))))</f>
        <v/>
      </c>
      <c r="AJ283" s="55">
        <f>IF(BO283=1,0,ROUNDUP(AI283/BN283,0))</f>
        <v/>
      </c>
      <c r="AK283" s="64">
        <f>IF(BO283=1,IF(AI283&lt;=0,0,BP283*MAX(1,IF(G283&gt;0,AI283/G283,1))),AJ283*Q283)</f>
        <v/>
      </c>
      <c r="AL283" s="55">
        <f>AI283*F283</f>
        <v/>
      </c>
      <c r="AM283" s="55">
        <f>ROUNDUP(MAX(I283/IF(BS283&gt;0,BS283,MAX(0.1,N(Cockpit!$I$6))),BV283)/BN283,0)*BN283</f>
        <v/>
      </c>
      <c r="AN283" s="56">
        <f>IF(AK283&gt;0,I283/AK283,-1)</f>
        <v/>
      </c>
      <c r="AO283" s="56">
        <f>IF(AND(OR(BR283="L1",BR283="L23"),AK283&gt;0),SUMIFS($AK$7:$AK$1570,$BR$7:$BR$1570,BR283,$AN$7:$AN$1570,"&gt;"&amp;AN283)+SUMIFS($AK$7:$AK$1570,$BR$7:$BR$1570,BR283,$AN$7:$AN$1570,AN283,$BL$7:$BL$1570,"&lt;="&amp;BL283),"")</f>
        <v/>
      </c>
      <c r="AP283" s="65">
        <f>IF(AO283="",0,MAX(0,MIN(1,(IF(BR283="L1",Parameter!$K$5,Parameter!$K$6+Parameter!$K$7)-(AO283-AK283))/AK283)))</f>
        <v/>
      </c>
      <c r="AQ283" s="55">
        <f>IF(LEFT(Cockpit!$O$5,1)="A",G283,IF(BT283=1,BU283,IF(LEFT(Cockpit!$O$5,1)="B",AU283,MAX(AU283,G283))))</f>
        <v/>
      </c>
      <c r="AR283" s="55">
        <f>IF(BO283=1,0,ROUNDUP(AQ283/BN283,0))</f>
        <v/>
      </c>
      <c r="AS283" s="64">
        <f>IF(BO283=1,IF(AQ283&lt;=0,0,BP283*MAX(1,IF(G283&gt;0,AQ283/G283,1))),AR283*Q283)</f>
        <v/>
      </c>
      <c r="AT283" s="55">
        <f>AQ283*F283</f>
        <v/>
      </c>
      <c r="AU283" s="55">
        <f>ROUNDUP(MAX(I283/IF(BS283&gt;0,BS283,MAX(0.1,N(Cockpit!$O$6))),BV283)/BN283,0)*BN283</f>
        <v/>
      </c>
      <c r="AV283" s="56">
        <f>IF(AS283&gt;0,I283/AS283,-1)</f>
        <v/>
      </c>
      <c r="AW283" s="56">
        <f>IF(AND(OR(BR283="L1",BR283="L23"),AS283&gt;0),SUMIFS($AS$7:$AS$1570,$BR$7:$BR$1570,BR283,$AV$7:$AV$1570,"&gt;"&amp;AV283)+SUMIFS($AS$7:$AS$1570,$BR$7:$BR$1570,BR283,$AV$7:$AV$1570,AV283,$BL$7:$BL$1570,"&lt;="&amp;BL283),"")</f>
        <v/>
      </c>
      <c r="AX283" s="65">
        <f>IF(AW283="",0,MAX(0,MIN(1,(IF(BR283="L1",Parameter!$K$5,Parameter!$K$6+Parameter!$K$7)-(AW283-AS283))/AS283)))</f>
        <v/>
      </c>
      <c r="AY283" s="53">
        <f>IF(AC283&lt;=0,"",IF(BR283="Aussen","Aussenlager",IF(BR283="-","Nicht im Lift",IF(AH283&gt;=1,"Lift",IF(AH283&lt;=0,"Aussenlager","teilweise")))))</f>
        <v/>
      </c>
      <c r="AZ283" s="53">
        <f>IF(AK283&lt;=0,"",IF(BR283="Aussen","Aussenlager",IF(BR283="-","Nicht im Lift",IF(AP283&gt;=1,"Lift",IF(AP283&lt;=0,"Aussenlager","teilweise")))))</f>
        <v/>
      </c>
      <c r="BA283" s="53">
        <f>IF(AS283&lt;=0,"",IF(BR283="Aussen","Aussenlager",IF(BR283="-","Nicht im Lift",IF(AX283&gt;=1,"Lift",IF(AX283&lt;=0,"Aussenlager","teilweise")))))</f>
        <v/>
      </c>
      <c r="BB283" s="53">
        <f>IF(A283="","",IF(BK283=1,"Neu; ","")&amp;IF(AND(BK283=0,BF283&lt;0),"negativer Bestand (Export "&amp;BF283&amp;"); ","")&amp;IF(I283&lt;=0,"Kein Verbrauch; ","")&amp;IF(BO283=1,"Lose – Fläche geschätzt; ","")&amp;IF(G283&gt;AM283,"Überbestand "&amp;ROUND(G283-AM283,0)&amp;" Stk / CHF "&amp;ROUND((G283-AM283)*F283,0)&amp;"; ","")&amp;IF(AND(BT283=1,BU283&lt;BV283),"MAX &lt; MB+LG; ","")&amp;IF(AND(BZ283&gt;0,BY283*10&gt;BZ283),"zu hoch für Tablar; ","")&amp;IF(AND(BK283=0,OR(BT283=1,V283&lt;&gt;"",S283&lt;&gt;"",T283&lt;&gt;"",W283&lt;&gt;"")),"manuell übersteuert; ","")&amp;IF(AND(BO283=0,Q283=0),"Gebinde unbekannt; ","")&amp;IF(AND(BO283=0,N(T283)&lt;=0,N(P283)&lt;=0),"Menge pro Gebinde fehlt (Ist = 1 Gebinde); ","")&amp;BJ283)</f>
        <v/>
      </c>
      <c r="BC283" s="53" t="n"/>
      <c r="BD283" s="53" t="n"/>
      <c r="BE283" s="61" t="n"/>
      <c r="BF283" s="55" t="n">
        <v>19</v>
      </c>
      <c r="BG283" s="55" t="n">
        <v>38</v>
      </c>
      <c r="BH283" s="54" t="n">
        <v>339.1500000000004</v>
      </c>
      <c r="BI283" s="55" t="n">
        <v>152</v>
      </c>
      <c r="BJ283" s="53" t="inlineStr"/>
      <c r="BK283" s="58" t="n">
        <v>0</v>
      </c>
      <c r="BL283" s="58" t="n">
        <v>283</v>
      </c>
      <c r="BM283" s="53">
        <f>IF(S283&lt;&gt;"",UPPER(TRIM(S283)),IF(O283="","LOSE",O283))</f>
        <v/>
      </c>
      <c r="BN283" s="55">
        <f>IF(BM283="LOSE",1,IF(N(T283)&gt;0,T283,IF(N(P283)&gt;0,P283,MAX(1,G283))))</f>
        <v/>
      </c>
      <c r="BO283" s="58">
        <f>IF(BM283="LOSE",1,0)</f>
        <v/>
      </c>
      <c r="BP283" s="64">
        <f>IF(BO283=0,0,IF(N(R283)&gt;0,R283,IFERROR(VLOOKUP(D283,Parameter!$A$35:$C$64,3,0)+0,0)))</f>
        <v/>
      </c>
      <c r="BQ283" s="53">
        <f>IF(V283&lt;&gt;"",V283,U283)</f>
        <v/>
      </c>
      <c r="BR283" s="53">
        <f>IF(BQ283=1,"L1",IF(OR(BQ283=2,BQ283=3),"L23",IF(BQ283="Aussen","Aussen","-")))</f>
        <v/>
      </c>
      <c r="BS283" s="66">
        <f>IF(N(W283)&gt;0,W283,0)</f>
        <v/>
      </c>
      <c r="BT283" s="58">
        <f>IF(ISNUMBER(Z283),1,0)</f>
        <v/>
      </c>
      <c r="BU283" s="55">
        <f>N(Z283)</f>
        <v/>
      </c>
      <c r="BV283" s="55">
        <f>N(L283)+N(M283)</f>
        <v/>
      </c>
      <c r="BW283" s="55">
        <f>ROUNDUP(G283/BN283,0)</f>
        <v/>
      </c>
      <c r="BX283" s="55">
        <f>ROUNDUP(BU283/BN283,0)</f>
        <v/>
      </c>
      <c r="BY283" s="58">
        <f>IF(BO283=1,0,IFERROR(VLOOKUP(BM283,'Gebinde-Kategorie'!$A$5:$G$45,5,0)+0,0))</f>
        <v/>
      </c>
      <c r="BZ283" s="58">
        <f>IFERROR(IF(OR(BQ283=1,BQ283=2,BQ283=3),N(INDEX(Parameter!$I$5:$I$7,BQ283)),0),0)</f>
        <v/>
      </c>
    </row>
    <row r="284">
      <c r="A284" s="53" t="inlineStr">
        <is>
          <t>100146</t>
        </is>
      </c>
      <c r="B284" s="53" t="inlineStr">
        <is>
          <t>O-Ring</t>
        </is>
      </c>
      <c r="C284" s="53" t="inlineStr">
        <is>
          <t>F</t>
        </is>
      </c>
      <c r="D284" s="53" t="inlineStr">
        <is>
          <t>KTL</t>
        </is>
      </c>
      <c r="E284" s="53" t="inlineStr">
        <is>
          <t>C</t>
        </is>
      </c>
      <c r="F284" s="54" t="n">
        <v>0.53</v>
      </c>
      <c r="G284" s="55">
        <f>MAX(0,IF(Parameter!$B$20="Jahresanfang 2025 + Export",BG284+BF284,BF284))</f>
        <v/>
      </c>
      <c r="H284" s="55">
        <f>G284*F284</f>
        <v/>
      </c>
      <c r="I284" s="55">
        <f>BI284*Parameter!$B$18</f>
        <v/>
      </c>
      <c r="J284" s="56" t="n">
        <v>450</v>
      </c>
      <c r="K284" s="57" t="n">
        <v>2.48</v>
      </c>
      <c r="L284" s="55" t="n">
        <v>43</v>
      </c>
      <c r="M284" s="55" t="n">
        <v>1115</v>
      </c>
      <c r="N284" s="58" t="n">
        <v>14</v>
      </c>
      <c r="O284" s="53" t="inlineStr">
        <is>
          <t>S41</t>
        </is>
      </c>
      <c r="P284" s="55" t="n">
        <v>470</v>
      </c>
      <c r="Q284" s="59">
        <f>IF(BO284=1,0,IFERROR(VLOOKUP(BM284,'Gebinde-Kategorie'!$A$5:$G$45,6,0)+0,0))</f>
        <v/>
      </c>
      <c r="R284" s="60" t="n"/>
      <c r="S284" s="61" t="n"/>
      <c r="T284" s="61" t="n"/>
      <c r="U284" s="53">
        <f>IF(A284="","",IF(IFERROR(VLOOKUP(D284,Parameter!$A$35:$C$64,2,0),"Nein")="2+3",IF(ISNUMBER(SEARCH("grosser Artikel",BJ284)),2,IFERROR(VLOOKUP(BM284,Parameter!$F$35:$G$64,2,0),2)),IF(OR(IFERROR(VLOOKUP(D284,Parameter!$A$35:$C$64,2,0),"Nein")="Nein",IFERROR(VLOOKUP(D284,Parameter!$A$35:$C$64,2,0),"Nein")=""),"-",VLOOKUP(D284,Parameter!$A$35:$C$64,2,0))))</f>
        <v/>
      </c>
      <c r="V284" s="61" t="n"/>
      <c r="W284" s="62" t="n"/>
      <c r="X284" s="55">
        <f>AM284</f>
        <v/>
      </c>
      <c r="Y284" s="55">
        <f>MAX(AM284,G284)</f>
        <v/>
      </c>
      <c r="Z284" s="63" t="n"/>
      <c r="AA284" s="55">
        <f>IF(LEFT(Cockpit!$C$5,1)="A",G284,IF(BT284=1,BU284,IF(LEFT(Cockpit!$C$5,1)="B",AE284,MAX(AE284,G284))))</f>
        <v/>
      </c>
      <c r="AB284" s="55">
        <f>IF(BO284=1,0,ROUNDUP(AA284/BN284,0))</f>
        <v/>
      </c>
      <c r="AC284" s="64">
        <f>IF(BO284=1,IF(AA284&lt;=0,0,BP284*MAX(1,IF(G284&gt;0,AA284/G284,1))),AB284*Q284)</f>
        <v/>
      </c>
      <c r="AD284" s="55">
        <f>AA284*F284</f>
        <v/>
      </c>
      <c r="AE284" s="55">
        <f>ROUNDUP(MAX(I284/IF(BS284&gt;0,BS284,MAX(0.1,N(Cockpit!$C$6))),BV284)/BN284,0)*BN284</f>
        <v/>
      </c>
      <c r="AF284" s="56">
        <f>IF(AC284&gt;0,I284/AC284,-1)</f>
        <v/>
      </c>
      <c r="AG284" s="56">
        <f>IF(AND(OR(BR284="L1",BR284="L23"),AC284&gt;0),SUMIFS($AC$7:$AC$1570,$BR$7:$BR$1570,BR284,$AF$7:$AF$1570,"&gt;"&amp;AF284)+SUMIFS($AC$7:$AC$1570,$BR$7:$BR$1570,BR284,$AF$7:$AF$1570,AF284,$BL$7:$BL$1570,"&lt;="&amp;BL284),"")</f>
        <v/>
      </c>
      <c r="AH284" s="65">
        <f>IF(AG284="",0,MAX(0,MIN(1,(IF(BR284="L1",Parameter!$K$5,Parameter!$K$6+Parameter!$K$7)-(AG284-AC284))/AC284)))</f>
        <v/>
      </c>
      <c r="AI284" s="55">
        <f>IF(LEFT(Cockpit!$I$5,1)="A",G284,IF(BT284=1,BU284,IF(LEFT(Cockpit!$I$5,1)="B",AM284,MAX(AM284,G284))))</f>
        <v/>
      </c>
      <c r="AJ284" s="55">
        <f>IF(BO284=1,0,ROUNDUP(AI284/BN284,0))</f>
        <v/>
      </c>
      <c r="AK284" s="64">
        <f>IF(BO284=1,IF(AI284&lt;=0,0,BP284*MAX(1,IF(G284&gt;0,AI284/G284,1))),AJ284*Q284)</f>
        <v/>
      </c>
      <c r="AL284" s="55">
        <f>AI284*F284</f>
        <v/>
      </c>
      <c r="AM284" s="55">
        <f>ROUNDUP(MAX(I284/IF(BS284&gt;0,BS284,MAX(0.1,N(Cockpit!$I$6))),BV284)/BN284,0)*BN284</f>
        <v/>
      </c>
      <c r="AN284" s="56">
        <f>IF(AK284&gt;0,I284/AK284,-1)</f>
        <v/>
      </c>
      <c r="AO284" s="56">
        <f>IF(AND(OR(BR284="L1",BR284="L23"),AK284&gt;0),SUMIFS($AK$7:$AK$1570,$BR$7:$BR$1570,BR284,$AN$7:$AN$1570,"&gt;"&amp;AN284)+SUMIFS($AK$7:$AK$1570,$BR$7:$BR$1570,BR284,$AN$7:$AN$1570,AN284,$BL$7:$BL$1570,"&lt;="&amp;BL284),"")</f>
        <v/>
      </c>
      <c r="AP284" s="65">
        <f>IF(AO284="",0,MAX(0,MIN(1,(IF(BR284="L1",Parameter!$K$5,Parameter!$K$6+Parameter!$K$7)-(AO284-AK284))/AK284)))</f>
        <v/>
      </c>
      <c r="AQ284" s="55">
        <f>IF(LEFT(Cockpit!$O$5,1)="A",G284,IF(BT284=1,BU284,IF(LEFT(Cockpit!$O$5,1)="B",AU284,MAX(AU284,G284))))</f>
        <v/>
      </c>
      <c r="AR284" s="55">
        <f>IF(BO284=1,0,ROUNDUP(AQ284/BN284,0))</f>
        <v/>
      </c>
      <c r="AS284" s="64">
        <f>IF(BO284=1,IF(AQ284&lt;=0,0,BP284*MAX(1,IF(G284&gt;0,AQ284/G284,1))),AR284*Q284)</f>
        <v/>
      </c>
      <c r="AT284" s="55">
        <f>AQ284*F284</f>
        <v/>
      </c>
      <c r="AU284" s="55">
        <f>ROUNDUP(MAX(I284/IF(BS284&gt;0,BS284,MAX(0.1,N(Cockpit!$O$6))),BV284)/BN284,0)*BN284</f>
        <v/>
      </c>
      <c r="AV284" s="56">
        <f>IF(AS284&gt;0,I284/AS284,-1)</f>
        <v/>
      </c>
      <c r="AW284" s="56">
        <f>IF(AND(OR(BR284="L1",BR284="L23"),AS284&gt;0),SUMIFS($AS$7:$AS$1570,$BR$7:$BR$1570,BR284,$AV$7:$AV$1570,"&gt;"&amp;AV284)+SUMIFS($AS$7:$AS$1570,$BR$7:$BR$1570,BR284,$AV$7:$AV$1570,AV284,$BL$7:$BL$1570,"&lt;="&amp;BL284),"")</f>
        <v/>
      </c>
      <c r="AX284" s="65">
        <f>IF(AW284="",0,MAX(0,MIN(1,(IF(BR284="L1",Parameter!$K$5,Parameter!$K$6+Parameter!$K$7)-(AW284-AS284))/AS284)))</f>
        <v/>
      </c>
      <c r="AY284" s="53">
        <f>IF(AC284&lt;=0,"",IF(BR284="Aussen","Aussenlager",IF(BR284="-","Nicht im Lift",IF(AH284&gt;=1,"Lift",IF(AH284&lt;=0,"Aussenlager","teilweise")))))</f>
        <v/>
      </c>
      <c r="AZ284" s="53">
        <f>IF(AK284&lt;=0,"",IF(BR284="Aussen","Aussenlager",IF(BR284="-","Nicht im Lift",IF(AP284&gt;=1,"Lift",IF(AP284&lt;=0,"Aussenlager","teilweise")))))</f>
        <v/>
      </c>
      <c r="BA284" s="53">
        <f>IF(AS284&lt;=0,"",IF(BR284="Aussen","Aussenlager",IF(BR284="-","Nicht im Lift",IF(AX284&gt;=1,"Lift",IF(AX284&lt;=0,"Aussenlager","teilweise")))))</f>
        <v/>
      </c>
      <c r="BB284" s="53">
        <f>IF(A284="","",IF(BK284=1,"Neu; ","")&amp;IF(AND(BK284=0,BF284&lt;0),"negativer Bestand (Export "&amp;BF284&amp;"); ","")&amp;IF(I284&lt;=0,"Kein Verbrauch; ","")&amp;IF(BO284=1,"Lose – Fläche geschätzt; ","")&amp;IF(G284&gt;AM284,"Überbestand "&amp;ROUND(G284-AM284,0)&amp;" Stk / CHF "&amp;ROUND((G284-AM284)*F284,0)&amp;"; ","")&amp;IF(AND(BT284=1,BU284&lt;BV284),"MAX &lt; MB+LG; ","")&amp;IF(AND(BZ284&gt;0,BY284*10&gt;BZ284),"zu hoch für Tablar; ","")&amp;IF(AND(BK284=0,OR(BT284=1,V284&lt;&gt;"",S284&lt;&gt;"",T284&lt;&gt;"",W284&lt;&gt;"")),"manuell übersteuert; ","")&amp;IF(AND(BO284=0,Q284=0),"Gebinde unbekannt; ","")&amp;IF(AND(BO284=0,N(T284)&lt;=0,N(P284)&lt;=0),"Menge pro Gebinde fehlt (Ist = 1 Gebinde); ","")&amp;BJ284)</f>
        <v/>
      </c>
      <c r="BC284" s="53" t="n"/>
      <c r="BD284" s="53" t="n"/>
      <c r="BE284" s="61" t="n"/>
      <c r="BF284" s="55" t="n">
        <v>700</v>
      </c>
      <c r="BG284" s="55" t="n">
        <v>281</v>
      </c>
      <c r="BH284" s="54" t="n">
        <v>335.51</v>
      </c>
      <c r="BI284" s="55" t="n">
        <v>1116</v>
      </c>
      <c r="BJ284" s="53" t="inlineStr"/>
      <c r="BK284" s="58" t="n">
        <v>0</v>
      </c>
      <c r="BL284" s="58" t="n">
        <v>284</v>
      </c>
      <c r="BM284" s="53">
        <f>IF(S284&lt;&gt;"",UPPER(TRIM(S284)),IF(O284="","LOSE",O284))</f>
        <v/>
      </c>
      <c r="BN284" s="55">
        <f>IF(BM284="LOSE",1,IF(N(T284)&gt;0,T284,IF(N(P284)&gt;0,P284,MAX(1,G284))))</f>
        <v/>
      </c>
      <c r="BO284" s="58">
        <f>IF(BM284="LOSE",1,0)</f>
        <v/>
      </c>
      <c r="BP284" s="64">
        <f>IF(BO284=0,0,IF(N(R284)&gt;0,R284,IFERROR(VLOOKUP(D284,Parameter!$A$35:$C$64,3,0)+0,0)))</f>
        <v/>
      </c>
      <c r="BQ284" s="53">
        <f>IF(V284&lt;&gt;"",V284,U284)</f>
        <v/>
      </c>
      <c r="BR284" s="53">
        <f>IF(BQ284=1,"L1",IF(OR(BQ284=2,BQ284=3),"L23",IF(BQ284="Aussen","Aussen","-")))</f>
        <v/>
      </c>
      <c r="BS284" s="66">
        <f>IF(N(W284)&gt;0,W284,0)</f>
        <v/>
      </c>
      <c r="BT284" s="58">
        <f>IF(ISNUMBER(Z284),1,0)</f>
        <v/>
      </c>
      <c r="BU284" s="55">
        <f>N(Z284)</f>
        <v/>
      </c>
      <c r="BV284" s="55">
        <f>N(L284)+N(M284)</f>
        <v/>
      </c>
      <c r="BW284" s="55">
        <f>ROUNDUP(G284/BN284,0)</f>
        <v/>
      </c>
      <c r="BX284" s="55">
        <f>ROUNDUP(BU284/BN284,0)</f>
        <v/>
      </c>
      <c r="BY284" s="58">
        <f>IF(BO284=1,0,IFERROR(VLOOKUP(BM284,'Gebinde-Kategorie'!$A$5:$G$45,5,0)+0,0))</f>
        <v/>
      </c>
      <c r="BZ284" s="58">
        <f>IFERROR(IF(OR(BQ284=1,BQ284=2,BQ284=3),N(INDEX(Parameter!$I$5:$I$7,BQ284)),0),0)</f>
        <v/>
      </c>
    </row>
    <row r="285">
      <c r="A285" s="53" t="inlineStr">
        <is>
          <t>107585</t>
        </is>
      </c>
      <c r="B285" s="53" t="inlineStr">
        <is>
          <t>Indikator</t>
        </is>
      </c>
      <c r="C285" s="53" t="inlineStr">
        <is>
          <t>F</t>
        </is>
      </c>
      <c r="D285" s="53" t="inlineStr">
        <is>
          <t>KTL</t>
        </is>
      </c>
      <c r="E285" s="53" t="inlineStr">
        <is>
          <t>C</t>
        </is>
      </c>
      <c r="F285" s="54" t="n">
        <v>51.14</v>
      </c>
      <c r="G285" s="55">
        <f>MAX(0,IF(Parameter!$B$20="Jahresanfang 2025 + Export",BG285+BF285,BF285))</f>
        <v/>
      </c>
      <c r="H285" s="55">
        <f>G285*F285</f>
        <v/>
      </c>
      <c r="I285" s="55">
        <f>BI285*Parameter!$B$18</f>
        <v/>
      </c>
      <c r="J285" s="56" t="n">
        <v>13.5</v>
      </c>
      <c r="K285" s="57" t="n">
        <v>1.851851851851852</v>
      </c>
      <c r="L285" s="55" t="n">
        <v>2</v>
      </c>
      <c r="M285" s="55" t="n">
        <v>25</v>
      </c>
      <c r="N285" s="58" t="n">
        <v>35</v>
      </c>
      <c r="O285" s="53" t="inlineStr">
        <is>
          <t>S52</t>
        </is>
      </c>
      <c r="P285" s="55" t="n">
        <v>33</v>
      </c>
      <c r="Q285" s="59">
        <f>IF(BO285=1,0,IFERROR(VLOOKUP(BM285,'Gebinde-Kategorie'!$A$5:$G$45,6,0)+0,0))</f>
        <v/>
      </c>
      <c r="R285" s="60" t="n"/>
      <c r="S285" s="61" t="n"/>
      <c r="T285" s="61" t="n"/>
      <c r="U285" s="53">
        <f>IF(A285="","",IF(IFERROR(VLOOKUP(D285,Parameter!$A$35:$C$64,2,0),"Nein")="2+3",IF(ISNUMBER(SEARCH("grosser Artikel",BJ285)),2,IFERROR(VLOOKUP(BM285,Parameter!$F$35:$G$64,2,0),2)),IF(OR(IFERROR(VLOOKUP(D285,Parameter!$A$35:$C$64,2,0),"Nein")="Nein",IFERROR(VLOOKUP(D285,Parameter!$A$35:$C$64,2,0),"Nein")=""),"-",VLOOKUP(D285,Parameter!$A$35:$C$64,2,0))))</f>
        <v/>
      </c>
      <c r="V285" s="61" t="n"/>
      <c r="W285" s="62" t="n"/>
      <c r="X285" s="55">
        <f>AM285</f>
        <v/>
      </c>
      <c r="Y285" s="55">
        <f>MAX(AM285,G285)</f>
        <v/>
      </c>
      <c r="Z285" s="63" t="n"/>
      <c r="AA285" s="55">
        <f>IF(LEFT(Cockpit!$C$5,1)="A",G285,IF(BT285=1,BU285,IF(LEFT(Cockpit!$C$5,1)="B",AE285,MAX(AE285,G285))))</f>
        <v/>
      </c>
      <c r="AB285" s="55">
        <f>IF(BO285=1,0,ROUNDUP(AA285/BN285,0))</f>
        <v/>
      </c>
      <c r="AC285" s="64">
        <f>IF(BO285=1,IF(AA285&lt;=0,0,BP285*MAX(1,IF(G285&gt;0,AA285/G285,1))),AB285*Q285)</f>
        <v/>
      </c>
      <c r="AD285" s="55">
        <f>AA285*F285</f>
        <v/>
      </c>
      <c r="AE285" s="55">
        <f>ROUNDUP(MAX(I285/IF(BS285&gt;0,BS285,MAX(0.1,N(Cockpit!$C$6))),BV285)/BN285,0)*BN285</f>
        <v/>
      </c>
      <c r="AF285" s="56">
        <f>IF(AC285&gt;0,I285/AC285,-1)</f>
        <v/>
      </c>
      <c r="AG285" s="56">
        <f>IF(AND(OR(BR285="L1",BR285="L23"),AC285&gt;0),SUMIFS($AC$7:$AC$1570,$BR$7:$BR$1570,BR285,$AF$7:$AF$1570,"&gt;"&amp;AF285)+SUMIFS($AC$7:$AC$1570,$BR$7:$BR$1570,BR285,$AF$7:$AF$1570,AF285,$BL$7:$BL$1570,"&lt;="&amp;BL285),"")</f>
        <v/>
      </c>
      <c r="AH285" s="65">
        <f>IF(AG285="",0,MAX(0,MIN(1,(IF(BR285="L1",Parameter!$K$5,Parameter!$K$6+Parameter!$K$7)-(AG285-AC285))/AC285)))</f>
        <v/>
      </c>
      <c r="AI285" s="55">
        <f>IF(LEFT(Cockpit!$I$5,1)="A",G285,IF(BT285=1,BU285,IF(LEFT(Cockpit!$I$5,1)="B",AM285,MAX(AM285,G285))))</f>
        <v/>
      </c>
      <c r="AJ285" s="55">
        <f>IF(BO285=1,0,ROUNDUP(AI285/BN285,0))</f>
        <v/>
      </c>
      <c r="AK285" s="64">
        <f>IF(BO285=1,IF(AI285&lt;=0,0,BP285*MAX(1,IF(G285&gt;0,AI285/G285,1))),AJ285*Q285)</f>
        <v/>
      </c>
      <c r="AL285" s="55">
        <f>AI285*F285</f>
        <v/>
      </c>
      <c r="AM285" s="55">
        <f>ROUNDUP(MAX(I285/IF(BS285&gt;0,BS285,MAX(0.1,N(Cockpit!$I$6))),BV285)/BN285,0)*BN285</f>
        <v/>
      </c>
      <c r="AN285" s="56">
        <f>IF(AK285&gt;0,I285/AK285,-1)</f>
        <v/>
      </c>
      <c r="AO285" s="56">
        <f>IF(AND(OR(BR285="L1",BR285="L23"),AK285&gt;0),SUMIFS($AK$7:$AK$1570,$BR$7:$BR$1570,BR285,$AN$7:$AN$1570,"&gt;"&amp;AN285)+SUMIFS($AK$7:$AK$1570,$BR$7:$BR$1570,BR285,$AN$7:$AN$1570,AN285,$BL$7:$BL$1570,"&lt;="&amp;BL285),"")</f>
        <v/>
      </c>
      <c r="AP285" s="65">
        <f>IF(AO285="",0,MAX(0,MIN(1,(IF(BR285="L1",Parameter!$K$5,Parameter!$K$6+Parameter!$K$7)-(AO285-AK285))/AK285)))</f>
        <v/>
      </c>
      <c r="AQ285" s="55">
        <f>IF(LEFT(Cockpit!$O$5,1)="A",G285,IF(BT285=1,BU285,IF(LEFT(Cockpit!$O$5,1)="B",AU285,MAX(AU285,G285))))</f>
        <v/>
      </c>
      <c r="AR285" s="55">
        <f>IF(BO285=1,0,ROUNDUP(AQ285/BN285,0))</f>
        <v/>
      </c>
      <c r="AS285" s="64">
        <f>IF(BO285=1,IF(AQ285&lt;=0,0,BP285*MAX(1,IF(G285&gt;0,AQ285/G285,1))),AR285*Q285)</f>
        <v/>
      </c>
      <c r="AT285" s="55">
        <f>AQ285*F285</f>
        <v/>
      </c>
      <c r="AU285" s="55">
        <f>ROUNDUP(MAX(I285/IF(BS285&gt;0,BS285,MAX(0.1,N(Cockpit!$O$6))),BV285)/BN285,0)*BN285</f>
        <v/>
      </c>
      <c r="AV285" s="56">
        <f>IF(AS285&gt;0,I285/AS285,-1)</f>
        <v/>
      </c>
      <c r="AW285" s="56">
        <f>IF(AND(OR(BR285="L1",BR285="L23"),AS285&gt;0),SUMIFS($AS$7:$AS$1570,$BR$7:$BR$1570,BR285,$AV$7:$AV$1570,"&gt;"&amp;AV285)+SUMIFS($AS$7:$AS$1570,$BR$7:$BR$1570,BR285,$AV$7:$AV$1570,AV285,$BL$7:$BL$1570,"&lt;="&amp;BL285),"")</f>
        <v/>
      </c>
      <c r="AX285" s="65">
        <f>IF(AW285="",0,MAX(0,MIN(1,(IF(BR285="L1",Parameter!$K$5,Parameter!$K$6+Parameter!$K$7)-(AW285-AS285))/AS285)))</f>
        <v/>
      </c>
      <c r="AY285" s="53">
        <f>IF(AC285&lt;=0,"",IF(BR285="Aussen","Aussenlager",IF(BR285="-","Nicht im Lift",IF(AH285&gt;=1,"Lift",IF(AH285&lt;=0,"Aussenlager","teilweise")))))</f>
        <v/>
      </c>
      <c r="AZ285" s="53">
        <f>IF(AK285&lt;=0,"",IF(BR285="Aussen","Aussenlager",IF(BR285="-","Nicht im Lift",IF(AP285&gt;=1,"Lift",IF(AP285&lt;=0,"Aussenlager","teilweise")))))</f>
        <v/>
      </c>
      <c r="BA285" s="53">
        <f>IF(AS285&lt;=0,"",IF(BR285="Aussen","Aussenlager",IF(BR285="-","Nicht im Lift",IF(AX285&gt;=1,"Lift",IF(AX285&lt;=0,"Aussenlager","teilweise")))))</f>
        <v/>
      </c>
      <c r="BB285" s="53">
        <f>IF(A285="","",IF(BK285=1,"Neu; ","")&amp;IF(AND(BK285=0,BF285&lt;0),"negativer Bestand (Export "&amp;BF285&amp;"); ","")&amp;IF(I285&lt;=0,"Kein Verbrauch; ","")&amp;IF(BO285=1,"Lose – Fläche geschätzt; ","")&amp;IF(G285&gt;AM285,"Überbestand "&amp;ROUND(G285-AM285,0)&amp;" Stk / CHF "&amp;ROUND((G285-AM285)*F285,0)&amp;"; ","")&amp;IF(AND(BT285=1,BU285&lt;BV285),"MAX &lt; MB+LG; ","")&amp;IF(AND(BZ285&gt;0,BY285*10&gt;BZ285),"zu hoch für Tablar; ","")&amp;IF(AND(BK285=0,OR(BT285=1,V285&lt;&gt;"",S285&lt;&gt;"",T285&lt;&gt;"",W285&lt;&gt;"")),"manuell übersteuert; ","")&amp;IF(AND(BO285=0,Q285=0),"Gebinde unbekannt; ","")&amp;IF(AND(BO285=0,N(T285)&lt;=0,N(P285)&lt;=0),"Menge pro Gebinde fehlt (Ist = 1 Gebinde); ","")&amp;BJ285)</f>
        <v/>
      </c>
      <c r="BC285" s="53" t="n"/>
      <c r="BD285" s="53" t="n"/>
      <c r="BE285" s="61" t="n"/>
      <c r="BF285" s="55" t="n">
        <v>7</v>
      </c>
      <c r="BG285" s="55" t="n">
        <v>11</v>
      </c>
      <c r="BH285" s="54" t="n">
        <v>326.5200000000001</v>
      </c>
      <c r="BI285" s="55" t="n">
        <v>25</v>
      </c>
      <c r="BJ285" s="53" t="inlineStr"/>
      <c r="BK285" s="58" t="n">
        <v>0</v>
      </c>
      <c r="BL285" s="58" t="n">
        <v>285</v>
      </c>
      <c r="BM285" s="53">
        <f>IF(S285&lt;&gt;"",UPPER(TRIM(S285)),IF(O285="","LOSE",O285))</f>
        <v/>
      </c>
      <c r="BN285" s="55">
        <f>IF(BM285="LOSE",1,IF(N(T285)&gt;0,T285,IF(N(P285)&gt;0,P285,MAX(1,G285))))</f>
        <v/>
      </c>
      <c r="BO285" s="58">
        <f>IF(BM285="LOSE",1,0)</f>
        <v/>
      </c>
      <c r="BP285" s="64">
        <f>IF(BO285=0,0,IF(N(R285)&gt;0,R285,IFERROR(VLOOKUP(D285,Parameter!$A$35:$C$64,3,0)+0,0)))</f>
        <v/>
      </c>
      <c r="BQ285" s="53">
        <f>IF(V285&lt;&gt;"",V285,U285)</f>
        <v/>
      </c>
      <c r="BR285" s="53">
        <f>IF(BQ285=1,"L1",IF(OR(BQ285=2,BQ285=3),"L23",IF(BQ285="Aussen","Aussen","-")))</f>
        <v/>
      </c>
      <c r="BS285" s="66">
        <f>IF(N(W285)&gt;0,W285,0)</f>
        <v/>
      </c>
      <c r="BT285" s="58">
        <f>IF(ISNUMBER(Z285),1,0)</f>
        <v/>
      </c>
      <c r="BU285" s="55">
        <f>N(Z285)</f>
        <v/>
      </c>
      <c r="BV285" s="55">
        <f>N(L285)+N(M285)</f>
        <v/>
      </c>
      <c r="BW285" s="55">
        <f>ROUNDUP(G285/BN285,0)</f>
        <v/>
      </c>
      <c r="BX285" s="55">
        <f>ROUNDUP(BU285/BN285,0)</f>
        <v/>
      </c>
      <c r="BY285" s="58">
        <f>IF(BO285=1,0,IFERROR(VLOOKUP(BM285,'Gebinde-Kategorie'!$A$5:$G$45,5,0)+0,0))</f>
        <v/>
      </c>
      <c r="BZ285" s="58">
        <f>IFERROR(IF(OR(BQ285=1,BQ285=2,BQ285=3),N(INDEX(Parameter!$I$5:$I$7,BQ285)),0),0)</f>
        <v/>
      </c>
    </row>
    <row r="286">
      <c r="A286" s="53" t="inlineStr">
        <is>
          <t>100318</t>
        </is>
      </c>
      <c r="B286" s="53" t="inlineStr">
        <is>
          <t>Leitungsdruckregler LT2000</t>
        </is>
      </c>
      <c r="C286" s="53" t="inlineStr">
        <is>
          <t>F</t>
        </is>
      </c>
      <c r="D286" s="53" t="inlineStr">
        <is>
          <t>KTL</t>
        </is>
      </c>
      <c r="E286" s="53" t="inlineStr">
        <is>
          <t>C</t>
        </is>
      </c>
      <c r="F286" s="54" t="n">
        <v>147.94</v>
      </c>
      <c r="G286" s="55">
        <f>MAX(0,IF(Parameter!$B$20="Jahresanfang 2025 + Export",BG286+BF286,BF286))</f>
        <v/>
      </c>
      <c r="H286" s="55">
        <f>G286*F286</f>
        <v/>
      </c>
      <c r="I286" s="55">
        <f>BI286*Parameter!$B$18</f>
        <v/>
      </c>
      <c r="J286" s="56" t="n">
        <v>3</v>
      </c>
      <c r="K286" s="57" t="n">
        <v>0</v>
      </c>
      <c r="L286" s="55" t="n">
        <v>0</v>
      </c>
      <c r="M286" s="55" t="n">
        <v>1</v>
      </c>
      <c r="N286" s="58" t="n">
        <v>42</v>
      </c>
      <c r="O286" s="53" t="inlineStr">
        <is>
          <t>S62</t>
        </is>
      </c>
      <c r="P286" s="55" t="n">
        <v>4</v>
      </c>
      <c r="Q286" s="59">
        <f>IF(BO286=1,0,IFERROR(VLOOKUP(BM286,'Gebinde-Kategorie'!$A$5:$G$45,6,0)+0,0))</f>
        <v/>
      </c>
      <c r="R286" s="60" t="n"/>
      <c r="S286" s="61" t="n"/>
      <c r="T286" s="61" t="n"/>
      <c r="U286" s="53">
        <f>IF(A286="","",IF(IFERROR(VLOOKUP(D286,Parameter!$A$35:$C$64,2,0),"Nein")="2+3",IF(ISNUMBER(SEARCH("grosser Artikel",BJ286)),2,IFERROR(VLOOKUP(BM286,Parameter!$F$35:$G$64,2,0),2)),IF(OR(IFERROR(VLOOKUP(D286,Parameter!$A$35:$C$64,2,0),"Nein")="Nein",IFERROR(VLOOKUP(D286,Parameter!$A$35:$C$64,2,0),"Nein")=""),"-",VLOOKUP(D286,Parameter!$A$35:$C$64,2,0))))</f>
        <v/>
      </c>
      <c r="V286" s="61" t="n"/>
      <c r="W286" s="62" t="n"/>
      <c r="X286" s="55">
        <f>AM286</f>
        <v/>
      </c>
      <c r="Y286" s="55">
        <f>MAX(AM286,G286)</f>
        <v/>
      </c>
      <c r="Z286" s="63" t="n"/>
      <c r="AA286" s="55">
        <f>IF(LEFT(Cockpit!$C$5,1)="A",G286,IF(BT286=1,BU286,IF(LEFT(Cockpit!$C$5,1)="B",AE286,MAX(AE286,G286))))</f>
        <v/>
      </c>
      <c r="AB286" s="55">
        <f>IF(BO286=1,0,ROUNDUP(AA286/BN286,0))</f>
        <v/>
      </c>
      <c r="AC286" s="64">
        <f>IF(BO286=1,IF(AA286&lt;=0,0,BP286*MAX(1,IF(G286&gt;0,AA286/G286,1))),AB286*Q286)</f>
        <v/>
      </c>
      <c r="AD286" s="55">
        <f>AA286*F286</f>
        <v/>
      </c>
      <c r="AE286" s="55">
        <f>ROUNDUP(MAX(I286/IF(BS286&gt;0,BS286,MAX(0.1,N(Cockpit!$C$6))),BV286)/BN286,0)*BN286</f>
        <v/>
      </c>
      <c r="AF286" s="56">
        <f>IF(AC286&gt;0,I286/AC286,-1)</f>
        <v/>
      </c>
      <c r="AG286" s="56">
        <f>IF(AND(OR(BR286="L1",BR286="L23"),AC286&gt;0),SUMIFS($AC$7:$AC$1570,$BR$7:$BR$1570,BR286,$AF$7:$AF$1570,"&gt;"&amp;AF286)+SUMIFS($AC$7:$AC$1570,$BR$7:$BR$1570,BR286,$AF$7:$AF$1570,AF286,$BL$7:$BL$1570,"&lt;="&amp;BL286),"")</f>
        <v/>
      </c>
      <c r="AH286" s="65">
        <f>IF(AG286="",0,MAX(0,MIN(1,(IF(BR286="L1",Parameter!$K$5,Parameter!$K$6+Parameter!$K$7)-(AG286-AC286))/AC286)))</f>
        <v/>
      </c>
      <c r="AI286" s="55">
        <f>IF(LEFT(Cockpit!$I$5,1)="A",G286,IF(BT286=1,BU286,IF(LEFT(Cockpit!$I$5,1)="B",AM286,MAX(AM286,G286))))</f>
        <v/>
      </c>
      <c r="AJ286" s="55">
        <f>IF(BO286=1,0,ROUNDUP(AI286/BN286,0))</f>
        <v/>
      </c>
      <c r="AK286" s="64">
        <f>IF(BO286=1,IF(AI286&lt;=0,0,BP286*MAX(1,IF(G286&gt;0,AI286/G286,1))),AJ286*Q286)</f>
        <v/>
      </c>
      <c r="AL286" s="55">
        <f>AI286*F286</f>
        <v/>
      </c>
      <c r="AM286" s="55">
        <f>ROUNDUP(MAX(I286/IF(BS286&gt;0,BS286,MAX(0.1,N(Cockpit!$I$6))),BV286)/BN286,0)*BN286</f>
        <v/>
      </c>
      <c r="AN286" s="56">
        <f>IF(AK286&gt;0,I286/AK286,-1)</f>
        <v/>
      </c>
      <c r="AO286" s="56">
        <f>IF(AND(OR(BR286="L1",BR286="L23"),AK286&gt;0),SUMIFS($AK$7:$AK$1570,$BR$7:$BR$1570,BR286,$AN$7:$AN$1570,"&gt;"&amp;AN286)+SUMIFS($AK$7:$AK$1570,$BR$7:$BR$1570,BR286,$AN$7:$AN$1570,AN286,$BL$7:$BL$1570,"&lt;="&amp;BL286),"")</f>
        <v/>
      </c>
      <c r="AP286" s="65">
        <f>IF(AO286="",0,MAX(0,MIN(1,(IF(BR286="L1",Parameter!$K$5,Parameter!$K$6+Parameter!$K$7)-(AO286-AK286))/AK286)))</f>
        <v/>
      </c>
      <c r="AQ286" s="55">
        <f>IF(LEFT(Cockpit!$O$5,1)="A",G286,IF(BT286=1,BU286,IF(LEFT(Cockpit!$O$5,1)="B",AU286,MAX(AU286,G286))))</f>
        <v/>
      </c>
      <c r="AR286" s="55">
        <f>IF(BO286=1,0,ROUNDUP(AQ286/BN286,0))</f>
        <v/>
      </c>
      <c r="AS286" s="64">
        <f>IF(BO286=1,IF(AQ286&lt;=0,0,BP286*MAX(1,IF(G286&gt;0,AQ286/G286,1))),AR286*Q286)</f>
        <v/>
      </c>
      <c r="AT286" s="55">
        <f>AQ286*F286</f>
        <v/>
      </c>
      <c r="AU286" s="55">
        <f>ROUNDUP(MAX(I286/IF(BS286&gt;0,BS286,MAX(0.1,N(Cockpit!$O$6))),BV286)/BN286,0)*BN286</f>
        <v/>
      </c>
      <c r="AV286" s="56">
        <f>IF(AS286&gt;0,I286/AS286,-1)</f>
        <v/>
      </c>
      <c r="AW286" s="56">
        <f>IF(AND(OR(BR286="L1",BR286="L23"),AS286&gt;0),SUMIFS($AS$7:$AS$1570,$BR$7:$BR$1570,BR286,$AV$7:$AV$1570,"&gt;"&amp;AV286)+SUMIFS($AS$7:$AS$1570,$BR$7:$BR$1570,BR286,$AV$7:$AV$1570,AV286,$BL$7:$BL$1570,"&lt;="&amp;BL286),"")</f>
        <v/>
      </c>
      <c r="AX286" s="65">
        <f>IF(AW286="",0,MAX(0,MIN(1,(IF(BR286="L1",Parameter!$K$5,Parameter!$K$6+Parameter!$K$7)-(AW286-AS286))/AS286)))</f>
        <v/>
      </c>
      <c r="AY286" s="53">
        <f>IF(AC286&lt;=0,"",IF(BR286="Aussen","Aussenlager",IF(BR286="-","Nicht im Lift",IF(AH286&gt;=1,"Lift",IF(AH286&lt;=0,"Aussenlager","teilweise")))))</f>
        <v/>
      </c>
      <c r="AZ286" s="53">
        <f>IF(AK286&lt;=0,"",IF(BR286="Aussen","Aussenlager",IF(BR286="-","Nicht im Lift",IF(AP286&gt;=1,"Lift",IF(AP286&lt;=0,"Aussenlager","teilweise")))))</f>
        <v/>
      </c>
      <c r="BA286" s="53">
        <f>IF(AS286&lt;=0,"",IF(BR286="Aussen","Aussenlager",IF(BR286="-","Nicht im Lift",IF(AX286&gt;=1,"Lift",IF(AX286&lt;=0,"Aussenlager","teilweise")))))</f>
        <v/>
      </c>
      <c r="BB286" s="53">
        <f>IF(A286="","",IF(BK286=1,"Neu; ","")&amp;IF(AND(BK286=0,BF286&lt;0),"negativer Bestand (Export "&amp;BF286&amp;"); ","")&amp;IF(I286&lt;=0,"Kein Verbrauch; ","")&amp;IF(BO286=1,"Lose – Fläche geschätzt; ","")&amp;IF(G286&gt;AM286,"Überbestand "&amp;ROUND(G286-AM286,0)&amp;" Stk / CHF "&amp;ROUND((G286-AM286)*F286,0)&amp;"; ","")&amp;IF(AND(BT286=1,BU286&lt;BV286),"MAX &lt; MB+LG; ","")&amp;IF(AND(BZ286&gt;0,BY286*10&gt;BZ286),"zu hoch für Tablar; ","")&amp;IF(AND(BK286=0,OR(BT286=1,V286&lt;&gt;"",S286&lt;&gt;"",T286&lt;&gt;"",W286&lt;&gt;"")),"manuell übersteuert; ","")&amp;IF(AND(BO286=0,Q286=0),"Gebinde unbekannt; ","")&amp;IF(AND(BO286=0,N(T286)&lt;=0,N(P286)&lt;=0),"Menge pro Gebinde fehlt (Ist = 1 Gebinde); ","")&amp;BJ286)</f>
        <v/>
      </c>
      <c r="BC286" s="53" t="n"/>
      <c r="BD286" s="53" t="n"/>
      <c r="BE286" s="61" t="n"/>
      <c r="BF286" s="55" t="n">
        <v>1</v>
      </c>
      <c r="BG286" s="55" t="n">
        <v>3</v>
      </c>
      <c r="BH286" s="54" t="n">
        <v>325.8099999999999</v>
      </c>
      <c r="BI286" s="55" t="n">
        <v>0</v>
      </c>
      <c r="BJ286" s="53" t="inlineStr"/>
      <c r="BK286" s="58" t="n">
        <v>0</v>
      </c>
      <c r="BL286" s="58" t="n">
        <v>286</v>
      </c>
      <c r="BM286" s="53">
        <f>IF(S286&lt;&gt;"",UPPER(TRIM(S286)),IF(O286="","LOSE",O286))</f>
        <v/>
      </c>
      <c r="BN286" s="55">
        <f>IF(BM286="LOSE",1,IF(N(T286)&gt;0,T286,IF(N(P286)&gt;0,P286,MAX(1,G286))))</f>
        <v/>
      </c>
      <c r="BO286" s="58">
        <f>IF(BM286="LOSE",1,0)</f>
        <v/>
      </c>
      <c r="BP286" s="64">
        <f>IF(BO286=0,0,IF(N(R286)&gt;0,R286,IFERROR(VLOOKUP(D286,Parameter!$A$35:$C$64,3,0)+0,0)))</f>
        <v/>
      </c>
      <c r="BQ286" s="53">
        <f>IF(V286&lt;&gt;"",V286,U286)</f>
        <v/>
      </c>
      <c r="BR286" s="53">
        <f>IF(BQ286=1,"L1",IF(OR(BQ286=2,BQ286=3),"L23",IF(BQ286="Aussen","Aussen","-")))</f>
        <v/>
      </c>
      <c r="BS286" s="66">
        <f>IF(N(W286)&gt;0,W286,0)</f>
        <v/>
      </c>
      <c r="BT286" s="58">
        <f>IF(ISNUMBER(Z286),1,0)</f>
        <v/>
      </c>
      <c r="BU286" s="55">
        <f>N(Z286)</f>
        <v/>
      </c>
      <c r="BV286" s="55">
        <f>N(L286)+N(M286)</f>
        <v/>
      </c>
      <c r="BW286" s="55">
        <f>ROUNDUP(G286/BN286,0)</f>
        <v/>
      </c>
      <c r="BX286" s="55">
        <f>ROUNDUP(BU286/BN286,0)</f>
        <v/>
      </c>
      <c r="BY286" s="58">
        <f>IF(BO286=1,0,IFERROR(VLOOKUP(BM286,'Gebinde-Kategorie'!$A$5:$G$45,5,0)+0,0))</f>
        <v/>
      </c>
      <c r="BZ286" s="58">
        <f>IFERROR(IF(OR(BQ286=1,BQ286=2,BQ286=3),N(INDEX(Parameter!$I$5:$I$7,BQ286)),0),0)</f>
        <v/>
      </c>
    </row>
    <row r="287">
      <c r="A287" s="53" t="inlineStr">
        <is>
          <t>005459</t>
        </is>
      </c>
      <c r="B287" s="53" t="inlineStr">
        <is>
          <t>Heizung Steuerschrank</t>
        </is>
      </c>
      <c r="C287" s="53" t="inlineStr">
        <is>
          <t>A</t>
        </is>
      </c>
      <c r="D287" s="53" t="inlineStr">
        <is>
          <t>KTL</t>
        </is>
      </c>
      <c r="E287" s="53" t="inlineStr">
        <is>
          <t>C</t>
        </is>
      </c>
      <c r="F287" s="54" t="n">
        <v>81</v>
      </c>
      <c r="G287" s="55">
        <f>MAX(0,IF(Parameter!$B$20="Jahresanfang 2025 + Export",BG287+BF287,BF287))</f>
        <v/>
      </c>
      <c r="H287" s="55">
        <f>G287*F287</f>
        <v/>
      </c>
      <c r="I287" s="55">
        <f>BI287*Parameter!$B$18</f>
        <v/>
      </c>
      <c r="J287" s="56" t="n">
        <v>9</v>
      </c>
      <c r="K287" s="57" t="n">
        <v>0</v>
      </c>
      <c r="L287" s="55" t="n">
        <v>0</v>
      </c>
      <c r="M287" s="55" t="n">
        <v>1</v>
      </c>
      <c r="N287" s="58" t="n">
        <v>28</v>
      </c>
      <c r="O287" s="53" t="inlineStr">
        <is>
          <t>S41</t>
        </is>
      </c>
      <c r="P287" s="55" t="n">
        <v>6</v>
      </c>
      <c r="Q287" s="59">
        <f>IF(BO287=1,0,IFERROR(VLOOKUP(BM287,'Gebinde-Kategorie'!$A$5:$G$45,6,0)+0,0))</f>
        <v/>
      </c>
      <c r="R287" s="60" t="n"/>
      <c r="S287" s="61" t="n"/>
      <c r="T287" s="61" t="n"/>
      <c r="U287" s="53">
        <f>IF(A287="","",IF(IFERROR(VLOOKUP(D287,Parameter!$A$35:$C$64,2,0),"Nein")="2+3",IF(ISNUMBER(SEARCH("grosser Artikel",BJ287)),2,IFERROR(VLOOKUP(BM287,Parameter!$F$35:$G$64,2,0),2)),IF(OR(IFERROR(VLOOKUP(D287,Parameter!$A$35:$C$64,2,0),"Nein")="Nein",IFERROR(VLOOKUP(D287,Parameter!$A$35:$C$64,2,0),"Nein")=""),"-",VLOOKUP(D287,Parameter!$A$35:$C$64,2,0))))</f>
        <v/>
      </c>
      <c r="V287" s="61" t="n"/>
      <c r="W287" s="62" t="n"/>
      <c r="X287" s="55">
        <f>AM287</f>
        <v/>
      </c>
      <c r="Y287" s="55">
        <f>MAX(AM287,G287)</f>
        <v/>
      </c>
      <c r="Z287" s="63" t="n"/>
      <c r="AA287" s="55">
        <f>IF(LEFT(Cockpit!$C$5,1)="A",G287,IF(BT287=1,BU287,IF(LEFT(Cockpit!$C$5,1)="B",AE287,MAX(AE287,G287))))</f>
        <v/>
      </c>
      <c r="AB287" s="55">
        <f>IF(BO287=1,0,ROUNDUP(AA287/BN287,0))</f>
        <v/>
      </c>
      <c r="AC287" s="64">
        <f>IF(BO287=1,IF(AA287&lt;=0,0,BP287*MAX(1,IF(G287&gt;0,AA287/G287,1))),AB287*Q287)</f>
        <v/>
      </c>
      <c r="AD287" s="55">
        <f>AA287*F287</f>
        <v/>
      </c>
      <c r="AE287" s="55">
        <f>ROUNDUP(MAX(I287/IF(BS287&gt;0,BS287,MAX(0.1,N(Cockpit!$C$6))),BV287)/BN287,0)*BN287</f>
        <v/>
      </c>
      <c r="AF287" s="56">
        <f>IF(AC287&gt;0,I287/AC287,-1)</f>
        <v/>
      </c>
      <c r="AG287" s="56">
        <f>IF(AND(OR(BR287="L1",BR287="L23"),AC287&gt;0),SUMIFS($AC$7:$AC$1570,$BR$7:$BR$1570,BR287,$AF$7:$AF$1570,"&gt;"&amp;AF287)+SUMIFS($AC$7:$AC$1570,$BR$7:$BR$1570,BR287,$AF$7:$AF$1570,AF287,$BL$7:$BL$1570,"&lt;="&amp;BL287),"")</f>
        <v/>
      </c>
      <c r="AH287" s="65">
        <f>IF(AG287="",0,MAX(0,MIN(1,(IF(BR287="L1",Parameter!$K$5,Parameter!$K$6+Parameter!$K$7)-(AG287-AC287))/AC287)))</f>
        <v/>
      </c>
      <c r="AI287" s="55">
        <f>IF(LEFT(Cockpit!$I$5,1)="A",G287,IF(BT287=1,BU287,IF(LEFT(Cockpit!$I$5,1)="B",AM287,MAX(AM287,G287))))</f>
        <v/>
      </c>
      <c r="AJ287" s="55">
        <f>IF(BO287=1,0,ROUNDUP(AI287/BN287,0))</f>
        <v/>
      </c>
      <c r="AK287" s="64">
        <f>IF(BO287=1,IF(AI287&lt;=0,0,BP287*MAX(1,IF(G287&gt;0,AI287/G287,1))),AJ287*Q287)</f>
        <v/>
      </c>
      <c r="AL287" s="55">
        <f>AI287*F287</f>
        <v/>
      </c>
      <c r="AM287" s="55">
        <f>ROUNDUP(MAX(I287/IF(BS287&gt;0,BS287,MAX(0.1,N(Cockpit!$I$6))),BV287)/BN287,0)*BN287</f>
        <v/>
      </c>
      <c r="AN287" s="56">
        <f>IF(AK287&gt;0,I287/AK287,-1)</f>
        <v/>
      </c>
      <c r="AO287" s="56">
        <f>IF(AND(OR(BR287="L1",BR287="L23"),AK287&gt;0),SUMIFS($AK$7:$AK$1570,$BR$7:$BR$1570,BR287,$AN$7:$AN$1570,"&gt;"&amp;AN287)+SUMIFS($AK$7:$AK$1570,$BR$7:$BR$1570,BR287,$AN$7:$AN$1570,AN287,$BL$7:$BL$1570,"&lt;="&amp;BL287),"")</f>
        <v/>
      </c>
      <c r="AP287" s="65">
        <f>IF(AO287="",0,MAX(0,MIN(1,(IF(BR287="L1",Parameter!$K$5,Parameter!$K$6+Parameter!$K$7)-(AO287-AK287))/AK287)))</f>
        <v/>
      </c>
      <c r="AQ287" s="55">
        <f>IF(LEFT(Cockpit!$O$5,1)="A",G287,IF(BT287=1,BU287,IF(LEFT(Cockpit!$O$5,1)="B",AU287,MAX(AU287,G287))))</f>
        <v/>
      </c>
      <c r="AR287" s="55">
        <f>IF(BO287=1,0,ROUNDUP(AQ287/BN287,0))</f>
        <v/>
      </c>
      <c r="AS287" s="64">
        <f>IF(BO287=1,IF(AQ287&lt;=0,0,BP287*MAX(1,IF(G287&gt;0,AQ287/G287,1))),AR287*Q287)</f>
        <v/>
      </c>
      <c r="AT287" s="55">
        <f>AQ287*F287</f>
        <v/>
      </c>
      <c r="AU287" s="55">
        <f>ROUNDUP(MAX(I287/IF(BS287&gt;0,BS287,MAX(0.1,N(Cockpit!$O$6))),BV287)/BN287,0)*BN287</f>
        <v/>
      </c>
      <c r="AV287" s="56">
        <f>IF(AS287&gt;0,I287/AS287,-1)</f>
        <v/>
      </c>
      <c r="AW287" s="56">
        <f>IF(AND(OR(BR287="L1",BR287="L23"),AS287&gt;0),SUMIFS($AS$7:$AS$1570,$BR$7:$BR$1570,BR287,$AV$7:$AV$1570,"&gt;"&amp;AV287)+SUMIFS($AS$7:$AS$1570,$BR$7:$BR$1570,BR287,$AV$7:$AV$1570,AV287,$BL$7:$BL$1570,"&lt;="&amp;BL287),"")</f>
        <v/>
      </c>
      <c r="AX287" s="65">
        <f>IF(AW287="",0,MAX(0,MIN(1,(IF(BR287="L1",Parameter!$K$5,Parameter!$K$6+Parameter!$K$7)-(AW287-AS287))/AS287)))</f>
        <v/>
      </c>
      <c r="AY287" s="53">
        <f>IF(AC287&lt;=0,"",IF(BR287="Aussen","Aussenlager",IF(BR287="-","Nicht im Lift",IF(AH287&gt;=1,"Lift",IF(AH287&lt;=0,"Aussenlager","teilweise")))))</f>
        <v/>
      </c>
      <c r="AZ287" s="53">
        <f>IF(AK287&lt;=0,"",IF(BR287="Aussen","Aussenlager",IF(BR287="-","Nicht im Lift",IF(AP287&gt;=1,"Lift",IF(AP287&lt;=0,"Aussenlager","teilweise")))))</f>
        <v/>
      </c>
      <c r="BA287" s="53">
        <f>IF(AS287&lt;=0,"",IF(BR287="Aussen","Aussenlager",IF(BR287="-","Nicht im Lift",IF(AX287&gt;=1,"Lift",IF(AX287&lt;=0,"Aussenlager","teilweise")))))</f>
        <v/>
      </c>
      <c r="BB287" s="53">
        <f>IF(A287="","",IF(BK287=1,"Neu; ","")&amp;IF(AND(BK287=0,BF287&lt;0),"negativer Bestand (Export "&amp;BF287&amp;"); ","")&amp;IF(I287&lt;=0,"Kein Verbrauch; ","")&amp;IF(BO287=1,"Lose – Fläche geschätzt; ","")&amp;IF(G287&gt;AM287,"Überbestand "&amp;ROUND(G287-AM287,0)&amp;" Stk / CHF "&amp;ROUND((G287-AM287)*F287,0)&amp;"; ","")&amp;IF(AND(BT287=1,BU287&lt;BV287),"MAX &lt; MB+LG; ","")&amp;IF(AND(BZ287&gt;0,BY287*10&gt;BZ287),"zu hoch für Tablar; ","")&amp;IF(AND(BK287=0,OR(BT287=1,V287&lt;&gt;"",S287&lt;&gt;"",T287&lt;&gt;"",W287&lt;&gt;"")),"manuell übersteuert; ","")&amp;IF(AND(BO287=0,Q287=0),"Gebinde unbekannt; ","")&amp;IF(AND(BO287=0,N(T287)&lt;=0,N(P287)&lt;=0),"Menge pro Gebinde fehlt (Ist = 1 Gebinde); ","")&amp;BJ287)</f>
        <v/>
      </c>
      <c r="BC287" s="53" t="n"/>
      <c r="BD287" s="53" t="n"/>
      <c r="BE287" s="61" t="n"/>
      <c r="BF287" s="55" t="n">
        <v>4</v>
      </c>
      <c r="BG287" s="55" t="n">
        <v>7</v>
      </c>
      <c r="BH287" s="54" t="n">
        <v>324</v>
      </c>
      <c r="BI287" s="55" t="n">
        <v>0</v>
      </c>
      <c r="BJ287" s="53" t="inlineStr"/>
      <c r="BK287" s="58" t="n">
        <v>0</v>
      </c>
      <c r="BL287" s="58" t="n">
        <v>287</v>
      </c>
      <c r="BM287" s="53">
        <f>IF(S287&lt;&gt;"",UPPER(TRIM(S287)),IF(O287="","LOSE",O287))</f>
        <v/>
      </c>
      <c r="BN287" s="55">
        <f>IF(BM287="LOSE",1,IF(N(T287)&gt;0,T287,IF(N(P287)&gt;0,P287,MAX(1,G287))))</f>
        <v/>
      </c>
      <c r="BO287" s="58">
        <f>IF(BM287="LOSE",1,0)</f>
        <v/>
      </c>
      <c r="BP287" s="64">
        <f>IF(BO287=0,0,IF(N(R287)&gt;0,R287,IFERROR(VLOOKUP(D287,Parameter!$A$35:$C$64,3,0)+0,0)))</f>
        <v/>
      </c>
      <c r="BQ287" s="53">
        <f>IF(V287&lt;&gt;"",V287,U287)</f>
        <v/>
      </c>
      <c r="BR287" s="53">
        <f>IF(BQ287=1,"L1",IF(OR(BQ287=2,BQ287=3),"L23",IF(BQ287="Aussen","Aussen","-")))</f>
        <v/>
      </c>
      <c r="BS287" s="66">
        <f>IF(N(W287)&gt;0,W287,0)</f>
        <v/>
      </c>
      <c r="BT287" s="58">
        <f>IF(ISNUMBER(Z287),1,0)</f>
        <v/>
      </c>
      <c r="BU287" s="55">
        <f>N(Z287)</f>
        <v/>
      </c>
      <c r="BV287" s="55">
        <f>N(L287)+N(M287)</f>
        <v/>
      </c>
      <c r="BW287" s="55">
        <f>ROUNDUP(G287/BN287,0)</f>
        <v/>
      </c>
      <c r="BX287" s="55">
        <f>ROUNDUP(BU287/BN287,0)</f>
        <v/>
      </c>
      <c r="BY287" s="58">
        <f>IF(BO287=1,0,IFERROR(VLOOKUP(BM287,'Gebinde-Kategorie'!$A$5:$G$45,5,0)+0,0))</f>
        <v/>
      </c>
      <c r="BZ287" s="58">
        <f>IFERROR(IF(OR(BQ287=1,BQ287=2,BQ287=3),N(INDEX(Parameter!$I$5:$I$7,BQ287)),0),0)</f>
        <v/>
      </c>
    </row>
    <row r="288">
      <c r="A288" s="53" t="inlineStr">
        <is>
          <t>109613</t>
        </is>
      </c>
      <c r="B288" s="53" t="inlineStr">
        <is>
          <t>Adapter Bündelanschluss Druckluft</t>
        </is>
      </c>
      <c r="C288" s="53" t="inlineStr">
        <is>
          <t>F</t>
        </is>
      </c>
      <c r="D288" s="53" t="inlineStr">
        <is>
          <t>KTL</t>
        </is>
      </c>
      <c r="E288" s="53" t="inlineStr">
        <is>
          <t>C</t>
        </is>
      </c>
      <c r="F288" s="54" t="n">
        <v>152.26</v>
      </c>
      <c r="G288" s="55">
        <f>MAX(0,IF(Parameter!$B$20="Jahresanfang 2025 + Export",BG288+BF288,BF288))</f>
        <v/>
      </c>
      <c r="H288" s="55">
        <f>G288*F288</f>
        <v/>
      </c>
      <c r="I288" s="55">
        <f>BI288*Parameter!$B$18</f>
        <v/>
      </c>
      <c r="J288" s="56" t="n">
        <v>3.5</v>
      </c>
      <c r="K288" s="57" t="n">
        <v>0.2857142857142857</v>
      </c>
      <c r="L288" s="55" t="n">
        <v>0</v>
      </c>
      <c r="M288" s="55" t="n">
        <v>1</v>
      </c>
      <c r="N288" s="58" t="n">
        <v>28</v>
      </c>
      <c r="O288" s="53" t="inlineStr">
        <is>
          <t>S32</t>
        </is>
      </c>
      <c r="P288" s="55" t="n">
        <v>4</v>
      </c>
      <c r="Q288" s="59">
        <f>IF(BO288=1,0,IFERROR(VLOOKUP(BM288,'Gebinde-Kategorie'!$A$5:$G$45,6,0)+0,0))</f>
        <v/>
      </c>
      <c r="R288" s="60" t="n"/>
      <c r="S288" s="61" t="n"/>
      <c r="T288" s="61" t="n"/>
      <c r="U288" s="53">
        <f>IF(A288="","",IF(IFERROR(VLOOKUP(D288,Parameter!$A$35:$C$64,2,0),"Nein")="2+3",IF(ISNUMBER(SEARCH("grosser Artikel",BJ288)),2,IFERROR(VLOOKUP(BM288,Parameter!$F$35:$G$64,2,0),2)),IF(OR(IFERROR(VLOOKUP(D288,Parameter!$A$35:$C$64,2,0),"Nein")="Nein",IFERROR(VLOOKUP(D288,Parameter!$A$35:$C$64,2,0),"Nein")=""),"-",VLOOKUP(D288,Parameter!$A$35:$C$64,2,0))))</f>
        <v/>
      </c>
      <c r="V288" s="61" t="n"/>
      <c r="W288" s="62" t="n"/>
      <c r="X288" s="55">
        <f>AM288</f>
        <v/>
      </c>
      <c r="Y288" s="55">
        <f>MAX(AM288,G288)</f>
        <v/>
      </c>
      <c r="Z288" s="63" t="n"/>
      <c r="AA288" s="55">
        <f>IF(LEFT(Cockpit!$C$5,1)="A",G288,IF(BT288=1,BU288,IF(LEFT(Cockpit!$C$5,1)="B",AE288,MAX(AE288,G288))))</f>
        <v/>
      </c>
      <c r="AB288" s="55">
        <f>IF(BO288=1,0,ROUNDUP(AA288/BN288,0))</f>
        <v/>
      </c>
      <c r="AC288" s="64">
        <f>IF(BO288=1,IF(AA288&lt;=0,0,BP288*MAX(1,IF(G288&gt;0,AA288/G288,1))),AB288*Q288)</f>
        <v/>
      </c>
      <c r="AD288" s="55">
        <f>AA288*F288</f>
        <v/>
      </c>
      <c r="AE288" s="55">
        <f>ROUNDUP(MAX(I288/IF(BS288&gt;0,BS288,MAX(0.1,N(Cockpit!$C$6))),BV288)/BN288,0)*BN288</f>
        <v/>
      </c>
      <c r="AF288" s="56">
        <f>IF(AC288&gt;0,I288/AC288,-1)</f>
        <v/>
      </c>
      <c r="AG288" s="56">
        <f>IF(AND(OR(BR288="L1",BR288="L23"),AC288&gt;0),SUMIFS($AC$7:$AC$1570,$BR$7:$BR$1570,BR288,$AF$7:$AF$1570,"&gt;"&amp;AF288)+SUMIFS($AC$7:$AC$1570,$BR$7:$BR$1570,BR288,$AF$7:$AF$1570,AF288,$BL$7:$BL$1570,"&lt;="&amp;BL288),"")</f>
        <v/>
      </c>
      <c r="AH288" s="65">
        <f>IF(AG288="",0,MAX(0,MIN(1,(IF(BR288="L1",Parameter!$K$5,Parameter!$K$6+Parameter!$K$7)-(AG288-AC288))/AC288)))</f>
        <v/>
      </c>
      <c r="AI288" s="55">
        <f>IF(LEFT(Cockpit!$I$5,1)="A",G288,IF(BT288=1,BU288,IF(LEFT(Cockpit!$I$5,1)="B",AM288,MAX(AM288,G288))))</f>
        <v/>
      </c>
      <c r="AJ288" s="55">
        <f>IF(BO288=1,0,ROUNDUP(AI288/BN288,0))</f>
        <v/>
      </c>
      <c r="AK288" s="64">
        <f>IF(BO288=1,IF(AI288&lt;=0,0,BP288*MAX(1,IF(G288&gt;0,AI288/G288,1))),AJ288*Q288)</f>
        <v/>
      </c>
      <c r="AL288" s="55">
        <f>AI288*F288</f>
        <v/>
      </c>
      <c r="AM288" s="55">
        <f>ROUNDUP(MAX(I288/IF(BS288&gt;0,BS288,MAX(0.1,N(Cockpit!$I$6))),BV288)/BN288,0)*BN288</f>
        <v/>
      </c>
      <c r="AN288" s="56">
        <f>IF(AK288&gt;0,I288/AK288,-1)</f>
        <v/>
      </c>
      <c r="AO288" s="56">
        <f>IF(AND(OR(BR288="L1",BR288="L23"),AK288&gt;0),SUMIFS($AK$7:$AK$1570,$BR$7:$BR$1570,BR288,$AN$7:$AN$1570,"&gt;"&amp;AN288)+SUMIFS($AK$7:$AK$1570,$BR$7:$BR$1570,BR288,$AN$7:$AN$1570,AN288,$BL$7:$BL$1570,"&lt;="&amp;BL288),"")</f>
        <v/>
      </c>
      <c r="AP288" s="65">
        <f>IF(AO288="",0,MAX(0,MIN(1,(IF(BR288="L1",Parameter!$K$5,Parameter!$K$6+Parameter!$K$7)-(AO288-AK288))/AK288)))</f>
        <v/>
      </c>
      <c r="AQ288" s="55">
        <f>IF(LEFT(Cockpit!$O$5,1)="A",G288,IF(BT288=1,BU288,IF(LEFT(Cockpit!$O$5,1)="B",AU288,MAX(AU288,G288))))</f>
        <v/>
      </c>
      <c r="AR288" s="55">
        <f>IF(BO288=1,0,ROUNDUP(AQ288/BN288,0))</f>
        <v/>
      </c>
      <c r="AS288" s="64">
        <f>IF(BO288=1,IF(AQ288&lt;=0,0,BP288*MAX(1,IF(G288&gt;0,AQ288/G288,1))),AR288*Q288)</f>
        <v/>
      </c>
      <c r="AT288" s="55">
        <f>AQ288*F288</f>
        <v/>
      </c>
      <c r="AU288" s="55">
        <f>ROUNDUP(MAX(I288/IF(BS288&gt;0,BS288,MAX(0.1,N(Cockpit!$O$6))),BV288)/BN288,0)*BN288</f>
        <v/>
      </c>
      <c r="AV288" s="56">
        <f>IF(AS288&gt;0,I288/AS288,-1)</f>
        <v/>
      </c>
      <c r="AW288" s="56">
        <f>IF(AND(OR(BR288="L1",BR288="L23"),AS288&gt;0),SUMIFS($AS$7:$AS$1570,$BR$7:$BR$1570,BR288,$AV$7:$AV$1570,"&gt;"&amp;AV288)+SUMIFS($AS$7:$AS$1570,$BR$7:$BR$1570,BR288,$AV$7:$AV$1570,AV288,$BL$7:$BL$1570,"&lt;="&amp;BL288),"")</f>
        <v/>
      </c>
      <c r="AX288" s="65">
        <f>IF(AW288="",0,MAX(0,MIN(1,(IF(BR288="L1",Parameter!$K$5,Parameter!$K$6+Parameter!$K$7)-(AW288-AS288))/AS288)))</f>
        <v/>
      </c>
      <c r="AY288" s="53">
        <f>IF(AC288&lt;=0,"",IF(BR288="Aussen","Aussenlager",IF(BR288="-","Nicht im Lift",IF(AH288&gt;=1,"Lift",IF(AH288&lt;=0,"Aussenlager","teilweise")))))</f>
        <v/>
      </c>
      <c r="AZ288" s="53">
        <f>IF(AK288&lt;=0,"",IF(BR288="Aussen","Aussenlager",IF(BR288="-","Nicht im Lift",IF(AP288&gt;=1,"Lift",IF(AP288&lt;=0,"Aussenlager","teilweise")))))</f>
        <v/>
      </c>
      <c r="BA288" s="53">
        <f>IF(AS288&lt;=0,"",IF(BR288="Aussen","Aussenlager",IF(BR288="-","Nicht im Lift",IF(AX288&gt;=1,"Lift",IF(AX288&lt;=0,"Aussenlager","teilweise")))))</f>
        <v/>
      </c>
      <c r="BB288" s="53">
        <f>IF(A288="","",IF(BK288=1,"Neu; ","")&amp;IF(AND(BK288=0,BF288&lt;0),"negativer Bestand (Export "&amp;BF288&amp;"); ","")&amp;IF(I288&lt;=0,"Kein Verbrauch; ","")&amp;IF(BO288=1,"Lose – Fläche geschätzt; ","")&amp;IF(G288&gt;AM288,"Überbestand "&amp;ROUND(G288-AM288,0)&amp;" Stk / CHF "&amp;ROUND((G288-AM288)*F288,0)&amp;"; ","")&amp;IF(AND(BT288=1,BU288&lt;BV288),"MAX &lt; MB+LG; ","")&amp;IF(AND(BZ288&gt;0,BY288*10&gt;BZ288),"zu hoch für Tablar; ","")&amp;IF(AND(BK288=0,OR(BT288=1,V288&lt;&gt;"",S288&lt;&gt;"",T288&lt;&gt;"",W288&lt;&gt;"")),"manuell übersteuert; ","")&amp;IF(AND(BO288=0,Q288=0),"Gebinde unbekannt; ","")&amp;IF(AND(BO288=0,N(T288)&lt;=0,N(P288)&lt;=0),"Menge pro Gebinde fehlt (Ist = 1 Gebinde); ","")&amp;BJ288)</f>
        <v/>
      </c>
      <c r="BC288" s="53" t="n"/>
      <c r="BD288" s="53" t="n"/>
      <c r="BE288" s="61" t="n"/>
      <c r="BF288" s="55" t="n">
        <v>2</v>
      </c>
      <c r="BG288" s="55" t="n">
        <v>2</v>
      </c>
      <c r="BH288" s="54" t="n">
        <v>322.92</v>
      </c>
      <c r="BI288" s="55" t="n">
        <v>1</v>
      </c>
      <c r="BJ288" s="53" t="inlineStr"/>
      <c r="BK288" s="58" t="n">
        <v>0</v>
      </c>
      <c r="BL288" s="58" t="n">
        <v>288</v>
      </c>
      <c r="BM288" s="53">
        <f>IF(S288&lt;&gt;"",UPPER(TRIM(S288)),IF(O288="","LOSE",O288))</f>
        <v/>
      </c>
      <c r="BN288" s="55">
        <f>IF(BM288="LOSE",1,IF(N(T288)&gt;0,T288,IF(N(P288)&gt;0,P288,MAX(1,G288))))</f>
        <v/>
      </c>
      <c r="BO288" s="58">
        <f>IF(BM288="LOSE",1,0)</f>
        <v/>
      </c>
      <c r="BP288" s="64">
        <f>IF(BO288=0,0,IF(N(R288)&gt;0,R288,IFERROR(VLOOKUP(D288,Parameter!$A$35:$C$64,3,0)+0,0)))</f>
        <v/>
      </c>
      <c r="BQ288" s="53">
        <f>IF(V288&lt;&gt;"",V288,U288)</f>
        <v/>
      </c>
      <c r="BR288" s="53">
        <f>IF(BQ288=1,"L1",IF(OR(BQ288=2,BQ288=3),"L23",IF(BQ288="Aussen","Aussen","-")))</f>
        <v/>
      </c>
      <c r="BS288" s="66">
        <f>IF(N(W288)&gt;0,W288,0)</f>
        <v/>
      </c>
      <c r="BT288" s="58">
        <f>IF(ISNUMBER(Z288),1,0)</f>
        <v/>
      </c>
      <c r="BU288" s="55">
        <f>N(Z288)</f>
        <v/>
      </c>
      <c r="BV288" s="55">
        <f>N(L288)+N(M288)</f>
        <v/>
      </c>
      <c r="BW288" s="55">
        <f>ROUNDUP(G288/BN288,0)</f>
        <v/>
      </c>
      <c r="BX288" s="55">
        <f>ROUNDUP(BU288/BN288,0)</f>
        <v/>
      </c>
      <c r="BY288" s="58">
        <f>IF(BO288=1,0,IFERROR(VLOOKUP(BM288,'Gebinde-Kategorie'!$A$5:$G$45,5,0)+0,0))</f>
        <v/>
      </c>
      <c r="BZ288" s="58">
        <f>IFERROR(IF(OR(BQ288=1,BQ288=2,BQ288=3),N(INDEX(Parameter!$I$5:$I$7,BQ288)),0),0)</f>
        <v/>
      </c>
    </row>
    <row r="289">
      <c r="A289" s="53" t="inlineStr">
        <is>
          <t>107714</t>
        </is>
      </c>
      <c r="B289" s="53" t="inlineStr">
        <is>
          <t>Sechskant Stifteinsatz lang</t>
        </is>
      </c>
      <c r="C289" s="53" t="inlineStr">
        <is>
          <t>F</t>
        </is>
      </c>
      <c r="D289" s="53" t="inlineStr">
        <is>
          <t>KTL</t>
        </is>
      </c>
      <c r="E289" s="53" t="inlineStr">
        <is>
          <t>C</t>
        </is>
      </c>
      <c r="F289" s="54" t="n">
        <v>11.14</v>
      </c>
      <c r="G289" s="55">
        <f>MAX(0,IF(Parameter!$B$20="Jahresanfang 2025 + Export",BG289+BF289,BF289))</f>
        <v/>
      </c>
      <c r="H289" s="55">
        <f>G289*F289</f>
        <v/>
      </c>
      <c r="I289" s="55">
        <f>BI289*Parameter!$B$18</f>
        <v/>
      </c>
      <c r="J289" s="56" t="n">
        <v>5</v>
      </c>
      <c r="K289" s="57" t="n">
        <v>1</v>
      </c>
      <c r="L289" s="55" t="n">
        <v>0</v>
      </c>
      <c r="M289" s="55" t="n">
        <v>5</v>
      </c>
      <c r="N289" s="58" t="n">
        <v>14</v>
      </c>
      <c r="O289" s="53" t="inlineStr">
        <is>
          <t>S32</t>
        </is>
      </c>
      <c r="P289" s="55" t="n">
        <v>11</v>
      </c>
      <c r="Q289" s="59">
        <f>IF(BO289=1,0,IFERROR(VLOOKUP(BM289,'Gebinde-Kategorie'!$A$5:$G$45,6,0)+0,0))</f>
        <v/>
      </c>
      <c r="R289" s="60" t="n"/>
      <c r="S289" s="61" t="n"/>
      <c r="T289" s="61" t="n"/>
      <c r="U289" s="53">
        <f>IF(A289="","",IF(IFERROR(VLOOKUP(D289,Parameter!$A$35:$C$64,2,0),"Nein")="2+3",IF(ISNUMBER(SEARCH("grosser Artikel",BJ289)),2,IFERROR(VLOOKUP(BM289,Parameter!$F$35:$G$64,2,0),2)),IF(OR(IFERROR(VLOOKUP(D289,Parameter!$A$35:$C$64,2,0),"Nein")="Nein",IFERROR(VLOOKUP(D289,Parameter!$A$35:$C$64,2,0),"Nein")=""),"-",VLOOKUP(D289,Parameter!$A$35:$C$64,2,0))))</f>
        <v/>
      </c>
      <c r="V289" s="61" t="n"/>
      <c r="W289" s="62" t="n"/>
      <c r="X289" s="55">
        <f>AM289</f>
        <v/>
      </c>
      <c r="Y289" s="55">
        <f>MAX(AM289,G289)</f>
        <v/>
      </c>
      <c r="Z289" s="63" t="n"/>
      <c r="AA289" s="55">
        <f>IF(LEFT(Cockpit!$C$5,1)="A",G289,IF(BT289=1,BU289,IF(LEFT(Cockpit!$C$5,1)="B",AE289,MAX(AE289,G289))))</f>
        <v/>
      </c>
      <c r="AB289" s="55">
        <f>IF(BO289=1,0,ROUNDUP(AA289/BN289,0))</f>
        <v/>
      </c>
      <c r="AC289" s="64">
        <f>IF(BO289=1,IF(AA289&lt;=0,0,BP289*MAX(1,IF(G289&gt;0,AA289/G289,1))),AB289*Q289)</f>
        <v/>
      </c>
      <c r="AD289" s="55">
        <f>AA289*F289</f>
        <v/>
      </c>
      <c r="AE289" s="55">
        <f>ROUNDUP(MAX(I289/IF(BS289&gt;0,BS289,MAX(0.1,N(Cockpit!$C$6))),BV289)/BN289,0)*BN289</f>
        <v/>
      </c>
      <c r="AF289" s="56">
        <f>IF(AC289&gt;0,I289/AC289,-1)</f>
        <v/>
      </c>
      <c r="AG289" s="56">
        <f>IF(AND(OR(BR289="L1",BR289="L23"),AC289&gt;0),SUMIFS($AC$7:$AC$1570,$BR$7:$BR$1570,BR289,$AF$7:$AF$1570,"&gt;"&amp;AF289)+SUMIFS($AC$7:$AC$1570,$BR$7:$BR$1570,BR289,$AF$7:$AF$1570,AF289,$BL$7:$BL$1570,"&lt;="&amp;BL289),"")</f>
        <v/>
      </c>
      <c r="AH289" s="65">
        <f>IF(AG289="",0,MAX(0,MIN(1,(IF(BR289="L1",Parameter!$K$5,Parameter!$K$6+Parameter!$K$7)-(AG289-AC289))/AC289)))</f>
        <v/>
      </c>
      <c r="AI289" s="55">
        <f>IF(LEFT(Cockpit!$I$5,1)="A",G289,IF(BT289=1,BU289,IF(LEFT(Cockpit!$I$5,1)="B",AM289,MAX(AM289,G289))))</f>
        <v/>
      </c>
      <c r="AJ289" s="55">
        <f>IF(BO289=1,0,ROUNDUP(AI289/BN289,0))</f>
        <v/>
      </c>
      <c r="AK289" s="64">
        <f>IF(BO289=1,IF(AI289&lt;=0,0,BP289*MAX(1,IF(G289&gt;0,AI289/G289,1))),AJ289*Q289)</f>
        <v/>
      </c>
      <c r="AL289" s="55">
        <f>AI289*F289</f>
        <v/>
      </c>
      <c r="AM289" s="55">
        <f>ROUNDUP(MAX(I289/IF(BS289&gt;0,BS289,MAX(0.1,N(Cockpit!$I$6))),BV289)/BN289,0)*BN289</f>
        <v/>
      </c>
      <c r="AN289" s="56">
        <f>IF(AK289&gt;0,I289/AK289,-1)</f>
        <v/>
      </c>
      <c r="AO289" s="56">
        <f>IF(AND(OR(BR289="L1",BR289="L23"),AK289&gt;0),SUMIFS($AK$7:$AK$1570,$BR$7:$BR$1570,BR289,$AN$7:$AN$1570,"&gt;"&amp;AN289)+SUMIFS($AK$7:$AK$1570,$BR$7:$BR$1570,BR289,$AN$7:$AN$1570,AN289,$BL$7:$BL$1570,"&lt;="&amp;BL289),"")</f>
        <v/>
      </c>
      <c r="AP289" s="65">
        <f>IF(AO289="",0,MAX(0,MIN(1,(IF(BR289="L1",Parameter!$K$5,Parameter!$K$6+Parameter!$K$7)-(AO289-AK289))/AK289)))</f>
        <v/>
      </c>
      <c r="AQ289" s="55">
        <f>IF(LEFT(Cockpit!$O$5,1)="A",G289,IF(BT289=1,BU289,IF(LEFT(Cockpit!$O$5,1)="B",AU289,MAX(AU289,G289))))</f>
        <v/>
      </c>
      <c r="AR289" s="55">
        <f>IF(BO289=1,0,ROUNDUP(AQ289/BN289,0))</f>
        <v/>
      </c>
      <c r="AS289" s="64">
        <f>IF(BO289=1,IF(AQ289&lt;=0,0,BP289*MAX(1,IF(G289&gt;0,AQ289/G289,1))),AR289*Q289)</f>
        <v/>
      </c>
      <c r="AT289" s="55">
        <f>AQ289*F289</f>
        <v/>
      </c>
      <c r="AU289" s="55">
        <f>ROUNDUP(MAX(I289/IF(BS289&gt;0,BS289,MAX(0.1,N(Cockpit!$O$6))),BV289)/BN289,0)*BN289</f>
        <v/>
      </c>
      <c r="AV289" s="56">
        <f>IF(AS289&gt;0,I289/AS289,-1)</f>
        <v/>
      </c>
      <c r="AW289" s="56">
        <f>IF(AND(OR(BR289="L1",BR289="L23"),AS289&gt;0),SUMIFS($AS$7:$AS$1570,$BR$7:$BR$1570,BR289,$AV$7:$AV$1570,"&gt;"&amp;AV289)+SUMIFS($AS$7:$AS$1570,$BR$7:$BR$1570,BR289,$AV$7:$AV$1570,AV289,$BL$7:$BL$1570,"&lt;="&amp;BL289),"")</f>
        <v/>
      </c>
      <c r="AX289" s="65">
        <f>IF(AW289="",0,MAX(0,MIN(1,(IF(BR289="L1",Parameter!$K$5,Parameter!$K$6+Parameter!$K$7)-(AW289-AS289))/AS289)))</f>
        <v/>
      </c>
      <c r="AY289" s="53">
        <f>IF(AC289&lt;=0,"",IF(BR289="Aussen","Aussenlager",IF(BR289="-","Nicht im Lift",IF(AH289&gt;=1,"Lift",IF(AH289&lt;=0,"Aussenlager","teilweise")))))</f>
        <v/>
      </c>
      <c r="AZ289" s="53">
        <f>IF(AK289&lt;=0,"",IF(BR289="Aussen","Aussenlager",IF(BR289="-","Nicht im Lift",IF(AP289&gt;=1,"Lift",IF(AP289&lt;=0,"Aussenlager","teilweise")))))</f>
        <v/>
      </c>
      <c r="BA289" s="53">
        <f>IF(AS289&lt;=0,"",IF(BR289="Aussen","Aussenlager",IF(BR289="-","Nicht im Lift",IF(AX289&gt;=1,"Lift",IF(AX289&lt;=0,"Aussenlager","teilweise")))))</f>
        <v/>
      </c>
      <c r="BB289" s="53">
        <f>IF(A289="","",IF(BK289=1,"Neu; ","")&amp;IF(AND(BK289=0,BF289&lt;0),"negativer Bestand (Export "&amp;BF289&amp;"); ","")&amp;IF(I289&lt;=0,"Kein Verbrauch; ","")&amp;IF(BO289=1,"Lose – Fläche geschätzt; ","")&amp;IF(G289&gt;AM289,"Überbestand "&amp;ROUND(G289-AM289,0)&amp;" Stk / CHF "&amp;ROUND((G289-AM289)*F289,0)&amp;"; ","")&amp;IF(AND(BT289=1,BU289&lt;BV289),"MAX &lt; MB+LG; ","")&amp;IF(AND(BZ289&gt;0,BY289*10&gt;BZ289),"zu hoch für Tablar; ","")&amp;IF(AND(BK289=0,OR(BT289=1,V289&lt;&gt;"",S289&lt;&gt;"",T289&lt;&gt;"",W289&lt;&gt;"")),"manuell übersteuert; ","")&amp;IF(AND(BO289=0,Q289=0),"Gebinde unbekannt; ","")&amp;IF(AND(BO289=0,N(T289)&lt;=0,N(P289)&lt;=0),"Menge pro Gebinde fehlt (Ist = 1 Gebinde); ","")&amp;BJ289)</f>
        <v/>
      </c>
      <c r="BC289" s="53" t="n"/>
      <c r="BD289" s="53" t="n"/>
      <c r="BE289" s="61" t="n"/>
      <c r="BF289" s="55" t="n">
        <v>29</v>
      </c>
      <c r="BG289" s="55" t="n">
        <v>5</v>
      </c>
      <c r="BH289" s="54" t="n">
        <v>310.9099999999999</v>
      </c>
      <c r="BI289" s="55" t="n">
        <v>5</v>
      </c>
      <c r="BJ289" s="53" t="inlineStr"/>
      <c r="BK289" s="58" t="n">
        <v>0</v>
      </c>
      <c r="BL289" s="58" t="n">
        <v>289</v>
      </c>
      <c r="BM289" s="53">
        <f>IF(S289&lt;&gt;"",UPPER(TRIM(S289)),IF(O289="","LOSE",O289))</f>
        <v/>
      </c>
      <c r="BN289" s="55">
        <f>IF(BM289="LOSE",1,IF(N(T289)&gt;0,T289,IF(N(P289)&gt;0,P289,MAX(1,G289))))</f>
        <v/>
      </c>
      <c r="BO289" s="58">
        <f>IF(BM289="LOSE",1,0)</f>
        <v/>
      </c>
      <c r="BP289" s="64">
        <f>IF(BO289=0,0,IF(N(R289)&gt;0,R289,IFERROR(VLOOKUP(D289,Parameter!$A$35:$C$64,3,0)+0,0)))</f>
        <v/>
      </c>
      <c r="BQ289" s="53">
        <f>IF(V289&lt;&gt;"",V289,U289)</f>
        <v/>
      </c>
      <c r="BR289" s="53">
        <f>IF(BQ289=1,"L1",IF(OR(BQ289=2,BQ289=3),"L23",IF(BQ289="Aussen","Aussen","-")))</f>
        <v/>
      </c>
      <c r="BS289" s="66">
        <f>IF(N(W289)&gt;0,W289,0)</f>
        <v/>
      </c>
      <c r="BT289" s="58">
        <f>IF(ISNUMBER(Z289),1,0)</f>
        <v/>
      </c>
      <c r="BU289" s="55">
        <f>N(Z289)</f>
        <v/>
      </c>
      <c r="BV289" s="55">
        <f>N(L289)+N(M289)</f>
        <v/>
      </c>
      <c r="BW289" s="55">
        <f>ROUNDUP(G289/BN289,0)</f>
        <v/>
      </c>
      <c r="BX289" s="55">
        <f>ROUNDUP(BU289/BN289,0)</f>
        <v/>
      </c>
      <c r="BY289" s="58">
        <f>IF(BO289=1,0,IFERROR(VLOOKUP(BM289,'Gebinde-Kategorie'!$A$5:$G$45,5,0)+0,0))</f>
        <v/>
      </c>
      <c r="BZ289" s="58">
        <f>IFERROR(IF(OR(BQ289=1,BQ289=2,BQ289=3),N(INDEX(Parameter!$I$5:$I$7,BQ289)),0),0)</f>
        <v/>
      </c>
    </row>
    <row r="290">
      <c r="A290" s="53" t="inlineStr">
        <is>
          <t>107161</t>
        </is>
      </c>
      <c r="B290" s="53" t="inlineStr">
        <is>
          <t>Unterlage SPGr10</t>
        </is>
      </c>
      <c r="C290" s="53" t="inlineStr">
        <is>
          <t>F</t>
        </is>
      </c>
      <c r="D290" s="53" t="inlineStr">
        <is>
          <t>KTL</t>
        </is>
      </c>
      <c r="E290" s="53" t="inlineStr">
        <is>
          <t>C</t>
        </is>
      </c>
      <c r="F290" s="54" t="n">
        <v>4.03</v>
      </c>
      <c r="G290" s="55">
        <f>MAX(0,IF(Parameter!$B$20="Jahresanfang 2025 + Export",BG290+BF290,BF290))</f>
        <v/>
      </c>
      <c r="H290" s="55">
        <f>G290*F290</f>
        <v/>
      </c>
      <c r="I290" s="55">
        <f>BI290*Parameter!$B$18</f>
        <v/>
      </c>
      <c r="J290" s="56" t="n">
        <v>92.5</v>
      </c>
      <c r="K290" s="57" t="n">
        <v>2.464864864864865</v>
      </c>
      <c r="L290" s="55" t="n">
        <v>17</v>
      </c>
      <c r="M290" s="55" t="n">
        <v>230</v>
      </c>
      <c r="N290" s="58" t="n">
        <v>28</v>
      </c>
      <c r="O290" s="53" t="inlineStr">
        <is>
          <t>S51</t>
        </is>
      </c>
      <c r="P290" s="55" t="n">
        <v>76</v>
      </c>
      <c r="Q290" s="59">
        <f>IF(BO290=1,0,IFERROR(VLOOKUP(BM290,'Gebinde-Kategorie'!$A$5:$G$45,6,0)+0,0))</f>
        <v/>
      </c>
      <c r="R290" s="60" t="n"/>
      <c r="S290" s="61" t="n"/>
      <c r="T290" s="61" t="n"/>
      <c r="U290" s="53">
        <f>IF(A290="","",IF(IFERROR(VLOOKUP(D290,Parameter!$A$35:$C$64,2,0),"Nein")="2+3",IF(ISNUMBER(SEARCH("grosser Artikel",BJ290)),2,IFERROR(VLOOKUP(BM290,Parameter!$F$35:$G$64,2,0),2)),IF(OR(IFERROR(VLOOKUP(D290,Parameter!$A$35:$C$64,2,0),"Nein")="Nein",IFERROR(VLOOKUP(D290,Parameter!$A$35:$C$64,2,0),"Nein")=""),"-",VLOOKUP(D290,Parameter!$A$35:$C$64,2,0))))</f>
        <v/>
      </c>
      <c r="V290" s="61" t="n"/>
      <c r="W290" s="62" t="n"/>
      <c r="X290" s="55">
        <f>AM290</f>
        <v/>
      </c>
      <c r="Y290" s="55">
        <f>MAX(AM290,G290)</f>
        <v/>
      </c>
      <c r="Z290" s="63" t="n"/>
      <c r="AA290" s="55">
        <f>IF(LEFT(Cockpit!$C$5,1)="A",G290,IF(BT290=1,BU290,IF(LEFT(Cockpit!$C$5,1)="B",AE290,MAX(AE290,G290))))</f>
        <v/>
      </c>
      <c r="AB290" s="55">
        <f>IF(BO290=1,0,ROUNDUP(AA290/BN290,0))</f>
        <v/>
      </c>
      <c r="AC290" s="64">
        <f>IF(BO290=1,IF(AA290&lt;=0,0,BP290*MAX(1,IF(G290&gt;0,AA290/G290,1))),AB290*Q290)</f>
        <v/>
      </c>
      <c r="AD290" s="55">
        <f>AA290*F290</f>
        <v/>
      </c>
      <c r="AE290" s="55">
        <f>ROUNDUP(MAX(I290/IF(BS290&gt;0,BS290,MAX(0.1,N(Cockpit!$C$6))),BV290)/BN290,0)*BN290</f>
        <v/>
      </c>
      <c r="AF290" s="56">
        <f>IF(AC290&gt;0,I290/AC290,-1)</f>
        <v/>
      </c>
      <c r="AG290" s="56">
        <f>IF(AND(OR(BR290="L1",BR290="L23"),AC290&gt;0),SUMIFS($AC$7:$AC$1570,$BR$7:$BR$1570,BR290,$AF$7:$AF$1570,"&gt;"&amp;AF290)+SUMIFS($AC$7:$AC$1570,$BR$7:$BR$1570,BR290,$AF$7:$AF$1570,AF290,$BL$7:$BL$1570,"&lt;="&amp;BL290),"")</f>
        <v/>
      </c>
      <c r="AH290" s="65">
        <f>IF(AG290="",0,MAX(0,MIN(1,(IF(BR290="L1",Parameter!$K$5,Parameter!$K$6+Parameter!$K$7)-(AG290-AC290))/AC290)))</f>
        <v/>
      </c>
      <c r="AI290" s="55">
        <f>IF(LEFT(Cockpit!$I$5,1)="A",G290,IF(BT290=1,BU290,IF(LEFT(Cockpit!$I$5,1)="B",AM290,MAX(AM290,G290))))</f>
        <v/>
      </c>
      <c r="AJ290" s="55">
        <f>IF(BO290=1,0,ROUNDUP(AI290/BN290,0))</f>
        <v/>
      </c>
      <c r="AK290" s="64">
        <f>IF(BO290=1,IF(AI290&lt;=0,0,BP290*MAX(1,IF(G290&gt;0,AI290/G290,1))),AJ290*Q290)</f>
        <v/>
      </c>
      <c r="AL290" s="55">
        <f>AI290*F290</f>
        <v/>
      </c>
      <c r="AM290" s="55">
        <f>ROUNDUP(MAX(I290/IF(BS290&gt;0,BS290,MAX(0.1,N(Cockpit!$I$6))),BV290)/BN290,0)*BN290</f>
        <v/>
      </c>
      <c r="AN290" s="56">
        <f>IF(AK290&gt;0,I290/AK290,-1)</f>
        <v/>
      </c>
      <c r="AO290" s="56">
        <f>IF(AND(OR(BR290="L1",BR290="L23"),AK290&gt;0),SUMIFS($AK$7:$AK$1570,$BR$7:$BR$1570,BR290,$AN$7:$AN$1570,"&gt;"&amp;AN290)+SUMIFS($AK$7:$AK$1570,$BR$7:$BR$1570,BR290,$AN$7:$AN$1570,AN290,$BL$7:$BL$1570,"&lt;="&amp;BL290),"")</f>
        <v/>
      </c>
      <c r="AP290" s="65">
        <f>IF(AO290="",0,MAX(0,MIN(1,(IF(BR290="L1",Parameter!$K$5,Parameter!$K$6+Parameter!$K$7)-(AO290-AK290))/AK290)))</f>
        <v/>
      </c>
      <c r="AQ290" s="55">
        <f>IF(LEFT(Cockpit!$O$5,1)="A",G290,IF(BT290=1,BU290,IF(LEFT(Cockpit!$O$5,1)="B",AU290,MAX(AU290,G290))))</f>
        <v/>
      </c>
      <c r="AR290" s="55">
        <f>IF(BO290=1,0,ROUNDUP(AQ290/BN290,0))</f>
        <v/>
      </c>
      <c r="AS290" s="64">
        <f>IF(BO290=1,IF(AQ290&lt;=0,0,BP290*MAX(1,IF(G290&gt;0,AQ290/G290,1))),AR290*Q290)</f>
        <v/>
      </c>
      <c r="AT290" s="55">
        <f>AQ290*F290</f>
        <v/>
      </c>
      <c r="AU290" s="55">
        <f>ROUNDUP(MAX(I290/IF(BS290&gt;0,BS290,MAX(0.1,N(Cockpit!$O$6))),BV290)/BN290,0)*BN290</f>
        <v/>
      </c>
      <c r="AV290" s="56">
        <f>IF(AS290&gt;0,I290/AS290,-1)</f>
        <v/>
      </c>
      <c r="AW290" s="56">
        <f>IF(AND(OR(BR290="L1",BR290="L23"),AS290&gt;0),SUMIFS($AS$7:$AS$1570,$BR$7:$BR$1570,BR290,$AV$7:$AV$1570,"&gt;"&amp;AV290)+SUMIFS($AS$7:$AS$1570,$BR$7:$BR$1570,BR290,$AV$7:$AV$1570,AV290,$BL$7:$BL$1570,"&lt;="&amp;BL290),"")</f>
        <v/>
      </c>
      <c r="AX290" s="65">
        <f>IF(AW290="",0,MAX(0,MIN(1,(IF(BR290="L1",Parameter!$K$5,Parameter!$K$6+Parameter!$K$7)-(AW290-AS290))/AS290)))</f>
        <v/>
      </c>
      <c r="AY290" s="53">
        <f>IF(AC290&lt;=0,"",IF(BR290="Aussen","Aussenlager",IF(BR290="-","Nicht im Lift",IF(AH290&gt;=1,"Lift",IF(AH290&lt;=0,"Aussenlager","teilweise")))))</f>
        <v/>
      </c>
      <c r="AZ290" s="53">
        <f>IF(AK290&lt;=0,"",IF(BR290="Aussen","Aussenlager",IF(BR290="-","Nicht im Lift",IF(AP290&gt;=1,"Lift",IF(AP290&lt;=0,"Aussenlager","teilweise")))))</f>
        <v/>
      </c>
      <c r="BA290" s="53">
        <f>IF(AS290&lt;=0,"",IF(BR290="Aussen","Aussenlager",IF(BR290="-","Nicht im Lift",IF(AX290&gt;=1,"Lift",IF(AX290&lt;=0,"Aussenlager","teilweise")))))</f>
        <v/>
      </c>
      <c r="BB290" s="53">
        <f>IF(A290="","",IF(BK290=1,"Neu; ","")&amp;IF(AND(BK290=0,BF290&lt;0),"negativer Bestand (Export "&amp;BF290&amp;"); ","")&amp;IF(I290&lt;=0,"Kein Verbrauch; ","")&amp;IF(BO290=1,"Lose – Fläche geschätzt; ","")&amp;IF(G290&gt;AM290,"Überbestand "&amp;ROUND(G290-AM290,0)&amp;" Stk / CHF "&amp;ROUND((G290-AM290)*F290,0)&amp;"; ","")&amp;IF(AND(BT290=1,BU290&lt;BV290),"MAX &lt; MB+LG; ","")&amp;IF(AND(BZ290&gt;0,BY290*10&gt;BZ290),"zu hoch für Tablar; ","")&amp;IF(AND(BK290=0,OR(BT290=1,V290&lt;&gt;"",S290&lt;&gt;"",T290&lt;&gt;"",W290&lt;&gt;"")),"manuell übersteuert; ","")&amp;IF(AND(BO290=0,Q290=0),"Gebinde unbekannt; ","")&amp;IF(AND(BO290=0,N(T290)&lt;=0,N(P290)&lt;=0),"Menge pro Gebinde fehlt (Ist = 1 Gebinde); ","")&amp;BJ290)</f>
        <v/>
      </c>
      <c r="BC290" s="53" t="n"/>
      <c r="BD290" s="53" t="n"/>
      <c r="BE290" s="61" t="n"/>
      <c r="BF290" s="55" t="n">
        <v>76</v>
      </c>
      <c r="BG290" s="55" t="n">
        <v>57</v>
      </c>
      <c r="BH290" s="54" t="n">
        <v>307.99</v>
      </c>
      <c r="BI290" s="55" t="n">
        <v>228</v>
      </c>
      <c r="BJ290" s="53" t="inlineStr"/>
      <c r="BK290" s="58" t="n">
        <v>0</v>
      </c>
      <c r="BL290" s="58" t="n">
        <v>290</v>
      </c>
      <c r="BM290" s="53">
        <f>IF(S290&lt;&gt;"",UPPER(TRIM(S290)),IF(O290="","LOSE",O290))</f>
        <v/>
      </c>
      <c r="BN290" s="55">
        <f>IF(BM290="LOSE",1,IF(N(T290)&gt;0,T290,IF(N(P290)&gt;0,P290,MAX(1,G290))))</f>
        <v/>
      </c>
      <c r="BO290" s="58">
        <f>IF(BM290="LOSE",1,0)</f>
        <v/>
      </c>
      <c r="BP290" s="64">
        <f>IF(BO290=0,0,IF(N(R290)&gt;0,R290,IFERROR(VLOOKUP(D290,Parameter!$A$35:$C$64,3,0)+0,0)))</f>
        <v/>
      </c>
      <c r="BQ290" s="53">
        <f>IF(V290&lt;&gt;"",V290,U290)</f>
        <v/>
      </c>
      <c r="BR290" s="53">
        <f>IF(BQ290=1,"L1",IF(OR(BQ290=2,BQ290=3),"L23",IF(BQ290="Aussen","Aussen","-")))</f>
        <v/>
      </c>
      <c r="BS290" s="66">
        <f>IF(N(W290)&gt;0,W290,0)</f>
        <v/>
      </c>
      <c r="BT290" s="58">
        <f>IF(ISNUMBER(Z290),1,0)</f>
        <v/>
      </c>
      <c r="BU290" s="55">
        <f>N(Z290)</f>
        <v/>
      </c>
      <c r="BV290" s="55">
        <f>N(L290)+N(M290)</f>
        <v/>
      </c>
      <c r="BW290" s="55">
        <f>ROUNDUP(G290/BN290,0)</f>
        <v/>
      </c>
      <c r="BX290" s="55">
        <f>ROUNDUP(BU290/BN290,0)</f>
        <v/>
      </c>
      <c r="BY290" s="58">
        <f>IF(BO290=1,0,IFERROR(VLOOKUP(BM290,'Gebinde-Kategorie'!$A$5:$G$45,5,0)+0,0))</f>
        <v/>
      </c>
      <c r="BZ290" s="58">
        <f>IFERROR(IF(OR(BQ290=1,BQ290=2,BQ290=3),N(INDEX(Parameter!$I$5:$I$7,BQ290)),0),0)</f>
        <v/>
      </c>
    </row>
    <row r="291">
      <c r="A291" s="53" t="inlineStr">
        <is>
          <t>109177</t>
        </is>
      </c>
      <c r="B291" s="53" t="inlineStr">
        <is>
          <t>Adapter Bündelanschluss Brenngas</t>
        </is>
      </c>
      <c r="C291" s="53" t="inlineStr">
        <is>
          <t>F</t>
        </is>
      </c>
      <c r="D291" s="53" t="inlineStr">
        <is>
          <t>KTL</t>
        </is>
      </c>
      <c r="E291" s="53" t="inlineStr">
        <is>
          <t>C</t>
        </is>
      </c>
      <c r="F291" s="54" t="n">
        <v>138.11</v>
      </c>
      <c r="G291" s="55">
        <f>MAX(0,IF(Parameter!$B$20="Jahresanfang 2025 + Export",BG291+BF291,BF291))</f>
        <v/>
      </c>
      <c r="H291" s="55">
        <f>G291*F291</f>
        <v/>
      </c>
      <c r="I291" s="55">
        <f>BI291*Parameter!$B$18</f>
        <v/>
      </c>
      <c r="J291" s="56" t="n">
        <v>6.5</v>
      </c>
      <c r="K291" s="57" t="n">
        <v>0.4615384615384616</v>
      </c>
      <c r="L291" s="55" t="n">
        <v>0</v>
      </c>
      <c r="M291" s="55" t="n">
        <v>5</v>
      </c>
      <c r="N291" s="58" t="n">
        <v>35</v>
      </c>
      <c r="O291" s="53" t="inlineStr">
        <is>
          <t>S32</t>
        </is>
      </c>
      <c r="P291" s="55" t="n">
        <v>8</v>
      </c>
      <c r="Q291" s="59">
        <f>IF(BO291=1,0,IFERROR(VLOOKUP(BM291,'Gebinde-Kategorie'!$A$5:$G$45,6,0)+0,0))</f>
        <v/>
      </c>
      <c r="R291" s="60" t="n"/>
      <c r="S291" s="61" t="n"/>
      <c r="T291" s="61" t="n"/>
      <c r="U291" s="53">
        <f>IF(A291="","",IF(IFERROR(VLOOKUP(D291,Parameter!$A$35:$C$64,2,0),"Nein")="2+3",IF(ISNUMBER(SEARCH("grosser Artikel",BJ291)),2,IFERROR(VLOOKUP(BM291,Parameter!$F$35:$G$64,2,0),2)),IF(OR(IFERROR(VLOOKUP(D291,Parameter!$A$35:$C$64,2,0),"Nein")="Nein",IFERROR(VLOOKUP(D291,Parameter!$A$35:$C$64,2,0),"Nein")=""),"-",VLOOKUP(D291,Parameter!$A$35:$C$64,2,0))))</f>
        <v/>
      </c>
      <c r="V291" s="61" t="n"/>
      <c r="W291" s="62" t="n"/>
      <c r="X291" s="55">
        <f>AM291</f>
        <v/>
      </c>
      <c r="Y291" s="55">
        <f>MAX(AM291,G291)</f>
        <v/>
      </c>
      <c r="Z291" s="63" t="n"/>
      <c r="AA291" s="55">
        <f>IF(LEFT(Cockpit!$C$5,1)="A",G291,IF(BT291=1,BU291,IF(LEFT(Cockpit!$C$5,1)="B",AE291,MAX(AE291,G291))))</f>
        <v/>
      </c>
      <c r="AB291" s="55">
        <f>IF(BO291=1,0,ROUNDUP(AA291/BN291,0))</f>
        <v/>
      </c>
      <c r="AC291" s="64">
        <f>IF(BO291=1,IF(AA291&lt;=0,0,BP291*MAX(1,IF(G291&gt;0,AA291/G291,1))),AB291*Q291)</f>
        <v/>
      </c>
      <c r="AD291" s="55">
        <f>AA291*F291</f>
        <v/>
      </c>
      <c r="AE291" s="55">
        <f>ROUNDUP(MAX(I291/IF(BS291&gt;0,BS291,MAX(0.1,N(Cockpit!$C$6))),BV291)/BN291,0)*BN291</f>
        <v/>
      </c>
      <c r="AF291" s="56">
        <f>IF(AC291&gt;0,I291/AC291,-1)</f>
        <v/>
      </c>
      <c r="AG291" s="56">
        <f>IF(AND(OR(BR291="L1",BR291="L23"),AC291&gt;0),SUMIFS($AC$7:$AC$1570,$BR$7:$BR$1570,BR291,$AF$7:$AF$1570,"&gt;"&amp;AF291)+SUMIFS($AC$7:$AC$1570,$BR$7:$BR$1570,BR291,$AF$7:$AF$1570,AF291,$BL$7:$BL$1570,"&lt;="&amp;BL291),"")</f>
        <v/>
      </c>
      <c r="AH291" s="65">
        <f>IF(AG291="",0,MAX(0,MIN(1,(IF(BR291="L1",Parameter!$K$5,Parameter!$K$6+Parameter!$K$7)-(AG291-AC291))/AC291)))</f>
        <v/>
      </c>
      <c r="AI291" s="55">
        <f>IF(LEFT(Cockpit!$I$5,1)="A",G291,IF(BT291=1,BU291,IF(LEFT(Cockpit!$I$5,1)="B",AM291,MAX(AM291,G291))))</f>
        <v/>
      </c>
      <c r="AJ291" s="55">
        <f>IF(BO291=1,0,ROUNDUP(AI291/BN291,0))</f>
        <v/>
      </c>
      <c r="AK291" s="64">
        <f>IF(BO291=1,IF(AI291&lt;=0,0,BP291*MAX(1,IF(G291&gt;0,AI291/G291,1))),AJ291*Q291)</f>
        <v/>
      </c>
      <c r="AL291" s="55">
        <f>AI291*F291</f>
        <v/>
      </c>
      <c r="AM291" s="55">
        <f>ROUNDUP(MAX(I291/IF(BS291&gt;0,BS291,MAX(0.1,N(Cockpit!$I$6))),BV291)/BN291,0)*BN291</f>
        <v/>
      </c>
      <c r="AN291" s="56">
        <f>IF(AK291&gt;0,I291/AK291,-1)</f>
        <v/>
      </c>
      <c r="AO291" s="56">
        <f>IF(AND(OR(BR291="L1",BR291="L23"),AK291&gt;0),SUMIFS($AK$7:$AK$1570,$BR$7:$BR$1570,BR291,$AN$7:$AN$1570,"&gt;"&amp;AN291)+SUMIFS($AK$7:$AK$1570,$BR$7:$BR$1570,BR291,$AN$7:$AN$1570,AN291,$BL$7:$BL$1570,"&lt;="&amp;BL291),"")</f>
        <v/>
      </c>
      <c r="AP291" s="65">
        <f>IF(AO291="",0,MAX(0,MIN(1,(IF(BR291="L1",Parameter!$K$5,Parameter!$K$6+Parameter!$K$7)-(AO291-AK291))/AK291)))</f>
        <v/>
      </c>
      <c r="AQ291" s="55">
        <f>IF(LEFT(Cockpit!$O$5,1)="A",G291,IF(BT291=1,BU291,IF(LEFT(Cockpit!$O$5,1)="B",AU291,MAX(AU291,G291))))</f>
        <v/>
      </c>
      <c r="AR291" s="55">
        <f>IF(BO291=1,0,ROUNDUP(AQ291/BN291,0))</f>
        <v/>
      </c>
      <c r="AS291" s="64">
        <f>IF(BO291=1,IF(AQ291&lt;=0,0,BP291*MAX(1,IF(G291&gt;0,AQ291/G291,1))),AR291*Q291)</f>
        <v/>
      </c>
      <c r="AT291" s="55">
        <f>AQ291*F291</f>
        <v/>
      </c>
      <c r="AU291" s="55">
        <f>ROUNDUP(MAX(I291/IF(BS291&gt;0,BS291,MAX(0.1,N(Cockpit!$O$6))),BV291)/BN291,0)*BN291</f>
        <v/>
      </c>
      <c r="AV291" s="56">
        <f>IF(AS291&gt;0,I291/AS291,-1)</f>
        <v/>
      </c>
      <c r="AW291" s="56">
        <f>IF(AND(OR(BR291="L1",BR291="L23"),AS291&gt;0),SUMIFS($AS$7:$AS$1570,$BR$7:$BR$1570,BR291,$AV$7:$AV$1570,"&gt;"&amp;AV291)+SUMIFS($AS$7:$AS$1570,$BR$7:$BR$1570,BR291,$AV$7:$AV$1570,AV291,$BL$7:$BL$1570,"&lt;="&amp;BL291),"")</f>
        <v/>
      </c>
      <c r="AX291" s="65">
        <f>IF(AW291="",0,MAX(0,MIN(1,(IF(BR291="L1",Parameter!$K$5,Parameter!$K$6+Parameter!$K$7)-(AW291-AS291))/AS291)))</f>
        <v/>
      </c>
      <c r="AY291" s="53">
        <f>IF(AC291&lt;=0,"",IF(BR291="Aussen","Aussenlager",IF(BR291="-","Nicht im Lift",IF(AH291&gt;=1,"Lift",IF(AH291&lt;=0,"Aussenlager","teilweise")))))</f>
        <v/>
      </c>
      <c r="AZ291" s="53">
        <f>IF(AK291&lt;=0,"",IF(BR291="Aussen","Aussenlager",IF(BR291="-","Nicht im Lift",IF(AP291&gt;=1,"Lift",IF(AP291&lt;=0,"Aussenlager","teilweise")))))</f>
        <v/>
      </c>
      <c r="BA291" s="53">
        <f>IF(AS291&lt;=0,"",IF(BR291="Aussen","Aussenlager",IF(BR291="-","Nicht im Lift",IF(AX291&gt;=1,"Lift",IF(AX291&lt;=0,"Aussenlager","teilweise")))))</f>
        <v/>
      </c>
      <c r="BB291" s="53">
        <f>IF(A291="","",IF(BK291=1,"Neu; ","")&amp;IF(AND(BK291=0,BF291&lt;0),"negativer Bestand (Export "&amp;BF291&amp;"); ","")&amp;IF(I291&lt;=0,"Kein Verbrauch; ","")&amp;IF(BO291=1,"Lose – Fläche geschätzt; ","")&amp;IF(G291&gt;AM291,"Überbestand "&amp;ROUND(G291-AM291,0)&amp;" Stk / CHF "&amp;ROUND((G291-AM291)*F291,0)&amp;"; ","")&amp;IF(AND(BT291=1,BU291&lt;BV291),"MAX &lt; MB+LG; ","")&amp;IF(AND(BZ291&gt;0,BY291*10&gt;BZ291),"zu hoch für Tablar; ","")&amp;IF(AND(BK291=0,OR(BT291=1,V291&lt;&gt;"",S291&lt;&gt;"",T291&lt;&gt;"",W291&lt;&gt;"")),"manuell übersteuert; ","")&amp;IF(AND(BO291=0,Q291=0),"Gebinde unbekannt; ","")&amp;IF(AND(BO291=0,N(T291)&lt;=0,N(P291)&lt;=0),"Menge pro Gebinde fehlt (Ist = 1 Gebinde); ","")&amp;BJ291)</f>
        <v/>
      </c>
      <c r="BC291" s="53" t="n"/>
      <c r="BD291" s="53" t="n"/>
      <c r="BE291" s="61" t="n"/>
      <c r="BF291" s="55" t="n">
        <v>2</v>
      </c>
      <c r="BG291" s="55" t="n">
        <v>5</v>
      </c>
      <c r="BH291" s="54" t="n">
        <v>303.87</v>
      </c>
      <c r="BI291" s="55" t="n">
        <v>3</v>
      </c>
      <c r="BJ291" s="53" t="inlineStr"/>
      <c r="BK291" s="58" t="n">
        <v>0</v>
      </c>
      <c r="BL291" s="58" t="n">
        <v>291</v>
      </c>
      <c r="BM291" s="53">
        <f>IF(S291&lt;&gt;"",UPPER(TRIM(S291)),IF(O291="","LOSE",O291))</f>
        <v/>
      </c>
      <c r="BN291" s="55">
        <f>IF(BM291="LOSE",1,IF(N(T291)&gt;0,T291,IF(N(P291)&gt;0,P291,MAX(1,G291))))</f>
        <v/>
      </c>
      <c r="BO291" s="58">
        <f>IF(BM291="LOSE",1,0)</f>
        <v/>
      </c>
      <c r="BP291" s="64">
        <f>IF(BO291=0,0,IF(N(R291)&gt;0,R291,IFERROR(VLOOKUP(D291,Parameter!$A$35:$C$64,3,0)+0,0)))</f>
        <v/>
      </c>
      <c r="BQ291" s="53">
        <f>IF(V291&lt;&gt;"",V291,U291)</f>
        <v/>
      </c>
      <c r="BR291" s="53">
        <f>IF(BQ291=1,"L1",IF(OR(BQ291=2,BQ291=3),"L23",IF(BQ291="Aussen","Aussen","-")))</f>
        <v/>
      </c>
      <c r="BS291" s="66">
        <f>IF(N(W291)&gt;0,W291,0)</f>
        <v/>
      </c>
      <c r="BT291" s="58">
        <f>IF(ISNUMBER(Z291),1,0)</f>
        <v/>
      </c>
      <c r="BU291" s="55">
        <f>N(Z291)</f>
        <v/>
      </c>
      <c r="BV291" s="55">
        <f>N(L291)+N(M291)</f>
        <v/>
      </c>
      <c r="BW291" s="55">
        <f>ROUNDUP(G291/BN291,0)</f>
        <v/>
      </c>
      <c r="BX291" s="55">
        <f>ROUNDUP(BU291/BN291,0)</f>
        <v/>
      </c>
      <c r="BY291" s="58">
        <f>IF(BO291=1,0,IFERROR(VLOOKUP(BM291,'Gebinde-Kategorie'!$A$5:$G$45,5,0)+0,0))</f>
        <v/>
      </c>
      <c r="BZ291" s="58">
        <f>IFERROR(IF(OR(BQ291=1,BQ291=2,BQ291=3),N(INDEX(Parameter!$I$5:$I$7,BQ291)),0),0)</f>
        <v/>
      </c>
    </row>
    <row r="292">
      <c r="A292" s="53" t="inlineStr">
        <is>
          <t>100181</t>
        </is>
      </c>
      <c r="B292" s="53" t="inlineStr">
        <is>
          <t>Dummy Glühkerzenhalter</t>
        </is>
      </c>
      <c r="C292" s="53" t="inlineStr">
        <is>
          <t>F</t>
        </is>
      </c>
      <c r="D292" s="53" t="inlineStr">
        <is>
          <t>KTL</t>
        </is>
      </c>
      <c r="E292" s="53" t="inlineStr">
        <is>
          <t>C</t>
        </is>
      </c>
      <c r="F292" s="54" t="n">
        <v>21.92</v>
      </c>
      <c r="G292" s="55">
        <f>MAX(0,IF(Parameter!$B$20="Jahresanfang 2025 + Export",BG292+BF292,BF292))</f>
        <v/>
      </c>
      <c r="H292" s="55">
        <f>G292*F292</f>
        <v/>
      </c>
      <c r="I292" s="55">
        <f>BI292*Parameter!$B$18</f>
        <v/>
      </c>
      <c r="J292" s="56" t="n">
        <v>62</v>
      </c>
      <c r="K292" s="57" t="n">
        <v>1.483870967741935</v>
      </c>
      <c r="L292" s="55" t="n">
        <v>21</v>
      </c>
      <c r="M292" s="55" t="n">
        <v>90</v>
      </c>
      <c r="N292" s="58" t="n">
        <v>84</v>
      </c>
      <c r="O292" s="53" t="inlineStr">
        <is>
          <t>S51</t>
        </is>
      </c>
      <c r="P292" s="55" t="n">
        <v>48</v>
      </c>
      <c r="Q292" s="59">
        <f>IF(BO292=1,0,IFERROR(VLOOKUP(BM292,'Gebinde-Kategorie'!$A$5:$G$45,6,0)+0,0))</f>
        <v/>
      </c>
      <c r="R292" s="60" t="n"/>
      <c r="S292" s="61" t="n"/>
      <c r="T292" s="61" t="n"/>
      <c r="U292" s="53">
        <f>IF(A292="","",IF(IFERROR(VLOOKUP(D292,Parameter!$A$35:$C$64,2,0),"Nein")="2+3",IF(ISNUMBER(SEARCH("grosser Artikel",BJ292)),2,IFERROR(VLOOKUP(BM292,Parameter!$F$35:$G$64,2,0),2)),IF(OR(IFERROR(VLOOKUP(D292,Parameter!$A$35:$C$64,2,0),"Nein")="Nein",IFERROR(VLOOKUP(D292,Parameter!$A$35:$C$64,2,0),"Nein")=""),"-",VLOOKUP(D292,Parameter!$A$35:$C$64,2,0))))</f>
        <v/>
      </c>
      <c r="V292" s="61" t="n"/>
      <c r="W292" s="62" t="n"/>
      <c r="X292" s="55">
        <f>AM292</f>
        <v/>
      </c>
      <c r="Y292" s="55">
        <f>MAX(AM292,G292)</f>
        <v/>
      </c>
      <c r="Z292" s="63" t="n"/>
      <c r="AA292" s="55">
        <f>IF(LEFT(Cockpit!$C$5,1)="A",G292,IF(BT292=1,BU292,IF(LEFT(Cockpit!$C$5,1)="B",AE292,MAX(AE292,G292))))</f>
        <v/>
      </c>
      <c r="AB292" s="55">
        <f>IF(BO292=1,0,ROUNDUP(AA292/BN292,0))</f>
        <v/>
      </c>
      <c r="AC292" s="64">
        <f>IF(BO292=1,IF(AA292&lt;=0,0,BP292*MAX(1,IF(G292&gt;0,AA292/G292,1))),AB292*Q292)</f>
        <v/>
      </c>
      <c r="AD292" s="55">
        <f>AA292*F292</f>
        <v/>
      </c>
      <c r="AE292" s="55">
        <f>ROUNDUP(MAX(I292/IF(BS292&gt;0,BS292,MAX(0.1,N(Cockpit!$C$6))),BV292)/BN292,0)*BN292</f>
        <v/>
      </c>
      <c r="AF292" s="56">
        <f>IF(AC292&gt;0,I292/AC292,-1)</f>
        <v/>
      </c>
      <c r="AG292" s="56">
        <f>IF(AND(OR(BR292="L1",BR292="L23"),AC292&gt;0),SUMIFS($AC$7:$AC$1570,$BR$7:$BR$1570,BR292,$AF$7:$AF$1570,"&gt;"&amp;AF292)+SUMIFS($AC$7:$AC$1570,$BR$7:$BR$1570,BR292,$AF$7:$AF$1570,AF292,$BL$7:$BL$1570,"&lt;="&amp;BL292),"")</f>
        <v/>
      </c>
      <c r="AH292" s="65">
        <f>IF(AG292="",0,MAX(0,MIN(1,(IF(BR292="L1",Parameter!$K$5,Parameter!$K$6+Parameter!$K$7)-(AG292-AC292))/AC292)))</f>
        <v/>
      </c>
      <c r="AI292" s="55">
        <f>IF(LEFT(Cockpit!$I$5,1)="A",G292,IF(BT292=1,BU292,IF(LEFT(Cockpit!$I$5,1)="B",AM292,MAX(AM292,G292))))</f>
        <v/>
      </c>
      <c r="AJ292" s="55">
        <f>IF(BO292=1,0,ROUNDUP(AI292/BN292,0))</f>
        <v/>
      </c>
      <c r="AK292" s="64">
        <f>IF(BO292=1,IF(AI292&lt;=0,0,BP292*MAX(1,IF(G292&gt;0,AI292/G292,1))),AJ292*Q292)</f>
        <v/>
      </c>
      <c r="AL292" s="55">
        <f>AI292*F292</f>
        <v/>
      </c>
      <c r="AM292" s="55">
        <f>ROUNDUP(MAX(I292/IF(BS292&gt;0,BS292,MAX(0.1,N(Cockpit!$I$6))),BV292)/BN292,0)*BN292</f>
        <v/>
      </c>
      <c r="AN292" s="56">
        <f>IF(AK292&gt;0,I292/AK292,-1)</f>
        <v/>
      </c>
      <c r="AO292" s="56">
        <f>IF(AND(OR(BR292="L1",BR292="L23"),AK292&gt;0),SUMIFS($AK$7:$AK$1570,$BR$7:$BR$1570,BR292,$AN$7:$AN$1570,"&gt;"&amp;AN292)+SUMIFS($AK$7:$AK$1570,$BR$7:$BR$1570,BR292,$AN$7:$AN$1570,AN292,$BL$7:$BL$1570,"&lt;="&amp;BL292),"")</f>
        <v/>
      </c>
      <c r="AP292" s="65">
        <f>IF(AO292="",0,MAX(0,MIN(1,(IF(BR292="L1",Parameter!$K$5,Parameter!$K$6+Parameter!$K$7)-(AO292-AK292))/AK292)))</f>
        <v/>
      </c>
      <c r="AQ292" s="55">
        <f>IF(LEFT(Cockpit!$O$5,1)="A",G292,IF(BT292=1,BU292,IF(LEFT(Cockpit!$O$5,1)="B",AU292,MAX(AU292,G292))))</f>
        <v/>
      </c>
      <c r="AR292" s="55">
        <f>IF(BO292=1,0,ROUNDUP(AQ292/BN292,0))</f>
        <v/>
      </c>
      <c r="AS292" s="64">
        <f>IF(BO292=1,IF(AQ292&lt;=0,0,BP292*MAX(1,IF(G292&gt;0,AQ292/G292,1))),AR292*Q292)</f>
        <v/>
      </c>
      <c r="AT292" s="55">
        <f>AQ292*F292</f>
        <v/>
      </c>
      <c r="AU292" s="55">
        <f>ROUNDUP(MAX(I292/IF(BS292&gt;0,BS292,MAX(0.1,N(Cockpit!$O$6))),BV292)/BN292,0)*BN292</f>
        <v/>
      </c>
      <c r="AV292" s="56">
        <f>IF(AS292&gt;0,I292/AS292,-1)</f>
        <v/>
      </c>
      <c r="AW292" s="56">
        <f>IF(AND(OR(BR292="L1",BR292="L23"),AS292&gt;0),SUMIFS($AS$7:$AS$1570,$BR$7:$BR$1570,BR292,$AV$7:$AV$1570,"&gt;"&amp;AV292)+SUMIFS($AS$7:$AS$1570,$BR$7:$BR$1570,BR292,$AV$7:$AV$1570,AV292,$BL$7:$BL$1570,"&lt;="&amp;BL292),"")</f>
        <v/>
      </c>
      <c r="AX292" s="65">
        <f>IF(AW292="",0,MAX(0,MIN(1,(IF(BR292="L1",Parameter!$K$5,Parameter!$K$6+Parameter!$K$7)-(AW292-AS292))/AS292)))</f>
        <v/>
      </c>
      <c r="AY292" s="53">
        <f>IF(AC292&lt;=0,"",IF(BR292="Aussen","Aussenlager",IF(BR292="-","Nicht im Lift",IF(AH292&gt;=1,"Lift",IF(AH292&lt;=0,"Aussenlager","teilweise")))))</f>
        <v/>
      </c>
      <c r="AZ292" s="53">
        <f>IF(AK292&lt;=0,"",IF(BR292="Aussen","Aussenlager",IF(BR292="-","Nicht im Lift",IF(AP292&gt;=1,"Lift",IF(AP292&lt;=0,"Aussenlager","teilweise")))))</f>
        <v/>
      </c>
      <c r="BA292" s="53">
        <f>IF(AS292&lt;=0,"",IF(BR292="Aussen","Aussenlager",IF(BR292="-","Nicht im Lift",IF(AX292&gt;=1,"Lift",IF(AX292&lt;=0,"Aussenlager","teilweise")))))</f>
        <v/>
      </c>
      <c r="BB292" s="53">
        <f>IF(A292="","",IF(BK292=1,"Neu; ","")&amp;IF(AND(BK292=0,BF292&lt;0),"negativer Bestand (Export "&amp;BF292&amp;"); ","")&amp;IF(I292&lt;=0,"Kein Verbrauch; ","")&amp;IF(BO292=1,"Lose – Fläche geschätzt; ","")&amp;IF(G292&gt;AM292,"Überbestand "&amp;ROUND(G292-AM292,0)&amp;" Stk / CHF "&amp;ROUND((G292-AM292)*F292,0)&amp;"; ","")&amp;IF(AND(BT292=1,BU292&lt;BV292),"MAX &lt; MB+LG; ","")&amp;IF(AND(BZ292&gt;0,BY292*10&gt;BZ292),"zu hoch für Tablar; ","")&amp;IF(AND(BK292=0,OR(BT292=1,V292&lt;&gt;"",S292&lt;&gt;"",T292&lt;&gt;"",W292&lt;&gt;"")),"manuell übersteuert; ","")&amp;IF(AND(BO292=0,Q292=0),"Gebinde unbekannt; ","")&amp;IF(AND(BO292=0,N(T292)&lt;=0,N(P292)&lt;=0),"Menge pro Gebinde fehlt (Ist = 1 Gebinde); ","")&amp;BJ292)</f>
        <v/>
      </c>
      <c r="BC292" s="53" t="n"/>
      <c r="BD292" s="53" t="n"/>
      <c r="BE292" s="61" t="n"/>
      <c r="BF292" s="55" t="n">
        <v>17</v>
      </c>
      <c r="BG292" s="55" t="n">
        <v>57</v>
      </c>
      <c r="BH292" s="54" t="n">
        <v>296.8300000000012</v>
      </c>
      <c r="BI292" s="55" t="n">
        <v>92</v>
      </c>
      <c r="BJ292" s="53" t="inlineStr"/>
      <c r="BK292" s="58" t="n">
        <v>0</v>
      </c>
      <c r="BL292" s="58" t="n">
        <v>292</v>
      </c>
      <c r="BM292" s="53">
        <f>IF(S292&lt;&gt;"",UPPER(TRIM(S292)),IF(O292="","LOSE",O292))</f>
        <v/>
      </c>
      <c r="BN292" s="55">
        <f>IF(BM292="LOSE",1,IF(N(T292)&gt;0,T292,IF(N(P292)&gt;0,P292,MAX(1,G292))))</f>
        <v/>
      </c>
      <c r="BO292" s="58">
        <f>IF(BM292="LOSE",1,0)</f>
        <v/>
      </c>
      <c r="BP292" s="64">
        <f>IF(BO292=0,0,IF(N(R292)&gt;0,R292,IFERROR(VLOOKUP(D292,Parameter!$A$35:$C$64,3,0)+0,0)))</f>
        <v/>
      </c>
      <c r="BQ292" s="53">
        <f>IF(V292&lt;&gt;"",V292,U292)</f>
        <v/>
      </c>
      <c r="BR292" s="53">
        <f>IF(BQ292=1,"L1",IF(OR(BQ292=2,BQ292=3),"L23",IF(BQ292="Aussen","Aussen","-")))</f>
        <v/>
      </c>
      <c r="BS292" s="66">
        <f>IF(N(W292)&gt;0,W292,0)</f>
        <v/>
      </c>
      <c r="BT292" s="58">
        <f>IF(ISNUMBER(Z292),1,0)</f>
        <v/>
      </c>
      <c r="BU292" s="55">
        <f>N(Z292)</f>
        <v/>
      </c>
      <c r="BV292" s="55">
        <f>N(L292)+N(M292)</f>
        <v/>
      </c>
      <c r="BW292" s="55">
        <f>ROUNDUP(G292/BN292,0)</f>
        <v/>
      </c>
      <c r="BX292" s="55">
        <f>ROUNDUP(BU292/BN292,0)</f>
        <v/>
      </c>
      <c r="BY292" s="58">
        <f>IF(BO292=1,0,IFERROR(VLOOKUP(BM292,'Gebinde-Kategorie'!$A$5:$G$45,5,0)+0,0))</f>
        <v/>
      </c>
      <c r="BZ292" s="58">
        <f>IFERROR(IF(OR(BQ292=1,BQ292=2,BQ292=3),N(INDEX(Parameter!$I$5:$I$7,BQ292)),0),0)</f>
        <v/>
      </c>
    </row>
    <row r="293">
      <c r="A293" s="53" t="inlineStr">
        <is>
          <t>107694</t>
        </is>
      </c>
      <c r="B293" s="53" t="inlineStr">
        <is>
          <t>Kabellasche</t>
        </is>
      </c>
      <c r="C293" s="53" t="inlineStr">
        <is>
          <t>F</t>
        </is>
      </c>
      <c r="D293" s="53" t="inlineStr">
        <is>
          <t>KTL</t>
        </is>
      </c>
      <c r="E293" s="53" t="inlineStr">
        <is>
          <t>C</t>
        </is>
      </c>
      <c r="F293" s="54" t="n">
        <v>2.8</v>
      </c>
      <c r="G293" s="55">
        <f>MAX(0,IF(Parameter!$B$20="Jahresanfang 2025 + Export",BG293+BF293,BF293))</f>
        <v/>
      </c>
      <c r="H293" s="55">
        <f>G293*F293</f>
        <v/>
      </c>
      <c r="I293" s="55">
        <f>BI293*Parameter!$B$18</f>
        <v/>
      </c>
      <c r="J293" s="56" t="n">
        <v>54.5</v>
      </c>
      <c r="K293" s="57" t="n">
        <v>2.36697247706422</v>
      </c>
      <c r="L293" s="55" t="n">
        <v>10</v>
      </c>
      <c r="M293" s="55" t="n">
        <v>130</v>
      </c>
      <c r="N293" s="58" t="n">
        <v>28</v>
      </c>
      <c r="O293" s="53" t="inlineStr">
        <is>
          <t>S32</t>
        </is>
      </c>
      <c r="P293" s="55" t="n">
        <v>115</v>
      </c>
      <c r="Q293" s="59">
        <f>IF(BO293=1,0,IFERROR(VLOOKUP(BM293,'Gebinde-Kategorie'!$A$5:$G$45,6,0)+0,0))</f>
        <v/>
      </c>
      <c r="R293" s="60" t="n"/>
      <c r="S293" s="61" t="n"/>
      <c r="T293" s="61" t="n"/>
      <c r="U293" s="53">
        <f>IF(A293="","",IF(IFERROR(VLOOKUP(D293,Parameter!$A$35:$C$64,2,0),"Nein")="2+3",IF(ISNUMBER(SEARCH("grosser Artikel",BJ293)),2,IFERROR(VLOOKUP(BM293,Parameter!$F$35:$G$64,2,0),2)),IF(OR(IFERROR(VLOOKUP(D293,Parameter!$A$35:$C$64,2,0),"Nein")="Nein",IFERROR(VLOOKUP(D293,Parameter!$A$35:$C$64,2,0),"Nein")=""),"-",VLOOKUP(D293,Parameter!$A$35:$C$64,2,0))))</f>
        <v/>
      </c>
      <c r="V293" s="61" t="n"/>
      <c r="W293" s="62" t="n"/>
      <c r="X293" s="55">
        <f>AM293</f>
        <v/>
      </c>
      <c r="Y293" s="55">
        <f>MAX(AM293,G293)</f>
        <v/>
      </c>
      <c r="Z293" s="63" t="n"/>
      <c r="AA293" s="55">
        <f>IF(LEFT(Cockpit!$C$5,1)="A",G293,IF(BT293=1,BU293,IF(LEFT(Cockpit!$C$5,1)="B",AE293,MAX(AE293,G293))))</f>
        <v/>
      </c>
      <c r="AB293" s="55">
        <f>IF(BO293=1,0,ROUNDUP(AA293/BN293,0))</f>
        <v/>
      </c>
      <c r="AC293" s="64">
        <f>IF(BO293=1,IF(AA293&lt;=0,0,BP293*MAX(1,IF(G293&gt;0,AA293/G293,1))),AB293*Q293)</f>
        <v/>
      </c>
      <c r="AD293" s="55">
        <f>AA293*F293</f>
        <v/>
      </c>
      <c r="AE293" s="55">
        <f>ROUNDUP(MAX(I293/IF(BS293&gt;0,BS293,MAX(0.1,N(Cockpit!$C$6))),BV293)/BN293,0)*BN293</f>
        <v/>
      </c>
      <c r="AF293" s="56">
        <f>IF(AC293&gt;0,I293/AC293,-1)</f>
        <v/>
      </c>
      <c r="AG293" s="56">
        <f>IF(AND(OR(BR293="L1",BR293="L23"),AC293&gt;0),SUMIFS($AC$7:$AC$1570,$BR$7:$BR$1570,BR293,$AF$7:$AF$1570,"&gt;"&amp;AF293)+SUMIFS($AC$7:$AC$1570,$BR$7:$BR$1570,BR293,$AF$7:$AF$1570,AF293,$BL$7:$BL$1570,"&lt;="&amp;BL293),"")</f>
        <v/>
      </c>
      <c r="AH293" s="65">
        <f>IF(AG293="",0,MAX(0,MIN(1,(IF(BR293="L1",Parameter!$K$5,Parameter!$K$6+Parameter!$K$7)-(AG293-AC293))/AC293)))</f>
        <v/>
      </c>
      <c r="AI293" s="55">
        <f>IF(LEFT(Cockpit!$I$5,1)="A",G293,IF(BT293=1,BU293,IF(LEFT(Cockpit!$I$5,1)="B",AM293,MAX(AM293,G293))))</f>
        <v/>
      </c>
      <c r="AJ293" s="55">
        <f>IF(BO293=1,0,ROUNDUP(AI293/BN293,0))</f>
        <v/>
      </c>
      <c r="AK293" s="64">
        <f>IF(BO293=1,IF(AI293&lt;=0,0,BP293*MAX(1,IF(G293&gt;0,AI293/G293,1))),AJ293*Q293)</f>
        <v/>
      </c>
      <c r="AL293" s="55">
        <f>AI293*F293</f>
        <v/>
      </c>
      <c r="AM293" s="55">
        <f>ROUNDUP(MAX(I293/IF(BS293&gt;0,BS293,MAX(0.1,N(Cockpit!$I$6))),BV293)/BN293,0)*BN293</f>
        <v/>
      </c>
      <c r="AN293" s="56">
        <f>IF(AK293&gt;0,I293/AK293,-1)</f>
        <v/>
      </c>
      <c r="AO293" s="56">
        <f>IF(AND(OR(BR293="L1",BR293="L23"),AK293&gt;0),SUMIFS($AK$7:$AK$1570,$BR$7:$BR$1570,BR293,$AN$7:$AN$1570,"&gt;"&amp;AN293)+SUMIFS($AK$7:$AK$1570,$BR$7:$BR$1570,BR293,$AN$7:$AN$1570,AN293,$BL$7:$BL$1570,"&lt;="&amp;BL293),"")</f>
        <v/>
      </c>
      <c r="AP293" s="65">
        <f>IF(AO293="",0,MAX(0,MIN(1,(IF(BR293="L1",Parameter!$K$5,Parameter!$K$6+Parameter!$K$7)-(AO293-AK293))/AK293)))</f>
        <v/>
      </c>
      <c r="AQ293" s="55">
        <f>IF(LEFT(Cockpit!$O$5,1)="A",G293,IF(BT293=1,BU293,IF(LEFT(Cockpit!$O$5,1)="B",AU293,MAX(AU293,G293))))</f>
        <v/>
      </c>
      <c r="AR293" s="55">
        <f>IF(BO293=1,0,ROUNDUP(AQ293/BN293,0))</f>
        <v/>
      </c>
      <c r="AS293" s="64">
        <f>IF(BO293=1,IF(AQ293&lt;=0,0,BP293*MAX(1,IF(G293&gt;0,AQ293/G293,1))),AR293*Q293)</f>
        <v/>
      </c>
      <c r="AT293" s="55">
        <f>AQ293*F293</f>
        <v/>
      </c>
      <c r="AU293" s="55">
        <f>ROUNDUP(MAX(I293/IF(BS293&gt;0,BS293,MAX(0.1,N(Cockpit!$O$6))),BV293)/BN293,0)*BN293</f>
        <v/>
      </c>
      <c r="AV293" s="56">
        <f>IF(AS293&gt;0,I293/AS293,-1)</f>
        <v/>
      </c>
      <c r="AW293" s="56">
        <f>IF(AND(OR(BR293="L1",BR293="L23"),AS293&gt;0),SUMIFS($AS$7:$AS$1570,$BR$7:$BR$1570,BR293,$AV$7:$AV$1570,"&gt;"&amp;AV293)+SUMIFS($AS$7:$AS$1570,$BR$7:$BR$1570,BR293,$AV$7:$AV$1570,AV293,$BL$7:$BL$1570,"&lt;="&amp;BL293),"")</f>
        <v/>
      </c>
      <c r="AX293" s="65">
        <f>IF(AW293="",0,MAX(0,MIN(1,(IF(BR293="L1",Parameter!$K$5,Parameter!$K$6+Parameter!$K$7)-(AW293-AS293))/AS293)))</f>
        <v/>
      </c>
      <c r="AY293" s="53">
        <f>IF(AC293&lt;=0,"",IF(BR293="Aussen","Aussenlager",IF(BR293="-","Nicht im Lift",IF(AH293&gt;=1,"Lift",IF(AH293&lt;=0,"Aussenlager","teilweise")))))</f>
        <v/>
      </c>
      <c r="AZ293" s="53">
        <f>IF(AK293&lt;=0,"",IF(BR293="Aussen","Aussenlager",IF(BR293="-","Nicht im Lift",IF(AP293&gt;=1,"Lift",IF(AP293&lt;=0,"Aussenlager","teilweise")))))</f>
        <v/>
      </c>
      <c r="BA293" s="53">
        <f>IF(AS293&lt;=0,"",IF(BR293="Aussen","Aussenlager",IF(BR293="-","Nicht im Lift",IF(AX293&gt;=1,"Lift",IF(AX293&lt;=0,"Aussenlager","teilweise")))))</f>
        <v/>
      </c>
      <c r="BB293" s="53">
        <f>IF(A293="","",IF(BK293=1,"Neu; ","")&amp;IF(AND(BK293=0,BF293&lt;0),"negativer Bestand (Export "&amp;BF293&amp;"); ","")&amp;IF(I293&lt;=0,"Kein Verbrauch; ","")&amp;IF(BO293=1,"Lose – Fläche geschätzt; ","")&amp;IF(G293&gt;AM293,"Überbestand "&amp;ROUND(G293-AM293,0)&amp;" Stk / CHF "&amp;ROUND((G293-AM293)*F293,0)&amp;"; ","")&amp;IF(AND(BT293=1,BU293&lt;BV293),"MAX &lt; MB+LG; ","")&amp;IF(AND(BZ293&gt;0,BY293*10&gt;BZ293),"zu hoch für Tablar; ","")&amp;IF(AND(BK293=0,OR(BT293=1,V293&lt;&gt;"",S293&lt;&gt;"",T293&lt;&gt;"",W293&lt;&gt;"")),"manuell übersteuert; ","")&amp;IF(AND(BO293=0,Q293=0),"Gebinde unbekannt; ","")&amp;IF(AND(BO293=0,N(T293)&lt;=0,N(P293)&lt;=0),"Menge pro Gebinde fehlt (Ist = 1 Gebinde); ","")&amp;BJ293)</f>
        <v/>
      </c>
      <c r="BC293" s="53" t="n"/>
      <c r="BD293" s="53" t="n"/>
      <c r="BE293" s="61" t="n"/>
      <c r="BF293" s="55" t="n">
        <v>105</v>
      </c>
      <c r="BG293" s="55" t="n">
        <v>18</v>
      </c>
      <c r="BH293" s="54" t="n">
        <v>294.1800000000001</v>
      </c>
      <c r="BI293" s="55" t="n">
        <v>129</v>
      </c>
      <c r="BJ293" s="53" t="inlineStr"/>
      <c r="BK293" s="58" t="n">
        <v>0</v>
      </c>
      <c r="BL293" s="58" t="n">
        <v>293</v>
      </c>
      <c r="BM293" s="53">
        <f>IF(S293&lt;&gt;"",UPPER(TRIM(S293)),IF(O293="","LOSE",O293))</f>
        <v/>
      </c>
      <c r="BN293" s="55">
        <f>IF(BM293="LOSE",1,IF(N(T293)&gt;0,T293,IF(N(P293)&gt;0,P293,MAX(1,G293))))</f>
        <v/>
      </c>
      <c r="BO293" s="58">
        <f>IF(BM293="LOSE",1,0)</f>
        <v/>
      </c>
      <c r="BP293" s="64">
        <f>IF(BO293=0,0,IF(N(R293)&gt;0,R293,IFERROR(VLOOKUP(D293,Parameter!$A$35:$C$64,3,0)+0,0)))</f>
        <v/>
      </c>
      <c r="BQ293" s="53">
        <f>IF(V293&lt;&gt;"",V293,U293)</f>
        <v/>
      </c>
      <c r="BR293" s="53">
        <f>IF(BQ293=1,"L1",IF(OR(BQ293=2,BQ293=3),"L23",IF(BQ293="Aussen","Aussen","-")))</f>
        <v/>
      </c>
      <c r="BS293" s="66">
        <f>IF(N(W293)&gt;0,W293,0)</f>
        <v/>
      </c>
      <c r="BT293" s="58">
        <f>IF(ISNUMBER(Z293),1,0)</f>
        <v/>
      </c>
      <c r="BU293" s="55">
        <f>N(Z293)</f>
        <v/>
      </c>
      <c r="BV293" s="55">
        <f>N(L293)+N(M293)</f>
        <v/>
      </c>
      <c r="BW293" s="55">
        <f>ROUNDUP(G293/BN293,0)</f>
        <v/>
      </c>
      <c r="BX293" s="55">
        <f>ROUNDUP(BU293/BN293,0)</f>
        <v/>
      </c>
      <c r="BY293" s="58">
        <f>IF(BO293=1,0,IFERROR(VLOOKUP(BM293,'Gebinde-Kategorie'!$A$5:$G$45,5,0)+0,0))</f>
        <v/>
      </c>
      <c r="BZ293" s="58">
        <f>IFERROR(IF(OR(BQ293=1,BQ293=2,BQ293=3),N(INDEX(Parameter!$I$5:$I$7,BQ293)),0),0)</f>
        <v/>
      </c>
    </row>
    <row r="294">
      <c r="A294" s="53" t="inlineStr">
        <is>
          <t>005407</t>
        </is>
      </c>
      <c r="B294" s="53" t="inlineStr">
        <is>
          <t>Anker zu Magnetventil Parker</t>
        </is>
      </c>
      <c r="C294" s="53" t="inlineStr">
        <is>
          <t>F</t>
        </is>
      </c>
      <c r="D294" s="53" t="inlineStr">
        <is>
          <t>KTL</t>
        </is>
      </c>
      <c r="E294" s="53" t="inlineStr">
        <is>
          <t>C</t>
        </is>
      </c>
      <c r="F294" s="54" t="n">
        <v>30.7</v>
      </c>
      <c r="G294" s="55">
        <f>MAX(0,IF(Parameter!$B$20="Jahresanfang 2025 + Export",BG294+BF294,BF294))</f>
        <v/>
      </c>
      <c r="H294" s="55">
        <f>G294*F294</f>
        <v/>
      </c>
      <c r="I294" s="55">
        <f>BI294*Parameter!$B$18</f>
        <v/>
      </c>
      <c r="J294" s="56" t="n">
        <v>14</v>
      </c>
      <c r="K294" s="57" t="n">
        <v>0.1428571428571428</v>
      </c>
      <c r="L294" s="55" t="n">
        <v>0</v>
      </c>
      <c r="M294" s="55" t="n">
        <v>1</v>
      </c>
      <c r="N294" s="58" t="n">
        <v>21</v>
      </c>
      <c r="O294" s="53" t="inlineStr">
        <is>
          <t>S21</t>
        </is>
      </c>
      <c r="P294" s="55" t="n">
        <v>10</v>
      </c>
      <c r="Q294" s="59">
        <f>IF(BO294=1,0,IFERROR(VLOOKUP(BM294,'Gebinde-Kategorie'!$A$5:$G$45,6,0)+0,0))</f>
        <v/>
      </c>
      <c r="R294" s="60" t="n"/>
      <c r="S294" s="61" t="n"/>
      <c r="T294" s="61" t="n"/>
      <c r="U294" s="53">
        <f>IF(A294="","",IF(IFERROR(VLOOKUP(D294,Parameter!$A$35:$C$64,2,0),"Nein")="2+3",IF(ISNUMBER(SEARCH("grosser Artikel",BJ294)),2,IFERROR(VLOOKUP(BM294,Parameter!$F$35:$G$64,2,0),2)),IF(OR(IFERROR(VLOOKUP(D294,Parameter!$A$35:$C$64,2,0),"Nein")="Nein",IFERROR(VLOOKUP(D294,Parameter!$A$35:$C$64,2,0),"Nein")=""),"-",VLOOKUP(D294,Parameter!$A$35:$C$64,2,0))))</f>
        <v/>
      </c>
      <c r="V294" s="61" t="n"/>
      <c r="W294" s="62" t="n"/>
      <c r="X294" s="55">
        <f>AM294</f>
        <v/>
      </c>
      <c r="Y294" s="55">
        <f>MAX(AM294,G294)</f>
        <v/>
      </c>
      <c r="Z294" s="63" t="n"/>
      <c r="AA294" s="55">
        <f>IF(LEFT(Cockpit!$C$5,1)="A",G294,IF(BT294=1,BU294,IF(LEFT(Cockpit!$C$5,1)="B",AE294,MAX(AE294,G294))))</f>
        <v/>
      </c>
      <c r="AB294" s="55">
        <f>IF(BO294=1,0,ROUNDUP(AA294/BN294,0))</f>
        <v/>
      </c>
      <c r="AC294" s="64">
        <f>IF(BO294=1,IF(AA294&lt;=0,0,BP294*MAX(1,IF(G294&gt;0,AA294/G294,1))),AB294*Q294)</f>
        <v/>
      </c>
      <c r="AD294" s="55">
        <f>AA294*F294</f>
        <v/>
      </c>
      <c r="AE294" s="55">
        <f>ROUNDUP(MAX(I294/IF(BS294&gt;0,BS294,MAX(0.1,N(Cockpit!$C$6))),BV294)/BN294,0)*BN294</f>
        <v/>
      </c>
      <c r="AF294" s="56">
        <f>IF(AC294&gt;0,I294/AC294,-1)</f>
        <v/>
      </c>
      <c r="AG294" s="56">
        <f>IF(AND(OR(BR294="L1",BR294="L23"),AC294&gt;0),SUMIFS($AC$7:$AC$1570,$BR$7:$BR$1570,BR294,$AF$7:$AF$1570,"&gt;"&amp;AF294)+SUMIFS($AC$7:$AC$1570,$BR$7:$BR$1570,BR294,$AF$7:$AF$1570,AF294,$BL$7:$BL$1570,"&lt;="&amp;BL294),"")</f>
        <v/>
      </c>
      <c r="AH294" s="65">
        <f>IF(AG294="",0,MAX(0,MIN(1,(IF(BR294="L1",Parameter!$K$5,Parameter!$K$6+Parameter!$K$7)-(AG294-AC294))/AC294)))</f>
        <v/>
      </c>
      <c r="AI294" s="55">
        <f>IF(LEFT(Cockpit!$I$5,1)="A",G294,IF(BT294=1,BU294,IF(LEFT(Cockpit!$I$5,1)="B",AM294,MAX(AM294,G294))))</f>
        <v/>
      </c>
      <c r="AJ294" s="55">
        <f>IF(BO294=1,0,ROUNDUP(AI294/BN294,0))</f>
        <v/>
      </c>
      <c r="AK294" s="64">
        <f>IF(BO294=1,IF(AI294&lt;=0,0,BP294*MAX(1,IF(G294&gt;0,AI294/G294,1))),AJ294*Q294)</f>
        <v/>
      </c>
      <c r="AL294" s="55">
        <f>AI294*F294</f>
        <v/>
      </c>
      <c r="AM294" s="55">
        <f>ROUNDUP(MAX(I294/IF(BS294&gt;0,BS294,MAX(0.1,N(Cockpit!$I$6))),BV294)/BN294,0)*BN294</f>
        <v/>
      </c>
      <c r="AN294" s="56">
        <f>IF(AK294&gt;0,I294/AK294,-1)</f>
        <v/>
      </c>
      <c r="AO294" s="56">
        <f>IF(AND(OR(BR294="L1",BR294="L23"),AK294&gt;0),SUMIFS($AK$7:$AK$1570,$BR$7:$BR$1570,BR294,$AN$7:$AN$1570,"&gt;"&amp;AN294)+SUMIFS($AK$7:$AK$1570,$BR$7:$BR$1570,BR294,$AN$7:$AN$1570,AN294,$BL$7:$BL$1570,"&lt;="&amp;BL294),"")</f>
        <v/>
      </c>
      <c r="AP294" s="65">
        <f>IF(AO294="",0,MAX(0,MIN(1,(IF(BR294="L1",Parameter!$K$5,Parameter!$K$6+Parameter!$K$7)-(AO294-AK294))/AK294)))</f>
        <v/>
      </c>
      <c r="AQ294" s="55">
        <f>IF(LEFT(Cockpit!$O$5,1)="A",G294,IF(BT294=1,BU294,IF(LEFT(Cockpit!$O$5,1)="B",AU294,MAX(AU294,G294))))</f>
        <v/>
      </c>
      <c r="AR294" s="55">
        <f>IF(BO294=1,0,ROUNDUP(AQ294/BN294,0))</f>
        <v/>
      </c>
      <c r="AS294" s="64">
        <f>IF(BO294=1,IF(AQ294&lt;=0,0,BP294*MAX(1,IF(G294&gt;0,AQ294/G294,1))),AR294*Q294)</f>
        <v/>
      </c>
      <c r="AT294" s="55">
        <f>AQ294*F294</f>
        <v/>
      </c>
      <c r="AU294" s="55">
        <f>ROUNDUP(MAX(I294/IF(BS294&gt;0,BS294,MAX(0.1,N(Cockpit!$O$6))),BV294)/BN294,0)*BN294</f>
        <v/>
      </c>
      <c r="AV294" s="56">
        <f>IF(AS294&gt;0,I294/AS294,-1)</f>
        <v/>
      </c>
      <c r="AW294" s="56">
        <f>IF(AND(OR(BR294="L1",BR294="L23"),AS294&gt;0),SUMIFS($AS$7:$AS$1570,$BR$7:$BR$1570,BR294,$AV$7:$AV$1570,"&gt;"&amp;AV294)+SUMIFS($AS$7:$AS$1570,$BR$7:$BR$1570,BR294,$AV$7:$AV$1570,AV294,$BL$7:$BL$1570,"&lt;="&amp;BL294),"")</f>
        <v/>
      </c>
      <c r="AX294" s="65">
        <f>IF(AW294="",0,MAX(0,MIN(1,(IF(BR294="L1",Parameter!$K$5,Parameter!$K$6+Parameter!$K$7)-(AW294-AS294))/AS294)))</f>
        <v/>
      </c>
      <c r="AY294" s="53">
        <f>IF(AC294&lt;=0,"",IF(BR294="Aussen","Aussenlager",IF(BR294="-","Nicht im Lift",IF(AH294&gt;=1,"Lift",IF(AH294&lt;=0,"Aussenlager","teilweise")))))</f>
        <v/>
      </c>
      <c r="AZ294" s="53">
        <f>IF(AK294&lt;=0,"",IF(BR294="Aussen","Aussenlager",IF(BR294="-","Nicht im Lift",IF(AP294&gt;=1,"Lift",IF(AP294&lt;=0,"Aussenlager","teilweise")))))</f>
        <v/>
      </c>
      <c r="BA294" s="53">
        <f>IF(AS294&lt;=0,"",IF(BR294="Aussen","Aussenlager",IF(BR294="-","Nicht im Lift",IF(AX294&gt;=1,"Lift",IF(AX294&lt;=0,"Aussenlager","teilweise")))))</f>
        <v/>
      </c>
      <c r="BB294" s="53">
        <f>IF(A294="","",IF(BK294=1,"Neu; ","")&amp;IF(AND(BK294=0,BF294&lt;0),"negativer Bestand (Export "&amp;BF294&amp;"); ","")&amp;IF(I294&lt;=0,"Kein Verbrauch; ","")&amp;IF(BO294=1,"Lose – Fläche geschätzt; ","")&amp;IF(G294&gt;AM294,"Überbestand "&amp;ROUND(G294-AM294,0)&amp;" Stk / CHF "&amp;ROUND((G294-AM294)*F294,0)&amp;"; ","")&amp;IF(AND(BT294=1,BU294&lt;BV294),"MAX &lt; MB+LG; ","")&amp;IF(AND(BZ294&gt;0,BY294*10&gt;BZ294),"zu hoch für Tablar; ","")&amp;IF(AND(BK294=0,OR(BT294=1,V294&lt;&gt;"",S294&lt;&gt;"",T294&lt;&gt;"",W294&lt;&gt;"")),"manuell übersteuert; ","")&amp;IF(AND(BO294=0,Q294=0),"Gebinde unbekannt; ","")&amp;IF(AND(BO294=0,N(T294)&lt;=0,N(P294)&lt;=0),"Menge pro Gebinde fehlt (Ist = 1 Gebinde); ","")&amp;BJ294)</f>
        <v/>
      </c>
      <c r="BC294" s="53" t="n"/>
      <c r="BD294" s="53" t="n"/>
      <c r="BE294" s="61" t="n"/>
      <c r="BF294" s="55" t="n">
        <v>8</v>
      </c>
      <c r="BG294" s="55" t="n">
        <v>10</v>
      </c>
      <c r="BH294" s="54" t="n">
        <v>286.9</v>
      </c>
      <c r="BI294" s="55" t="n">
        <v>2</v>
      </c>
      <c r="BJ294" s="53" t="inlineStr"/>
      <c r="BK294" s="58" t="n">
        <v>0</v>
      </c>
      <c r="BL294" s="58" t="n">
        <v>294</v>
      </c>
      <c r="BM294" s="53">
        <f>IF(S294&lt;&gt;"",UPPER(TRIM(S294)),IF(O294="","LOSE",O294))</f>
        <v/>
      </c>
      <c r="BN294" s="55">
        <f>IF(BM294="LOSE",1,IF(N(T294)&gt;0,T294,IF(N(P294)&gt;0,P294,MAX(1,G294))))</f>
        <v/>
      </c>
      <c r="BO294" s="58">
        <f>IF(BM294="LOSE",1,0)</f>
        <v/>
      </c>
      <c r="BP294" s="64">
        <f>IF(BO294=0,0,IF(N(R294)&gt;0,R294,IFERROR(VLOOKUP(D294,Parameter!$A$35:$C$64,3,0)+0,0)))</f>
        <v/>
      </c>
      <c r="BQ294" s="53">
        <f>IF(V294&lt;&gt;"",V294,U294)</f>
        <v/>
      </c>
      <c r="BR294" s="53">
        <f>IF(BQ294=1,"L1",IF(OR(BQ294=2,BQ294=3),"L23",IF(BQ294="Aussen","Aussen","-")))</f>
        <v/>
      </c>
      <c r="BS294" s="66">
        <f>IF(N(W294)&gt;0,W294,0)</f>
        <v/>
      </c>
      <c r="BT294" s="58">
        <f>IF(ISNUMBER(Z294),1,0)</f>
        <v/>
      </c>
      <c r="BU294" s="55">
        <f>N(Z294)</f>
        <v/>
      </c>
      <c r="BV294" s="55">
        <f>N(L294)+N(M294)</f>
        <v/>
      </c>
      <c r="BW294" s="55">
        <f>ROUNDUP(G294/BN294,0)</f>
        <v/>
      </c>
      <c r="BX294" s="55">
        <f>ROUNDUP(BU294/BN294,0)</f>
        <v/>
      </c>
      <c r="BY294" s="58">
        <f>IF(BO294=1,0,IFERROR(VLOOKUP(BM294,'Gebinde-Kategorie'!$A$5:$G$45,5,0)+0,0))</f>
        <v/>
      </c>
      <c r="BZ294" s="58">
        <f>IFERROR(IF(OR(BQ294=1,BQ294=2,BQ294=3),N(INDEX(Parameter!$I$5:$I$7,BQ294)),0),0)</f>
        <v/>
      </c>
    </row>
    <row r="295">
      <c r="A295" s="53" t="inlineStr">
        <is>
          <t>111976</t>
        </is>
      </c>
      <c r="B295" s="53" t="inlineStr">
        <is>
          <t>Einschraub-Schaft Adapter</t>
        </is>
      </c>
      <c r="C295" s="53" t="inlineStr">
        <is>
          <t>F</t>
        </is>
      </c>
      <c r="D295" s="53" t="inlineStr">
        <is>
          <t>KTL</t>
        </is>
      </c>
      <c r="E295" s="53" t="inlineStr">
        <is>
          <t>C</t>
        </is>
      </c>
      <c r="F295" s="54" t="n">
        <v>5.72</v>
      </c>
      <c r="G295" s="55">
        <f>MAX(0,IF(Parameter!$B$20="Jahresanfang 2025 + Export",BG295+BF295,BF295))</f>
        <v/>
      </c>
      <c r="H295" s="55">
        <f>G295*F295</f>
        <v/>
      </c>
      <c r="I295" s="55">
        <f>BI295*Parameter!$B$18</f>
        <v/>
      </c>
      <c r="J295" s="56" t="n">
        <v>0</v>
      </c>
      <c r="K295" s="57" t="n">
        <v>0</v>
      </c>
      <c r="L295" s="55" t="n">
        <v>0</v>
      </c>
      <c r="M295" s="55" t="n">
        <v>1</v>
      </c>
      <c r="N295" s="58" t="n">
        <v>9999</v>
      </c>
      <c r="O295" s="53" t="inlineStr">
        <is>
          <t>LOSE</t>
        </is>
      </c>
      <c r="P295" s="55" t="n"/>
      <c r="Q295" s="59">
        <f>IF(BO295=1,0,IFERROR(VLOOKUP(BM295,'Gebinde-Kategorie'!$A$5:$G$45,6,0)+0,0))</f>
        <v/>
      </c>
      <c r="R295" s="60" t="n"/>
      <c r="S295" s="61" t="n"/>
      <c r="T295" s="61" t="n"/>
      <c r="U295" s="53">
        <f>IF(A295="","",IF(IFERROR(VLOOKUP(D295,Parameter!$A$35:$C$64,2,0),"Nein")="2+3",IF(ISNUMBER(SEARCH("grosser Artikel",BJ295)),2,IFERROR(VLOOKUP(BM295,Parameter!$F$35:$G$64,2,0),2)),IF(OR(IFERROR(VLOOKUP(D295,Parameter!$A$35:$C$64,2,0),"Nein")="Nein",IFERROR(VLOOKUP(D295,Parameter!$A$35:$C$64,2,0),"Nein")=""),"-",VLOOKUP(D295,Parameter!$A$35:$C$64,2,0))))</f>
        <v/>
      </c>
      <c r="V295" s="61" t="n"/>
      <c r="W295" s="62" t="n"/>
      <c r="X295" s="55">
        <f>AM295</f>
        <v/>
      </c>
      <c r="Y295" s="55">
        <f>MAX(AM295,G295)</f>
        <v/>
      </c>
      <c r="Z295" s="63" t="n"/>
      <c r="AA295" s="55">
        <f>IF(LEFT(Cockpit!$C$5,1)="A",G295,IF(BT295=1,BU295,IF(LEFT(Cockpit!$C$5,1)="B",AE295,MAX(AE295,G295))))</f>
        <v/>
      </c>
      <c r="AB295" s="55">
        <f>IF(BO295=1,0,ROUNDUP(AA295/BN295,0))</f>
        <v/>
      </c>
      <c r="AC295" s="64">
        <f>IF(BO295=1,IF(AA295&lt;=0,0,BP295*MAX(1,IF(G295&gt;0,AA295/G295,1))),AB295*Q295)</f>
        <v/>
      </c>
      <c r="AD295" s="55">
        <f>AA295*F295</f>
        <v/>
      </c>
      <c r="AE295" s="55">
        <f>ROUNDUP(MAX(I295/IF(BS295&gt;0,BS295,MAX(0.1,N(Cockpit!$C$6))),BV295)/BN295,0)*BN295</f>
        <v/>
      </c>
      <c r="AF295" s="56">
        <f>IF(AC295&gt;0,I295/AC295,-1)</f>
        <v/>
      </c>
      <c r="AG295" s="56">
        <f>IF(AND(OR(BR295="L1",BR295="L23"),AC295&gt;0),SUMIFS($AC$7:$AC$1570,$BR$7:$BR$1570,BR295,$AF$7:$AF$1570,"&gt;"&amp;AF295)+SUMIFS($AC$7:$AC$1570,$BR$7:$BR$1570,BR295,$AF$7:$AF$1570,AF295,$BL$7:$BL$1570,"&lt;="&amp;BL295),"")</f>
        <v/>
      </c>
      <c r="AH295" s="65">
        <f>IF(AG295="",0,MAX(0,MIN(1,(IF(BR295="L1",Parameter!$K$5,Parameter!$K$6+Parameter!$K$7)-(AG295-AC295))/AC295)))</f>
        <v/>
      </c>
      <c r="AI295" s="55">
        <f>IF(LEFT(Cockpit!$I$5,1)="A",G295,IF(BT295=1,BU295,IF(LEFT(Cockpit!$I$5,1)="B",AM295,MAX(AM295,G295))))</f>
        <v/>
      </c>
      <c r="AJ295" s="55">
        <f>IF(BO295=1,0,ROUNDUP(AI295/BN295,0))</f>
        <v/>
      </c>
      <c r="AK295" s="64">
        <f>IF(BO295=1,IF(AI295&lt;=0,0,BP295*MAX(1,IF(G295&gt;0,AI295/G295,1))),AJ295*Q295)</f>
        <v/>
      </c>
      <c r="AL295" s="55">
        <f>AI295*F295</f>
        <v/>
      </c>
      <c r="AM295" s="55">
        <f>ROUNDUP(MAX(I295/IF(BS295&gt;0,BS295,MAX(0.1,N(Cockpit!$I$6))),BV295)/BN295,0)*BN295</f>
        <v/>
      </c>
      <c r="AN295" s="56">
        <f>IF(AK295&gt;0,I295/AK295,-1)</f>
        <v/>
      </c>
      <c r="AO295" s="56">
        <f>IF(AND(OR(BR295="L1",BR295="L23"),AK295&gt;0),SUMIFS($AK$7:$AK$1570,$BR$7:$BR$1570,BR295,$AN$7:$AN$1570,"&gt;"&amp;AN295)+SUMIFS($AK$7:$AK$1570,$BR$7:$BR$1570,BR295,$AN$7:$AN$1570,AN295,$BL$7:$BL$1570,"&lt;="&amp;BL295),"")</f>
        <v/>
      </c>
      <c r="AP295" s="65">
        <f>IF(AO295="",0,MAX(0,MIN(1,(IF(BR295="L1",Parameter!$K$5,Parameter!$K$6+Parameter!$K$7)-(AO295-AK295))/AK295)))</f>
        <v/>
      </c>
      <c r="AQ295" s="55">
        <f>IF(LEFT(Cockpit!$O$5,1)="A",G295,IF(BT295=1,BU295,IF(LEFT(Cockpit!$O$5,1)="B",AU295,MAX(AU295,G295))))</f>
        <v/>
      </c>
      <c r="AR295" s="55">
        <f>IF(BO295=1,0,ROUNDUP(AQ295/BN295,0))</f>
        <v/>
      </c>
      <c r="AS295" s="64">
        <f>IF(BO295=1,IF(AQ295&lt;=0,0,BP295*MAX(1,IF(G295&gt;0,AQ295/G295,1))),AR295*Q295)</f>
        <v/>
      </c>
      <c r="AT295" s="55">
        <f>AQ295*F295</f>
        <v/>
      </c>
      <c r="AU295" s="55">
        <f>ROUNDUP(MAX(I295/IF(BS295&gt;0,BS295,MAX(0.1,N(Cockpit!$O$6))),BV295)/BN295,0)*BN295</f>
        <v/>
      </c>
      <c r="AV295" s="56">
        <f>IF(AS295&gt;0,I295/AS295,-1)</f>
        <v/>
      </c>
      <c r="AW295" s="56">
        <f>IF(AND(OR(BR295="L1",BR295="L23"),AS295&gt;0),SUMIFS($AS$7:$AS$1570,$BR$7:$BR$1570,BR295,$AV$7:$AV$1570,"&gt;"&amp;AV295)+SUMIFS($AS$7:$AS$1570,$BR$7:$BR$1570,BR295,$AV$7:$AV$1570,AV295,$BL$7:$BL$1570,"&lt;="&amp;BL295),"")</f>
        <v/>
      </c>
      <c r="AX295" s="65">
        <f>IF(AW295="",0,MAX(0,MIN(1,(IF(BR295="L1",Parameter!$K$5,Parameter!$K$6+Parameter!$K$7)-(AW295-AS295))/AS295)))</f>
        <v/>
      </c>
      <c r="AY295" s="53">
        <f>IF(AC295&lt;=0,"",IF(BR295="Aussen","Aussenlager",IF(BR295="-","Nicht im Lift",IF(AH295&gt;=1,"Lift",IF(AH295&lt;=0,"Aussenlager","teilweise")))))</f>
        <v/>
      </c>
      <c r="AZ295" s="53">
        <f>IF(AK295&lt;=0,"",IF(BR295="Aussen","Aussenlager",IF(BR295="-","Nicht im Lift",IF(AP295&gt;=1,"Lift",IF(AP295&lt;=0,"Aussenlager","teilweise")))))</f>
        <v/>
      </c>
      <c r="BA295" s="53">
        <f>IF(AS295&lt;=0,"",IF(BR295="Aussen","Aussenlager",IF(BR295="-","Nicht im Lift",IF(AX295&gt;=1,"Lift",IF(AX295&lt;=0,"Aussenlager","teilweise")))))</f>
        <v/>
      </c>
      <c r="BB295" s="53">
        <f>IF(A295="","",IF(BK295=1,"Neu; ","")&amp;IF(AND(BK295=0,BF295&lt;0),"negativer Bestand (Export "&amp;BF295&amp;"); ","")&amp;IF(I295&lt;=0,"Kein Verbrauch; ","")&amp;IF(BO295=1,"Lose – Fläche geschätzt; ","")&amp;IF(G295&gt;AM295,"Überbestand "&amp;ROUND(G295-AM295,0)&amp;" Stk / CHF "&amp;ROUND((G295-AM295)*F295,0)&amp;"; ","")&amp;IF(AND(BT295=1,BU295&lt;BV295),"MAX &lt; MB+LG; ","")&amp;IF(AND(BZ295&gt;0,BY295*10&gt;BZ295),"zu hoch für Tablar; ","")&amp;IF(AND(BK295=0,OR(BT295=1,V295&lt;&gt;"",S295&lt;&gt;"",T295&lt;&gt;"",W295&lt;&gt;"")),"manuell übersteuert; ","")&amp;IF(AND(BO295=0,Q295=0),"Gebinde unbekannt; ","")&amp;IF(AND(BO295=0,N(T295)&lt;=0,N(P295)&lt;=0),"Menge pro Gebinde fehlt (Ist = 1 Gebinde); ","")&amp;BJ295)</f>
        <v/>
      </c>
      <c r="BC295" s="53" t="n"/>
      <c r="BD295" s="53" t="n"/>
      <c r="BE295" s="61" t="n"/>
      <c r="BF295" s="55" t="n">
        <v>50</v>
      </c>
      <c r="BG295" s="55" t="n">
        <v>0</v>
      </c>
      <c r="BH295" s="54" t="n">
        <v>286</v>
      </c>
      <c r="BI295" s="55" t="n">
        <v>0</v>
      </c>
      <c r="BJ295" s="53" t="inlineStr"/>
      <c r="BK295" s="58" t="n">
        <v>0</v>
      </c>
      <c r="BL295" s="58" t="n">
        <v>295</v>
      </c>
      <c r="BM295" s="53">
        <f>IF(S295&lt;&gt;"",UPPER(TRIM(S295)),IF(O295="","LOSE",O295))</f>
        <v/>
      </c>
      <c r="BN295" s="55">
        <f>IF(BM295="LOSE",1,IF(N(T295)&gt;0,T295,IF(N(P295)&gt;0,P295,MAX(1,G295))))</f>
        <v/>
      </c>
      <c r="BO295" s="58">
        <f>IF(BM295="LOSE",1,0)</f>
        <v/>
      </c>
      <c r="BP295" s="64">
        <f>IF(BO295=0,0,IF(N(R295)&gt;0,R295,IFERROR(VLOOKUP(D295,Parameter!$A$35:$C$64,3,0)+0,0)))</f>
        <v/>
      </c>
      <c r="BQ295" s="53">
        <f>IF(V295&lt;&gt;"",V295,U295)</f>
        <v/>
      </c>
      <c r="BR295" s="53">
        <f>IF(BQ295=1,"L1",IF(OR(BQ295=2,BQ295=3),"L23",IF(BQ295="Aussen","Aussen","-")))</f>
        <v/>
      </c>
      <c r="BS295" s="66">
        <f>IF(N(W295)&gt;0,W295,0)</f>
        <v/>
      </c>
      <c r="BT295" s="58">
        <f>IF(ISNUMBER(Z295),1,0)</f>
        <v/>
      </c>
      <c r="BU295" s="55">
        <f>N(Z295)</f>
        <v/>
      </c>
      <c r="BV295" s="55">
        <f>N(L295)+N(M295)</f>
        <v/>
      </c>
      <c r="BW295" s="55">
        <f>ROUNDUP(G295/BN295,0)</f>
        <v/>
      </c>
      <c r="BX295" s="55">
        <f>ROUNDUP(BU295/BN295,0)</f>
        <v/>
      </c>
      <c r="BY295" s="58">
        <f>IF(BO295=1,0,IFERROR(VLOOKUP(BM295,'Gebinde-Kategorie'!$A$5:$G$45,5,0)+0,0))</f>
        <v/>
      </c>
      <c r="BZ295" s="58">
        <f>IFERROR(IF(OR(BQ295=1,BQ295=2,BQ295=3),N(INDEX(Parameter!$I$5:$I$7,BQ295)),0),0)</f>
        <v/>
      </c>
    </row>
    <row r="296">
      <c r="A296" s="53" t="inlineStr">
        <is>
          <t>109149</t>
        </is>
      </c>
      <c r="B296" s="53" t="inlineStr">
        <is>
          <t>Druckregler</t>
        </is>
      </c>
      <c r="C296" s="53" t="inlineStr">
        <is>
          <t>F</t>
        </is>
      </c>
      <c r="D296" s="53" t="inlineStr">
        <is>
          <t>KTL</t>
        </is>
      </c>
      <c r="E296" s="53" t="inlineStr">
        <is>
          <t>C</t>
        </is>
      </c>
      <c r="F296" s="54" t="n">
        <v>738.65</v>
      </c>
      <c r="G296" s="55">
        <f>MAX(0,IF(Parameter!$B$20="Jahresanfang 2025 + Export",BG296+BF296,BF296))</f>
        <v/>
      </c>
      <c r="H296" s="55">
        <f>G296*F296</f>
        <v/>
      </c>
      <c r="I296" s="55">
        <f>BI296*Parameter!$B$18</f>
        <v/>
      </c>
      <c r="J296" s="56" t="n">
        <v>4.5</v>
      </c>
      <c r="K296" s="57" t="n">
        <v>3.111111111111111</v>
      </c>
      <c r="L296" s="55" t="n">
        <v>10</v>
      </c>
      <c r="M296" s="55" t="n">
        <v>5</v>
      </c>
      <c r="N296" s="58" t="n">
        <v>28</v>
      </c>
      <c r="O296" s="53" t="inlineStr">
        <is>
          <t>LOSE</t>
        </is>
      </c>
      <c r="P296" s="55" t="n"/>
      <c r="Q296" s="59">
        <f>IF(BO296=1,0,IFERROR(VLOOKUP(BM296,'Gebinde-Kategorie'!$A$5:$G$45,6,0)+0,0))</f>
        <v/>
      </c>
      <c r="R296" s="60" t="n"/>
      <c r="S296" s="61" t="n"/>
      <c r="T296" s="61" t="n"/>
      <c r="U296" s="53">
        <f>IF(A296="","",IF(IFERROR(VLOOKUP(D296,Parameter!$A$35:$C$64,2,0),"Nein")="2+3",IF(ISNUMBER(SEARCH("grosser Artikel",BJ296)),2,IFERROR(VLOOKUP(BM296,Parameter!$F$35:$G$64,2,0),2)),IF(OR(IFERROR(VLOOKUP(D296,Parameter!$A$35:$C$64,2,0),"Nein")="Nein",IFERROR(VLOOKUP(D296,Parameter!$A$35:$C$64,2,0),"Nein")=""),"-",VLOOKUP(D296,Parameter!$A$35:$C$64,2,0))))</f>
        <v/>
      </c>
      <c r="V296" s="61" t="n"/>
      <c r="W296" s="62" t="n"/>
      <c r="X296" s="55">
        <f>AM296</f>
        <v/>
      </c>
      <c r="Y296" s="55">
        <f>MAX(AM296,G296)</f>
        <v/>
      </c>
      <c r="Z296" s="63" t="n"/>
      <c r="AA296" s="55">
        <f>IF(LEFT(Cockpit!$C$5,1)="A",G296,IF(BT296=1,BU296,IF(LEFT(Cockpit!$C$5,1)="B",AE296,MAX(AE296,G296))))</f>
        <v/>
      </c>
      <c r="AB296" s="55">
        <f>IF(BO296=1,0,ROUNDUP(AA296/BN296,0))</f>
        <v/>
      </c>
      <c r="AC296" s="64">
        <f>IF(BO296=1,IF(AA296&lt;=0,0,BP296*MAX(1,IF(G296&gt;0,AA296/G296,1))),AB296*Q296)</f>
        <v/>
      </c>
      <c r="AD296" s="55">
        <f>AA296*F296</f>
        <v/>
      </c>
      <c r="AE296" s="55">
        <f>ROUNDUP(MAX(I296/IF(BS296&gt;0,BS296,MAX(0.1,N(Cockpit!$C$6))),BV296)/BN296,0)*BN296</f>
        <v/>
      </c>
      <c r="AF296" s="56">
        <f>IF(AC296&gt;0,I296/AC296,-1)</f>
        <v/>
      </c>
      <c r="AG296" s="56">
        <f>IF(AND(OR(BR296="L1",BR296="L23"),AC296&gt;0),SUMIFS($AC$7:$AC$1570,$BR$7:$BR$1570,BR296,$AF$7:$AF$1570,"&gt;"&amp;AF296)+SUMIFS($AC$7:$AC$1570,$BR$7:$BR$1570,BR296,$AF$7:$AF$1570,AF296,$BL$7:$BL$1570,"&lt;="&amp;BL296),"")</f>
        <v/>
      </c>
      <c r="AH296" s="65">
        <f>IF(AG296="",0,MAX(0,MIN(1,(IF(BR296="L1",Parameter!$K$5,Parameter!$K$6+Parameter!$K$7)-(AG296-AC296))/AC296)))</f>
        <v/>
      </c>
      <c r="AI296" s="55">
        <f>IF(LEFT(Cockpit!$I$5,1)="A",G296,IF(BT296=1,BU296,IF(LEFT(Cockpit!$I$5,1)="B",AM296,MAX(AM296,G296))))</f>
        <v/>
      </c>
      <c r="AJ296" s="55">
        <f>IF(BO296=1,0,ROUNDUP(AI296/BN296,0))</f>
        <v/>
      </c>
      <c r="AK296" s="64">
        <f>IF(BO296=1,IF(AI296&lt;=0,0,BP296*MAX(1,IF(G296&gt;0,AI296/G296,1))),AJ296*Q296)</f>
        <v/>
      </c>
      <c r="AL296" s="55">
        <f>AI296*F296</f>
        <v/>
      </c>
      <c r="AM296" s="55">
        <f>ROUNDUP(MAX(I296/IF(BS296&gt;0,BS296,MAX(0.1,N(Cockpit!$I$6))),BV296)/BN296,0)*BN296</f>
        <v/>
      </c>
      <c r="AN296" s="56">
        <f>IF(AK296&gt;0,I296/AK296,-1)</f>
        <v/>
      </c>
      <c r="AO296" s="56">
        <f>IF(AND(OR(BR296="L1",BR296="L23"),AK296&gt;0),SUMIFS($AK$7:$AK$1570,$BR$7:$BR$1570,BR296,$AN$7:$AN$1570,"&gt;"&amp;AN296)+SUMIFS($AK$7:$AK$1570,$BR$7:$BR$1570,BR296,$AN$7:$AN$1570,AN296,$BL$7:$BL$1570,"&lt;="&amp;BL296),"")</f>
        <v/>
      </c>
      <c r="AP296" s="65">
        <f>IF(AO296="",0,MAX(0,MIN(1,(IF(BR296="L1",Parameter!$K$5,Parameter!$K$6+Parameter!$K$7)-(AO296-AK296))/AK296)))</f>
        <v/>
      </c>
      <c r="AQ296" s="55">
        <f>IF(LEFT(Cockpit!$O$5,1)="A",G296,IF(BT296=1,BU296,IF(LEFT(Cockpit!$O$5,1)="B",AU296,MAX(AU296,G296))))</f>
        <v/>
      </c>
      <c r="AR296" s="55">
        <f>IF(BO296=1,0,ROUNDUP(AQ296/BN296,0))</f>
        <v/>
      </c>
      <c r="AS296" s="64">
        <f>IF(BO296=1,IF(AQ296&lt;=0,0,BP296*MAX(1,IF(G296&gt;0,AQ296/G296,1))),AR296*Q296)</f>
        <v/>
      </c>
      <c r="AT296" s="55">
        <f>AQ296*F296</f>
        <v/>
      </c>
      <c r="AU296" s="55">
        <f>ROUNDUP(MAX(I296/IF(BS296&gt;0,BS296,MAX(0.1,N(Cockpit!$O$6))),BV296)/BN296,0)*BN296</f>
        <v/>
      </c>
      <c r="AV296" s="56">
        <f>IF(AS296&gt;0,I296/AS296,-1)</f>
        <v/>
      </c>
      <c r="AW296" s="56">
        <f>IF(AND(OR(BR296="L1",BR296="L23"),AS296&gt;0),SUMIFS($AS$7:$AS$1570,$BR$7:$BR$1570,BR296,$AV$7:$AV$1570,"&gt;"&amp;AV296)+SUMIFS($AS$7:$AS$1570,$BR$7:$BR$1570,BR296,$AV$7:$AV$1570,AV296,$BL$7:$BL$1570,"&lt;="&amp;BL296),"")</f>
        <v/>
      </c>
      <c r="AX296" s="65">
        <f>IF(AW296="",0,MAX(0,MIN(1,(IF(BR296="L1",Parameter!$K$5,Parameter!$K$6+Parameter!$K$7)-(AW296-AS296))/AS296)))</f>
        <v/>
      </c>
      <c r="AY296" s="53">
        <f>IF(AC296&lt;=0,"",IF(BR296="Aussen","Aussenlager",IF(BR296="-","Nicht im Lift",IF(AH296&gt;=1,"Lift",IF(AH296&lt;=0,"Aussenlager","teilweise")))))</f>
        <v/>
      </c>
      <c r="AZ296" s="53">
        <f>IF(AK296&lt;=0,"",IF(BR296="Aussen","Aussenlager",IF(BR296="-","Nicht im Lift",IF(AP296&gt;=1,"Lift",IF(AP296&lt;=0,"Aussenlager","teilweise")))))</f>
        <v/>
      </c>
      <c r="BA296" s="53">
        <f>IF(AS296&lt;=0,"",IF(BR296="Aussen","Aussenlager",IF(BR296="-","Nicht im Lift",IF(AX296&gt;=1,"Lift",IF(AX296&lt;=0,"Aussenlager","teilweise")))))</f>
        <v/>
      </c>
      <c r="BB296" s="53">
        <f>IF(A296="","",IF(BK296=1,"Neu; ","")&amp;IF(AND(BK296=0,BF296&lt;0),"negativer Bestand (Export "&amp;BF296&amp;"); ","")&amp;IF(I296&lt;=0,"Kein Verbrauch; ","")&amp;IF(BO296=1,"Lose – Fläche geschätzt; ","")&amp;IF(G296&gt;AM296,"Überbestand "&amp;ROUND(G296-AM296,0)&amp;" Stk / CHF "&amp;ROUND((G296-AM296)*F296,0)&amp;"; ","")&amp;IF(AND(BT296=1,BU296&lt;BV296),"MAX &lt; MB+LG; ","")&amp;IF(AND(BZ296&gt;0,BY296*10&gt;BZ296),"zu hoch für Tablar; ","")&amp;IF(AND(BK296=0,OR(BT296=1,V296&lt;&gt;"",S296&lt;&gt;"",T296&lt;&gt;"",W296&lt;&gt;"")),"manuell übersteuert; ","")&amp;IF(AND(BO296=0,Q296=0),"Gebinde unbekannt; ","")&amp;IF(AND(BO296=0,N(T296)&lt;=0,N(P296)&lt;=0),"Menge pro Gebinde fehlt (Ist = 1 Gebinde); ","")&amp;BJ296)</f>
        <v/>
      </c>
      <c r="BC296" s="53" t="n"/>
      <c r="BD296" s="53" t="n"/>
      <c r="BE296" s="61" t="n"/>
      <c r="BF296" s="55" t="n">
        <v>0</v>
      </c>
      <c r="BG296" s="55" t="n">
        <v>4</v>
      </c>
      <c r="BH296" s="54" t="n">
        <v>279.7200000000028</v>
      </c>
      <c r="BI296" s="55" t="n">
        <v>14</v>
      </c>
      <c r="BJ296" s="53" t="inlineStr"/>
      <c r="BK296" s="58" t="n">
        <v>0</v>
      </c>
      <c r="BL296" s="58" t="n">
        <v>296</v>
      </c>
      <c r="BM296" s="53">
        <f>IF(S296&lt;&gt;"",UPPER(TRIM(S296)),IF(O296="","LOSE",O296))</f>
        <v/>
      </c>
      <c r="BN296" s="55">
        <f>IF(BM296="LOSE",1,IF(N(T296)&gt;0,T296,IF(N(P296)&gt;0,P296,MAX(1,G296))))</f>
        <v/>
      </c>
      <c r="BO296" s="58">
        <f>IF(BM296="LOSE",1,0)</f>
        <v/>
      </c>
      <c r="BP296" s="64">
        <f>IF(BO296=0,0,IF(N(R296)&gt;0,R296,IFERROR(VLOOKUP(D296,Parameter!$A$35:$C$64,3,0)+0,0)))</f>
        <v/>
      </c>
      <c r="BQ296" s="53">
        <f>IF(V296&lt;&gt;"",V296,U296)</f>
        <v/>
      </c>
      <c r="BR296" s="53">
        <f>IF(BQ296=1,"L1",IF(OR(BQ296=2,BQ296=3),"L23",IF(BQ296="Aussen","Aussen","-")))</f>
        <v/>
      </c>
      <c r="BS296" s="66">
        <f>IF(N(W296)&gt;0,W296,0)</f>
        <v/>
      </c>
      <c r="BT296" s="58">
        <f>IF(ISNUMBER(Z296),1,0)</f>
        <v/>
      </c>
      <c r="BU296" s="55">
        <f>N(Z296)</f>
        <v/>
      </c>
      <c r="BV296" s="55">
        <f>N(L296)+N(M296)</f>
        <v/>
      </c>
      <c r="BW296" s="55">
        <f>ROUNDUP(G296/BN296,0)</f>
        <v/>
      </c>
      <c r="BX296" s="55">
        <f>ROUNDUP(BU296/BN296,0)</f>
        <v/>
      </c>
      <c r="BY296" s="58">
        <f>IF(BO296=1,0,IFERROR(VLOOKUP(BM296,'Gebinde-Kategorie'!$A$5:$G$45,5,0)+0,0))</f>
        <v/>
      </c>
      <c r="BZ296" s="58">
        <f>IFERROR(IF(OR(BQ296=1,BQ296=2,BQ296=3),N(INDEX(Parameter!$I$5:$I$7,BQ296)),0),0)</f>
        <v/>
      </c>
    </row>
    <row r="297">
      <c r="A297" s="53" t="inlineStr">
        <is>
          <t>005395</t>
        </is>
      </c>
      <c r="B297" s="53" t="inlineStr">
        <is>
          <t>Putzstock komplett</t>
        </is>
      </c>
      <c r="C297" s="53" t="inlineStr">
        <is>
          <t>F</t>
        </is>
      </c>
      <c r="D297" s="53" t="inlineStr">
        <is>
          <t>KTL</t>
        </is>
      </c>
      <c r="E297" s="53" t="inlineStr">
        <is>
          <t>C</t>
        </is>
      </c>
      <c r="F297" s="54" t="n">
        <v>29.89</v>
      </c>
      <c r="G297" s="55">
        <f>MAX(0,IF(Parameter!$B$20="Jahresanfang 2025 + Export",BG297+BF297,BF297))</f>
        <v/>
      </c>
      <c r="H297" s="55">
        <f>G297*F297</f>
        <v/>
      </c>
      <c r="I297" s="55">
        <f>BI297*Parameter!$B$18</f>
        <v/>
      </c>
      <c r="J297" s="56" t="n">
        <v>9</v>
      </c>
      <c r="K297" s="57" t="n">
        <v>0.2222222222222222</v>
      </c>
      <c r="L297" s="55" t="n">
        <v>0</v>
      </c>
      <c r="M297" s="55" t="n">
        <v>1</v>
      </c>
      <c r="N297" s="58" t="n">
        <v>28</v>
      </c>
      <c r="O297" s="53" t="inlineStr">
        <is>
          <t>S33</t>
        </is>
      </c>
      <c r="P297" s="55" t="n">
        <v>12</v>
      </c>
      <c r="Q297" s="59">
        <f>IF(BO297=1,0,IFERROR(VLOOKUP(BM297,'Gebinde-Kategorie'!$A$5:$G$45,6,0)+0,0))</f>
        <v/>
      </c>
      <c r="R297" s="60" t="n"/>
      <c r="S297" s="61" t="n"/>
      <c r="T297" s="61" t="n"/>
      <c r="U297" s="53">
        <f>IF(A297="","",IF(IFERROR(VLOOKUP(D297,Parameter!$A$35:$C$64,2,0),"Nein")="2+3",IF(ISNUMBER(SEARCH("grosser Artikel",BJ297)),2,IFERROR(VLOOKUP(BM297,Parameter!$F$35:$G$64,2,0),2)),IF(OR(IFERROR(VLOOKUP(D297,Parameter!$A$35:$C$64,2,0),"Nein")="Nein",IFERROR(VLOOKUP(D297,Parameter!$A$35:$C$64,2,0),"Nein")=""),"-",VLOOKUP(D297,Parameter!$A$35:$C$64,2,0))))</f>
        <v/>
      </c>
      <c r="V297" s="61" t="n"/>
      <c r="W297" s="62" t="n"/>
      <c r="X297" s="55">
        <f>AM297</f>
        <v/>
      </c>
      <c r="Y297" s="55">
        <f>MAX(AM297,G297)</f>
        <v/>
      </c>
      <c r="Z297" s="63" t="n"/>
      <c r="AA297" s="55">
        <f>IF(LEFT(Cockpit!$C$5,1)="A",G297,IF(BT297=1,BU297,IF(LEFT(Cockpit!$C$5,1)="B",AE297,MAX(AE297,G297))))</f>
        <v/>
      </c>
      <c r="AB297" s="55">
        <f>IF(BO297=1,0,ROUNDUP(AA297/BN297,0))</f>
        <v/>
      </c>
      <c r="AC297" s="64">
        <f>IF(BO297=1,IF(AA297&lt;=0,0,BP297*MAX(1,IF(G297&gt;0,AA297/G297,1))),AB297*Q297)</f>
        <v/>
      </c>
      <c r="AD297" s="55">
        <f>AA297*F297</f>
        <v/>
      </c>
      <c r="AE297" s="55">
        <f>ROUNDUP(MAX(I297/IF(BS297&gt;0,BS297,MAX(0.1,N(Cockpit!$C$6))),BV297)/BN297,0)*BN297</f>
        <v/>
      </c>
      <c r="AF297" s="56">
        <f>IF(AC297&gt;0,I297/AC297,-1)</f>
        <v/>
      </c>
      <c r="AG297" s="56">
        <f>IF(AND(OR(BR297="L1",BR297="L23"),AC297&gt;0),SUMIFS($AC$7:$AC$1570,$BR$7:$BR$1570,BR297,$AF$7:$AF$1570,"&gt;"&amp;AF297)+SUMIFS($AC$7:$AC$1570,$BR$7:$BR$1570,BR297,$AF$7:$AF$1570,AF297,$BL$7:$BL$1570,"&lt;="&amp;BL297),"")</f>
        <v/>
      </c>
      <c r="AH297" s="65">
        <f>IF(AG297="",0,MAX(0,MIN(1,(IF(BR297="L1",Parameter!$K$5,Parameter!$K$6+Parameter!$K$7)-(AG297-AC297))/AC297)))</f>
        <v/>
      </c>
      <c r="AI297" s="55">
        <f>IF(LEFT(Cockpit!$I$5,1)="A",G297,IF(BT297=1,BU297,IF(LEFT(Cockpit!$I$5,1)="B",AM297,MAX(AM297,G297))))</f>
        <v/>
      </c>
      <c r="AJ297" s="55">
        <f>IF(BO297=1,0,ROUNDUP(AI297/BN297,0))</f>
        <v/>
      </c>
      <c r="AK297" s="64">
        <f>IF(BO297=1,IF(AI297&lt;=0,0,BP297*MAX(1,IF(G297&gt;0,AI297/G297,1))),AJ297*Q297)</f>
        <v/>
      </c>
      <c r="AL297" s="55">
        <f>AI297*F297</f>
        <v/>
      </c>
      <c r="AM297" s="55">
        <f>ROUNDUP(MAX(I297/IF(BS297&gt;0,BS297,MAX(0.1,N(Cockpit!$I$6))),BV297)/BN297,0)*BN297</f>
        <v/>
      </c>
      <c r="AN297" s="56">
        <f>IF(AK297&gt;0,I297/AK297,-1)</f>
        <v/>
      </c>
      <c r="AO297" s="56">
        <f>IF(AND(OR(BR297="L1",BR297="L23"),AK297&gt;0),SUMIFS($AK$7:$AK$1570,$BR$7:$BR$1570,BR297,$AN$7:$AN$1570,"&gt;"&amp;AN297)+SUMIFS($AK$7:$AK$1570,$BR$7:$BR$1570,BR297,$AN$7:$AN$1570,AN297,$BL$7:$BL$1570,"&lt;="&amp;BL297),"")</f>
        <v/>
      </c>
      <c r="AP297" s="65">
        <f>IF(AO297="",0,MAX(0,MIN(1,(IF(BR297="L1",Parameter!$K$5,Parameter!$K$6+Parameter!$K$7)-(AO297-AK297))/AK297)))</f>
        <v/>
      </c>
      <c r="AQ297" s="55">
        <f>IF(LEFT(Cockpit!$O$5,1)="A",G297,IF(BT297=1,BU297,IF(LEFT(Cockpit!$O$5,1)="B",AU297,MAX(AU297,G297))))</f>
        <v/>
      </c>
      <c r="AR297" s="55">
        <f>IF(BO297=1,0,ROUNDUP(AQ297/BN297,0))</f>
        <v/>
      </c>
      <c r="AS297" s="64">
        <f>IF(BO297=1,IF(AQ297&lt;=0,0,BP297*MAX(1,IF(G297&gt;0,AQ297/G297,1))),AR297*Q297)</f>
        <v/>
      </c>
      <c r="AT297" s="55">
        <f>AQ297*F297</f>
        <v/>
      </c>
      <c r="AU297" s="55">
        <f>ROUNDUP(MAX(I297/IF(BS297&gt;0,BS297,MAX(0.1,N(Cockpit!$O$6))),BV297)/BN297,0)*BN297</f>
        <v/>
      </c>
      <c r="AV297" s="56">
        <f>IF(AS297&gt;0,I297/AS297,-1)</f>
        <v/>
      </c>
      <c r="AW297" s="56">
        <f>IF(AND(OR(BR297="L1",BR297="L23"),AS297&gt;0),SUMIFS($AS$7:$AS$1570,$BR$7:$BR$1570,BR297,$AV$7:$AV$1570,"&gt;"&amp;AV297)+SUMIFS($AS$7:$AS$1570,$BR$7:$BR$1570,BR297,$AV$7:$AV$1570,AV297,$BL$7:$BL$1570,"&lt;="&amp;BL297),"")</f>
        <v/>
      </c>
      <c r="AX297" s="65">
        <f>IF(AW297="",0,MAX(0,MIN(1,(IF(BR297="L1",Parameter!$K$5,Parameter!$K$6+Parameter!$K$7)-(AW297-AS297))/AS297)))</f>
        <v/>
      </c>
      <c r="AY297" s="53">
        <f>IF(AC297&lt;=0,"",IF(BR297="Aussen","Aussenlager",IF(BR297="-","Nicht im Lift",IF(AH297&gt;=1,"Lift",IF(AH297&lt;=0,"Aussenlager","teilweise")))))</f>
        <v/>
      </c>
      <c r="AZ297" s="53">
        <f>IF(AK297&lt;=0,"",IF(BR297="Aussen","Aussenlager",IF(BR297="-","Nicht im Lift",IF(AP297&gt;=1,"Lift",IF(AP297&lt;=0,"Aussenlager","teilweise")))))</f>
        <v/>
      </c>
      <c r="BA297" s="53">
        <f>IF(AS297&lt;=0,"",IF(BR297="Aussen","Aussenlager",IF(BR297="-","Nicht im Lift",IF(AX297&gt;=1,"Lift",IF(AX297&lt;=0,"Aussenlager","teilweise")))))</f>
        <v/>
      </c>
      <c r="BB297" s="53">
        <f>IF(A297="","",IF(BK297=1,"Neu; ","")&amp;IF(AND(BK297=0,BF297&lt;0),"negativer Bestand (Export "&amp;BF297&amp;"); ","")&amp;IF(I297&lt;=0,"Kein Verbrauch; ","")&amp;IF(BO297=1,"Lose – Fläche geschätzt; ","")&amp;IF(G297&gt;AM297,"Überbestand "&amp;ROUND(G297-AM297,0)&amp;" Stk / CHF "&amp;ROUND((G297-AM297)*F297,0)&amp;"; ","")&amp;IF(AND(BT297=1,BU297&lt;BV297),"MAX &lt; MB+LG; ","")&amp;IF(AND(BZ297&gt;0,BY297*10&gt;BZ297),"zu hoch für Tablar; ","")&amp;IF(AND(BK297=0,OR(BT297=1,V297&lt;&gt;"",S297&lt;&gt;"",T297&lt;&gt;"",W297&lt;&gt;"")),"manuell übersteuert; ","")&amp;IF(AND(BO297=0,Q297=0),"Gebinde unbekannt; ","")&amp;IF(AND(BO297=0,N(T297)&lt;=0,N(P297)&lt;=0),"Menge pro Gebinde fehlt (Ist = 1 Gebinde); ","")&amp;BJ297)</f>
        <v/>
      </c>
      <c r="BC297" s="53" t="n"/>
      <c r="BD297" s="53" t="n"/>
      <c r="BE297" s="61" t="n"/>
      <c r="BF297" s="55" t="n">
        <v>9</v>
      </c>
      <c r="BG297" s="55" t="n">
        <v>5</v>
      </c>
      <c r="BH297" s="54" t="n">
        <v>276.66</v>
      </c>
      <c r="BI297" s="55" t="n">
        <v>2</v>
      </c>
      <c r="BJ297" s="53" t="inlineStr"/>
      <c r="BK297" s="58" t="n">
        <v>0</v>
      </c>
      <c r="BL297" s="58" t="n">
        <v>297</v>
      </c>
      <c r="BM297" s="53">
        <f>IF(S297&lt;&gt;"",UPPER(TRIM(S297)),IF(O297="","LOSE",O297))</f>
        <v/>
      </c>
      <c r="BN297" s="55">
        <f>IF(BM297="LOSE",1,IF(N(T297)&gt;0,T297,IF(N(P297)&gt;0,P297,MAX(1,G297))))</f>
        <v/>
      </c>
      <c r="BO297" s="58">
        <f>IF(BM297="LOSE",1,0)</f>
        <v/>
      </c>
      <c r="BP297" s="64">
        <f>IF(BO297=0,0,IF(N(R297)&gt;0,R297,IFERROR(VLOOKUP(D297,Parameter!$A$35:$C$64,3,0)+0,0)))</f>
        <v/>
      </c>
      <c r="BQ297" s="53">
        <f>IF(V297&lt;&gt;"",V297,U297)</f>
        <v/>
      </c>
      <c r="BR297" s="53">
        <f>IF(BQ297=1,"L1",IF(OR(BQ297=2,BQ297=3),"L23",IF(BQ297="Aussen","Aussen","-")))</f>
        <v/>
      </c>
      <c r="BS297" s="66">
        <f>IF(N(W297)&gt;0,W297,0)</f>
        <v/>
      </c>
      <c r="BT297" s="58">
        <f>IF(ISNUMBER(Z297),1,0)</f>
        <v/>
      </c>
      <c r="BU297" s="55">
        <f>N(Z297)</f>
        <v/>
      </c>
      <c r="BV297" s="55">
        <f>N(L297)+N(M297)</f>
        <v/>
      </c>
      <c r="BW297" s="55">
        <f>ROUNDUP(G297/BN297,0)</f>
        <v/>
      </c>
      <c r="BX297" s="55">
        <f>ROUNDUP(BU297/BN297,0)</f>
        <v/>
      </c>
      <c r="BY297" s="58">
        <f>IF(BO297=1,0,IFERROR(VLOOKUP(BM297,'Gebinde-Kategorie'!$A$5:$G$45,5,0)+0,0))</f>
        <v/>
      </c>
      <c r="BZ297" s="58">
        <f>IFERROR(IF(OR(BQ297=1,BQ297=2,BQ297=3),N(INDEX(Parameter!$I$5:$I$7,BQ297)),0),0)</f>
        <v/>
      </c>
    </row>
    <row r="298">
      <c r="A298" s="53" t="inlineStr">
        <is>
          <t>108643</t>
        </is>
      </c>
      <c r="B298" s="53" t="inlineStr">
        <is>
          <t>Ventilkabel SPC800 - VP</t>
        </is>
      </c>
      <c r="C298" s="53" t="inlineStr">
        <is>
          <t>F</t>
        </is>
      </c>
      <c r="D298" s="53" t="inlineStr">
        <is>
          <t>KTL</t>
        </is>
      </c>
      <c r="E298" s="53" t="inlineStr">
        <is>
          <t>C</t>
        </is>
      </c>
      <c r="F298" s="54" t="n">
        <v>21.27</v>
      </c>
      <c r="G298" s="55">
        <f>MAX(0,IF(Parameter!$B$20="Jahresanfang 2025 + Export",BG298+BF298,BF298))</f>
        <v/>
      </c>
      <c r="H298" s="55">
        <f>G298*F298</f>
        <v/>
      </c>
      <c r="I298" s="55">
        <f>BI298*Parameter!$B$18</f>
        <v/>
      </c>
      <c r="J298" s="56" t="n">
        <v>36.5</v>
      </c>
      <c r="K298" s="57" t="n">
        <v>0</v>
      </c>
      <c r="L298" s="55" t="n">
        <v>0</v>
      </c>
      <c r="M298" s="55" t="n">
        <v>1</v>
      </c>
      <c r="N298" s="58" t="n">
        <v>28</v>
      </c>
      <c r="O298" s="53" t="inlineStr">
        <is>
          <t>S62</t>
        </is>
      </c>
      <c r="P298" s="55" t="n">
        <v>32</v>
      </c>
      <c r="Q298" s="59">
        <f>IF(BO298=1,0,IFERROR(VLOOKUP(BM298,'Gebinde-Kategorie'!$A$5:$G$45,6,0)+0,0))</f>
        <v/>
      </c>
      <c r="R298" s="60" t="n"/>
      <c r="S298" s="61" t="n"/>
      <c r="T298" s="61" t="n"/>
      <c r="U298" s="53">
        <f>IF(A298="","",IF(IFERROR(VLOOKUP(D298,Parameter!$A$35:$C$64,2,0),"Nein")="2+3",IF(ISNUMBER(SEARCH("grosser Artikel",BJ298)),2,IFERROR(VLOOKUP(BM298,Parameter!$F$35:$G$64,2,0),2)),IF(OR(IFERROR(VLOOKUP(D298,Parameter!$A$35:$C$64,2,0),"Nein")="Nein",IFERROR(VLOOKUP(D298,Parameter!$A$35:$C$64,2,0),"Nein")=""),"-",VLOOKUP(D298,Parameter!$A$35:$C$64,2,0))))</f>
        <v/>
      </c>
      <c r="V298" s="61" t="n"/>
      <c r="W298" s="62" t="n"/>
      <c r="X298" s="55">
        <f>AM298</f>
        <v/>
      </c>
      <c r="Y298" s="55">
        <f>MAX(AM298,G298)</f>
        <v/>
      </c>
      <c r="Z298" s="63" t="n"/>
      <c r="AA298" s="55">
        <f>IF(LEFT(Cockpit!$C$5,1)="A",G298,IF(BT298=1,BU298,IF(LEFT(Cockpit!$C$5,1)="B",AE298,MAX(AE298,G298))))</f>
        <v/>
      </c>
      <c r="AB298" s="55">
        <f>IF(BO298=1,0,ROUNDUP(AA298/BN298,0))</f>
        <v/>
      </c>
      <c r="AC298" s="64">
        <f>IF(BO298=1,IF(AA298&lt;=0,0,BP298*MAX(1,IF(G298&gt;0,AA298/G298,1))),AB298*Q298)</f>
        <v/>
      </c>
      <c r="AD298" s="55">
        <f>AA298*F298</f>
        <v/>
      </c>
      <c r="AE298" s="55">
        <f>ROUNDUP(MAX(I298/IF(BS298&gt;0,BS298,MAX(0.1,N(Cockpit!$C$6))),BV298)/BN298,0)*BN298</f>
        <v/>
      </c>
      <c r="AF298" s="56">
        <f>IF(AC298&gt;0,I298/AC298,-1)</f>
        <v/>
      </c>
      <c r="AG298" s="56">
        <f>IF(AND(OR(BR298="L1",BR298="L23"),AC298&gt;0),SUMIFS($AC$7:$AC$1570,$BR$7:$BR$1570,BR298,$AF$7:$AF$1570,"&gt;"&amp;AF298)+SUMIFS($AC$7:$AC$1570,$BR$7:$BR$1570,BR298,$AF$7:$AF$1570,AF298,$BL$7:$BL$1570,"&lt;="&amp;BL298),"")</f>
        <v/>
      </c>
      <c r="AH298" s="65">
        <f>IF(AG298="",0,MAX(0,MIN(1,(IF(BR298="L1",Parameter!$K$5,Parameter!$K$6+Parameter!$K$7)-(AG298-AC298))/AC298)))</f>
        <v/>
      </c>
      <c r="AI298" s="55">
        <f>IF(LEFT(Cockpit!$I$5,1)="A",G298,IF(BT298=1,BU298,IF(LEFT(Cockpit!$I$5,1)="B",AM298,MAX(AM298,G298))))</f>
        <v/>
      </c>
      <c r="AJ298" s="55">
        <f>IF(BO298=1,0,ROUNDUP(AI298/BN298,0))</f>
        <v/>
      </c>
      <c r="AK298" s="64">
        <f>IF(BO298=1,IF(AI298&lt;=0,0,BP298*MAX(1,IF(G298&gt;0,AI298/G298,1))),AJ298*Q298)</f>
        <v/>
      </c>
      <c r="AL298" s="55">
        <f>AI298*F298</f>
        <v/>
      </c>
      <c r="AM298" s="55">
        <f>ROUNDUP(MAX(I298/IF(BS298&gt;0,BS298,MAX(0.1,N(Cockpit!$I$6))),BV298)/BN298,0)*BN298</f>
        <v/>
      </c>
      <c r="AN298" s="56">
        <f>IF(AK298&gt;0,I298/AK298,-1)</f>
        <v/>
      </c>
      <c r="AO298" s="56">
        <f>IF(AND(OR(BR298="L1",BR298="L23"),AK298&gt;0),SUMIFS($AK$7:$AK$1570,$BR$7:$BR$1570,BR298,$AN$7:$AN$1570,"&gt;"&amp;AN298)+SUMIFS($AK$7:$AK$1570,$BR$7:$BR$1570,BR298,$AN$7:$AN$1570,AN298,$BL$7:$BL$1570,"&lt;="&amp;BL298),"")</f>
        <v/>
      </c>
      <c r="AP298" s="65">
        <f>IF(AO298="",0,MAX(0,MIN(1,(IF(BR298="L1",Parameter!$K$5,Parameter!$K$6+Parameter!$K$7)-(AO298-AK298))/AK298)))</f>
        <v/>
      </c>
      <c r="AQ298" s="55">
        <f>IF(LEFT(Cockpit!$O$5,1)="A",G298,IF(BT298=1,BU298,IF(LEFT(Cockpit!$O$5,1)="B",AU298,MAX(AU298,G298))))</f>
        <v/>
      </c>
      <c r="AR298" s="55">
        <f>IF(BO298=1,0,ROUNDUP(AQ298/BN298,0))</f>
        <v/>
      </c>
      <c r="AS298" s="64">
        <f>IF(BO298=1,IF(AQ298&lt;=0,0,BP298*MAX(1,IF(G298&gt;0,AQ298/G298,1))),AR298*Q298)</f>
        <v/>
      </c>
      <c r="AT298" s="55">
        <f>AQ298*F298</f>
        <v/>
      </c>
      <c r="AU298" s="55">
        <f>ROUNDUP(MAX(I298/IF(BS298&gt;0,BS298,MAX(0.1,N(Cockpit!$O$6))),BV298)/BN298,0)*BN298</f>
        <v/>
      </c>
      <c r="AV298" s="56">
        <f>IF(AS298&gt;0,I298/AS298,-1)</f>
        <v/>
      </c>
      <c r="AW298" s="56">
        <f>IF(AND(OR(BR298="L1",BR298="L23"),AS298&gt;0),SUMIFS($AS$7:$AS$1570,$BR$7:$BR$1570,BR298,$AV$7:$AV$1570,"&gt;"&amp;AV298)+SUMIFS($AS$7:$AS$1570,$BR$7:$BR$1570,BR298,$AV$7:$AV$1570,AV298,$BL$7:$BL$1570,"&lt;="&amp;BL298),"")</f>
        <v/>
      </c>
      <c r="AX298" s="65">
        <f>IF(AW298="",0,MAX(0,MIN(1,(IF(BR298="L1",Parameter!$K$5,Parameter!$K$6+Parameter!$K$7)-(AW298-AS298))/AS298)))</f>
        <v/>
      </c>
      <c r="AY298" s="53">
        <f>IF(AC298&lt;=0,"",IF(BR298="Aussen","Aussenlager",IF(BR298="-","Nicht im Lift",IF(AH298&gt;=1,"Lift",IF(AH298&lt;=0,"Aussenlager","teilweise")))))</f>
        <v/>
      </c>
      <c r="AZ298" s="53">
        <f>IF(AK298&lt;=0,"",IF(BR298="Aussen","Aussenlager",IF(BR298="-","Nicht im Lift",IF(AP298&gt;=1,"Lift",IF(AP298&lt;=0,"Aussenlager","teilweise")))))</f>
        <v/>
      </c>
      <c r="BA298" s="53">
        <f>IF(AS298&lt;=0,"",IF(BR298="Aussen","Aussenlager",IF(BR298="-","Nicht im Lift",IF(AX298&gt;=1,"Lift",IF(AX298&lt;=0,"Aussenlager","teilweise")))))</f>
        <v/>
      </c>
      <c r="BB298" s="53">
        <f>IF(A298="","",IF(BK298=1,"Neu; ","")&amp;IF(AND(BK298=0,BF298&lt;0),"negativer Bestand (Export "&amp;BF298&amp;"); ","")&amp;IF(I298&lt;=0,"Kein Verbrauch; ","")&amp;IF(BO298=1,"Lose – Fläche geschätzt; ","")&amp;IF(G298&gt;AM298,"Überbestand "&amp;ROUND(G298-AM298,0)&amp;" Stk / CHF "&amp;ROUND((G298-AM298)*F298,0)&amp;"; ","")&amp;IF(AND(BT298=1,BU298&lt;BV298),"MAX &lt; MB+LG; ","")&amp;IF(AND(BZ298&gt;0,BY298*10&gt;BZ298),"zu hoch für Tablar; ","")&amp;IF(AND(BK298=0,OR(BT298=1,V298&lt;&gt;"",S298&lt;&gt;"",T298&lt;&gt;"",W298&lt;&gt;"")),"manuell übersteuert; ","")&amp;IF(AND(BO298=0,Q298=0),"Gebinde unbekannt; ","")&amp;IF(AND(BO298=0,N(T298)&lt;=0,N(P298)&lt;=0),"Menge pro Gebinde fehlt (Ist = 1 Gebinde); ","")&amp;BJ298)</f>
        <v/>
      </c>
      <c r="BC298" s="53" t="n"/>
      <c r="BD298" s="53" t="n"/>
      <c r="BE298" s="61" t="n"/>
      <c r="BF298" s="55" t="n">
        <v>13</v>
      </c>
      <c r="BG298" s="55" t="n">
        <v>30</v>
      </c>
      <c r="BH298" s="54" t="n">
        <v>276.51</v>
      </c>
      <c r="BI298" s="55" t="n">
        <v>0</v>
      </c>
      <c r="BJ298" s="53" t="inlineStr"/>
      <c r="BK298" s="58" t="n">
        <v>0</v>
      </c>
      <c r="BL298" s="58" t="n">
        <v>298</v>
      </c>
      <c r="BM298" s="53">
        <f>IF(S298&lt;&gt;"",UPPER(TRIM(S298)),IF(O298="","LOSE",O298))</f>
        <v/>
      </c>
      <c r="BN298" s="55">
        <f>IF(BM298="LOSE",1,IF(N(T298)&gt;0,T298,IF(N(P298)&gt;0,P298,MAX(1,G298))))</f>
        <v/>
      </c>
      <c r="BO298" s="58">
        <f>IF(BM298="LOSE",1,0)</f>
        <v/>
      </c>
      <c r="BP298" s="64">
        <f>IF(BO298=0,0,IF(N(R298)&gt;0,R298,IFERROR(VLOOKUP(D298,Parameter!$A$35:$C$64,3,0)+0,0)))</f>
        <v/>
      </c>
      <c r="BQ298" s="53">
        <f>IF(V298&lt;&gt;"",V298,U298)</f>
        <v/>
      </c>
      <c r="BR298" s="53">
        <f>IF(BQ298=1,"L1",IF(OR(BQ298=2,BQ298=3),"L23",IF(BQ298="Aussen","Aussen","-")))</f>
        <v/>
      </c>
      <c r="BS298" s="66">
        <f>IF(N(W298)&gt;0,W298,0)</f>
        <v/>
      </c>
      <c r="BT298" s="58">
        <f>IF(ISNUMBER(Z298),1,0)</f>
        <v/>
      </c>
      <c r="BU298" s="55">
        <f>N(Z298)</f>
        <v/>
      </c>
      <c r="BV298" s="55">
        <f>N(L298)+N(M298)</f>
        <v/>
      </c>
      <c r="BW298" s="55">
        <f>ROUNDUP(G298/BN298,0)</f>
        <v/>
      </c>
      <c r="BX298" s="55">
        <f>ROUNDUP(BU298/BN298,0)</f>
        <v/>
      </c>
      <c r="BY298" s="58">
        <f>IF(BO298=1,0,IFERROR(VLOOKUP(BM298,'Gebinde-Kategorie'!$A$5:$G$45,5,0)+0,0))</f>
        <v/>
      </c>
      <c r="BZ298" s="58">
        <f>IFERROR(IF(OR(BQ298=1,BQ298=2,BQ298=3),N(INDEX(Parameter!$I$5:$I$7,BQ298)),0),0)</f>
        <v/>
      </c>
    </row>
    <row r="299">
      <c r="A299" s="53" t="inlineStr">
        <is>
          <t>104209</t>
        </is>
      </c>
      <c r="B299" s="53" t="inlineStr">
        <is>
          <t>Temperatursensor mit Stecker</t>
        </is>
      </c>
      <c r="C299" s="53" t="inlineStr">
        <is>
          <t>F</t>
        </is>
      </c>
      <c r="D299" s="53" t="inlineStr">
        <is>
          <t>PAL</t>
        </is>
      </c>
      <c r="E299" s="53" t="inlineStr">
        <is>
          <t>C</t>
        </is>
      </c>
      <c r="F299" s="54" t="n">
        <v>86.22</v>
      </c>
      <c r="G299" s="55">
        <f>MAX(0,IF(Parameter!$B$20="Jahresanfang 2025 + Export",BG299+BF299,BF299))</f>
        <v/>
      </c>
      <c r="H299" s="55">
        <f>G299*F299</f>
        <v/>
      </c>
      <c r="I299" s="55">
        <f>BI299*Parameter!$B$18</f>
        <v/>
      </c>
      <c r="J299" s="56" t="n">
        <v>13</v>
      </c>
      <c r="K299" s="57" t="n">
        <v>5.307692307692307</v>
      </c>
      <c r="L299" s="55" t="n">
        <v>4</v>
      </c>
      <c r="M299" s="55" t="n">
        <v>20</v>
      </c>
      <c r="N299" s="58" t="n">
        <v>21</v>
      </c>
      <c r="O299" s="53" t="inlineStr">
        <is>
          <t>S63</t>
        </is>
      </c>
      <c r="P299" s="55" t="n">
        <v>33</v>
      </c>
      <c r="Q299" s="59">
        <f>IF(BO299=1,0,IFERROR(VLOOKUP(BM299,'Gebinde-Kategorie'!$A$5:$G$45,6,0)+0,0))</f>
        <v/>
      </c>
      <c r="R299" s="60" t="n"/>
      <c r="S299" s="61" t="n"/>
      <c r="T299" s="61" t="n"/>
      <c r="U299" s="53">
        <f>IF(A299="","",IF(IFERROR(VLOOKUP(D299,Parameter!$A$35:$C$64,2,0),"Nein")="2+3",IF(ISNUMBER(SEARCH("grosser Artikel",BJ299)),2,IFERROR(VLOOKUP(BM299,Parameter!$F$35:$G$64,2,0),2)),IF(OR(IFERROR(VLOOKUP(D299,Parameter!$A$35:$C$64,2,0),"Nein")="Nein",IFERROR(VLOOKUP(D299,Parameter!$A$35:$C$64,2,0),"Nein")=""),"-",VLOOKUP(D299,Parameter!$A$35:$C$64,2,0))))</f>
        <v/>
      </c>
      <c r="V299" s="61" t="n"/>
      <c r="W299" s="62" t="n"/>
      <c r="X299" s="55">
        <f>AM299</f>
        <v/>
      </c>
      <c r="Y299" s="55">
        <f>MAX(AM299,G299)</f>
        <v/>
      </c>
      <c r="Z299" s="63" t="n"/>
      <c r="AA299" s="55">
        <f>IF(LEFT(Cockpit!$C$5,1)="A",G299,IF(BT299=1,BU299,IF(LEFT(Cockpit!$C$5,1)="B",AE299,MAX(AE299,G299))))</f>
        <v/>
      </c>
      <c r="AB299" s="55">
        <f>IF(BO299=1,0,ROUNDUP(AA299/BN299,0))</f>
        <v/>
      </c>
      <c r="AC299" s="64">
        <f>IF(BO299=1,IF(AA299&lt;=0,0,BP299*MAX(1,IF(G299&gt;0,AA299/G299,1))),AB299*Q299)</f>
        <v/>
      </c>
      <c r="AD299" s="55">
        <f>AA299*F299</f>
        <v/>
      </c>
      <c r="AE299" s="55">
        <f>ROUNDUP(MAX(I299/IF(BS299&gt;0,BS299,MAX(0.1,N(Cockpit!$C$6))),BV299)/BN299,0)*BN299</f>
        <v/>
      </c>
      <c r="AF299" s="56">
        <f>IF(AC299&gt;0,I299/AC299,-1)</f>
        <v/>
      </c>
      <c r="AG299" s="56">
        <f>IF(AND(OR(BR299="L1",BR299="L23"),AC299&gt;0),SUMIFS($AC$7:$AC$1570,$BR$7:$BR$1570,BR299,$AF$7:$AF$1570,"&gt;"&amp;AF299)+SUMIFS($AC$7:$AC$1570,$BR$7:$BR$1570,BR299,$AF$7:$AF$1570,AF299,$BL$7:$BL$1570,"&lt;="&amp;BL299),"")</f>
        <v/>
      </c>
      <c r="AH299" s="65">
        <f>IF(AG299="",0,MAX(0,MIN(1,(IF(BR299="L1",Parameter!$K$5,Parameter!$K$6+Parameter!$K$7)-(AG299-AC299))/AC299)))</f>
        <v/>
      </c>
      <c r="AI299" s="55">
        <f>IF(LEFT(Cockpit!$I$5,1)="A",G299,IF(BT299=1,BU299,IF(LEFT(Cockpit!$I$5,1)="B",AM299,MAX(AM299,G299))))</f>
        <v/>
      </c>
      <c r="AJ299" s="55">
        <f>IF(BO299=1,0,ROUNDUP(AI299/BN299,0))</f>
        <v/>
      </c>
      <c r="AK299" s="64">
        <f>IF(BO299=1,IF(AI299&lt;=0,0,BP299*MAX(1,IF(G299&gt;0,AI299/G299,1))),AJ299*Q299)</f>
        <v/>
      </c>
      <c r="AL299" s="55">
        <f>AI299*F299</f>
        <v/>
      </c>
      <c r="AM299" s="55">
        <f>ROUNDUP(MAX(I299/IF(BS299&gt;0,BS299,MAX(0.1,N(Cockpit!$I$6))),BV299)/BN299,0)*BN299</f>
        <v/>
      </c>
      <c r="AN299" s="56">
        <f>IF(AK299&gt;0,I299/AK299,-1)</f>
        <v/>
      </c>
      <c r="AO299" s="56">
        <f>IF(AND(OR(BR299="L1",BR299="L23"),AK299&gt;0),SUMIFS($AK$7:$AK$1570,$BR$7:$BR$1570,BR299,$AN$7:$AN$1570,"&gt;"&amp;AN299)+SUMIFS($AK$7:$AK$1570,$BR$7:$BR$1570,BR299,$AN$7:$AN$1570,AN299,$BL$7:$BL$1570,"&lt;="&amp;BL299),"")</f>
        <v/>
      </c>
      <c r="AP299" s="65">
        <f>IF(AO299="",0,MAX(0,MIN(1,(IF(BR299="L1",Parameter!$K$5,Parameter!$K$6+Parameter!$K$7)-(AO299-AK299))/AK299)))</f>
        <v/>
      </c>
      <c r="AQ299" s="55">
        <f>IF(LEFT(Cockpit!$O$5,1)="A",G299,IF(BT299=1,BU299,IF(LEFT(Cockpit!$O$5,1)="B",AU299,MAX(AU299,G299))))</f>
        <v/>
      </c>
      <c r="AR299" s="55">
        <f>IF(BO299=1,0,ROUNDUP(AQ299/BN299,0))</f>
        <v/>
      </c>
      <c r="AS299" s="64">
        <f>IF(BO299=1,IF(AQ299&lt;=0,0,BP299*MAX(1,IF(G299&gt;0,AQ299/G299,1))),AR299*Q299)</f>
        <v/>
      </c>
      <c r="AT299" s="55">
        <f>AQ299*F299</f>
        <v/>
      </c>
      <c r="AU299" s="55">
        <f>ROUNDUP(MAX(I299/IF(BS299&gt;0,BS299,MAX(0.1,N(Cockpit!$O$6))),BV299)/BN299,0)*BN299</f>
        <v/>
      </c>
      <c r="AV299" s="56">
        <f>IF(AS299&gt;0,I299/AS299,-1)</f>
        <v/>
      </c>
      <c r="AW299" s="56">
        <f>IF(AND(OR(BR299="L1",BR299="L23"),AS299&gt;0),SUMIFS($AS$7:$AS$1570,$BR$7:$BR$1570,BR299,$AV$7:$AV$1570,"&gt;"&amp;AV299)+SUMIFS($AS$7:$AS$1570,$BR$7:$BR$1570,BR299,$AV$7:$AV$1570,AV299,$BL$7:$BL$1570,"&lt;="&amp;BL299),"")</f>
        <v/>
      </c>
      <c r="AX299" s="65">
        <f>IF(AW299="",0,MAX(0,MIN(1,(IF(BR299="L1",Parameter!$K$5,Parameter!$K$6+Parameter!$K$7)-(AW299-AS299))/AS299)))</f>
        <v/>
      </c>
      <c r="AY299" s="53">
        <f>IF(AC299&lt;=0,"",IF(BR299="Aussen","Aussenlager",IF(BR299="-","Nicht im Lift",IF(AH299&gt;=1,"Lift",IF(AH299&lt;=0,"Aussenlager","teilweise")))))</f>
        <v/>
      </c>
      <c r="AZ299" s="53">
        <f>IF(AK299&lt;=0,"",IF(BR299="Aussen","Aussenlager",IF(BR299="-","Nicht im Lift",IF(AP299&gt;=1,"Lift",IF(AP299&lt;=0,"Aussenlager","teilweise")))))</f>
        <v/>
      </c>
      <c r="BA299" s="53">
        <f>IF(AS299&lt;=0,"",IF(BR299="Aussen","Aussenlager",IF(BR299="-","Nicht im Lift",IF(AX299&gt;=1,"Lift",IF(AX299&lt;=0,"Aussenlager","teilweise")))))</f>
        <v/>
      </c>
      <c r="BB299" s="53">
        <f>IF(A299="","",IF(BK299=1,"Neu; ","")&amp;IF(AND(BK299=0,BF299&lt;0),"negativer Bestand (Export "&amp;BF299&amp;"); ","")&amp;IF(I299&lt;=0,"Kein Verbrauch; ","")&amp;IF(BO299=1,"Lose – Fläche geschätzt; ","")&amp;IF(G299&gt;AM299,"Überbestand "&amp;ROUND(G299-AM299,0)&amp;" Stk / CHF "&amp;ROUND((G299-AM299)*F299,0)&amp;"; ","")&amp;IF(AND(BT299=1,BU299&lt;BV299),"MAX &lt; MB+LG; ","")&amp;IF(AND(BZ299&gt;0,BY299*10&gt;BZ299),"zu hoch für Tablar; ","")&amp;IF(AND(BK299=0,OR(BT299=1,V299&lt;&gt;"",S299&lt;&gt;"",T299&lt;&gt;"",W299&lt;&gt;"")),"manuell übersteuert; ","")&amp;IF(AND(BO299=0,Q299=0),"Gebinde unbekannt; ","")&amp;IF(AND(BO299=0,N(T299)&lt;=0,N(P299)&lt;=0),"Menge pro Gebinde fehlt (Ist = 1 Gebinde); ","")&amp;BJ299)</f>
        <v/>
      </c>
      <c r="BC299" s="53" t="n"/>
      <c r="BD299" s="53" t="n"/>
      <c r="BE299" s="61" t="n"/>
      <c r="BF299" s="55" t="n">
        <v>8</v>
      </c>
      <c r="BG299" s="55" t="n">
        <v>14</v>
      </c>
      <c r="BH299" s="54" t="n">
        <v>275.9199999999968</v>
      </c>
      <c r="BI299" s="55" t="n">
        <v>69</v>
      </c>
      <c r="BJ299" s="53" t="inlineStr"/>
      <c r="BK299" s="58" t="n">
        <v>0</v>
      </c>
      <c r="BL299" s="58" t="n">
        <v>299</v>
      </c>
      <c r="BM299" s="53">
        <f>IF(S299&lt;&gt;"",UPPER(TRIM(S299)),IF(O299="","LOSE",O299))</f>
        <v/>
      </c>
      <c r="BN299" s="55">
        <f>IF(BM299="LOSE",1,IF(N(T299)&gt;0,T299,IF(N(P299)&gt;0,P299,MAX(1,G299))))</f>
        <v/>
      </c>
      <c r="BO299" s="58">
        <f>IF(BM299="LOSE",1,0)</f>
        <v/>
      </c>
      <c r="BP299" s="64">
        <f>IF(BO299=0,0,IF(N(R299)&gt;0,R299,IFERROR(VLOOKUP(D299,Parameter!$A$35:$C$64,3,0)+0,0)))</f>
        <v/>
      </c>
      <c r="BQ299" s="53">
        <f>IF(V299&lt;&gt;"",V299,U299)</f>
        <v/>
      </c>
      <c r="BR299" s="53">
        <f>IF(BQ299=1,"L1",IF(OR(BQ299=2,BQ299=3),"L23",IF(BQ299="Aussen","Aussen","-")))</f>
        <v/>
      </c>
      <c r="BS299" s="66">
        <f>IF(N(W299)&gt;0,W299,0)</f>
        <v/>
      </c>
      <c r="BT299" s="58">
        <f>IF(ISNUMBER(Z299),1,0)</f>
        <v/>
      </c>
      <c r="BU299" s="55">
        <f>N(Z299)</f>
        <v/>
      </c>
      <c r="BV299" s="55">
        <f>N(L299)+N(M299)</f>
        <v/>
      </c>
      <c r="BW299" s="55">
        <f>ROUNDUP(G299/BN299,0)</f>
        <v/>
      </c>
      <c r="BX299" s="55">
        <f>ROUNDUP(BU299/BN299,0)</f>
        <v/>
      </c>
      <c r="BY299" s="58">
        <f>IF(BO299=1,0,IFERROR(VLOOKUP(BM299,'Gebinde-Kategorie'!$A$5:$G$45,5,0)+0,0))</f>
        <v/>
      </c>
      <c r="BZ299" s="58">
        <f>IFERROR(IF(OR(BQ299=1,BQ299=2,BQ299=3),N(INDEX(Parameter!$I$5:$I$7,BQ299)),0),0)</f>
        <v/>
      </c>
    </row>
    <row r="300">
      <c r="A300" s="53" t="inlineStr">
        <is>
          <t>005797</t>
        </is>
      </c>
      <c r="B300" s="53" t="inlineStr">
        <is>
          <t>Rohrverschraubung</t>
        </is>
      </c>
      <c r="C300" s="53" t="inlineStr">
        <is>
          <t>F</t>
        </is>
      </c>
      <c r="D300" s="53" t="inlineStr">
        <is>
          <t>KTL</t>
        </is>
      </c>
      <c r="E300" s="53" t="inlineStr">
        <is>
          <t>C</t>
        </is>
      </c>
      <c r="F300" s="54" t="n">
        <v>22.95</v>
      </c>
      <c r="G300" s="55">
        <f>MAX(0,IF(Parameter!$B$20="Jahresanfang 2025 + Export",BG300+BF300,BF300))</f>
        <v/>
      </c>
      <c r="H300" s="55">
        <f>G300*F300</f>
        <v/>
      </c>
      <c r="I300" s="55">
        <f>BI300*Parameter!$B$18</f>
        <v/>
      </c>
      <c r="J300" s="56" t="n">
        <v>6</v>
      </c>
      <c r="K300" s="57" t="n">
        <v>0.8333333333333334</v>
      </c>
      <c r="L300" s="55" t="n">
        <v>0</v>
      </c>
      <c r="M300" s="55" t="n">
        <v>15</v>
      </c>
      <c r="N300" s="58" t="n">
        <v>14</v>
      </c>
      <c r="O300" s="53" t="inlineStr">
        <is>
          <t>S21</t>
        </is>
      </c>
      <c r="P300" s="55" t="n">
        <v>15</v>
      </c>
      <c r="Q300" s="59">
        <f>IF(BO300=1,0,IFERROR(VLOOKUP(BM300,'Gebinde-Kategorie'!$A$5:$G$45,6,0)+0,0))</f>
        <v/>
      </c>
      <c r="R300" s="60" t="n"/>
      <c r="S300" s="61" t="n"/>
      <c r="T300" s="61" t="n"/>
      <c r="U300" s="53">
        <f>IF(A300="","",IF(IFERROR(VLOOKUP(D300,Parameter!$A$35:$C$64,2,0),"Nein")="2+3",IF(ISNUMBER(SEARCH("grosser Artikel",BJ300)),2,IFERROR(VLOOKUP(BM300,Parameter!$F$35:$G$64,2,0),2)),IF(OR(IFERROR(VLOOKUP(D300,Parameter!$A$35:$C$64,2,0),"Nein")="Nein",IFERROR(VLOOKUP(D300,Parameter!$A$35:$C$64,2,0),"Nein")=""),"-",VLOOKUP(D300,Parameter!$A$35:$C$64,2,0))))</f>
        <v/>
      </c>
      <c r="V300" s="61" t="n"/>
      <c r="W300" s="62" t="n"/>
      <c r="X300" s="55">
        <f>AM300</f>
        <v/>
      </c>
      <c r="Y300" s="55">
        <f>MAX(AM300,G300)</f>
        <v/>
      </c>
      <c r="Z300" s="63" t="n"/>
      <c r="AA300" s="55">
        <f>IF(LEFT(Cockpit!$C$5,1)="A",G300,IF(BT300=1,BU300,IF(LEFT(Cockpit!$C$5,1)="B",AE300,MAX(AE300,G300))))</f>
        <v/>
      </c>
      <c r="AB300" s="55">
        <f>IF(BO300=1,0,ROUNDUP(AA300/BN300,0))</f>
        <v/>
      </c>
      <c r="AC300" s="64">
        <f>IF(BO300=1,IF(AA300&lt;=0,0,BP300*MAX(1,IF(G300&gt;0,AA300/G300,1))),AB300*Q300)</f>
        <v/>
      </c>
      <c r="AD300" s="55">
        <f>AA300*F300</f>
        <v/>
      </c>
      <c r="AE300" s="55">
        <f>ROUNDUP(MAX(I300/IF(BS300&gt;0,BS300,MAX(0.1,N(Cockpit!$C$6))),BV300)/BN300,0)*BN300</f>
        <v/>
      </c>
      <c r="AF300" s="56">
        <f>IF(AC300&gt;0,I300/AC300,-1)</f>
        <v/>
      </c>
      <c r="AG300" s="56">
        <f>IF(AND(OR(BR300="L1",BR300="L23"),AC300&gt;0),SUMIFS($AC$7:$AC$1570,$BR$7:$BR$1570,BR300,$AF$7:$AF$1570,"&gt;"&amp;AF300)+SUMIFS($AC$7:$AC$1570,$BR$7:$BR$1570,BR300,$AF$7:$AF$1570,AF300,$BL$7:$BL$1570,"&lt;="&amp;BL300),"")</f>
        <v/>
      </c>
      <c r="AH300" s="65">
        <f>IF(AG300="",0,MAX(0,MIN(1,(IF(BR300="L1",Parameter!$K$5,Parameter!$K$6+Parameter!$K$7)-(AG300-AC300))/AC300)))</f>
        <v/>
      </c>
      <c r="AI300" s="55">
        <f>IF(LEFT(Cockpit!$I$5,1)="A",G300,IF(BT300=1,BU300,IF(LEFT(Cockpit!$I$5,1)="B",AM300,MAX(AM300,G300))))</f>
        <v/>
      </c>
      <c r="AJ300" s="55">
        <f>IF(BO300=1,0,ROUNDUP(AI300/BN300,0))</f>
        <v/>
      </c>
      <c r="AK300" s="64">
        <f>IF(BO300=1,IF(AI300&lt;=0,0,BP300*MAX(1,IF(G300&gt;0,AI300/G300,1))),AJ300*Q300)</f>
        <v/>
      </c>
      <c r="AL300" s="55">
        <f>AI300*F300</f>
        <v/>
      </c>
      <c r="AM300" s="55">
        <f>ROUNDUP(MAX(I300/IF(BS300&gt;0,BS300,MAX(0.1,N(Cockpit!$I$6))),BV300)/BN300,0)*BN300</f>
        <v/>
      </c>
      <c r="AN300" s="56">
        <f>IF(AK300&gt;0,I300/AK300,-1)</f>
        <v/>
      </c>
      <c r="AO300" s="56">
        <f>IF(AND(OR(BR300="L1",BR300="L23"),AK300&gt;0),SUMIFS($AK$7:$AK$1570,$BR$7:$BR$1570,BR300,$AN$7:$AN$1570,"&gt;"&amp;AN300)+SUMIFS($AK$7:$AK$1570,$BR$7:$BR$1570,BR300,$AN$7:$AN$1570,AN300,$BL$7:$BL$1570,"&lt;="&amp;BL300),"")</f>
        <v/>
      </c>
      <c r="AP300" s="65">
        <f>IF(AO300="",0,MAX(0,MIN(1,(IF(BR300="L1",Parameter!$K$5,Parameter!$K$6+Parameter!$K$7)-(AO300-AK300))/AK300)))</f>
        <v/>
      </c>
      <c r="AQ300" s="55">
        <f>IF(LEFT(Cockpit!$O$5,1)="A",G300,IF(BT300=1,BU300,IF(LEFT(Cockpit!$O$5,1)="B",AU300,MAX(AU300,G300))))</f>
        <v/>
      </c>
      <c r="AR300" s="55">
        <f>IF(BO300=1,0,ROUNDUP(AQ300/BN300,0))</f>
        <v/>
      </c>
      <c r="AS300" s="64">
        <f>IF(BO300=1,IF(AQ300&lt;=0,0,BP300*MAX(1,IF(G300&gt;0,AQ300/G300,1))),AR300*Q300)</f>
        <v/>
      </c>
      <c r="AT300" s="55">
        <f>AQ300*F300</f>
        <v/>
      </c>
      <c r="AU300" s="55">
        <f>ROUNDUP(MAX(I300/IF(BS300&gt;0,BS300,MAX(0.1,N(Cockpit!$O$6))),BV300)/BN300,0)*BN300</f>
        <v/>
      </c>
      <c r="AV300" s="56">
        <f>IF(AS300&gt;0,I300/AS300,-1)</f>
        <v/>
      </c>
      <c r="AW300" s="56">
        <f>IF(AND(OR(BR300="L1",BR300="L23"),AS300&gt;0),SUMIFS($AS$7:$AS$1570,$BR$7:$BR$1570,BR300,$AV$7:$AV$1570,"&gt;"&amp;AV300)+SUMIFS($AS$7:$AS$1570,$BR$7:$BR$1570,BR300,$AV$7:$AV$1570,AV300,$BL$7:$BL$1570,"&lt;="&amp;BL300),"")</f>
        <v/>
      </c>
      <c r="AX300" s="65">
        <f>IF(AW300="",0,MAX(0,MIN(1,(IF(BR300="L1",Parameter!$K$5,Parameter!$K$6+Parameter!$K$7)-(AW300-AS300))/AS300)))</f>
        <v/>
      </c>
      <c r="AY300" s="53">
        <f>IF(AC300&lt;=0,"",IF(BR300="Aussen","Aussenlager",IF(BR300="-","Nicht im Lift",IF(AH300&gt;=1,"Lift",IF(AH300&lt;=0,"Aussenlager","teilweise")))))</f>
        <v/>
      </c>
      <c r="AZ300" s="53">
        <f>IF(AK300&lt;=0,"",IF(BR300="Aussen","Aussenlager",IF(BR300="-","Nicht im Lift",IF(AP300&gt;=1,"Lift",IF(AP300&lt;=0,"Aussenlager","teilweise")))))</f>
        <v/>
      </c>
      <c r="BA300" s="53">
        <f>IF(AS300&lt;=0,"",IF(BR300="Aussen","Aussenlager",IF(BR300="-","Nicht im Lift",IF(AX300&gt;=1,"Lift",IF(AX300&lt;=0,"Aussenlager","teilweise")))))</f>
        <v/>
      </c>
      <c r="BB300" s="53">
        <f>IF(A300="","",IF(BK300=1,"Neu; ","")&amp;IF(AND(BK300=0,BF300&lt;0),"negativer Bestand (Export "&amp;BF300&amp;"); ","")&amp;IF(I300&lt;=0,"Kein Verbrauch; ","")&amp;IF(BO300=1,"Lose – Fläche geschätzt; ","")&amp;IF(G300&gt;AM300,"Überbestand "&amp;ROUND(G300-AM300,0)&amp;" Stk / CHF "&amp;ROUND((G300-AM300)*F300,0)&amp;"; ","")&amp;IF(AND(BT300=1,BU300&lt;BV300),"MAX &lt; MB+LG; ","")&amp;IF(AND(BZ300&gt;0,BY300*10&gt;BZ300),"zu hoch für Tablar; ","")&amp;IF(AND(BK300=0,OR(BT300=1,V300&lt;&gt;"",S300&lt;&gt;"",T300&lt;&gt;"",W300&lt;&gt;"")),"manuell übersteuert; ","")&amp;IF(AND(BO300=0,Q300=0),"Gebinde unbekannt; ","")&amp;IF(AND(BO300=0,N(T300)&lt;=0,N(P300)&lt;=0),"Menge pro Gebinde fehlt (Ist = 1 Gebinde); ","")&amp;BJ300)</f>
        <v/>
      </c>
      <c r="BC300" s="53" t="n"/>
      <c r="BD300" s="53" t="n"/>
      <c r="BE300" s="61" t="n"/>
      <c r="BF300" s="55" t="n">
        <v>12</v>
      </c>
      <c r="BG300" s="55" t="n">
        <v>0</v>
      </c>
      <c r="BH300" s="54" t="n">
        <v>275.4</v>
      </c>
      <c r="BI300" s="55" t="n">
        <v>5</v>
      </c>
      <c r="BJ300" s="53" t="inlineStr"/>
      <c r="BK300" s="58" t="n">
        <v>0</v>
      </c>
      <c r="BL300" s="58" t="n">
        <v>300</v>
      </c>
      <c r="BM300" s="53">
        <f>IF(S300&lt;&gt;"",UPPER(TRIM(S300)),IF(O300="","LOSE",O300))</f>
        <v/>
      </c>
      <c r="BN300" s="55">
        <f>IF(BM300="LOSE",1,IF(N(T300)&gt;0,T300,IF(N(P300)&gt;0,P300,MAX(1,G300))))</f>
        <v/>
      </c>
      <c r="BO300" s="58">
        <f>IF(BM300="LOSE",1,0)</f>
        <v/>
      </c>
      <c r="BP300" s="64">
        <f>IF(BO300=0,0,IF(N(R300)&gt;0,R300,IFERROR(VLOOKUP(D300,Parameter!$A$35:$C$64,3,0)+0,0)))</f>
        <v/>
      </c>
      <c r="BQ300" s="53">
        <f>IF(V300&lt;&gt;"",V300,U300)</f>
        <v/>
      </c>
      <c r="BR300" s="53">
        <f>IF(BQ300=1,"L1",IF(OR(BQ300=2,BQ300=3),"L23",IF(BQ300="Aussen","Aussen","-")))</f>
        <v/>
      </c>
      <c r="BS300" s="66">
        <f>IF(N(W300)&gt;0,W300,0)</f>
        <v/>
      </c>
      <c r="BT300" s="58">
        <f>IF(ISNUMBER(Z300),1,0)</f>
        <v/>
      </c>
      <c r="BU300" s="55">
        <f>N(Z300)</f>
        <v/>
      </c>
      <c r="BV300" s="55">
        <f>N(L300)+N(M300)</f>
        <v/>
      </c>
      <c r="BW300" s="55">
        <f>ROUNDUP(G300/BN300,0)</f>
        <v/>
      </c>
      <c r="BX300" s="55">
        <f>ROUNDUP(BU300/BN300,0)</f>
        <v/>
      </c>
      <c r="BY300" s="58">
        <f>IF(BO300=1,0,IFERROR(VLOOKUP(BM300,'Gebinde-Kategorie'!$A$5:$G$45,5,0)+0,0))</f>
        <v/>
      </c>
      <c r="BZ300" s="58">
        <f>IFERROR(IF(OR(BQ300=1,BQ300=2,BQ300=3),N(INDEX(Parameter!$I$5:$I$7,BQ300)),0),0)</f>
        <v/>
      </c>
    </row>
    <row r="301">
      <c r="A301" s="53" t="inlineStr">
        <is>
          <t>001029</t>
        </is>
      </c>
      <c r="B301" s="53" t="inlineStr">
        <is>
          <t>Kupferpaste</t>
        </is>
      </c>
      <c r="C301" s="53" t="inlineStr">
        <is>
          <t>F</t>
        </is>
      </c>
      <c r="D301" s="53" t="inlineStr">
        <is>
          <t>KTL</t>
        </is>
      </c>
      <c r="E301" s="53" t="inlineStr">
        <is>
          <t>C</t>
        </is>
      </c>
      <c r="F301" s="54" t="n">
        <v>40.32</v>
      </c>
      <c r="G301" s="55">
        <f>MAX(0,IF(Parameter!$B$20="Jahresanfang 2025 + Export",BG301+BF301,BF301))</f>
        <v/>
      </c>
      <c r="H301" s="55">
        <f>G301*F301</f>
        <v/>
      </c>
      <c r="I301" s="55">
        <f>BI301*Parameter!$B$18</f>
        <v/>
      </c>
      <c r="J301" s="56" t="n">
        <v>9</v>
      </c>
      <c r="K301" s="57" t="n">
        <v>4.444444444444445</v>
      </c>
      <c r="L301" s="55" t="n">
        <v>3</v>
      </c>
      <c r="M301" s="55" t="n">
        <v>10</v>
      </c>
      <c r="N301" s="58" t="n">
        <v>35</v>
      </c>
      <c r="O301" s="53" t="inlineStr">
        <is>
          <t>S62</t>
        </is>
      </c>
      <c r="P301" s="55" t="n">
        <v>48</v>
      </c>
      <c r="Q301" s="59">
        <f>IF(BO301=1,0,IFERROR(VLOOKUP(BM301,'Gebinde-Kategorie'!$A$5:$G$45,6,0)+0,0))</f>
        <v/>
      </c>
      <c r="R301" s="60" t="n"/>
      <c r="S301" s="61" t="n"/>
      <c r="T301" s="61" t="n"/>
      <c r="U301" s="53">
        <f>IF(A301="","",IF(IFERROR(VLOOKUP(D301,Parameter!$A$35:$C$64,2,0),"Nein")="2+3",IF(ISNUMBER(SEARCH("grosser Artikel",BJ301)),2,IFERROR(VLOOKUP(BM301,Parameter!$F$35:$G$64,2,0),2)),IF(OR(IFERROR(VLOOKUP(D301,Parameter!$A$35:$C$64,2,0),"Nein")="Nein",IFERROR(VLOOKUP(D301,Parameter!$A$35:$C$64,2,0),"Nein")=""),"-",VLOOKUP(D301,Parameter!$A$35:$C$64,2,0))))</f>
        <v/>
      </c>
      <c r="V301" s="61" t="n"/>
      <c r="W301" s="62" t="n"/>
      <c r="X301" s="55">
        <f>AM301</f>
        <v/>
      </c>
      <c r="Y301" s="55">
        <f>MAX(AM301,G301)</f>
        <v/>
      </c>
      <c r="Z301" s="63" t="n"/>
      <c r="AA301" s="55">
        <f>IF(LEFT(Cockpit!$C$5,1)="A",G301,IF(BT301=1,BU301,IF(LEFT(Cockpit!$C$5,1)="B",AE301,MAX(AE301,G301))))</f>
        <v/>
      </c>
      <c r="AB301" s="55">
        <f>IF(BO301=1,0,ROUNDUP(AA301/BN301,0))</f>
        <v/>
      </c>
      <c r="AC301" s="64">
        <f>IF(BO301=1,IF(AA301&lt;=0,0,BP301*MAX(1,IF(G301&gt;0,AA301/G301,1))),AB301*Q301)</f>
        <v/>
      </c>
      <c r="AD301" s="55">
        <f>AA301*F301</f>
        <v/>
      </c>
      <c r="AE301" s="55">
        <f>ROUNDUP(MAX(I301/IF(BS301&gt;0,BS301,MAX(0.1,N(Cockpit!$C$6))),BV301)/BN301,0)*BN301</f>
        <v/>
      </c>
      <c r="AF301" s="56">
        <f>IF(AC301&gt;0,I301/AC301,-1)</f>
        <v/>
      </c>
      <c r="AG301" s="56">
        <f>IF(AND(OR(BR301="L1",BR301="L23"),AC301&gt;0),SUMIFS($AC$7:$AC$1570,$BR$7:$BR$1570,BR301,$AF$7:$AF$1570,"&gt;"&amp;AF301)+SUMIFS($AC$7:$AC$1570,$BR$7:$BR$1570,BR301,$AF$7:$AF$1570,AF301,$BL$7:$BL$1570,"&lt;="&amp;BL301),"")</f>
        <v/>
      </c>
      <c r="AH301" s="65">
        <f>IF(AG301="",0,MAX(0,MIN(1,(IF(BR301="L1",Parameter!$K$5,Parameter!$K$6+Parameter!$K$7)-(AG301-AC301))/AC301)))</f>
        <v/>
      </c>
      <c r="AI301" s="55">
        <f>IF(LEFT(Cockpit!$I$5,1)="A",G301,IF(BT301=1,BU301,IF(LEFT(Cockpit!$I$5,1)="B",AM301,MAX(AM301,G301))))</f>
        <v/>
      </c>
      <c r="AJ301" s="55">
        <f>IF(BO301=1,0,ROUNDUP(AI301/BN301,0))</f>
        <v/>
      </c>
      <c r="AK301" s="64">
        <f>IF(BO301=1,IF(AI301&lt;=0,0,BP301*MAX(1,IF(G301&gt;0,AI301/G301,1))),AJ301*Q301)</f>
        <v/>
      </c>
      <c r="AL301" s="55">
        <f>AI301*F301</f>
        <v/>
      </c>
      <c r="AM301" s="55">
        <f>ROUNDUP(MAX(I301/IF(BS301&gt;0,BS301,MAX(0.1,N(Cockpit!$I$6))),BV301)/BN301,0)*BN301</f>
        <v/>
      </c>
      <c r="AN301" s="56">
        <f>IF(AK301&gt;0,I301/AK301,-1)</f>
        <v/>
      </c>
      <c r="AO301" s="56">
        <f>IF(AND(OR(BR301="L1",BR301="L23"),AK301&gt;0),SUMIFS($AK$7:$AK$1570,$BR$7:$BR$1570,BR301,$AN$7:$AN$1570,"&gt;"&amp;AN301)+SUMIFS($AK$7:$AK$1570,$BR$7:$BR$1570,BR301,$AN$7:$AN$1570,AN301,$BL$7:$BL$1570,"&lt;="&amp;BL301),"")</f>
        <v/>
      </c>
      <c r="AP301" s="65">
        <f>IF(AO301="",0,MAX(0,MIN(1,(IF(BR301="L1",Parameter!$K$5,Parameter!$K$6+Parameter!$K$7)-(AO301-AK301))/AK301)))</f>
        <v/>
      </c>
      <c r="AQ301" s="55">
        <f>IF(LEFT(Cockpit!$O$5,1)="A",G301,IF(BT301=1,BU301,IF(LEFT(Cockpit!$O$5,1)="B",AU301,MAX(AU301,G301))))</f>
        <v/>
      </c>
      <c r="AR301" s="55">
        <f>IF(BO301=1,0,ROUNDUP(AQ301/BN301,0))</f>
        <v/>
      </c>
      <c r="AS301" s="64">
        <f>IF(BO301=1,IF(AQ301&lt;=0,0,BP301*MAX(1,IF(G301&gt;0,AQ301/G301,1))),AR301*Q301)</f>
        <v/>
      </c>
      <c r="AT301" s="55">
        <f>AQ301*F301</f>
        <v/>
      </c>
      <c r="AU301" s="55">
        <f>ROUNDUP(MAX(I301/IF(BS301&gt;0,BS301,MAX(0.1,N(Cockpit!$O$6))),BV301)/BN301,0)*BN301</f>
        <v/>
      </c>
      <c r="AV301" s="56">
        <f>IF(AS301&gt;0,I301/AS301,-1)</f>
        <v/>
      </c>
      <c r="AW301" s="56">
        <f>IF(AND(OR(BR301="L1",BR301="L23"),AS301&gt;0),SUMIFS($AS$7:$AS$1570,$BR$7:$BR$1570,BR301,$AV$7:$AV$1570,"&gt;"&amp;AV301)+SUMIFS($AS$7:$AS$1570,$BR$7:$BR$1570,BR301,$AV$7:$AV$1570,AV301,$BL$7:$BL$1570,"&lt;="&amp;BL301),"")</f>
        <v/>
      </c>
      <c r="AX301" s="65">
        <f>IF(AW301="",0,MAX(0,MIN(1,(IF(BR301="L1",Parameter!$K$5,Parameter!$K$6+Parameter!$K$7)-(AW301-AS301))/AS301)))</f>
        <v/>
      </c>
      <c r="AY301" s="53">
        <f>IF(AC301&lt;=0,"",IF(BR301="Aussen","Aussenlager",IF(BR301="-","Nicht im Lift",IF(AH301&gt;=1,"Lift",IF(AH301&lt;=0,"Aussenlager","teilweise")))))</f>
        <v/>
      </c>
      <c r="AZ301" s="53">
        <f>IF(AK301&lt;=0,"",IF(BR301="Aussen","Aussenlager",IF(BR301="-","Nicht im Lift",IF(AP301&gt;=1,"Lift",IF(AP301&lt;=0,"Aussenlager","teilweise")))))</f>
        <v/>
      </c>
      <c r="BA301" s="53">
        <f>IF(AS301&lt;=0,"",IF(BR301="Aussen","Aussenlager",IF(BR301="-","Nicht im Lift",IF(AX301&gt;=1,"Lift",IF(AX301&lt;=0,"Aussenlager","teilweise")))))</f>
        <v/>
      </c>
      <c r="BB301" s="53">
        <f>IF(A301="","",IF(BK301=1,"Neu; ","")&amp;IF(AND(BK301=0,BF301&lt;0),"negativer Bestand (Export "&amp;BF301&amp;"); ","")&amp;IF(I301&lt;=0,"Kein Verbrauch; ","")&amp;IF(BO301=1,"Lose – Fläche geschätzt; ","")&amp;IF(G301&gt;AM301,"Überbestand "&amp;ROUND(G301-AM301,0)&amp;" Stk / CHF "&amp;ROUND((G301-AM301)*F301,0)&amp;"; ","")&amp;IF(AND(BT301=1,BU301&lt;BV301),"MAX &lt; MB+LG; ","")&amp;IF(AND(BZ301&gt;0,BY301*10&gt;BZ301),"zu hoch für Tablar; ","")&amp;IF(AND(BK301=0,OR(BT301=1,V301&lt;&gt;"",S301&lt;&gt;"",T301&lt;&gt;"",W301&lt;&gt;"")),"manuell übersteuert; ","")&amp;IF(AND(BO301=0,Q301=0),"Gebinde unbekannt; ","")&amp;IF(AND(BO301=0,N(T301)&lt;=0,N(P301)&lt;=0),"Menge pro Gebinde fehlt (Ist = 1 Gebinde); ","")&amp;BJ301)</f>
        <v/>
      </c>
      <c r="BC301" s="53" t="n"/>
      <c r="BD301" s="53" t="n"/>
      <c r="BE301" s="61" t="n"/>
      <c r="BF301" s="55" t="n">
        <v>6</v>
      </c>
      <c r="BG301" s="55" t="n">
        <v>10</v>
      </c>
      <c r="BH301" s="54" t="n">
        <v>270.5600000000005</v>
      </c>
      <c r="BI301" s="55" t="n">
        <v>40</v>
      </c>
      <c r="BJ301" s="53" t="inlineStr"/>
      <c r="BK301" s="58" t="n">
        <v>0</v>
      </c>
      <c r="BL301" s="58" t="n">
        <v>301</v>
      </c>
      <c r="BM301" s="53">
        <f>IF(S301&lt;&gt;"",UPPER(TRIM(S301)),IF(O301="","LOSE",O301))</f>
        <v/>
      </c>
      <c r="BN301" s="55">
        <f>IF(BM301="LOSE",1,IF(N(T301)&gt;0,T301,IF(N(P301)&gt;0,P301,MAX(1,G301))))</f>
        <v/>
      </c>
      <c r="BO301" s="58">
        <f>IF(BM301="LOSE",1,0)</f>
        <v/>
      </c>
      <c r="BP301" s="64">
        <f>IF(BO301=0,0,IF(N(R301)&gt;0,R301,IFERROR(VLOOKUP(D301,Parameter!$A$35:$C$64,3,0)+0,0)))</f>
        <v/>
      </c>
      <c r="BQ301" s="53">
        <f>IF(V301&lt;&gt;"",V301,U301)</f>
        <v/>
      </c>
      <c r="BR301" s="53">
        <f>IF(BQ301=1,"L1",IF(OR(BQ301=2,BQ301=3),"L23",IF(BQ301="Aussen","Aussen","-")))</f>
        <v/>
      </c>
      <c r="BS301" s="66">
        <f>IF(N(W301)&gt;0,W301,0)</f>
        <v/>
      </c>
      <c r="BT301" s="58">
        <f>IF(ISNUMBER(Z301),1,0)</f>
        <v/>
      </c>
      <c r="BU301" s="55">
        <f>N(Z301)</f>
        <v/>
      </c>
      <c r="BV301" s="55">
        <f>N(L301)+N(M301)</f>
        <v/>
      </c>
      <c r="BW301" s="55">
        <f>ROUNDUP(G301/BN301,0)</f>
        <v/>
      </c>
      <c r="BX301" s="55">
        <f>ROUNDUP(BU301/BN301,0)</f>
        <v/>
      </c>
      <c r="BY301" s="58">
        <f>IF(BO301=1,0,IFERROR(VLOOKUP(BM301,'Gebinde-Kategorie'!$A$5:$G$45,5,0)+0,0))</f>
        <v/>
      </c>
      <c r="BZ301" s="58">
        <f>IFERROR(IF(OR(BQ301=1,BQ301=2,BQ301=3),N(INDEX(Parameter!$I$5:$I$7,BQ301)),0),0)</f>
        <v/>
      </c>
    </row>
    <row r="302">
      <c r="A302" s="53" t="inlineStr">
        <is>
          <t>105913</t>
        </is>
      </c>
      <c r="B302" s="53" t="inlineStr">
        <is>
          <t>Sechskantmutter</t>
        </is>
      </c>
      <c r="C302" s="53" t="inlineStr">
        <is>
          <t>F</t>
        </is>
      </c>
      <c r="D302" s="53" t="inlineStr">
        <is>
          <t>KTL</t>
        </is>
      </c>
      <c r="E302" s="53" t="inlineStr">
        <is>
          <t>C</t>
        </is>
      </c>
      <c r="F302" s="54" t="n">
        <v>2.7</v>
      </c>
      <c r="G302" s="55">
        <f>MAX(0,IF(Parameter!$B$20="Jahresanfang 2025 + Export",BG302+BF302,BF302))</f>
        <v/>
      </c>
      <c r="H302" s="55">
        <f>G302*F302</f>
        <v/>
      </c>
      <c r="I302" s="55">
        <f>BI302*Parameter!$B$18</f>
        <v/>
      </c>
      <c r="J302" s="56" t="n">
        <v>268.5</v>
      </c>
      <c r="K302" s="57" t="n">
        <v>0.074487895716946</v>
      </c>
      <c r="L302" s="55" t="n">
        <v>0</v>
      </c>
      <c r="M302" s="55" t="n">
        <v>20</v>
      </c>
      <c r="N302" s="58" t="n">
        <v>14</v>
      </c>
      <c r="O302" s="53" t="inlineStr">
        <is>
          <t>S22</t>
        </is>
      </c>
      <c r="P302" s="55" t="n">
        <v>235</v>
      </c>
      <c r="Q302" s="59">
        <f>IF(BO302=1,0,IFERROR(VLOOKUP(BM302,'Gebinde-Kategorie'!$A$5:$G$45,6,0)+0,0))</f>
        <v/>
      </c>
      <c r="R302" s="60" t="n"/>
      <c r="S302" s="61" t="n"/>
      <c r="T302" s="61" t="n"/>
      <c r="U302" s="53">
        <f>IF(A302="","",IF(IFERROR(VLOOKUP(D302,Parameter!$A$35:$C$64,2,0),"Nein")="2+3",IF(ISNUMBER(SEARCH("grosser Artikel",BJ302)),2,IFERROR(VLOOKUP(BM302,Parameter!$F$35:$G$64,2,0),2)),IF(OR(IFERROR(VLOOKUP(D302,Parameter!$A$35:$C$64,2,0),"Nein")="Nein",IFERROR(VLOOKUP(D302,Parameter!$A$35:$C$64,2,0),"Nein")=""),"-",VLOOKUP(D302,Parameter!$A$35:$C$64,2,0))))</f>
        <v/>
      </c>
      <c r="V302" s="61" t="n"/>
      <c r="W302" s="62" t="n"/>
      <c r="X302" s="55">
        <f>AM302</f>
        <v/>
      </c>
      <c r="Y302" s="55">
        <f>MAX(AM302,G302)</f>
        <v/>
      </c>
      <c r="Z302" s="63" t="n"/>
      <c r="AA302" s="55">
        <f>IF(LEFT(Cockpit!$C$5,1)="A",G302,IF(BT302=1,BU302,IF(LEFT(Cockpit!$C$5,1)="B",AE302,MAX(AE302,G302))))</f>
        <v/>
      </c>
      <c r="AB302" s="55">
        <f>IF(BO302=1,0,ROUNDUP(AA302/BN302,0))</f>
        <v/>
      </c>
      <c r="AC302" s="64">
        <f>IF(BO302=1,IF(AA302&lt;=0,0,BP302*MAX(1,IF(G302&gt;0,AA302/G302,1))),AB302*Q302)</f>
        <v/>
      </c>
      <c r="AD302" s="55">
        <f>AA302*F302</f>
        <v/>
      </c>
      <c r="AE302" s="55">
        <f>ROUNDUP(MAX(I302/IF(BS302&gt;0,BS302,MAX(0.1,N(Cockpit!$C$6))),BV302)/BN302,0)*BN302</f>
        <v/>
      </c>
      <c r="AF302" s="56">
        <f>IF(AC302&gt;0,I302/AC302,-1)</f>
        <v/>
      </c>
      <c r="AG302" s="56">
        <f>IF(AND(OR(BR302="L1",BR302="L23"),AC302&gt;0),SUMIFS($AC$7:$AC$1570,$BR$7:$BR$1570,BR302,$AF$7:$AF$1570,"&gt;"&amp;AF302)+SUMIFS($AC$7:$AC$1570,$BR$7:$BR$1570,BR302,$AF$7:$AF$1570,AF302,$BL$7:$BL$1570,"&lt;="&amp;BL302),"")</f>
        <v/>
      </c>
      <c r="AH302" s="65">
        <f>IF(AG302="",0,MAX(0,MIN(1,(IF(BR302="L1",Parameter!$K$5,Parameter!$K$6+Parameter!$K$7)-(AG302-AC302))/AC302)))</f>
        <v/>
      </c>
      <c r="AI302" s="55">
        <f>IF(LEFT(Cockpit!$I$5,1)="A",G302,IF(BT302=1,BU302,IF(LEFT(Cockpit!$I$5,1)="B",AM302,MAX(AM302,G302))))</f>
        <v/>
      </c>
      <c r="AJ302" s="55">
        <f>IF(BO302=1,0,ROUNDUP(AI302/BN302,0))</f>
        <v/>
      </c>
      <c r="AK302" s="64">
        <f>IF(BO302=1,IF(AI302&lt;=0,0,BP302*MAX(1,IF(G302&gt;0,AI302/G302,1))),AJ302*Q302)</f>
        <v/>
      </c>
      <c r="AL302" s="55">
        <f>AI302*F302</f>
        <v/>
      </c>
      <c r="AM302" s="55">
        <f>ROUNDUP(MAX(I302/IF(BS302&gt;0,BS302,MAX(0.1,N(Cockpit!$I$6))),BV302)/BN302,0)*BN302</f>
        <v/>
      </c>
      <c r="AN302" s="56">
        <f>IF(AK302&gt;0,I302/AK302,-1)</f>
        <v/>
      </c>
      <c r="AO302" s="56">
        <f>IF(AND(OR(BR302="L1",BR302="L23"),AK302&gt;0),SUMIFS($AK$7:$AK$1570,$BR$7:$BR$1570,BR302,$AN$7:$AN$1570,"&gt;"&amp;AN302)+SUMIFS($AK$7:$AK$1570,$BR$7:$BR$1570,BR302,$AN$7:$AN$1570,AN302,$BL$7:$BL$1570,"&lt;="&amp;BL302),"")</f>
        <v/>
      </c>
      <c r="AP302" s="65">
        <f>IF(AO302="",0,MAX(0,MIN(1,(IF(BR302="L1",Parameter!$K$5,Parameter!$K$6+Parameter!$K$7)-(AO302-AK302))/AK302)))</f>
        <v/>
      </c>
      <c r="AQ302" s="55">
        <f>IF(LEFT(Cockpit!$O$5,1)="A",G302,IF(BT302=1,BU302,IF(LEFT(Cockpit!$O$5,1)="B",AU302,MAX(AU302,G302))))</f>
        <v/>
      </c>
      <c r="AR302" s="55">
        <f>IF(BO302=1,0,ROUNDUP(AQ302/BN302,0))</f>
        <v/>
      </c>
      <c r="AS302" s="64">
        <f>IF(BO302=1,IF(AQ302&lt;=0,0,BP302*MAX(1,IF(G302&gt;0,AQ302/G302,1))),AR302*Q302)</f>
        <v/>
      </c>
      <c r="AT302" s="55">
        <f>AQ302*F302</f>
        <v/>
      </c>
      <c r="AU302" s="55">
        <f>ROUNDUP(MAX(I302/IF(BS302&gt;0,BS302,MAX(0.1,N(Cockpit!$O$6))),BV302)/BN302,0)*BN302</f>
        <v/>
      </c>
      <c r="AV302" s="56">
        <f>IF(AS302&gt;0,I302/AS302,-1)</f>
        <v/>
      </c>
      <c r="AW302" s="56">
        <f>IF(AND(OR(BR302="L1",BR302="L23"),AS302&gt;0),SUMIFS($AS$7:$AS$1570,$BR$7:$BR$1570,BR302,$AV$7:$AV$1570,"&gt;"&amp;AV302)+SUMIFS($AS$7:$AS$1570,$BR$7:$BR$1570,BR302,$AV$7:$AV$1570,AV302,$BL$7:$BL$1570,"&lt;="&amp;BL302),"")</f>
        <v/>
      </c>
      <c r="AX302" s="65">
        <f>IF(AW302="",0,MAX(0,MIN(1,(IF(BR302="L1",Parameter!$K$5,Parameter!$K$6+Parameter!$K$7)-(AW302-AS302))/AS302)))</f>
        <v/>
      </c>
      <c r="AY302" s="53">
        <f>IF(AC302&lt;=0,"",IF(BR302="Aussen","Aussenlager",IF(BR302="-","Nicht im Lift",IF(AH302&gt;=1,"Lift",IF(AH302&lt;=0,"Aussenlager","teilweise")))))</f>
        <v/>
      </c>
      <c r="AZ302" s="53">
        <f>IF(AK302&lt;=0,"",IF(BR302="Aussen","Aussenlager",IF(BR302="-","Nicht im Lift",IF(AP302&gt;=1,"Lift",IF(AP302&lt;=0,"Aussenlager","teilweise")))))</f>
        <v/>
      </c>
      <c r="BA302" s="53">
        <f>IF(AS302&lt;=0,"",IF(BR302="Aussen","Aussenlager",IF(BR302="-","Nicht im Lift",IF(AX302&gt;=1,"Lift",IF(AX302&lt;=0,"Aussenlager","teilweise")))))</f>
        <v/>
      </c>
      <c r="BB302" s="53">
        <f>IF(A302="","",IF(BK302=1,"Neu; ","")&amp;IF(AND(BK302=0,BF302&lt;0),"negativer Bestand (Export "&amp;BF302&amp;"); ","")&amp;IF(I302&lt;=0,"Kein Verbrauch; ","")&amp;IF(BO302=1,"Lose – Fläche geschätzt; ","")&amp;IF(G302&gt;AM302,"Überbestand "&amp;ROUND(G302-AM302,0)&amp;" Stk / CHF "&amp;ROUND((G302-AM302)*F302,0)&amp;"; ","")&amp;IF(AND(BT302=1,BU302&lt;BV302),"MAX &lt; MB+LG; ","")&amp;IF(AND(BZ302&gt;0,BY302*10&gt;BZ302),"zu hoch für Tablar; ","")&amp;IF(AND(BK302=0,OR(BT302=1,V302&lt;&gt;"",S302&lt;&gt;"",T302&lt;&gt;"",W302&lt;&gt;"")),"manuell übersteuert; ","")&amp;IF(AND(BO302=0,Q302=0),"Gebinde unbekannt; ","")&amp;IF(AND(BO302=0,N(T302)&lt;=0,N(P302)&lt;=0),"Menge pro Gebinde fehlt (Ist = 1 Gebinde); ","")&amp;BJ302)</f>
        <v/>
      </c>
      <c r="BC302" s="53" t="n"/>
      <c r="BD302" s="53" t="n"/>
      <c r="BE302" s="61" t="n"/>
      <c r="BF302" s="55" t="n">
        <v>100</v>
      </c>
      <c r="BG302" s="55" t="n">
        <v>217</v>
      </c>
      <c r="BH302" s="54" t="n">
        <v>270</v>
      </c>
      <c r="BI302" s="55" t="n">
        <v>20</v>
      </c>
      <c r="BJ302" s="53" t="inlineStr"/>
      <c r="BK302" s="58" t="n">
        <v>0</v>
      </c>
      <c r="BL302" s="58" t="n">
        <v>302</v>
      </c>
      <c r="BM302" s="53">
        <f>IF(S302&lt;&gt;"",UPPER(TRIM(S302)),IF(O302="","LOSE",O302))</f>
        <v/>
      </c>
      <c r="BN302" s="55">
        <f>IF(BM302="LOSE",1,IF(N(T302)&gt;0,T302,IF(N(P302)&gt;0,P302,MAX(1,G302))))</f>
        <v/>
      </c>
      <c r="BO302" s="58">
        <f>IF(BM302="LOSE",1,0)</f>
        <v/>
      </c>
      <c r="BP302" s="64">
        <f>IF(BO302=0,0,IF(N(R302)&gt;0,R302,IFERROR(VLOOKUP(D302,Parameter!$A$35:$C$64,3,0)+0,0)))</f>
        <v/>
      </c>
      <c r="BQ302" s="53">
        <f>IF(V302&lt;&gt;"",V302,U302)</f>
        <v/>
      </c>
      <c r="BR302" s="53">
        <f>IF(BQ302=1,"L1",IF(OR(BQ302=2,BQ302=3),"L23",IF(BQ302="Aussen","Aussen","-")))</f>
        <v/>
      </c>
      <c r="BS302" s="66">
        <f>IF(N(W302)&gt;0,W302,0)</f>
        <v/>
      </c>
      <c r="BT302" s="58">
        <f>IF(ISNUMBER(Z302),1,0)</f>
        <v/>
      </c>
      <c r="BU302" s="55">
        <f>N(Z302)</f>
        <v/>
      </c>
      <c r="BV302" s="55">
        <f>N(L302)+N(M302)</f>
        <v/>
      </c>
      <c r="BW302" s="55">
        <f>ROUNDUP(G302/BN302,0)</f>
        <v/>
      </c>
      <c r="BX302" s="55">
        <f>ROUNDUP(BU302/BN302,0)</f>
        <v/>
      </c>
      <c r="BY302" s="58">
        <f>IF(BO302=1,0,IFERROR(VLOOKUP(BM302,'Gebinde-Kategorie'!$A$5:$G$45,5,0)+0,0))</f>
        <v/>
      </c>
      <c r="BZ302" s="58">
        <f>IFERROR(IF(OR(BQ302=1,BQ302=2,BQ302=3),N(INDEX(Parameter!$I$5:$I$7,BQ302)),0),0)</f>
        <v/>
      </c>
    </row>
    <row r="303">
      <c r="A303" s="53" t="inlineStr">
        <is>
          <t>005729</t>
        </is>
      </c>
      <c r="B303" s="53" t="inlineStr">
        <is>
          <t>Schiebemutter M6</t>
        </is>
      </c>
      <c r="C303" s="53" t="inlineStr">
        <is>
          <t>F</t>
        </is>
      </c>
      <c r="D303" s="53" t="inlineStr">
        <is>
          <t>KTL</t>
        </is>
      </c>
      <c r="E303" s="53" t="inlineStr">
        <is>
          <t>C</t>
        </is>
      </c>
      <c r="F303" s="54" t="n">
        <v>0.79</v>
      </c>
      <c r="G303" s="55">
        <f>MAX(0,IF(Parameter!$B$20="Jahresanfang 2025 + Export",BG303+BF303,BF303))</f>
        <v/>
      </c>
      <c r="H303" s="55">
        <f>G303*F303</f>
        <v/>
      </c>
      <c r="I303" s="55">
        <f>BI303*Parameter!$B$18</f>
        <v/>
      </c>
      <c r="J303" s="56" t="n">
        <v>115</v>
      </c>
      <c r="K303" s="57" t="n">
        <v>0.5130434782608696</v>
      </c>
      <c r="L303" s="55" t="n">
        <v>2</v>
      </c>
      <c r="M303" s="55" t="n">
        <v>60</v>
      </c>
      <c r="N303" s="58" t="n">
        <v>14</v>
      </c>
      <c r="O303" s="53" t="inlineStr">
        <is>
          <t>S32</t>
        </is>
      </c>
      <c r="P303" s="55" t="n">
        <v>39</v>
      </c>
      <c r="Q303" s="59">
        <f>IF(BO303=1,0,IFERROR(VLOOKUP(BM303,'Gebinde-Kategorie'!$A$5:$G$45,6,0)+0,0))</f>
        <v/>
      </c>
      <c r="R303" s="60" t="n"/>
      <c r="S303" s="61" t="n"/>
      <c r="T303" s="61" t="n"/>
      <c r="U303" s="53">
        <f>IF(A303="","",IF(IFERROR(VLOOKUP(D303,Parameter!$A$35:$C$64,2,0),"Nein")="2+3",IF(ISNUMBER(SEARCH("grosser Artikel",BJ303)),2,IFERROR(VLOOKUP(BM303,Parameter!$F$35:$G$64,2,0),2)),IF(OR(IFERROR(VLOOKUP(D303,Parameter!$A$35:$C$64,2,0),"Nein")="Nein",IFERROR(VLOOKUP(D303,Parameter!$A$35:$C$64,2,0),"Nein")=""),"-",VLOOKUP(D303,Parameter!$A$35:$C$64,2,0))))</f>
        <v/>
      </c>
      <c r="V303" s="61" t="n"/>
      <c r="W303" s="62" t="n"/>
      <c r="X303" s="55">
        <f>AM303</f>
        <v/>
      </c>
      <c r="Y303" s="55">
        <f>MAX(AM303,G303)</f>
        <v/>
      </c>
      <c r="Z303" s="63" t="n"/>
      <c r="AA303" s="55">
        <f>IF(LEFT(Cockpit!$C$5,1)="A",G303,IF(BT303=1,BU303,IF(LEFT(Cockpit!$C$5,1)="B",AE303,MAX(AE303,G303))))</f>
        <v/>
      </c>
      <c r="AB303" s="55">
        <f>IF(BO303=1,0,ROUNDUP(AA303/BN303,0))</f>
        <v/>
      </c>
      <c r="AC303" s="64">
        <f>IF(BO303=1,IF(AA303&lt;=0,0,BP303*MAX(1,IF(G303&gt;0,AA303/G303,1))),AB303*Q303)</f>
        <v/>
      </c>
      <c r="AD303" s="55">
        <f>AA303*F303</f>
        <v/>
      </c>
      <c r="AE303" s="55">
        <f>ROUNDUP(MAX(I303/IF(BS303&gt;0,BS303,MAX(0.1,N(Cockpit!$C$6))),BV303)/BN303,0)*BN303</f>
        <v/>
      </c>
      <c r="AF303" s="56">
        <f>IF(AC303&gt;0,I303/AC303,-1)</f>
        <v/>
      </c>
      <c r="AG303" s="56">
        <f>IF(AND(OR(BR303="L1",BR303="L23"),AC303&gt;0),SUMIFS($AC$7:$AC$1570,$BR$7:$BR$1570,BR303,$AF$7:$AF$1570,"&gt;"&amp;AF303)+SUMIFS($AC$7:$AC$1570,$BR$7:$BR$1570,BR303,$AF$7:$AF$1570,AF303,$BL$7:$BL$1570,"&lt;="&amp;BL303),"")</f>
        <v/>
      </c>
      <c r="AH303" s="65">
        <f>IF(AG303="",0,MAX(0,MIN(1,(IF(BR303="L1",Parameter!$K$5,Parameter!$K$6+Parameter!$K$7)-(AG303-AC303))/AC303)))</f>
        <v/>
      </c>
      <c r="AI303" s="55">
        <f>IF(LEFT(Cockpit!$I$5,1)="A",G303,IF(BT303=1,BU303,IF(LEFT(Cockpit!$I$5,1)="B",AM303,MAX(AM303,G303))))</f>
        <v/>
      </c>
      <c r="AJ303" s="55">
        <f>IF(BO303=1,0,ROUNDUP(AI303/BN303,0))</f>
        <v/>
      </c>
      <c r="AK303" s="64">
        <f>IF(BO303=1,IF(AI303&lt;=0,0,BP303*MAX(1,IF(G303&gt;0,AI303/G303,1))),AJ303*Q303)</f>
        <v/>
      </c>
      <c r="AL303" s="55">
        <f>AI303*F303</f>
        <v/>
      </c>
      <c r="AM303" s="55">
        <f>ROUNDUP(MAX(I303/IF(BS303&gt;0,BS303,MAX(0.1,N(Cockpit!$I$6))),BV303)/BN303,0)*BN303</f>
        <v/>
      </c>
      <c r="AN303" s="56">
        <f>IF(AK303&gt;0,I303/AK303,-1)</f>
        <v/>
      </c>
      <c r="AO303" s="56">
        <f>IF(AND(OR(BR303="L1",BR303="L23"),AK303&gt;0),SUMIFS($AK$7:$AK$1570,$BR$7:$BR$1570,BR303,$AN$7:$AN$1570,"&gt;"&amp;AN303)+SUMIFS($AK$7:$AK$1570,$BR$7:$BR$1570,BR303,$AN$7:$AN$1570,AN303,$BL$7:$BL$1570,"&lt;="&amp;BL303),"")</f>
        <v/>
      </c>
      <c r="AP303" s="65">
        <f>IF(AO303="",0,MAX(0,MIN(1,(IF(BR303="L1",Parameter!$K$5,Parameter!$K$6+Parameter!$K$7)-(AO303-AK303))/AK303)))</f>
        <v/>
      </c>
      <c r="AQ303" s="55">
        <f>IF(LEFT(Cockpit!$O$5,1)="A",G303,IF(BT303=1,BU303,IF(LEFT(Cockpit!$O$5,1)="B",AU303,MAX(AU303,G303))))</f>
        <v/>
      </c>
      <c r="AR303" s="55">
        <f>IF(BO303=1,0,ROUNDUP(AQ303/BN303,0))</f>
        <v/>
      </c>
      <c r="AS303" s="64">
        <f>IF(BO303=1,IF(AQ303&lt;=0,0,BP303*MAX(1,IF(G303&gt;0,AQ303/G303,1))),AR303*Q303)</f>
        <v/>
      </c>
      <c r="AT303" s="55">
        <f>AQ303*F303</f>
        <v/>
      </c>
      <c r="AU303" s="55">
        <f>ROUNDUP(MAX(I303/IF(BS303&gt;0,BS303,MAX(0.1,N(Cockpit!$O$6))),BV303)/BN303,0)*BN303</f>
        <v/>
      </c>
      <c r="AV303" s="56">
        <f>IF(AS303&gt;0,I303/AS303,-1)</f>
        <v/>
      </c>
      <c r="AW303" s="56">
        <f>IF(AND(OR(BR303="L1",BR303="L23"),AS303&gt;0),SUMIFS($AS$7:$AS$1570,$BR$7:$BR$1570,BR303,$AV$7:$AV$1570,"&gt;"&amp;AV303)+SUMIFS($AS$7:$AS$1570,$BR$7:$BR$1570,BR303,$AV$7:$AV$1570,AV303,$BL$7:$BL$1570,"&lt;="&amp;BL303),"")</f>
        <v/>
      </c>
      <c r="AX303" s="65">
        <f>IF(AW303="",0,MAX(0,MIN(1,(IF(BR303="L1",Parameter!$K$5,Parameter!$K$6+Parameter!$K$7)-(AW303-AS303))/AS303)))</f>
        <v/>
      </c>
      <c r="AY303" s="53">
        <f>IF(AC303&lt;=0,"",IF(BR303="Aussen","Aussenlager",IF(BR303="-","Nicht im Lift",IF(AH303&gt;=1,"Lift",IF(AH303&lt;=0,"Aussenlager","teilweise")))))</f>
        <v/>
      </c>
      <c r="AZ303" s="53">
        <f>IF(AK303&lt;=0,"",IF(BR303="Aussen","Aussenlager",IF(BR303="-","Nicht im Lift",IF(AP303&gt;=1,"Lift",IF(AP303&lt;=0,"Aussenlager","teilweise")))))</f>
        <v/>
      </c>
      <c r="BA303" s="53">
        <f>IF(AS303&lt;=0,"",IF(BR303="Aussen","Aussenlager",IF(BR303="-","Nicht im Lift",IF(AX303&gt;=1,"Lift",IF(AX303&lt;=0,"Aussenlager","teilweise")))))</f>
        <v/>
      </c>
      <c r="BB303" s="53">
        <f>IF(A303="","",IF(BK303=1,"Neu; ","")&amp;IF(AND(BK303=0,BF303&lt;0),"negativer Bestand (Export "&amp;BF303&amp;"); ","")&amp;IF(I303&lt;=0,"Kein Verbrauch; ","")&amp;IF(BO303=1,"Lose – Fläche geschätzt; ","")&amp;IF(G303&gt;AM303,"Überbestand "&amp;ROUND(G303-AM303,0)&amp;" Stk / CHF "&amp;ROUND((G303-AM303)*F303,0)&amp;"; ","")&amp;IF(AND(BT303=1,BU303&lt;BV303),"MAX &lt; MB+LG; ","")&amp;IF(AND(BZ303&gt;0,BY303*10&gt;BZ303),"zu hoch für Tablar; ","")&amp;IF(AND(BK303=0,OR(BT303=1,V303&lt;&gt;"",S303&lt;&gt;"",T303&lt;&gt;"",W303&lt;&gt;"")),"manuell übersteuert; ","")&amp;IF(AND(BO303=0,Q303=0),"Gebinde unbekannt; ","")&amp;IF(AND(BO303=0,N(T303)&lt;=0,N(P303)&lt;=0),"Menge pro Gebinde fehlt (Ist = 1 Gebinde); ","")&amp;BJ303)</f>
        <v/>
      </c>
      <c r="BC303" s="53" t="n"/>
      <c r="BD303" s="53" t="n"/>
      <c r="BE303" s="61" t="n"/>
      <c r="BF303" s="55" t="n">
        <v>339</v>
      </c>
      <c r="BG303" s="55" t="n">
        <v>32</v>
      </c>
      <c r="BH303" s="54" t="n">
        <v>267.8099999999999</v>
      </c>
      <c r="BI303" s="55" t="n">
        <v>59</v>
      </c>
      <c r="BJ303" s="53" t="inlineStr"/>
      <c r="BK303" s="58" t="n">
        <v>0</v>
      </c>
      <c r="BL303" s="58" t="n">
        <v>303</v>
      </c>
      <c r="BM303" s="53">
        <f>IF(S303&lt;&gt;"",UPPER(TRIM(S303)),IF(O303="","LOSE",O303))</f>
        <v/>
      </c>
      <c r="BN303" s="55">
        <f>IF(BM303="LOSE",1,IF(N(T303)&gt;0,T303,IF(N(P303)&gt;0,P303,MAX(1,G303))))</f>
        <v/>
      </c>
      <c r="BO303" s="58">
        <f>IF(BM303="LOSE",1,0)</f>
        <v/>
      </c>
      <c r="BP303" s="64">
        <f>IF(BO303=0,0,IF(N(R303)&gt;0,R303,IFERROR(VLOOKUP(D303,Parameter!$A$35:$C$64,3,0)+0,0)))</f>
        <v/>
      </c>
      <c r="BQ303" s="53">
        <f>IF(V303&lt;&gt;"",V303,U303)</f>
        <v/>
      </c>
      <c r="BR303" s="53">
        <f>IF(BQ303=1,"L1",IF(OR(BQ303=2,BQ303=3),"L23",IF(BQ303="Aussen","Aussen","-")))</f>
        <v/>
      </c>
      <c r="BS303" s="66">
        <f>IF(N(W303)&gt;0,W303,0)</f>
        <v/>
      </c>
      <c r="BT303" s="58">
        <f>IF(ISNUMBER(Z303),1,0)</f>
        <v/>
      </c>
      <c r="BU303" s="55">
        <f>N(Z303)</f>
        <v/>
      </c>
      <c r="BV303" s="55">
        <f>N(L303)+N(M303)</f>
        <v/>
      </c>
      <c r="BW303" s="55">
        <f>ROUNDUP(G303/BN303,0)</f>
        <v/>
      </c>
      <c r="BX303" s="55">
        <f>ROUNDUP(BU303/BN303,0)</f>
        <v/>
      </c>
      <c r="BY303" s="58">
        <f>IF(BO303=1,0,IFERROR(VLOOKUP(BM303,'Gebinde-Kategorie'!$A$5:$G$45,5,0)+0,0))</f>
        <v/>
      </c>
      <c r="BZ303" s="58">
        <f>IFERROR(IF(OR(BQ303=1,BQ303=2,BQ303=3),N(INDEX(Parameter!$I$5:$I$7,BQ303)),0),0)</f>
        <v/>
      </c>
    </row>
    <row r="304">
      <c r="A304" s="53" t="inlineStr">
        <is>
          <t>005304</t>
        </is>
      </c>
      <c r="B304" s="53" t="inlineStr">
        <is>
          <t>Stützring</t>
        </is>
      </c>
      <c r="C304" s="53" t="inlineStr">
        <is>
          <t>F</t>
        </is>
      </c>
      <c r="D304" s="53" t="inlineStr">
        <is>
          <t>KTL</t>
        </is>
      </c>
      <c r="E304" s="53" t="inlineStr">
        <is>
          <t>C</t>
        </is>
      </c>
      <c r="F304" s="54" t="n">
        <v>2.01</v>
      </c>
      <c r="G304" s="55">
        <f>MAX(0,IF(Parameter!$B$20="Jahresanfang 2025 + Export",BG304+BF304,BF304))</f>
        <v/>
      </c>
      <c r="H304" s="55">
        <f>G304*F304</f>
        <v/>
      </c>
      <c r="I304" s="55">
        <f>BI304*Parameter!$B$18</f>
        <v/>
      </c>
      <c r="J304" s="56" t="n">
        <v>69</v>
      </c>
      <c r="K304" s="57" t="n">
        <v>2.492753623188406</v>
      </c>
      <c r="L304" s="55" t="n">
        <v>6</v>
      </c>
      <c r="M304" s="55" t="n">
        <v>200</v>
      </c>
      <c r="N304" s="58" t="n">
        <v>14</v>
      </c>
      <c r="O304" s="53" t="inlineStr">
        <is>
          <t>S33</t>
        </is>
      </c>
      <c r="P304" s="55" t="n">
        <v>342</v>
      </c>
      <c r="Q304" s="59">
        <f>IF(BO304=1,0,IFERROR(VLOOKUP(BM304,'Gebinde-Kategorie'!$A$5:$G$45,6,0)+0,0))</f>
        <v/>
      </c>
      <c r="R304" s="60" t="n"/>
      <c r="S304" s="61" t="n"/>
      <c r="T304" s="61" t="n"/>
      <c r="U304" s="53">
        <f>IF(A304="","",IF(IFERROR(VLOOKUP(D304,Parameter!$A$35:$C$64,2,0),"Nein")="2+3",IF(ISNUMBER(SEARCH("grosser Artikel",BJ304)),2,IFERROR(VLOOKUP(BM304,Parameter!$F$35:$G$64,2,0),2)),IF(OR(IFERROR(VLOOKUP(D304,Parameter!$A$35:$C$64,2,0),"Nein")="Nein",IFERROR(VLOOKUP(D304,Parameter!$A$35:$C$64,2,0),"Nein")=""),"-",VLOOKUP(D304,Parameter!$A$35:$C$64,2,0))))</f>
        <v/>
      </c>
      <c r="V304" s="61" t="n"/>
      <c r="W304" s="62" t="n"/>
      <c r="X304" s="55">
        <f>AM304</f>
        <v/>
      </c>
      <c r="Y304" s="55">
        <f>MAX(AM304,G304)</f>
        <v/>
      </c>
      <c r="Z304" s="63" t="n"/>
      <c r="AA304" s="55">
        <f>IF(LEFT(Cockpit!$C$5,1)="A",G304,IF(BT304=1,BU304,IF(LEFT(Cockpit!$C$5,1)="B",AE304,MAX(AE304,G304))))</f>
        <v/>
      </c>
      <c r="AB304" s="55">
        <f>IF(BO304=1,0,ROUNDUP(AA304/BN304,0))</f>
        <v/>
      </c>
      <c r="AC304" s="64">
        <f>IF(BO304=1,IF(AA304&lt;=0,0,BP304*MAX(1,IF(G304&gt;0,AA304/G304,1))),AB304*Q304)</f>
        <v/>
      </c>
      <c r="AD304" s="55">
        <f>AA304*F304</f>
        <v/>
      </c>
      <c r="AE304" s="55">
        <f>ROUNDUP(MAX(I304/IF(BS304&gt;0,BS304,MAX(0.1,N(Cockpit!$C$6))),BV304)/BN304,0)*BN304</f>
        <v/>
      </c>
      <c r="AF304" s="56">
        <f>IF(AC304&gt;0,I304/AC304,-1)</f>
        <v/>
      </c>
      <c r="AG304" s="56">
        <f>IF(AND(OR(BR304="L1",BR304="L23"),AC304&gt;0),SUMIFS($AC$7:$AC$1570,$BR$7:$BR$1570,BR304,$AF$7:$AF$1570,"&gt;"&amp;AF304)+SUMIFS($AC$7:$AC$1570,$BR$7:$BR$1570,BR304,$AF$7:$AF$1570,AF304,$BL$7:$BL$1570,"&lt;="&amp;BL304),"")</f>
        <v/>
      </c>
      <c r="AH304" s="65">
        <f>IF(AG304="",0,MAX(0,MIN(1,(IF(BR304="L1",Parameter!$K$5,Parameter!$K$6+Parameter!$K$7)-(AG304-AC304))/AC304)))</f>
        <v/>
      </c>
      <c r="AI304" s="55">
        <f>IF(LEFT(Cockpit!$I$5,1)="A",G304,IF(BT304=1,BU304,IF(LEFT(Cockpit!$I$5,1)="B",AM304,MAX(AM304,G304))))</f>
        <v/>
      </c>
      <c r="AJ304" s="55">
        <f>IF(BO304=1,0,ROUNDUP(AI304/BN304,0))</f>
        <v/>
      </c>
      <c r="AK304" s="64">
        <f>IF(BO304=1,IF(AI304&lt;=0,0,BP304*MAX(1,IF(G304&gt;0,AI304/G304,1))),AJ304*Q304)</f>
        <v/>
      </c>
      <c r="AL304" s="55">
        <f>AI304*F304</f>
        <v/>
      </c>
      <c r="AM304" s="55">
        <f>ROUNDUP(MAX(I304/IF(BS304&gt;0,BS304,MAX(0.1,N(Cockpit!$I$6))),BV304)/BN304,0)*BN304</f>
        <v/>
      </c>
      <c r="AN304" s="56">
        <f>IF(AK304&gt;0,I304/AK304,-1)</f>
        <v/>
      </c>
      <c r="AO304" s="56">
        <f>IF(AND(OR(BR304="L1",BR304="L23"),AK304&gt;0),SUMIFS($AK$7:$AK$1570,$BR$7:$BR$1570,BR304,$AN$7:$AN$1570,"&gt;"&amp;AN304)+SUMIFS($AK$7:$AK$1570,$BR$7:$BR$1570,BR304,$AN$7:$AN$1570,AN304,$BL$7:$BL$1570,"&lt;="&amp;BL304),"")</f>
        <v/>
      </c>
      <c r="AP304" s="65">
        <f>IF(AO304="",0,MAX(0,MIN(1,(IF(BR304="L1",Parameter!$K$5,Parameter!$K$6+Parameter!$K$7)-(AO304-AK304))/AK304)))</f>
        <v/>
      </c>
      <c r="AQ304" s="55">
        <f>IF(LEFT(Cockpit!$O$5,1)="A",G304,IF(BT304=1,BU304,IF(LEFT(Cockpit!$O$5,1)="B",AU304,MAX(AU304,G304))))</f>
        <v/>
      </c>
      <c r="AR304" s="55">
        <f>IF(BO304=1,0,ROUNDUP(AQ304/BN304,0))</f>
        <v/>
      </c>
      <c r="AS304" s="64">
        <f>IF(BO304=1,IF(AQ304&lt;=0,0,BP304*MAX(1,IF(G304&gt;0,AQ304/G304,1))),AR304*Q304)</f>
        <v/>
      </c>
      <c r="AT304" s="55">
        <f>AQ304*F304</f>
        <v/>
      </c>
      <c r="AU304" s="55">
        <f>ROUNDUP(MAX(I304/IF(BS304&gt;0,BS304,MAX(0.1,N(Cockpit!$O$6))),BV304)/BN304,0)*BN304</f>
        <v/>
      </c>
      <c r="AV304" s="56">
        <f>IF(AS304&gt;0,I304/AS304,-1)</f>
        <v/>
      </c>
      <c r="AW304" s="56">
        <f>IF(AND(OR(BR304="L1",BR304="L23"),AS304&gt;0),SUMIFS($AS$7:$AS$1570,$BR$7:$BR$1570,BR304,$AV$7:$AV$1570,"&gt;"&amp;AV304)+SUMIFS($AS$7:$AS$1570,$BR$7:$BR$1570,BR304,$AV$7:$AV$1570,AV304,$BL$7:$BL$1570,"&lt;="&amp;BL304),"")</f>
        <v/>
      </c>
      <c r="AX304" s="65">
        <f>IF(AW304="",0,MAX(0,MIN(1,(IF(BR304="L1",Parameter!$K$5,Parameter!$K$6+Parameter!$K$7)-(AW304-AS304))/AS304)))</f>
        <v/>
      </c>
      <c r="AY304" s="53">
        <f>IF(AC304&lt;=0,"",IF(BR304="Aussen","Aussenlager",IF(BR304="-","Nicht im Lift",IF(AH304&gt;=1,"Lift",IF(AH304&lt;=0,"Aussenlager","teilweise")))))</f>
        <v/>
      </c>
      <c r="AZ304" s="53">
        <f>IF(AK304&lt;=0,"",IF(BR304="Aussen","Aussenlager",IF(BR304="-","Nicht im Lift",IF(AP304&gt;=1,"Lift",IF(AP304&lt;=0,"Aussenlager","teilweise")))))</f>
        <v/>
      </c>
      <c r="BA304" s="53">
        <f>IF(AS304&lt;=0,"",IF(BR304="Aussen","Aussenlager",IF(BR304="-","Nicht im Lift",IF(AX304&gt;=1,"Lift",IF(AX304&lt;=0,"Aussenlager","teilweise")))))</f>
        <v/>
      </c>
      <c r="BB304" s="53">
        <f>IF(A304="","",IF(BK304=1,"Neu; ","")&amp;IF(AND(BK304=0,BF304&lt;0),"negativer Bestand (Export "&amp;BF304&amp;"); ","")&amp;IF(I304&lt;=0,"Kein Verbrauch; ","")&amp;IF(BO304=1,"Lose – Fläche geschätzt; ","")&amp;IF(G304&gt;AM304,"Überbestand "&amp;ROUND(G304-AM304,0)&amp;" Stk / CHF "&amp;ROUND((G304-AM304)*F304,0)&amp;"; ","")&amp;IF(AND(BT304=1,BU304&lt;BV304),"MAX &lt; MB+LG; ","")&amp;IF(AND(BZ304&gt;0,BY304*10&gt;BZ304),"zu hoch für Tablar; ","")&amp;IF(AND(BK304=0,OR(BT304=1,V304&lt;&gt;"",S304&lt;&gt;"",T304&lt;&gt;"",W304&lt;&gt;"")),"manuell übersteuert; ","")&amp;IF(AND(BO304=0,Q304=0),"Gebinde unbekannt; ","")&amp;IF(AND(BO304=0,N(T304)&lt;=0,N(P304)&lt;=0),"Menge pro Gebinde fehlt (Ist = 1 Gebinde); ","")&amp;BJ304)</f>
        <v/>
      </c>
      <c r="BC304" s="53" t="n"/>
      <c r="BD304" s="53" t="n"/>
      <c r="BE304" s="61" t="n"/>
      <c r="BF304" s="55" t="n">
        <v>136</v>
      </c>
      <c r="BG304" s="55" t="n">
        <v>57</v>
      </c>
      <c r="BH304" s="54" t="n">
        <v>267.48</v>
      </c>
      <c r="BI304" s="55" t="n">
        <v>172</v>
      </c>
      <c r="BJ304" s="53" t="inlineStr"/>
      <c r="BK304" s="58" t="n">
        <v>0</v>
      </c>
      <c r="BL304" s="58" t="n">
        <v>304</v>
      </c>
      <c r="BM304" s="53">
        <f>IF(S304&lt;&gt;"",UPPER(TRIM(S304)),IF(O304="","LOSE",O304))</f>
        <v/>
      </c>
      <c r="BN304" s="55">
        <f>IF(BM304="LOSE",1,IF(N(T304)&gt;0,T304,IF(N(P304)&gt;0,P304,MAX(1,G304))))</f>
        <v/>
      </c>
      <c r="BO304" s="58">
        <f>IF(BM304="LOSE",1,0)</f>
        <v/>
      </c>
      <c r="BP304" s="64">
        <f>IF(BO304=0,0,IF(N(R304)&gt;0,R304,IFERROR(VLOOKUP(D304,Parameter!$A$35:$C$64,3,0)+0,0)))</f>
        <v/>
      </c>
      <c r="BQ304" s="53">
        <f>IF(V304&lt;&gt;"",V304,U304)</f>
        <v/>
      </c>
      <c r="BR304" s="53">
        <f>IF(BQ304=1,"L1",IF(OR(BQ304=2,BQ304=3),"L23",IF(BQ304="Aussen","Aussen","-")))</f>
        <v/>
      </c>
      <c r="BS304" s="66">
        <f>IF(N(W304)&gt;0,W304,0)</f>
        <v/>
      </c>
      <c r="BT304" s="58">
        <f>IF(ISNUMBER(Z304),1,0)</f>
        <v/>
      </c>
      <c r="BU304" s="55">
        <f>N(Z304)</f>
        <v/>
      </c>
      <c r="BV304" s="55">
        <f>N(L304)+N(M304)</f>
        <v/>
      </c>
      <c r="BW304" s="55">
        <f>ROUNDUP(G304/BN304,0)</f>
        <v/>
      </c>
      <c r="BX304" s="55">
        <f>ROUNDUP(BU304/BN304,0)</f>
        <v/>
      </c>
      <c r="BY304" s="58">
        <f>IF(BO304=1,0,IFERROR(VLOOKUP(BM304,'Gebinde-Kategorie'!$A$5:$G$45,5,0)+0,0))</f>
        <v/>
      </c>
      <c r="BZ304" s="58">
        <f>IFERROR(IF(OR(BQ304=1,BQ304=2,BQ304=3),N(INDEX(Parameter!$I$5:$I$7,BQ304)),0),0)</f>
        <v/>
      </c>
    </row>
    <row r="305">
      <c r="A305" s="53" t="inlineStr">
        <is>
          <t>112024</t>
        </is>
      </c>
      <c r="B305" s="53" t="inlineStr">
        <is>
          <t>Schutzblech</t>
        </is>
      </c>
      <c r="C305" s="53" t="inlineStr">
        <is>
          <t>F</t>
        </is>
      </c>
      <c r="D305" s="53" t="inlineStr">
        <is>
          <t>KTL</t>
        </is>
      </c>
      <c r="E305" s="53" t="inlineStr">
        <is>
          <t>C</t>
        </is>
      </c>
      <c r="F305" s="54" t="n">
        <v>17.67</v>
      </c>
      <c r="G305" s="55">
        <f>MAX(0,IF(Parameter!$B$20="Jahresanfang 2025 + Export",BG305+BF305,BF305))</f>
        <v/>
      </c>
      <c r="H305" s="55">
        <f>G305*F305</f>
        <v/>
      </c>
      <c r="I305" s="55">
        <f>BI305*Parameter!$B$18</f>
        <v/>
      </c>
      <c r="J305" s="56" t="n">
        <v>0</v>
      </c>
      <c r="K305" s="57" t="n">
        <v>0</v>
      </c>
      <c r="L305" s="55" t="n">
        <v>0</v>
      </c>
      <c r="M305" s="55" t="n">
        <v>1</v>
      </c>
      <c r="N305" s="58" t="n">
        <v>9999</v>
      </c>
      <c r="O305" s="53" t="inlineStr">
        <is>
          <t>LOSE</t>
        </is>
      </c>
      <c r="P305" s="55" t="n"/>
      <c r="Q305" s="59">
        <f>IF(BO305=1,0,IFERROR(VLOOKUP(BM305,'Gebinde-Kategorie'!$A$5:$G$45,6,0)+0,0))</f>
        <v/>
      </c>
      <c r="R305" s="60" t="n"/>
      <c r="S305" s="61" t="n"/>
      <c r="T305" s="61" t="n"/>
      <c r="U305" s="53">
        <f>IF(A305="","",IF(IFERROR(VLOOKUP(D305,Parameter!$A$35:$C$64,2,0),"Nein")="2+3",IF(ISNUMBER(SEARCH("grosser Artikel",BJ305)),2,IFERROR(VLOOKUP(BM305,Parameter!$F$35:$G$64,2,0),2)),IF(OR(IFERROR(VLOOKUP(D305,Parameter!$A$35:$C$64,2,0),"Nein")="Nein",IFERROR(VLOOKUP(D305,Parameter!$A$35:$C$64,2,0),"Nein")=""),"-",VLOOKUP(D305,Parameter!$A$35:$C$64,2,0))))</f>
        <v/>
      </c>
      <c r="V305" s="61" t="n"/>
      <c r="W305" s="62" t="n"/>
      <c r="X305" s="55">
        <f>AM305</f>
        <v/>
      </c>
      <c r="Y305" s="55">
        <f>MAX(AM305,G305)</f>
        <v/>
      </c>
      <c r="Z305" s="63" t="n"/>
      <c r="AA305" s="55">
        <f>IF(LEFT(Cockpit!$C$5,1)="A",G305,IF(BT305=1,BU305,IF(LEFT(Cockpit!$C$5,1)="B",AE305,MAX(AE305,G305))))</f>
        <v/>
      </c>
      <c r="AB305" s="55">
        <f>IF(BO305=1,0,ROUNDUP(AA305/BN305,0))</f>
        <v/>
      </c>
      <c r="AC305" s="64">
        <f>IF(BO305=1,IF(AA305&lt;=0,0,BP305*MAX(1,IF(G305&gt;0,AA305/G305,1))),AB305*Q305)</f>
        <v/>
      </c>
      <c r="AD305" s="55">
        <f>AA305*F305</f>
        <v/>
      </c>
      <c r="AE305" s="55">
        <f>ROUNDUP(MAX(I305/IF(BS305&gt;0,BS305,MAX(0.1,N(Cockpit!$C$6))),BV305)/BN305,0)*BN305</f>
        <v/>
      </c>
      <c r="AF305" s="56">
        <f>IF(AC305&gt;0,I305/AC305,-1)</f>
        <v/>
      </c>
      <c r="AG305" s="56">
        <f>IF(AND(OR(BR305="L1",BR305="L23"),AC305&gt;0),SUMIFS($AC$7:$AC$1570,$BR$7:$BR$1570,BR305,$AF$7:$AF$1570,"&gt;"&amp;AF305)+SUMIFS($AC$7:$AC$1570,$BR$7:$BR$1570,BR305,$AF$7:$AF$1570,AF305,$BL$7:$BL$1570,"&lt;="&amp;BL305),"")</f>
        <v/>
      </c>
      <c r="AH305" s="65">
        <f>IF(AG305="",0,MAX(0,MIN(1,(IF(BR305="L1",Parameter!$K$5,Parameter!$K$6+Parameter!$K$7)-(AG305-AC305))/AC305)))</f>
        <v/>
      </c>
      <c r="AI305" s="55">
        <f>IF(LEFT(Cockpit!$I$5,1)="A",G305,IF(BT305=1,BU305,IF(LEFT(Cockpit!$I$5,1)="B",AM305,MAX(AM305,G305))))</f>
        <v/>
      </c>
      <c r="AJ305" s="55">
        <f>IF(BO305=1,0,ROUNDUP(AI305/BN305,0))</f>
        <v/>
      </c>
      <c r="AK305" s="64">
        <f>IF(BO305=1,IF(AI305&lt;=0,0,BP305*MAX(1,IF(G305&gt;0,AI305/G305,1))),AJ305*Q305)</f>
        <v/>
      </c>
      <c r="AL305" s="55">
        <f>AI305*F305</f>
        <v/>
      </c>
      <c r="AM305" s="55">
        <f>ROUNDUP(MAX(I305/IF(BS305&gt;0,BS305,MAX(0.1,N(Cockpit!$I$6))),BV305)/BN305,0)*BN305</f>
        <v/>
      </c>
      <c r="AN305" s="56">
        <f>IF(AK305&gt;0,I305/AK305,-1)</f>
        <v/>
      </c>
      <c r="AO305" s="56">
        <f>IF(AND(OR(BR305="L1",BR305="L23"),AK305&gt;0),SUMIFS($AK$7:$AK$1570,$BR$7:$BR$1570,BR305,$AN$7:$AN$1570,"&gt;"&amp;AN305)+SUMIFS($AK$7:$AK$1570,$BR$7:$BR$1570,BR305,$AN$7:$AN$1570,AN305,$BL$7:$BL$1570,"&lt;="&amp;BL305),"")</f>
        <v/>
      </c>
      <c r="AP305" s="65">
        <f>IF(AO305="",0,MAX(0,MIN(1,(IF(BR305="L1",Parameter!$K$5,Parameter!$K$6+Parameter!$K$7)-(AO305-AK305))/AK305)))</f>
        <v/>
      </c>
      <c r="AQ305" s="55">
        <f>IF(LEFT(Cockpit!$O$5,1)="A",G305,IF(BT305=1,BU305,IF(LEFT(Cockpit!$O$5,1)="B",AU305,MAX(AU305,G305))))</f>
        <v/>
      </c>
      <c r="AR305" s="55">
        <f>IF(BO305=1,0,ROUNDUP(AQ305/BN305,0))</f>
        <v/>
      </c>
      <c r="AS305" s="64">
        <f>IF(BO305=1,IF(AQ305&lt;=0,0,BP305*MAX(1,IF(G305&gt;0,AQ305/G305,1))),AR305*Q305)</f>
        <v/>
      </c>
      <c r="AT305" s="55">
        <f>AQ305*F305</f>
        <v/>
      </c>
      <c r="AU305" s="55">
        <f>ROUNDUP(MAX(I305/IF(BS305&gt;0,BS305,MAX(0.1,N(Cockpit!$O$6))),BV305)/BN305,0)*BN305</f>
        <v/>
      </c>
      <c r="AV305" s="56">
        <f>IF(AS305&gt;0,I305/AS305,-1)</f>
        <v/>
      </c>
      <c r="AW305" s="56">
        <f>IF(AND(OR(BR305="L1",BR305="L23"),AS305&gt;0),SUMIFS($AS$7:$AS$1570,$BR$7:$BR$1570,BR305,$AV$7:$AV$1570,"&gt;"&amp;AV305)+SUMIFS($AS$7:$AS$1570,$BR$7:$BR$1570,BR305,$AV$7:$AV$1570,AV305,$BL$7:$BL$1570,"&lt;="&amp;BL305),"")</f>
        <v/>
      </c>
      <c r="AX305" s="65">
        <f>IF(AW305="",0,MAX(0,MIN(1,(IF(BR305="L1",Parameter!$K$5,Parameter!$K$6+Parameter!$K$7)-(AW305-AS305))/AS305)))</f>
        <v/>
      </c>
      <c r="AY305" s="53">
        <f>IF(AC305&lt;=0,"",IF(BR305="Aussen","Aussenlager",IF(BR305="-","Nicht im Lift",IF(AH305&gt;=1,"Lift",IF(AH305&lt;=0,"Aussenlager","teilweise")))))</f>
        <v/>
      </c>
      <c r="AZ305" s="53">
        <f>IF(AK305&lt;=0,"",IF(BR305="Aussen","Aussenlager",IF(BR305="-","Nicht im Lift",IF(AP305&gt;=1,"Lift",IF(AP305&lt;=0,"Aussenlager","teilweise")))))</f>
        <v/>
      </c>
      <c r="BA305" s="53">
        <f>IF(AS305&lt;=0,"",IF(BR305="Aussen","Aussenlager",IF(BR305="-","Nicht im Lift",IF(AX305&gt;=1,"Lift",IF(AX305&lt;=0,"Aussenlager","teilweise")))))</f>
        <v/>
      </c>
      <c r="BB305" s="53">
        <f>IF(A305="","",IF(BK305=1,"Neu; ","")&amp;IF(AND(BK305=0,BF305&lt;0),"negativer Bestand (Export "&amp;BF305&amp;"); ","")&amp;IF(I305&lt;=0,"Kein Verbrauch; ","")&amp;IF(BO305=1,"Lose – Fläche geschätzt; ","")&amp;IF(G305&gt;AM305,"Überbestand "&amp;ROUND(G305-AM305,0)&amp;" Stk / CHF "&amp;ROUND((G305-AM305)*F305,0)&amp;"; ","")&amp;IF(AND(BT305=1,BU305&lt;BV305),"MAX &lt; MB+LG; ","")&amp;IF(AND(BZ305&gt;0,BY305*10&gt;BZ305),"zu hoch für Tablar; ","")&amp;IF(AND(BK305=0,OR(BT305=1,V305&lt;&gt;"",S305&lt;&gt;"",T305&lt;&gt;"",W305&lt;&gt;"")),"manuell übersteuert; ","")&amp;IF(AND(BO305=0,Q305=0),"Gebinde unbekannt; ","")&amp;IF(AND(BO305=0,N(T305)&lt;=0,N(P305)&lt;=0),"Menge pro Gebinde fehlt (Ist = 1 Gebinde); ","")&amp;BJ305)</f>
        <v/>
      </c>
      <c r="BC305" s="53" t="n"/>
      <c r="BD305" s="53" t="n"/>
      <c r="BE305" s="61" t="n"/>
      <c r="BF305" s="55" t="n">
        <v>15</v>
      </c>
      <c r="BG305" s="55" t="n">
        <v>0</v>
      </c>
      <c r="BH305" s="54" t="n">
        <v>265.05</v>
      </c>
      <c r="BI305" s="55" t="n">
        <v>0</v>
      </c>
      <c r="BJ305" s="53" t="inlineStr"/>
      <c r="BK305" s="58" t="n">
        <v>0</v>
      </c>
      <c r="BL305" s="58" t="n">
        <v>305</v>
      </c>
      <c r="BM305" s="53">
        <f>IF(S305&lt;&gt;"",UPPER(TRIM(S305)),IF(O305="","LOSE",O305))</f>
        <v/>
      </c>
      <c r="BN305" s="55">
        <f>IF(BM305="LOSE",1,IF(N(T305)&gt;0,T305,IF(N(P305)&gt;0,P305,MAX(1,G305))))</f>
        <v/>
      </c>
      <c r="BO305" s="58">
        <f>IF(BM305="LOSE",1,0)</f>
        <v/>
      </c>
      <c r="BP305" s="64">
        <f>IF(BO305=0,0,IF(N(R305)&gt;0,R305,IFERROR(VLOOKUP(D305,Parameter!$A$35:$C$64,3,0)+0,0)))</f>
        <v/>
      </c>
      <c r="BQ305" s="53">
        <f>IF(V305&lt;&gt;"",V305,U305)</f>
        <v/>
      </c>
      <c r="BR305" s="53">
        <f>IF(BQ305=1,"L1",IF(OR(BQ305=2,BQ305=3),"L23",IF(BQ305="Aussen","Aussen","-")))</f>
        <v/>
      </c>
      <c r="BS305" s="66">
        <f>IF(N(W305)&gt;0,W305,0)</f>
        <v/>
      </c>
      <c r="BT305" s="58">
        <f>IF(ISNUMBER(Z305),1,0)</f>
        <v/>
      </c>
      <c r="BU305" s="55">
        <f>N(Z305)</f>
        <v/>
      </c>
      <c r="BV305" s="55">
        <f>N(L305)+N(M305)</f>
        <v/>
      </c>
      <c r="BW305" s="55">
        <f>ROUNDUP(G305/BN305,0)</f>
        <v/>
      </c>
      <c r="BX305" s="55">
        <f>ROUNDUP(BU305/BN305,0)</f>
        <v/>
      </c>
      <c r="BY305" s="58">
        <f>IF(BO305=1,0,IFERROR(VLOOKUP(BM305,'Gebinde-Kategorie'!$A$5:$G$45,5,0)+0,0))</f>
        <v/>
      </c>
      <c r="BZ305" s="58">
        <f>IFERROR(IF(OR(BQ305=1,BQ305=2,BQ305=3),N(INDEX(Parameter!$I$5:$I$7,BQ305)),0),0)</f>
        <v/>
      </c>
    </row>
    <row r="306">
      <c r="A306" s="53" t="inlineStr">
        <is>
          <t>100085</t>
        </is>
      </c>
      <c r="B306" s="53" t="inlineStr">
        <is>
          <t>O-Ring</t>
        </is>
      </c>
      <c r="C306" s="53" t="inlineStr">
        <is>
          <t>F</t>
        </is>
      </c>
      <c r="D306" s="53" t="inlineStr">
        <is>
          <t>KTL</t>
        </is>
      </c>
      <c r="E306" s="53" t="inlineStr">
        <is>
          <t>C</t>
        </is>
      </c>
      <c r="F306" s="54" t="n">
        <v>0.64</v>
      </c>
      <c r="G306" s="55">
        <f>MAX(0,IF(Parameter!$B$20="Jahresanfang 2025 + Export",BG306+BF306,BF306))</f>
        <v/>
      </c>
      <c r="H306" s="55">
        <f>G306*F306</f>
        <v/>
      </c>
      <c r="I306" s="55">
        <f>BI306*Parameter!$B$18</f>
        <v/>
      </c>
      <c r="J306" s="56" t="n">
        <v>2692</v>
      </c>
      <c r="K306" s="57" t="n">
        <v>0.825408618127786</v>
      </c>
      <c r="L306" s="55" t="n">
        <v>518</v>
      </c>
      <c r="M306" s="55" t="n">
        <v>2500</v>
      </c>
      <c r="N306" s="58" t="n">
        <v>84</v>
      </c>
      <c r="O306" s="53" t="inlineStr">
        <is>
          <t>S63</t>
        </is>
      </c>
      <c r="P306" s="55" t="n">
        <v>1500</v>
      </c>
      <c r="Q306" s="59">
        <f>IF(BO306=1,0,IFERROR(VLOOKUP(BM306,'Gebinde-Kategorie'!$A$5:$G$45,6,0)+0,0))</f>
        <v/>
      </c>
      <c r="R306" s="60" t="n"/>
      <c r="S306" s="61" t="n"/>
      <c r="T306" s="61" t="n"/>
      <c r="U306" s="53">
        <f>IF(A306="","",IF(IFERROR(VLOOKUP(D306,Parameter!$A$35:$C$64,2,0),"Nein")="2+3",IF(ISNUMBER(SEARCH("grosser Artikel",BJ306)),2,IFERROR(VLOOKUP(BM306,Parameter!$F$35:$G$64,2,0),2)),IF(OR(IFERROR(VLOOKUP(D306,Parameter!$A$35:$C$64,2,0),"Nein")="Nein",IFERROR(VLOOKUP(D306,Parameter!$A$35:$C$64,2,0),"Nein")=""),"-",VLOOKUP(D306,Parameter!$A$35:$C$64,2,0))))</f>
        <v/>
      </c>
      <c r="V306" s="61" t="n"/>
      <c r="W306" s="62" t="n"/>
      <c r="X306" s="55">
        <f>AM306</f>
        <v/>
      </c>
      <c r="Y306" s="55">
        <f>MAX(AM306,G306)</f>
        <v/>
      </c>
      <c r="Z306" s="63" t="n"/>
      <c r="AA306" s="55">
        <f>IF(LEFT(Cockpit!$C$5,1)="A",G306,IF(BT306=1,BU306,IF(LEFT(Cockpit!$C$5,1)="B",AE306,MAX(AE306,G306))))</f>
        <v/>
      </c>
      <c r="AB306" s="55">
        <f>IF(BO306=1,0,ROUNDUP(AA306/BN306,0))</f>
        <v/>
      </c>
      <c r="AC306" s="64">
        <f>IF(BO306=1,IF(AA306&lt;=0,0,BP306*MAX(1,IF(G306&gt;0,AA306/G306,1))),AB306*Q306)</f>
        <v/>
      </c>
      <c r="AD306" s="55">
        <f>AA306*F306</f>
        <v/>
      </c>
      <c r="AE306" s="55">
        <f>ROUNDUP(MAX(I306/IF(BS306&gt;0,BS306,MAX(0.1,N(Cockpit!$C$6))),BV306)/BN306,0)*BN306</f>
        <v/>
      </c>
      <c r="AF306" s="56">
        <f>IF(AC306&gt;0,I306/AC306,-1)</f>
        <v/>
      </c>
      <c r="AG306" s="56">
        <f>IF(AND(OR(BR306="L1",BR306="L23"),AC306&gt;0),SUMIFS($AC$7:$AC$1570,$BR$7:$BR$1570,BR306,$AF$7:$AF$1570,"&gt;"&amp;AF306)+SUMIFS($AC$7:$AC$1570,$BR$7:$BR$1570,BR306,$AF$7:$AF$1570,AF306,$BL$7:$BL$1570,"&lt;="&amp;BL306),"")</f>
        <v/>
      </c>
      <c r="AH306" s="65">
        <f>IF(AG306="",0,MAX(0,MIN(1,(IF(BR306="L1",Parameter!$K$5,Parameter!$K$6+Parameter!$K$7)-(AG306-AC306))/AC306)))</f>
        <v/>
      </c>
      <c r="AI306" s="55">
        <f>IF(LEFT(Cockpit!$I$5,1)="A",G306,IF(BT306=1,BU306,IF(LEFT(Cockpit!$I$5,1)="B",AM306,MAX(AM306,G306))))</f>
        <v/>
      </c>
      <c r="AJ306" s="55">
        <f>IF(BO306=1,0,ROUNDUP(AI306/BN306,0))</f>
        <v/>
      </c>
      <c r="AK306" s="64">
        <f>IF(BO306=1,IF(AI306&lt;=0,0,BP306*MAX(1,IF(G306&gt;0,AI306/G306,1))),AJ306*Q306)</f>
        <v/>
      </c>
      <c r="AL306" s="55">
        <f>AI306*F306</f>
        <v/>
      </c>
      <c r="AM306" s="55">
        <f>ROUNDUP(MAX(I306/IF(BS306&gt;0,BS306,MAX(0.1,N(Cockpit!$I$6))),BV306)/BN306,0)*BN306</f>
        <v/>
      </c>
      <c r="AN306" s="56">
        <f>IF(AK306&gt;0,I306/AK306,-1)</f>
        <v/>
      </c>
      <c r="AO306" s="56">
        <f>IF(AND(OR(BR306="L1",BR306="L23"),AK306&gt;0),SUMIFS($AK$7:$AK$1570,$BR$7:$BR$1570,BR306,$AN$7:$AN$1570,"&gt;"&amp;AN306)+SUMIFS($AK$7:$AK$1570,$BR$7:$BR$1570,BR306,$AN$7:$AN$1570,AN306,$BL$7:$BL$1570,"&lt;="&amp;BL306),"")</f>
        <v/>
      </c>
      <c r="AP306" s="65">
        <f>IF(AO306="",0,MAX(0,MIN(1,(IF(BR306="L1",Parameter!$K$5,Parameter!$K$6+Parameter!$K$7)-(AO306-AK306))/AK306)))</f>
        <v/>
      </c>
      <c r="AQ306" s="55">
        <f>IF(LEFT(Cockpit!$O$5,1)="A",G306,IF(BT306=1,BU306,IF(LEFT(Cockpit!$O$5,1)="B",AU306,MAX(AU306,G306))))</f>
        <v/>
      </c>
      <c r="AR306" s="55">
        <f>IF(BO306=1,0,ROUNDUP(AQ306/BN306,0))</f>
        <v/>
      </c>
      <c r="AS306" s="64">
        <f>IF(BO306=1,IF(AQ306&lt;=0,0,BP306*MAX(1,IF(G306&gt;0,AQ306/G306,1))),AR306*Q306)</f>
        <v/>
      </c>
      <c r="AT306" s="55">
        <f>AQ306*F306</f>
        <v/>
      </c>
      <c r="AU306" s="55">
        <f>ROUNDUP(MAX(I306/IF(BS306&gt;0,BS306,MAX(0.1,N(Cockpit!$O$6))),BV306)/BN306,0)*BN306</f>
        <v/>
      </c>
      <c r="AV306" s="56">
        <f>IF(AS306&gt;0,I306/AS306,-1)</f>
        <v/>
      </c>
      <c r="AW306" s="56">
        <f>IF(AND(OR(BR306="L1",BR306="L23"),AS306&gt;0),SUMIFS($AS$7:$AS$1570,$BR$7:$BR$1570,BR306,$AV$7:$AV$1570,"&gt;"&amp;AV306)+SUMIFS($AS$7:$AS$1570,$BR$7:$BR$1570,BR306,$AV$7:$AV$1570,AV306,$BL$7:$BL$1570,"&lt;="&amp;BL306),"")</f>
        <v/>
      </c>
      <c r="AX306" s="65">
        <f>IF(AW306="",0,MAX(0,MIN(1,(IF(BR306="L1",Parameter!$K$5,Parameter!$K$6+Parameter!$K$7)-(AW306-AS306))/AS306)))</f>
        <v/>
      </c>
      <c r="AY306" s="53">
        <f>IF(AC306&lt;=0,"",IF(BR306="Aussen","Aussenlager",IF(BR306="-","Nicht im Lift",IF(AH306&gt;=1,"Lift",IF(AH306&lt;=0,"Aussenlager","teilweise")))))</f>
        <v/>
      </c>
      <c r="AZ306" s="53">
        <f>IF(AK306&lt;=0,"",IF(BR306="Aussen","Aussenlager",IF(BR306="-","Nicht im Lift",IF(AP306&gt;=1,"Lift",IF(AP306&lt;=0,"Aussenlager","teilweise")))))</f>
        <v/>
      </c>
      <c r="BA306" s="53">
        <f>IF(AS306&lt;=0,"",IF(BR306="Aussen","Aussenlager",IF(BR306="-","Nicht im Lift",IF(AX306&gt;=1,"Lift",IF(AX306&lt;=0,"Aussenlager","teilweise")))))</f>
        <v/>
      </c>
      <c r="BB306" s="53">
        <f>IF(A306="","",IF(BK306=1,"Neu; ","")&amp;IF(AND(BK306=0,BF306&lt;0),"negativer Bestand (Export "&amp;BF306&amp;"); ","")&amp;IF(I306&lt;=0,"Kein Verbrauch; ","")&amp;IF(BO306=1,"Lose – Fläche geschätzt; ","")&amp;IF(G306&gt;AM306,"Überbestand "&amp;ROUND(G306-AM306,0)&amp;" Stk / CHF "&amp;ROUND((G306-AM306)*F306,0)&amp;"; ","")&amp;IF(AND(BT306=1,BU306&lt;BV306),"MAX &lt; MB+LG; ","")&amp;IF(AND(BZ306&gt;0,BY306*10&gt;BZ306),"zu hoch für Tablar; ","")&amp;IF(AND(BK306=0,OR(BT306=1,V306&lt;&gt;"",S306&lt;&gt;"",T306&lt;&gt;"",W306&lt;&gt;"")),"manuell übersteuert; ","")&amp;IF(AND(BO306=0,Q306=0),"Gebinde unbekannt; ","")&amp;IF(AND(BO306=0,N(T306)&lt;=0,N(P306)&lt;=0),"Menge pro Gebinde fehlt (Ist = 1 Gebinde); ","")&amp;BJ306)</f>
        <v/>
      </c>
      <c r="BC306" s="53" t="n"/>
      <c r="BD306" s="53" t="n"/>
      <c r="BE306" s="61" t="n"/>
      <c r="BF306" s="55" t="n">
        <v>-928</v>
      </c>
      <c r="BG306" s="55" t="n">
        <v>3745</v>
      </c>
      <c r="BH306" s="54" t="n">
        <v>264.439999999999</v>
      </c>
      <c r="BI306" s="55" t="n">
        <v>2222</v>
      </c>
      <c r="BJ306" s="53" t="inlineStr"/>
      <c r="BK306" s="58" t="n">
        <v>0</v>
      </c>
      <c r="BL306" s="58" t="n">
        <v>306</v>
      </c>
      <c r="BM306" s="53">
        <f>IF(S306&lt;&gt;"",UPPER(TRIM(S306)),IF(O306="","LOSE",O306))</f>
        <v/>
      </c>
      <c r="BN306" s="55">
        <f>IF(BM306="LOSE",1,IF(N(T306)&gt;0,T306,IF(N(P306)&gt;0,P306,MAX(1,G306))))</f>
        <v/>
      </c>
      <c r="BO306" s="58">
        <f>IF(BM306="LOSE",1,0)</f>
        <v/>
      </c>
      <c r="BP306" s="64">
        <f>IF(BO306=0,0,IF(N(R306)&gt;0,R306,IFERROR(VLOOKUP(D306,Parameter!$A$35:$C$64,3,0)+0,0)))</f>
        <v/>
      </c>
      <c r="BQ306" s="53">
        <f>IF(V306&lt;&gt;"",V306,U306)</f>
        <v/>
      </c>
      <c r="BR306" s="53">
        <f>IF(BQ306=1,"L1",IF(OR(BQ306=2,BQ306=3),"L23",IF(BQ306="Aussen","Aussen","-")))</f>
        <v/>
      </c>
      <c r="BS306" s="66">
        <f>IF(N(W306)&gt;0,W306,0)</f>
        <v/>
      </c>
      <c r="BT306" s="58">
        <f>IF(ISNUMBER(Z306),1,0)</f>
        <v/>
      </c>
      <c r="BU306" s="55">
        <f>N(Z306)</f>
        <v/>
      </c>
      <c r="BV306" s="55">
        <f>N(L306)+N(M306)</f>
        <v/>
      </c>
      <c r="BW306" s="55">
        <f>ROUNDUP(G306/BN306,0)</f>
        <v/>
      </c>
      <c r="BX306" s="55">
        <f>ROUNDUP(BU306/BN306,0)</f>
        <v/>
      </c>
      <c r="BY306" s="58">
        <f>IF(BO306=1,0,IFERROR(VLOOKUP(BM306,'Gebinde-Kategorie'!$A$5:$G$45,5,0)+0,0))</f>
        <v/>
      </c>
      <c r="BZ306" s="58">
        <f>IFERROR(IF(OR(BQ306=1,BQ306=2,BQ306=3),N(INDEX(Parameter!$I$5:$I$7,BQ306)),0),0)</f>
        <v/>
      </c>
    </row>
    <row r="307">
      <c r="A307" s="53" t="inlineStr">
        <is>
          <t>108431</t>
        </is>
      </c>
      <c r="B307" s="53" t="inlineStr">
        <is>
          <t>Schaumstoff-Rastereinsatz</t>
        </is>
      </c>
      <c r="C307" s="53" t="inlineStr">
        <is>
          <t>F</t>
        </is>
      </c>
      <c r="D307" s="53" t="inlineStr">
        <is>
          <t>PAL</t>
        </is>
      </c>
      <c r="E307" s="53" t="inlineStr">
        <is>
          <t>C</t>
        </is>
      </c>
      <c r="F307" s="54" t="n">
        <v>21.55</v>
      </c>
      <c r="G307" s="55">
        <f>MAX(0,IF(Parameter!$B$20="Jahresanfang 2025 + Export",BG307+BF307,BF307))</f>
        <v/>
      </c>
      <c r="H307" s="55">
        <f>G307*F307</f>
        <v/>
      </c>
      <c r="I307" s="55">
        <f>BI307*Parameter!$B$18</f>
        <v/>
      </c>
      <c r="J307" s="56" t="n">
        <v>12</v>
      </c>
      <c r="K307" s="57" t="n">
        <v>1</v>
      </c>
      <c r="L307" s="55" t="n">
        <v>0</v>
      </c>
      <c r="M307" s="55" t="n">
        <v>10</v>
      </c>
      <c r="N307" s="58" t="n">
        <v>21</v>
      </c>
      <c r="O307" s="53" t="inlineStr">
        <is>
          <t>S62</t>
        </is>
      </c>
      <c r="P307" s="55" t="n">
        <v>8</v>
      </c>
      <c r="Q307" s="59">
        <f>IF(BO307=1,0,IFERROR(VLOOKUP(BM307,'Gebinde-Kategorie'!$A$5:$G$45,6,0)+0,0))</f>
        <v/>
      </c>
      <c r="R307" s="60" t="n"/>
      <c r="S307" s="61" t="n"/>
      <c r="T307" s="61" t="n"/>
      <c r="U307" s="53">
        <f>IF(A307="","",IF(IFERROR(VLOOKUP(D307,Parameter!$A$35:$C$64,2,0),"Nein")="2+3",IF(ISNUMBER(SEARCH("grosser Artikel",BJ307)),2,IFERROR(VLOOKUP(BM307,Parameter!$F$35:$G$64,2,0),2)),IF(OR(IFERROR(VLOOKUP(D307,Parameter!$A$35:$C$64,2,0),"Nein")="Nein",IFERROR(VLOOKUP(D307,Parameter!$A$35:$C$64,2,0),"Nein")=""),"-",VLOOKUP(D307,Parameter!$A$35:$C$64,2,0))))</f>
        <v/>
      </c>
      <c r="V307" s="61" t="n"/>
      <c r="W307" s="62" t="n"/>
      <c r="X307" s="55">
        <f>AM307</f>
        <v/>
      </c>
      <c r="Y307" s="55">
        <f>MAX(AM307,G307)</f>
        <v/>
      </c>
      <c r="Z307" s="63" t="n"/>
      <c r="AA307" s="55">
        <f>IF(LEFT(Cockpit!$C$5,1)="A",G307,IF(BT307=1,BU307,IF(LEFT(Cockpit!$C$5,1)="B",AE307,MAX(AE307,G307))))</f>
        <v/>
      </c>
      <c r="AB307" s="55">
        <f>IF(BO307=1,0,ROUNDUP(AA307/BN307,0))</f>
        <v/>
      </c>
      <c r="AC307" s="64">
        <f>IF(BO307=1,IF(AA307&lt;=0,0,BP307*MAX(1,IF(G307&gt;0,AA307/G307,1))),AB307*Q307)</f>
        <v/>
      </c>
      <c r="AD307" s="55">
        <f>AA307*F307</f>
        <v/>
      </c>
      <c r="AE307" s="55">
        <f>ROUNDUP(MAX(I307/IF(BS307&gt;0,BS307,MAX(0.1,N(Cockpit!$C$6))),BV307)/BN307,0)*BN307</f>
        <v/>
      </c>
      <c r="AF307" s="56">
        <f>IF(AC307&gt;0,I307/AC307,-1)</f>
        <v/>
      </c>
      <c r="AG307" s="56">
        <f>IF(AND(OR(BR307="L1",BR307="L23"),AC307&gt;0),SUMIFS($AC$7:$AC$1570,$BR$7:$BR$1570,BR307,$AF$7:$AF$1570,"&gt;"&amp;AF307)+SUMIFS($AC$7:$AC$1570,$BR$7:$BR$1570,BR307,$AF$7:$AF$1570,AF307,$BL$7:$BL$1570,"&lt;="&amp;BL307),"")</f>
        <v/>
      </c>
      <c r="AH307" s="65">
        <f>IF(AG307="",0,MAX(0,MIN(1,(IF(BR307="L1",Parameter!$K$5,Parameter!$K$6+Parameter!$K$7)-(AG307-AC307))/AC307)))</f>
        <v/>
      </c>
      <c r="AI307" s="55">
        <f>IF(LEFT(Cockpit!$I$5,1)="A",G307,IF(BT307=1,BU307,IF(LEFT(Cockpit!$I$5,1)="B",AM307,MAX(AM307,G307))))</f>
        <v/>
      </c>
      <c r="AJ307" s="55">
        <f>IF(BO307=1,0,ROUNDUP(AI307/BN307,0))</f>
        <v/>
      </c>
      <c r="AK307" s="64">
        <f>IF(BO307=1,IF(AI307&lt;=0,0,BP307*MAX(1,IF(G307&gt;0,AI307/G307,1))),AJ307*Q307)</f>
        <v/>
      </c>
      <c r="AL307" s="55">
        <f>AI307*F307</f>
        <v/>
      </c>
      <c r="AM307" s="55">
        <f>ROUNDUP(MAX(I307/IF(BS307&gt;0,BS307,MAX(0.1,N(Cockpit!$I$6))),BV307)/BN307,0)*BN307</f>
        <v/>
      </c>
      <c r="AN307" s="56">
        <f>IF(AK307&gt;0,I307/AK307,-1)</f>
        <v/>
      </c>
      <c r="AO307" s="56">
        <f>IF(AND(OR(BR307="L1",BR307="L23"),AK307&gt;0),SUMIFS($AK$7:$AK$1570,$BR$7:$BR$1570,BR307,$AN$7:$AN$1570,"&gt;"&amp;AN307)+SUMIFS($AK$7:$AK$1570,$BR$7:$BR$1570,BR307,$AN$7:$AN$1570,AN307,$BL$7:$BL$1570,"&lt;="&amp;BL307),"")</f>
        <v/>
      </c>
      <c r="AP307" s="65">
        <f>IF(AO307="",0,MAX(0,MIN(1,(IF(BR307="L1",Parameter!$K$5,Parameter!$K$6+Parameter!$K$7)-(AO307-AK307))/AK307)))</f>
        <v/>
      </c>
      <c r="AQ307" s="55">
        <f>IF(LEFT(Cockpit!$O$5,1)="A",G307,IF(BT307=1,BU307,IF(LEFT(Cockpit!$O$5,1)="B",AU307,MAX(AU307,G307))))</f>
        <v/>
      </c>
      <c r="AR307" s="55">
        <f>IF(BO307=1,0,ROUNDUP(AQ307/BN307,0))</f>
        <v/>
      </c>
      <c r="AS307" s="64">
        <f>IF(BO307=1,IF(AQ307&lt;=0,0,BP307*MAX(1,IF(G307&gt;0,AQ307/G307,1))),AR307*Q307)</f>
        <v/>
      </c>
      <c r="AT307" s="55">
        <f>AQ307*F307</f>
        <v/>
      </c>
      <c r="AU307" s="55">
        <f>ROUNDUP(MAX(I307/IF(BS307&gt;0,BS307,MAX(0.1,N(Cockpit!$O$6))),BV307)/BN307,0)*BN307</f>
        <v/>
      </c>
      <c r="AV307" s="56">
        <f>IF(AS307&gt;0,I307/AS307,-1)</f>
        <v/>
      </c>
      <c r="AW307" s="56">
        <f>IF(AND(OR(BR307="L1",BR307="L23"),AS307&gt;0),SUMIFS($AS$7:$AS$1570,$BR$7:$BR$1570,BR307,$AV$7:$AV$1570,"&gt;"&amp;AV307)+SUMIFS($AS$7:$AS$1570,$BR$7:$BR$1570,BR307,$AV$7:$AV$1570,AV307,$BL$7:$BL$1570,"&lt;="&amp;BL307),"")</f>
        <v/>
      </c>
      <c r="AX307" s="65">
        <f>IF(AW307="",0,MAX(0,MIN(1,(IF(BR307="L1",Parameter!$K$5,Parameter!$K$6+Parameter!$K$7)-(AW307-AS307))/AS307)))</f>
        <v/>
      </c>
      <c r="AY307" s="53">
        <f>IF(AC307&lt;=0,"",IF(BR307="Aussen","Aussenlager",IF(BR307="-","Nicht im Lift",IF(AH307&gt;=1,"Lift",IF(AH307&lt;=0,"Aussenlager","teilweise")))))</f>
        <v/>
      </c>
      <c r="AZ307" s="53">
        <f>IF(AK307&lt;=0,"",IF(BR307="Aussen","Aussenlager",IF(BR307="-","Nicht im Lift",IF(AP307&gt;=1,"Lift",IF(AP307&lt;=0,"Aussenlager","teilweise")))))</f>
        <v/>
      </c>
      <c r="BA307" s="53">
        <f>IF(AS307&lt;=0,"",IF(BR307="Aussen","Aussenlager",IF(BR307="-","Nicht im Lift",IF(AX307&gt;=1,"Lift",IF(AX307&lt;=0,"Aussenlager","teilweise")))))</f>
        <v/>
      </c>
      <c r="BB307" s="53">
        <f>IF(A307="","",IF(BK307=1,"Neu; ","")&amp;IF(AND(BK307=0,BF307&lt;0),"negativer Bestand (Export "&amp;BF307&amp;"); ","")&amp;IF(I307&lt;=0,"Kein Verbrauch; ","")&amp;IF(BO307=1,"Lose – Fläche geschätzt; ","")&amp;IF(G307&gt;AM307,"Überbestand "&amp;ROUND(G307-AM307,0)&amp;" Stk / CHF "&amp;ROUND((G307-AM307)*F307,0)&amp;"; ","")&amp;IF(AND(BT307=1,BU307&lt;BV307),"MAX &lt; MB+LG; ","")&amp;IF(AND(BZ307&gt;0,BY307*10&gt;BZ307),"zu hoch für Tablar; ","")&amp;IF(AND(BK307=0,OR(BT307=1,V307&lt;&gt;"",S307&lt;&gt;"",T307&lt;&gt;"",W307&lt;&gt;"")),"manuell übersteuert; ","")&amp;IF(AND(BO307=0,Q307=0),"Gebinde unbekannt; ","")&amp;IF(AND(BO307=0,N(T307)&lt;=0,N(P307)&lt;=0),"Menge pro Gebinde fehlt (Ist = 1 Gebinde); ","")&amp;BJ307)</f>
        <v/>
      </c>
      <c r="BC307" s="53" t="n"/>
      <c r="BD307" s="53" t="n"/>
      <c r="BE307" s="61" t="n"/>
      <c r="BF307" s="55" t="n">
        <v>12</v>
      </c>
      <c r="BG307" s="55" t="n">
        <v>8</v>
      </c>
      <c r="BH307" s="54" t="n">
        <v>262.04</v>
      </c>
      <c r="BI307" s="55" t="n">
        <v>12</v>
      </c>
      <c r="BJ307" s="53" t="inlineStr">
        <is>
          <t>grosser Artikel &amp; nicht im KTL</t>
        </is>
      </c>
      <c r="BK307" s="58" t="n">
        <v>0</v>
      </c>
      <c r="BL307" s="58" t="n">
        <v>307</v>
      </c>
      <c r="BM307" s="53">
        <f>IF(S307&lt;&gt;"",UPPER(TRIM(S307)),IF(O307="","LOSE",O307))</f>
        <v/>
      </c>
      <c r="BN307" s="55">
        <f>IF(BM307="LOSE",1,IF(N(T307)&gt;0,T307,IF(N(P307)&gt;0,P307,MAX(1,G307))))</f>
        <v/>
      </c>
      <c r="BO307" s="58">
        <f>IF(BM307="LOSE",1,0)</f>
        <v/>
      </c>
      <c r="BP307" s="64">
        <f>IF(BO307=0,0,IF(N(R307)&gt;0,R307,IFERROR(VLOOKUP(D307,Parameter!$A$35:$C$64,3,0)+0,0)))</f>
        <v/>
      </c>
      <c r="BQ307" s="53">
        <f>IF(V307&lt;&gt;"",V307,U307)</f>
        <v/>
      </c>
      <c r="BR307" s="53">
        <f>IF(BQ307=1,"L1",IF(OR(BQ307=2,BQ307=3),"L23",IF(BQ307="Aussen","Aussen","-")))</f>
        <v/>
      </c>
      <c r="BS307" s="66">
        <f>IF(N(W307)&gt;0,W307,0)</f>
        <v/>
      </c>
      <c r="BT307" s="58">
        <f>IF(ISNUMBER(Z307),1,0)</f>
        <v/>
      </c>
      <c r="BU307" s="55">
        <f>N(Z307)</f>
        <v/>
      </c>
      <c r="BV307" s="55">
        <f>N(L307)+N(M307)</f>
        <v/>
      </c>
      <c r="BW307" s="55">
        <f>ROUNDUP(G307/BN307,0)</f>
        <v/>
      </c>
      <c r="BX307" s="55">
        <f>ROUNDUP(BU307/BN307,0)</f>
        <v/>
      </c>
      <c r="BY307" s="58">
        <f>IF(BO307=1,0,IFERROR(VLOOKUP(BM307,'Gebinde-Kategorie'!$A$5:$G$45,5,0)+0,0))</f>
        <v/>
      </c>
      <c r="BZ307" s="58">
        <f>IFERROR(IF(OR(BQ307=1,BQ307=2,BQ307=3),N(INDEX(Parameter!$I$5:$I$7,BQ307)),0),0)</f>
        <v/>
      </c>
    </row>
    <row r="308">
      <c r="A308" s="53" t="inlineStr">
        <is>
          <t>107866</t>
        </is>
      </c>
      <c r="B308" s="53" t="inlineStr">
        <is>
          <t>Kolben SPGr16</t>
        </is>
      </c>
      <c r="C308" s="53" t="inlineStr">
        <is>
          <t>F</t>
        </is>
      </c>
      <c r="D308" s="53" t="inlineStr">
        <is>
          <t>PAL</t>
        </is>
      </c>
      <c r="E308" s="53" t="inlineStr">
        <is>
          <t>C</t>
        </is>
      </c>
      <c r="F308" s="54" t="n">
        <v>452.4</v>
      </c>
      <c r="G308" s="55">
        <f>MAX(0,IF(Parameter!$B$20="Jahresanfang 2025 + Export",BG308+BF308,BF308))</f>
        <v/>
      </c>
      <c r="H308" s="55">
        <f>G308*F308</f>
        <v/>
      </c>
      <c r="I308" s="55">
        <f>BI308*Parameter!$B$18</f>
        <v/>
      </c>
      <c r="J308" s="56" t="n">
        <v>17</v>
      </c>
      <c r="K308" s="57" t="n">
        <v>6.941176470588236</v>
      </c>
      <c r="L308" s="55" t="n">
        <v>10</v>
      </c>
      <c r="M308" s="55" t="n">
        <v>25</v>
      </c>
      <c r="N308" s="58" t="n">
        <v>84</v>
      </c>
      <c r="O308" s="53" t="inlineStr">
        <is>
          <t>S71</t>
        </is>
      </c>
      <c r="P308" s="55" t="n">
        <v>20</v>
      </c>
      <c r="Q308" s="59">
        <f>IF(BO308=1,0,IFERROR(VLOOKUP(BM308,'Gebinde-Kategorie'!$A$5:$G$45,6,0)+0,0))</f>
        <v/>
      </c>
      <c r="R308" s="60" t="n"/>
      <c r="S308" s="61" t="n"/>
      <c r="T308" s="61" t="n"/>
      <c r="U308" s="53">
        <f>IF(A308="","",IF(IFERROR(VLOOKUP(D308,Parameter!$A$35:$C$64,2,0),"Nein")="2+3",IF(ISNUMBER(SEARCH("grosser Artikel",BJ308)),2,IFERROR(VLOOKUP(BM308,Parameter!$F$35:$G$64,2,0),2)),IF(OR(IFERROR(VLOOKUP(D308,Parameter!$A$35:$C$64,2,0),"Nein")="Nein",IFERROR(VLOOKUP(D308,Parameter!$A$35:$C$64,2,0),"Nein")=""),"-",VLOOKUP(D308,Parameter!$A$35:$C$64,2,0))))</f>
        <v/>
      </c>
      <c r="V308" s="61" t="n"/>
      <c r="W308" s="62" t="n"/>
      <c r="X308" s="55">
        <f>AM308</f>
        <v/>
      </c>
      <c r="Y308" s="55">
        <f>MAX(AM308,G308)</f>
        <v/>
      </c>
      <c r="Z308" s="63" t="n"/>
      <c r="AA308" s="55">
        <f>IF(LEFT(Cockpit!$C$5,1)="A",G308,IF(BT308=1,BU308,IF(LEFT(Cockpit!$C$5,1)="B",AE308,MAX(AE308,G308))))</f>
        <v/>
      </c>
      <c r="AB308" s="55">
        <f>IF(BO308=1,0,ROUNDUP(AA308/BN308,0))</f>
        <v/>
      </c>
      <c r="AC308" s="64">
        <f>IF(BO308=1,IF(AA308&lt;=0,0,BP308*MAX(1,IF(G308&gt;0,AA308/G308,1))),AB308*Q308)</f>
        <v/>
      </c>
      <c r="AD308" s="55">
        <f>AA308*F308</f>
        <v/>
      </c>
      <c r="AE308" s="55">
        <f>ROUNDUP(MAX(I308/IF(BS308&gt;0,BS308,MAX(0.1,N(Cockpit!$C$6))),BV308)/BN308,0)*BN308</f>
        <v/>
      </c>
      <c r="AF308" s="56">
        <f>IF(AC308&gt;0,I308/AC308,-1)</f>
        <v/>
      </c>
      <c r="AG308" s="56">
        <f>IF(AND(OR(BR308="L1",BR308="L23"),AC308&gt;0),SUMIFS($AC$7:$AC$1570,$BR$7:$BR$1570,BR308,$AF$7:$AF$1570,"&gt;"&amp;AF308)+SUMIFS($AC$7:$AC$1570,$BR$7:$BR$1570,BR308,$AF$7:$AF$1570,AF308,$BL$7:$BL$1570,"&lt;="&amp;BL308),"")</f>
        <v/>
      </c>
      <c r="AH308" s="65">
        <f>IF(AG308="",0,MAX(0,MIN(1,(IF(BR308="L1",Parameter!$K$5,Parameter!$K$6+Parameter!$K$7)-(AG308-AC308))/AC308)))</f>
        <v/>
      </c>
      <c r="AI308" s="55">
        <f>IF(LEFT(Cockpit!$I$5,1)="A",G308,IF(BT308=1,BU308,IF(LEFT(Cockpit!$I$5,1)="B",AM308,MAX(AM308,G308))))</f>
        <v/>
      </c>
      <c r="AJ308" s="55">
        <f>IF(BO308=1,0,ROUNDUP(AI308/BN308,0))</f>
        <v/>
      </c>
      <c r="AK308" s="64">
        <f>IF(BO308=1,IF(AI308&lt;=0,0,BP308*MAX(1,IF(G308&gt;0,AI308/G308,1))),AJ308*Q308)</f>
        <v/>
      </c>
      <c r="AL308" s="55">
        <f>AI308*F308</f>
        <v/>
      </c>
      <c r="AM308" s="55">
        <f>ROUNDUP(MAX(I308/IF(BS308&gt;0,BS308,MAX(0.1,N(Cockpit!$I$6))),BV308)/BN308,0)*BN308</f>
        <v/>
      </c>
      <c r="AN308" s="56">
        <f>IF(AK308&gt;0,I308/AK308,-1)</f>
        <v/>
      </c>
      <c r="AO308" s="56">
        <f>IF(AND(OR(BR308="L1",BR308="L23"),AK308&gt;0),SUMIFS($AK$7:$AK$1570,$BR$7:$BR$1570,BR308,$AN$7:$AN$1570,"&gt;"&amp;AN308)+SUMIFS($AK$7:$AK$1570,$BR$7:$BR$1570,BR308,$AN$7:$AN$1570,AN308,$BL$7:$BL$1570,"&lt;="&amp;BL308),"")</f>
        <v/>
      </c>
      <c r="AP308" s="65">
        <f>IF(AO308="",0,MAX(0,MIN(1,(IF(BR308="L1",Parameter!$K$5,Parameter!$K$6+Parameter!$K$7)-(AO308-AK308))/AK308)))</f>
        <v/>
      </c>
      <c r="AQ308" s="55">
        <f>IF(LEFT(Cockpit!$O$5,1)="A",G308,IF(BT308=1,BU308,IF(LEFT(Cockpit!$O$5,1)="B",AU308,MAX(AU308,G308))))</f>
        <v/>
      </c>
      <c r="AR308" s="55">
        <f>IF(BO308=1,0,ROUNDUP(AQ308/BN308,0))</f>
        <v/>
      </c>
      <c r="AS308" s="64">
        <f>IF(BO308=1,IF(AQ308&lt;=0,0,BP308*MAX(1,IF(G308&gt;0,AQ308/G308,1))),AR308*Q308)</f>
        <v/>
      </c>
      <c r="AT308" s="55">
        <f>AQ308*F308</f>
        <v/>
      </c>
      <c r="AU308" s="55">
        <f>ROUNDUP(MAX(I308/IF(BS308&gt;0,BS308,MAX(0.1,N(Cockpit!$O$6))),BV308)/BN308,0)*BN308</f>
        <v/>
      </c>
      <c r="AV308" s="56">
        <f>IF(AS308&gt;0,I308/AS308,-1)</f>
        <v/>
      </c>
      <c r="AW308" s="56">
        <f>IF(AND(OR(BR308="L1",BR308="L23"),AS308&gt;0),SUMIFS($AS$7:$AS$1570,$BR$7:$BR$1570,BR308,$AV$7:$AV$1570,"&gt;"&amp;AV308)+SUMIFS($AS$7:$AS$1570,$BR$7:$BR$1570,BR308,$AV$7:$AV$1570,AV308,$BL$7:$BL$1570,"&lt;="&amp;BL308),"")</f>
        <v/>
      </c>
      <c r="AX308" s="65">
        <f>IF(AW308="",0,MAX(0,MIN(1,(IF(BR308="L1",Parameter!$K$5,Parameter!$K$6+Parameter!$K$7)-(AW308-AS308))/AS308)))</f>
        <v/>
      </c>
      <c r="AY308" s="53">
        <f>IF(AC308&lt;=0,"",IF(BR308="Aussen","Aussenlager",IF(BR308="-","Nicht im Lift",IF(AH308&gt;=1,"Lift",IF(AH308&lt;=0,"Aussenlager","teilweise")))))</f>
        <v/>
      </c>
      <c r="AZ308" s="53">
        <f>IF(AK308&lt;=0,"",IF(BR308="Aussen","Aussenlager",IF(BR308="-","Nicht im Lift",IF(AP308&gt;=1,"Lift",IF(AP308&lt;=0,"Aussenlager","teilweise")))))</f>
        <v/>
      </c>
      <c r="BA308" s="53">
        <f>IF(AS308&lt;=0,"",IF(BR308="Aussen","Aussenlager",IF(BR308="-","Nicht im Lift",IF(AX308&gt;=1,"Lift",IF(AX308&lt;=0,"Aussenlager","teilweise")))))</f>
        <v/>
      </c>
      <c r="BB308" s="53">
        <f>IF(A308="","",IF(BK308=1,"Neu; ","")&amp;IF(AND(BK308=0,BF308&lt;0),"negativer Bestand (Export "&amp;BF308&amp;"); ","")&amp;IF(I308&lt;=0,"Kein Verbrauch; ","")&amp;IF(BO308=1,"Lose – Fläche geschätzt; ","")&amp;IF(G308&gt;AM308,"Überbestand "&amp;ROUND(G308-AM308,0)&amp;" Stk / CHF "&amp;ROUND((G308-AM308)*F308,0)&amp;"; ","")&amp;IF(AND(BT308=1,BU308&lt;BV308),"MAX &lt; MB+LG; ","")&amp;IF(AND(BZ308&gt;0,BY308*10&gt;BZ308),"zu hoch für Tablar; ","")&amp;IF(AND(BK308=0,OR(BT308=1,V308&lt;&gt;"",S308&lt;&gt;"",T308&lt;&gt;"",W308&lt;&gt;"")),"manuell übersteuert; ","")&amp;IF(AND(BO308=0,Q308=0),"Gebinde unbekannt; ","")&amp;IF(AND(BO308=0,N(T308)&lt;=0,N(P308)&lt;=0),"Menge pro Gebinde fehlt (Ist = 1 Gebinde); ","")&amp;BJ308)</f>
        <v/>
      </c>
      <c r="BC308" s="53" t="n"/>
      <c r="BD308" s="53" t="n"/>
      <c r="BE308" s="61" t="n"/>
      <c r="BF308" s="55" t="n">
        <v>1</v>
      </c>
      <c r="BG308" s="55" t="n">
        <v>17</v>
      </c>
      <c r="BH308" s="54" t="n">
        <v>258.5000000000255</v>
      </c>
      <c r="BI308" s="55" t="n">
        <v>118</v>
      </c>
      <c r="BJ308" s="53" t="inlineStr"/>
      <c r="BK308" s="58" t="n">
        <v>0</v>
      </c>
      <c r="BL308" s="58" t="n">
        <v>308</v>
      </c>
      <c r="BM308" s="53">
        <f>IF(S308&lt;&gt;"",UPPER(TRIM(S308)),IF(O308="","LOSE",O308))</f>
        <v/>
      </c>
      <c r="BN308" s="55">
        <f>IF(BM308="LOSE",1,IF(N(T308)&gt;0,T308,IF(N(P308)&gt;0,P308,MAX(1,G308))))</f>
        <v/>
      </c>
      <c r="BO308" s="58">
        <f>IF(BM308="LOSE",1,0)</f>
        <v/>
      </c>
      <c r="BP308" s="64">
        <f>IF(BO308=0,0,IF(N(R308)&gt;0,R308,IFERROR(VLOOKUP(D308,Parameter!$A$35:$C$64,3,0)+0,0)))</f>
        <v/>
      </c>
      <c r="BQ308" s="53">
        <f>IF(V308&lt;&gt;"",V308,U308)</f>
        <v/>
      </c>
      <c r="BR308" s="53">
        <f>IF(BQ308=1,"L1",IF(OR(BQ308=2,BQ308=3),"L23",IF(BQ308="Aussen","Aussen","-")))</f>
        <v/>
      </c>
      <c r="BS308" s="66">
        <f>IF(N(W308)&gt;0,W308,0)</f>
        <v/>
      </c>
      <c r="BT308" s="58">
        <f>IF(ISNUMBER(Z308),1,0)</f>
        <v/>
      </c>
      <c r="BU308" s="55">
        <f>N(Z308)</f>
        <v/>
      </c>
      <c r="BV308" s="55">
        <f>N(L308)+N(M308)</f>
        <v/>
      </c>
      <c r="BW308" s="55">
        <f>ROUNDUP(G308/BN308,0)</f>
        <v/>
      </c>
      <c r="BX308" s="55">
        <f>ROUNDUP(BU308/BN308,0)</f>
        <v/>
      </c>
      <c r="BY308" s="58">
        <f>IF(BO308=1,0,IFERROR(VLOOKUP(BM308,'Gebinde-Kategorie'!$A$5:$G$45,5,0)+0,0))</f>
        <v/>
      </c>
      <c r="BZ308" s="58">
        <f>IFERROR(IF(OR(BQ308=1,BQ308=2,BQ308=3),N(INDEX(Parameter!$I$5:$I$7,BQ308)),0),0)</f>
        <v/>
      </c>
    </row>
    <row r="309">
      <c r="A309" s="53" t="inlineStr">
        <is>
          <t>005745</t>
        </is>
      </c>
      <c r="B309" s="53" t="inlineStr">
        <is>
          <t>Kabel-Verlängerung mit Stecker</t>
        </is>
      </c>
      <c r="C309" s="53" t="inlineStr">
        <is>
          <t>F</t>
        </is>
      </c>
      <c r="D309" s="53" t="inlineStr">
        <is>
          <t>PAL</t>
        </is>
      </c>
      <c r="E309" s="53" t="inlineStr">
        <is>
          <t>C</t>
        </is>
      </c>
      <c r="F309" s="54" t="n">
        <v>258.1</v>
      </c>
      <c r="G309" s="55">
        <f>MAX(0,IF(Parameter!$B$20="Jahresanfang 2025 + Export",BG309+BF309,BF309))</f>
        <v/>
      </c>
      <c r="H309" s="55">
        <f>G309*F309</f>
        <v/>
      </c>
      <c r="I309" s="55">
        <f>BI309*Parameter!$B$18</f>
        <v/>
      </c>
      <c r="J309" s="56" t="n">
        <v>7.5</v>
      </c>
      <c r="K309" s="57" t="n">
        <v>0</v>
      </c>
      <c r="L309" s="55" t="n">
        <v>0</v>
      </c>
      <c r="M309" s="55" t="n">
        <v>1</v>
      </c>
      <c r="N309" s="58" t="n">
        <v>28</v>
      </c>
      <c r="O309" s="53" t="inlineStr">
        <is>
          <t>LOSE</t>
        </is>
      </c>
      <c r="P309" s="55" t="n"/>
      <c r="Q309" s="59">
        <f>IF(BO309=1,0,IFERROR(VLOOKUP(BM309,'Gebinde-Kategorie'!$A$5:$G$45,6,0)+0,0))</f>
        <v/>
      </c>
      <c r="R309" s="60" t="n"/>
      <c r="S309" s="61" t="n"/>
      <c r="T309" s="61" t="n"/>
      <c r="U309" s="53">
        <f>IF(A309="","",IF(IFERROR(VLOOKUP(D309,Parameter!$A$35:$C$64,2,0),"Nein")="2+3",IF(ISNUMBER(SEARCH("grosser Artikel",BJ309)),2,IFERROR(VLOOKUP(BM309,Parameter!$F$35:$G$64,2,0),2)),IF(OR(IFERROR(VLOOKUP(D309,Parameter!$A$35:$C$64,2,0),"Nein")="Nein",IFERROR(VLOOKUP(D309,Parameter!$A$35:$C$64,2,0),"Nein")=""),"-",VLOOKUP(D309,Parameter!$A$35:$C$64,2,0))))</f>
        <v/>
      </c>
      <c r="V309" s="61" t="n"/>
      <c r="W309" s="62" t="n"/>
      <c r="X309" s="55">
        <f>AM309</f>
        <v/>
      </c>
      <c r="Y309" s="55">
        <f>MAX(AM309,G309)</f>
        <v/>
      </c>
      <c r="Z309" s="63" t="n"/>
      <c r="AA309" s="55">
        <f>IF(LEFT(Cockpit!$C$5,1)="A",G309,IF(BT309=1,BU309,IF(LEFT(Cockpit!$C$5,1)="B",AE309,MAX(AE309,G309))))</f>
        <v/>
      </c>
      <c r="AB309" s="55">
        <f>IF(BO309=1,0,ROUNDUP(AA309/BN309,0))</f>
        <v/>
      </c>
      <c r="AC309" s="64">
        <f>IF(BO309=1,IF(AA309&lt;=0,0,BP309*MAX(1,IF(G309&gt;0,AA309/G309,1))),AB309*Q309)</f>
        <v/>
      </c>
      <c r="AD309" s="55">
        <f>AA309*F309</f>
        <v/>
      </c>
      <c r="AE309" s="55">
        <f>ROUNDUP(MAX(I309/IF(BS309&gt;0,BS309,MAX(0.1,N(Cockpit!$C$6))),BV309)/BN309,0)*BN309</f>
        <v/>
      </c>
      <c r="AF309" s="56">
        <f>IF(AC309&gt;0,I309/AC309,-1)</f>
        <v/>
      </c>
      <c r="AG309" s="56">
        <f>IF(AND(OR(BR309="L1",BR309="L23"),AC309&gt;0),SUMIFS($AC$7:$AC$1570,$BR$7:$BR$1570,BR309,$AF$7:$AF$1570,"&gt;"&amp;AF309)+SUMIFS($AC$7:$AC$1570,$BR$7:$BR$1570,BR309,$AF$7:$AF$1570,AF309,$BL$7:$BL$1570,"&lt;="&amp;BL309),"")</f>
        <v/>
      </c>
      <c r="AH309" s="65">
        <f>IF(AG309="",0,MAX(0,MIN(1,(IF(BR309="L1",Parameter!$K$5,Parameter!$K$6+Parameter!$K$7)-(AG309-AC309))/AC309)))</f>
        <v/>
      </c>
      <c r="AI309" s="55">
        <f>IF(LEFT(Cockpit!$I$5,1)="A",G309,IF(BT309=1,BU309,IF(LEFT(Cockpit!$I$5,1)="B",AM309,MAX(AM309,G309))))</f>
        <v/>
      </c>
      <c r="AJ309" s="55">
        <f>IF(BO309=1,0,ROUNDUP(AI309/BN309,0))</f>
        <v/>
      </c>
      <c r="AK309" s="64">
        <f>IF(BO309=1,IF(AI309&lt;=0,0,BP309*MAX(1,IF(G309&gt;0,AI309/G309,1))),AJ309*Q309)</f>
        <v/>
      </c>
      <c r="AL309" s="55">
        <f>AI309*F309</f>
        <v/>
      </c>
      <c r="AM309" s="55">
        <f>ROUNDUP(MAX(I309/IF(BS309&gt;0,BS309,MAX(0.1,N(Cockpit!$I$6))),BV309)/BN309,0)*BN309</f>
        <v/>
      </c>
      <c r="AN309" s="56">
        <f>IF(AK309&gt;0,I309/AK309,-1)</f>
        <v/>
      </c>
      <c r="AO309" s="56">
        <f>IF(AND(OR(BR309="L1",BR309="L23"),AK309&gt;0),SUMIFS($AK$7:$AK$1570,$BR$7:$BR$1570,BR309,$AN$7:$AN$1570,"&gt;"&amp;AN309)+SUMIFS($AK$7:$AK$1570,$BR$7:$BR$1570,BR309,$AN$7:$AN$1570,AN309,$BL$7:$BL$1570,"&lt;="&amp;BL309),"")</f>
        <v/>
      </c>
      <c r="AP309" s="65">
        <f>IF(AO309="",0,MAX(0,MIN(1,(IF(BR309="L1",Parameter!$K$5,Parameter!$K$6+Parameter!$K$7)-(AO309-AK309))/AK309)))</f>
        <v/>
      </c>
      <c r="AQ309" s="55">
        <f>IF(LEFT(Cockpit!$O$5,1)="A",G309,IF(BT309=1,BU309,IF(LEFT(Cockpit!$O$5,1)="B",AU309,MAX(AU309,G309))))</f>
        <v/>
      </c>
      <c r="AR309" s="55">
        <f>IF(BO309=1,0,ROUNDUP(AQ309/BN309,0))</f>
        <v/>
      </c>
      <c r="AS309" s="64">
        <f>IF(BO309=1,IF(AQ309&lt;=0,0,BP309*MAX(1,IF(G309&gt;0,AQ309/G309,1))),AR309*Q309)</f>
        <v/>
      </c>
      <c r="AT309" s="55">
        <f>AQ309*F309</f>
        <v/>
      </c>
      <c r="AU309" s="55">
        <f>ROUNDUP(MAX(I309/IF(BS309&gt;0,BS309,MAX(0.1,N(Cockpit!$O$6))),BV309)/BN309,0)*BN309</f>
        <v/>
      </c>
      <c r="AV309" s="56">
        <f>IF(AS309&gt;0,I309/AS309,-1)</f>
        <v/>
      </c>
      <c r="AW309" s="56">
        <f>IF(AND(OR(BR309="L1",BR309="L23"),AS309&gt;0),SUMIFS($AS$7:$AS$1570,$BR$7:$BR$1570,BR309,$AV$7:$AV$1570,"&gt;"&amp;AV309)+SUMIFS($AS$7:$AS$1570,$BR$7:$BR$1570,BR309,$AV$7:$AV$1570,AV309,$BL$7:$BL$1570,"&lt;="&amp;BL309),"")</f>
        <v/>
      </c>
      <c r="AX309" s="65">
        <f>IF(AW309="",0,MAX(0,MIN(1,(IF(BR309="L1",Parameter!$K$5,Parameter!$K$6+Parameter!$K$7)-(AW309-AS309))/AS309)))</f>
        <v/>
      </c>
      <c r="AY309" s="53">
        <f>IF(AC309&lt;=0,"",IF(BR309="Aussen","Aussenlager",IF(BR309="-","Nicht im Lift",IF(AH309&gt;=1,"Lift",IF(AH309&lt;=0,"Aussenlager","teilweise")))))</f>
        <v/>
      </c>
      <c r="AZ309" s="53">
        <f>IF(AK309&lt;=0,"",IF(BR309="Aussen","Aussenlager",IF(BR309="-","Nicht im Lift",IF(AP309&gt;=1,"Lift",IF(AP309&lt;=0,"Aussenlager","teilweise")))))</f>
        <v/>
      </c>
      <c r="BA309" s="53">
        <f>IF(AS309&lt;=0,"",IF(BR309="Aussen","Aussenlager",IF(BR309="-","Nicht im Lift",IF(AX309&gt;=1,"Lift",IF(AX309&lt;=0,"Aussenlager","teilweise")))))</f>
        <v/>
      </c>
      <c r="BB309" s="53">
        <f>IF(A309="","",IF(BK309=1,"Neu; ","")&amp;IF(AND(BK309=0,BF309&lt;0),"negativer Bestand (Export "&amp;BF309&amp;"); ","")&amp;IF(I309&lt;=0,"Kein Verbrauch; ","")&amp;IF(BO309=1,"Lose – Fläche geschätzt; ","")&amp;IF(G309&gt;AM309,"Überbestand "&amp;ROUND(G309-AM309,0)&amp;" Stk / CHF "&amp;ROUND((G309-AM309)*F309,0)&amp;"; ","")&amp;IF(AND(BT309=1,BU309&lt;BV309),"MAX &lt; MB+LG; ","")&amp;IF(AND(BZ309&gt;0,BY309*10&gt;BZ309),"zu hoch für Tablar; ","")&amp;IF(AND(BK309=0,OR(BT309=1,V309&lt;&gt;"",S309&lt;&gt;"",T309&lt;&gt;"",W309&lt;&gt;"")),"manuell übersteuert; ","")&amp;IF(AND(BO309=0,Q309=0),"Gebinde unbekannt; ","")&amp;IF(AND(BO309=0,N(T309)&lt;=0,N(P309)&lt;=0),"Menge pro Gebinde fehlt (Ist = 1 Gebinde); ","")&amp;BJ309)</f>
        <v/>
      </c>
      <c r="BC309" s="53" t="n"/>
      <c r="BD309" s="53" t="n"/>
      <c r="BE309" s="61" t="n"/>
      <c r="BF309" s="55" t="n">
        <v>1</v>
      </c>
      <c r="BG309" s="55" t="n">
        <v>7</v>
      </c>
      <c r="BH309" s="54" t="n">
        <v>258.1</v>
      </c>
      <c r="BI309" s="55" t="n">
        <v>0</v>
      </c>
      <c r="BJ309" s="53" t="inlineStr"/>
      <c r="BK309" s="58" t="n">
        <v>0</v>
      </c>
      <c r="BL309" s="58" t="n">
        <v>309</v>
      </c>
      <c r="BM309" s="53">
        <f>IF(S309&lt;&gt;"",UPPER(TRIM(S309)),IF(O309="","LOSE",O309))</f>
        <v/>
      </c>
      <c r="BN309" s="55">
        <f>IF(BM309="LOSE",1,IF(N(T309)&gt;0,T309,IF(N(P309)&gt;0,P309,MAX(1,G309))))</f>
        <v/>
      </c>
      <c r="BO309" s="58">
        <f>IF(BM309="LOSE",1,0)</f>
        <v/>
      </c>
      <c r="BP309" s="64">
        <f>IF(BO309=0,0,IF(N(R309)&gt;0,R309,IFERROR(VLOOKUP(D309,Parameter!$A$35:$C$64,3,0)+0,0)))</f>
        <v/>
      </c>
      <c r="BQ309" s="53">
        <f>IF(V309&lt;&gt;"",V309,U309)</f>
        <v/>
      </c>
      <c r="BR309" s="53">
        <f>IF(BQ309=1,"L1",IF(OR(BQ309=2,BQ309=3),"L23",IF(BQ309="Aussen","Aussen","-")))</f>
        <v/>
      </c>
      <c r="BS309" s="66">
        <f>IF(N(W309)&gt;0,W309,0)</f>
        <v/>
      </c>
      <c r="BT309" s="58">
        <f>IF(ISNUMBER(Z309),1,0)</f>
        <v/>
      </c>
      <c r="BU309" s="55">
        <f>N(Z309)</f>
        <v/>
      </c>
      <c r="BV309" s="55">
        <f>N(L309)+N(M309)</f>
        <v/>
      </c>
      <c r="BW309" s="55">
        <f>ROUNDUP(G309/BN309,0)</f>
        <v/>
      </c>
      <c r="BX309" s="55">
        <f>ROUNDUP(BU309/BN309,0)</f>
        <v/>
      </c>
      <c r="BY309" s="58">
        <f>IF(BO309=1,0,IFERROR(VLOOKUP(BM309,'Gebinde-Kategorie'!$A$5:$G$45,5,0)+0,0))</f>
        <v/>
      </c>
      <c r="BZ309" s="58">
        <f>IFERROR(IF(OR(BQ309=1,BQ309=2,BQ309=3),N(INDEX(Parameter!$I$5:$I$7,BQ309)),0),0)</f>
        <v/>
      </c>
    </row>
    <row r="310">
      <c r="A310" s="53" t="inlineStr">
        <is>
          <t>109757</t>
        </is>
      </c>
      <c r="B310" s="53" t="inlineStr">
        <is>
          <t>Transfer Gehäuse SPGr</t>
        </is>
      </c>
      <c r="C310" s="53" t="inlineStr">
        <is>
          <t>F</t>
        </is>
      </c>
      <c r="D310" s="53" t="inlineStr">
        <is>
          <t>PAL</t>
        </is>
      </c>
      <c r="E310" s="53" t="inlineStr">
        <is>
          <t>C</t>
        </is>
      </c>
      <c r="F310" s="54" t="n">
        <v>32.17</v>
      </c>
      <c r="G310" s="55">
        <f>MAX(0,IF(Parameter!$B$20="Jahresanfang 2025 + Export",BG310+BF310,BF310))</f>
        <v/>
      </c>
      <c r="H310" s="55">
        <f>G310*F310</f>
        <v/>
      </c>
      <c r="I310" s="55">
        <f>BI310*Parameter!$B$18</f>
        <v/>
      </c>
      <c r="J310" s="56" t="n">
        <v>4.5</v>
      </c>
      <c r="K310" s="57" t="n">
        <v>4.888888888888889</v>
      </c>
      <c r="L310" s="55" t="n">
        <v>5</v>
      </c>
      <c r="M310" s="55" t="n">
        <v>30</v>
      </c>
      <c r="N310" s="58" t="n">
        <v>90</v>
      </c>
      <c r="O310" s="53" t="inlineStr">
        <is>
          <t>S61</t>
        </is>
      </c>
      <c r="P310" s="55" t="n">
        <v>15</v>
      </c>
      <c r="Q310" s="59">
        <f>IF(BO310=1,0,IFERROR(VLOOKUP(BM310,'Gebinde-Kategorie'!$A$5:$G$45,6,0)+0,0))</f>
        <v/>
      </c>
      <c r="R310" s="60" t="n"/>
      <c r="S310" s="61" t="n"/>
      <c r="T310" s="61" t="n"/>
      <c r="U310" s="53">
        <f>IF(A310="","",IF(IFERROR(VLOOKUP(D310,Parameter!$A$35:$C$64,2,0),"Nein")="2+3",IF(ISNUMBER(SEARCH("grosser Artikel",BJ310)),2,IFERROR(VLOOKUP(BM310,Parameter!$F$35:$G$64,2,0),2)),IF(OR(IFERROR(VLOOKUP(D310,Parameter!$A$35:$C$64,2,0),"Nein")="Nein",IFERROR(VLOOKUP(D310,Parameter!$A$35:$C$64,2,0),"Nein")=""),"-",VLOOKUP(D310,Parameter!$A$35:$C$64,2,0))))</f>
        <v/>
      </c>
      <c r="V310" s="61" t="n"/>
      <c r="W310" s="62" t="n"/>
      <c r="X310" s="55">
        <f>AM310</f>
        <v/>
      </c>
      <c r="Y310" s="55">
        <f>MAX(AM310,G310)</f>
        <v/>
      </c>
      <c r="Z310" s="63" t="n"/>
      <c r="AA310" s="55">
        <f>IF(LEFT(Cockpit!$C$5,1)="A",G310,IF(BT310=1,BU310,IF(LEFT(Cockpit!$C$5,1)="B",AE310,MAX(AE310,G310))))</f>
        <v/>
      </c>
      <c r="AB310" s="55">
        <f>IF(BO310=1,0,ROUNDUP(AA310/BN310,0))</f>
        <v/>
      </c>
      <c r="AC310" s="64">
        <f>IF(BO310=1,IF(AA310&lt;=0,0,BP310*MAX(1,IF(G310&gt;0,AA310/G310,1))),AB310*Q310)</f>
        <v/>
      </c>
      <c r="AD310" s="55">
        <f>AA310*F310</f>
        <v/>
      </c>
      <c r="AE310" s="55">
        <f>ROUNDUP(MAX(I310/IF(BS310&gt;0,BS310,MAX(0.1,N(Cockpit!$C$6))),BV310)/BN310,0)*BN310</f>
        <v/>
      </c>
      <c r="AF310" s="56">
        <f>IF(AC310&gt;0,I310/AC310,-1)</f>
        <v/>
      </c>
      <c r="AG310" s="56">
        <f>IF(AND(OR(BR310="L1",BR310="L23"),AC310&gt;0),SUMIFS($AC$7:$AC$1570,$BR$7:$BR$1570,BR310,$AF$7:$AF$1570,"&gt;"&amp;AF310)+SUMIFS($AC$7:$AC$1570,$BR$7:$BR$1570,BR310,$AF$7:$AF$1570,AF310,$BL$7:$BL$1570,"&lt;="&amp;BL310),"")</f>
        <v/>
      </c>
      <c r="AH310" s="65">
        <f>IF(AG310="",0,MAX(0,MIN(1,(IF(BR310="L1",Parameter!$K$5,Parameter!$K$6+Parameter!$K$7)-(AG310-AC310))/AC310)))</f>
        <v/>
      </c>
      <c r="AI310" s="55">
        <f>IF(LEFT(Cockpit!$I$5,1)="A",G310,IF(BT310=1,BU310,IF(LEFT(Cockpit!$I$5,1)="B",AM310,MAX(AM310,G310))))</f>
        <v/>
      </c>
      <c r="AJ310" s="55">
        <f>IF(BO310=1,0,ROUNDUP(AI310/BN310,0))</f>
        <v/>
      </c>
      <c r="AK310" s="64">
        <f>IF(BO310=1,IF(AI310&lt;=0,0,BP310*MAX(1,IF(G310&gt;0,AI310/G310,1))),AJ310*Q310)</f>
        <v/>
      </c>
      <c r="AL310" s="55">
        <f>AI310*F310</f>
        <v/>
      </c>
      <c r="AM310" s="55">
        <f>ROUNDUP(MAX(I310/IF(BS310&gt;0,BS310,MAX(0.1,N(Cockpit!$I$6))),BV310)/BN310,0)*BN310</f>
        <v/>
      </c>
      <c r="AN310" s="56">
        <f>IF(AK310&gt;0,I310/AK310,-1)</f>
        <v/>
      </c>
      <c r="AO310" s="56">
        <f>IF(AND(OR(BR310="L1",BR310="L23"),AK310&gt;0),SUMIFS($AK$7:$AK$1570,$BR$7:$BR$1570,BR310,$AN$7:$AN$1570,"&gt;"&amp;AN310)+SUMIFS($AK$7:$AK$1570,$BR$7:$BR$1570,BR310,$AN$7:$AN$1570,AN310,$BL$7:$BL$1570,"&lt;="&amp;BL310),"")</f>
        <v/>
      </c>
      <c r="AP310" s="65">
        <f>IF(AO310="",0,MAX(0,MIN(1,(IF(BR310="L1",Parameter!$K$5,Parameter!$K$6+Parameter!$K$7)-(AO310-AK310))/AK310)))</f>
        <v/>
      </c>
      <c r="AQ310" s="55">
        <f>IF(LEFT(Cockpit!$O$5,1)="A",G310,IF(BT310=1,BU310,IF(LEFT(Cockpit!$O$5,1)="B",AU310,MAX(AU310,G310))))</f>
        <v/>
      </c>
      <c r="AR310" s="55">
        <f>IF(BO310=1,0,ROUNDUP(AQ310/BN310,0))</f>
        <v/>
      </c>
      <c r="AS310" s="64">
        <f>IF(BO310=1,IF(AQ310&lt;=0,0,BP310*MAX(1,IF(G310&gt;0,AQ310/G310,1))),AR310*Q310)</f>
        <v/>
      </c>
      <c r="AT310" s="55">
        <f>AQ310*F310</f>
        <v/>
      </c>
      <c r="AU310" s="55">
        <f>ROUNDUP(MAX(I310/IF(BS310&gt;0,BS310,MAX(0.1,N(Cockpit!$O$6))),BV310)/BN310,0)*BN310</f>
        <v/>
      </c>
      <c r="AV310" s="56">
        <f>IF(AS310&gt;0,I310/AS310,-1)</f>
        <v/>
      </c>
      <c r="AW310" s="56">
        <f>IF(AND(OR(BR310="L1",BR310="L23"),AS310&gt;0),SUMIFS($AS$7:$AS$1570,$BR$7:$BR$1570,BR310,$AV$7:$AV$1570,"&gt;"&amp;AV310)+SUMIFS($AS$7:$AS$1570,$BR$7:$BR$1570,BR310,$AV$7:$AV$1570,AV310,$BL$7:$BL$1570,"&lt;="&amp;BL310),"")</f>
        <v/>
      </c>
      <c r="AX310" s="65">
        <f>IF(AW310="",0,MAX(0,MIN(1,(IF(BR310="L1",Parameter!$K$5,Parameter!$K$6+Parameter!$K$7)-(AW310-AS310))/AS310)))</f>
        <v/>
      </c>
      <c r="AY310" s="53">
        <f>IF(AC310&lt;=0,"",IF(BR310="Aussen","Aussenlager",IF(BR310="-","Nicht im Lift",IF(AH310&gt;=1,"Lift",IF(AH310&lt;=0,"Aussenlager","teilweise")))))</f>
        <v/>
      </c>
      <c r="AZ310" s="53">
        <f>IF(AK310&lt;=0,"",IF(BR310="Aussen","Aussenlager",IF(BR310="-","Nicht im Lift",IF(AP310&gt;=1,"Lift",IF(AP310&lt;=0,"Aussenlager","teilweise")))))</f>
        <v/>
      </c>
      <c r="BA310" s="53">
        <f>IF(AS310&lt;=0,"",IF(BR310="Aussen","Aussenlager",IF(BR310="-","Nicht im Lift",IF(AX310&gt;=1,"Lift",IF(AX310&lt;=0,"Aussenlager","teilweise")))))</f>
        <v/>
      </c>
      <c r="BB310" s="53">
        <f>IF(A310="","",IF(BK310=1,"Neu; ","")&amp;IF(AND(BK310=0,BF310&lt;0),"negativer Bestand (Export "&amp;BF310&amp;"); ","")&amp;IF(I310&lt;=0,"Kein Verbrauch; ","")&amp;IF(BO310=1,"Lose – Fläche geschätzt; ","")&amp;IF(G310&gt;AM310,"Überbestand "&amp;ROUND(G310-AM310,0)&amp;" Stk / CHF "&amp;ROUND((G310-AM310)*F310,0)&amp;"; ","")&amp;IF(AND(BT310=1,BU310&lt;BV310),"MAX &lt; MB+LG; ","")&amp;IF(AND(BZ310&gt;0,BY310*10&gt;BZ310),"zu hoch für Tablar; ","")&amp;IF(AND(BK310=0,OR(BT310=1,V310&lt;&gt;"",S310&lt;&gt;"",T310&lt;&gt;"",W310&lt;&gt;"")),"manuell übersteuert; ","")&amp;IF(AND(BO310=0,Q310=0),"Gebinde unbekannt; ","")&amp;IF(AND(BO310=0,N(T310)&lt;=0,N(P310)&lt;=0),"Menge pro Gebinde fehlt (Ist = 1 Gebinde); ","")&amp;BJ310)</f>
        <v/>
      </c>
      <c r="BC310" s="53" t="n"/>
      <c r="BD310" s="53" t="n"/>
      <c r="BE310" s="61" t="n"/>
      <c r="BF310" s="55" t="n">
        <v>13</v>
      </c>
      <c r="BG310" s="55" t="n">
        <v>6</v>
      </c>
      <c r="BH310" s="54" t="n">
        <v>255.2500000000001</v>
      </c>
      <c r="BI310" s="55" t="n">
        <v>22</v>
      </c>
      <c r="BJ310" s="53" t="inlineStr"/>
      <c r="BK310" s="58" t="n">
        <v>0</v>
      </c>
      <c r="BL310" s="58" t="n">
        <v>310</v>
      </c>
      <c r="BM310" s="53">
        <f>IF(S310&lt;&gt;"",UPPER(TRIM(S310)),IF(O310="","LOSE",O310))</f>
        <v/>
      </c>
      <c r="BN310" s="55">
        <f>IF(BM310="LOSE",1,IF(N(T310)&gt;0,T310,IF(N(P310)&gt;0,P310,MAX(1,G310))))</f>
        <v/>
      </c>
      <c r="BO310" s="58">
        <f>IF(BM310="LOSE",1,0)</f>
        <v/>
      </c>
      <c r="BP310" s="64">
        <f>IF(BO310=0,0,IF(N(R310)&gt;0,R310,IFERROR(VLOOKUP(D310,Parameter!$A$35:$C$64,3,0)+0,0)))</f>
        <v/>
      </c>
      <c r="BQ310" s="53">
        <f>IF(V310&lt;&gt;"",V310,U310)</f>
        <v/>
      </c>
      <c r="BR310" s="53">
        <f>IF(BQ310=1,"L1",IF(OR(BQ310=2,BQ310=3),"L23",IF(BQ310="Aussen","Aussen","-")))</f>
        <v/>
      </c>
      <c r="BS310" s="66">
        <f>IF(N(W310)&gt;0,W310,0)</f>
        <v/>
      </c>
      <c r="BT310" s="58">
        <f>IF(ISNUMBER(Z310),1,0)</f>
        <v/>
      </c>
      <c r="BU310" s="55">
        <f>N(Z310)</f>
        <v/>
      </c>
      <c r="BV310" s="55">
        <f>N(L310)+N(M310)</f>
        <v/>
      </c>
      <c r="BW310" s="55">
        <f>ROUNDUP(G310/BN310,0)</f>
        <v/>
      </c>
      <c r="BX310" s="55">
        <f>ROUNDUP(BU310/BN310,0)</f>
        <v/>
      </c>
      <c r="BY310" s="58">
        <f>IF(BO310=1,0,IFERROR(VLOOKUP(BM310,'Gebinde-Kategorie'!$A$5:$G$45,5,0)+0,0))</f>
        <v/>
      </c>
      <c r="BZ310" s="58">
        <f>IFERROR(IF(OR(BQ310=1,BQ310=2,BQ310=3),N(INDEX(Parameter!$I$5:$I$7,BQ310)),0),0)</f>
        <v/>
      </c>
    </row>
    <row r="311">
      <c r="A311" s="53" t="inlineStr">
        <is>
          <t>002035</t>
        </is>
      </c>
      <c r="B311" s="53" t="inlineStr">
        <is>
          <t>Flachzange</t>
        </is>
      </c>
      <c r="C311" s="53" t="inlineStr">
        <is>
          <t>F</t>
        </is>
      </c>
      <c r="D311" s="53" t="inlineStr">
        <is>
          <t>KTL</t>
        </is>
      </c>
      <c r="E311" s="53" t="inlineStr">
        <is>
          <t>C</t>
        </is>
      </c>
      <c r="F311" s="54" t="n">
        <v>24.55</v>
      </c>
      <c r="G311" s="55">
        <f>MAX(0,IF(Parameter!$B$20="Jahresanfang 2025 + Export",BG311+BF311,BF311))</f>
        <v/>
      </c>
      <c r="H311" s="55">
        <f>G311*F311</f>
        <v/>
      </c>
      <c r="I311" s="55">
        <f>BI311*Parameter!$B$18</f>
        <v/>
      </c>
      <c r="J311" s="56" t="n">
        <v>2</v>
      </c>
      <c r="K311" s="57" t="n">
        <v>0</v>
      </c>
      <c r="L311" s="55" t="n">
        <v>0</v>
      </c>
      <c r="M311" s="55" t="n">
        <v>1</v>
      </c>
      <c r="N311" s="58" t="n">
        <v>14</v>
      </c>
      <c r="O311" s="53" t="inlineStr">
        <is>
          <t>S41</t>
        </is>
      </c>
      <c r="P311" s="55" t="n">
        <v>30</v>
      </c>
      <c r="Q311" s="59">
        <f>IF(BO311=1,0,IFERROR(VLOOKUP(BM311,'Gebinde-Kategorie'!$A$5:$G$45,6,0)+0,0))</f>
        <v/>
      </c>
      <c r="R311" s="60" t="n"/>
      <c r="S311" s="61" t="n"/>
      <c r="T311" s="61" t="n"/>
      <c r="U311" s="53">
        <f>IF(A311="","",IF(IFERROR(VLOOKUP(D311,Parameter!$A$35:$C$64,2,0),"Nein")="2+3",IF(ISNUMBER(SEARCH("grosser Artikel",BJ311)),2,IFERROR(VLOOKUP(BM311,Parameter!$F$35:$G$64,2,0),2)),IF(OR(IFERROR(VLOOKUP(D311,Parameter!$A$35:$C$64,2,0),"Nein")="Nein",IFERROR(VLOOKUP(D311,Parameter!$A$35:$C$64,2,0),"Nein")=""),"-",VLOOKUP(D311,Parameter!$A$35:$C$64,2,0))))</f>
        <v/>
      </c>
      <c r="V311" s="61" t="n"/>
      <c r="W311" s="62" t="n"/>
      <c r="X311" s="55">
        <f>AM311</f>
        <v/>
      </c>
      <c r="Y311" s="55">
        <f>MAX(AM311,G311)</f>
        <v/>
      </c>
      <c r="Z311" s="63" t="n"/>
      <c r="AA311" s="55">
        <f>IF(LEFT(Cockpit!$C$5,1)="A",G311,IF(BT311=1,BU311,IF(LEFT(Cockpit!$C$5,1)="B",AE311,MAX(AE311,G311))))</f>
        <v/>
      </c>
      <c r="AB311" s="55">
        <f>IF(BO311=1,0,ROUNDUP(AA311/BN311,0))</f>
        <v/>
      </c>
      <c r="AC311" s="64">
        <f>IF(BO311=1,IF(AA311&lt;=0,0,BP311*MAX(1,IF(G311&gt;0,AA311/G311,1))),AB311*Q311)</f>
        <v/>
      </c>
      <c r="AD311" s="55">
        <f>AA311*F311</f>
        <v/>
      </c>
      <c r="AE311" s="55">
        <f>ROUNDUP(MAX(I311/IF(BS311&gt;0,BS311,MAX(0.1,N(Cockpit!$C$6))),BV311)/BN311,0)*BN311</f>
        <v/>
      </c>
      <c r="AF311" s="56">
        <f>IF(AC311&gt;0,I311/AC311,-1)</f>
        <v/>
      </c>
      <c r="AG311" s="56">
        <f>IF(AND(OR(BR311="L1",BR311="L23"),AC311&gt;0),SUMIFS($AC$7:$AC$1570,$BR$7:$BR$1570,BR311,$AF$7:$AF$1570,"&gt;"&amp;AF311)+SUMIFS($AC$7:$AC$1570,$BR$7:$BR$1570,BR311,$AF$7:$AF$1570,AF311,$BL$7:$BL$1570,"&lt;="&amp;BL311),"")</f>
        <v/>
      </c>
      <c r="AH311" s="65">
        <f>IF(AG311="",0,MAX(0,MIN(1,(IF(BR311="L1",Parameter!$K$5,Parameter!$K$6+Parameter!$K$7)-(AG311-AC311))/AC311)))</f>
        <v/>
      </c>
      <c r="AI311" s="55">
        <f>IF(LEFT(Cockpit!$I$5,1)="A",G311,IF(BT311=1,BU311,IF(LEFT(Cockpit!$I$5,1)="B",AM311,MAX(AM311,G311))))</f>
        <v/>
      </c>
      <c r="AJ311" s="55">
        <f>IF(BO311=1,0,ROUNDUP(AI311/BN311,0))</f>
        <v/>
      </c>
      <c r="AK311" s="64">
        <f>IF(BO311=1,IF(AI311&lt;=0,0,BP311*MAX(1,IF(G311&gt;0,AI311/G311,1))),AJ311*Q311)</f>
        <v/>
      </c>
      <c r="AL311" s="55">
        <f>AI311*F311</f>
        <v/>
      </c>
      <c r="AM311" s="55">
        <f>ROUNDUP(MAX(I311/IF(BS311&gt;0,BS311,MAX(0.1,N(Cockpit!$I$6))),BV311)/BN311,0)*BN311</f>
        <v/>
      </c>
      <c r="AN311" s="56">
        <f>IF(AK311&gt;0,I311/AK311,-1)</f>
        <v/>
      </c>
      <c r="AO311" s="56">
        <f>IF(AND(OR(BR311="L1",BR311="L23"),AK311&gt;0),SUMIFS($AK$7:$AK$1570,$BR$7:$BR$1570,BR311,$AN$7:$AN$1570,"&gt;"&amp;AN311)+SUMIFS($AK$7:$AK$1570,$BR$7:$BR$1570,BR311,$AN$7:$AN$1570,AN311,$BL$7:$BL$1570,"&lt;="&amp;BL311),"")</f>
        <v/>
      </c>
      <c r="AP311" s="65">
        <f>IF(AO311="",0,MAX(0,MIN(1,(IF(BR311="L1",Parameter!$K$5,Parameter!$K$6+Parameter!$K$7)-(AO311-AK311))/AK311)))</f>
        <v/>
      </c>
      <c r="AQ311" s="55">
        <f>IF(LEFT(Cockpit!$O$5,1)="A",G311,IF(BT311=1,BU311,IF(LEFT(Cockpit!$O$5,1)="B",AU311,MAX(AU311,G311))))</f>
        <v/>
      </c>
      <c r="AR311" s="55">
        <f>IF(BO311=1,0,ROUNDUP(AQ311/BN311,0))</f>
        <v/>
      </c>
      <c r="AS311" s="64">
        <f>IF(BO311=1,IF(AQ311&lt;=0,0,BP311*MAX(1,IF(G311&gt;0,AQ311/G311,1))),AR311*Q311)</f>
        <v/>
      </c>
      <c r="AT311" s="55">
        <f>AQ311*F311</f>
        <v/>
      </c>
      <c r="AU311" s="55">
        <f>ROUNDUP(MAX(I311/IF(BS311&gt;0,BS311,MAX(0.1,N(Cockpit!$O$6))),BV311)/BN311,0)*BN311</f>
        <v/>
      </c>
      <c r="AV311" s="56">
        <f>IF(AS311&gt;0,I311/AS311,-1)</f>
        <v/>
      </c>
      <c r="AW311" s="56">
        <f>IF(AND(OR(BR311="L1",BR311="L23"),AS311&gt;0),SUMIFS($AS$7:$AS$1570,$BR$7:$BR$1570,BR311,$AV$7:$AV$1570,"&gt;"&amp;AV311)+SUMIFS($AS$7:$AS$1570,$BR$7:$BR$1570,BR311,$AV$7:$AV$1570,AV311,$BL$7:$BL$1570,"&lt;="&amp;BL311),"")</f>
        <v/>
      </c>
      <c r="AX311" s="65">
        <f>IF(AW311="",0,MAX(0,MIN(1,(IF(BR311="L1",Parameter!$K$5,Parameter!$K$6+Parameter!$K$7)-(AW311-AS311))/AS311)))</f>
        <v/>
      </c>
      <c r="AY311" s="53">
        <f>IF(AC311&lt;=0,"",IF(BR311="Aussen","Aussenlager",IF(BR311="-","Nicht im Lift",IF(AH311&gt;=1,"Lift",IF(AH311&lt;=0,"Aussenlager","teilweise")))))</f>
        <v/>
      </c>
      <c r="AZ311" s="53">
        <f>IF(AK311&lt;=0,"",IF(BR311="Aussen","Aussenlager",IF(BR311="-","Nicht im Lift",IF(AP311&gt;=1,"Lift",IF(AP311&lt;=0,"Aussenlager","teilweise")))))</f>
        <v/>
      </c>
      <c r="BA311" s="53">
        <f>IF(AS311&lt;=0,"",IF(BR311="Aussen","Aussenlager",IF(BR311="-","Nicht im Lift",IF(AX311&gt;=1,"Lift",IF(AX311&lt;=0,"Aussenlager","teilweise")))))</f>
        <v/>
      </c>
      <c r="BB311" s="53">
        <f>IF(A311="","",IF(BK311=1,"Neu; ","")&amp;IF(AND(BK311=0,BF311&lt;0),"negativer Bestand (Export "&amp;BF311&amp;"); ","")&amp;IF(I311&lt;=0,"Kein Verbrauch; ","")&amp;IF(BO311=1,"Lose – Fläche geschätzt; ","")&amp;IF(G311&gt;AM311,"Überbestand "&amp;ROUND(G311-AM311,0)&amp;" Stk / CHF "&amp;ROUND((G311-AM311)*F311,0)&amp;"; ","")&amp;IF(AND(BT311=1,BU311&lt;BV311),"MAX &lt; MB+LG; ","")&amp;IF(AND(BZ311&gt;0,BY311*10&gt;BZ311),"zu hoch für Tablar; ","")&amp;IF(AND(BK311=0,OR(BT311=1,V311&lt;&gt;"",S311&lt;&gt;"",T311&lt;&gt;"",W311&lt;&gt;"")),"manuell übersteuert; ","")&amp;IF(AND(BO311=0,Q311=0),"Gebinde unbekannt; ","")&amp;IF(AND(BO311=0,N(T311)&lt;=0,N(P311)&lt;=0),"Menge pro Gebinde fehlt (Ist = 1 Gebinde); ","")&amp;BJ311)</f>
        <v/>
      </c>
      <c r="BC311" s="53" t="n"/>
      <c r="BD311" s="53" t="n"/>
      <c r="BE311" s="61" t="n"/>
      <c r="BF311" s="55" t="n">
        <v>10</v>
      </c>
      <c r="BG311" s="55" t="n">
        <v>2</v>
      </c>
      <c r="BH311" s="54" t="n">
        <v>254.58</v>
      </c>
      <c r="BI311" s="55" t="n">
        <v>0</v>
      </c>
      <c r="BJ311" s="53" t="inlineStr"/>
      <c r="BK311" s="58" t="n">
        <v>0</v>
      </c>
      <c r="BL311" s="58" t="n">
        <v>311</v>
      </c>
      <c r="BM311" s="53">
        <f>IF(S311&lt;&gt;"",UPPER(TRIM(S311)),IF(O311="","LOSE",O311))</f>
        <v/>
      </c>
      <c r="BN311" s="55">
        <f>IF(BM311="LOSE",1,IF(N(T311)&gt;0,T311,IF(N(P311)&gt;0,P311,MAX(1,G311))))</f>
        <v/>
      </c>
      <c r="BO311" s="58">
        <f>IF(BM311="LOSE",1,0)</f>
        <v/>
      </c>
      <c r="BP311" s="64">
        <f>IF(BO311=0,0,IF(N(R311)&gt;0,R311,IFERROR(VLOOKUP(D311,Parameter!$A$35:$C$64,3,0)+0,0)))</f>
        <v/>
      </c>
      <c r="BQ311" s="53">
        <f>IF(V311&lt;&gt;"",V311,U311)</f>
        <v/>
      </c>
      <c r="BR311" s="53">
        <f>IF(BQ311=1,"L1",IF(OR(BQ311=2,BQ311=3),"L23",IF(BQ311="Aussen","Aussen","-")))</f>
        <v/>
      </c>
      <c r="BS311" s="66">
        <f>IF(N(W311)&gt;0,W311,0)</f>
        <v/>
      </c>
      <c r="BT311" s="58">
        <f>IF(ISNUMBER(Z311),1,0)</f>
        <v/>
      </c>
      <c r="BU311" s="55">
        <f>N(Z311)</f>
        <v/>
      </c>
      <c r="BV311" s="55">
        <f>N(L311)+N(M311)</f>
        <v/>
      </c>
      <c r="BW311" s="55">
        <f>ROUNDUP(G311/BN311,0)</f>
        <v/>
      </c>
      <c r="BX311" s="55">
        <f>ROUNDUP(BU311/BN311,0)</f>
        <v/>
      </c>
      <c r="BY311" s="58">
        <f>IF(BO311=1,0,IFERROR(VLOOKUP(BM311,'Gebinde-Kategorie'!$A$5:$G$45,5,0)+0,0))</f>
        <v/>
      </c>
      <c r="BZ311" s="58">
        <f>IFERROR(IF(OR(BQ311=1,BQ311=2,BQ311=3),N(INDEX(Parameter!$I$5:$I$7,BQ311)),0),0)</f>
        <v/>
      </c>
    </row>
    <row r="312">
      <c r="A312" s="53" t="inlineStr">
        <is>
          <t>111918</t>
        </is>
      </c>
      <c r="B312" s="53" t="inlineStr">
        <is>
          <t>Manometer Aufschraub-Schaft Adapter</t>
        </is>
      </c>
      <c r="C312" s="53" t="inlineStr">
        <is>
          <t>F</t>
        </is>
      </c>
      <c r="D312" s="53" t="inlineStr">
        <is>
          <t>KTL</t>
        </is>
      </c>
      <c r="E312" s="53" t="inlineStr">
        <is>
          <t>C</t>
        </is>
      </c>
      <c r="F312" s="54" t="n">
        <v>10.09</v>
      </c>
      <c r="G312" s="55">
        <f>MAX(0,IF(Parameter!$B$20="Jahresanfang 2025 + Export",BG312+BF312,BF312))</f>
        <v/>
      </c>
      <c r="H312" s="55">
        <f>G312*F312</f>
        <v/>
      </c>
      <c r="I312" s="55">
        <f>BI312*Parameter!$B$18</f>
        <v/>
      </c>
      <c r="J312" s="56" t="n">
        <v>0</v>
      </c>
      <c r="K312" s="57" t="n">
        <v>0</v>
      </c>
      <c r="L312" s="55" t="n">
        <v>0</v>
      </c>
      <c r="M312" s="55" t="n">
        <v>1</v>
      </c>
      <c r="N312" s="58" t="n">
        <v>9999</v>
      </c>
      <c r="O312" s="53" t="inlineStr">
        <is>
          <t>LOSE</t>
        </is>
      </c>
      <c r="P312" s="55" t="n"/>
      <c r="Q312" s="59">
        <f>IF(BO312=1,0,IFERROR(VLOOKUP(BM312,'Gebinde-Kategorie'!$A$5:$G$45,6,0)+0,0))</f>
        <v/>
      </c>
      <c r="R312" s="60" t="n"/>
      <c r="S312" s="61" t="n"/>
      <c r="T312" s="61" t="n"/>
      <c r="U312" s="53">
        <f>IF(A312="","",IF(IFERROR(VLOOKUP(D312,Parameter!$A$35:$C$64,2,0),"Nein")="2+3",IF(ISNUMBER(SEARCH("grosser Artikel",BJ312)),2,IFERROR(VLOOKUP(BM312,Parameter!$F$35:$G$64,2,0),2)),IF(OR(IFERROR(VLOOKUP(D312,Parameter!$A$35:$C$64,2,0),"Nein")="Nein",IFERROR(VLOOKUP(D312,Parameter!$A$35:$C$64,2,0),"Nein")=""),"-",VLOOKUP(D312,Parameter!$A$35:$C$64,2,0))))</f>
        <v/>
      </c>
      <c r="V312" s="61" t="n"/>
      <c r="W312" s="62" t="n"/>
      <c r="X312" s="55">
        <f>AM312</f>
        <v/>
      </c>
      <c r="Y312" s="55">
        <f>MAX(AM312,G312)</f>
        <v/>
      </c>
      <c r="Z312" s="63" t="n"/>
      <c r="AA312" s="55">
        <f>IF(LEFT(Cockpit!$C$5,1)="A",G312,IF(BT312=1,BU312,IF(LEFT(Cockpit!$C$5,1)="B",AE312,MAX(AE312,G312))))</f>
        <v/>
      </c>
      <c r="AB312" s="55">
        <f>IF(BO312=1,0,ROUNDUP(AA312/BN312,0))</f>
        <v/>
      </c>
      <c r="AC312" s="64">
        <f>IF(BO312=1,IF(AA312&lt;=0,0,BP312*MAX(1,IF(G312&gt;0,AA312/G312,1))),AB312*Q312)</f>
        <v/>
      </c>
      <c r="AD312" s="55">
        <f>AA312*F312</f>
        <v/>
      </c>
      <c r="AE312" s="55">
        <f>ROUNDUP(MAX(I312/IF(BS312&gt;0,BS312,MAX(0.1,N(Cockpit!$C$6))),BV312)/BN312,0)*BN312</f>
        <v/>
      </c>
      <c r="AF312" s="56">
        <f>IF(AC312&gt;0,I312/AC312,-1)</f>
        <v/>
      </c>
      <c r="AG312" s="56">
        <f>IF(AND(OR(BR312="L1",BR312="L23"),AC312&gt;0),SUMIFS($AC$7:$AC$1570,$BR$7:$BR$1570,BR312,$AF$7:$AF$1570,"&gt;"&amp;AF312)+SUMIFS($AC$7:$AC$1570,$BR$7:$BR$1570,BR312,$AF$7:$AF$1570,AF312,$BL$7:$BL$1570,"&lt;="&amp;BL312),"")</f>
        <v/>
      </c>
      <c r="AH312" s="65">
        <f>IF(AG312="",0,MAX(0,MIN(1,(IF(BR312="L1",Parameter!$K$5,Parameter!$K$6+Parameter!$K$7)-(AG312-AC312))/AC312)))</f>
        <v/>
      </c>
      <c r="AI312" s="55">
        <f>IF(LEFT(Cockpit!$I$5,1)="A",G312,IF(BT312=1,BU312,IF(LEFT(Cockpit!$I$5,1)="B",AM312,MAX(AM312,G312))))</f>
        <v/>
      </c>
      <c r="AJ312" s="55">
        <f>IF(BO312=1,0,ROUNDUP(AI312/BN312,0))</f>
        <v/>
      </c>
      <c r="AK312" s="64">
        <f>IF(BO312=1,IF(AI312&lt;=0,0,BP312*MAX(1,IF(G312&gt;0,AI312/G312,1))),AJ312*Q312)</f>
        <v/>
      </c>
      <c r="AL312" s="55">
        <f>AI312*F312</f>
        <v/>
      </c>
      <c r="AM312" s="55">
        <f>ROUNDUP(MAX(I312/IF(BS312&gt;0,BS312,MAX(0.1,N(Cockpit!$I$6))),BV312)/BN312,0)*BN312</f>
        <v/>
      </c>
      <c r="AN312" s="56">
        <f>IF(AK312&gt;0,I312/AK312,-1)</f>
        <v/>
      </c>
      <c r="AO312" s="56">
        <f>IF(AND(OR(BR312="L1",BR312="L23"),AK312&gt;0),SUMIFS($AK$7:$AK$1570,$BR$7:$BR$1570,BR312,$AN$7:$AN$1570,"&gt;"&amp;AN312)+SUMIFS($AK$7:$AK$1570,$BR$7:$BR$1570,BR312,$AN$7:$AN$1570,AN312,$BL$7:$BL$1570,"&lt;="&amp;BL312),"")</f>
        <v/>
      </c>
      <c r="AP312" s="65">
        <f>IF(AO312="",0,MAX(0,MIN(1,(IF(BR312="L1",Parameter!$K$5,Parameter!$K$6+Parameter!$K$7)-(AO312-AK312))/AK312)))</f>
        <v/>
      </c>
      <c r="AQ312" s="55">
        <f>IF(LEFT(Cockpit!$O$5,1)="A",G312,IF(BT312=1,BU312,IF(LEFT(Cockpit!$O$5,1)="B",AU312,MAX(AU312,G312))))</f>
        <v/>
      </c>
      <c r="AR312" s="55">
        <f>IF(BO312=1,0,ROUNDUP(AQ312/BN312,0))</f>
        <v/>
      </c>
      <c r="AS312" s="64">
        <f>IF(BO312=1,IF(AQ312&lt;=0,0,BP312*MAX(1,IF(G312&gt;0,AQ312/G312,1))),AR312*Q312)</f>
        <v/>
      </c>
      <c r="AT312" s="55">
        <f>AQ312*F312</f>
        <v/>
      </c>
      <c r="AU312" s="55">
        <f>ROUNDUP(MAX(I312/IF(BS312&gt;0,BS312,MAX(0.1,N(Cockpit!$O$6))),BV312)/BN312,0)*BN312</f>
        <v/>
      </c>
      <c r="AV312" s="56">
        <f>IF(AS312&gt;0,I312/AS312,-1)</f>
        <v/>
      </c>
      <c r="AW312" s="56">
        <f>IF(AND(OR(BR312="L1",BR312="L23"),AS312&gt;0),SUMIFS($AS$7:$AS$1570,$BR$7:$BR$1570,BR312,$AV$7:$AV$1570,"&gt;"&amp;AV312)+SUMIFS($AS$7:$AS$1570,$BR$7:$BR$1570,BR312,$AV$7:$AV$1570,AV312,$BL$7:$BL$1570,"&lt;="&amp;BL312),"")</f>
        <v/>
      </c>
      <c r="AX312" s="65">
        <f>IF(AW312="",0,MAX(0,MIN(1,(IF(BR312="L1",Parameter!$K$5,Parameter!$K$6+Parameter!$K$7)-(AW312-AS312))/AS312)))</f>
        <v/>
      </c>
      <c r="AY312" s="53">
        <f>IF(AC312&lt;=0,"",IF(BR312="Aussen","Aussenlager",IF(BR312="-","Nicht im Lift",IF(AH312&gt;=1,"Lift",IF(AH312&lt;=0,"Aussenlager","teilweise")))))</f>
        <v/>
      </c>
      <c r="AZ312" s="53">
        <f>IF(AK312&lt;=0,"",IF(BR312="Aussen","Aussenlager",IF(BR312="-","Nicht im Lift",IF(AP312&gt;=1,"Lift",IF(AP312&lt;=0,"Aussenlager","teilweise")))))</f>
        <v/>
      </c>
      <c r="BA312" s="53">
        <f>IF(AS312&lt;=0,"",IF(BR312="Aussen","Aussenlager",IF(BR312="-","Nicht im Lift",IF(AX312&gt;=1,"Lift",IF(AX312&lt;=0,"Aussenlager","teilweise")))))</f>
        <v/>
      </c>
      <c r="BB312" s="53">
        <f>IF(A312="","",IF(BK312=1,"Neu; ","")&amp;IF(AND(BK312=0,BF312&lt;0),"negativer Bestand (Export "&amp;BF312&amp;"); ","")&amp;IF(I312&lt;=0,"Kein Verbrauch; ","")&amp;IF(BO312=1,"Lose – Fläche geschätzt; ","")&amp;IF(G312&gt;AM312,"Überbestand "&amp;ROUND(G312-AM312,0)&amp;" Stk / CHF "&amp;ROUND((G312-AM312)*F312,0)&amp;"; ","")&amp;IF(AND(BT312=1,BU312&lt;BV312),"MAX &lt; MB+LG; ","")&amp;IF(AND(BZ312&gt;0,BY312*10&gt;BZ312),"zu hoch für Tablar; ","")&amp;IF(AND(BK312=0,OR(BT312=1,V312&lt;&gt;"",S312&lt;&gt;"",T312&lt;&gt;"",W312&lt;&gt;"")),"manuell übersteuert; ","")&amp;IF(AND(BO312=0,Q312=0),"Gebinde unbekannt; ","")&amp;IF(AND(BO312=0,N(T312)&lt;=0,N(P312)&lt;=0),"Menge pro Gebinde fehlt (Ist = 1 Gebinde); ","")&amp;BJ312)</f>
        <v/>
      </c>
      <c r="BC312" s="53" t="n"/>
      <c r="BD312" s="53" t="n"/>
      <c r="BE312" s="61" t="n"/>
      <c r="BF312" s="55" t="n">
        <v>25</v>
      </c>
      <c r="BG312" s="55" t="n">
        <v>0</v>
      </c>
      <c r="BH312" s="54" t="n">
        <v>252.25</v>
      </c>
      <c r="BI312" s="55" t="n">
        <v>0</v>
      </c>
      <c r="BJ312" s="53" t="inlineStr"/>
      <c r="BK312" s="58" t="n">
        <v>0</v>
      </c>
      <c r="BL312" s="58" t="n">
        <v>312</v>
      </c>
      <c r="BM312" s="53">
        <f>IF(S312&lt;&gt;"",UPPER(TRIM(S312)),IF(O312="","LOSE",O312))</f>
        <v/>
      </c>
      <c r="BN312" s="55">
        <f>IF(BM312="LOSE",1,IF(N(T312)&gt;0,T312,IF(N(P312)&gt;0,P312,MAX(1,G312))))</f>
        <v/>
      </c>
      <c r="BO312" s="58">
        <f>IF(BM312="LOSE",1,0)</f>
        <v/>
      </c>
      <c r="BP312" s="64">
        <f>IF(BO312=0,0,IF(N(R312)&gt;0,R312,IFERROR(VLOOKUP(D312,Parameter!$A$35:$C$64,3,0)+0,0)))</f>
        <v/>
      </c>
      <c r="BQ312" s="53">
        <f>IF(V312&lt;&gt;"",V312,U312)</f>
        <v/>
      </c>
      <c r="BR312" s="53">
        <f>IF(BQ312=1,"L1",IF(OR(BQ312=2,BQ312=3),"L23",IF(BQ312="Aussen","Aussen","-")))</f>
        <v/>
      </c>
      <c r="BS312" s="66">
        <f>IF(N(W312)&gt;0,W312,0)</f>
        <v/>
      </c>
      <c r="BT312" s="58">
        <f>IF(ISNUMBER(Z312),1,0)</f>
        <v/>
      </c>
      <c r="BU312" s="55">
        <f>N(Z312)</f>
        <v/>
      </c>
      <c r="BV312" s="55">
        <f>N(L312)+N(M312)</f>
        <v/>
      </c>
      <c r="BW312" s="55">
        <f>ROUNDUP(G312/BN312,0)</f>
        <v/>
      </c>
      <c r="BX312" s="55">
        <f>ROUNDUP(BU312/BN312,0)</f>
        <v/>
      </c>
      <c r="BY312" s="58">
        <f>IF(BO312=1,0,IFERROR(VLOOKUP(BM312,'Gebinde-Kategorie'!$A$5:$G$45,5,0)+0,0))</f>
        <v/>
      </c>
      <c r="BZ312" s="58">
        <f>IFERROR(IF(OR(BQ312=1,BQ312=2,BQ312=3),N(INDEX(Parameter!$I$5:$I$7,BQ312)),0),0)</f>
        <v/>
      </c>
    </row>
    <row r="313">
      <c r="A313" s="53" t="inlineStr">
        <is>
          <t>107431</t>
        </is>
      </c>
      <c r="B313" s="53" t="inlineStr">
        <is>
          <t>Drahtseil</t>
        </is>
      </c>
      <c r="C313" s="53" t="inlineStr">
        <is>
          <t>F</t>
        </is>
      </c>
      <c r="D313" s="53" t="inlineStr">
        <is>
          <t>KTL</t>
        </is>
      </c>
      <c r="E313" s="53" t="inlineStr">
        <is>
          <t>C</t>
        </is>
      </c>
      <c r="F313" s="54" t="n">
        <v>27.18</v>
      </c>
      <c r="G313" s="55">
        <f>MAX(0,IF(Parameter!$B$20="Jahresanfang 2025 + Export",BG313+BF313,BF313))</f>
        <v/>
      </c>
      <c r="H313" s="55">
        <f>G313*F313</f>
        <v/>
      </c>
      <c r="I313" s="55">
        <f>BI313*Parameter!$B$18</f>
        <v/>
      </c>
      <c r="J313" s="56" t="n">
        <v>19.5</v>
      </c>
      <c r="K313" s="57" t="n">
        <v>1.230769230769231</v>
      </c>
      <c r="L313" s="55" t="n">
        <v>1</v>
      </c>
      <c r="M313" s="55" t="n">
        <v>25</v>
      </c>
      <c r="N313" s="58" t="n">
        <v>21</v>
      </c>
      <c r="O313" s="53" t="inlineStr">
        <is>
          <t>S52</t>
        </is>
      </c>
      <c r="P313" s="55" t="n">
        <v>8</v>
      </c>
      <c r="Q313" s="59">
        <f>IF(BO313=1,0,IFERROR(VLOOKUP(BM313,'Gebinde-Kategorie'!$A$5:$G$45,6,0)+0,0))</f>
        <v/>
      </c>
      <c r="R313" s="60" t="n"/>
      <c r="S313" s="61" t="n"/>
      <c r="T313" s="61" t="n"/>
      <c r="U313" s="53">
        <f>IF(A313="","",IF(IFERROR(VLOOKUP(D313,Parameter!$A$35:$C$64,2,0),"Nein")="2+3",IF(ISNUMBER(SEARCH("grosser Artikel",BJ313)),2,IFERROR(VLOOKUP(BM313,Parameter!$F$35:$G$64,2,0),2)),IF(OR(IFERROR(VLOOKUP(D313,Parameter!$A$35:$C$64,2,0),"Nein")="Nein",IFERROR(VLOOKUP(D313,Parameter!$A$35:$C$64,2,0),"Nein")=""),"-",VLOOKUP(D313,Parameter!$A$35:$C$64,2,0))))</f>
        <v/>
      </c>
      <c r="V313" s="61" t="n"/>
      <c r="W313" s="62" t="n"/>
      <c r="X313" s="55">
        <f>AM313</f>
        <v/>
      </c>
      <c r="Y313" s="55">
        <f>MAX(AM313,G313)</f>
        <v/>
      </c>
      <c r="Z313" s="63" t="n"/>
      <c r="AA313" s="55">
        <f>IF(LEFT(Cockpit!$C$5,1)="A",G313,IF(BT313=1,BU313,IF(LEFT(Cockpit!$C$5,1)="B",AE313,MAX(AE313,G313))))</f>
        <v/>
      </c>
      <c r="AB313" s="55">
        <f>IF(BO313=1,0,ROUNDUP(AA313/BN313,0))</f>
        <v/>
      </c>
      <c r="AC313" s="64">
        <f>IF(BO313=1,IF(AA313&lt;=0,0,BP313*MAX(1,IF(G313&gt;0,AA313/G313,1))),AB313*Q313)</f>
        <v/>
      </c>
      <c r="AD313" s="55">
        <f>AA313*F313</f>
        <v/>
      </c>
      <c r="AE313" s="55">
        <f>ROUNDUP(MAX(I313/IF(BS313&gt;0,BS313,MAX(0.1,N(Cockpit!$C$6))),BV313)/BN313,0)*BN313</f>
        <v/>
      </c>
      <c r="AF313" s="56">
        <f>IF(AC313&gt;0,I313/AC313,-1)</f>
        <v/>
      </c>
      <c r="AG313" s="56">
        <f>IF(AND(OR(BR313="L1",BR313="L23"),AC313&gt;0),SUMIFS($AC$7:$AC$1570,$BR$7:$BR$1570,BR313,$AF$7:$AF$1570,"&gt;"&amp;AF313)+SUMIFS($AC$7:$AC$1570,$BR$7:$BR$1570,BR313,$AF$7:$AF$1570,AF313,$BL$7:$BL$1570,"&lt;="&amp;BL313),"")</f>
        <v/>
      </c>
      <c r="AH313" s="65">
        <f>IF(AG313="",0,MAX(0,MIN(1,(IF(BR313="L1",Parameter!$K$5,Parameter!$K$6+Parameter!$K$7)-(AG313-AC313))/AC313)))</f>
        <v/>
      </c>
      <c r="AI313" s="55">
        <f>IF(LEFT(Cockpit!$I$5,1)="A",G313,IF(BT313=1,BU313,IF(LEFT(Cockpit!$I$5,1)="B",AM313,MAX(AM313,G313))))</f>
        <v/>
      </c>
      <c r="AJ313" s="55">
        <f>IF(BO313=1,0,ROUNDUP(AI313/BN313,0))</f>
        <v/>
      </c>
      <c r="AK313" s="64">
        <f>IF(BO313=1,IF(AI313&lt;=0,0,BP313*MAX(1,IF(G313&gt;0,AI313/G313,1))),AJ313*Q313)</f>
        <v/>
      </c>
      <c r="AL313" s="55">
        <f>AI313*F313</f>
        <v/>
      </c>
      <c r="AM313" s="55">
        <f>ROUNDUP(MAX(I313/IF(BS313&gt;0,BS313,MAX(0.1,N(Cockpit!$I$6))),BV313)/BN313,0)*BN313</f>
        <v/>
      </c>
      <c r="AN313" s="56">
        <f>IF(AK313&gt;0,I313/AK313,-1)</f>
        <v/>
      </c>
      <c r="AO313" s="56">
        <f>IF(AND(OR(BR313="L1",BR313="L23"),AK313&gt;0),SUMIFS($AK$7:$AK$1570,$BR$7:$BR$1570,BR313,$AN$7:$AN$1570,"&gt;"&amp;AN313)+SUMIFS($AK$7:$AK$1570,$BR$7:$BR$1570,BR313,$AN$7:$AN$1570,AN313,$BL$7:$BL$1570,"&lt;="&amp;BL313),"")</f>
        <v/>
      </c>
      <c r="AP313" s="65">
        <f>IF(AO313="",0,MAX(0,MIN(1,(IF(BR313="L1",Parameter!$K$5,Parameter!$K$6+Parameter!$K$7)-(AO313-AK313))/AK313)))</f>
        <v/>
      </c>
      <c r="AQ313" s="55">
        <f>IF(LEFT(Cockpit!$O$5,1)="A",G313,IF(BT313=1,BU313,IF(LEFT(Cockpit!$O$5,1)="B",AU313,MAX(AU313,G313))))</f>
        <v/>
      </c>
      <c r="AR313" s="55">
        <f>IF(BO313=1,0,ROUNDUP(AQ313/BN313,0))</f>
        <v/>
      </c>
      <c r="AS313" s="64">
        <f>IF(BO313=1,IF(AQ313&lt;=0,0,BP313*MAX(1,IF(G313&gt;0,AQ313/G313,1))),AR313*Q313)</f>
        <v/>
      </c>
      <c r="AT313" s="55">
        <f>AQ313*F313</f>
        <v/>
      </c>
      <c r="AU313" s="55">
        <f>ROUNDUP(MAX(I313/IF(BS313&gt;0,BS313,MAX(0.1,N(Cockpit!$O$6))),BV313)/BN313,0)*BN313</f>
        <v/>
      </c>
      <c r="AV313" s="56">
        <f>IF(AS313&gt;0,I313/AS313,-1)</f>
        <v/>
      </c>
      <c r="AW313" s="56">
        <f>IF(AND(OR(BR313="L1",BR313="L23"),AS313&gt;0),SUMIFS($AS$7:$AS$1570,$BR$7:$BR$1570,BR313,$AV$7:$AV$1570,"&gt;"&amp;AV313)+SUMIFS($AS$7:$AS$1570,$BR$7:$BR$1570,BR313,$AV$7:$AV$1570,AV313,$BL$7:$BL$1570,"&lt;="&amp;BL313),"")</f>
        <v/>
      </c>
      <c r="AX313" s="65">
        <f>IF(AW313="",0,MAX(0,MIN(1,(IF(BR313="L1",Parameter!$K$5,Parameter!$K$6+Parameter!$K$7)-(AW313-AS313))/AS313)))</f>
        <v/>
      </c>
      <c r="AY313" s="53">
        <f>IF(AC313&lt;=0,"",IF(BR313="Aussen","Aussenlager",IF(BR313="-","Nicht im Lift",IF(AH313&gt;=1,"Lift",IF(AH313&lt;=0,"Aussenlager","teilweise")))))</f>
        <v/>
      </c>
      <c r="AZ313" s="53">
        <f>IF(AK313&lt;=0,"",IF(BR313="Aussen","Aussenlager",IF(BR313="-","Nicht im Lift",IF(AP313&gt;=1,"Lift",IF(AP313&lt;=0,"Aussenlager","teilweise")))))</f>
        <v/>
      </c>
      <c r="BA313" s="53">
        <f>IF(AS313&lt;=0,"",IF(BR313="Aussen","Aussenlager",IF(BR313="-","Nicht im Lift",IF(AX313&gt;=1,"Lift",IF(AX313&lt;=0,"Aussenlager","teilweise")))))</f>
        <v/>
      </c>
      <c r="BB313" s="53">
        <f>IF(A313="","",IF(BK313=1,"Neu; ","")&amp;IF(AND(BK313=0,BF313&lt;0),"negativer Bestand (Export "&amp;BF313&amp;"); ","")&amp;IF(I313&lt;=0,"Kein Verbrauch; ","")&amp;IF(BO313=1,"Lose – Fläche geschätzt; ","")&amp;IF(G313&gt;AM313,"Überbestand "&amp;ROUND(G313-AM313,0)&amp;" Stk / CHF "&amp;ROUND((G313-AM313)*F313,0)&amp;"; ","")&amp;IF(AND(BT313=1,BU313&lt;BV313),"MAX &lt; MB+LG; ","")&amp;IF(AND(BZ313&gt;0,BY313*10&gt;BZ313),"zu hoch für Tablar; ","")&amp;IF(AND(BK313=0,OR(BT313=1,V313&lt;&gt;"",S313&lt;&gt;"",T313&lt;&gt;"",W313&lt;&gt;"")),"manuell übersteuert; ","")&amp;IF(AND(BO313=0,Q313=0),"Gebinde unbekannt; ","")&amp;IF(AND(BO313=0,N(T313)&lt;=0,N(P313)&lt;=0),"Menge pro Gebinde fehlt (Ist = 1 Gebinde); ","")&amp;BJ313)</f>
        <v/>
      </c>
      <c r="BC313" s="53" t="n"/>
      <c r="BD313" s="53" t="n"/>
      <c r="BE313" s="61" t="n"/>
      <c r="BF313" s="55" t="n">
        <v>9</v>
      </c>
      <c r="BG313" s="55" t="n">
        <v>19</v>
      </c>
      <c r="BH313" s="54" t="n">
        <v>249.8800000000001</v>
      </c>
      <c r="BI313" s="55" t="n">
        <v>24</v>
      </c>
      <c r="BJ313" s="53" t="inlineStr"/>
      <c r="BK313" s="58" t="n">
        <v>0</v>
      </c>
      <c r="BL313" s="58" t="n">
        <v>313</v>
      </c>
      <c r="BM313" s="53">
        <f>IF(S313&lt;&gt;"",UPPER(TRIM(S313)),IF(O313="","LOSE",O313))</f>
        <v/>
      </c>
      <c r="BN313" s="55">
        <f>IF(BM313="LOSE",1,IF(N(T313)&gt;0,T313,IF(N(P313)&gt;0,P313,MAX(1,G313))))</f>
        <v/>
      </c>
      <c r="BO313" s="58">
        <f>IF(BM313="LOSE",1,0)</f>
        <v/>
      </c>
      <c r="BP313" s="64">
        <f>IF(BO313=0,0,IF(N(R313)&gt;0,R313,IFERROR(VLOOKUP(D313,Parameter!$A$35:$C$64,3,0)+0,0)))</f>
        <v/>
      </c>
      <c r="BQ313" s="53">
        <f>IF(V313&lt;&gt;"",V313,U313)</f>
        <v/>
      </c>
      <c r="BR313" s="53">
        <f>IF(BQ313=1,"L1",IF(OR(BQ313=2,BQ313=3),"L23",IF(BQ313="Aussen","Aussen","-")))</f>
        <v/>
      </c>
      <c r="BS313" s="66">
        <f>IF(N(W313)&gt;0,W313,0)</f>
        <v/>
      </c>
      <c r="BT313" s="58">
        <f>IF(ISNUMBER(Z313),1,0)</f>
        <v/>
      </c>
      <c r="BU313" s="55">
        <f>N(Z313)</f>
        <v/>
      </c>
      <c r="BV313" s="55">
        <f>N(L313)+N(M313)</f>
        <v/>
      </c>
      <c r="BW313" s="55">
        <f>ROUNDUP(G313/BN313,0)</f>
        <v/>
      </c>
      <c r="BX313" s="55">
        <f>ROUNDUP(BU313/BN313,0)</f>
        <v/>
      </c>
      <c r="BY313" s="58">
        <f>IF(BO313=1,0,IFERROR(VLOOKUP(BM313,'Gebinde-Kategorie'!$A$5:$G$45,5,0)+0,0))</f>
        <v/>
      </c>
      <c r="BZ313" s="58">
        <f>IFERROR(IF(OR(BQ313=1,BQ313=2,BQ313=3),N(INDEX(Parameter!$I$5:$I$7,BQ313)),0),0)</f>
        <v/>
      </c>
    </row>
    <row r="314">
      <c r="A314" s="53" t="inlineStr">
        <is>
          <t>107304</t>
        </is>
      </c>
      <c r="B314" s="53" t="inlineStr">
        <is>
          <t>Silikon Dichtungsmasse</t>
        </is>
      </c>
      <c r="C314" s="53" t="inlineStr">
        <is>
          <t>F</t>
        </is>
      </c>
      <c r="D314" s="53" t="inlineStr">
        <is>
          <t>KTL</t>
        </is>
      </c>
      <c r="E314" s="53" t="inlineStr">
        <is>
          <t>C</t>
        </is>
      </c>
      <c r="F314" s="54" t="n">
        <v>21.25</v>
      </c>
      <c r="G314" s="55">
        <f>MAX(0,IF(Parameter!$B$20="Jahresanfang 2025 + Export",BG314+BF314,BF314))</f>
        <v/>
      </c>
      <c r="H314" s="55">
        <f>G314*F314</f>
        <v/>
      </c>
      <c r="I314" s="55">
        <f>BI314*Parameter!$B$18</f>
        <v/>
      </c>
      <c r="J314" s="56" t="n">
        <v>5.5</v>
      </c>
      <c r="K314" s="57" t="n">
        <v>2.909090909090909</v>
      </c>
      <c r="L314" s="55" t="n">
        <v>0</v>
      </c>
      <c r="M314" s="55" t="n">
        <v>15</v>
      </c>
      <c r="N314" s="58" t="n">
        <v>21</v>
      </c>
      <c r="O314" s="53" t="inlineStr">
        <is>
          <t>S32</t>
        </is>
      </c>
      <c r="P314" s="55" t="n">
        <v>9</v>
      </c>
      <c r="Q314" s="59">
        <f>IF(BO314=1,0,IFERROR(VLOOKUP(BM314,'Gebinde-Kategorie'!$A$5:$G$45,6,0)+0,0))</f>
        <v/>
      </c>
      <c r="R314" s="60" t="n"/>
      <c r="S314" s="61" t="n"/>
      <c r="T314" s="61" t="n"/>
      <c r="U314" s="53">
        <f>IF(A314="","",IF(IFERROR(VLOOKUP(D314,Parameter!$A$35:$C$64,2,0),"Nein")="2+3",IF(ISNUMBER(SEARCH("grosser Artikel",BJ314)),2,IFERROR(VLOOKUP(BM314,Parameter!$F$35:$G$64,2,0),2)),IF(OR(IFERROR(VLOOKUP(D314,Parameter!$A$35:$C$64,2,0),"Nein")="Nein",IFERROR(VLOOKUP(D314,Parameter!$A$35:$C$64,2,0),"Nein")=""),"-",VLOOKUP(D314,Parameter!$A$35:$C$64,2,0))))</f>
        <v/>
      </c>
      <c r="V314" s="61" t="n"/>
      <c r="W314" s="62" t="n"/>
      <c r="X314" s="55">
        <f>AM314</f>
        <v/>
      </c>
      <c r="Y314" s="55">
        <f>MAX(AM314,G314)</f>
        <v/>
      </c>
      <c r="Z314" s="63" t="n"/>
      <c r="AA314" s="55">
        <f>IF(LEFT(Cockpit!$C$5,1)="A",G314,IF(BT314=1,BU314,IF(LEFT(Cockpit!$C$5,1)="B",AE314,MAX(AE314,G314))))</f>
        <v/>
      </c>
      <c r="AB314" s="55">
        <f>IF(BO314=1,0,ROUNDUP(AA314/BN314,0))</f>
        <v/>
      </c>
      <c r="AC314" s="64">
        <f>IF(BO314=1,IF(AA314&lt;=0,0,BP314*MAX(1,IF(G314&gt;0,AA314/G314,1))),AB314*Q314)</f>
        <v/>
      </c>
      <c r="AD314" s="55">
        <f>AA314*F314</f>
        <v/>
      </c>
      <c r="AE314" s="55">
        <f>ROUNDUP(MAX(I314/IF(BS314&gt;0,BS314,MAX(0.1,N(Cockpit!$C$6))),BV314)/BN314,0)*BN314</f>
        <v/>
      </c>
      <c r="AF314" s="56">
        <f>IF(AC314&gt;0,I314/AC314,-1)</f>
        <v/>
      </c>
      <c r="AG314" s="56">
        <f>IF(AND(OR(BR314="L1",BR314="L23"),AC314&gt;0),SUMIFS($AC$7:$AC$1570,$BR$7:$BR$1570,BR314,$AF$7:$AF$1570,"&gt;"&amp;AF314)+SUMIFS($AC$7:$AC$1570,$BR$7:$BR$1570,BR314,$AF$7:$AF$1570,AF314,$BL$7:$BL$1570,"&lt;="&amp;BL314),"")</f>
        <v/>
      </c>
      <c r="AH314" s="65">
        <f>IF(AG314="",0,MAX(0,MIN(1,(IF(BR314="L1",Parameter!$K$5,Parameter!$K$6+Parameter!$K$7)-(AG314-AC314))/AC314)))</f>
        <v/>
      </c>
      <c r="AI314" s="55">
        <f>IF(LEFT(Cockpit!$I$5,1)="A",G314,IF(BT314=1,BU314,IF(LEFT(Cockpit!$I$5,1)="B",AM314,MAX(AM314,G314))))</f>
        <v/>
      </c>
      <c r="AJ314" s="55">
        <f>IF(BO314=1,0,ROUNDUP(AI314/BN314,0))</f>
        <v/>
      </c>
      <c r="AK314" s="64">
        <f>IF(BO314=1,IF(AI314&lt;=0,0,BP314*MAX(1,IF(G314&gt;0,AI314/G314,1))),AJ314*Q314)</f>
        <v/>
      </c>
      <c r="AL314" s="55">
        <f>AI314*F314</f>
        <v/>
      </c>
      <c r="AM314" s="55">
        <f>ROUNDUP(MAX(I314/IF(BS314&gt;0,BS314,MAX(0.1,N(Cockpit!$I$6))),BV314)/BN314,0)*BN314</f>
        <v/>
      </c>
      <c r="AN314" s="56">
        <f>IF(AK314&gt;0,I314/AK314,-1)</f>
        <v/>
      </c>
      <c r="AO314" s="56">
        <f>IF(AND(OR(BR314="L1",BR314="L23"),AK314&gt;0),SUMIFS($AK$7:$AK$1570,$BR$7:$BR$1570,BR314,$AN$7:$AN$1570,"&gt;"&amp;AN314)+SUMIFS($AK$7:$AK$1570,$BR$7:$BR$1570,BR314,$AN$7:$AN$1570,AN314,$BL$7:$BL$1570,"&lt;="&amp;BL314),"")</f>
        <v/>
      </c>
      <c r="AP314" s="65">
        <f>IF(AO314="",0,MAX(0,MIN(1,(IF(BR314="L1",Parameter!$K$5,Parameter!$K$6+Parameter!$K$7)-(AO314-AK314))/AK314)))</f>
        <v/>
      </c>
      <c r="AQ314" s="55">
        <f>IF(LEFT(Cockpit!$O$5,1)="A",G314,IF(BT314=1,BU314,IF(LEFT(Cockpit!$O$5,1)="B",AU314,MAX(AU314,G314))))</f>
        <v/>
      </c>
      <c r="AR314" s="55">
        <f>IF(BO314=1,0,ROUNDUP(AQ314/BN314,0))</f>
        <v/>
      </c>
      <c r="AS314" s="64">
        <f>IF(BO314=1,IF(AQ314&lt;=0,0,BP314*MAX(1,IF(G314&gt;0,AQ314/G314,1))),AR314*Q314)</f>
        <v/>
      </c>
      <c r="AT314" s="55">
        <f>AQ314*F314</f>
        <v/>
      </c>
      <c r="AU314" s="55">
        <f>ROUNDUP(MAX(I314/IF(BS314&gt;0,BS314,MAX(0.1,N(Cockpit!$O$6))),BV314)/BN314,0)*BN314</f>
        <v/>
      </c>
      <c r="AV314" s="56">
        <f>IF(AS314&gt;0,I314/AS314,-1)</f>
        <v/>
      </c>
      <c r="AW314" s="56">
        <f>IF(AND(OR(BR314="L1",BR314="L23"),AS314&gt;0),SUMIFS($AS$7:$AS$1570,$BR$7:$BR$1570,BR314,$AV$7:$AV$1570,"&gt;"&amp;AV314)+SUMIFS($AS$7:$AS$1570,$BR$7:$BR$1570,BR314,$AV$7:$AV$1570,AV314,$BL$7:$BL$1570,"&lt;="&amp;BL314),"")</f>
        <v/>
      </c>
      <c r="AX314" s="65">
        <f>IF(AW314="",0,MAX(0,MIN(1,(IF(BR314="L1",Parameter!$K$5,Parameter!$K$6+Parameter!$K$7)-(AW314-AS314))/AS314)))</f>
        <v/>
      </c>
      <c r="AY314" s="53">
        <f>IF(AC314&lt;=0,"",IF(BR314="Aussen","Aussenlager",IF(BR314="-","Nicht im Lift",IF(AH314&gt;=1,"Lift",IF(AH314&lt;=0,"Aussenlager","teilweise")))))</f>
        <v/>
      </c>
      <c r="AZ314" s="53">
        <f>IF(AK314&lt;=0,"",IF(BR314="Aussen","Aussenlager",IF(BR314="-","Nicht im Lift",IF(AP314&gt;=1,"Lift",IF(AP314&lt;=0,"Aussenlager","teilweise")))))</f>
        <v/>
      </c>
      <c r="BA314" s="53">
        <f>IF(AS314&lt;=0,"",IF(BR314="Aussen","Aussenlager",IF(BR314="-","Nicht im Lift",IF(AX314&gt;=1,"Lift",IF(AX314&lt;=0,"Aussenlager","teilweise")))))</f>
        <v/>
      </c>
      <c r="BB314" s="53">
        <f>IF(A314="","",IF(BK314=1,"Neu; ","")&amp;IF(AND(BK314=0,BF314&lt;0),"negativer Bestand (Export "&amp;BF314&amp;"); ","")&amp;IF(I314&lt;=0,"Kein Verbrauch; ","")&amp;IF(BO314=1,"Lose – Fläche geschätzt; ","")&amp;IF(G314&gt;AM314,"Überbestand "&amp;ROUND(G314-AM314,0)&amp;" Stk / CHF "&amp;ROUND((G314-AM314)*F314,0)&amp;"; ","")&amp;IF(AND(BT314=1,BU314&lt;BV314),"MAX &lt; MB+LG; ","")&amp;IF(AND(BZ314&gt;0,BY314*10&gt;BZ314),"zu hoch für Tablar; ","")&amp;IF(AND(BK314=0,OR(BT314=1,V314&lt;&gt;"",S314&lt;&gt;"",T314&lt;&gt;"",W314&lt;&gt;"")),"manuell übersteuert; ","")&amp;IF(AND(BO314=0,Q314=0),"Gebinde unbekannt; ","")&amp;IF(AND(BO314=0,N(T314)&lt;=0,N(P314)&lt;=0),"Menge pro Gebinde fehlt (Ist = 1 Gebinde); ","")&amp;BJ314)</f>
        <v/>
      </c>
      <c r="BC314" s="53" t="n"/>
      <c r="BD314" s="53" t="n"/>
      <c r="BE314" s="61" t="n"/>
      <c r="BF314" s="55" t="n">
        <v>11</v>
      </c>
      <c r="BG314" s="55" t="n">
        <v>6</v>
      </c>
      <c r="BH314" s="54" t="n">
        <v>249.5300000000001</v>
      </c>
      <c r="BI314" s="55" t="n">
        <v>16</v>
      </c>
      <c r="BJ314" s="53" t="inlineStr"/>
      <c r="BK314" s="58" t="n">
        <v>0</v>
      </c>
      <c r="BL314" s="58" t="n">
        <v>314</v>
      </c>
      <c r="BM314" s="53">
        <f>IF(S314&lt;&gt;"",UPPER(TRIM(S314)),IF(O314="","LOSE",O314))</f>
        <v/>
      </c>
      <c r="BN314" s="55">
        <f>IF(BM314="LOSE",1,IF(N(T314)&gt;0,T314,IF(N(P314)&gt;0,P314,MAX(1,G314))))</f>
        <v/>
      </c>
      <c r="BO314" s="58">
        <f>IF(BM314="LOSE",1,0)</f>
        <v/>
      </c>
      <c r="BP314" s="64">
        <f>IF(BO314=0,0,IF(N(R314)&gt;0,R314,IFERROR(VLOOKUP(D314,Parameter!$A$35:$C$64,3,0)+0,0)))</f>
        <v/>
      </c>
      <c r="BQ314" s="53">
        <f>IF(V314&lt;&gt;"",V314,U314)</f>
        <v/>
      </c>
      <c r="BR314" s="53">
        <f>IF(BQ314=1,"L1",IF(OR(BQ314=2,BQ314=3),"L23",IF(BQ314="Aussen","Aussen","-")))</f>
        <v/>
      </c>
      <c r="BS314" s="66">
        <f>IF(N(W314)&gt;0,W314,0)</f>
        <v/>
      </c>
      <c r="BT314" s="58">
        <f>IF(ISNUMBER(Z314),1,0)</f>
        <v/>
      </c>
      <c r="BU314" s="55">
        <f>N(Z314)</f>
        <v/>
      </c>
      <c r="BV314" s="55">
        <f>N(L314)+N(M314)</f>
        <v/>
      </c>
      <c r="BW314" s="55">
        <f>ROUNDUP(G314/BN314,0)</f>
        <v/>
      </c>
      <c r="BX314" s="55">
        <f>ROUNDUP(BU314/BN314,0)</f>
        <v/>
      </c>
      <c r="BY314" s="58">
        <f>IF(BO314=1,0,IFERROR(VLOOKUP(BM314,'Gebinde-Kategorie'!$A$5:$G$45,5,0)+0,0))</f>
        <v/>
      </c>
      <c r="BZ314" s="58">
        <f>IFERROR(IF(OR(BQ314=1,BQ314=2,BQ314=3),N(INDEX(Parameter!$I$5:$I$7,BQ314)),0),0)</f>
        <v/>
      </c>
    </row>
    <row r="315">
      <c r="A315" s="53" t="inlineStr">
        <is>
          <t>107729</t>
        </is>
      </c>
      <c r="B315" s="53" t="inlineStr">
        <is>
          <t>Aufkleber SPGr</t>
        </is>
      </c>
      <c r="C315" s="53" t="inlineStr">
        <is>
          <t>F</t>
        </is>
      </c>
      <c r="D315" s="53" t="inlineStr">
        <is>
          <t>KTL</t>
        </is>
      </c>
      <c r="E315" s="53" t="inlineStr">
        <is>
          <t>C</t>
        </is>
      </c>
      <c r="F315" s="54" t="n">
        <v>7.02</v>
      </c>
      <c r="G315" s="55">
        <f>MAX(0,IF(Parameter!$B$20="Jahresanfang 2025 + Export",BG315+BF315,BF315))</f>
        <v/>
      </c>
      <c r="H315" s="55">
        <f>G315*F315</f>
        <v/>
      </c>
      <c r="I315" s="55">
        <f>BI315*Parameter!$B$18</f>
        <v/>
      </c>
      <c r="J315" s="56" t="n">
        <v>42</v>
      </c>
      <c r="K315" s="57" t="n">
        <v>1.5</v>
      </c>
      <c r="L315" s="55" t="n">
        <v>2</v>
      </c>
      <c r="M315" s="55" t="n">
        <v>60</v>
      </c>
      <c r="N315" s="58" t="n">
        <v>21</v>
      </c>
      <c r="O315" s="53" t="inlineStr">
        <is>
          <t>S33</t>
        </is>
      </c>
      <c r="P315" s="55" t="n">
        <v>58</v>
      </c>
      <c r="Q315" s="59">
        <f>IF(BO315=1,0,IFERROR(VLOOKUP(BM315,'Gebinde-Kategorie'!$A$5:$G$45,6,0)+0,0))</f>
        <v/>
      </c>
      <c r="R315" s="60" t="n"/>
      <c r="S315" s="61" t="n"/>
      <c r="T315" s="61" t="n"/>
      <c r="U315" s="53">
        <f>IF(A315="","",IF(IFERROR(VLOOKUP(D315,Parameter!$A$35:$C$64,2,0),"Nein")="2+3",IF(ISNUMBER(SEARCH("grosser Artikel",BJ315)),2,IFERROR(VLOOKUP(BM315,Parameter!$F$35:$G$64,2,0),2)),IF(OR(IFERROR(VLOOKUP(D315,Parameter!$A$35:$C$64,2,0),"Nein")="Nein",IFERROR(VLOOKUP(D315,Parameter!$A$35:$C$64,2,0),"Nein")=""),"-",VLOOKUP(D315,Parameter!$A$35:$C$64,2,0))))</f>
        <v/>
      </c>
      <c r="V315" s="61" t="n"/>
      <c r="W315" s="62" t="n"/>
      <c r="X315" s="55">
        <f>AM315</f>
        <v/>
      </c>
      <c r="Y315" s="55">
        <f>MAX(AM315,G315)</f>
        <v/>
      </c>
      <c r="Z315" s="63" t="n"/>
      <c r="AA315" s="55">
        <f>IF(LEFT(Cockpit!$C$5,1)="A",G315,IF(BT315=1,BU315,IF(LEFT(Cockpit!$C$5,1)="B",AE315,MAX(AE315,G315))))</f>
        <v/>
      </c>
      <c r="AB315" s="55">
        <f>IF(BO315=1,0,ROUNDUP(AA315/BN315,0))</f>
        <v/>
      </c>
      <c r="AC315" s="64">
        <f>IF(BO315=1,IF(AA315&lt;=0,0,BP315*MAX(1,IF(G315&gt;0,AA315/G315,1))),AB315*Q315)</f>
        <v/>
      </c>
      <c r="AD315" s="55">
        <f>AA315*F315</f>
        <v/>
      </c>
      <c r="AE315" s="55">
        <f>ROUNDUP(MAX(I315/IF(BS315&gt;0,BS315,MAX(0.1,N(Cockpit!$C$6))),BV315)/BN315,0)*BN315</f>
        <v/>
      </c>
      <c r="AF315" s="56">
        <f>IF(AC315&gt;0,I315/AC315,-1)</f>
        <v/>
      </c>
      <c r="AG315" s="56">
        <f>IF(AND(OR(BR315="L1",BR315="L23"),AC315&gt;0),SUMIFS($AC$7:$AC$1570,$BR$7:$BR$1570,BR315,$AF$7:$AF$1570,"&gt;"&amp;AF315)+SUMIFS($AC$7:$AC$1570,$BR$7:$BR$1570,BR315,$AF$7:$AF$1570,AF315,$BL$7:$BL$1570,"&lt;="&amp;BL315),"")</f>
        <v/>
      </c>
      <c r="AH315" s="65">
        <f>IF(AG315="",0,MAX(0,MIN(1,(IF(BR315="L1",Parameter!$K$5,Parameter!$K$6+Parameter!$K$7)-(AG315-AC315))/AC315)))</f>
        <v/>
      </c>
      <c r="AI315" s="55">
        <f>IF(LEFT(Cockpit!$I$5,1)="A",G315,IF(BT315=1,BU315,IF(LEFT(Cockpit!$I$5,1)="B",AM315,MAX(AM315,G315))))</f>
        <v/>
      </c>
      <c r="AJ315" s="55">
        <f>IF(BO315=1,0,ROUNDUP(AI315/BN315,0))</f>
        <v/>
      </c>
      <c r="AK315" s="64">
        <f>IF(BO315=1,IF(AI315&lt;=0,0,BP315*MAX(1,IF(G315&gt;0,AI315/G315,1))),AJ315*Q315)</f>
        <v/>
      </c>
      <c r="AL315" s="55">
        <f>AI315*F315</f>
        <v/>
      </c>
      <c r="AM315" s="55">
        <f>ROUNDUP(MAX(I315/IF(BS315&gt;0,BS315,MAX(0.1,N(Cockpit!$I$6))),BV315)/BN315,0)*BN315</f>
        <v/>
      </c>
      <c r="AN315" s="56">
        <f>IF(AK315&gt;0,I315/AK315,-1)</f>
        <v/>
      </c>
      <c r="AO315" s="56">
        <f>IF(AND(OR(BR315="L1",BR315="L23"),AK315&gt;0),SUMIFS($AK$7:$AK$1570,$BR$7:$BR$1570,BR315,$AN$7:$AN$1570,"&gt;"&amp;AN315)+SUMIFS($AK$7:$AK$1570,$BR$7:$BR$1570,BR315,$AN$7:$AN$1570,AN315,$BL$7:$BL$1570,"&lt;="&amp;BL315),"")</f>
        <v/>
      </c>
      <c r="AP315" s="65">
        <f>IF(AO315="",0,MAX(0,MIN(1,(IF(BR315="L1",Parameter!$K$5,Parameter!$K$6+Parameter!$K$7)-(AO315-AK315))/AK315)))</f>
        <v/>
      </c>
      <c r="AQ315" s="55">
        <f>IF(LEFT(Cockpit!$O$5,1)="A",G315,IF(BT315=1,BU315,IF(LEFT(Cockpit!$O$5,1)="B",AU315,MAX(AU315,G315))))</f>
        <v/>
      </c>
      <c r="AR315" s="55">
        <f>IF(BO315=1,0,ROUNDUP(AQ315/BN315,0))</f>
        <v/>
      </c>
      <c r="AS315" s="64">
        <f>IF(BO315=1,IF(AQ315&lt;=0,0,BP315*MAX(1,IF(G315&gt;0,AQ315/G315,1))),AR315*Q315)</f>
        <v/>
      </c>
      <c r="AT315" s="55">
        <f>AQ315*F315</f>
        <v/>
      </c>
      <c r="AU315" s="55">
        <f>ROUNDUP(MAX(I315/IF(BS315&gt;0,BS315,MAX(0.1,N(Cockpit!$O$6))),BV315)/BN315,0)*BN315</f>
        <v/>
      </c>
      <c r="AV315" s="56">
        <f>IF(AS315&gt;0,I315/AS315,-1)</f>
        <v/>
      </c>
      <c r="AW315" s="56">
        <f>IF(AND(OR(BR315="L1",BR315="L23"),AS315&gt;0),SUMIFS($AS$7:$AS$1570,$BR$7:$BR$1570,BR315,$AV$7:$AV$1570,"&gt;"&amp;AV315)+SUMIFS($AS$7:$AS$1570,$BR$7:$BR$1570,BR315,$AV$7:$AV$1570,AV315,$BL$7:$BL$1570,"&lt;="&amp;BL315),"")</f>
        <v/>
      </c>
      <c r="AX315" s="65">
        <f>IF(AW315="",0,MAX(0,MIN(1,(IF(BR315="L1",Parameter!$K$5,Parameter!$K$6+Parameter!$K$7)-(AW315-AS315))/AS315)))</f>
        <v/>
      </c>
      <c r="AY315" s="53">
        <f>IF(AC315&lt;=0,"",IF(BR315="Aussen","Aussenlager",IF(BR315="-","Nicht im Lift",IF(AH315&gt;=1,"Lift",IF(AH315&lt;=0,"Aussenlager","teilweise")))))</f>
        <v/>
      </c>
      <c r="AZ315" s="53">
        <f>IF(AK315&lt;=0,"",IF(BR315="Aussen","Aussenlager",IF(BR315="-","Nicht im Lift",IF(AP315&gt;=1,"Lift",IF(AP315&lt;=0,"Aussenlager","teilweise")))))</f>
        <v/>
      </c>
      <c r="BA315" s="53">
        <f>IF(AS315&lt;=0,"",IF(BR315="Aussen","Aussenlager",IF(BR315="-","Nicht im Lift",IF(AX315&gt;=1,"Lift",IF(AX315&lt;=0,"Aussenlager","teilweise")))))</f>
        <v/>
      </c>
      <c r="BB315" s="53">
        <f>IF(A315="","",IF(BK315=1,"Neu; ","")&amp;IF(AND(BK315=0,BF315&lt;0),"negativer Bestand (Export "&amp;BF315&amp;"); ","")&amp;IF(I315&lt;=0,"Kein Verbrauch; ","")&amp;IF(BO315=1,"Lose – Fläche geschätzt; ","")&amp;IF(G315&gt;AM315,"Überbestand "&amp;ROUND(G315-AM315,0)&amp;" Stk / CHF "&amp;ROUND((G315-AM315)*F315,0)&amp;"; ","")&amp;IF(AND(BT315=1,BU315&lt;BV315),"MAX &lt; MB+LG; ","")&amp;IF(AND(BZ315&gt;0,BY315*10&gt;BZ315),"zu hoch für Tablar; ","")&amp;IF(AND(BK315=0,OR(BT315=1,V315&lt;&gt;"",S315&lt;&gt;"",T315&lt;&gt;"",W315&lt;&gt;"")),"manuell übersteuert; ","")&amp;IF(AND(BO315=0,Q315=0),"Gebinde unbekannt; ","")&amp;IF(AND(BO315=0,N(T315)&lt;=0,N(P315)&lt;=0),"Menge pro Gebinde fehlt (Ist = 1 Gebinde); ","")&amp;BJ315)</f>
        <v/>
      </c>
      <c r="BC315" s="53" t="n"/>
      <c r="BD315" s="53" t="n"/>
      <c r="BE315" s="61" t="n"/>
      <c r="BF315" s="55" t="n">
        <v>38</v>
      </c>
      <c r="BG315" s="55" t="n">
        <v>23</v>
      </c>
      <c r="BH315" s="54" t="n">
        <v>248.8200000000001</v>
      </c>
      <c r="BI315" s="55" t="n">
        <v>63</v>
      </c>
      <c r="BJ315" s="53" t="inlineStr"/>
      <c r="BK315" s="58" t="n">
        <v>0</v>
      </c>
      <c r="BL315" s="58" t="n">
        <v>315</v>
      </c>
      <c r="BM315" s="53">
        <f>IF(S315&lt;&gt;"",UPPER(TRIM(S315)),IF(O315="","LOSE",O315))</f>
        <v/>
      </c>
      <c r="BN315" s="55">
        <f>IF(BM315="LOSE",1,IF(N(T315)&gt;0,T315,IF(N(P315)&gt;0,P315,MAX(1,G315))))</f>
        <v/>
      </c>
      <c r="BO315" s="58">
        <f>IF(BM315="LOSE",1,0)</f>
        <v/>
      </c>
      <c r="BP315" s="64">
        <f>IF(BO315=0,0,IF(N(R315)&gt;0,R315,IFERROR(VLOOKUP(D315,Parameter!$A$35:$C$64,3,0)+0,0)))</f>
        <v/>
      </c>
      <c r="BQ315" s="53">
        <f>IF(V315&lt;&gt;"",V315,U315)</f>
        <v/>
      </c>
      <c r="BR315" s="53">
        <f>IF(BQ315=1,"L1",IF(OR(BQ315=2,BQ315=3),"L23",IF(BQ315="Aussen","Aussen","-")))</f>
        <v/>
      </c>
      <c r="BS315" s="66">
        <f>IF(N(W315)&gt;0,W315,0)</f>
        <v/>
      </c>
      <c r="BT315" s="58">
        <f>IF(ISNUMBER(Z315),1,0)</f>
        <v/>
      </c>
      <c r="BU315" s="55">
        <f>N(Z315)</f>
        <v/>
      </c>
      <c r="BV315" s="55">
        <f>N(L315)+N(M315)</f>
        <v/>
      </c>
      <c r="BW315" s="55">
        <f>ROUNDUP(G315/BN315,0)</f>
        <v/>
      </c>
      <c r="BX315" s="55">
        <f>ROUNDUP(BU315/BN315,0)</f>
        <v/>
      </c>
      <c r="BY315" s="58">
        <f>IF(BO315=1,0,IFERROR(VLOOKUP(BM315,'Gebinde-Kategorie'!$A$5:$G$45,5,0)+0,0))</f>
        <v/>
      </c>
      <c r="BZ315" s="58">
        <f>IFERROR(IF(OR(BQ315=1,BQ315=2,BQ315=3),N(INDEX(Parameter!$I$5:$I$7,BQ315)),0),0)</f>
        <v/>
      </c>
    </row>
    <row r="316">
      <c r="A316" s="53" t="inlineStr">
        <is>
          <t>111917</t>
        </is>
      </c>
      <c r="B316" s="53" t="inlineStr">
        <is>
          <t>Manometer Aufschraub-Schaft Adapter</t>
        </is>
      </c>
      <c r="C316" s="53" t="inlineStr">
        <is>
          <t>F</t>
        </is>
      </c>
      <c r="D316" s="53" t="inlineStr">
        <is>
          <t>KTL</t>
        </is>
      </c>
      <c r="E316" s="53" t="inlineStr">
        <is>
          <t>C</t>
        </is>
      </c>
      <c r="F316" s="54" t="n">
        <v>9.859999999999999</v>
      </c>
      <c r="G316" s="55">
        <f>MAX(0,IF(Parameter!$B$20="Jahresanfang 2025 + Export",BG316+BF316,BF316))</f>
        <v/>
      </c>
      <c r="H316" s="55">
        <f>G316*F316</f>
        <v/>
      </c>
      <c r="I316" s="55">
        <f>BI316*Parameter!$B$18</f>
        <v/>
      </c>
      <c r="J316" s="56" t="n">
        <v>0</v>
      </c>
      <c r="K316" s="57" t="n">
        <v>0</v>
      </c>
      <c r="L316" s="55" t="n">
        <v>0</v>
      </c>
      <c r="M316" s="55" t="n">
        <v>1</v>
      </c>
      <c r="N316" s="58" t="n">
        <v>9999</v>
      </c>
      <c r="O316" s="53" t="inlineStr">
        <is>
          <t>LOSE</t>
        </is>
      </c>
      <c r="P316" s="55" t="n"/>
      <c r="Q316" s="59">
        <f>IF(BO316=1,0,IFERROR(VLOOKUP(BM316,'Gebinde-Kategorie'!$A$5:$G$45,6,0)+0,0))</f>
        <v/>
      </c>
      <c r="R316" s="60" t="n"/>
      <c r="S316" s="61" t="n"/>
      <c r="T316" s="61" t="n"/>
      <c r="U316" s="53">
        <f>IF(A316="","",IF(IFERROR(VLOOKUP(D316,Parameter!$A$35:$C$64,2,0),"Nein")="2+3",IF(ISNUMBER(SEARCH("grosser Artikel",BJ316)),2,IFERROR(VLOOKUP(BM316,Parameter!$F$35:$G$64,2,0),2)),IF(OR(IFERROR(VLOOKUP(D316,Parameter!$A$35:$C$64,2,0),"Nein")="Nein",IFERROR(VLOOKUP(D316,Parameter!$A$35:$C$64,2,0),"Nein")=""),"-",VLOOKUP(D316,Parameter!$A$35:$C$64,2,0))))</f>
        <v/>
      </c>
      <c r="V316" s="61" t="n"/>
      <c r="W316" s="62" t="n"/>
      <c r="X316" s="55">
        <f>AM316</f>
        <v/>
      </c>
      <c r="Y316" s="55">
        <f>MAX(AM316,G316)</f>
        <v/>
      </c>
      <c r="Z316" s="63" t="n"/>
      <c r="AA316" s="55">
        <f>IF(LEFT(Cockpit!$C$5,1)="A",G316,IF(BT316=1,BU316,IF(LEFT(Cockpit!$C$5,1)="B",AE316,MAX(AE316,G316))))</f>
        <v/>
      </c>
      <c r="AB316" s="55">
        <f>IF(BO316=1,0,ROUNDUP(AA316/BN316,0))</f>
        <v/>
      </c>
      <c r="AC316" s="64">
        <f>IF(BO316=1,IF(AA316&lt;=0,0,BP316*MAX(1,IF(G316&gt;0,AA316/G316,1))),AB316*Q316)</f>
        <v/>
      </c>
      <c r="AD316" s="55">
        <f>AA316*F316</f>
        <v/>
      </c>
      <c r="AE316" s="55">
        <f>ROUNDUP(MAX(I316/IF(BS316&gt;0,BS316,MAX(0.1,N(Cockpit!$C$6))),BV316)/BN316,0)*BN316</f>
        <v/>
      </c>
      <c r="AF316" s="56">
        <f>IF(AC316&gt;0,I316/AC316,-1)</f>
        <v/>
      </c>
      <c r="AG316" s="56">
        <f>IF(AND(OR(BR316="L1",BR316="L23"),AC316&gt;0),SUMIFS($AC$7:$AC$1570,$BR$7:$BR$1570,BR316,$AF$7:$AF$1570,"&gt;"&amp;AF316)+SUMIFS($AC$7:$AC$1570,$BR$7:$BR$1570,BR316,$AF$7:$AF$1570,AF316,$BL$7:$BL$1570,"&lt;="&amp;BL316),"")</f>
        <v/>
      </c>
      <c r="AH316" s="65">
        <f>IF(AG316="",0,MAX(0,MIN(1,(IF(BR316="L1",Parameter!$K$5,Parameter!$K$6+Parameter!$K$7)-(AG316-AC316))/AC316)))</f>
        <v/>
      </c>
      <c r="AI316" s="55">
        <f>IF(LEFT(Cockpit!$I$5,1)="A",G316,IF(BT316=1,BU316,IF(LEFT(Cockpit!$I$5,1)="B",AM316,MAX(AM316,G316))))</f>
        <v/>
      </c>
      <c r="AJ316" s="55">
        <f>IF(BO316=1,0,ROUNDUP(AI316/BN316,0))</f>
        <v/>
      </c>
      <c r="AK316" s="64">
        <f>IF(BO316=1,IF(AI316&lt;=0,0,BP316*MAX(1,IF(G316&gt;0,AI316/G316,1))),AJ316*Q316)</f>
        <v/>
      </c>
      <c r="AL316" s="55">
        <f>AI316*F316</f>
        <v/>
      </c>
      <c r="AM316" s="55">
        <f>ROUNDUP(MAX(I316/IF(BS316&gt;0,BS316,MAX(0.1,N(Cockpit!$I$6))),BV316)/BN316,0)*BN316</f>
        <v/>
      </c>
      <c r="AN316" s="56">
        <f>IF(AK316&gt;0,I316/AK316,-1)</f>
        <v/>
      </c>
      <c r="AO316" s="56">
        <f>IF(AND(OR(BR316="L1",BR316="L23"),AK316&gt;0),SUMIFS($AK$7:$AK$1570,$BR$7:$BR$1570,BR316,$AN$7:$AN$1570,"&gt;"&amp;AN316)+SUMIFS($AK$7:$AK$1570,$BR$7:$BR$1570,BR316,$AN$7:$AN$1570,AN316,$BL$7:$BL$1570,"&lt;="&amp;BL316),"")</f>
        <v/>
      </c>
      <c r="AP316" s="65">
        <f>IF(AO316="",0,MAX(0,MIN(1,(IF(BR316="L1",Parameter!$K$5,Parameter!$K$6+Parameter!$K$7)-(AO316-AK316))/AK316)))</f>
        <v/>
      </c>
      <c r="AQ316" s="55">
        <f>IF(LEFT(Cockpit!$O$5,1)="A",G316,IF(BT316=1,BU316,IF(LEFT(Cockpit!$O$5,1)="B",AU316,MAX(AU316,G316))))</f>
        <v/>
      </c>
      <c r="AR316" s="55">
        <f>IF(BO316=1,0,ROUNDUP(AQ316/BN316,0))</f>
        <v/>
      </c>
      <c r="AS316" s="64">
        <f>IF(BO316=1,IF(AQ316&lt;=0,0,BP316*MAX(1,IF(G316&gt;0,AQ316/G316,1))),AR316*Q316)</f>
        <v/>
      </c>
      <c r="AT316" s="55">
        <f>AQ316*F316</f>
        <v/>
      </c>
      <c r="AU316" s="55">
        <f>ROUNDUP(MAX(I316/IF(BS316&gt;0,BS316,MAX(0.1,N(Cockpit!$O$6))),BV316)/BN316,0)*BN316</f>
        <v/>
      </c>
      <c r="AV316" s="56">
        <f>IF(AS316&gt;0,I316/AS316,-1)</f>
        <v/>
      </c>
      <c r="AW316" s="56">
        <f>IF(AND(OR(BR316="L1",BR316="L23"),AS316&gt;0),SUMIFS($AS$7:$AS$1570,$BR$7:$BR$1570,BR316,$AV$7:$AV$1570,"&gt;"&amp;AV316)+SUMIFS($AS$7:$AS$1570,$BR$7:$BR$1570,BR316,$AV$7:$AV$1570,AV316,$BL$7:$BL$1570,"&lt;="&amp;BL316),"")</f>
        <v/>
      </c>
      <c r="AX316" s="65">
        <f>IF(AW316="",0,MAX(0,MIN(1,(IF(BR316="L1",Parameter!$K$5,Parameter!$K$6+Parameter!$K$7)-(AW316-AS316))/AS316)))</f>
        <v/>
      </c>
      <c r="AY316" s="53">
        <f>IF(AC316&lt;=0,"",IF(BR316="Aussen","Aussenlager",IF(BR316="-","Nicht im Lift",IF(AH316&gt;=1,"Lift",IF(AH316&lt;=0,"Aussenlager","teilweise")))))</f>
        <v/>
      </c>
      <c r="AZ316" s="53">
        <f>IF(AK316&lt;=0,"",IF(BR316="Aussen","Aussenlager",IF(BR316="-","Nicht im Lift",IF(AP316&gt;=1,"Lift",IF(AP316&lt;=0,"Aussenlager","teilweise")))))</f>
        <v/>
      </c>
      <c r="BA316" s="53">
        <f>IF(AS316&lt;=0,"",IF(BR316="Aussen","Aussenlager",IF(BR316="-","Nicht im Lift",IF(AX316&gt;=1,"Lift",IF(AX316&lt;=0,"Aussenlager","teilweise")))))</f>
        <v/>
      </c>
      <c r="BB316" s="53">
        <f>IF(A316="","",IF(BK316=1,"Neu; ","")&amp;IF(AND(BK316=0,BF316&lt;0),"negativer Bestand (Export "&amp;BF316&amp;"); ","")&amp;IF(I316&lt;=0,"Kein Verbrauch; ","")&amp;IF(BO316=1,"Lose – Fläche geschätzt; ","")&amp;IF(G316&gt;AM316,"Überbestand "&amp;ROUND(G316-AM316,0)&amp;" Stk / CHF "&amp;ROUND((G316-AM316)*F316,0)&amp;"; ","")&amp;IF(AND(BT316=1,BU316&lt;BV316),"MAX &lt; MB+LG; ","")&amp;IF(AND(BZ316&gt;0,BY316*10&gt;BZ316),"zu hoch für Tablar; ","")&amp;IF(AND(BK316=0,OR(BT316=1,V316&lt;&gt;"",S316&lt;&gt;"",T316&lt;&gt;"",W316&lt;&gt;"")),"manuell übersteuert; ","")&amp;IF(AND(BO316=0,Q316=0),"Gebinde unbekannt; ","")&amp;IF(AND(BO316=0,N(T316)&lt;=0,N(P316)&lt;=0),"Menge pro Gebinde fehlt (Ist = 1 Gebinde); ","")&amp;BJ316)</f>
        <v/>
      </c>
      <c r="BC316" s="53" t="n"/>
      <c r="BD316" s="53" t="n"/>
      <c r="BE316" s="61" t="n"/>
      <c r="BF316" s="55" t="n">
        <v>25</v>
      </c>
      <c r="BG316" s="55" t="n">
        <v>0</v>
      </c>
      <c r="BH316" s="54" t="n">
        <v>246.5</v>
      </c>
      <c r="BI316" s="55" t="n">
        <v>0</v>
      </c>
      <c r="BJ316" s="53" t="inlineStr"/>
      <c r="BK316" s="58" t="n">
        <v>0</v>
      </c>
      <c r="BL316" s="58" t="n">
        <v>316</v>
      </c>
      <c r="BM316" s="53">
        <f>IF(S316&lt;&gt;"",UPPER(TRIM(S316)),IF(O316="","LOSE",O316))</f>
        <v/>
      </c>
      <c r="BN316" s="55">
        <f>IF(BM316="LOSE",1,IF(N(T316)&gt;0,T316,IF(N(P316)&gt;0,P316,MAX(1,G316))))</f>
        <v/>
      </c>
      <c r="BO316" s="58">
        <f>IF(BM316="LOSE",1,0)</f>
        <v/>
      </c>
      <c r="BP316" s="64">
        <f>IF(BO316=0,0,IF(N(R316)&gt;0,R316,IFERROR(VLOOKUP(D316,Parameter!$A$35:$C$64,3,0)+0,0)))</f>
        <v/>
      </c>
      <c r="BQ316" s="53">
        <f>IF(V316&lt;&gt;"",V316,U316)</f>
        <v/>
      </c>
      <c r="BR316" s="53">
        <f>IF(BQ316=1,"L1",IF(OR(BQ316=2,BQ316=3),"L23",IF(BQ316="Aussen","Aussen","-")))</f>
        <v/>
      </c>
      <c r="BS316" s="66">
        <f>IF(N(W316)&gt;0,W316,0)</f>
        <v/>
      </c>
      <c r="BT316" s="58">
        <f>IF(ISNUMBER(Z316),1,0)</f>
        <v/>
      </c>
      <c r="BU316" s="55">
        <f>N(Z316)</f>
        <v/>
      </c>
      <c r="BV316" s="55">
        <f>N(L316)+N(M316)</f>
        <v/>
      </c>
      <c r="BW316" s="55">
        <f>ROUNDUP(G316/BN316,0)</f>
        <v/>
      </c>
      <c r="BX316" s="55">
        <f>ROUNDUP(BU316/BN316,0)</f>
        <v/>
      </c>
      <c r="BY316" s="58">
        <f>IF(BO316=1,0,IFERROR(VLOOKUP(BM316,'Gebinde-Kategorie'!$A$5:$G$45,5,0)+0,0))</f>
        <v/>
      </c>
      <c r="BZ316" s="58">
        <f>IFERROR(IF(OR(BQ316=1,BQ316=2,BQ316=3),N(INDEX(Parameter!$I$5:$I$7,BQ316)),0),0)</f>
        <v/>
      </c>
    </row>
    <row r="317">
      <c r="A317" s="53" t="inlineStr">
        <is>
          <t>110873</t>
        </is>
      </c>
      <c r="B317" s="53" t="inlineStr">
        <is>
          <t>Schlauch</t>
        </is>
      </c>
      <c r="C317" s="53" t="inlineStr">
        <is>
          <t>F</t>
        </is>
      </c>
      <c r="D317" s="53" t="inlineStr">
        <is>
          <t>KTL</t>
        </is>
      </c>
      <c r="E317" s="53" t="inlineStr">
        <is>
          <t>C</t>
        </is>
      </c>
      <c r="F317" s="54" t="n">
        <v>81.98</v>
      </c>
      <c r="G317" s="55">
        <f>MAX(0,IF(Parameter!$B$20="Jahresanfang 2025 + Export",BG317+BF317,BF317))</f>
        <v/>
      </c>
      <c r="H317" s="55">
        <f>G317*F317</f>
        <v/>
      </c>
      <c r="I317" s="55">
        <f>BI317*Parameter!$B$18</f>
        <v/>
      </c>
      <c r="J317" s="56" t="n">
        <v>3</v>
      </c>
      <c r="K317" s="57" t="n">
        <v>1.333333333333333</v>
      </c>
      <c r="L317" s="55" t="n">
        <v>0</v>
      </c>
      <c r="M317" s="55" t="n">
        <v>5</v>
      </c>
      <c r="N317" s="58" t="n">
        <v>14</v>
      </c>
      <c r="O317" s="53" t="inlineStr">
        <is>
          <t>S51</t>
        </is>
      </c>
      <c r="P317" s="55" t="n">
        <v>3</v>
      </c>
      <c r="Q317" s="59">
        <f>IF(BO317=1,0,IFERROR(VLOOKUP(BM317,'Gebinde-Kategorie'!$A$5:$G$45,6,0)+0,0))</f>
        <v/>
      </c>
      <c r="R317" s="60" t="n"/>
      <c r="S317" s="61" t="n"/>
      <c r="T317" s="61" t="n"/>
      <c r="U317" s="53">
        <f>IF(A317="","",IF(IFERROR(VLOOKUP(D317,Parameter!$A$35:$C$64,2,0),"Nein")="2+3",IF(ISNUMBER(SEARCH("grosser Artikel",BJ317)),2,IFERROR(VLOOKUP(BM317,Parameter!$F$35:$G$64,2,0),2)),IF(OR(IFERROR(VLOOKUP(D317,Parameter!$A$35:$C$64,2,0),"Nein")="Nein",IFERROR(VLOOKUP(D317,Parameter!$A$35:$C$64,2,0),"Nein")=""),"-",VLOOKUP(D317,Parameter!$A$35:$C$64,2,0))))</f>
        <v/>
      </c>
      <c r="V317" s="61" t="n"/>
      <c r="W317" s="62" t="n"/>
      <c r="X317" s="55">
        <f>AM317</f>
        <v/>
      </c>
      <c r="Y317" s="55">
        <f>MAX(AM317,G317)</f>
        <v/>
      </c>
      <c r="Z317" s="63" t="n"/>
      <c r="AA317" s="55">
        <f>IF(LEFT(Cockpit!$C$5,1)="A",G317,IF(BT317=1,BU317,IF(LEFT(Cockpit!$C$5,1)="B",AE317,MAX(AE317,G317))))</f>
        <v/>
      </c>
      <c r="AB317" s="55">
        <f>IF(BO317=1,0,ROUNDUP(AA317/BN317,0))</f>
        <v/>
      </c>
      <c r="AC317" s="64">
        <f>IF(BO317=1,IF(AA317&lt;=0,0,BP317*MAX(1,IF(G317&gt;0,AA317/G317,1))),AB317*Q317)</f>
        <v/>
      </c>
      <c r="AD317" s="55">
        <f>AA317*F317</f>
        <v/>
      </c>
      <c r="AE317" s="55">
        <f>ROUNDUP(MAX(I317/IF(BS317&gt;0,BS317,MAX(0.1,N(Cockpit!$C$6))),BV317)/BN317,0)*BN317</f>
        <v/>
      </c>
      <c r="AF317" s="56">
        <f>IF(AC317&gt;0,I317/AC317,-1)</f>
        <v/>
      </c>
      <c r="AG317" s="56">
        <f>IF(AND(OR(BR317="L1",BR317="L23"),AC317&gt;0),SUMIFS($AC$7:$AC$1570,$BR$7:$BR$1570,BR317,$AF$7:$AF$1570,"&gt;"&amp;AF317)+SUMIFS($AC$7:$AC$1570,$BR$7:$BR$1570,BR317,$AF$7:$AF$1570,AF317,$BL$7:$BL$1570,"&lt;="&amp;BL317),"")</f>
        <v/>
      </c>
      <c r="AH317" s="65">
        <f>IF(AG317="",0,MAX(0,MIN(1,(IF(BR317="L1",Parameter!$K$5,Parameter!$K$6+Parameter!$K$7)-(AG317-AC317))/AC317)))</f>
        <v/>
      </c>
      <c r="AI317" s="55">
        <f>IF(LEFT(Cockpit!$I$5,1)="A",G317,IF(BT317=1,BU317,IF(LEFT(Cockpit!$I$5,1)="B",AM317,MAX(AM317,G317))))</f>
        <v/>
      </c>
      <c r="AJ317" s="55">
        <f>IF(BO317=1,0,ROUNDUP(AI317/BN317,0))</f>
        <v/>
      </c>
      <c r="AK317" s="64">
        <f>IF(BO317=1,IF(AI317&lt;=0,0,BP317*MAX(1,IF(G317&gt;0,AI317/G317,1))),AJ317*Q317)</f>
        <v/>
      </c>
      <c r="AL317" s="55">
        <f>AI317*F317</f>
        <v/>
      </c>
      <c r="AM317" s="55">
        <f>ROUNDUP(MAX(I317/IF(BS317&gt;0,BS317,MAX(0.1,N(Cockpit!$I$6))),BV317)/BN317,0)*BN317</f>
        <v/>
      </c>
      <c r="AN317" s="56">
        <f>IF(AK317&gt;0,I317/AK317,-1)</f>
        <v/>
      </c>
      <c r="AO317" s="56">
        <f>IF(AND(OR(BR317="L1",BR317="L23"),AK317&gt;0),SUMIFS($AK$7:$AK$1570,$BR$7:$BR$1570,BR317,$AN$7:$AN$1570,"&gt;"&amp;AN317)+SUMIFS($AK$7:$AK$1570,$BR$7:$BR$1570,BR317,$AN$7:$AN$1570,AN317,$BL$7:$BL$1570,"&lt;="&amp;BL317),"")</f>
        <v/>
      </c>
      <c r="AP317" s="65">
        <f>IF(AO317="",0,MAX(0,MIN(1,(IF(BR317="L1",Parameter!$K$5,Parameter!$K$6+Parameter!$K$7)-(AO317-AK317))/AK317)))</f>
        <v/>
      </c>
      <c r="AQ317" s="55">
        <f>IF(LEFT(Cockpit!$O$5,1)="A",G317,IF(BT317=1,BU317,IF(LEFT(Cockpit!$O$5,1)="B",AU317,MAX(AU317,G317))))</f>
        <v/>
      </c>
      <c r="AR317" s="55">
        <f>IF(BO317=1,0,ROUNDUP(AQ317/BN317,0))</f>
        <v/>
      </c>
      <c r="AS317" s="64">
        <f>IF(BO317=1,IF(AQ317&lt;=0,0,BP317*MAX(1,IF(G317&gt;0,AQ317/G317,1))),AR317*Q317)</f>
        <v/>
      </c>
      <c r="AT317" s="55">
        <f>AQ317*F317</f>
        <v/>
      </c>
      <c r="AU317" s="55">
        <f>ROUNDUP(MAX(I317/IF(BS317&gt;0,BS317,MAX(0.1,N(Cockpit!$O$6))),BV317)/BN317,0)*BN317</f>
        <v/>
      </c>
      <c r="AV317" s="56">
        <f>IF(AS317&gt;0,I317/AS317,-1)</f>
        <v/>
      </c>
      <c r="AW317" s="56">
        <f>IF(AND(OR(BR317="L1",BR317="L23"),AS317&gt;0),SUMIFS($AS$7:$AS$1570,$BR$7:$BR$1570,BR317,$AV$7:$AV$1570,"&gt;"&amp;AV317)+SUMIFS($AS$7:$AS$1570,$BR$7:$BR$1570,BR317,$AV$7:$AV$1570,AV317,$BL$7:$BL$1570,"&lt;="&amp;BL317),"")</f>
        <v/>
      </c>
      <c r="AX317" s="65">
        <f>IF(AW317="",0,MAX(0,MIN(1,(IF(BR317="L1",Parameter!$K$5,Parameter!$K$6+Parameter!$K$7)-(AW317-AS317))/AS317)))</f>
        <v/>
      </c>
      <c r="AY317" s="53">
        <f>IF(AC317&lt;=0,"",IF(BR317="Aussen","Aussenlager",IF(BR317="-","Nicht im Lift",IF(AH317&gt;=1,"Lift",IF(AH317&lt;=0,"Aussenlager","teilweise")))))</f>
        <v/>
      </c>
      <c r="AZ317" s="53">
        <f>IF(AK317&lt;=0,"",IF(BR317="Aussen","Aussenlager",IF(BR317="-","Nicht im Lift",IF(AP317&gt;=1,"Lift",IF(AP317&lt;=0,"Aussenlager","teilweise")))))</f>
        <v/>
      </c>
      <c r="BA317" s="53">
        <f>IF(AS317&lt;=0,"",IF(BR317="Aussen","Aussenlager",IF(BR317="-","Nicht im Lift",IF(AX317&gt;=1,"Lift",IF(AX317&lt;=0,"Aussenlager","teilweise")))))</f>
        <v/>
      </c>
      <c r="BB317" s="53">
        <f>IF(A317="","",IF(BK317=1,"Neu; ","")&amp;IF(AND(BK317=0,BF317&lt;0),"negativer Bestand (Export "&amp;BF317&amp;"); ","")&amp;IF(I317&lt;=0,"Kein Verbrauch; ","")&amp;IF(BO317=1,"Lose – Fläche geschätzt; ","")&amp;IF(G317&gt;AM317,"Überbestand "&amp;ROUND(G317-AM317,0)&amp;" Stk / CHF "&amp;ROUND((G317-AM317)*F317,0)&amp;"; ","")&amp;IF(AND(BT317=1,BU317&lt;BV317),"MAX &lt; MB+LG; ","")&amp;IF(AND(BZ317&gt;0,BY317*10&gt;BZ317),"zu hoch für Tablar; ","")&amp;IF(AND(BK317=0,OR(BT317=1,V317&lt;&gt;"",S317&lt;&gt;"",T317&lt;&gt;"",W317&lt;&gt;"")),"manuell übersteuert; ","")&amp;IF(AND(BO317=0,Q317=0),"Gebinde unbekannt; ","")&amp;IF(AND(BO317=0,N(T317)&lt;=0,N(P317)&lt;=0),"Menge pro Gebinde fehlt (Ist = 1 Gebinde); ","")&amp;BJ317)</f>
        <v/>
      </c>
      <c r="BC317" s="53" t="n"/>
      <c r="BD317" s="53" t="n"/>
      <c r="BE317" s="61" t="n"/>
      <c r="BF317" s="55" t="n">
        <v>3</v>
      </c>
      <c r="BG317" s="55" t="n">
        <v>0</v>
      </c>
      <c r="BH317" s="54" t="n">
        <v>245.9400000000002</v>
      </c>
      <c r="BI317" s="55" t="n">
        <v>4</v>
      </c>
      <c r="BJ317" s="53" t="inlineStr"/>
      <c r="BK317" s="58" t="n">
        <v>0</v>
      </c>
      <c r="BL317" s="58" t="n">
        <v>317</v>
      </c>
      <c r="BM317" s="53">
        <f>IF(S317&lt;&gt;"",UPPER(TRIM(S317)),IF(O317="","LOSE",O317))</f>
        <v/>
      </c>
      <c r="BN317" s="55">
        <f>IF(BM317="LOSE",1,IF(N(T317)&gt;0,T317,IF(N(P317)&gt;0,P317,MAX(1,G317))))</f>
        <v/>
      </c>
      <c r="BO317" s="58">
        <f>IF(BM317="LOSE",1,0)</f>
        <v/>
      </c>
      <c r="BP317" s="64">
        <f>IF(BO317=0,0,IF(N(R317)&gt;0,R317,IFERROR(VLOOKUP(D317,Parameter!$A$35:$C$64,3,0)+0,0)))</f>
        <v/>
      </c>
      <c r="BQ317" s="53">
        <f>IF(V317&lt;&gt;"",V317,U317)</f>
        <v/>
      </c>
      <c r="BR317" s="53">
        <f>IF(BQ317=1,"L1",IF(OR(BQ317=2,BQ317=3),"L23",IF(BQ317="Aussen","Aussen","-")))</f>
        <v/>
      </c>
      <c r="BS317" s="66">
        <f>IF(N(W317)&gt;0,W317,0)</f>
        <v/>
      </c>
      <c r="BT317" s="58">
        <f>IF(ISNUMBER(Z317),1,0)</f>
        <v/>
      </c>
      <c r="BU317" s="55">
        <f>N(Z317)</f>
        <v/>
      </c>
      <c r="BV317" s="55">
        <f>N(L317)+N(M317)</f>
        <v/>
      </c>
      <c r="BW317" s="55">
        <f>ROUNDUP(G317/BN317,0)</f>
        <v/>
      </c>
      <c r="BX317" s="55">
        <f>ROUNDUP(BU317/BN317,0)</f>
        <v/>
      </c>
      <c r="BY317" s="58">
        <f>IF(BO317=1,0,IFERROR(VLOOKUP(BM317,'Gebinde-Kategorie'!$A$5:$G$45,5,0)+0,0))</f>
        <v/>
      </c>
      <c r="BZ317" s="58">
        <f>IFERROR(IF(OR(BQ317=1,BQ317=2,BQ317=3),N(INDEX(Parameter!$I$5:$I$7,BQ317)),0),0)</f>
        <v/>
      </c>
    </row>
    <row r="318">
      <c r="A318" s="53" t="inlineStr">
        <is>
          <t>111469</t>
        </is>
      </c>
      <c r="B318" s="53" t="inlineStr">
        <is>
          <t>Patch-Panel</t>
        </is>
      </c>
      <c r="C318" s="53" t="inlineStr">
        <is>
          <t>F</t>
        </is>
      </c>
      <c r="D318" s="53" t="inlineStr">
        <is>
          <t>KTL</t>
        </is>
      </c>
      <c r="E318" s="53" t="inlineStr">
        <is>
          <t>C</t>
        </is>
      </c>
      <c r="F318" s="54" t="n">
        <v>40.39</v>
      </c>
      <c r="G318" s="55">
        <f>MAX(0,IF(Parameter!$B$20="Jahresanfang 2025 + Export",BG318+BF318,BF318))</f>
        <v/>
      </c>
      <c r="H318" s="55">
        <f>G318*F318</f>
        <v/>
      </c>
      <c r="I318" s="55">
        <f>BI318*Parameter!$B$18</f>
        <v/>
      </c>
      <c r="J318" s="56" t="n">
        <v>0</v>
      </c>
      <c r="K318" s="57" t="n">
        <v>0</v>
      </c>
      <c r="L318" s="55" t="n">
        <v>0</v>
      </c>
      <c r="M318" s="55" t="n">
        <v>5</v>
      </c>
      <c r="N318" s="58" t="n">
        <v>21</v>
      </c>
      <c r="O318" s="53" t="inlineStr">
        <is>
          <t>S32</t>
        </is>
      </c>
      <c r="P318" s="55" t="n">
        <v>8</v>
      </c>
      <c r="Q318" s="59">
        <f>IF(BO318=1,0,IFERROR(VLOOKUP(BM318,'Gebinde-Kategorie'!$A$5:$G$45,6,0)+0,0))</f>
        <v/>
      </c>
      <c r="R318" s="60" t="n"/>
      <c r="S318" s="61" t="n"/>
      <c r="T318" s="61" t="n"/>
      <c r="U318" s="53">
        <f>IF(A318="","",IF(IFERROR(VLOOKUP(D318,Parameter!$A$35:$C$64,2,0),"Nein")="2+3",IF(ISNUMBER(SEARCH("grosser Artikel",BJ318)),2,IFERROR(VLOOKUP(BM318,Parameter!$F$35:$G$64,2,0),2)),IF(OR(IFERROR(VLOOKUP(D318,Parameter!$A$35:$C$64,2,0),"Nein")="Nein",IFERROR(VLOOKUP(D318,Parameter!$A$35:$C$64,2,0),"Nein")=""),"-",VLOOKUP(D318,Parameter!$A$35:$C$64,2,0))))</f>
        <v/>
      </c>
      <c r="V318" s="61" t="n"/>
      <c r="W318" s="62" t="n"/>
      <c r="X318" s="55">
        <f>AM318</f>
        <v/>
      </c>
      <c r="Y318" s="55">
        <f>MAX(AM318,G318)</f>
        <v/>
      </c>
      <c r="Z318" s="63" t="n"/>
      <c r="AA318" s="55">
        <f>IF(LEFT(Cockpit!$C$5,1)="A",G318,IF(BT318=1,BU318,IF(LEFT(Cockpit!$C$5,1)="B",AE318,MAX(AE318,G318))))</f>
        <v/>
      </c>
      <c r="AB318" s="55">
        <f>IF(BO318=1,0,ROUNDUP(AA318/BN318,0))</f>
        <v/>
      </c>
      <c r="AC318" s="64">
        <f>IF(BO318=1,IF(AA318&lt;=0,0,BP318*MAX(1,IF(G318&gt;0,AA318/G318,1))),AB318*Q318)</f>
        <v/>
      </c>
      <c r="AD318" s="55">
        <f>AA318*F318</f>
        <v/>
      </c>
      <c r="AE318" s="55">
        <f>ROUNDUP(MAX(I318/IF(BS318&gt;0,BS318,MAX(0.1,N(Cockpit!$C$6))),BV318)/BN318,0)*BN318</f>
        <v/>
      </c>
      <c r="AF318" s="56">
        <f>IF(AC318&gt;0,I318/AC318,-1)</f>
        <v/>
      </c>
      <c r="AG318" s="56">
        <f>IF(AND(OR(BR318="L1",BR318="L23"),AC318&gt;0),SUMIFS($AC$7:$AC$1570,$BR$7:$BR$1570,BR318,$AF$7:$AF$1570,"&gt;"&amp;AF318)+SUMIFS($AC$7:$AC$1570,$BR$7:$BR$1570,BR318,$AF$7:$AF$1570,AF318,$BL$7:$BL$1570,"&lt;="&amp;BL318),"")</f>
        <v/>
      </c>
      <c r="AH318" s="65">
        <f>IF(AG318="",0,MAX(0,MIN(1,(IF(BR318="L1",Parameter!$K$5,Parameter!$K$6+Parameter!$K$7)-(AG318-AC318))/AC318)))</f>
        <v/>
      </c>
      <c r="AI318" s="55">
        <f>IF(LEFT(Cockpit!$I$5,1)="A",G318,IF(BT318=1,BU318,IF(LEFT(Cockpit!$I$5,1)="B",AM318,MAX(AM318,G318))))</f>
        <v/>
      </c>
      <c r="AJ318" s="55">
        <f>IF(BO318=1,0,ROUNDUP(AI318/BN318,0))</f>
        <v/>
      </c>
      <c r="AK318" s="64">
        <f>IF(BO318=1,IF(AI318&lt;=0,0,BP318*MAX(1,IF(G318&gt;0,AI318/G318,1))),AJ318*Q318)</f>
        <v/>
      </c>
      <c r="AL318" s="55">
        <f>AI318*F318</f>
        <v/>
      </c>
      <c r="AM318" s="55">
        <f>ROUNDUP(MAX(I318/IF(BS318&gt;0,BS318,MAX(0.1,N(Cockpit!$I$6))),BV318)/BN318,0)*BN318</f>
        <v/>
      </c>
      <c r="AN318" s="56">
        <f>IF(AK318&gt;0,I318/AK318,-1)</f>
        <v/>
      </c>
      <c r="AO318" s="56">
        <f>IF(AND(OR(BR318="L1",BR318="L23"),AK318&gt;0),SUMIFS($AK$7:$AK$1570,$BR$7:$BR$1570,BR318,$AN$7:$AN$1570,"&gt;"&amp;AN318)+SUMIFS($AK$7:$AK$1570,$BR$7:$BR$1570,BR318,$AN$7:$AN$1570,AN318,$BL$7:$BL$1570,"&lt;="&amp;BL318),"")</f>
        <v/>
      </c>
      <c r="AP318" s="65">
        <f>IF(AO318="",0,MAX(0,MIN(1,(IF(BR318="L1",Parameter!$K$5,Parameter!$K$6+Parameter!$K$7)-(AO318-AK318))/AK318)))</f>
        <v/>
      </c>
      <c r="AQ318" s="55">
        <f>IF(LEFT(Cockpit!$O$5,1)="A",G318,IF(BT318=1,BU318,IF(LEFT(Cockpit!$O$5,1)="B",AU318,MAX(AU318,G318))))</f>
        <v/>
      </c>
      <c r="AR318" s="55">
        <f>IF(BO318=1,0,ROUNDUP(AQ318/BN318,0))</f>
        <v/>
      </c>
      <c r="AS318" s="64">
        <f>IF(BO318=1,IF(AQ318&lt;=0,0,BP318*MAX(1,IF(G318&gt;0,AQ318/G318,1))),AR318*Q318)</f>
        <v/>
      </c>
      <c r="AT318" s="55">
        <f>AQ318*F318</f>
        <v/>
      </c>
      <c r="AU318" s="55">
        <f>ROUNDUP(MAX(I318/IF(BS318&gt;0,BS318,MAX(0.1,N(Cockpit!$O$6))),BV318)/BN318,0)*BN318</f>
        <v/>
      </c>
      <c r="AV318" s="56">
        <f>IF(AS318&gt;0,I318/AS318,-1)</f>
        <v/>
      </c>
      <c r="AW318" s="56">
        <f>IF(AND(OR(BR318="L1",BR318="L23"),AS318&gt;0),SUMIFS($AS$7:$AS$1570,$BR$7:$BR$1570,BR318,$AV$7:$AV$1570,"&gt;"&amp;AV318)+SUMIFS($AS$7:$AS$1570,$BR$7:$BR$1570,BR318,$AV$7:$AV$1570,AV318,$BL$7:$BL$1570,"&lt;="&amp;BL318),"")</f>
        <v/>
      </c>
      <c r="AX318" s="65">
        <f>IF(AW318="",0,MAX(0,MIN(1,(IF(BR318="L1",Parameter!$K$5,Parameter!$K$6+Parameter!$K$7)-(AW318-AS318))/AS318)))</f>
        <v/>
      </c>
      <c r="AY318" s="53">
        <f>IF(AC318&lt;=0,"",IF(BR318="Aussen","Aussenlager",IF(BR318="-","Nicht im Lift",IF(AH318&gt;=1,"Lift",IF(AH318&lt;=0,"Aussenlager","teilweise")))))</f>
        <v/>
      </c>
      <c r="AZ318" s="53">
        <f>IF(AK318&lt;=0,"",IF(BR318="Aussen","Aussenlager",IF(BR318="-","Nicht im Lift",IF(AP318&gt;=1,"Lift",IF(AP318&lt;=0,"Aussenlager","teilweise")))))</f>
        <v/>
      </c>
      <c r="BA318" s="53">
        <f>IF(AS318&lt;=0,"",IF(BR318="Aussen","Aussenlager",IF(BR318="-","Nicht im Lift",IF(AX318&gt;=1,"Lift",IF(AX318&lt;=0,"Aussenlager","teilweise")))))</f>
        <v/>
      </c>
      <c r="BB318" s="53">
        <f>IF(A318="","",IF(BK318=1,"Neu; ","")&amp;IF(AND(BK318=0,BF318&lt;0),"negativer Bestand (Export "&amp;BF318&amp;"); ","")&amp;IF(I318&lt;=0,"Kein Verbrauch; ","")&amp;IF(BO318=1,"Lose – Fläche geschätzt; ","")&amp;IF(G318&gt;AM318,"Überbestand "&amp;ROUND(G318-AM318,0)&amp;" Stk / CHF "&amp;ROUND((G318-AM318)*F318,0)&amp;"; ","")&amp;IF(AND(BT318=1,BU318&lt;BV318),"MAX &lt; MB+LG; ","")&amp;IF(AND(BZ318&gt;0,BY318*10&gt;BZ318),"zu hoch für Tablar; ","")&amp;IF(AND(BK318=0,OR(BT318=1,V318&lt;&gt;"",S318&lt;&gt;"",T318&lt;&gt;"",W318&lt;&gt;"")),"manuell übersteuert; ","")&amp;IF(AND(BO318=0,Q318=0),"Gebinde unbekannt; ","")&amp;IF(AND(BO318=0,N(T318)&lt;=0,N(P318)&lt;=0),"Menge pro Gebinde fehlt (Ist = 1 Gebinde); ","")&amp;BJ318)</f>
        <v/>
      </c>
      <c r="BC318" s="53" t="n"/>
      <c r="BD318" s="53" t="n"/>
      <c r="BE318" s="61" t="n"/>
      <c r="BF318" s="55" t="n">
        <v>6</v>
      </c>
      <c r="BG318" s="55" t="n">
        <v>0</v>
      </c>
      <c r="BH318" s="54" t="n">
        <v>242.3400000000001</v>
      </c>
      <c r="BI318" s="55" t="n">
        <v>0</v>
      </c>
      <c r="BJ318" s="53" t="inlineStr"/>
      <c r="BK318" s="58" t="n">
        <v>0</v>
      </c>
      <c r="BL318" s="58" t="n">
        <v>318</v>
      </c>
      <c r="BM318" s="53">
        <f>IF(S318&lt;&gt;"",UPPER(TRIM(S318)),IF(O318="","LOSE",O318))</f>
        <v/>
      </c>
      <c r="BN318" s="55">
        <f>IF(BM318="LOSE",1,IF(N(T318)&gt;0,T318,IF(N(P318)&gt;0,P318,MAX(1,G318))))</f>
        <v/>
      </c>
      <c r="BO318" s="58">
        <f>IF(BM318="LOSE",1,0)</f>
        <v/>
      </c>
      <c r="BP318" s="64">
        <f>IF(BO318=0,0,IF(N(R318)&gt;0,R318,IFERROR(VLOOKUP(D318,Parameter!$A$35:$C$64,3,0)+0,0)))</f>
        <v/>
      </c>
      <c r="BQ318" s="53">
        <f>IF(V318&lt;&gt;"",V318,U318)</f>
        <v/>
      </c>
      <c r="BR318" s="53">
        <f>IF(BQ318=1,"L1",IF(OR(BQ318=2,BQ318=3),"L23",IF(BQ318="Aussen","Aussen","-")))</f>
        <v/>
      </c>
      <c r="BS318" s="66">
        <f>IF(N(W318)&gt;0,W318,0)</f>
        <v/>
      </c>
      <c r="BT318" s="58">
        <f>IF(ISNUMBER(Z318),1,0)</f>
        <v/>
      </c>
      <c r="BU318" s="55">
        <f>N(Z318)</f>
        <v/>
      </c>
      <c r="BV318" s="55">
        <f>N(L318)+N(M318)</f>
        <v/>
      </c>
      <c r="BW318" s="55">
        <f>ROUNDUP(G318/BN318,0)</f>
        <v/>
      </c>
      <c r="BX318" s="55">
        <f>ROUNDUP(BU318/BN318,0)</f>
        <v/>
      </c>
      <c r="BY318" s="58">
        <f>IF(BO318=1,0,IFERROR(VLOOKUP(BM318,'Gebinde-Kategorie'!$A$5:$G$45,5,0)+0,0))</f>
        <v/>
      </c>
      <c r="BZ318" s="58">
        <f>IFERROR(IF(OR(BQ318=1,BQ318=2,BQ318=3),N(INDEX(Parameter!$I$5:$I$7,BQ318)),0),0)</f>
        <v/>
      </c>
    </row>
    <row r="319">
      <c r="A319" s="53" t="inlineStr">
        <is>
          <t>106957</t>
        </is>
      </c>
      <c r="B319" s="53" t="inlineStr">
        <is>
          <t>Einspeisemodul für X2X Link</t>
        </is>
      </c>
      <c r="C319" s="53" t="inlineStr">
        <is>
          <t>F</t>
        </is>
      </c>
      <c r="D319" s="53" t="inlineStr">
        <is>
          <t>KTL</t>
        </is>
      </c>
      <c r="E319" s="53" t="inlineStr">
        <is>
          <t>C</t>
        </is>
      </c>
      <c r="F319" s="54" t="n">
        <v>34.48</v>
      </c>
      <c r="G319" s="55">
        <f>MAX(0,IF(Parameter!$B$20="Jahresanfang 2025 + Export",BG319+BF319,BF319))</f>
        <v/>
      </c>
      <c r="H319" s="55">
        <f>G319*F319</f>
        <v/>
      </c>
      <c r="I319" s="55">
        <f>BI319*Parameter!$B$18</f>
        <v/>
      </c>
      <c r="J319" s="56" t="n">
        <v>48.5</v>
      </c>
      <c r="K319" s="57" t="n">
        <v>0.08247422680412371</v>
      </c>
      <c r="L319" s="55" t="n">
        <v>0</v>
      </c>
      <c r="M319" s="55" t="n">
        <v>5</v>
      </c>
      <c r="N319" s="58" t="n">
        <v>49</v>
      </c>
      <c r="O319" s="53" t="inlineStr">
        <is>
          <t>S51</t>
        </is>
      </c>
      <c r="P319" s="55" t="n">
        <v>55</v>
      </c>
      <c r="Q319" s="59">
        <f>IF(BO319=1,0,IFERROR(VLOOKUP(BM319,'Gebinde-Kategorie'!$A$5:$G$45,6,0)+0,0))</f>
        <v/>
      </c>
      <c r="R319" s="60" t="n"/>
      <c r="S319" s="61" t="n"/>
      <c r="T319" s="61" t="n"/>
      <c r="U319" s="53">
        <f>IF(A319="","",IF(IFERROR(VLOOKUP(D319,Parameter!$A$35:$C$64,2,0),"Nein")="2+3",IF(ISNUMBER(SEARCH("grosser Artikel",BJ319)),2,IFERROR(VLOOKUP(BM319,Parameter!$F$35:$G$64,2,0),2)),IF(OR(IFERROR(VLOOKUP(D319,Parameter!$A$35:$C$64,2,0),"Nein")="Nein",IFERROR(VLOOKUP(D319,Parameter!$A$35:$C$64,2,0),"Nein")=""),"-",VLOOKUP(D319,Parameter!$A$35:$C$64,2,0))))</f>
        <v/>
      </c>
      <c r="V319" s="61" t="n"/>
      <c r="W319" s="62" t="n"/>
      <c r="X319" s="55">
        <f>AM319</f>
        <v/>
      </c>
      <c r="Y319" s="55">
        <f>MAX(AM319,G319)</f>
        <v/>
      </c>
      <c r="Z319" s="63" t="n"/>
      <c r="AA319" s="55">
        <f>IF(LEFT(Cockpit!$C$5,1)="A",G319,IF(BT319=1,BU319,IF(LEFT(Cockpit!$C$5,1)="B",AE319,MAX(AE319,G319))))</f>
        <v/>
      </c>
      <c r="AB319" s="55">
        <f>IF(BO319=1,0,ROUNDUP(AA319/BN319,0))</f>
        <v/>
      </c>
      <c r="AC319" s="64">
        <f>IF(BO319=1,IF(AA319&lt;=0,0,BP319*MAX(1,IF(G319&gt;0,AA319/G319,1))),AB319*Q319)</f>
        <v/>
      </c>
      <c r="AD319" s="55">
        <f>AA319*F319</f>
        <v/>
      </c>
      <c r="AE319" s="55">
        <f>ROUNDUP(MAX(I319/IF(BS319&gt;0,BS319,MAX(0.1,N(Cockpit!$C$6))),BV319)/BN319,0)*BN319</f>
        <v/>
      </c>
      <c r="AF319" s="56">
        <f>IF(AC319&gt;0,I319/AC319,-1)</f>
        <v/>
      </c>
      <c r="AG319" s="56">
        <f>IF(AND(OR(BR319="L1",BR319="L23"),AC319&gt;0),SUMIFS($AC$7:$AC$1570,$BR$7:$BR$1570,BR319,$AF$7:$AF$1570,"&gt;"&amp;AF319)+SUMIFS($AC$7:$AC$1570,$BR$7:$BR$1570,BR319,$AF$7:$AF$1570,AF319,$BL$7:$BL$1570,"&lt;="&amp;BL319),"")</f>
        <v/>
      </c>
      <c r="AH319" s="65">
        <f>IF(AG319="",0,MAX(0,MIN(1,(IF(BR319="L1",Parameter!$K$5,Parameter!$K$6+Parameter!$K$7)-(AG319-AC319))/AC319)))</f>
        <v/>
      </c>
      <c r="AI319" s="55">
        <f>IF(LEFT(Cockpit!$I$5,1)="A",G319,IF(BT319=1,BU319,IF(LEFT(Cockpit!$I$5,1)="B",AM319,MAX(AM319,G319))))</f>
        <v/>
      </c>
      <c r="AJ319" s="55">
        <f>IF(BO319=1,0,ROUNDUP(AI319/BN319,0))</f>
        <v/>
      </c>
      <c r="AK319" s="64">
        <f>IF(BO319=1,IF(AI319&lt;=0,0,BP319*MAX(1,IF(G319&gt;0,AI319/G319,1))),AJ319*Q319)</f>
        <v/>
      </c>
      <c r="AL319" s="55">
        <f>AI319*F319</f>
        <v/>
      </c>
      <c r="AM319" s="55">
        <f>ROUNDUP(MAX(I319/IF(BS319&gt;0,BS319,MAX(0.1,N(Cockpit!$I$6))),BV319)/BN319,0)*BN319</f>
        <v/>
      </c>
      <c r="AN319" s="56">
        <f>IF(AK319&gt;0,I319/AK319,-1)</f>
        <v/>
      </c>
      <c r="AO319" s="56">
        <f>IF(AND(OR(BR319="L1",BR319="L23"),AK319&gt;0),SUMIFS($AK$7:$AK$1570,$BR$7:$BR$1570,BR319,$AN$7:$AN$1570,"&gt;"&amp;AN319)+SUMIFS($AK$7:$AK$1570,$BR$7:$BR$1570,BR319,$AN$7:$AN$1570,AN319,$BL$7:$BL$1570,"&lt;="&amp;BL319),"")</f>
        <v/>
      </c>
      <c r="AP319" s="65">
        <f>IF(AO319="",0,MAX(0,MIN(1,(IF(BR319="L1",Parameter!$K$5,Parameter!$K$6+Parameter!$K$7)-(AO319-AK319))/AK319)))</f>
        <v/>
      </c>
      <c r="AQ319" s="55">
        <f>IF(LEFT(Cockpit!$O$5,1)="A",G319,IF(BT319=1,BU319,IF(LEFT(Cockpit!$O$5,1)="B",AU319,MAX(AU319,G319))))</f>
        <v/>
      </c>
      <c r="AR319" s="55">
        <f>IF(BO319=1,0,ROUNDUP(AQ319/BN319,0))</f>
        <v/>
      </c>
      <c r="AS319" s="64">
        <f>IF(BO319=1,IF(AQ319&lt;=0,0,BP319*MAX(1,IF(G319&gt;0,AQ319/G319,1))),AR319*Q319)</f>
        <v/>
      </c>
      <c r="AT319" s="55">
        <f>AQ319*F319</f>
        <v/>
      </c>
      <c r="AU319" s="55">
        <f>ROUNDUP(MAX(I319/IF(BS319&gt;0,BS319,MAX(0.1,N(Cockpit!$O$6))),BV319)/BN319,0)*BN319</f>
        <v/>
      </c>
      <c r="AV319" s="56">
        <f>IF(AS319&gt;0,I319/AS319,-1)</f>
        <v/>
      </c>
      <c r="AW319" s="56">
        <f>IF(AND(OR(BR319="L1",BR319="L23"),AS319&gt;0),SUMIFS($AS$7:$AS$1570,$BR$7:$BR$1570,BR319,$AV$7:$AV$1570,"&gt;"&amp;AV319)+SUMIFS($AS$7:$AS$1570,$BR$7:$BR$1570,BR319,$AV$7:$AV$1570,AV319,$BL$7:$BL$1570,"&lt;="&amp;BL319),"")</f>
        <v/>
      </c>
      <c r="AX319" s="65">
        <f>IF(AW319="",0,MAX(0,MIN(1,(IF(BR319="L1",Parameter!$K$5,Parameter!$K$6+Parameter!$K$7)-(AW319-AS319))/AS319)))</f>
        <v/>
      </c>
      <c r="AY319" s="53">
        <f>IF(AC319&lt;=0,"",IF(BR319="Aussen","Aussenlager",IF(BR319="-","Nicht im Lift",IF(AH319&gt;=1,"Lift",IF(AH319&lt;=0,"Aussenlager","teilweise")))))</f>
        <v/>
      </c>
      <c r="AZ319" s="53">
        <f>IF(AK319&lt;=0,"",IF(BR319="Aussen","Aussenlager",IF(BR319="-","Nicht im Lift",IF(AP319&gt;=1,"Lift",IF(AP319&lt;=0,"Aussenlager","teilweise")))))</f>
        <v/>
      </c>
      <c r="BA319" s="53">
        <f>IF(AS319&lt;=0,"",IF(BR319="Aussen","Aussenlager",IF(BR319="-","Nicht im Lift",IF(AX319&gt;=1,"Lift",IF(AX319&lt;=0,"Aussenlager","teilweise")))))</f>
        <v/>
      </c>
      <c r="BB319" s="53">
        <f>IF(A319="","",IF(BK319=1,"Neu; ","")&amp;IF(AND(BK319=0,BF319&lt;0),"negativer Bestand (Export "&amp;BF319&amp;"); ","")&amp;IF(I319&lt;=0,"Kein Verbrauch; ","")&amp;IF(BO319=1,"Lose – Fläche geschätzt; ","")&amp;IF(G319&gt;AM319,"Überbestand "&amp;ROUND(G319-AM319,0)&amp;" Stk / CHF "&amp;ROUND((G319-AM319)*F319,0)&amp;"; ","")&amp;IF(AND(BT319=1,BU319&lt;BV319),"MAX &lt; MB+LG; ","")&amp;IF(AND(BZ319&gt;0,BY319*10&gt;BZ319),"zu hoch für Tablar; ","")&amp;IF(AND(BK319=0,OR(BT319=1,V319&lt;&gt;"",S319&lt;&gt;"",T319&lt;&gt;"",W319&lt;&gt;"")),"manuell übersteuert; ","")&amp;IF(AND(BO319=0,Q319=0),"Gebinde unbekannt; ","")&amp;IF(AND(BO319=0,N(T319)&lt;=0,N(P319)&lt;=0),"Menge pro Gebinde fehlt (Ist = 1 Gebinde); ","")&amp;BJ319)</f>
        <v/>
      </c>
      <c r="BC319" s="53" t="n"/>
      <c r="BD319" s="53" t="n"/>
      <c r="BE319" s="61" t="n"/>
      <c r="BF319" s="55" t="n">
        <v>7</v>
      </c>
      <c r="BG319" s="55" t="n">
        <v>45</v>
      </c>
      <c r="BH319" s="54" t="n">
        <v>241.36</v>
      </c>
      <c r="BI319" s="55" t="n">
        <v>4</v>
      </c>
      <c r="BJ319" s="53" t="inlineStr">
        <is>
          <t>i.o</t>
        </is>
      </c>
      <c r="BK319" s="58" t="n">
        <v>0</v>
      </c>
      <c r="BL319" s="58" t="n">
        <v>319</v>
      </c>
      <c r="BM319" s="53">
        <f>IF(S319&lt;&gt;"",UPPER(TRIM(S319)),IF(O319="","LOSE",O319))</f>
        <v/>
      </c>
      <c r="BN319" s="55">
        <f>IF(BM319="LOSE",1,IF(N(T319)&gt;0,T319,IF(N(P319)&gt;0,P319,MAX(1,G319))))</f>
        <v/>
      </c>
      <c r="BO319" s="58">
        <f>IF(BM319="LOSE",1,0)</f>
        <v/>
      </c>
      <c r="BP319" s="64">
        <f>IF(BO319=0,0,IF(N(R319)&gt;0,R319,IFERROR(VLOOKUP(D319,Parameter!$A$35:$C$64,3,0)+0,0)))</f>
        <v/>
      </c>
      <c r="BQ319" s="53">
        <f>IF(V319&lt;&gt;"",V319,U319)</f>
        <v/>
      </c>
      <c r="BR319" s="53">
        <f>IF(BQ319=1,"L1",IF(OR(BQ319=2,BQ319=3),"L23",IF(BQ319="Aussen","Aussen","-")))</f>
        <v/>
      </c>
      <c r="BS319" s="66">
        <f>IF(N(W319)&gt;0,W319,0)</f>
        <v/>
      </c>
      <c r="BT319" s="58">
        <f>IF(ISNUMBER(Z319),1,0)</f>
        <v/>
      </c>
      <c r="BU319" s="55">
        <f>N(Z319)</f>
        <v/>
      </c>
      <c r="BV319" s="55">
        <f>N(L319)+N(M319)</f>
        <v/>
      </c>
      <c r="BW319" s="55">
        <f>ROUNDUP(G319/BN319,0)</f>
        <v/>
      </c>
      <c r="BX319" s="55">
        <f>ROUNDUP(BU319/BN319,0)</f>
        <v/>
      </c>
      <c r="BY319" s="58">
        <f>IF(BO319=1,0,IFERROR(VLOOKUP(BM319,'Gebinde-Kategorie'!$A$5:$G$45,5,0)+0,0))</f>
        <v/>
      </c>
      <c r="BZ319" s="58">
        <f>IFERROR(IF(OR(BQ319=1,BQ319=2,BQ319=3),N(INDEX(Parameter!$I$5:$I$7,BQ319)),0),0)</f>
        <v/>
      </c>
    </row>
    <row r="320">
      <c r="A320" s="53" t="inlineStr">
        <is>
          <t>106856</t>
        </is>
      </c>
      <c r="B320" s="53" t="inlineStr">
        <is>
          <t>Leiste</t>
        </is>
      </c>
      <c r="C320" s="53" t="inlineStr">
        <is>
          <t>F</t>
        </is>
      </c>
      <c r="D320" s="53" t="inlineStr">
        <is>
          <t>KTL</t>
        </is>
      </c>
      <c r="E320" s="53" t="inlineStr">
        <is>
          <t>C</t>
        </is>
      </c>
      <c r="F320" s="54" t="n">
        <v>32.38</v>
      </c>
      <c r="G320" s="55">
        <f>MAX(0,IF(Parameter!$B$20="Jahresanfang 2025 + Export",BG320+BF320,BF320))</f>
        <v/>
      </c>
      <c r="H320" s="55">
        <f>G320*F320</f>
        <v/>
      </c>
      <c r="I320" s="55">
        <f>BI320*Parameter!$B$18</f>
        <v/>
      </c>
      <c r="J320" s="56" t="n">
        <v>10</v>
      </c>
      <c r="K320" s="57" t="n">
        <v>1</v>
      </c>
      <c r="L320" s="55" t="n">
        <v>0</v>
      </c>
      <c r="M320" s="55" t="n">
        <v>10</v>
      </c>
      <c r="N320" s="58" t="n">
        <v>28</v>
      </c>
      <c r="O320" s="53" t="inlineStr">
        <is>
          <t>S32</t>
        </is>
      </c>
      <c r="P320" s="55" t="n">
        <v>9</v>
      </c>
      <c r="Q320" s="59">
        <f>IF(BO320=1,0,IFERROR(VLOOKUP(BM320,'Gebinde-Kategorie'!$A$5:$G$45,6,0)+0,0))</f>
        <v/>
      </c>
      <c r="R320" s="60" t="n"/>
      <c r="S320" s="61" t="n"/>
      <c r="T320" s="61" t="n"/>
      <c r="U320" s="53">
        <f>IF(A320="","",IF(IFERROR(VLOOKUP(D320,Parameter!$A$35:$C$64,2,0),"Nein")="2+3",IF(ISNUMBER(SEARCH("grosser Artikel",BJ320)),2,IFERROR(VLOOKUP(BM320,Parameter!$F$35:$G$64,2,0),2)),IF(OR(IFERROR(VLOOKUP(D320,Parameter!$A$35:$C$64,2,0),"Nein")="Nein",IFERROR(VLOOKUP(D320,Parameter!$A$35:$C$64,2,0),"Nein")=""),"-",VLOOKUP(D320,Parameter!$A$35:$C$64,2,0))))</f>
        <v/>
      </c>
      <c r="V320" s="61" t="n"/>
      <c r="W320" s="62" t="n"/>
      <c r="X320" s="55">
        <f>AM320</f>
        <v/>
      </c>
      <c r="Y320" s="55">
        <f>MAX(AM320,G320)</f>
        <v/>
      </c>
      <c r="Z320" s="63" t="n"/>
      <c r="AA320" s="55">
        <f>IF(LEFT(Cockpit!$C$5,1)="A",G320,IF(BT320=1,BU320,IF(LEFT(Cockpit!$C$5,1)="B",AE320,MAX(AE320,G320))))</f>
        <v/>
      </c>
      <c r="AB320" s="55">
        <f>IF(BO320=1,0,ROUNDUP(AA320/BN320,0))</f>
        <v/>
      </c>
      <c r="AC320" s="64">
        <f>IF(BO320=1,IF(AA320&lt;=0,0,BP320*MAX(1,IF(G320&gt;0,AA320/G320,1))),AB320*Q320)</f>
        <v/>
      </c>
      <c r="AD320" s="55">
        <f>AA320*F320</f>
        <v/>
      </c>
      <c r="AE320" s="55">
        <f>ROUNDUP(MAX(I320/IF(BS320&gt;0,BS320,MAX(0.1,N(Cockpit!$C$6))),BV320)/BN320,0)*BN320</f>
        <v/>
      </c>
      <c r="AF320" s="56">
        <f>IF(AC320&gt;0,I320/AC320,-1)</f>
        <v/>
      </c>
      <c r="AG320" s="56">
        <f>IF(AND(OR(BR320="L1",BR320="L23"),AC320&gt;0),SUMIFS($AC$7:$AC$1570,$BR$7:$BR$1570,BR320,$AF$7:$AF$1570,"&gt;"&amp;AF320)+SUMIFS($AC$7:$AC$1570,$BR$7:$BR$1570,BR320,$AF$7:$AF$1570,AF320,$BL$7:$BL$1570,"&lt;="&amp;BL320),"")</f>
        <v/>
      </c>
      <c r="AH320" s="65">
        <f>IF(AG320="",0,MAX(0,MIN(1,(IF(BR320="L1",Parameter!$K$5,Parameter!$K$6+Parameter!$K$7)-(AG320-AC320))/AC320)))</f>
        <v/>
      </c>
      <c r="AI320" s="55">
        <f>IF(LEFT(Cockpit!$I$5,1)="A",G320,IF(BT320=1,BU320,IF(LEFT(Cockpit!$I$5,1)="B",AM320,MAX(AM320,G320))))</f>
        <v/>
      </c>
      <c r="AJ320" s="55">
        <f>IF(BO320=1,0,ROUNDUP(AI320/BN320,0))</f>
        <v/>
      </c>
      <c r="AK320" s="64">
        <f>IF(BO320=1,IF(AI320&lt;=0,0,BP320*MAX(1,IF(G320&gt;0,AI320/G320,1))),AJ320*Q320)</f>
        <v/>
      </c>
      <c r="AL320" s="55">
        <f>AI320*F320</f>
        <v/>
      </c>
      <c r="AM320" s="55">
        <f>ROUNDUP(MAX(I320/IF(BS320&gt;0,BS320,MAX(0.1,N(Cockpit!$I$6))),BV320)/BN320,0)*BN320</f>
        <v/>
      </c>
      <c r="AN320" s="56">
        <f>IF(AK320&gt;0,I320/AK320,-1)</f>
        <v/>
      </c>
      <c r="AO320" s="56">
        <f>IF(AND(OR(BR320="L1",BR320="L23"),AK320&gt;0),SUMIFS($AK$7:$AK$1570,$BR$7:$BR$1570,BR320,$AN$7:$AN$1570,"&gt;"&amp;AN320)+SUMIFS($AK$7:$AK$1570,$BR$7:$BR$1570,BR320,$AN$7:$AN$1570,AN320,$BL$7:$BL$1570,"&lt;="&amp;BL320),"")</f>
        <v/>
      </c>
      <c r="AP320" s="65">
        <f>IF(AO320="",0,MAX(0,MIN(1,(IF(BR320="L1",Parameter!$K$5,Parameter!$K$6+Parameter!$K$7)-(AO320-AK320))/AK320)))</f>
        <v/>
      </c>
      <c r="AQ320" s="55">
        <f>IF(LEFT(Cockpit!$O$5,1)="A",G320,IF(BT320=1,BU320,IF(LEFT(Cockpit!$O$5,1)="B",AU320,MAX(AU320,G320))))</f>
        <v/>
      </c>
      <c r="AR320" s="55">
        <f>IF(BO320=1,0,ROUNDUP(AQ320/BN320,0))</f>
        <v/>
      </c>
      <c r="AS320" s="64">
        <f>IF(BO320=1,IF(AQ320&lt;=0,0,BP320*MAX(1,IF(G320&gt;0,AQ320/G320,1))),AR320*Q320)</f>
        <v/>
      </c>
      <c r="AT320" s="55">
        <f>AQ320*F320</f>
        <v/>
      </c>
      <c r="AU320" s="55">
        <f>ROUNDUP(MAX(I320/IF(BS320&gt;0,BS320,MAX(0.1,N(Cockpit!$O$6))),BV320)/BN320,0)*BN320</f>
        <v/>
      </c>
      <c r="AV320" s="56">
        <f>IF(AS320&gt;0,I320/AS320,-1)</f>
        <v/>
      </c>
      <c r="AW320" s="56">
        <f>IF(AND(OR(BR320="L1",BR320="L23"),AS320&gt;0),SUMIFS($AS$7:$AS$1570,$BR$7:$BR$1570,BR320,$AV$7:$AV$1570,"&gt;"&amp;AV320)+SUMIFS($AS$7:$AS$1570,$BR$7:$BR$1570,BR320,$AV$7:$AV$1570,AV320,$BL$7:$BL$1570,"&lt;="&amp;BL320),"")</f>
        <v/>
      </c>
      <c r="AX320" s="65">
        <f>IF(AW320="",0,MAX(0,MIN(1,(IF(BR320="L1",Parameter!$K$5,Parameter!$K$6+Parameter!$K$7)-(AW320-AS320))/AS320)))</f>
        <v/>
      </c>
      <c r="AY320" s="53">
        <f>IF(AC320&lt;=0,"",IF(BR320="Aussen","Aussenlager",IF(BR320="-","Nicht im Lift",IF(AH320&gt;=1,"Lift",IF(AH320&lt;=0,"Aussenlager","teilweise")))))</f>
        <v/>
      </c>
      <c r="AZ320" s="53">
        <f>IF(AK320&lt;=0,"",IF(BR320="Aussen","Aussenlager",IF(BR320="-","Nicht im Lift",IF(AP320&gt;=1,"Lift",IF(AP320&lt;=0,"Aussenlager","teilweise")))))</f>
        <v/>
      </c>
      <c r="BA320" s="53">
        <f>IF(AS320&lt;=0,"",IF(BR320="Aussen","Aussenlager",IF(BR320="-","Nicht im Lift",IF(AX320&gt;=1,"Lift",IF(AX320&lt;=0,"Aussenlager","teilweise")))))</f>
        <v/>
      </c>
      <c r="BB320" s="53">
        <f>IF(A320="","",IF(BK320=1,"Neu; ","")&amp;IF(AND(BK320=0,BF320&lt;0),"negativer Bestand (Export "&amp;BF320&amp;"); ","")&amp;IF(I320&lt;=0,"Kein Verbrauch; ","")&amp;IF(BO320=1,"Lose – Fläche geschätzt; ","")&amp;IF(G320&gt;AM320,"Überbestand "&amp;ROUND(G320-AM320,0)&amp;" Stk / CHF "&amp;ROUND((G320-AM320)*F320,0)&amp;"; ","")&amp;IF(AND(BT320=1,BU320&lt;BV320),"MAX &lt; MB+LG; ","")&amp;IF(AND(BZ320&gt;0,BY320*10&gt;BZ320),"zu hoch für Tablar; ","")&amp;IF(AND(BK320=0,OR(BT320=1,V320&lt;&gt;"",S320&lt;&gt;"",T320&lt;&gt;"",W320&lt;&gt;"")),"manuell übersteuert; ","")&amp;IF(AND(BO320=0,Q320=0),"Gebinde unbekannt; ","")&amp;IF(AND(BO320=0,N(T320)&lt;=0,N(P320)&lt;=0),"Menge pro Gebinde fehlt (Ist = 1 Gebinde); ","")&amp;BJ320)</f>
        <v/>
      </c>
      <c r="BC320" s="53" t="n"/>
      <c r="BD320" s="53" t="n"/>
      <c r="BE320" s="61" t="n"/>
      <c r="BF320" s="55" t="n">
        <v>7</v>
      </c>
      <c r="BG320" s="55" t="n">
        <v>5</v>
      </c>
      <c r="BH320" s="54" t="n">
        <v>238.5600000000001</v>
      </c>
      <c r="BI320" s="55" t="n">
        <v>10</v>
      </c>
      <c r="BJ320" s="53" t="inlineStr"/>
      <c r="BK320" s="58" t="n">
        <v>0</v>
      </c>
      <c r="BL320" s="58" t="n">
        <v>320</v>
      </c>
      <c r="BM320" s="53">
        <f>IF(S320&lt;&gt;"",UPPER(TRIM(S320)),IF(O320="","LOSE",O320))</f>
        <v/>
      </c>
      <c r="BN320" s="55">
        <f>IF(BM320="LOSE",1,IF(N(T320)&gt;0,T320,IF(N(P320)&gt;0,P320,MAX(1,G320))))</f>
        <v/>
      </c>
      <c r="BO320" s="58">
        <f>IF(BM320="LOSE",1,0)</f>
        <v/>
      </c>
      <c r="BP320" s="64">
        <f>IF(BO320=0,0,IF(N(R320)&gt;0,R320,IFERROR(VLOOKUP(D320,Parameter!$A$35:$C$64,3,0)+0,0)))</f>
        <v/>
      </c>
      <c r="BQ320" s="53">
        <f>IF(V320&lt;&gt;"",V320,U320)</f>
        <v/>
      </c>
      <c r="BR320" s="53">
        <f>IF(BQ320=1,"L1",IF(OR(BQ320=2,BQ320=3),"L23",IF(BQ320="Aussen","Aussen","-")))</f>
        <v/>
      </c>
      <c r="BS320" s="66">
        <f>IF(N(W320)&gt;0,W320,0)</f>
        <v/>
      </c>
      <c r="BT320" s="58">
        <f>IF(ISNUMBER(Z320),1,0)</f>
        <v/>
      </c>
      <c r="BU320" s="55">
        <f>N(Z320)</f>
        <v/>
      </c>
      <c r="BV320" s="55">
        <f>N(L320)+N(M320)</f>
        <v/>
      </c>
      <c r="BW320" s="55">
        <f>ROUNDUP(G320/BN320,0)</f>
        <v/>
      </c>
      <c r="BX320" s="55">
        <f>ROUNDUP(BU320/BN320,0)</f>
        <v/>
      </c>
      <c r="BY320" s="58">
        <f>IF(BO320=1,0,IFERROR(VLOOKUP(BM320,'Gebinde-Kategorie'!$A$5:$G$45,5,0)+0,0))</f>
        <v/>
      </c>
      <c r="BZ320" s="58">
        <f>IFERROR(IF(OR(BQ320=1,BQ320=2,BQ320=3),N(INDEX(Parameter!$I$5:$I$7,BQ320)),0),0)</f>
        <v/>
      </c>
    </row>
    <row r="321">
      <c r="A321" s="53" t="inlineStr">
        <is>
          <t>106454</t>
        </is>
      </c>
      <c r="B321" s="53" t="inlineStr">
        <is>
          <t>Sinterfilter</t>
        </is>
      </c>
      <c r="C321" s="53" t="inlineStr">
        <is>
          <t>F</t>
        </is>
      </c>
      <c r="D321" s="53" t="inlineStr">
        <is>
          <t>KTL</t>
        </is>
      </c>
      <c r="E321" s="53" t="inlineStr">
        <is>
          <t>C</t>
        </is>
      </c>
      <c r="F321" s="54" t="n">
        <v>3.64</v>
      </c>
      <c r="G321" s="55">
        <f>MAX(0,IF(Parameter!$B$20="Jahresanfang 2025 + Export",BG321+BF321,BF321))</f>
        <v/>
      </c>
      <c r="H321" s="55">
        <f>G321*F321</f>
        <v/>
      </c>
      <c r="I321" s="55">
        <f>BI321*Parameter!$B$18</f>
        <v/>
      </c>
      <c r="J321" s="56" t="n">
        <v>76</v>
      </c>
      <c r="K321" s="57" t="n">
        <v>2.605263157894737</v>
      </c>
      <c r="L321" s="55" t="n">
        <v>49</v>
      </c>
      <c r="M321" s="55" t="n">
        <v>200</v>
      </c>
      <c r="N321" s="58" t="n">
        <v>60</v>
      </c>
      <c r="O321" s="53" t="inlineStr">
        <is>
          <t>S41</t>
        </is>
      </c>
      <c r="P321" s="55" t="n">
        <v>280</v>
      </c>
      <c r="Q321" s="59">
        <f>IF(BO321=1,0,IFERROR(VLOOKUP(BM321,'Gebinde-Kategorie'!$A$5:$G$45,6,0)+0,0))</f>
        <v/>
      </c>
      <c r="R321" s="60" t="n"/>
      <c r="S321" s="61" t="n"/>
      <c r="T321" s="61" t="n"/>
      <c r="U321" s="53">
        <f>IF(A321="","",IF(IFERROR(VLOOKUP(D321,Parameter!$A$35:$C$64,2,0),"Nein")="2+3",IF(ISNUMBER(SEARCH("grosser Artikel",BJ321)),2,IFERROR(VLOOKUP(BM321,Parameter!$F$35:$G$64,2,0),2)),IF(OR(IFERROR(VLOOKUP(D321,Parameter!$A$35:$C$64,2,0),"Nein")="Nein",IFERROR(VLOOKUP(D321,Parameter!$A$35:$C$64,2,0),"Nein")=""),"-",VLOOKUP(D321,Parameter!$A$35:$C$64,2,0))))</f>
        <v/>
      </c>
      <c r="V321" s="61" t="n"/>
      <c r="W321" s="62" t="n"/>
      <c r="X321" s="55">
        <f>AM321</f>
        <v/>
      </c>
      <c r="Y321" s="55">
        <f>MAX(AM321,G321)</f>
        <v/>
      </c>
      <c r="Z321" s="63" t="n"/>
      <c r="AA321" s="55">
        <f>IF(LEFT(Cockpit!$C$5,1)="A",G321,IF(BT321=1,BU321,IF(LEFT(Cockpit!$C$5,1)="B",AE321,MAX(AE321,G321))))</f>
        <v/>
      </c>
      <c r="AB321" s="55">
        <f>IF(BO321=1,0,ROUNDUP(AA321/BN321,0))</f>
        <v/>
      </c>
      <c r="AC321" s="64">
        <f>IF(BO321=1,IF(AA321&lt;=0,0,BP321*MAX(1,IF(G321&gt;0,AA321/G321,1))),AB321*Q321)</f>
        <v/>
      </c>
      <c r="AD321" s="55">
        <f>AA321*F321</f>
        <v/>
      </c>
      <c r="AE321" s="55">
        <f>ROUNDUP(MAX(I321/IF(BS321&gt;0,BS321,MAX(0.1,N(Cockpit!$C$6))),BV321)/BN321,0)*BN321</f>
        <v/>
      </c>
      <c r="AF321" s="56">
        <f>IF(AC321&gt;0,I321/AC321,-1)</f>
        <v/>
      </c>
      <c r="AG321" s="56">
        <f>IF(AND(OR(BR321="L1",BR321="L23"),AC321&gt;0),SUMIFS($AC$7:$AC$1570,$BR$7:$BR$1570,BR321,$AF$7:$AF$1570,"&gt;"&amp;AF321)+SUMIFS($AC$7:$AC$1570,$BR$7:$BR$1570,BR321,$AF$7:$AF$1570,AF321,$BL$7:$BL$1570,"&lt;="&amp;BL321),"")</f>
        <v/>
      </c>
      <c r="AH321" s="65">
        <f>IF(AG321="",0,MAX(0,MIN(1,(IF(BR321="L1",Parameter!$K$5,Parameter!$K$6+Parameter!$K$7)-(AG321-AC321))/AC321)))</f>
        <v/>
      </c>
      <c r="AI321" s="55">
        <f>IF(LEFT(Cockpit!$I$5,1)="A",G321,IF(BT321=1,BU321,IF(LEFT(Cockpit!$I$5,1)="B",AM321,MAX(AM321,G321))))</f>
        <v/>
      </c>
      <c r="AJ321" s="55">
        <f>IF(BO321=1,0,ROUNDUP(AI321/BN321,0))</f>
        <v/>
      </c>
      <c r="AK321" s="64">
        <f>IF(BO321=1,IF(AI321&lt;=0,0,BP321*MAX(1,IF(G321&gt;0,AI321/G321,1))),AJ321*Q321)</f>
        <v/>
      </c>
      <c r="AL321" s="55">
        <f>AI321*F321</f>
        <v/>
      </c>
      <c r="AM321" s="55">
        <f>ROUNDUP(MAX(I321/IF(BS321&gt;0,BS321,MAX(0.1,N(Cockpit!$I$6))),BV321)/BN321,0)*BN321</f>
        <v/>
      </c>
      <c r="AN321" s="56">
        <f>IF(AK321&gt;0,I321/AK321,-1)</f>
        <v/>
      </c>
      <c r="AO321" s="56">
        <f>IF(AND(OR(BR321="L1",BR321="L23"),AK321&gt;0),SUMIFS($AK$7:$AK$1570,$BR$7:$BR$1570,BR321,$AN$7:$AN$1570,"&gt;"&amp;AN321)+SUMIFS($AK$7:$AK$1570,$BR$7:$BR$1570,BR321,$AN$7:$AN$1570,AN321,$BL$7:$BL$1570,"&lt;="&amp;BL321),"")</f>
        <v/>
      </c>
      <c r="AP321" s="65">
        <f>IF(AO321="",0,MAX(0,MIN(1,(IF(BR321="L1",Parameter!$K$5,Parameter!$K$6+Parameter!$K$7)-(AO321-AK321))/AK321)))</f>
        <v/>
      </c>
      <c r="AQ321" s="55">
        <f>IF(LEFT(Cockpit!$O$5,1)="A",G321,IF(BT321=1,BU321,IF(LEFT(Cockpit!$O$5,1)="B",AU321,MAX(AU321,G321))))</f>
        <v/>
      </c>
      <c r="AR321" s="55">
        <f>IF(BO321=1,0,ROUNDUP(AQ321/BN321,0))</f>
        <v/>
      </c>
      <c r="AS321" s="64">
        <f>IF(BO321=1,IF(AQ321&lt;=0,0,BP321*MAX(1,IF(G321&gt;0,AQ321/G321,1))),AR321*Q321)</f>
        <v/>
      </c>
      <c r="AT321" s="55">
        <f>AQ321*F321</f>
        <v/>
      </c>
      <c r="AU321" s="55">
        <f>ROUNDUP(MAX(I321/IF(BS321&gt;0,BS321,MAX(0.1,N(Cockpit!$O$6))),BV321)/BN321,0)*BN321</f>
        <v/>
      </c>
      <c r="AV321" s="56">
        <f>IF(AS321&gt;0,I321/AS321,-1)</f>
        <v/>
      </c>
      <c r="AW321" s="56">
        <f>IF(AND(OR(BR321="L1",BR321="L23"),AS321&gt;0),SUMIFS($AS$7:$AS$1570,$BR$7:$BR$1570,BR321,$AV$7:$AV$1570,"&gt;"&amp;AV321)+SUMIFS($AS$7:$AS$1570,$BR$7:$BR$1570,BR321,$AV$7:$AV$1570,AV321,$BL$7:$BL$1570,"&lt;="&amp;BL321),"")</f>
        <v/>
      </c>
      <c r="AX321" s="65">
        <f>IF(AW321="",0,MAX(0,MIN(1,(IF(BR321="L1",Parameter!$K$5,Parameter!$K$6+Parameter!$K$7)-(AW321-AS321))/AS321)))</f>
        <v/>
      </c>
      <c r="AY321" s="53">
        <f>IF(AC321&lt;=0,"",IF(BR321="Aussen","Aussenlager",IF(BR321="-","Nicht im Lift",IF(AH321&gt;=1,"Lift",IF(AH321&lt;=0,"Aussenlager","teilweise")))))</f>
        <v/>
      </c>
      <c r="AZ321" s="53">
        <f>IF(AK321&lt;=0,"",IF(BR321="Aussen","Aussenlager",IF(BR321="-","Nicht im Lift",IF(AP321&gt;=1,"Lift",IF(AP321&lt;=0,"Aussenlager","teilweise")))))</f>
        <v/>
      </c>
      <c r="BA321" s="53">
        <f>IF(AS321&lt;=0,"",IF(BR321="Aussen","Aussenlager",IF(BR321="-","Nicht im Lift",IF(AX321&gt;=1,"Lift",IF(AX321&lt;=0,"Aussenlager","teilweise")))))</f>
        <v/>
      </c>
      <c r="BB321" s="53">
        <f>IF(A321="","",IF(BK321=1,"Neu; ","")&amp;IF(AND(BK321=0,BF321&lt;0),"negativer Bestand (Export "&amp;BF321&amp;"); ","")&amp;IF(I321&lt;=0,"Kein Verbrauch; ","")&amp;IF(BO321=1,"Lose – Fläche geschätzt; ","")&amp;IF(G321&gt;AM321,"Überbestand "&amp;ROUND(G321-AM321,0)&amp;" Stk / CHF "&amp;ROUND((G321-AM321)*F321,0)&amp;"; ","")&amp;IF(AND(BT321=1,BU321&lt;BV321),"MAX &lt; MB+LG; ","")&amp;IF(AND(BZ321&gt;0,BY321*10&gt;BZ321),"zu hoch für Tablar; ","")&amp;IF(AND(BK321=0,OR(BT321=1,V321&lt;&gt;"",S321&lt;&gt;"",T321&lt;&gt;"",W321&lt;&gt;"")),"manuell übersteuert; ","")&amp;IF(AND(BO321=0,Q321=0),"Gebinde unbekannt; ","")&amp;IF(AND(BO321=0,N(T321)&lt;=0,N(P321)&lt;=0),"Menge pro Gebinde fehlt (Ist = 1 Gebinde); ","")&amp;BJ321)</f>
        <v/>
      </c>
      <c r="BC321" s="53" t="n"/>
      <c r="BD321" s="53" t="n"/>
      <c r="BE321" s="61" t="n"/>
      <c r="BF321" s="55" t="n">
        <v>137</v>
      </c>
      <c r="BG321" s="55" t="n">
        <v>45</v>
      </c>
      <c r="BH321" s="54" t="n">
        <v>237.8800000000004</v>
      </c>
      <c r="BI321" s="55" t="n">
        <v>198</v>
      </c>
      <c r="BJ321" s="53" t="inlineStr"/>
      <c r="BK321" s="58" t="n">
        <v>0</v>
      </c>
      <c r="BL321" s="58" t="n">
        <v>321</v>
      </c>
      <c r="BM321" s="53">
        <f>IF(S321&lt;&gt;"",UPPER(TRIM(S321)),IF(O321="","LOSE",O321))</f>
        <v/>
      </c>
      <c r="BN321" s="55">
        <f>IF(BM321="LOSE",1,IF(N(T321)&gt;0,T321,IF(N(P321)&gt;0,P321,MAX(1,G321))))</f>
        <v/>
      </c>
      <c r="BO321" s="58">
        <f>IF(BM321="LOSE",1,0)</f>
        <v/>
      </c>
      <c r="BP321" s="64">
        <f>IF(BO321=0,0,IF(N(R321)&gt;0,R321,IFERROR(VLOOKUP(D321,Parameter!$A$35:$C$64,3,0)+0,0)))</f>
        <v/>
      </c>
      <c r="BQ321" s="53">
        <f>IF(V321&lt;&gt;"",V321,U321)</f>
        <v/>
      </c>
      <c r="BR321" s="53">
        <f>IF(BQ321=1,"L1",IF(OR(BQ321=2,BQ321=3),"L23",IF(BQ321="Aussen","Aussen","-")))</f>
        <v/>
      </c>
      <c r="BS321" s="66">
        <f>IF(N(W321)&gt;0,W321,0)</f>
        <v/>
      </c>
      <c r="BT321" s="58">
        <f>IF(ISNUMBER(Z321),1,0)</f>
        <v/>
      </c>
      <c r="BU321" s="55">
        <f>N(Z321)</f>
        <v/>
      </c>
      <c r="BV321" s="55">
        <f>N(L321)+N(M321)</f>
        <v/>
      </c>
      <c r="BW321" s="55">
        <f>ROUNDUP(G321/BN321,0)</f>
        <v/>
      </c>
      <c r="BX321" s="55">
        <f>ROUNDUP(BU321/BN321,0)</f>
        <v/>
      </c>
      <c r="BY321" s="58">
        <f>IF(BO321=1,0,IFERROR(VLOOKUP(BM321,'Gebinde-Kategorie'!$A$5:$G$45,5,0)+0,0))</f>
        <v/>
      </c>
      <c r="BZ321" s="58">
        <f>IFERROR(IF(OR(BQ321=1,BQ321=2,BQ321=3),N(INDEX(Parameter!$I$5:$I$7,BQ321)),0),0)</f>
        <v/>
      </c>
    </row>
    <row r="322">
      <c r="A322" s="53" t="inlineStr">
        <is>
          <t>111960</t>
        </is>
      </c>
      <c r="B322" s="53" t="inlineStr">
        <is>
          <t>Einschraub-Schaft Adapter</t>
        </is>
      </c>
      <c r="C322" s="53" t="inlineStr">
        <is>
          <t>F</t>
        </is>
      </c>
      <c r="D322" s="53" t="inlineStr">
        <is>
          <t>KTL</t>
        </is>
      </c>
      <c r="E322" s="53" t="inlineStr">
        <is>
          <t>C</t>
        </is>
      </c>
      <c r="F322" s="54" t="n">
        <v>9.470000000000001</v>
      </c>
      <c r="G322" s="55">
        <f>MAX(0,IF(Parameter!$B$20="Jahresanfang 2025 + Export",BG322+BF322,BF322))</f>
        <v/>
      </c>
      <c r="H322" s="55">
        <f>G322*F322</f>
        <v/>
      </c>
      <c r="I322" s="55">
        <f>BI322*Parameter!$B$18</f>
        <v/>
      </c>
      <c r="J322" s="56" t="n">
        <v>0</v>
      </c>
      <c r="K322" s="57" t="n">
        <v>0</v>
      </c>
      <c r="L322" s="55" t="n">
        <v>0</v>
      </c>
      <c r="M322" s="55" t="n">
        <v>1</v>
      </c>
      <c r="N322" s="58" t="n">
        <v>9999</v>
      </c>
      <c r="O322" s="53" t="inlineStr">
        <is>
          <t>LOSE</t>
        </is>
      </c>
      <c r="P322" s="55" t="n"/>
      <c r="Q322" s="59">
        <f>IF(BO322=1,0,IFERROR(VLOOKUP(BM322,'Gebinde-Kategorie'!$A$5:$G$45,6,0)+0,0))</f>
        <v/>
      </c>
      <c r="R322" s="60" t="n"/>
      <c r="S322" s="61" t="n"/>
      <c r="T322" s="61" t="n"/>
      <c r="U322" s="53">
        <f>IF(A322="","",IF(IFERROR(VLOOKUP(D322,Parameter!$A$35:$C$64,2,0),"Nein")="2+3",IF(ISNUMBER(SEARCH("grosser Artikel",BJ322)),2,IFERROR(VLOOKUP(BM322,Parameter!$F$35:$G$64,2,0),2)),IF(OR(IFERROR(VLOOKUP(D322,Parameter!$A$35:$C$64,2,0),"Nein")="Nein",IFERROR(VLOOKUP(D322,Parameter!$A$35:$C$64,2,0),"Nein")=""),"-",VLOOKUP(D322,Parameter!$A$35:$C$64,2,0))))</f>
        <v/>
      </c>
      <c r="V322" s="61" t="n"/>
      <c r="W322" s="62" t="n"/>
      <c r="X322" s="55">
        <f>AM322</f>
        <v/>
      </c>
      <c r="Y322" s="55">
        <f>MAX(AM322,G322)</f>
        <v/>
      </c>
      <c r="Z322" s="63" t="n"/>
      <c r="AA322" s="55">
        <f>IF(LEFT(Cockpit!$C$5,1)="A",G322,IF(BT322=1,BU322,IF(LEFT(Cockpit!$C$5,1)="B",AE322,MAX(AE322,G322))))</f>
        <v/>
      </c>
      <c r="AB322" s="55">
        <f>IF(BO322=1,0,ROUNDUP(AA322/BN322,0))</f>
        <v/>
      </c>
      <c r="AC322" s="64">
        <f>IF(BO322=1,IF(AA322&lt;=0,0,BP322*MAX(1,IF(G322&gt;0,AA322/G322,1))),AB322*Q322)</f>
        <v/>
      </c>
      <c r="AD322" s="55">
        <f>AA322*F322</f>
        <v/>
      </c>
      <c r="AE322" s="55">
        <f>ROUNDUP(MAX(I322/IF(BS322&gt;0,BS322,MAX(0.1,N(Cockpit!$C$6))),BV322)/BN322,0)*BN322</f>
        <v/>
      </c>
      <c r="AF322" s="56">
        <f>IF(AC322&gt;0,I322/AC322,-1)</f>
        <v/>
      </c>
      <c r="AG322" s="56">
        <f>IF(AND(OR(BR322="L1",BR322="L23"),AC322&gt;0),SUMIFS($AC$7:$AC$1570,$BR$7:$BR$1570,BR322,$AF$7:$AF$1570,"&gt;"&amp;AF322)+SUMIFS($AC$7:$AC$1570,$BR$7:$BR$1570,BR322,$AF$7:$AF$1570,AF322,$BL$7:$BL$1570,"&lt;="&amp;BL322),"")</f>
        <v/>
      </c>
      <c r="AH322" s="65">
        <f>IF(AG322="",0,MAX(0,MIN(1,(IF(BR322="L1",Parameter!$K$5,Parameter!$K$6+Parameter!$K$7)-(AG322-AC322))/AC322)))</f>
        <v/>
      </c>
      <c r="AI322" s="55">
        <f>IF(LEFT(Cockpit!$I$5,1)="A",G322,IF(BT322=1,BU322,IF(LEFT(Cockpit!$I$5,1)="B",AM322,MAX(AM322,G322))))</f>
        <v/>
      </c>
      <c r="AJ322" s="55">
        <f>IF(BO322=1,0,ROUNDUP(AI322/BN322,0))</f>
        <v/>
      </c>
      <c r="AK322" s="64">
        <f>IF(BO322=1,IF(AI322&lt;=0,0,BP322*MAX(1,IF(G322&gt;0,AI322/G322,1))),AJ322*Q322)</f>
        <v/>
      </c>
      <c r="AL322" s="55">
        <f>AI322*F322</f>
        <v/>
      </c>
      <c r="AM322" s="55">
        <f>ROUNDUP(MAX(I322/IF(BS322&gt;0,BS322,MAX(0.1,N(Cockpit!$I$6))),BV322)/BN322,0)*BN322</f>
        <v/>
      </c>
      <c r="AN322" s="56">
        <f>IF(AK322&gt;0,I322/AK322,-1)</f>
        <v/>
      </c>
      <c r="AO322" s="56">
        <f>IF(AND(OR(BR322="L1",BR322="L23"),AK322&gt;0),SUMIFS($AK$7:$AK$1570,$BR$7:$BR$1570,BR322,$AN$7:$AN$1570,"&gt;"&amp;AN322)+SUMIFS($AK$7:$AK$1570,$BR$7:$BR$1570,BR322,$AN$7:$AN$1570,AN322,$BL$7:$BL$1570,"&lt;="&amp;BL322),"")</f>
        <v/>
      </c>
      <c r="AP322" s="65">
        <f>IF(AO322="",0,MAX(0,MIN(1,(IF(BR322="L1",Parameter!$K$5,Parameter!$K$6+Parameter!$K$7)-(AO322-AK322))/AK322)))</f>
        <v/>
      </c>
      <c r="AQ322" s="55">
        <f>IF(LEFT(Cockpit!$O$5,1)="A",G322,IF(BT322=1,BU322,IF(LEFT(Cockpit!$O$5,1)="B",AU322,MAX(AU322,G322))))</f>
        <v/>
      </c>
      <c r="AR322" s="55">
        <f>IF(BO322=1,0,ROUNDUP(AQ322/BN322,0))</f>
        <v/>
      </c>
      <c r="AS322" s="64">
        <f>IF(BO322=1,IF(AQ322&lt;=0,0,BP322*MAX(1,IF(G322&gt;0,AQ322/G322,1))),AR322*Q322)</f>
        <v/>
      </c>
      <c r="AT322" s="55">
        <f>AQ322*F322</f>
        <v/>
      </c>
      <c r="AU322" s="55">
        <f>ROUNDUP(MAX(I322/IF(BS322&gt;0,BS322,MAX(0.1,N(Cockpit!$O$6))),BV322)/BN322,0)*BN322</f>
        <v/>
      </c>
      <c r="AV322" s="56">
        <f>IF(AS322&gt;0,I322/AS322,-1)</f>
        <v/>
      </c>
      <c r="AW322" s="56">
        <f>IF(AND(OR(BR322="L1",BR322="L23"),AS322&gt;0),SUMIFS($AS$7:$AS$1570,$BR$7:$BR$1570,BR322,$AV$7:$AV$1570,"&gt;"&amp;AV322)+SUMIFS($AS$7:$AS$1570,$BR$7:$BR$1570,BR322,$AV$7:$AV$1570,AV322,$BL$7:$BL$1570,"&lt;="&amp;BL322),"")</f>
        <v/>
      </c>
      <c r="AX322" s="65">
        <f>IF(AW322="",0,MAX(0,MIN(1,(IF(BR322="L1",Parameter!$K$5,Parameter!$K$6+Parameter!$K$7)-(AW322-AS322))/AS322)))</f>
        <v/>
      </c>
      <c r="AY322" s="53">
        <f>IF(AC322&lt;=0,"",IF(BR322="Aussen","Aussenlager",IF(BR322="-","Nicht im Lift",IF(AH322&gt;=1,"Lift",IF(AH322&lt;=0,"Aussenlager","teilweise")))))</f>
        <v/>
      </c>
      <c r="AZ322" s="53">
        <f>IF(AK322&lt;=0,"",IF(BR322="Aussen","Aussenlager",IF(BR322="-","Nicht im Lift",IF(AP322&gt;=1,"Lift",IF(AP322&lt;=0,"Aussenlager","teilweise")))))</f>
        <v/>
      </c>
      <c r="BA322" s="53">
        <f>IF(AS322&lt;=0,"",IF(BR322="Aussen","Aussenlager",IF(BR322="-","Nicht im Lift",IF(AX322&gt;=1,"Lift",IF(AX322&lt;=0,"Aussenlager","teilweise")))))</f>
        <v/>
      </c>
      <c r="BB322" s="53">
        <f>IF(A322="","",IF(BK322=1,"Neu; ","")&amp;IF(AND(BK322=0,BF322&lt;0),"negativer Bestand (Export "&amp;BF322&amp;"); ","")&amp;IF(I322&lt;=0,"Kein Verbrauch; ","")&amp;IF(BO322=1,"Lose – Fläche geschätzt; ","")&amp;IF(G322&gt;AM322,"Überbestand "&amp;ROUND(G322-AM322,0)&amp;" Stk / CHF "&amp;ROUND((G322-AM322)*F322,0)&amp;"; ","")&amp;IF(AND(BT322=1,BU322&lt;BV322),"MAX &lt; MB+LG; ","")&amp;IF(AND(BZ322&gt;0,BY322*10&gt;BZ322),"zu hoch für Tablar; ","")&amp;IF(AND(BK322=0,OR(BT322=1,V322&lt;&gt;"",S322&lt;&gt;"",T322&lt;&gt;"",W322&lt;&gt;"")),"manuell übersteuert; ","")&amp;IF(AND(BO322=0,Q322=0),"Gebinde unbekannt; ","")&amp;IF(AND(BO322=0,N(T322)&lt;=0,N(P322)&lt;=0),"Menge pro Gebinde fehlt (Ist = 1 Gebinde); ","")&amp;BJ322)</f>
        <v/>
      </c>
      <c r="BC322" s="53" t="n"/>
      <c r="BD322" s="53" t="n"/>
      <c r="BE322" s="61" t="n"/>
      <c r="BF322" s="55" t="n">
        <v>25</v>
      </c>
      <c r="BG322" s="55" t="n">
        <v>0</v>
      </c>
      <c r="BH322" s="54" t="n">
        <v>236.75</v>
      </c>
      <c r="BI322" s="55" t="n">
        <v>0</v>
      </c>
      <c r="BJ322" s="53" t="inlineStr"/>
      <c r="BK322" s="58" t="n">
        <v>0</v>
      </c>
      <c r="BL322" s="58" t="n">
        <v>322</v>
      </c>
      <c r="BM322" s="53">
        <f>IF(S322&lt;&gt;"",UPPER(TRIM(S322)),IF(O322="","LOSE",O322))</f>
        <v/>
      </c>
      <c r="BN322" s="55">
        <f>IF(BM322="LOSE",1,IF(N(T322)&gt;0,T322,IF(N(P322)&gt;0,P322,MAX(1,G322))))</f>
        <v/>
      </c>
      <c r="BO322" s="58">
        <f>IF(BM322="LOSE",1,0)</f>
        <v/>
      </c>
      <c r="BP322" s="64">
        <f>IF(BO322=0,0,IF(N(R322)&gt;0,R322,IFERROR(VLOOKUP(D322,Parameter!$A$35:$C$64,3,0)+0,0)))</f>
        <v/>
      </c>
      <c r="BQ322" s="53">
        <f>IF(V322&lt;&gt;"",V322,U322)</f>
        <v/>
      </c>
      <c r="BR322" s="53">
        <f>IF(BQ322=1,"L1",IF(OR(BQ322=2,BQ322=3),"L23",IF(BQ322="Aussen","Aussen","-")))</f>
        <v/>
      </c>
      <c r="BS322" s="66">
        <f>IF(N(W322)&gt;0,W322,0)</f>
        <v/>
      </c>
      <c r="BT322" s="58">
        <f>IF(ISNUMBER(Z322),1,0)</f>
        <v/>
      </c>
      <c r="BU322" s="55">
        <f>N(Z322)</f>
        <v/>
      </c>
      <c r="BV322" s="55">
        <f>N(L322)+N(M322)</f>
        <v/>
      </c>
      <c r="BW322" s="55">
        <f>ROUNDUP(G322/BN322,0)</f>
        <v/>
      </c>
      <c r="BX322" s="55">
        <f>ROUNDUP(BU322/BN322,0)</f>
        <v/>
      </c>
      <c r="BY322" s="58">
        <f>IF(BO322=1,0,IFERROR(VLOOKUP(BM322,'Gebinde-Kategorie'!$A$5:$G$45,5,0)+0,0))</f>
        <v/>
      </c>
      <c r="BZ322" s="58">
        <f>IFERROR(IF(OR(BQ322=1,BQ322=2,BQ322=3),N(INDEX(Parameter!$I$5:$I$7,BQ322)),0),0)</f>
        <v/>
      </c>
    </row>
    <row r="323">
      <c r="A323" s="53" t="inlineStr">
        <is>
          <t>100800</t>
        </is>
      </c>
      <c r="B323" s="53" t="inlineStr">
        <is>
          <t>Federkonsole</t>
        </is>
      </c>
      <c r="C323" s="53" t="inlineStr">
        <is>
          <t>F</t>
        </is>
      </c>
      <c r="D323" s="53" t="inlineStr">
        <is>
          <t>PAL</t>
        </is>
      </c>
      <c r="E323" s="53" t="inlineStr">
        <is>
          <t>C</t>
        </is>
      </c>
      <c r="F323" s="54" t="n">
        <v>445</v>
      </c>
      <c r="G323" s="55">
        <f>MAX(0,IF(Parameter!$B$20="Jahresanfang 2025 + Export",BG323+BF323,BF323))</f>
        <v/>
      </c>
      <c r="H323" s="55">
        <f>G323*F323</f>
        <v/>
      </c>
      <c r="I323" s="55">
        <f>BI323*Parameter!$B$18</f>
        <v/>
      </c>
      <c r="J323" s="56" t="n">
        <v>2</v>
      </c>
      <c r="K323" s="57" t="n">
        <v>4</v>
      </c>
      <c r="L323" s="55" t="n">
        <v>0</v>
      </c>
      <c r="M323" s="55" t="n">
        <v>5</v>
      </c>
      <c r="N323" s="58" t="n">
        <v>35</v>
      </c>
      <c r="O323" s="53" t="inlineStr">
        <is>
          <t>S72</t>
        </is>
      </c>
      <c r="P323" s="55" t="n">
        <v>4</v>
      </c>
      <c r="Q323" s="59">
        <f>IF(BO323=1,0,IFERROR(VLOOKUP(BM323,'Gebinde-Kategorie'!$A$5:$G$45,6,0)+0,0))</f>
        <v/>
      </c>
      <c r="R323" s="60" t="n"/>
      <c r="S323" s="61" t="n"/>
      <c r="T323" s="61" t="n"/>
      <c r="U323" s="53">
        <f>IF(A323="","",IF(IFERROR(VLOOKUP(D323,Parameter!$A$35:$C$64,2,0),"Nein")="2+3",IF(ISNUMBER(SEARCH("grosser Artikel",BJ323)),2,IFERROR(VLOOKUP(BM323,Parameter!$F$35:$G$64,2,0),2)),IF(OR(IFERROR(VLOOKUP(D323,Parameter!$A$35:$C$64,2,0),"Nein")="Nein",IFERROR(VLOOKUP(D323,Parameter!$A$35:$C$64,2,0),"Nein")=""),"-",VLOOKUP(D323,Parameter!$A$35:$C$64,2,0))))</f>
        <v/>
      </c>
      <c r="V323" s="61" t="n"/>
      <c r="W323" s="62" t="n"/>
      <c r="X323" s="55">
        <f>AM323</f>
        <v/>
      </c>
      <c r="Y323" s="55">
        <f>MAX(AM323,G323)</f>
        <v/>
      </c>
      <c r="Z323" s="63" t="n"/>
      <c r="AA323" s="55">
        <f>IF(LEFT(Cockpit!$C$5,1)="A",G323,IF(BT323=1,BU323,IF(LEFT(Cockpit!$C$5,1)="B",AE323,MAX(AE323,G323))))</f>
        <v/>
      </c>
      <c r="AB323" s="55">
        <f>IF(BO323=1,0,ROUNDUP(AA323/BN323,0))</f>
        <v/>
      </c>
      <c r="AC323" s="64">
        <f>IF(BO323=1,IF(AA323&lt;=0,0,BP323*MAX(1,IF(G323&gt;0,AA323/G323,1))),AB323*Q323)</f>
        <v/>
      </c>
      <c r="AD323" s="55">
        <f>AA323*F323</f>
        <v/>
      </c>
      <c r="AE323" s="55">
        <f>ROUNDUP(MAX(I323/IF(BS323&gt;0,BS323,MAX(0.1,N(Cockpit!$C$6))),BV323)/BN323,0)*BN323</f>
        <v/>
      </c>
      <c r="AF323" s="56">
        <f>IF(AC323&gt;0,I323/AC323,-1)</f>
        <v/>
      </c>
      <c r="AG323" s="56">
        <f>IF(AND(OR(BR323="L1",BR323="L23"),AC323&gt;0),SUMIFS($AC$7:$AC$1570,$BR$7:$BR$1570,BR323,$AF$7:$AF$1570,"&gt;"&amp;AF323)+SUMIFS($AC$7:$AC$1570,$BR$7:$BR$1570,BR323,$AF$7:$AF$1570,AF323,$BL$7:$BL$1570,"&lt;="&amp;BL323),"")</f>
        <v/>
      </c>
      <c r="AH323" s="65">
        <f>IF(AG323="",0,MAX(0,MIN(1,(IF(BR323="L1",Parameter!$K$5,Parameter!$K$6+Parameter!$K$7)-(AG323-AC323))/AC323)))</f>
        <v/>
      </c>
      <c r="AI323" s="55">
        <f>IF(LEFT(Cockpit!$I$5,1)="A",G323,IF(BT323=1,BU323,IF(LEFT(Cockpit!$I$5,1)="B",AM323,MAX(AM323,G323))))</f>
        <v/>
      </c>
      <c r="AJ323" s="55">
        <f>IF(BO323=1,0,ROUNDUP(AI323/BN323,0))</f>
        <v/>
      </c>
      <c r="AK323" s="64">
        <f>IF(BO323=1,IF(AI323&lt;=0,0,BP323*MAX(1,IF(G323&gt;0,AI323/G323,1))),AJ323*Q323)</f>
        <v/>
      </c>
      <c r="AL323" s="55">
        <f>AI323*F323</f>
        <v/>
      </c>
      <c r="AM323" s="55">
        <f>ROUNDUP(MAX(I323/IF(BS323&gt;0,BS323,MAX(0.1,N(Cockpit!$I$6))),BV323)/BN323,0)*BN323</f>
        <v/>
      </c>
      <c r="AN323" s="56">
        <f>IF(AK323&gt;0,I323/AK323,-1)</f>
        <v/>
      </c>
      <c r="AO323" s="56">
        <f>IF(AND(OR(BR323="L1",BR323="L23"),AK323&gt;0),SUMIFS($AK$7:$AK$1570,$BR$7:$BR$1570,BR323,$AN$7:$AN$1570,"&gt;"&amp;AN323)+SUMIFS($AK$7:$AK$1570,$BR$7:$BR$1570,BR323,$AN$7:$AN$1570,AN323,$BL$7:$BL$1570,"&lt;="&amp;BL323),"")</f>
        <v/>
      </c>
      <c r="AP323" s="65">
        <f>IF(AO323="",0,MAX(0,MIN(1,(IF(BR323="L1",Parameter!$K$5,Parameter!$K$6+Parameter!$K$7)-(AO323-AK323))/AK323)))</f>
        <v/>
      </c>
      <c r="AQ323" s="55">
        <f>IF(LEFT(Cockpit!$O$5,1)="A",G323,IF(BT323=1,BU323,IF(LEFT(Cockpit!$O$5,1)="B",AU323,MAX(AU323,G323))))</f>
        <v/>
      </c>
      <c r="AR323" s="55">
        <f>IF(BO323=1,0,ROUNDUP(AQ323/BN323,0))</f>
        <v/>
      </c>
      <c r="AS323" s="64">
        <f>IF(BO323=1,IF(AQ323&lt;=0,0,BP323*MAX(1,IF(G323&gt;0,AQ323/G323,1))),AR323*Q323)</f>
        <v/>
      </c>
      <c r="AT323" s="55">
        <f>AQ323*F323</f>
        <v/>
      </c>
      <c r="AU323" s="55">
        <f>ROUNDUP(MAX(I323/IF(BS323&gt;0,BS323,MAX(0.1,N(Cockpit!$O$6))),BV323)/BN323,0)*BN323</f>
        <v/>
      </c>
      <c r="AV323" s="56">
        <f>IF(AS323&gt;0,I323/AS323,-1)</f>
        <v/>
      </c>
      <c r="AW323" s="56">
        <f>IF(AND(OR(BR323="L1",BR323="L23"),AS323&gt;0),SUMIFS($AS$7:$AS$1570,$BR$7:$BR$1570,BR323,$AV$7:$AV$1570,"&gt;"&amp;AV323)+SUMIFS($AS$7:$AS$1570,$BR$7:$BR$1570,BR323,$AV$7:$AV$1570,AV323,$BL$7:$BL$1570,"&lt;="&amp;BL323),"")</f>
        <v/>
      </c>
      <c r="AX323" s="65">
        <f>IF(AW323="",0,MAX(0,MIN(1,(IF(BR323="L1",Parameter!$K$5,Parameter!$K$6+Parameter!$K$7)-(AW323-AS323))/AS323)))</f>
        <v/>
      </c>
      <c r="AY323" s="53">
        <f>IF(AC323&lt;=0,"",IF(BR323="Aussen","Aussenlager",IF(BR323="-","Nicht im Lift",IF(AH323&gt;=1,"Lift",IF(AH323&lt;=0,"Aussenlager","teilweise")))))</f>
        <v/>
      </c>
      <c r="AZ323" s="53">
        <f>IF(AK323&lt;=0,"",IF(BR323="Aussen","Aussenlager",IF(BR323="-","Nicht im Lift",IF(AP323&gt;=1,"Lift",IF(AP323&lt;=0,"Aussenlager","teilweise")))))</f>
        <v/>
      </c>
      <c r="BA323" s="53">
        <f>IF(AS323&lt;=0,"",IF(BR323="Aussen","Aussenlager",IF(BR323="-","Nicht im Lift",IF(AX323&gt;=1,"Lift",IF(AX323&lt;=0,"Aussenlager","teilweise")))))</f>
        <v/>
      </c>
      <c r="BB323" s="53">
        <f>IF(A323="","",IF(BK323=1,"Neu; ","")&amp;IF(AND(BK323=0,BF323&lt;0),"negativer Bestand (Export "&amp;BF323&amp;"); ","")&amp;IF(I323&lt;=0,"Kein Verbrauch; ","")&amp;IF(BO323=1,"Lose – Fläche geschätzt; ","")&amp;IF(G323&gt;AM323,"Überbestand "&amp;ROUND(G323-AM323,0)&amp;" Stk / CHF "&amp;ROUND((G323-AM323)*F323,0)&amp;"; ","")&amp;IF(AND(BT323=1,BU323&lt;BV323),"MAX &lt; MB+LG; ","")&amp;IF(AND(BZ323&gt;0,BY323*10&gt;BZ323),"zu hoch für Tablar; ","")&amp;IF(AND(BK323=0,OR(BT323=1,V323&lt;&gt;"",S323&lt;&gt;"",T323&lt;&gt;"",W323&lt;&gt;"")),"manuell übersteuert; ","")&amp;IF(AND(BO323=0,Q323=0),"Gebinde unbekannt; ","")&amp;IF(AND(BO323=0,N(T323)&lt;=0,N(P323)&lt;=0),"Menge pro Gebinde fehlt (Ist = 1 Gebinde); ","")&amp;BJ323)</f>
        <v/>
      </c>
      <c r="BC323" s="53" t="n"/>
      <c r="BD323" s="53" t="n"/>
      <c r="BE323" s="61" t="n"/>
      <c r="BF323" s="55" t="n">
        <v>0</v>
      </c>
      <c r="BG323" s="55" t="n">
        <v>2</v>
      </c>
      <c r="BH323" s="54" t="n">
        <v>236</v>
      </c>
      <c r="BI323" s="55" t="n">
        <v>8</v>
      </c>
      <c r="BJ323" s="53" t="inlineStr"/>
      <c r="BK323" s="58" t="n">
        <v>0</v>
      </c>
      <c r="BL323" s="58" t="n">
        <v>323</v>
      </c>
      <c r="BM323" s="53">
        <f>IF(S323&lt;&gt;"",UPPER(TRIM(S323)),IF(O323="","LOSE",O323))</f>
        <v/>
      </c>
      <c r="BN323" s="55">
        <f>IF(BM323="LOSE",1,IF(N(T323)&gt;0,T323,IF(N(P323)&gt;0,P323,MAX(1,G323))))</f>
        <v/>
      </c>
      <c r="BO323" s="58">
        <f>IF(BM323="LOSE",1,0)</f>
        <v/>
      </c>
      <c r="BP323" s="64">
        <f>IF(BO323=0,0,IF(N(R323)&gt;0,R323,IFERROR(VLOOKUP(D323,Parameter!$A$35:$C$64,3,0)+0,0)))</f>
        <v/>
      </c>
      <c r="BQ323" s="53">
        <f>IF(V323&lt;&gt;"",V323,U323)</f>
        <v/>
      </c>
      <c r="BR323" s="53">
        <f>IF(BQ323=1,"L1",IF(OR(BQ323=2,BQ323=3),"L23",IF(BQ323="Aussen","Aussen","-")))</f>
        <v/>
      </c>
      <c r="BS323" s="66">
        <f>IF(N(W323)&gt;0,W323,0)</f>
        <v/>
      </c>
      <c r="BT323" s="58">
        <f>IF(ISNUMBER(Z323),1,0)</f>
        <v/>
      </c>
      <c r="BU323" s="55">
        <f>N(Z323)</f>
        <v/>
      </c>
      <c r="BV323" s="55">
        <f>N(L323)+N(M323)</f>
        <v/>
      </c>
      <c r="BW323" s="55">
        <f>ROUNDUP(G323/BN323,0)</f>
        <v/>
      </c>
      <c r="BX323" s="55">
        <f>ROUNDUP(BU323/BN323,0)</f>
        <v/>
      </c>
      <c r="BY323" s="58">
        <f>IF(BO323=1,0,IFERROR(VLOOKUP(BM323,'Gebinde-Kategorie'!$A$5:$G$45,5,0)+0,0))</f>
        <v/>
      </c>
      <c r="BZ323" s="58">
        <f>IFERROR(IF(OR(BQ323=1,BQ323=2,BQ323=3),N(INDEX(Parameter!$I$5:$I$7,BQ323)),0),0)</f>
        <v/>
      </c>
    </row>
    <row r="324">
      <c r="A324" s="53" t="inlineStr">
        <is>
          <t>101636</t>
        </is>
      </c>
      <c r="B324" s="53" t="inlineStr">
        <is>
          <t>Verschlusskappe</t>
        </is>
      </c>
      <c r="C324" s="53" t="inlineStr">
        <is>
          <t>F</t>
        </is>
      </c>
      <c r="D324" s="53" t="inlineStr">
        <is>
          <t>KTL</t>
        </is>
      </c>
      <c r="E324" s="53" t="inlineStr">
        <is>
          <t>C</t>
        </is>
      </c>
      <c r="F324" s="54" t="n">
        <v>13</v>
      </c>
      <c r="G324" s="55">
        <f>MAX(0,IF(Parameter!$B$20="Jahresanfang 2025 + Export",BG324+BF324,BF324))</f>
        <v/>
      </c>
      <c r="H324" s="55">
        <f>G324*F324</f>
        <v/>
      </c>
      <c r="I324" s="55">
        <f>BI324*Parameter!$B$18</f>
        <v/>
      </c>
      <c r="J324" s="56" t="n">
        <v>11.5</v>
      </c>
      <c r="K324" s="57" t="n">
        <v>0</v>
      </c>
      <c r="L324" s="55" t="n">
        <v>0</v>
      </c>
      <c r="M324" s="55" t="n">
        <v>1</v>
      </c>
      <c r="N324" s="58" t="n">
        <v>21</v>
      </c>
      <c r="O324" s="53" t="inlineStr">
        <is>
          <t>LOSE</t>
        </is>
      </c>
      <c r="P324" s="55" t="n"/>
      <c r="Q324" s="59">
        <f>IF(BO324=1,0,IFERROR(VLOOKUP(BM324,'Gebinde-Kategorie'!$A$5:$G$45,6,0)+0,0))</f>
        <v/>
      </c>
      <c r="R324" s="60" t="n"/>
      <c r="S324" s="61" t="n"/>
      <c r="T324" s="61" t="n"/>
      <c r="U324" s="53">
        <f>IF(A324="","",IF(IFERROR(VLOOKUP(D324,Parameter!$A$35:$C$64,2,0),"Nein")="2+3",IF(ISNUMBER(SEARCH("grosser Artikel",BJ324)),2,IFERROR(VLOOKUP(BM324,Parameter!$F$35:$G$64,2,0),2)),IF(OR(IFERROR(VLOOKUP(D324,Parameter!$A$35:$C$64,2,0),"Nein")="Nein",IFERROR(VLOOKUP(D324,Parameter!$A$35:$C$64,2,0),"Nein")=""),"-",VLOOKUP(D324,Parameter!$A$35:$C$64,2,0))))</f>
        <v/>
      </c>
      <c r="V324" s="61" t="n"/>
      <c r="W324" s="62" t="n"/>
      <c r="X324" s="55">
        <f>AM324</f>
        <v/>
      </c>
      <c r="Y324" s="55">
        <f>MAX(AM324,G324)</f>
        <v/>
      </c>
      <c r="Z324" s="63" t="n"/>
      <c r="AA324" s="55">
        <f>IF(LEFT(Cockpit!$C$5,1)="A",G324,IF(BT324=1,BU324,IF(LEFT(Cockpit!$C$5,1)="B",AE324,MAX(AE324,G324))))</f>
        <v/>
      </c>
      <c r="AB324" s="55">
        <f>IF(BO324=1,0,ROUNDUP(AA324/BN324,0))</f>
        <v/>
      </c>
      <c r="AC324" s="64">
        <f>IF(BO324=1,IF(AA324&lt;=0,0,BP324*MAX(1,IF(G324&gt;0,AA324/G324,1))),AB324*Q324)</f>
        <v/>
      </c>
      <c r="AD324" s="55">
        <f>AA324*F324</f>
        <v/>
      </c>
      <c r="AE324" s="55">
        <f>ROUNDUP(MAX(I324/IF(BS324&gt;0,BS324,MAX(0.1,N(Cockpit!$C$6))),BV324)/BN324,0)*BN324</f>
        <v/>
      </c>
      <c r="AF324" s="56">
        <f>IF(AC324&gt;0,I324/AC324,-1)</f>
        <v/>
      </c>
      <c r="AG324" s="56">
        <f>IF(AND(OR(BR324="L1",BR324="L23"),AC324&gt;0),SUMIFS($AC$7:$AC$1570,$BR$7:$BR$1570,BR324,$AF$7:$AF$1570,"&gt;"&amp;AF324)+SUMIFS($AC$7:$AC$1570,$BR$7:$BR$1570,BR324,$AF$7:$AF$1570,AF324,$BL$7:$BL$1570,"&lt;="&amp;BL324),"")</f>
        <v/>
      </c>
      <c r="AH324" s="65">
        <f>IF(AG324="",0,MAX(0,MIN(1,(IF(BR324="L1",Parameter!$K$5,Parameter!$K$6+Parameter!$K$7)-(AG324-AC324))/AC324)))</f>
        <v/>
      </c>
      <c r="AI324" s="55">
        <f>IF(LEFT(Cockpit!$I$5,1)="A",G324,IF(BT324=1,BU324,IF(LEFT(Cockpit!$I$5,1)="B",AM324,MAX(AM324,G324))))</f>
        <v/>
      </c>
      <c r="AJ324" s="55">
        <f>IF(BO324=1,0,ROUNDUP(AI324/BN324,0))</f>
        <v/>
      </c>
      <c r="AK324" s="64">
        <f>IF(BO324=1,IF(AI324&lt;=0,0,BP324*MAX(1,IF(G324&gt;0,AI324/G324,1))),AJ324*Q324)</f>
        <v/>
      </c>
      <c r="AL324" s="55">
        <f>AI324*F324</f>
        <v/>
      </c>
      <c r="AM324" s="55">
        <f>ROUNDUP(MAX(I324/IF(BS324&gt;0,BS324,MAX(0.1,N(Cockpit!$I$6))),BV324)/BN324,0)*BN324</f>
        <v/>
      </c>
      <c r="AN324" s="56">
        <f>IF(AK324&gt;0,I324/AK324,-1)</f>
        <v/>
      </c>
      <c r="AO324" s="56">
        <f>IF(AND(OR(BR324="L1",BR324="L23"),AK324&gt;0),SUMIFS($AK$7:$AK$1570,$BR$7:$BR$1570,BR324,$AN$7:$AN$1570,"&gt;"&amp;AN324)+SUMIFS($AK$7:$AK$1570,$BR$7:$BR$1570,BR324,$AN$7:$AN$1570,AN324,$BL$7:$BL$1570,"&lt;="&amp;BL324),"")</f>
        <v/>
      </c>
      <c r="AP324" s="65">
        <f>IF(AO324="",0,MAX(0,MIN(1,(IF(BR324="L1",Parameter!$K$5,Parameter!$K$6+Parameter!$K$7)-(AO324-AK324))/AK324)))</f>
        <v/>
      </c>
      <c r="AQ324" s="55">
        <f>IF(LEFT(Cockpit!$O$5,1)="A",G324,IF(BT324=1,BU324,IF(LEFT(Cockpit!$O$5,1)="B",AU324,MAX(AU324,G324))))</f>
        <v/>
      </c>
      <c r="AR324" s="55">
        <f>IF(BO324=1,0,ROUNDUP(AQ324/BN324,0))</f>
        <v/>
      </c>
      <c r="AS324" s="64">
        <f>IF(BO324=1,IF(AQ324&lt;=0,0,BP324*MAX(1,IF(G324&gt;0,AQ324/G324,1))),AR324*Q324)</f>
        <v/>
      </c>
      <c r="AT324" s="55">
        <f>AQ324*F324</f>
        <v/>
      </c>
      <c r="AU324" s="55">
        <f>ROUNDUP(MAX(I324/IF(BS324&gt;0,BS324,MAX(0.1,N(Cockpit!$O$6))),BV324)/BN324,0)*BN324</f>
        <v/>
      </c>
      <c r="AV324" s="56">
        <f>IF(AS324&gt;0,I324/AS324,-1)</f>
        <v/>
      </c>
      <c r="AW324" s="56">
        <f>IF(AND(OR(BR324="L1",BR324="L23"),AS324&gt;0),SUMIFS($AS$7:$AS$1570,$BR$7:$BR$1570,BR324,$AV$7:$AV$1570,"&gt;"&amp;AV324)+SUMIFS($AS$7:$AS$1570,$BR$7:$BR$1570,BR324,$AV$7:$AV$1570,AV324,$BL$7:$BL$1570,"&lt;="&amp;BL324),"")</f>
        <v/>
      </c>
      <c r="AX324" s="65">
        <f>IF(AW324="",0,MAX(0,MIN(1,(IF(BR324="L1",Parameter!$K$5,Parameter!$K$6+Parameter!$K$7)-(AW324-AS324))/AS324)))</f>
        <v/>
      </c>
      <c r="AY324" s="53">
        <f>IF(AC324&lt;=0,"",IF(BR324="Aussen","Aussenlager",IF(BR324="-","Nicht im Lift",IF(AH324&gt;=1,"Lift",IF(AH324&lt;=0,"Aussenlager","teilweise")))))</f>
        <v/>
      </c>
      <c r="AZ324" s="53">
        <f>IF(AK324&lt;=0,"",IF(BR324="Aussen","Aussenlager",IF(BR324="-","Nicht im Lift",IF(AP324&gt;=1,"Lift",IF(AP324&lt;=0,"Aussenlager","teilweise")))))</f>
        <v/>
      </c>
      <c r="BA324" s="53">
        <f>IF(AS324&lt;=0,"",IF(BR324="Aussen","Aussenlager",IF(BR324="-","Nicht im Lift",IF(AX324&gt;=1,"Lift",IF(AX324&lt;=0,"Aussenlager","teilweise")))))</f>
        <v/>
      </c>
      <c r="BB324" s="53">
        <f>IF(A324="","",IF(BK324=1,"Neu; ","")&amp;IF(AND(BK324=0,BF324&lt;0),"negativer Bestand (Export "&amp;BF324&amp;"); ","")&amp;IF(I324&lt;=0,"Kein Verbrauch; ","")&amp;IF(BO324=1,"Lose – Fläche geschätzt; ","")&amp;IF(G324&gt;AM324,"Überbestand "&amp;ROUND(G324-AM324,0)&amp;" Stk / CHF "&amp;ROUND((G324-AM324)*F324,0)&amp;"; ","")&amp;IF(AND(BT324=1,BU324&lt;BV324),"MAX &lt; MB+LG; ","")&amp;IF(AND(BZ324&gt;0,BY324*10&gt;BZ324),"zu hoch für Tablar; ","")&amp;IF(AND(BK324=0,OR(BT324=1,V324&lt;&gt;"",S324&lt;&gt;"",T324&lt;&gt;"",W324&lt;&gt;"")),"manuell übersteuert; ","")&amp;IF(AND(BO324=0,Q324=0),"Gebinde unbekannt; ","")&amp;IF(AND(BO324=0,N(T324)&lt;=0,N(P324)&lt;=0),"Menge pro Gebinde fehlt (Ist = 1 Gebinde); ","")&amp;BJ324)</f>
        <v/>
      </c>
      <c r="BC324" s="53" t="n"/>
      <c r="BD324" s="53" t="n"/>
      <c r="BE324" s="61" t="n"/>
      <c r="BF324" s="55" t="n">
        <v>18</v>
      </c>
      <c r="BG324" s="55" t="n">
        <v>5</v>
      </c>
      <c r="BH324" s="54" t="n">
        <v>234</v>
      </c>
      <c r="BI324" s="55" t="n">
        <v>0</v>
      </c>
      <c r="BJ324" s="53" t="inlineStr"/>
      <c r="BK324" s="58" t="n">
        <v>0</v>
      </c>
      <c r="BL324" s="58" t="n">
        <v>324</v>
      </c>
      <c r="BM324" s="53">
        <f>IF(S324&lt;&gt;"",UPPER(TRIM(S324)),IF(O324="","LOSE",O324))</f>
        <v/>
      </c>
      <c r="BN324" s="55">
        <f>IF(BM324="LOSE",1,IF(N(T324)&gt;0,T324,IF(N(P324)&gt;0,P324,MAX(1,G324))))</f>
        <v/>
      </c>
      <c r="BO324" s="58">
        <f>IF(BM324="LOSE",1,0)</f>
        <v/>
      </c>
      <c r="BP324" s="64">
        <f>IF(BO324=0,0,IF(N(R324)&gt;0,R324,IFERROR(VLOOKUP(D324,Parameter!$A$35:$C$64,3,0)+0,0)))</f>
        <v/>
      </c>
      <c r="BQ324" s="53">
        <f>IF(V324&lt;&gt;"",V324,U324)</f>
        <v/>
      </c>
      <c r="BR324" s="53">
        <f>IF(BQ324=1,"L1",IF(OR(BQ324=2,BQ324=3),"L23",IF(BQ324="Aussen","Aussen","-")))</f>
        <v/>
      </c>
      <c r="BS324" s="66">
        <f>IF(N(W324)&gt;0,W324,0)</f>
        <v/>
      </c>
      <c r="BT324" s="58">
        <f>IF(ISNUMBER(Z324),1,0)</f>
        <v/>
      </c>
      <c r="BU324" s="55">
        <f>N(Z324)</f>
        <v/>
      </c>
      <c r="BV324" s="55">
        <f>N(L324)+N(M324)</f>
        <v/>
      </c>
      <c r="BW324" s="55">
        <f>ROUNDUP(G324/BN324,0)</f>
        <v/>
      </c>
      <c r="BX324" s="55">
        <f>ROUNDUP(BU324/BN324,0)</f>
        <v/>
      </c>
      <c r="BY324" s="58">
        <f>IF(BO324=1,0,IFERROR(VLOOKUP(BM324,'Gebinde-Kategorie'!$A$5:$G$45,5,0)+0,0))</f>
        <v/>
      </c>
      <c r="BZ324" s="58">
        <f>IFERROR(IF(OR(BQ324=1,BQ324=2,BQ324=3),N(INDEX(Parameter!$I$5:$I$7,BQ324)),0),0)</f>
        <v/>
      </c>
    </row>
    <row r="325">
      <c r="A325" s="53" t="inlineStr">
        <is>
          <t>005320</t>
        </is>
      </c>
      <c r="B325" s="53" t="inlineStr">
        <is>
          <t>Spezial Inbusschlüsseleinsatz</t>
        </is>
      </c>
      <c r="C325" s="53" t="inlineStr">
        <is>
          <t>F</t>
        </is>
      </c>
      <c r="D325" s="53" t="inlineStr">
        <is>
          <t>KTL</t>
        </is>
      </c>
      <c r="E325" s="53" t="inlineStr">
        <is>
          <t>C</t>
        </is>
      </c>
      <c r="F325" s="54" t="n">
        <v>74</v>
      </c>
      <c r="G325" s="55">
        <f>MAX(0,IF(Parameter!$B$20="Jahresanfang 2025 + Export",BG325+BF325,BF325))</f>
        <v/>
      </c>
      <c r="H325" s="55">
        <f>G325*F325</f>
        <v/>
      </c>
      <c r="I325" s="55">
        <f>BI325*Parameter!$B$18</f>
        <v/>
      </c>
      <c r="J325" s="56" t="n">
        <v>25</v>
      </c>
      <c r="K325" s="57" t="n">
        <v>0.52</v>
      </c>
      <c r="L325" s="55" t="n">
        <v>4</v>
      </c>
      <c r="M325" s="55" t="n">
        <v>50</v>
      </c>
      <c r="N325" s="58" t="n">
        <v>126</v>
      </c>
      <c r="O325" s="53" t="inlineStr">
        <is>
          <t>S32</t>
        </is>
      </c>
      <c r="P325" s="55" t="n">
        <v>37</v>
      </c>
      <c r="Q325" s="59">
        <f>IF(BO325=1,0,IFERROR(VLOOKUP(BM325,'Gebinde-Kategorie'!$A$5:$G$45,6,0)+0,0))</f>
        <v/>
      </c>
      <c r="R325" s="60" t="n"/>
      <c r="S325" s="61" t="n"/>
      <c r="T325" s="61" t="n"/>
      <c r="U325" s="53">
        <f>IF(A325="","",IF(IFERROR(VLOOKUP(D325,Parameter!$A$35:$C$64,2,0),"Nein")="2+3",IF(ISNUMBER(SEARCH("grosser Artikel",BJ325)),2,IFERROR(VLOOKUP(BM325,Parameter!$F$35:$G$64,2,0),2)),IF(OR(IFERROR(VLOOKUP(D325,Parameter!$A$35:$C$64,2,0),"Nein")="Nein",IFERROR(VLOOKUP(D325,Parameter!$A$35:$C$64,2,0),"Nein")=""),"-",VLOOKUP(D325,Parameter!$A$35:$C$64,2,0))))</f>
        <v/>
      </c>
      <c r="V325" s="61" t="n"/>
      <c r="W325" s="62" t="n"/>
      <c r="X325" s="55">
        <f>AM325</f>
        <v/>
      </c>
      <c r="Y325" s="55">
        <f>MAX(AM325,G325)</f>
        <v/>
      </c>
      <c r="Z325" s="63" t="n"/>
      <c r="AA325" s="55">
        <f>IF(LEFT(Cockpit!$C$5,1)="A",G325,IF(BT325=1,BU325,IF(LEFT(Cockpit!$C$5,1)="B",AE325,MAX(AE325,G325))))</f>
        <v/>
      </c>
      <c r="AB325" s="55">
        <f>IF(BO325=1,0,ROUNDUP(AA325/BN325,0))</f>
        <v/>
      </c>
      <c r="AC325" s="64">
        <f>IF(BO325=1,IF(AA325&lt;=0,0,BP325*MAX(1,IF(G325&gt;0,AA325/G325,1))),AB325*Q325)</f>
        <v/>
      </c>
      <c r="AD325" s="55">
        <f>AA325*F325</f>
        <v/>
      </c>
      <c r="AE325" s="55">
        <f>ROUNDUP(MAX(I325/IF(BS325&gt;0,BS325,MAX(0.1,N(Cockpit!$C$6))),BV325)/BN325,0)*BN325</f>
        <v/>
      </c>
      <c r="AF325" s="56">
        <f>IF(AC325&gt;0,I325/AC325,-1)</f>
        <v/>
      </c>
      <c r="AG325" s="56">
        <f>IF(AND(OR(BR325="L1",BR325="L23"),AC325&gt;0),SUMIFS($AC$7:$AC$1570,$BR$7:$BR$1570,BR325,$AF$7:$AF$1570,"&gt;"&amp;AF325)+SUMIFS($AC$7:$AC$1570,$BR$7:$BR$1570,BR325,$AF$7:$AF$1570,AF325,$BL$7:$BL$1570,"&lt;="&amp;BL325),"")</f>
        <v/>
      </c>
      <c r="AH325" s="65">
        <f>IF(AG325="",0,MAX(0,MIN(1,(IF(BR325="L1",Parameter!$K$5,Parameter!$K$6+Parameter!$K$7)-(AG325-AC325))/AC325)))</f>
        <v/>
      </c>
      <c r="AI325" s="55">
        <f>IF(LEFT(Cockpit!$I$5,1)="A",G325,IF(BT325=1,BU325,IF(LEFT(Cockpit!$I$5,1)="B",AM325,MAX(AM325,G325))))</f>
        <v/>
      </c>
      <c r="AJ325" s="55">
        <f>IF(BO325=1,0,ROUNDUP(AI325/BN325,0))</f>
        <v/>
      </c>
      <c r="AK325" s="64">
        <f>IF(BO325=1,IF(AI325&lt;=0,0,BP325*MAX(1,IF(G325&gt;0,AI325/G325,1))),AJ325*Q325)</f>
        <v/>
      </c>
      <c r="AL325" s="55">
        <f>AI325*F325</f>
        <v/>
      </c>
      <c r="AM325" s="55">
        <f>ROUNDUP(MAX(I325/IF(BS325&gt;0,BS325,MAX(0.1,N(Cockpit!$I$6))),BV325)/BN325,0)*BN325</f>
        <v/>
      </c>
      <c r="AN325" s="56">
        <f>IF(AK325&gt;0,I325/AK325,-1)</f>
        <v/>
      </c>
      <c r="AO325" s="56">
        <f>IF(AND(OR(BR325="L1",BR325="L23"),AK325&gt;0),SUMIFS($AK$7:$AK$1570,$BR$7:$BR$1570,BR325,$AN$7:$AN$1570,"&gt;"&amp;AN325)+SUMIFS($AK$7:$AK$1570,$BR$7:$BR$1570,BR325,$AN$7:$AN$1570,AN325,$BL$7:$BL$1570,"&lt;="&amp;BL325),"")</f>
        <v/>
      </c>
      <c r="AP325" s="65">
        <f>IF(AO325="",0,MAX(0,MIN(1,(IF(BR325="L1",Parameter!$K$5,Parameter!$K$6+Parameter!$K$7)-(AO325-AK325))/AK325)))</f>
        <v/>
      </c>
      <c r="AQ325" s="55">
        <f>IF(LEFT(Cockpit!$O$5,1)="A",G325,IF(BT325=1,BU325,IF(LEFT(Cockpit!$O$5,1)="B",AU325,MAX(AU325,G325))))</f>
        <v/>
      </c>
      <c r="AR325" s="55">
        <f>IF(BO325=1,0,ROUNDUP(AQ325/BN325,0))</f>
        <v/>
      </c>
      <c r="AS325" s="64">
        <f>IF(BO325=1,IF(AQ325&lt;=0,0,BP325*MAX(1,IF(G325&gt;0,AQ325/G325,1))),AR325*Q325)</f>
        <v/>
      </c>
      <c r="AT325" s="55">
        <f>AQ325*F325</f>
        <v/>
      </c>
      <c r="AU325" s="55">
        <f>ROUNDUP(MAX(I325/IF(BS325&gt;0,BS325,MAX(0.1,N(Cockpit!$O$6))),BV325)/BN325,0)*BN325</f>
        <v/>
      </c>
      <c r="AV325" s="56">
        <f>IF(AS325&gt;0,I325/AS325,-1)</f>
        <v/>
      </c>
      <c r="AW325" s="56">
        <f>IF(AND(OR(BR325="L1",BR325="L23"),AS325&gt;0),SUMIFS($AS$7:$AS$1570,$BR$7:$BR$1570,BR325,$AV$7:$AV$1570,"&gt;"&amp;AV325)+SUMIFS($AS$7:$AS$1570,$BR$7:$BR$1570,BR325,$AV$7:$AV$1570,AV325,$BL$7:$BL$1570,"&lt;="&amp;BL325),"")</f>
        <v/>
      </c>
      <c r="AX325" s="65">
        <f>IF(AW325="",0,MAX(0,MIN(1,(IF(BR325="L1",Parameter!$K$5,Parameter!$K$6+Parameter!$K$7)-(AW325-AS325))/AS325)))</f>
        <v/>
      </c>
      <c r="AY325" s="53">
        <f>IF(AC325&lt;=0,"",IF(BR325="Aussen","Aussenlager",IF(BR325="-","Nicht im Lift",IF(AH325&gt;=1,"Lift",IF(AH325&lt;=0,"Aussenlager","teilweise")))))</f>
        <v/>
      </c>
      <c r="AZ325" s="53">
        <f>IF(AK325&lt;=0,"",IF(BR325="Aussen","Aussenlager",IF(BR325="-","Nicht im Lift",IF(AP325&gt;=1,"Lift",IF(AP325&lt;=0,"Aussenlager","teilweise")))))</f>
        <v/>
      </c>
      <c r="BA325" s="53">
        <f>IF(AS325&lt;=0,"",IF(BR325="Aussen","Aussenlager",IF(BR325="-","Nicht im Lift",IF(AX325&gt;=1,"Lift",IF(AX325&lt;=0,"Aussenlager","teilweise")))))</f>
        <v/>
      </c>
      <c r="BB325" s="53">
        <f>IF(A325="","",IF(BK325=1,"Neu; ","")&amp;IF(AND(BK325=0,BF325&lt;0),"negativer Bestand (Export "&amp;BF325&amp;"); ","")&amp;IF(I325&lt;=0,"Kein Verbrauch; ","")&amp;IF(BO325=1,"Lose – Fläche geschätzt; ","")&amp;IF(G325&gt;AM325,"Überbestand "&amp;ROUND(G325-AM325,0)&amp;" Stk / CHF "&amp;ROUND((G325-AM325)*F325,0)&amp;"; ","")&amp;IF(AND(BT325=1,BU325&lt;BV325),"MAX &lt; MB+LG; ","")&amp;IF(AND(BZ325&gt;0,BY325*10&gt;BZ325),"zu hoch für Tablar; ","")&amp;IF(AND(BK325=0,OR(BT325=1,V325&lt;&gt;"",S325&lt;&gt;"",T325&lt;&gt;"",W325&lt;&gt;"")),"manuell übersteuert; ","")&amp;IF(AND(BO325=0,Q325=0),"Gebinde unbekannt; ","")&amp;IF(AND(BO325=0,N(T325)&lt;=0,N(P325)&lt;=0),"Menge pro Gebinde fehlt (Ist = 1 Gebinde); ","")&amp;BJ325)</f>
        <v/>
      </c>
      <c r="BC325" s="53" t="n"/>
      <c r="BD325" s="53" t="n"/>
      <c r="BE325" s="61" t="n"/>
      <c r="BF325" s="55" t="n">
        <v>8</v>
      </c>
      <c r="BG325" s="55" t="n">
        <v>21</v>
      </c>
      <c r="BH325" s="54" t="n">
        <v>228.28</v>
      </c>
      <c r="BI325" s="55" t="n">
        <v>13</v>
      </c>
      <c r="BJ325" s="53" t="inlineStr"/>
      <c r="BK325" s="58" t="n">
        <v>0</v>
      </c>
      <c r="BL325" s="58" t="n">
        <v>325</v>
      </c>
      <c r="BM325" s="53">
        <f>IF(S325&lt;&gt;"",UPPER(TRIM(S325)),IF(O325="","LOSE",O325))</f>
        <v/>
      </c>
      <c r="BN325" s="55">
        <f>IF(BM325="LOSE",1,IF(N(T325)&gt;0,T325,IF(N(P325)&gt;0,P325,MAX(1,G325))))</f>
        <v/>
      </c>
      <c r="BO325" s="58">
        <f>IF(BM325="LOSE",1,0)</f>
        <v/>
      </c>
      <c r="BP325" s="64">
        <f>IF(BO325=0,0,IF(N(R325)&gt;0,R325,IFERROR(VLOOKUP(D325,Parameter!$A$35:$C$64,3,0)+0,0)))</f>
        <v/>
      </c>
      <c r="BQ325" s="53">
        <f>IF(V325&lt;&gt;"",V325,U325)</f>
        <v/>
      </c>
      <c r="BR325" s="53">
        <f>IF(BQ325=1,"L1",IF(OR(BQ325=2,BQ325=3),"L23",IF(BQ325="Aussen","Aussen","-")))</f>
        <v/>
      </c>
      <c r="BS325" s="66">
        <f>IF(N(W325)&gt;0,W325,0)</f>
        <v/>
      </c>
      <c r="BT325" s="58">
        <f>IF(ISNUMBER(Z325),1,0)</f>
        <v/>
      </c>
      <c r="BU325" s="55">
        <f>N(Z325)</f>
        <v/>
      </c>
      <c r="BV325" s="55">
        <f>N(L325)+N(M325)</f>
        <v/>
      </c>
      <c r="BW325" s="55">
        <f>ROUNDUP(G325/BN325,0)</f>
        <v/>
      </c>
      <c r="BX325" s="55">
        <f>ROUNDUP(BU325/BN325,0)</f>
        <v/>
      </c>
      <c r="BY325" s="58">
        <f>IF(BO325=1,0,IFERROR(VLOOKUP(BM325,'Gebinde-Kategorie'!$A$5:$G$45,5,0)+0,0))</f>
        <v/>
      </c>
      <c r="BZ325" s="58">
        <f>IFERROR(IF(OR(BQ325=1,BQ325=2,BQ325=3),N(INDEX(Parameter!$I$5:$I$7,BQ325)),0),0)</f>
        <v/>
      </c>
    </row>
    <row r="326">
      <c r="A326" s="53" t="inlineStr">
        <is>
          <t>106386</t>
        </is>
      </c>
      <c r="B326" s="53" t="inlineStr">
        <is>
          <t>Glühkerzen-Dummy</t>
        </is>
      </c>
      <c r="C326" s="53" t="inlineStr">
        <is>
          <t>F</t>
        </is>
      </c>
      <c r="D326" s="53" t="inlineStr">
        <is>
          <t>KTL</t>
        </is>
      </c>
      <c r="E326" s="53" t="inlineStr">
        <is>
          <t>C</t>
        </is>
      </c>
      <c r="F326" s="54" t="n">
        <v>34.66</v>
      </c>
      <c r="G326" s="55">
        <f>MAX(0,IF(Parameter!$B$20="Jahresanfang 2025 + Export",BG326+BF326,BF326))</f>
        <v/>
      </c>
      <c r="H326" s="55">
        <f>G326*F326</f>
        <v/>
      </c>
      <c r="I326" s="55">
        <f>BI326*Parameter!$B$18</f>
        <v/>
      </c>
      <c r="J326" s="56" t="n">
        <v>23.5</v>
      </c>
      <c r="K326" s="57" t="n">
        <v>1.574468085106383</v>
      </c>
      <c r="L326" s="55" t="n">
        <v>4</v>
      </c>
      <c r="M326" s="55" t="n">
        <v>35</v>
      </c>
      <c r="N326" s="58" t="n">
        <v>42</v>
      </c>
      <c r="O326" s="53" t="inlineStr">
        <is>
          <t>S32</t>
        </is>
      </c>
      <c r="P326" s="55" t="n">
        <v>46</v>
      </c>
      <c r="Q326" s="59">
        <f>IF(BO326=1,0,IFERROR(VLOOKUP(BM326,'Gebinde-Kategorie'!$A$5:$G$45,6,0)+0,0))</f>
        <v/>
      </c>
      <c r="R326" s="60" t="n"/>
      <c r="S326" s="61" t="n"/>
      <c r="T326" s="61" t="n"/>
      <c r="U326" s="53">
        <f>IF(A326="","",IF(IFERROR(VLOOKUP(D326,Parameter!$A$35:$C$64,2,0),"Nein")="2+3",IF(ISNUMBER(SEARCH("grosser Artikel",BJ326)),2,IFERROR(VLOOKUP(BM326,Parameter!$F$35:$G$64,2,0),2)),IF(OR(IFERROR(VLOOKUP(D326,Parameter!$A$35:$C$64,2,0),"Nein")="Nein",IFERROR(VLOOKUP(D326,Parameter!$A$35:$C$64,2,0),"Nein")=""),"-",VLOOKUP(D326,Parameter!$A$35:$C$64,2,0))))</f>
        <v/>
      </c>
      <c r="V326" s="61" t="n"/>
      <c r="W326" s="62" t="n"/>
      <c r="X326" s="55">
        <f>AM326</f>
        <v/>
      </c>
      <c r="Y326" s="55">
        <f>MAX(AM326,G326)</f>
        <v/>
      </c>
      <c r="Z326" s="63" t="n"/>
      <c r="AA326" s="55">
        <f>IF(LEFT(Cockpit!$C$5,1)="A",G326,IF(BT326=1,BU326,IF(LEFT(Cockpit!$C$5,1)="B",AE326,MAX(AE326,G326))))</f>
        <v/>
      </c>
      <c r="AB326" s="55">
        <f>IF(BO326=1,0,ROUNDUP(AA326/BN326,0))</f>
        <v/>
      </c>
      <c r="AC326" s="64">
        <f>IF(BO326=1,IF(AA326&lt;=0,0,BP326*MAX(1,IF(G326&gt;0,AA326/G326,1))),AB326*Q326)</f>
        <v/>
      </c>
      <c r="AD326" s="55">
        <f>AA326*F326</f>
        <v/>
      </c>
      <c r="AE326" s="55">
        <f>ROUNDUP(MAX(I326/IF(BS326&gt;0,BS326,MAX(0.1,N(Cockpit!$C$6))),BV326)/BN326,0)*BN326</f>
        <v/>
      </c>
      <c r="AF326" s="56">
        <f>IF(AC326&gt;0,I326/AC326,-1)</f>
        <v/>
      </c>
      <c r="AG326" s="56">
        <f>IF(AND(OR(BR326="L1",BR326="L23"),AC326&gt;0),SUMIFS($AC$7:$AC$1570,$BR$7:$BR$1570,BR326,$AF$7:$AF$1570,"&gt;"&amp;AF326)+SUMIFS($AC$7:$AC$1570,$BR$7:$BR$1570,BR326,$AF$7:$AF$1570,AF326,$BL$7:$BL$1570,"&lt;="&amp;BL326),"")</f>
        <v/>
      </c>
      <c r="AH326" s="65">
        <f>IF(AG326="",0,MAX(0,MIN(1,(IF(BR326="L1",Parameter!$K$5,Parameter!$K$6+Parameter!$K$7)-(AG326-AC326))/AC326)))</f>
        <v/>
      </c>
      <c r="AI326" s="55">
        <f>IF(LEFT(Cockpit!$I$5,1)="A",G326,IF(BT326=1,BU326,IF(LEFT(Cockpit!$I$5,1)="B",AM326,MAX(AM326,G326))))</f>
        <v/>
      </c>
      <c r="AJ326" s="55">
        <f>IF(BO326=1,0,ROUNDUP(AI326/BN326,0))</f>
        <v/>
      </c>
      <c r="AK326" s="64">
        <f>IF(BO326=1,IF(AI326&lt;=0,0,BP326*MAX(1,IF(G326&gt;0,AI326/G326,1))),AJ326*Q326)</f>
        <v/>
      </c>
      <c r="AL326" s="55">
        <f>AI326*F326</f>
        <v/>
      </c>
      <c r="AM326" s="55">
        <f>ROUNDUP(MAX(I326/IF(BS326&gt;0,BS326,MAX(0.1,N(Cockpit!$I$6))),BV326)/BN326,0)*BN326</f>
        <v/>
      </c>
      <c r="AN326" s="56">
        <f>IF(AK326&gt;0,I326/AK326,-1)</f>
        <v/>
      </c>
      <c r="AO326" s="56">
        <f>IF(AND(OR(BR326="L1",BR326="L23"),AK326&gt;0),SUMIFS($AK$7:$AK$1570,$BR$7:$BR$1570,BR326,$AN$7:$AN$1570,"&gt;"&amp;AN326)+SUMIFS($AK$7:$AK$1570,$BR$7:$BR$1570,BR326,$AN$7:$AN$1570,AN326,$BL$7:$BL$1570,"&lt;="&amp;BL326),"")</f>
        <v/>
      </c>
      <c r="AP326" s="65">
        <f>IF(AO326="",0,MAX(0,MIN(1,(IF(BR326="L1",Parameter!$K$5,Parameter!$K$6+Parameter!$K$7)-(AO326-AK326))/AK326)))</f>
        <v/>
      </c>
      <c r="AQ326" s="55">
        <f>IF(LEFT(Cockpit!$O$5,1)="A",G326,IF(BT326=1,BU326,IF(LEFT(Cockpit!$O$5,1)="B",AU326,MAX(AU326,G326))))</f>
        <v/>
      </c>
      <c r="AR326" s="55">
        <f>IF(BO326=1,0,ROUNDUP(AQ326/BN326,0))</f>
        <v/>
      </c>
      <c r="AS326" s="64">
        <f>IF(BO326=1,IF(AQ326&lt;=0,0,BP326*MAX(1,IF(G326&gt;0,AQ326/G326,1))),AR326*Q326)</f>
        <v/>
      </c>
      <c r="AT326" s="55">
        <f>AQ326*F326</f>
        <v/>
      </c>
      <c r="AU326" s="55">
        <f>ROUNDUP(MAX(I326/IF(BS326&gt;0,BS326,MAX(0.1,N(Cockpit!$O$6))),BV326)/BN326,0)*BN326</f>
        <v/>
      </c>
      <c r="AV326" s="56">
        <f>IF(AS326&gt;0,I326/AS326,-1)</f>
        <v/>
      </c>
      <c r="AW326" s="56">
        <f>IF(AND(OR(BR326="L1",BR326="L23"),AS326&gt;0),SUMIFS($AS$7:$AS$1570,$BR$7:$BR$1570,BR326,$AV$7:$AV$1570,"&gt;"&amp;AV326)+SUMIFS($AS$7:$AS$1570,$BR$7:$BR$1570,BR326,$AV$7:$AV$1570,AV326,$BL$7:$BL$1570,"&lt;="&amp;BL326),"")</f>
        <v/>
      </c>
      <c r="AX326" s="65">
        <f>IF(AW326="",0,MAX(0,MIN(1,(IF(BR326="L1",Parameter!$K$5,Parameter!$K$6+Parameter!$K$7)-(AW326-AS326))/AS326)))</f>
        <v/>
      </c>
      <c r="AY326" s="53">
        <f>IF(AC326&lt;=0,"",IF(BR326="Aussen","Aussenlager",IF(BR326="-","Nicht im Lift",IF(AH326&gt;=1,"Lift",IF(AH326&lt;=0,"Aussenlager","teilweise")))))</f>
        <v/>
      </c>
      <c r="AZ326" s="53">
        <f>IF(AK326&lt;=0,"",IF(BR326="Aussen","Aussenlager",IF(BR326="-","Nicht im Lift",IF(AP326&gt;=1,"Lift",IF(AP326&lt;=0,"Aussenlager","teilweise")))))</f>
        <v/>
      </c>
      <c r="BA326" s="53">
        <f>IF(AS326&lt;=0,"",IF(BR326="Aussen","Aussenlager",IF(BR326="-","Nicht im Lift",IF(AX326&gt;=1,"Lift",IF(AX326&lt;=0,"Aussenlager","teilweise")))))</f>
        <v/>
      </c>
      <c r="BB326" s="53">
        <f>IF(A326="","",IF(BK326=1,"Neu; ","")&amp;IF(AND(BK326=0,BF326&lt;0),"negativer Bestand (Export "&amp;BF326&amp;"); ","")&amp;IF(I326&lt;=0,"Kein Verbrauch; ","")&amp;IF(BO326=1,"Lose – Fläche geschätzt; ","")&amp;IF(G326&gt;AM326,"Überbestand "&amp;ROUND(G326-AM326,0)&amp;" Stk / CHF "&amp;ROUND((G326-AM326)*F326,0)&amp;"; ","")&amp;IF(AND(BT326=1,BU326&lt;BV326),"MAX &lt; MB+LG; ","")&amp;IF(AND(BZ326&gt;0,BY326*10&gt;BZ326),"zu hoch für Tablar; ","")&amp;IF(AND(BK326=0,OR(BT326=1,V326&lt;&gt;"",S326&lt;&gt;"",T326&lt;&gt;"",W326&lt;&gt;"")),"manuell übersteuert; ","")&amp;IF(AND(BO326=0,Q326=0),"Gebinde unbekannt; ","")&amp;IF(AND(BO326=0,N(T326)&lt;=0,N(P326)&lt;=0),"Menge pro Gebinde fehlt (Ist = 1 Gebinde); ","")&amp;BJ326)</f>
        <v/>
      </c>
      <c r="BC326" s="53" t="n"/>
      <c r="BD326" s="53" t="n"/>
      <c r="BE326" s="61" t="n"/>
      <c r="BF326" s="55" t="n">
        <v>11</v>
      </c>
      <c r="BG326" s="55" t="n">
        <v>22</v>
      </c>
      <c r="BH326" s="54" t="n">
        <v>227.0399999999996</v>
      </c>
      <c r="BI326" s="55" t="n">
        <v>37</v>
      </c>
      <c r="BJ326" s="53" t="inlineStr"/>
      <c r="BK326" s="58" t="n">
        <v>0</v>
      </c>
      <c r="BL326" s="58" t="n">
        <v>326</v>
      </c>
      <c r="BM326" s="53">
        <f>IF(S326&lt;&gt;"",UPPER(TRIM(S326)),IF(O326="","LOSE",O326))</f>
        <v/>
      </c>
      <c r="BN326" s="55">
        <f>IF(BM326="LOSE",1,IF(N(T326)&gt;0,T326,IF(N(P326)&gt;0,P326,MAX(1,G326))))</f>
        <v/>
      </c>
      <c r="BO326" s="58">
        <f>IF(BM326="LOSE",1,0)</f>
        <v/>
      </c>
      <c r="BP326" s="64">
        <f>IF(BO326=0,0,IF(N(R326)&gt;0,R326,IFERROR(VLOOKUP(D326,Parameter!$A$35:$C$64,3,0)+0,0)))</f>
        <v/>
      </c>
      <c r="BQ326" s="53">
        <f>IF(V326&lt;&gt;"",V326,U326)</f>
        <v/>
      </c>
      <c r="BR326" s="53">
        <f>IF(BQ326=1,"L1",IF(OR(BQ326=2,BQ326=3),"L23",IF(BQ326="Aussen","Aussen","-")))</f>
        <v/>
      </c>
      <c r="BS326" s="66">
        <f>IF(N(W326)&gt;0,W326,0)</f>
        <v/>
      </c>
      <c r="BT326" s="58">
        <f>IF(ISNUMBER(Z326),1,0)</f>
        <v/>
      </c>
      <c r="BU326" s="55">
        <f>N(Z326)</f>
        <v/>
      </c>
      <c r="BV326" s="55">
        <f>N(L326)+N(M326)</f>
        <v/>
      </c>
      <c r="BW326" s="55">
        <f>ROUNDUP(G326/BN326,0)</f>
        <v/>
      </c>
      <c r="BX326" s="55">
        <f>ROUNDUP(BU326/BN326,0)</f>
        <v/>
      </c>
      <c r="BY326" s="58">
        <f>IF(BO326=1,0,IFERROR(VLOOKUP(BM326,'Gebinde-Kategorie'!$A$5:$G$45,5,0)+0,0))</f>
        <v/>
      </c>
      <c r="BZ326" s="58">
        <f>IFERROR(IF(OR(BQ326=1,BQ326=2,BQ326=3),N(INDEX(Parameter!$I$5:$I$7,BQ326)),0),0)</f>
        <v/>
      </c>
    </row>
    <row r="327">
      <c r="A327" s="53" t="inlineStr">
        <is>
          <t>005686</t>
        </is>
      </c>
      <c r="B327" s="53" t="inlineStr">
        <is>
          <t>Schaltschrank Etikette</t>
        </is>
      </c>
      <c r="C327" s="53" t="inlineStr">
        <is>
          <t>F</t>
        </is>
      </c>
      <c r="D327" s="53" t="inlineStr">
        <is>
          <t>KTL</t>
        </is>
      </c>
      <c r="E327" s="53" t="inlineStr">
        <is>
          <t>C</t>
        </is>
      </c>
      <c r="F327" s="54" t="n">
        <v>1.04</v>
      </c>
      <c r="G327" s="55">
        <f>MAX(0,IF(Parameter!$B$20="Jahresanfang 2025 + Export",BG327+BF327,BF327))</f>
        <v/>
      </c>
      <c r="H327" s="55">
        <f>G327*F327</f>
        <v/>
      </c>
      <c r="I327" s="55">
        <f>BI327*Parameter!$B$18</f>
        <v/>
      </c>
      <c r="J327" s="56" t="n">
        <v>41.5</v>
      </c>
      <c r="K327" s="57" t="n">
        <v>2.409638554216868</v>
      </c>
      <c r="L327" s="55" t="n">
        <v>25</v>
      </c>
      <c r="M327" s="55" t="n">
        <v>200</v>
      </c>
      <c r="N327" s="58" t="n">
        <v>35</v>
      </c>
      <c r="O327" s="53" t="inlineStr">
        <is>
          <t>S22</t>
        </is>
      </c>
      <c r="P327" s="55" t="n">
        <v>200</v>
      </c>
      <c r="Q327" s="59">
        <f>IF(BO327=1,0,IFERROR(VLOOKUP(BM327,'Gebinde-Kategorie'!$A$5:$G$45,6,0)+0,0))</f>
        <v/>
      </c>
      <c r="R327" s="60" t="n"/>
      <c r="S327" s="61" t="n"/>
      <c r="T327" s="61" t="n"/>
      <c r="U327" s="53">
        <f>IF(A327="","",IF(IFERROR(VLOOKUP(D327,Parameter!$A$35:$C$64,2,0),"Nein")="2+3",IF(ISNUMBER(SEARCH("grosser Artikel",BJ327)),2,IFERROR(VLOOKUP(BM327,Parameter!$F$35:$G$64,2,0),2)),IF(OR(IFERROR(VLOOKUP(D327,Parameter!$A$35:$C$64,2,0),"Nein")="Nein",IFERROR(VLOOKUP(D327,Parameter!$A$35:$C$64,2,0),"Nein")=""),"-",VLOOKUP(D327,Parameter!$A$35:$C$64,2,0))))</f>
        <v/>
      </c>
      <c r="V327" s="61" t="n"/>
      <c r="W327" s="62" t="n"/>
      <c r="X327" s="55">
        <f>AM327</f>
        <v/>
      </c>
      <c r="Y327" s="55">
        <f>MAX(AM327,G327)</f>
        <v/>
      </c>
      <c r="Z327" s="63" t="n"/>
      <c r="AA327" s="55">
        <f>IF(LEFT(Cockpit!$C$5,1)="A",G327,IF(BT327=1,BU327,IF(LEFT(Cockpit!$C$5,1)="B",AE327,MAX(AE327,G327))))</f>
        <v/>
      </c>
      <c r="AB327" s="55">
        <f>IF(BO327=1,0,ROUNDUP(AA327/BN327,0))</f>
        <v/>
      </c>
      <c r="AC327" s="64">
        <f>IF(BO327=1,IF(AA327&lt;=0,0,BP327*MAX(1,IF(G327&gt;0,AA327/G327,1))),AB327*Q327)</f>
        <v/>
      </c>
      <c r="AD327" s="55">
        <f>AA327*F327</f>
        <v/>
      </c>
      <c r="AE327" s="55">
        <f>ROUNDUP(MAX(I327/IF(BS327&gt;0,BS327,MAX(0.1,N(Cockpit!$C$6))),BV327)/BN327,0)*BN327</f>
        <v/>
      </c>
      <c r="AF327" s="56">
        <f>IF(AC327&gt;0,I327/AC327,-1)</f>
        <v/>
      </c>
      <c r="AG327" s="56">
        <f>IF(AND(OR(BR327="L1",BR327="L23"),AC327&gt;0),SUMIFS($AC$7:$AC$1570,$BR$7:$BR$1570,BR327,$AF$7:$AF$1570,"&gt;"&amp;AF327)+SUMIFS($AC$7:$AC$1570,$BR$7:$BR$1570,BR327,$AF$7:$AF$1570,AF327,$BL$7:$BL$1570,"&lt;="&amp;BL327),"")</f>
        <v/>
      </c>
      <c r="AH327" s="65">
        <f>IF(AG327="",0,MAX(0,MIN(1,(IF(BR327="L1",Parameter!$K$5,Parameter!$K$6+Parameter!$K$7)-(AG327-AC327))/AC327)))</f>
        <v/>
      </c>
      <c r="AI327" s="55">
        <f>IF(LEFT(Cockpit!$I$5,1)="A",G327,IF(BT327=1,BU327,IF(LEFT(Cockpit!$I$5,1)="B",AM327,MAX(AM327,G327))))</f>
        <v/>
      </c>
      <c r="AJ327" s="55">
        <f>IF(BO327=1,0,ROUNDUP(AI327/BN327,0))</f>
        <v/>
      </c>
      <c r="AK327" s="64">
        <f>IF(BO327=1,IF(AI327&lt;=0,0,BP327*MAX(1,IF(G327&gt;0,AI327/G327,1))),AJ327*Q327)</f>
        <v/>
      </c>
      <c r="AL327" s="55">
        <f>AI327*F327</f>
        <v/>
      </c>
      <c r="AM327" s="55">
        <f>ROUNDUP(MAX(I327/IF(BS327&gt;0,BS327,MAX(0.1,N(Cockpit!$I$6))),BV327)/BN327,0)*BN327</f>
        <v/>
      </c>
      <c r="AN327" s="56">
        <f>IF(AK327&gt;0,I327/AK327,-1)</f>
        <v/>
      </c>
      <c r="AO327" s="56">
        <f>IF(AND(OR(BR327="L1",BR327="L23"),AK327&gt;0),SUMIFS($AK$7:$AK$1570,$BR$7:$BR$1570,BR327,$AN$7:$AN$1570,"&gt;"&amp;AN327)+SUMIFS($AK$7:$AK$1570,$BR$7:$BR$1570,BR327,$AN$7:$AN$1570,AN327,$BL$7:$BL$1570,"&lt;="&amp;BL327),"")</f>
        <v/>
      </c>
      <c r="AP327" s="65">
        <f>IF(AO327="",0,MAX(0,MIN(1,(IF(BR327="L1",Parameter!$K$5,Parameter!$K$6+Parameter!$K$7)-(AO327-AK327))/AK327)))</f>
        <v/>
      </c>
      <c r="AQ327" s="55">
        <f>IF(LEFT(Cockpit!$O$5,1)="A",G327,IF(BT327=1,BU327,IF(LEFT(Cockpit!$O$5,1)="B",AU327,MAX(AU327,G327))))</f>
        <v/>
      </c>
      <c r="AR327" s="55">
        <f>IF(BO327=1,0,ROUNDUP(AQ327/BN327,0))</f>
        <v/>
      </c>
      <c r="AS327" s="64">
        <f>IF(BO327=1,IF(AQ327&lt;=0,0,BP327*MAX(1,IF(G327&gt;0,AQ327/G327,1))),AR327*Q327)</f>
        <v/>
      </c>
      <c r="AT327" s="55">
        <f>AQ327*F327</f>
        <v/>
      </c>
      <c r="AU327" s="55">
        <f>ROUNDUP(MAX(I327/IF(BS327&gt;0,BS327,MAX(0.1,N(Cockpit!$O$6))),BV327)/BN327,0)*BN327</f>
        <v/>
      </c>
      <c r="AV327" s="56">
        <f>IF(AS327&gt;0,I327/AS327,-1)</f>
        <v/>
      </c>
      <c r="AW327" s="56">
        <f>IF(AND(OR(BR327="L1",BR327="L23"),AS327&gt;0),SUMIFS($AS$7:$AS$1570,$BR$7:$BR$1570,BR327,$AV$7:$AV$1570,"&gt;"&amp;AV327)+SUMIFS($AS$7:$AS$1570,$BR$7:$BR$1570,BR327,$AV$7:$AV$1570,AV327,$BL$7:$BL$1570,"&lt;="&amp;BL327),"")</f>
        <v/>
      </c>
      <c r="AX327" s="65">
        <f>IF(AW327="",0,MAX(0,MIN(1,(IF(BR327="L1",Parameter!$K$5,Parameter!$K$6+Parameter!$K$7)-(AW327-AS327))/AS327)))</f>
        <v/>
      </c>
      <c r="AY327" s="53">
        <f>IF(AC327&lt;=0,"",IF(BR327="Aussen","Aussenlager",IF(BR327="-","Nicht im Lift",IF(AH327&gt;=1,"Lift",IF(AH327&lt;=0,"Aussenlager","teilweise")))))</f>
        <v/>
      </c>
      <c r="AZ327" s="53">
        <f>IF(AK327&lt;=0,"",IF(BR327="Aussen","Aussenlager",IF(BR327="-","Nicht im Lift",IF(AP327&gt;=1,"Lift",IF(AP327&lt;=0,"Aussenlager","teilweise")))))</f>
        <v/>
      </c>
      <c r="BA327" s="53">
        <f>IF(AS327&lt;=0,"",IF(BR327="Aussen","Aussenlager",IF(BR327="-","Nicht im Lift",IF(AX327&gt;=1,"Lift",IF(AX327&lt;=0,"Aussenlager","teilweise")))))</f>
        <v/>
      </c>
      <c r="BB327" s="53">
        <f>IF(A327="","",IF(BK327=1,"Neu; ","")&amp;IF(AND(BK327=0,BF327&lt;0),"negativer Bestand (Export "&amp;BF327&amp;"); ","")&amp;IF(I327&lt;=0,"Kein Verbrauch; ","")&amp;IF(BO327=1,"Lose – Fläche geschätzt; ","")&amp;IF(G327&gt;AM327,"Überbestand "&amp;ROUND(G327-AM327,0)&amp;" Stk / CHF "&amp;ROUND((G327-AM327)*F327,0)&amp;"; ","")&amp;IF(AND(BT327=1,BU327&lt;BV327),"MAX &lt; MB+LG; ","")&amp;IF(AND(BZ327&gt;0,BY327*10&gt;BZ327),"zu hoch für Tablar; ","")&amp;IF(AND(BK327=0,OR(BT327=1,V327&lt;&gt;"",S327&lt;&gt;"",T327&lt;&gt;"",W327&lt;&gt;"")),"manuell übersteuert; ","")&amp;IF(AND(BO327=0,Q327=0),"Gebinde unbekannt; ","")&amp;IF(AND(BO327=0,N(T327)&lt;=0,N(P327)&lt;=0),"Menge pro Gebinde fehlt (Ist = 1 Gebinde); ","")&amp;BJ327)</f>
        <v/>
      </c>
      <c r="BC327" s="53" t="n"/>
      <c r="BD327" s="53" t="n"/>
      <c r="BE327" s="61" t="n"/>
      <c r="BF327" s="55" t="n">
        <v>215</v>
      </c>
      <c r="BG327" s="55" t="n">
        <v>4</v>
      </c>
      <c r="BH327" s="54" t="n">
        <v>223.6</v>
      </c>
      <c r="BI327" s="55" t="n">
        <v>100</v>
      </c>
      <c r="BJ327" s="53" t="inlineStr"/>
      <c r="BK327" s="58" t="n">
        <v>0</v>
      </c>
      <c r="BL327" s="58" t="n">
        <v>327</v>
      </c>
      <c r="BM327" s="53">
        <f>IF(S327&lt;&gt;"",UPPER(TRIM(S327)),IF(O327="","LOSE",O327))</f>
        <v/>
      </c>
      <c r="BN327" s="55">
        <f>IF(BM327="LOSE",1,IF(N(T327)&gt;0,T327,IF(N(P327)&gt;0,P327,MAX(1,G327))))</f>
        <v/>
      </c>
      <c r="BO327" s="58">
        <f>IF(BM327="LOSE",1,0)</f>
        <v/>
      </c>
      <c r="BP327" s="64">
        <f>IF(BO327=0,0,IF(N(R327)&gt;0,R327,IFERROR(VLOOKUP(D327,Parameter!$A$35:$C$64,3,0)+0,0)))</f>
        <v/>
      </c>
      <c r="BQ327" s="53">
        <f>IF(V327&lt;&gt;"",V327,U327)</f>
        <v/>
      </c>
      <c r="BR327" s="53">
        <f>IF(BQ327=1,"L1",IF(OR(BQ327=2,BQ327=3),"L23",IF(BQ327="Aussen","Aussen","-")))</f>
        <v/>
      </c>
      <c r="BS327" s="66">
        <f>IF(N(W327)&gt;0,W327,0)</f>
        <v/>
      </c>
      <c r="BT327" s="58">
        <f>IF(ISNUMBER(Z327),1,0)</f>
        <v/>
      </c>
      <c r="BU327" s="55">
        <f>N(Z327)</f>
        <v/>
      </c>
      <c r="BV327" s="55">
        <f>N(L327)+N(M327)</f>
        <v/>
      </c>
      <c r="BW327" s="55">
        <f>ROUNDUP(G327/BN327,0)</f>
        <v/>
      </c>
      <c r="BX327" s="55">
        <f>ROUNDUP(BU327/BN327,0)</f>
        <v/>
      </c>
      <c r="BY327" s="58">
        <f>IF(BO327=1,0,IFERROR(VLOOKUP(BM327,'Gebinde-Kategorie'!$A$5:$G$45,5,0)+0,0))</f>
        <v/>
      </c>
      <c r="BZ327" s="58">
        <f>IFERROR(IF(OR(BQ327=1,BQ327=2,BQ327=3),N(INDEX(Parameter!$I$5:$I$7,BQ327)),0),0)</f>
        <v/>
      </c>
    </row>
    <row r="328">
      <c r="A328" s="53" t="inlineStr">
        <is>
          <t>107863</t>
        </is>
      </c>
      <c r="B328" s="53" t="inlineStr">
        <is>
          <t>Blende</t>
        </is>
      </c>
      <c r="C328" s="53" t="inlineStr">
        <is>
          <t>F</t>
        </is>
      </c>
      <c r="D328" s="53" t="inlineStr">
        <is>
          <t>KTL</t>
        </is>
      </c>
      <c r="E328" s="53" t="inlineStr">
        <is>
          <t>C</t>
        </is>
      </c>
      <c r="F328" s="54" t="n">
        <v>1.5</v>
      </c>
      <c r="G328" s="55">
        <f>MAX(0,IF(Parameter!$B$20="Jahresanfang 2025 + Export",BG328+BF328,BF328))</f>
        <v/>
      </c>
      <c r="H328" s="55">
        <f>G328*F328</f>
        <v/>
      </c>
      <c r="I328" s="55">
        <f>BI328*Parameter!$B$18</f>
        <v/>
      </c>
      <c r="J328" s="56" t="n">
        <v>154.5</v>
      </c>
      <c r="K328" s="57" t="n">
        <v>2.343042071197411</v>
      </c>
      <c r="L328" s="55" t="n">
        <v>21</v>
      </c>
      <c r="M328" s="55" t="n">
        <v>360</v>
      </c>
      <c r="N328" s="58" t="n">
        <v>21</v>
      </c>
      <c r="O328" s="53" t="inlineStr">
        <is>
          <t>S22</t>
        </is>
      </c>
      <c r="P328" s="55" t="n">
        <v>121</v>
      </c>
      <c r="Q328" s="59">
        <f>IF(BO328=1,0,IFERROR(VLOOKUP(BM328,'Gebinde-Kategorie'!$A$5:$G$45,6,0)+0,0))</f>
        <v/>
      </c>
      <c r="R328" s="60" t="n"/>
      <c r="S328" s="61" t="n"/>
      <c r="T328" s="61" t="n"/>
      <c r="U328" s="53">
        <f>IF(A328="","",IF(IFERROR(VLOOKUP(D328,Parameter!$A$35:$C$64,2,0),"Nein")="2+3",IF(ISNUMBER(SEARCH("grosser Artikel",BJ328)),2,IFERROR(VLOOKUP(BM328,Parameter!$F$35:$G$64,2,0),2)),IF(OR(IFERROR(VLOOKUP(D328,Parameter!$A$35:$C$64,2,0),"Nein")="Nein",IFERROR(VLOOKUP(D328,Parameter!$A$35:$C$64,2,0),"Nein")=""),"-",VLOOKUP(D328,Parameter!$A$35:$C$64,2,0))))</f>
        <v/>
      </c>
      <c r="V328" s="61" t="n"/>
      <c r="W328" s="62" t="n"/>
      <c r="X328" s="55">
        <f>AM328</f>
        <v/>
      </c>
      <c r="Y328" s="55">
        <f>MAX(AM328,G328)</f>
        <v/>
      </c>
      <c r="Z328" s="63" t="n"/>
      <c r="AA328" s="55">
        <f>IF(LEFT(Cockpit!$C$5,1)="A",G328,IF(BT328=1,BU328,IF(LEFT(Cockpit!$C$5,1)="B",AE328,MAX(AE328,G328))))</f>
        <v/>
      </c>
      <c r="AB328" s="55">
        <f>IF(BO328=1,0,ROUNDUP(AA328/BN328,0))</f>
        <v/>
      </c>
      <c r="AC328" s="64">
        <f>IF(BO328=1,IF(AA328&lt;=0,0,BP328*MAX(1,IF(G328&gt;0,AA328/G328,1))),AB328*Q328)</f>
        <v/>
      </c>
      <c r="AD328" s="55">
        <f>AA328*F328</f>
        <v/>
      </c>
      <c r="AE328" s="55">
        <f>ROUNDUP(MAX(I328/IF(BS328&gt;0,BS328,MAX(0.1,N(Cockpit!$C$6))),BV328)/BN328,0)*BN328</f>
        <v/>
      </c>
      <c r="AF328" s="56">
        <f>IF(AC328&gt;0,I328/AC328,-1)</f>
        <v/>
      </c>
      <c r="AG328" s="56">
        <f>IF(AND(OR(BR328="L1",BR328="L23"),AC328&gt;0),SUMIFS($AC$7:$AC$1570,$BR$7:$BR$1570,BR328,$AF$7:$AF$1570,"&gt;"&amp;AF328)+SUMIFS($AC$7:$AC$1570,$BR$7:$BR$1570,BR328,$AF$7:$AF$1570,AF328,$BL$7:$BL$1570,"&lt;="&amp;BL328),"")</f>
        <v/>
      </c>
      <c r="AH328" s="65">
        <f>IF(AG328="",0,MAX(0,MIN(1,(IF(BR328="L1",Parameter!$K$5,Parameter!$K$6+Parameter!$K$7)-(AG328-AC328))/AC328)))</f>
        <v/>
      </c>
      <c r="AI328" s="55">
        <f>IF(LEFT(Cockpit!$I$5,1)="A",G328,IF(BT328=1,BU328,IF(LEFT(Cockpit!$I$5,1)="B",AM328,MAX(AM328,G328))))</f>
        <v/>
      </c>
      <c r="AJ328" s="55">
        <f>IF(BO328=1,0,ROUNDUP(AI328/BN328,0))</f>
        <v/>
      </c>
      <c r="AK328" s="64">
        <f>IF(BO328=1,IF(AI328&lt;=0,0,BP328*MAX(1,IF(G328&gt;0,AI328/G328,1))),AJ328*Q328)</f>
        <v/>
      </c>
      <c r="AL328" s="55">
        <f>AI328*F328</f>
        <v/>
      </c>
      <c r="AM328" s="55">
        <f>ROUNDUP(MAX(I328/IF(BS328&gt;0,BS328,MAX(0.1,N(Cockpit!$I$6))),BV328)/BN328,0)*BN328</f>
        <v/>
      </c>
      <c r="AN328" s="56">
        <f>IF(AK328&gt;0,I328/AK328,-1)</f>
        <v/>
      </c>
      <c r="AO328" s="56">
        <f>IF(AND(OR(BR328="L1",BR328="L23"),AK328&gt;0),SUMIFS($AK$7:$AK$1570,$BR$7:$BR$1570,BR328,$AN$7:$AN$1570,"&gt;"&amp;AN328)+SUMIFS($AK$7:$AK$1570,$BR$7:$BR$1570,BR328,$AN$7:$AN$1570,AN328,$BL$7:$BL$1570,"&lt;="&amp;BL328),"")</f>
        <v/>
      </c>
      <c r="AP328" s="65">
        <f>IF(AO328="",0,MAX(0,MIN(1,(IF(BR328="L1",Parameter!$K$5,Parameter!$K$6+Parameter!$K$7)-(AO328-AK328))/AK328)))</f>
        <v/>
      </c>
      <c r="AQ328" s="55">
        <f>IF(LEFT(Cockpit!$O$5,1)="A",G328,IF(BT328=1,BU328,IF(LEFT(Cockpit!$O$5,1)="B",AU328,MAX(AU328,G328))))</f>
        <v/>
      </c>
      <c r="AR328" s="55">
        <f>IF(BO328=1,0,ROUNDUP(AQ328/BN328,0))</f>
        <v/>
      </c>
      <c r="AS328" s="64">
        <f>IF(BO328=1,IF(AQ328&lt;=0,0,BP328*MAX(1,IF(G328&gt;0,AQ328/G328,1))),AR328*Q328)</f>
        <v/>
      </c>
      <c r="AT328" s="55">
        <f>AQ328*F328</f>
        <v/>
      </c>
      <c r="AU328" s="55">
        <f>ROUNDUP(MAX(I328/IF(BS328&gt;0,BS328,MAX(0.1,N(Cockpit!$O$6))),BV328)/BN328,0)*BN328</f>
        <v/>
      </c>
      <c r="AV328" s="56">
        <f>IF(AS328&gt;0,I328/AS328,-1)</f>
        <v/>
      </c>
      <c r="AW328" s="56">
        <f>IF(AND(OR(BR328="L1",BR328="L23"),AS328&gt;0),SUMIFS($AS$7:$AS$1570,$BR$7:$BR$1570,BR328,$AV$7:$AV$1570,"&gt;"&amp;AV328)+SUMIFS($AS$7:$AS$1570,$BR$7:$BR$1570,BR328,$AV$7:$AV$1570,AV328,$BL$7:$BL$1570,"&lt;="&amp;BL328),"")</f>
        <v/>
      </c>
      <c r="AX328" s="65">
        <f>IF(AW328="",0,MAX(0,MIN(1,(IF(BR328="L1",Parameter!$K$5,Parameter!$K$6+Parameter!$K$7)-(AW328-AS328))/AS328)))</f>
        <v/>
      </c>
      <c r="AY328" s="53">
        <f>IF(AC328&lt;=0,"",IF(BR328="Aussen","Aussenlager",IF(BR328="-","Nicht im Lift",IF(AH328&gt;=1,"Lift",IF(AH328&lt;=0,"Aussenlager","teilweise")))))</f>
        <v/>
      </c>
      <c r="AZ328" s="53">
        <f>IF(AK328&lt;=0,"",IF(BR328="Aussen","Aussenlager",IF(BR328="-","Nicht im Lift",IF(AP328&gt;=1,"Lift",IF(AP328&lt;=0,"Aussenlager","teilweise")))))</f>
        <v/>
      </c>
      <c r="BA328" s="53">
        <f>IF(AS328&lt;=0,"",IF(BR328="Aussen","Aussenlager",IF(BR328="-","Nicht im Lift",IF(AX328&gt;=1,"Lift",IF(AX328&lt;=0,"Aussenlager","teilweise")))))</f>
        <v/>
      </c>
      <c r="BB328" s="53">
        <f>IF(A328="","",IF(BK328=1,"Neu; ","")&amp;IF(AND(BK328=0,BF328&lt;0),"negativer Bestand (Export "&amp;BF328&amp;"); ","")&amp;IF(I328&lt;=0,"Kein Verbrauch; ","")&amp;IF(BO328=1,"Lose – Fläche geschätzt; ","")&amp;IF(G328&gt;AM328,"Überbestand "&amp;ROUND(G328-AM328,0)&amp;" Stk / CHF "&amp;ROUND((G328-AM328)*F328,0)&amp;"; ","")&amp;IF(AND(BT328=1,BU328&lt;BV328),"MAX &lt; MB+LG; ","")&amp;IF(AND(BZ328&gt;0,BY328*10&gt;BZ328),"zu hoch für Tablar; ","")&amp;IF(AND(BK328=0,OR(BT328=1,V328&lt;&gt;"",S328&lt;&gt;"",T328&lt;&gt;"",W328&lt;&gt;"")),"manuell übersteuert; ","")&amp;IF(AND(BO328=0,Q328=0),"Gebinde unbekannt; ","")&amp;IF(AND(BO328=0,N(T328)&lt;=0,N(P328)&lt;=0),"Menge pro Gebinde fehlt (Ist = 1 Gebinde); ","")&amp;BJ328)</f>
        <v/>
      </c>
      <c r="BC328" s="53" t="n"/>
      <c r="BD328" s="53" t="n"/>
      <c r="BE328" s="61" t="n"/>
      <c r="BF328" s="55" t="n">
        <v>148</v>
      </c>
      <c r="BG328" s="55" t="n">
        <v>135</v>
      </c>
      <c r="BH328" s="54" t="n">
        <v>222</v>
      </c>
      <c r="BI328" s="55" t="n">
        <v>362</v>
      </c>
      <c r="BJ328" s="53" t="inlineStr"/>
      <c r="BK328" s="58" t="n">
        <v>0</v>
      </c>
      <c r="BL328" s="58" t="n">
        <v>328</v>
      </c>
      <c r="BM328" s="53">
        <f>IF(S328&lt;&gt;"",UPPER(TRIM(S328)),IF(O328="","LOSE",O328))</f>
        <v/>
      </c>
      <c r="BN328" s="55">
        <f>IF(BM328="LOSE",1,IF(N(T328)&gt;0,T328,IF(N(P328)&gt;0,P328,MAX(1,G328))))</f>
        <v/>
      </c>
      <c r="BO328" s="58">
        <f>IF(BM328="LOSE",1,0)</f>
        <v/>
      </c>
      <c r="BP328" s="64">
        <f>IF(BO328=0,0,IF(N(R328)&gt;0,R328,IFERROR(VLOOKUP(D328,Parameter!$A$35:$C$64,3,0)+0,0)))</f>
        <v/>
      </c>
      <c r="BQ328" s="53">
        <f>IF(V328&lt;&gt;"",V328,U328)</f>
        <v/>
      </c>
      <c r="BR328" s="53">
        <f>IF(BQ328=1,"L1",IF(OR(BQ328=2,BQ328=3),"L23",IF(BQ328="Aussen","Aussen","-")))</f>
        <v/>
      </c>
      <c r="BS328" s="66">
        <f>IF(N(W328)&gt;0,W328,0)</f>
        <v/>
      </c>
      <c r="BT328" s="58">
        <f>IF(ISNUMBER(Z328),1,0)</f>
        <v/>
      </c>
      <c r="BU328" s="55">
        <f>N(Z328)</f>
        <v/>
      </c>
      <c r="BV328" s="55">
        <f>N(L328)+N(M328)</f>
        <v/>
      </c>
      <c r="BW328" s="55">
        <f>ROUNDUP(G328/BN328,0)</f>
        <v/>
      </c>
      <c r="BX328" s="55">
        <f>ROUNDUP(BU328/BN328,0)</f>
        <v/>
      </c>
      <c r="BY328" s="58">
        <f>IF(BO328=1,0,IFERROR(VLOOKUP(BM328,'Gebinde-Kategorie'!$A$5:$G$45,5,0)+0,0))</f>
        <v/>
      </c>
      <c r="BZ328" s="58">
        <f>IFERROR(IF(OR(BQ328=1,BQ328=2,BQ328=3),N(INDEX(Parameter!$I$5:$I$7,BQ328)),0),0)</f>
        <v/>
      </c>
    </row>
    <row r="329">
      <c r="A329" s="53" t="inlineStr">
        <is>
          <t>111969</t>
        </is>
      </c>
      <c r="B329" s="53" t="inlineStr">
        <is>
          <t>Rohr</t>
        </is>
      </c>
      <c r="C329" s="53" t="inlineStr">
        <is>
          <t>F</t>
        </is>
      </c>
      <c r="D329" s="53" t="inlineStr">
        <is>
          <t>KTL</t>
        </is>
      </c>
      <c r="E329" s="53" t="inlineStr">
        <is>
          <t>C</t>
        </is>
      </c>
      <c r="F329" s="54" t="n">
        <v>14.67</v>
      </c>
      <c r="G329" s="55">
        <f>MAX(0,IF(Parameter!$B$20="Jahresanfang 2025 + Export",BG329+BF329,BF329))</f>
        <v/>
      </c>
      <c r="H329" s="55">
        <f>G329*F329</f>
        <v/>
      </c>
      <c r="I329" s="55">
        <f>BI329*Parameter!$B$18</f>
        <v/>
      </c>
      <c r="J329" s="56" t="n">
        <v>0</v>
      </c>
      <c r="K329" s="57" t="n">
        <v>0</v>
      </c>
      <c r="L329" s="55" t="n">
        <v>0</v>
      </c>
      <c r="M329" s="55" t="n">
        <v>1</v>
      </c>
      <c r="N329" s="58" t="n">
        <v>9999</v>
      </c>
      <c r="O329" s="53" t="inlineStr">
        <is>
          <t>LOSE</t>
        </is>
      </c>
      <c r="P329" s="55" t="n"/>
      <c r="Q329" s="59">
        <f>IF(BO329=1,0,IFERROR(VLOOKUP(BM329,'Gebinde-Kategorie'!$A$5:$G$45,6,0)+0,0))</f>
        <v/>
      </c>
      <c r="R329" s="60" t="n"/>
      <c r="S329" s="61" t="n"/>
      <c r="T329" s="61" t="n"/>
      <c r="U329" s="53">
        <f>IF(A329="","",IF(IFERROR(VLOOKUP(D329,Parameter!$A$35:$C$64,2,0),"Nein")="2+3",IF(ISNUMBER(SEARCH("grosser Artikel",BJ329)),2,IFERROR(VLOOKUP(BM329,Parameter!$F$35:$G$64,2,0),2)),IF(OR(IFERROR(VLOOKUP(D329,Parameter!$A$35:$C$64,2,0),"Nein")="Nein",IFERROR(VLOOKUP(D329,Parameter!$A$35:$C$64,2,0),"Nein")=""),"-",VLOOKUP(D329,Parameter!$A$35:$C$64,2,0))))</f>
        <v/>
      </c>
      <c r="V329" s="61" t="n"/>
      <c r="W329" s="62" t="n"/>
      <c r="X329" s="55">
        <f>AM329</f>
        <v/>
      </c>
      <c r="Y329" s="55">
        <f>MAX(AM329,G329)</f>
        <v/>
      </c>
      <c r="Z329" s="63" t="n"/>
      <c r="AA329" s="55">
        <f>IF(LEFT(Cockpit!$C$5,1)="A",G329,IF(BT329=1,BU329,IF(LEFT(Cockpit!$C$5,1)="B",AE329,MAX(AE329,G329))))</f>
        <v/>
      </c>
      <c r="AB329" s="55">
        <f>IF(BO329=1,0,ROUNDUP(AA329/BN329,0))</f>
        <v/>
      </c>
      <c r="AC329" s="64">
        <f>IF(BO329=1,IF(AA329&lt;=0,0,BP329*MAX(1,IF(G329&gt;0,AA329/G329,1))),AB329*Q329)</f>
        <v/>
      </c>
      <c r="AD329" s="55">
        <f>AA329*F329</f>
        <v/>
      </c>
      <c r="AE329" s="55">
        <f>ROUNDUP(MAX(I329/IF(BS329&gt;0,BS329,MAX(0.1,N(Cockpit!$C$6))),BV329)/BN329,0)*BN329</f>
        <v/>
      </c>
      <c r="AF329" s="56">
        <f>IF(AC329&gt;0,I329/AC329,-1)</f>
        <v/>
      </c>
      <c r="AG329" s="56">
        <f>IF(AND(OR(BR329="L1",BR329="L23"),AC329&gt;0),SUMIFS($AC$7:$AC$1570,$BR$7:$BR$1570,BR329,$AF$7:$AF$1570,"&gt;"&amp;AF329)+SUMIFS($AC$7:$AC$1570,$BR$7:$BR$1570,BR329,$AF$7:$AF$1570,AF329,$BL$7:$BL$1570,"&lt;="&amp;BL329),"")</f>
        <v/>
      </c>
      <c r="AH329" s="65">
        <f>IF(AG329="",0,MAX(0,MIN(1,(IF(BR329="L1",Parameter!$K$5,Parameter!$K$6+Parameter!$K$7)-(AG329-AC329))/AC329)))</f>
        <v/>
      </c>
      <c r="AI329" s="55">
        <f>IF(LEFT(Cockpit!$I$5,1)="A",G329,IF(BT329=1,BU329,IF(LEFT(Cockpit!$I$5,1)="B",AM329,MAX(AM329,G329))))</f>
        <v/>
      </c>
      <c r="AJ329" s="55">
        <f>IF(BO329=1,0,ROUNDUP(AI329/BN329,0))</f>
        <v/>
      </c>
      <c r="AK329" s="64">
        <f>IF(BO329=1,IF(AI329&lt;=0,0,BP329*MAX(1,IF(G329&gt;0,AI329/G329,1))),AJ329*Q329)</f>
        <v/>
      </c>
      <c r="AL329" s="55">
        <f>AI329*F329</f>
        <v/>
      </c>
      <c r="AM329" s="55">
        <f>ROUNDUP(MAX(I329/IF(BS329&gt;0,BS329,MAX(0.1,N(Cockpit!$I$6))),BV329)/BN329,0)*BN329</f>
        <v/>
      </c>
      <c r="AN329" s="56">
        <f>IF(AK329&gt;0,I329/AK329,-1)</f>
        <v/>
      </c>
      <c r="AO329" s="56">
        <f>IF(AND(OR(BR329="L1",BR329="L23"),AK329&gt;0),SUMIFS($AK$7:$AK$1570,$BR$7:$BR$1570,BR329,$AN$7:$AN$1570,"&gt;"&amp;AN329)+SUMIFS($AK$7:$AK$1570,$BR$7:$BR$1570,BR329,$AN$7:$AN$1570,AN329,$BL$7:$BL$1570,"&lt;="&amp;BL329),"")</f>
        <v/>
      </c>
      <c r="AP329" s="65">
        <f>IF(AO329="",0,MAX(0,MIN(1,(IF(BR329="L1",Parameter!$K$5,Parameter!$K$6+Parameter!$K$7)-(AO329-AK329))/AK329)))</f>
        <v/>
      </c>
      <c r="AQ329" s="55">
        <f>IF(LEFT(Cockpit!$O$5,1)="A",G329,IF(BT329=1,BU329,IF(LEFT(Cockpit!$O$5,1)="B",AU329,MAX(AU329,G329))))</f>
        <v/>
      </c>
      <c r="AR329" s="55">
        <f>IF(BO329=1,0,ROUNDUP(AQ329/BN329,0))</f>
        <v/>
      </c>
      <c r="AS329" s="64">
        <f>IF(BO329=1,IF(AQ329&lt;=0,0,BP329*MAX(1,IF(G329&gt;0,AQ329/G329,1))),AR329*Q329)</f>
        <v/>
      </c>
      <c r="AT329" s="55">
        <f>AQ329*F329</f>
        <v/>
      </c>
      <c r="AU329" s="55">
        <f>ROUNDUP(MAX(I329/IF(BS329&gt;0,BS329,MAX(0.1,N(Cockpit!$O$6))),BV329)/BN329,0)*BN329</f>
        <v/>
      </c>
      <c r="AV329" s="56">
        <f>IF(AS329&gt;0,I329/AS329,-1)</f>
        <v/>
      </c>
      <c r="AW329" s="56">
        <f>IF(AND(OR(BR329="L1",BR329="L23"),AS329&gt;0),SUMIFS($AS$7:$AS$1570,$BR$7:$BR$1570,BR329,$AV$7:$AV$1570,"&gt;"&amp;AV329)+SUMIFS($AS$7:$AS$1570,$BR$7:$BR$1570,BR329,$AV$7:$AV$1570,AV329,$BL$7:$BL$1570,"&lt;="&amp;BL329),"")</f>
        <v/>
      </c>
      <c r="AX329" s="65">
        <f>IF(AW329="",0,MAX(0,MIN(1,(IF(BR329="L1",Parameter!$K$5,Parameter!$K$6+Parameter!$K$7)-(AW329-AS329))/AS329)))</f>
        <v/>
      </c>
      <c r="AY329" s="53">
        <f>IF(AC329&lt;=0,"",IF(BR329="Aussen","Aussenlager",IF(BR329="-","Nicht im Lift",IF(AH329&gt;=1,"Lift",IF(AH329&lt;=0,"Aussenlager","teilweise")))))</f>
        <v/>
      </c>
      <c r="AZ329" s="53">
        <f>IF(AK329&lt;=0,"",IF(BR329="Aussen","Aussenlager",IF(BR329="-","Nicht im Lift",IF(AP329&gt;=1,"Lift",IF(AP329&lt;=0,"Aussenlager","teilweise")))))</f>
        <v/>
      </c>
      <c r="BA329" s="53">
        <f>IF(AS329&lt;=0,"",IF(BR329="Aussen","Aussenlager",IF(BR329="-","Nicht im Lift",IF(AX329&gt;=1,"Lift",IF(AX329&lt;=0,"Aussenlager","teilweise")))))</f>
        <v/>
      </c>
      <c r="BB329" s="53">
        <f>IF(A329="","",IF(BK329=1,"Neu; ","")&amp;IF(AND(BK329=0,BF329&lt;0),"negativer Bestand (Export "&amp;BF329&amp;"); ","")&amp;IF(I329&lt;=0,"Kein Verbrauch; ","")&amp;IF(BO329=1,"Lose – Fläche geschätzt; ","")&amp;IF(G329&gt;AM329,"Überbestand "&amp;ROUND(G329-AM329,0)&amp;" Stk / CHF "&amp;ROUND((G329-AM329)*F329,0)&amp;"; ","")&amp;IF(AND(BT329=1,BU329&lt;BV329),"MAX &lt; MB+LG; ","")&amp;IF(AND(BZ329&gt;0,BY329*10&gt;BZ329),"zu hoch für Tablar; ","")&amp;IF(AND(BK329=0,OR(BT329=1,V329&lt;&gt;"",S329&lt;&gt;"",T329&lt;&gt;"",W329&lt;&gt;"")),"manuell übersteuert; ","")&amp;IF(AND(BO329=0,Q329=0),"Gebinde unbekannt; ","")&amp;IF(AND(BO329=0,N(T329)&lt;=0,N(P329)&lt;=0),"Menge pro Gebinde fehlt (Ist = 1 Gebinde); ","")&amp;BJ329)</f>
        <v/>
      </c>
      <c r="BC329" s="53" t="n"/>
      <c r="BD329" s="53" t="n"/>
      <c r="BE329" s="61" t="n"/>
      <c r="BF329" s="55" t="n">
        <v>15</v>
      </c>
      <c r="BG329" s="55" t="n">
        <v>0</v>
      </c>
      <c r="BH329" s="54" t="n">
        <v>220.05</v>
      </c>
      <c r="BI329" s="55" t="n">
        <v>0</v>
      </c>
      <c r="BJ329" s="53" t="inlineStr"/>
      <c r="BK329" s="58" t="n">
        <v>0</v>
      </c>
      <c r="BL329" s="58" t="n">
        <v>329</v>
      </c>
      <c r="BM329" s="53">
        <f>IF(S329&lt;&gt;"",UPPER(TRIM(S329)),IF(O329="","LOSE",O329))</f>
        <v/>
      </c>
      <c r="BN329" s="55">
        <f>IF(BM329="LOSE",1,IF(N(T329)&gt;0,T329,IF(N(P329)&gt;0,P329,MAX(1,G329))))</f>
        <v/>
      </c>
      <c r="BO329" s="58">
        <f>IF(BM329="LOSE",1,0)</f>
        <v/>
      </c>
      <c r="BP329" s="64">
        <f>IF(BO329=0,0,IF(N(R329)&gt;0,R329,IFERROR(VLOOKUP(D329,Parameter!$A$35:$C$64,3,0)+0,0)))</f>
        <v/>
      </c>
      <c r="BQ329" s="53">
        <f>IF(V329&lt;&gt;"",V329,U329)</f>
        <v/>
      </c>
      <c r="BR329" s="53">
        <f>IF(BQ329=1,"L1",IF(OR(BQ329=2,BQ329=3),"L23",IF(BQ329="Aussen","Aussen","-")))</f>
        <v/>
      </c>
      <c r="BS329" s="66">
        <f>IF(N(W329)&gt;0,W329,0)</f>
        <v/>
      </c>
      <c r="BT329" s="58">
        <f>IF(ISNUMBER(Z329),1,0)</f>
        <v/>
      </c>
      <c r="BU329" s="55">
        <f>N(Z329)</f>
        <v/>
      </c>
      <c r="BV329" s="55">
        <f>N(L329)+N(M329)</f>
        <v/>
      </c>
      <c r="BW329" s="55">
        <f>ROUNDUP(G329/BN329,0)</f>
        <v/>
      </c>
      <c r="BX329" s="55">
        <f>ROUNDUP(BU329/BN329,0)</f>
        <v/>
      </c>
      <c r="BY329" s="58">
        <f>IF(BO329=1,0,IFERROR(VLOOKUP(BM329,'Gebinde-Kategorie'!$A$5:$G$45,5,0)+0,0))</f>
        <v/>
      </c>
      <c r="BZ329" s="58">
        <f>IFERROR(IF(OR(BQ329=1,BQ329=2,BQ329=3),N(INDEX(Parameter!$I$5:$I$7,BQ329)),0),0)</f>
        <v/>
      </c>
    </row>
    <row r="330">
      <c r="A330" s="53" t="inlineStr">
        <is>
          <t>101559</t>
        </is>
      </c>
      <c r="B330" s="53" t="inlineStr">
        <is>
          <t>Deckel</t>
        </is>
      </c>
      <c r="C330" s="53" t="inlineStr">
        <is>
          <t>F</t>
        </is>
      </c>
      <c r="D330" s="53" t="inlineStr">
        <is>
          <t>PAL</t>
        </is>
      </c>
      <c r="E330" s="53" t="inlineStr">
        <is>
          <t>C</t>
        </is>
      </c>
      <c r="F330" s="54" t="n">
        <v>9.51</v>
      </c>
      <c r="G330" s="55">
        <f>MAX(0,IF(Parameter!$B$20="Jahresanfang 2025 + Export",BG330+BF330,BF330))</f>
        <v/>
      </c>
      <c r="H330" s="55">
        <f>G330*F330</f>
        <v/>
      </c>
      <c r="I330" s="55">
        <f>BI330*Parameter!$B$18</f>
        <v/>
      </c>
      <c r="J330" s="56" t="n">
        <v>36</v>
      </c>
      <c r="K330" s="57" t="n">
        <v>3.944444444444445</v>
      </c>
      <c r="L330" s="55" t="n">
        <v>5</v>
      </c>
      <c r="M330" s="55" t="n">
        <v>30</v>
      </c>
      <c r="N330" s="58" t="n">
        <v>14</v>
      </c>
      <c r="O330" s="53" t="inlineStr">
        <is>
          <t>S63</t>
        </is>
      </c>
      <c r="P330" s="55" t="n">
        <v>171</v>
      </c>
      <c r="Q330" s="59">
        <f>IF(BO330=1,0,IFERROR(VLOOKUP(BM330,'Gebinde-Kategorie'!$A$5:$G$45,6,0)+0,0))</f>
        <v/>
      </c>
      <c r="R330" s="60" t="n"/>
      <c r="S330" s="61" t="n"/>
      <c r="T330" s="61" t="n"/>
      <c r="U330" s="53">
        <f>IF(A330="","",IF(IFERROR(VLOOKUP(D330,Parameter!$A$35:$C$64,2,0),"Nein")="2+3",IF(ISNUMBER(SEARCH("grosser Artikel",BJ330)),2,IFERROR(VLOOKUP(BM330,Parameter!$F$35:$G$64,2,0),2)),IF(OR(IFERROR(VLOOKUP(D330,Parameter!$A$35:$C$64,2,0),"Nein")="Nein",IFERROR(VLOOKUP(D330,Parameter!$A$35:$C$64,2,0),"Nein")=""),"-",VLOOKUP(D330,Parameter!$A$35:$C$64,2,0))))</f>
        <v/>
      </c>
      <c r="V330" s="61" t="n"/>
      <c r="W330" s="62" t="n"/>
      <c r="X330" s="55">
        <f>AM330</f>
        <v/>
      </c>
      <c r="Y330" s="55">
        <f>MAX(AM330,G330)</f>
        <v/>
      </c>
      <c r="Z330" s="63" t="n"/>
      <c r="AA330" s="55">
        <f>IF(LEFT(Cockpit!$C$5,1)="A",G330,IF(BT330=1,BU330,IF(LEFT(Cockpit!$C$5,1)="B",AE330,MAX(AE330,G330))))</f>
        <v/>
      </c>
      <c r="AB330" s="55">
        <f>IF(BO330=1,0,ROUNDUP(AA330/BN330,0))</f>
        <v/>
      </c>
      <c r="AC330" s="64">
        <f>IF(BO330=1,IF(AA330&lt;=0,0,BP330*MAX(1,IF(G330&gt;0,AA330/G330,1))),AB330*Q330)</f>
        <v/>
      </c>
      <c r="AD330" s="55">
        <f>AA330*F330</f>
        <v/>
      </c>
      <c r="AE330" s="55">
        <f>ROUNDUP(MAX(I330/IF(BS330&gt;0,BS330,MAX(0.1,N(Cockpit!$C$6))),BV330)/BN330,0)*BN330</f>
        <v/>
      </c>
      <c r="AF330" s="56">
        <f>IF(AC330&gt;0,I330/AC330,-1)</f>
        <v/>
      </c>
      <c r="AG330" s="56">
        <f>IF(AND(OR(BR330="L1",BR330="L23"),AC330&gt;0),SUMIFS($AC$7:$AC$1570,$BR$7:$BR$1570,BR330,$AF$7:$AF$1570,"&gt;"&amp;AF330)+SUMIFS($AC$7:$AC$1570,$BR$7:$BR$1570,BR330,$AF$7:$AF$1570,AF330,$BL$7:$BL$1570,"&lt;="&amp;BL330),"")</f>
        <v/>
      </c>
      <c r="AH330" s="65">
        <f>IF(AG330="",0,MAX(0,MIN(1,(IF(BR330="L1",Parameter!$K$5,Parameter!$K$6+Parameter!$K$7)-(AG330-AC330))/AC330)))</f>
        <v/>
      </c>
      <c r="AI330" s="55">
        <f>IF(LEFT(Cockpit!$I$5,1)="A",G330,IF(BT330=1,BU330,IF(LEFT(Cockpit!$I$5,1)="B",AM330,MAX(AM330,G330))))</f>
        <v/>
      </c>
      <c r="AJ330" s="55">
        <f>IF(BO330=1,0,ROUNDUP(AI330/BN330,0))</f>
        <v/>
      </c>
      <c r="AK330" s="64">
        <f>IF(BO330=1,IF(AI330&lt;=0,0,BP330*MAX(1,IF(G330&gt;0,AI330/G330,1))),AJ330*Q330)</f>
        <v/>
      </c>
      <c r="AL330" s="55">
        <f>AI330*F330</f>
        <v/>
      </c>
      <c r="AM330" s="55">
        <f>ROUNDUP(MAX(I330/IF(BS330&gt;0,BS330,MAX(0.1,N(Cockpit!$I$6))),BV330)/BN330,0)*BN330</f>
        <v/>
      </c>
      <c r="AN330" s="56">
        <f>IF(AK330&gt;0,I330/AK330,-1)</f>
        <v/>
      </c>
      <c r="AO330" s="56">
        <f>IF(AND(OR(BR330="L1",BR330="L23"),AK330&gt;0),SUMIFS($AK$7:$AK$1570,$BR$7:$BR$1570,BR330,$AN$7:$AN$1570,"&gt;"&amp;AN330)+SUMIFS($AK$7:$AK$1570,$BR$7:$BR$1570,BR330,$AN$7:$AN$1570,AN330,$BL$7:$BL$1570,"&lt;="&amp;BL330),"")</f>
        <v/>
      </c>
      <c r="AP330" s="65">
        <f>IF(AO330="",0,MAX(0,MIN(1,(IF(BR330="L1",Parameter!$K$5,Parameter!$K$6+Parameter!$K$7)-(AO330-AK330))/AK330)))</f>
        <v/>
      </c>
      <c r="AQ330" s="55">
        <f>IF(LEFT(Cockpit!$O$5,1)="A",G330,IF(BT330=1,BU330,IF(LEFT(Cockpit!$O$5,1)="B",AU330,MAX(AU330,G330))))</f>
        <v/>
      </c>
      <c r="AR330" s="55">
        <f>IF(BO330=1,0,ROUNDUP(AQ330/BN330,0))</f>
        <v/>
      </c>
      <c r="AS330" s="64">
        <f>IF(BO330=1,IF(AQ330&lt;=0,0,BP330*MAX(1,IF(G330&gt;0,AQ330/G330,1))),AR330*Q330)</f>
        <v/>
      </c>
      <c r="AT330" s="55">
        <f>AQ330*F330</f>
        <v/>
      </c>
      <c r="AU330" s="55">
        <f>ROUNDUP(MAX(I330/IF(BS330&gt;0,BS330,MAX(0.1,N(Cockpit!$O$6))),BV330)/BN330,0)*BN330</f>
        <v/>
      </c>
      <c r="AV330" s="56">
        <f>IF(AS330&gt;0,I330/AS330,-1)</f>
        <v/>
      </c>
      <c r="AW330" s="56">
        <f>IF(AND(OR(BR330="L1",BR330="L23"),AS330&gt;0),SUMIFS($AS$7:$AS$1570,$BR$7:$BR$1570,BR330,$AV$7:$AV$1570,"&gt;"&amp;AV330)+SUMIFS($AS$7:$AS$1570,$BR$7:$BR$1570,BR330,$AV$7:$AV$1570,AV330,$BL$7:$BL$1570,"&lt;="&amp;BL330),"")</f>
        <v/>
      </c>
      <c r="AX330" s="65">
        <f>IF(AW330="",0,MAX(0,MIN(1,(IF(BR330="L1",Parameter!$K$5,Parameter!$K$6+Parameter!$K$7)-(AW330-AS330))/AS330)))</f>
        <v/>
      </c>
      <c r="AY330" s="53">
        <f>IF(AC330&lt;=0,"",IF(BR330="Aussen","Aussenlager",IF(BR330="-","Nicht im Lift",IF(AH330&gt;=1,"Lift",IF(AH330&lt;=0,"Aussenlager","teilweise")))))</f>
        <v/>
      </c>
      <c r="AZ330" s="53">
        <f>IF(AK330&lt;=0,"",IF(BR330="Aussen","Aussenlager",IF(BR330="-","Nicht im Lift",IF(AP330&gt;=1,"Lift",IF(AP330&lt;=0,"Aussenlager","teilweise")))))</f>
        <v/>
      </c>
      <c r="BA330" s="53">
        <f>IF(AS330&lt;=0,"",IF(BR330="Aussen","Aussenlager",IF(BR330="-","Nicht im Lift",IF(AX330&gt;=1,"Lift",IF(AX330&lt;=0,"Aussenlager","teilweise")))))</f>
        <v/>
      </c>
      <c r="BB330" s="53">
        <f>IF(A330="","",IF(BK330=1,"Neu; ","")&amp;IF(AND(BK330=0,BF330&lt;0),"negativer Bestand (Export "&amp;BF330&amp;"); ","")&amp;IF(I330&lt;=0,"Kein Verbrauch; ","")&amp;IF(BO330=1,"Lose – Fläche geschätzt; ","")&amp;IF(G330&gt;AM330,"Überbestand "&amp;ROUND(G330-AM330,0)&amp;" Stk / CHF "&amp;ROUND((G330-AM330)*F330,0)&amp;"; ","")&amp;IF(AND(BT330=1,BU330&lt;BV330),"MAX &lt; MB+LG; ","")&amp;IF(AND(BZ330&gt;0,BY330*10&gt;BZ330),"zu hoch für Tablar; ","")&amp;IF(AND(BK330=0,OR(BT330=1,V330&lt;&gt;"",S330&lt;&gt;"",T330&lt;&gt;"",W330&lt;&gt;"")),"manuell übersteuert; ","")&amp;IF(AND(BO330=0,Q330=0),"Gebinde unbekannt; ","")&amp;IF(AND(BO330=0,N(T330)&lt;=0,N(P330)&lt;=0),"Menge pro Gebinde fehlt (Ist = 1 Gebinde); ","")&amp;BJ330)</f>
        <v/>
      </c>
      <c r="BC330" s="53" t="n"/>
      <c r="BD330" s="53" t="n"/>
      <c r="BE330" s="61" t="n"/>
      <c r="BF330" s="55" t="n">
        <v>22</v>
      </c>
      <c r="BG330" s="55" t="n">
        <v>30</v>
      </c>
      <c r="BH330" s="54" t="n">
        <v>217.6200000000001</v>
      </c>
      <c r="BI330" s="55" t="n">
        <v>142</v>
      </c>
      <c r="BJ330" s="53" t="inlineStr"/>
      <c r="BK330" s="58" t="n">
        <v>0</v>
      </c>
      <c r="BL330" s="58" t="n">
        <v>330</v>
      </c>
      <c r="BM330" s="53">
        <f>IF(S330&lt;&gt;"",UPPER(TRIM(S330)),IF(O330="","LOSE",O330))</f>
        <v/>
      </c>
      <c r="BN330" s="55">
        <f>IF(BM330="LOSE",1,IF(N(T330)&gt;0,T330,IF(N(P330)&gt;0,P330,MAX(1,G330))))</f>
        <v/>
      </c>
      <c r="BO330" s="58">
        <f>IF(BM330="LOSE",1,0)</f>
        <v/>
      </c>
      <c r="BP330" s="64">
        <f>IF(BO330=0,0,IF(N(R330)&gt;0,R330,IFERROR(VLOOKUP(D330,Parameter!$A$35:$C$64,3,0)+0,0)))</f>
        <v/>
      </c>
      <c r="BQ330" s="53">
        <f>IF(V330&lt;&gt;"",V330,U330)</f>
        <v/>
      </c>
      <c r="BR330" s="53">
        <f>IF(BQ330=1,"L1",IF(OR(BQ330=2,BQ330=3),"L23",IF(BQ330="Aussen","Aussen","-")))</f>
        <v/>
      </c>
      <c r="BS330" s="66">
        <f>IF(N(W330)&gt;0,W330,0)</f>
        <v/>
      </c>
      <c r="BT330" s="58">
        <f>IF(ISNUMBER(Z330),1,0)</f>
        <v/>
      </c>
      <c r="BU330" s="55">
        <f>N(Z330)</f>
        <v/>
      </c>
      <c r="BV330" s="55">
        <f>N(L330)+N(M330)</f>
        <v/>
      </c>
      <c r="BW330" s="55">
        <f>ROUNDUP(G330/BN330,0)</f>
        <v/>
      </c>
      <c r="BX330" s="55">
        <f>ROUNDUP(BU330/BN330,0)</f>
        <v/>
      </c>
      <c r="BY330" s="58">
        <f>IF(BO330=1,0,IFERROR(VLOOKUP(BM330,'Gebinde-Kategorie'!$A$5:$G$45,5,0)+0,0))</f>
        <v/>
      </c>
      <c r="BZ330" s="58">
        <f>IFERROR(IF(OR(BQ330=1,BQ330=2,BQ330=3),N(INDEX(Parameter!$I$5:$I$7,BQ330)),0),0)</f>
        <v/>
      </c>
    </row>
    <row r="331">
      <c r="A331" s="53" t="inlineStr">
        <is>
          <t>005713</t>
        </is>
      </c>
      <c r="B331" s="53" t="inlineStr">
        <is>
          <t>Etikette EG10 Rückschlagventil Patrone</t>
        </is>
      </c>
      <c r="C331" s="53" t="inlineStr">
        <is>
          <t>F</t>
        </is>
      </c>
      <c r="D331" s="53" t="inlineStr">
        <is>
          <t>KTL</t>
        </is>
      </c>
      <c r="E331" s="53" t="inlineStr">
        <is>
          <t>C</t>
        </is>
      </c>
      <c r="F331" s="54" t="n">
        <v>0.5</v>
      </c>
      <c r="G331" s="55">
        <f>MAX(0,IF(Parameter!$B$20="Jahresanfang 2025 + Export",BG331+BF331,BF331))</f>
        <v/>
      </c>
      <c r="H331" s="55">
        <f>G331*F331</f>
        <v/>
      </c>
      <c r="I331" s="55">
        <f>BI331*Parameter!$B$18</f>
        <v/>
      </c>
      <c r="J331" s="56" t="n">
        <v>345.5</v>
      </c>
      <c r="K331" s="57" t="n">
        <v>0</v>
      </c>
      <c r="L331" s="55" t="n">
        <v>9</v>
      </c>
      <c r="M331" s="55" t="n">
        <v>250</v>
      </c>
      <c r="N331" s="58" t="n">
        <v>14</v>
      </c>
      <c r="O331" s="53" t="inlineStr">
        <is>
          <t>S32</t>
        </is>
      </c>
      <c r="P331" s="55" t="n">
        <v>600</v>
      </c>
      <c r="Q331" s="59">
        <f>IF(BO331=1,0,IFERROR(VLOOKUP(BM331,'Gebinde-Kategorie'!$A$5:$G$45,6,0)+0,0))</f>
        <v/>
      </c>
      <c r="R331" s="60" t="n"/>
      <c r="S331" s="61" t="n"/>
      <c r="T331" s="61" t="n"/>
      <c r="U331" s="53">
        <f>IF(A331="","",IF(IFERROR(VLOOKUP(D331,Parameter!$A$35:$C$64,2,0),"Nein")="2+3",IF(ISNUMBER(SEARCH("grosser Artikel",BJ331)),2,IFERROR(VLOOKUP(BM331,Parameter!$F$35:$G$64,2,0),2)),IF(OR(IFERROR(VLOOKUP(D331,Parameter!$A$35:$C$64,2,0),"Nein")="Nein",IFERROR(VLOOKUP(D331,Parameter!$A$35:$C$64,2,0),"Nein")=""),"-",VLOOKUP(D331,Parameter!$A$35:$C$64,2,0))))</f>
        <v/>
      </c>
      <c r="V331" s="61" t="n"/>
      <c r="W331" s="62" t="n"/>
      <c r="X331" s="55">
        <f>AM331</f>
        <v/>
      </c>
      <c r="Y331" s="55">
        <f>MAX(AM331,G331)</f>
        <v/>
      </c>
      <c r="Z331" s="63" t="n"/>
      <c r="AA331" s="55">
        <f>IF(LEFT(Cockpit!$C$5,1)="A",G331,IF(BT331=1,BU331,IF(LEFT(Cockpit!$C$5,1)="B",AE331,MAX(AE331,G331))))</f>
        <v/>
      </c>
      <c r="AB331" s="55">
        <f>IF(BO331=1,0,ROUNDUP(AA331/BN331,0))</f>
        <v/>
      </c>
      <c r="AC331" s="64">
        <f>IF(BO331=1,IF(AA331&lt;=0,0,BP331*MAX(1,IF(G331&gt;0,AA331/G331,1))),AB331*Q331)</f>
        <v/>
      </c>
      <c r="AD331" s="55">
        <f>AA331*F331</f>
        <v/>
      </c>
      <c r="AE331" s="55">
        <f>ROUNDUP(MAX(I331/IF(BS331&gt;0,BS331,MAX(0.1,N(Cockpit!$C$6))),BV331)/BN331,0)*BN331</f>
        <v/>
      </c>
      <c r="AF331" s="56">
        <f>IF(AC331&gt;0,I331/AC331,-1)</f>
        <v/>
      </c>
      <c r="AG331" s="56">
        <f>IF(AND(OR(BR331="L1",BR331="L23"),AC331&gt;0),SUMIFS($AC$7:$AC$1570,$BR$7:$BR$1570,BR331,$AF$7:$AF$1570,"&gt;"&amp;AF331)+SUMIFS($AC$7:$AC$1570,$BR$7:$BR$1570,BR331,$AF$7:$AF$1570,AF331,$BL$7:$BL$1570,"&lt;="&amp;BL331),"")</f>
        <v/>
      </c>
      <c r="AH331" s="65">
        <f>IF(AG331="",0,MAX(0,MIN(1,(IF(BR331="L1",Parameter!$K$5,Parameter!$K$6+Parameter!$K$7)-(AG331-AC331))/AC331)))</f>
        <v/>
      </c>
      <c r="AI331" s="55">
        <f>IF(LEFT(Cockpit!$I$5,1)="A",G331,IF(BT331=1,BU331,IF(LEFT(Cockpit!$I$5,1)="B",AM331,MAX(AM331,G331))))</f>
        <v/>
      </c>
      <c r="AJ331" s="55">
        <f>IF(BO331=1,0,ROUNDUP(AI331/BN331,0))</f>
        <v/>
      </c>
      <c r="AK331" s="64">
        <f>IF(BO331=1,IF(AI331&lt;=0,0,BP331*MAX(1,IF(G331&gt;0,AI331/G331,1))),AJ331*Q331)</f>
        <v/>
      </c>
      <c r="AL331" s="55">
        <f>AI331*F331</f>
        <v/>
      </c>
      <c r="AM331" s="55">
        <f>ROUNDUP(MAX(I331/IF(BS331&gt;0,BS331,MAX(0.1,N(Cockpit!$I$6))),BV331)/BN331,0)*BN331</f>
        <v/>
      </c>
      <c r="AN331" s="56">
        <f>IF(AK331&gt;0,I331/AK331,-1)</f>
        <v/>
      </c>
      <c r="AO331" s="56">
        <f>IF(AND(OR(BR331="L1",BR331="L23"),AK331&gt;0),SUMIFS($AK$7:$AK$1570,$BR$7:$BR$1570,BR331,$AN$7:$AN$1570,"&gt;"&amp;AN331)+SUMIFS($AK$7:$AK$1570,$BR$7:$BR$1570,BR331,$AN$7:$AN$1570,AN331,$BL$7:$BL$1570,"&lt;="&amp;BL331),"")</f>
        <v/>
      </c>
      <c r="AP331" s="65">
        <f>IF(AO331="",0,MAX(0,MIN(1,(IF(BR331="L1",Parameter!$K$5,Parameter!$K$6+Parameter!$K$7)-(AO331-AK331))/AK331)))</f>
        <v/>
      </c>
      <c r="AQ331" s="55">
        <f>IF(LEFT(Cockpit!$O$5,1)="A",G331,IF(BT331=1,BU331,IF(LEFT(Cockpit!$O$5,1)="B",AU331,MAX(AU331,G331))))</f>
        <v/>
      </c>
      <c r="AR331" s="55">
        <f>IF(BO331=1,0,ROUNDUP(AQ331/BN331,0))</f>
        <v/>
      </c>
      <c r="AS331" s="64">
        <f>IF(BO331=1,IF(AQ331&lt;=0,0,BP331*MAX(1,IF(G331&gt;0,AQ331/G331,1))),AR331*Q331)</f>
        <v/>
      </c>
      <c r="AT331" s="55">
        <f>AQ331*F331</f>
        <v/>
      </c>
      <c r="AU331" s="55">
        <f>ROUNDUP(MAX(I331/IF(BS331&gt;0,BS331,MAX(0.1,N(Cockpit!$O$6))),BV331)/BN331,0)*BN331</f>
        <v/>
      </c>
      <c r="AV331" s="56">
        <f>IF(AS331&gt;0,I331/AS331,-1)</f>
        <v/>
      </c>
      <c r="AW331" s="56">
        <f>IF(AND(OR(BR331="L1",BR331="L23"),AS331&gt;0),SUMIFS($AS$7:$AS$1570,$BR$7:$BR$1570,BR331,$AV$7:$AV$1570,"&gt;"&amp;AV331)+SUMIFS($AS$7:$AS$1570,$BR$7:$BR$1570,BR331,$AV$7:$AV$1570,AV331,$BL$7:$BL$1570,"&lt;="&amp;BL331),"")</f>
        <v/>
      </c>
      <c r="AX331" s="65">
        <f>IF(AW331="",0,MAX(0,MIN(1,(IF(BR331="L1",Parameter!$K$5,Parameter!$K$6+Parameter!$K$7)-(AW331-AS331))/AS331)))</f>
        <v/>
      </c>
      <c r="AY331" s="53">
        <f>IF(AC331&lt;=0,"",IF(BR331="Aussen","Aussenlager",IF(BR331="-","Nicht im Lift",IF(AH331&gt;=1,"Lift",IF(AH331&lt;=0,"Aussenlager","teilweise")))))</f>
        <v/>
      </c>
      <c r="AZ331" s="53">
        <f>IF(AK331&lt;=0,"",IF(BR331="Aussen","Aussenlager",IF(BR331="-","Nicht im Lift",IF(AP331&gt;=1,"Lift",IF(AP331&lt;=0,"Aussenlager","teilweise")))))</f>
        <v/>
      </c>
      <c r="BA331" s="53">
        <f>IF(AS331&lt;=0,"",IF(BR331="Aussen","Aussenlager",IF(BR331="-","Nicht im Lift",IF(AX331&gt;=1,"Lift",IF(AX331&lt;=0,"Aussenlager","teilweise")))))</f>
        <v/>
      </c>
      <c r="BB331" s="53">
        <f>IF(A331="","",IF(BK331=1,"Neu; ","")&amp;IF(AND(BK331=0,BF331&lt;0),"negativer Bestand (Export "&amp;BF331&amp;"); ","")&amp;IF(I331&lt;=0,"Kein Verbrauch; ","")&amp;IF(BO331=1,"Lose – Fläche geschätzt; ","")&amp;IF(G331&gt;AM331,"Überbestand "&amp;ROUND(G331-AM331,0)&amp;" Stk / CHF "&amp;ROUND((G331-AM331)*F331,0)&amp;"; ","")&amp;IF(AND(BT331=1,BU331&lt;BV331),"MAX &lt; MB+LG; ","")&amp;IF(AND(BZ331&gt;0,BY331*10&gt;BZ331),"zu hoch für Tablar; ","")&amp;IF(AND(BK331=0,OR(BT331=1,V331&lt;&gt;"",S331&lt;&gt;"",T331&lt;&gt;"",W331&lt;&gt;"")),"manuell übersteuert; ","")&amp;IF(AND(BO331=0,Q331=0),"Gebinde unbekannt; ","")&amp;IF(AND(BO331=0,N(T331)&lt;=0,N(P331)&lt;=0),"Menge pro Gebinde fehlt (Ist = 1 Gebinde); ","")&amp;BJ331)</f>
        <v/>
      </c>
      <c r="BC331" s="53" t="n"/>
      <c r="BD331" s="53" t="n"/>
      <c r="BE331" s="61" t="n"/>
      <c r="BF331" s="55" t="n">
        <v>434</v>
      </c>
      <c r="BG331" s="55" t="n">
        <v>63</v>
      </c>
      <c r="BH331" s="54" t="n">
        <v>217</v>
      </c>
      <c r="BI331" s="55" t="n">
        <v>0</v>
      </c>
      <c r="BJ331" s="53" t="inlineStr"/>
      <c r="BK331" s="58" t="n">
        <v>0</v>
      </c>
      <c r="BL331" s="58" t="n">
        <v>331</v>
      </c>
      <c r="BM331" s="53">
        <f>IF(S331&lt;&gt;"",UPPER(TRIM(S331)),IF(O331="","LOSE",O331))</f>
        <v/>
      </c>
      <c r="BN331" s="55">
        <f>IF(BM331="LOSE",1,IF(N(T331)&gt;0,T331,IF(N(P331)&gt;0,P331,MAX(1,G331))))</f>
        <v/>
      </c>
      <c r="BO331" s="58">
        <f>IF(BM331="LOSE",1,0)</f>
        <v/>
      </c>
      <c r="BP331" s="64">
        <f>IF(BO331=0,0,IF(N(R331)&gt;0,R331,IFERROR(VLOOKUP(D331,Parameter!$A$35:$C$64,3,0)+0,0)))</f>
        <v/>
      </c>
      <c r="BQ331" s="53">
        <f>IF(V331&lt;&gt;"",V331,U331)</f>
        <v/>
      </c>
      <c r="BR331" s="53">
        <f>IF(BQ331=1,"L1",IF(OR(BQ331=2,BQ331=3),"L23",IF(BQ331="Aussen","Aussen","-")))</f>
        <v/>
      </c>
      <c r="BS331" s="66">
        <f>IF(N(W331)&gt;0,W331,0)</f>
        <v/>
      </c>
      <c r="BT331" s="58">
        <f>IF(ISNUMBER(Z331),1,0)</f>
        <v/>
      </c>
      <c r="BU331" s="55">
        <f>N(Z331)</f>
        <v/>
      </c>
      <c r="BV331" s="55">
        <f>N(L331)+N(M331)</f>
        <v/>
      </c>
      <c r="BW331" s="55">
        <f>ROUNDUP(G331/BN331,0)</f>
        <v/>
      </c>
      <c r="BX331" s="55">
        <f>ROUNDUP(BU331/BN331,0)</f>
        <v/>
      </c>
      <c r="BY331" s="58">
        <f>IF(BO331=1,0,IFERROR(VLOOKUP(BM331,'Gebinde-Kategorie'!$A$5:$G$45,5,0)+0,0))</f>
        <v/>
      </c>
      <c r="BZ331" s="58">
        <f>IFERROR(IF(OR(BQ331=1,BQ331=2,BQ331=3),N(INDEX(Parameter!$I$5:$I$7,BQ331)),0),0)</f>
        <v/>
      </c>
    </row>
    <row r="332">
      <c r="A332" s="53" t="inlineStr">
        <is>
          <t>001030</t>
        </is>
      </c>
      <c r="B332" s="53" t="inlineStr">
        <is>
          <t>Loctite 542</t>
        </is>
      </c>
      <c r="C332" s="53" t="inlineStr">
        <is>
          <t>F</t>
        </is>
      </c>
      <c r="D332" s="53" t="inlineStr">
        <is>
          <t>KTL</t>
        </is>
      </c>
      <c r="E332" s="53" t="inlineStr">
        <is>
          <t>C</t>
        </is>
      </c>
      <c r="F332" s="54" t="n">
        <v>16.63</v>
      </c>
      <c r="G332" s="55">
        <f>MAX(0,IF(Parameter!$B$20="Jahresanfang 2025 + Export",BG332+BF332,BF332))</f>
        <v/>
      </c>
      <c r="H332" s="55">
        <f>G332*F332</f>
        <v/>
      </c>
      <c r="I332" s="55">
        <f>BI332*Parameter!$B$18</f>
        <v/>
      </c>
      <c r="J332" s="56" t="n">
        <v>15</v>
      </c>
      <c r="K332" s="57" t="n">
        <v>0.5333333333333333</v>
      </c>
      <c r="L332" s="55" t="n">
        <v>0</v>
      </c>
      <c r="M332" s="55" t="n">
        <v>10</v>
      </c>
      <c r="N332" s="58" t="n">
        <v>14</v>
      </c>
      <c r="O332" s="53" t="inlineStr">
        <is>
          <t>S21</t>
        </is>
      </c>
      <c r="P332" s="55" t="n">
        <v>9</v>
      </c>
      <c r="Q332" s="59">
        <f>IF(BO332=1,0,IFERROR(VLOOKUP(BM332,'Gebinde-Kategorie'!$A$5:$G$45,6,0)+0,0))</f>
        <v/>
      </c>
      <c r="R332" s="60" t="n"/>
      <c r="S332" s="61" t="n"/>
      <c r="T332" s="61" t="n"/>
      <c r="U332" s="53">
        <f>IF(A332="","",IF(IFERROR(VLOOKUP(D332,Parameter!$A$35:$C$64,2,0),"Nein")="2+3",IF(ISNUMBER(SEARCH("grosser Artikel",BJ332)),2,IFERROR(VLOOKUP(BM332,Parameter!$F$35:$G$64,2,0),2)),IF(OR(IFERROR(VLOOKUP(D332,Parameter!$A$35:$C$64,2,0),"Nein")="Nein",IFERROR(VLOOKUP(D332,Parameter!$A$35:$C$64,2,0),"Nein")=""),"-",VLOOKUP(D332,Parameter!$A$35:$C$64,2,0))))</f>
        <v/>
      </c>
      <c r="V332" s="61" t="n"/>
      <c r="W332" s="62" t="n"/>
      <c r="X332" s="55">
        <f>AM332</f>
        <v/>
      </c>
      <c r="Y332" s="55">
        <f>MAX(AM332,G332)</f>
        <v/>
      </c>
      <c r="Z332" s="63" t="n"/>
      <c r="AA332" s="55">
        <f>IF(LEFT(Cockpit!$C$5,1)="A",G332,IF(BT332=1,BU332,IF(LEFT(Cockpit!$C$5,1)="B",AE332,MAX(AE332,G332))))</f>
        <v/>
      </c>
      <c r="AB332" s="55">
        <f>IF(BO332=1,0,ROUNDUP(AA332/BN332,0))</f>
        <v/>
      </c>
      <c r="AC332" s="64">
        <f>IF(BO332=1,IF(AA332&lt;=0,0,BP332*MAX(1,IF(G332&gt;0,AA332/G332,1))),AB332*Q332)</f>
        <v/>
      </c>
      <c r="AD332" s="55">
        <f>AA332*F332</f>
        <v/>
      </c>
      <c r="AE332" s="55">
        <f>ROUNDUP(MAX(I332/IF(BS332&gt;0,BS332,MAX(0.1,N(Cockpit!$C$6))),BV332)/BN332,0)*BN332</f>
        <v/>
      </c>
      <c r="AF332" s="56">
        <f>IF(AC332&gt;0,I332/AC332,-1)</f>
        <v/>
      </c>
      <c r="AG332" s="56">
        <f>IF(AND(OR(BR332="L1",BR332="L23"),AC332&gt;0),SUMIFS($AC$7:$AC$1570,$BR$7:$BR$1570,BR332,$AF$7:$AF$1570,"&gt;"&amp;AF332)+SUMIFS($AC$7:$AC$1570,$BR$7:$BR$1570,BR332,$AF$7:$AF$1570,AF332,$BL$7:$BL$1570,"&lt;="&amp;BL332),"")</f>
        <v/>
      </c>
      <c r="AH332" s="65">
        <f>IF(AG332="",0,MAX(0,MIN(1,(IF(BR332="L1",Parameter!$K$5,Parameter!$K$6+Parameter!$K$7)-(AG332-AC332))/AC332)))</f>
        <v/>
      </c>
      <c r="AI332" s="55">
        <f>IF(LEFT(Cockpit!$I$5,1)="A",G332,IF(BT332=1,BU332,IF(LEFT(Cockpit!$I$5,1)="B",AM332,MAX(AM332,G332))))</f>
        <v/>
      </c>
      <c r="AJ332" s="55">
        <f>IF(BO332=1,0,ROUNDUP(AI332/BN332,0))</f>
        <v/>
      </c>
      <c r="AK332" s="64">
        <f>IF(BO332=1,IF(AI332&lt;=0,0,BP332*MAX(1,IF(G332&gt;0,AI332/G332,1))),AJ332*Q332)</f>
        <v/>
      </c>
      <c r="AL332" s="55">
        <f>AI332*F332</f>
        <v/>
      </c>
      <c r="AM332" s="55">
        <f>ROUNDUP(MAX(I332/IF(BS332&gt;0,BS332,MAX(0.1,N(Cockpit!$I$6))),BV332)/BN332,0)*BN332</f>
        <v/>
      </c>
      <c r="AN332" s="56">
        <f>IF(AK332&gt;0,I332/AK332,-1)</f>
        <v/>
      </c>
      <c r="AO332" s="56">
        <f>IF(AND(OR(BR332="L1",BR332="L23"),AK332&gt;0),SUMIFS($AK$7:$AK$1570,$BR$7:$BR$1570,BR332,$AN$7:$AN$1570,"&gt;"&amp;AN332)+SUMIFS($AK$7:$AK$1570,$BR$7:$BR$1570,BR332,$AN$7:$AN$1570,AN332,$BL$7:$BL$1570,"&lt;="&amp;BL332),"")</f>
        <v/>
      </c>
      <c r="AP332" s="65">
        <f>IF(AO332="",0,MAX(0,MIN(1,(IF(BR332="L1",Parameter!$K$5,Parameter!$K$6+Parameter!$K$7)-(AO332-AK332))/AK332)))</f>
        <v/>
      </c>
      <c r="AQ332" s="55">
        <f>IF(LEFT(Cockpit!$O$5,1)="A",G332,IF(BT332=1,BU332,IF(LEFT(Cockpit!$O$5,1)="B",AU332,MAX(AU332,G332))))</f>
        <v/>
      </c>
      <c r="AR332" s="55">
        <f>IF(BO332=1,0,ROUNDUP(AQ332/BN332,0))</f>
        <v/>
      </c>
      <c r="AS332" s="64">
        <f>IF(BO332=1,IF(AQ332&lt;=0,0,BP332*MAX(1,IF(G332&gt;0,AQ332/G332,1))),AR332*Q332)</f>
        <v/>
      </c>
      <c r="AT332" s="55">
        <f>AQ332*F332</f>
        <v/>
      </c>
      <c r="AU332" s="55">
        <f>ROUNDUP(MAX(I332/IF(BS332&gt;0,BS332,MAX(0.1,N(Cockpit!$O$6))),BV332)/BN332,0)*BN332</f>
        <v/>
      </c>
      <c r="AV332" s="56">
        <f>IF(AS332&gt;0,I332/AS332,-1)</f>
        <v/>
      </c>
      <c r="AW332" s="56">
        <f>IF(AND(OR(BR332="L1",BR332="L23"),AS332&gt;0),SUMIFS($AS$7:$AS$1570,$BR$7:$BR$1570,BR332,$AV$7:$AV$1570,"&gt;"&amp;AV332)+SUMIFS($AS$7:$AS$1570,$BR$7:$BR$1570,BR332,$AV$7:$AV$1570,AV332,$BL$7:$BL$1570,"&lt;="&amp;BL332),"")</f>
        <v/>
      </c>
      <c r="AX332" s="65">
        <f>IF(AW332="",0,MAX(0,MIN(1,(IF(BR332="L1",Parameter!$K$5,Parameter!$K$6+Parameter!$K$7)-(AW332-AS332))/AS332)))</f>
        <v/>
      </c>
      <c r="AY332" s="53">
        <f>IF(AC332&lt;=0,"",IF(BR332="Aussen","Aussenlager",IF(BR332="-","Nicht im Lift",IF(AH332&gt;=1,"Lift",IF(AH332&lt;=0,"Aussenlager","teilweise")))))</f>
        <v/>
      </c>
      <c r="AZ332" s="53">
        <f>IF(AK332&lt;=0,"",IF(BR332="Aussen","Aussenlager",IF(BR332="-","Nicht im Lift",IF(AP332&gt;=1,"Lift",IF(AP332&lt;=0,"Aussenlager","teilweise")))))</f>
        <v/>
      </c>
      <c r="BA332" s="53">
        <f>IF(AS332&lt;=0,"",IF(BR332="Aussen","Aussenlager",IF(BR332="-","Nicht im Lift",IF(AX332&gt;=1,"Lift",IF(AX332&lt;=0,"Aussenlager","teilweise")))))</f>
        <v/>
      </c>
      <c r="BB332" s="53">
        <f>IF(A332="","",IF(BK332=1,"Neu; ","")&amp;IF(AND(BK332=0,BF332&lt;0),"negativer Bestand (Export "&amp;BF332&amp;"); ","")&amp;IF(I332&lt;=0,"Kein Verbrauch; ","")&amp;IF(BO332=1,"Lose – Fläche geschätzt; ","")&amp;IF(G332&gt;AM332,"Überbestand "&amp;ROUND(G332-AM332,0)&amp;" Stk / CHF "&amp;ROUND((G332-AM332)*F332,0)&amp;"; ","")&amp;IF(AND(BT332=1,BU332&lt;BV332),"MAX &lt; MB+LG; ","")&amp;IF(AND(BZ332&gt;0,BY332*10&gt;BZ332),"zu hoch für Tablar; ","")&amp;IF(AND(BK332=0,OR(BT332=1,V332&lt;&gt;"",S332&lt;&gt;"",T332&lt;&gt;"",W332&lt;&gt;"")),"manuell übersteuert; ","")&amp;IF(AND(BO332=0,Q332=0),"Gebinde unbekannt; ","")&amp;IF(AND(BO332=0,N(T332)&lt;=0,N(P332)&lt;=0),"Menge pro Gebinde fehlt (Ist = 1 Gebinde); ","")&amp;BJ332)</f>
        <v/>
      </c>
      <c r="BC332" s="53" t="n"/>
      <c r="BD332" s="53" t="n"/>
      <c r="BE332" s="61" t="n"/>
      <c r="BF332" s="55" t="n">
        <v>13</v>
      </c>
      <c r="BG332" s="55" t="n">
        <v>3</v>
      </c>
      <c r="BH332" s="54" t="n">
        <v>216.19</v>
      </c>
      <c r="BI332" s="55" t="n">
        <v>8</v>
      </c>
      <c r="BJ332" s="53" t="inlineStr"/>
      <c r="BK332" s="58" t="n">
        <v>0</v>
      </c>
      <c r="BL332" s="58" t="n">
        <v>332</v>
      </c>
      <c r="BM332" s="53">
        <f>IF(S332&lt;&gt;"",UPPER(TRIM(S332)),IF(O332="","LOSE",O332))</f>
        <v/>
      </c>
      <c r="BN332" s="55">
        <f>IF(BM332="LOSE",1,IF(N(T332)&gt;0,T332,IF(N(P332)&gt;0,P332,MAX(1,G332))))</f>
        <v/>
      </c>
      <c r="BO332" s="58">
        <f>IF(BM332="LOSE",1,0)</f>
        <v/>
      </c>
      <c r="BP332" s="64">
        <f>IF(BO332=0,0,IF(N(R332)&gt;0,R332,IFERROR(VLOOKUP(D332,Parameter!$A$35:$C$64,3,0)+0,0)))</f>
        <v/>
      </c>
      <c r="BQ332" s="53">
        <f>IF(V332&lt;&gt;"",V332,U332)</f>
        <v/>
      </c>
      <c r="BR332" s="53">
        <f>IF(BQ332=1,"L1",IF(OR(BQ332=2,BQ332=3),"L23",IF(BQ332="Aussen","Aussen","-")))</f>
        <v/>
      </c>
      <c r="BS332" s="66">
        <f>IF(N(W332)&gt;0,W332,0)</f>
        <v/>
      </c>
      <c r="BT332" s="58">
        <f>IF(ISNUMBER(Z332),1,0)</f>
        <v/>
      </c>
      <c r="BU332" s="55">
        <f>N(Z332)</f>
        <v/>
      </c>
      <c r="BV332" s="55">
        <f>N(L332)+N(M332)</f>
        <v/>
      </c>
      <c r="BW332" s="55">
        <f>ROUNDUP(G332/BN332,0)</f>
        <v/>
      </c>
      <c r="BX332" s="55">
        <f>ROUNDUP(BU332/BN332,0)</f>
        <v/>
      </c>
      <c r="BY332" s="58">
        <f>IF(BO332=1,0,IFERROR(VLOOKUP(BM332,'Gebinde-Kategorie'!$A$5:$G$45,5,0)+0,0))</f>
        <v/>
      </c>
      <c r="BZ332" s="58">
        <f>IFERROR(IF(OR(BQ332=1,BQ332=2,BQ332=3),N(INDEX(Parameter!$I$5:$I$7,BQ332)),0),0)</f>
        <v/>
      </c>
    </row>
    <row r="333">
      <c r="A333" s="53" t="inlineStr">
        <is>
          <t>108804</t>
        </is>
      </c>
      <c r="B333" s="53" t="inlineStr">
        <is>
          <t>Ersatzfilterpatrone</t>
        </is>
      </c>
      <c r="C333" s="53" t="inlineStr">
        <is>
          <t>F</t>
        </is>
      </c>
      <c r="D333" s="53" t="inlineStr">
        <is>
          <t>PAL</t>
        </is>
      </c>
      <c r="E333" s="53" t="inlineStr">
        <is>
          <t>C</t>
        </is>
      </c>
      <c r="F333" s="54" t="n">
        <v>12.37</v>
      </c>
      <c r="G333" s="55">
        <f>MAX(0,IF(Parameter!$B$20="Jahresanfang 2025 + Export",BG333+BF333,BF333))</f>
        <v/>
      </c>
      <c r="H333" s="55">
        <f>G333*F333</f>
        <v/>
      </c>
      <c r="I333" s="55">
        <f>BI333*Parameter!$B$18</f>
        <v/>
      </c>
      <c r="J333" s="56" t="n">
        <v>120</v>
      </c>
      <c r="K333" s="57" t="n">
        <v>1.95</v>
      </c>
      <c r="L333" s="55" t="n">
        <v>30</v>
      </c>
      <c r="M333" s="55" t="n">
        <v>215</v>
      </c>
      <c r="N333" s="58" t="n">
        <v>42</v>
      </c>
      <c r="O333" s="53" t="inlineStr">
        <is>
          <t>S62</t>
        </is>
      </c>
      <c r="P333" s="55" t="n">
        <v>45</v>
      </c>
      <c r="Q333" s="59">
        <f>IF(BO333=1,0,IFERROR(VLOOKUP(BM333,'Gebinde-Kategorie'!$A$5:$G$45,6,0)+0,0))</f>
        <v/>
      </c>
      <c r="R333" s="60" t="n"/>
      <c r="S333" s="61" t="n"/>
      <c r="T333" s="61" t="n"/>
      <c r="U333" s="53">
        <f>IF(A333="","",IF(IFERROR(VLOOKUP(D333,Parameter!$A$35:$C$64,2,0),"Nein")="2+3",IF(ISNUMBER(SEARCH("grosser Artikel",BJ333)),2,IFERROR(VLOOKUP(BM333,Parameter!$F$35:$G$64,2,0),2)),IF(OR(IFERROR(VLOOKUP(D333,Parameter!$A$35:$C$64,2,0),"Nein")="Nein",IFERROR(VLOOKUP(D333,Parameter!$A$35:$C$64,2,0),"Nein")=""),"-",VLOOKUP(D333,Parameter!$A$35:$C$64,2,0))))</f>
        <v/>
      </c>
      <c r="V333" s="61" t="n"/>
      <c r="W333" s="62" t="n"/>
      <c r="X333" s="55">
        <f>AM333</f>
        <v/>
      </c>
      <c r="Y333" s="55">
        <f>MAX(AM333,G333)</f>
        <v/>
      </c>
      <c r="Z333" s="63" t="n"/>
      <c r="AA333" s="55">
        <f>IF(LEFT(Cockpit!$C$5,1)="A",G333,IF(BT333=1,BU333,IF(LEFT(Cockpit!$C$5,1)="B",AE333,MAX(AE333,G333))))</f>
        <v/>
      </c>
      <c r="AB333" s="55">
        <f>IF(BO333=1,0,ROUNDUP(AA333/BN333,0))</f>
        <v/>
      </c>
      <c r="AC333" s="64">
        <f>IF(BO333=1,IF(AA333&lt;=0,0,BP333*MAX(1,IF(G333&gt;0,AA333/G333,1))),AB333*Q333)</f>
        <v/>
      </c>
      <c r="AD333" s="55">
        <f>AA333*F333</f>
        <v/>
      </c>
      <c r="AE333" s="55">
        <f>ROUNDUP(MAX(I333/IF(BS333&gt;0,BS333,MAX(0.1,N(Cockpit!$C$6))),BV333)/BN333,0)*BN333</f>
        <v/>
      </c>
      <c r="AF333" s="56">
        <f>IF(AC333&gt;0,I333/AC333,-1)</f>
        <v/>
      </c>
      <c r="AG333" s="56">
        <f>IF(AND(OR(BR333="L1",BR333="L23"),AC333&gt;0),SUMIFS($AC$7:$AC$1570,$BR$7:$BR$1570,BR333,$AF$7:$AF$1570,"&gt;"&amp;AF333)+SUMIFS($AC$7:$AC$1570,$BR$7:$BR$1570,BR333,$AF$7:$AF$1570,AF333,$BL$7:$BL$1570,"&lt;="&amp;BL333),"")</f>
        <v/>
      </c>
      <c r="AH333" s="65">
        <f>IF(AG333="",0,MAX(0,MIN(1,(IF(BR333="L1",Parameter!$K$5,Parameter!$K$6+Parameter!$K$7)-(AG333-AC333))/AC333)))</f>
        <v/>
      </c>
      <c r="AI333" s="55">
        <f>IF(LEFT(Cockpit!$I$5,1)="A",G333,IF(BT333=1,BU333,IF(LEFT(Cockpit!$I$5,1)="B",AM333,MAX(AM333,G333))))</f>
        <v/>
      </c>
      <c r="AJ333" s="55">
        <f>IF(BO333=1,0,ROUNDUP(AI333/BN333,0))</f>
        <v/>
      </c>
      <c r="AK333" s="64">
        <f>IF(BO333=1,IF(AI333&lt;=0,0,BP333*MAX(1,IF(G333&gt;0,AI333/G333,1))),AJ333*Q333)</f>
        <v/>
      </c>
      <c r="AL333" s="55">
        <f>AI333*F333</f>
        <v/>
      </c>
      <c r="AM333" s="55">
        <f>ROUNDUP(MAX(I333/IF(BS333&gt;0,BS333,MAX(0.1,N(Cockpit!$I$6))),BV333)/BN333,0)*BN333</f>
        <v/>
      </c>
      <c r="AN333" s="56">
        <f>IF(AK333&gt;0,I333/AK333,-1)</f>
        <v/>
      </c>
      <c r="AO333" s="56">
        <f>IF(AND(OR(BR333="L1",BR333="L23"),AK333&gt;0),SUMIFS($AK$7:$AK$1570,$BR$7:$BR$1570,BR333,$AN$7:$AN$1570,"&gt;"&amp;AN333)+SUMIFS($AK$7:$AK$1570,$BR$7:$BR$1570,BR333,$AN$7:$AN$1570,AN333,$BL$7:$BL$1570,"&lt;="&amp;BL333),"")</f>
        <v/>
      </c>
      <c r="AP333" s="65">
        <f>IF(AO333="",0,MAX(0,MIN(1,(IF(BR333="L1",Parameter!$K$5,Parameter!$K$6+Parameter!$K$7)-(AO333-AK333))/AK333)))</f>
        <v/>
      </c>
      <c r="AQ333" s="55">
        <f>IF(LEFT(Cockpit!$O$5,1)="A",G333,IF(BT333=1,BU333,IF(LEFT(Cockpit!$O$5,1)="B",AU333,MAX(AU333,G333))))</f>
        <v/>
      </c>
      <c r="AR333" s="55">
        <f>IF(BO333=1,0,ROUNDUP(AQ333/BN333,0))</f>
        <v/>
      </c>
      <c r="AS333" s="64">
        <f>IF(BO333=1,IF(AQ333&lt;=0,0,BP333*MAX(1,IF(G333&gt;0,AQ333/G333,1))),AR333*Q333)</f>
        <v/>
      </c>
      <c r="AT333" s="55">
        <f>AQ333*F333</f>
        <v/>
      </c>
      <c r="AU333" s="55">
        <f>ROUNDUP(MAX(I333/IF(BS333&gt;0,BS333,MAX(0.1,N(Cockpit!$O$6))),BV333)/BN333,0)*BN333</f>
        <v/>
      </c>
      <c r="AV333" s="56">
        <f>IF(AS333&gt;0,I333/AS333,-1)</f>
        <v/>
      </c>
      <c r="AW333" s="56">
        <f>IF(AND(OR(BR333="L1",BR333="L23"),AS333&gt;0),SUMIFS($AS$7:$AS$1570,$BR$7:$BR$1570,BR333,$AV$7:$AV$1570,"&gt;"&amp;AV333)+SUMIFS($AS$7:$AS$1570,$BR$7:$BR$1570,BR333,$AV$7:$AV$1570,AV333,$BL$7:$BL$1570,"&lt;="&amp;BL333),"")</f>
        <v/>
      </c>
      <c r="AX333" s="65">
        <f>IF(AW333="",0,MAX(0,MIN(1,(IF(BR333="L1",Parameter!$K$5,Parameter!$K$6+Parameter!$K$7)-(AW333-AS333))/AS333)))</f>
        <v/>
      </c>
      <c r="AY333" s="53">
        <f>IF(AC333&lt;=0,"",IF(BR333="Aussen","Aussenlager",IF(BR333="-","Nicht im Lift",IF(AH333&gt;=1,"Lift",IF(AH333&lt;=0,"Aussenlager","teilweise")))))</f>
        <v/>
      </c>
      <c r="AZ333" s="53">
        <f>IF(AK333&lt;=0,"",IF(BR333="Aussen","Aussenlager",IF(BR333="-","Nicht im Lift",IF(AP333&gt;=1,"Lift",IF(AP333&lt;=0,"Aussenlager","teilweise")))))</f>
        <v/>
      </c>
      <c r="BA333" s="53">
        <f>IF(AS333&lt;=0,"",IF(BR333="Aussen","Aussenlager",IF(BR333="-","Nicht im Lift",IF(AX333&gt;=1,"Lift",IF(AX333&lt;=0,"Aussenlager","teilweise")))))</f>
        <v/>
      </c>
      <c r="BB333" s="53">
        <f>IF(A333="","",IF(BK333=1,"Neu; ","")&amp;IF(AND(BK333=0,BF333&lt;0),"negativer Bestand (Export "&amp;BF333&amp;"); ","")&amp;IF(I333&lt;=0,"Kein Verbrauch; ","")&amp;IF(BO333=1,"Lose – Fläche geschätzt; ","")&amp;IF(G333&gt;AM333,"Überbestand "&amp;ROUND(G333-AM333,0)&amp;" Stk / CHF "&amp;ROUND((G333-AM333)*F333,0)&amp;"; ","")&amp;IF(AND(BT333=1,BU333&lt;BV333),"MAX &lt; MB+LG; ","")&amp;IF(AND(BZ333&gt;0,BY333*10&gt;BZ333),"zu hoch für Tablar; ","")&amp;IF(AND(BK333=0,OR(BT333=1,V333&lt;&gt;"",S333&lt;&gt;"",T333&lt;&gt;"",W333&lt;&gt;"")),"manuell übersteuert; ","")&amp;IF(AND(BO333=0,Q333=0),"Gebinde unbekannt; ","")&amp;IF(AND(BO333=0,N(T333)&lt;=0,N(P333)&lt;=0),"Menge pro Gebinde fehlt (Ist = 1 Gebinde); ","")&amp;BJ333)</f>
        <v/>
      </c>
      <c r="BC333" s="53" t="n"/>
      <c r="BD333" s="53" t="n"/>
      <c r="BE333" s="61" t="n"/>
      <c r="BF333" s="55" t="n">
        <v>22</v>
      </c>
      <c r="BG333" s="55" t="n">
        <v>132</v>
      </c>
      <c r="BH333" s="54" t="n">
        <v>214.0599999999991</v>
      </c>
      <c r="BI333" s="55" t="n">
        <v>234</v>
      </c>
      <c r="BJ333" s="53" t="inlineStr">
        <is>
          <t>grosser Artikel &amp; nicht im KTL</t>
        </is>
      </c>
      <c r="BK333" s="58" t="n">
        <v>0</v>
      </c>
      <c r="BL333" s="58" t="n">
        <v>333</v>
      </c>
      <c r="BM333" s="53">
        <f>IF(S333&lt;&gt;"",UPPER(TRIM(S333)),IF(O333="","LOSE",O333))</f>
        <v/>
      </c>
      <c r="BN333" s="55">
        <f>IF(BM333="LOSE",1,IF(N(T333)&gt;0,T333,IF(N(P333)&gt;0,P333,MAX(1,G333))))</f>
        <v/>
      </c>
      <c r="BO333" s="58">
        <f>IF(BM333="LOSE",1,0)</f>
        <v/>
      </c>
      <c r="BP333" s="64">
        <f>IF(BO333=0,0,IF(N(R333)&gt;0,R333,IFERROR(VLOOKUP(D333,Parameter!$A$35:$C$64,3,0)+0,0)))</f>
        <v/>
      </c>
      <c r="BQ333" s="53">
        <f>IF(V333&lt;&gt;"",V333,U333)</f>
        <v/>
      </c>
      <c r="BR333" s="53">
        <f>IF(BQ333=1,"L1",IF(OR(BQ333=2,BQ333=3),"L23",IF(BQ333="Aussen","Aussen","-")))</f>
        <v/>
      </c>
      <c r="BS333" s="66">
        <f>IF(N(W333)&gt;0,W333,0)</f>
        <v/>
      </c>
      <c r="BT333" s="58">
        <f>IF(ISNUMBER(Z333),1,0)</f>
        <v/>
      </c>
      <c r="BU333" s="55">
        <f>N(Z333)</f>
        <v/>
      </c>
      <c r="BV333" s="55">
        <f>N(L333)+N(M333)</f>
        <v/>
      </c>
      <c r="BW333" s="55">
        <f>ROUNDUP(G333/BN333,0)</f>
        <v/>
      </c>
      <c r="BX333" s="55">
        <f>ROUNDUP(BU333/BN333,0)</f>
        <v/>
      </c>
      <c r="BY333" s="58">
        <f>IF(BO333=1,0,IFERROR(VLOOKUP(BM333,'Gebinde-Kategorie'!$A$5:$G$45,5,0)+0,0))</f>
        <v/>
      </c>
      <c r="BZ333" s="58">
        <f>IFERROR(IF(OR(BQ333=1,BQ333=2,BQ333=3),N(INDEX(Parameter!$I$5:$I$7,BQ333)),0),0)</f>
        <v/>
      </c>
    </row>
    <row r="334">
      <c r="A334" s="53" t="inlineStr">
        <is>
          <t>102867</t>
        </is>
      </c>
      <c r="B334" s="53" t="inlineStr">
        <is>
          <t>Magnetspule</t>
        </is>
      </c>
      <c r="C334" s="53" t="inlineStr">
        <is>
          <t>F</t>
        </is>
      </c>
      <c r="D334" s="53" t="inlineStr">
        <is>
          <t>KTL</t>
        </is>
      </c>
      <c r="E334" s="53" t="inlineStr">
        <is>
          <t>C</t>
        </is>
      </c>
      <c r="F334" s="54" t="n">
        <v>107</v>
      </c>
      <c r="G334" s="55">
        <f>MAX(0,IF(Parameter!$B$20="Jahresanfang 2025 + Export",BG334+BF334,BF334))</f>
        <v/>
      </c>
      <c r="H334" s="55">
        <f>G334*F334</f>
        <v/>
      </c>
      <c r="I334" s="55">
        <f>BI334*Parameter!$B$18</f>
        <v/>
      </c>
      <c r="J334" s="56" t="n">
        <v>16</v>
      </c>
      <c r="K334" s="57" t="n">
        <v>0.375</v>
      </c>
      <c r="L334" s="55" t="n">
        <v>1</v>
      </c>
      <c r="M334" s="55" t="n">
        <v>5</v>
      </c>
      <c r="N334" s="58" t="n">
        <v>84</v>
      </c>
      <c r="O334" s="53" t="inlineStr">
        <is>
          <t>S52</t>
        </is>
      </c>
      <c r="P334" s="55" t="n">
        <v>23</v>
      </c>
      <c r="Q334" s="59">
        <f>IF(BO334=1,0,IFERROR(VLOOKUP(BM334,'Gebinde-Kategorie'!$A$5:$G$45,6,0)+0,0))</f>
        <v/>
      </c>
      <c r="R334" s="60" t="n"/>
      <c r="S334" s="61" t="n"/>
      <c r="T334" s="61" t="n"/>
      <c r="U334" s="53">
        <f>IF(A334="","",IF(IFERROR(VLOOKUP(D334,Parameter!$A$35:$C$64,2,0),"Nein")="2+3",IF(ISNUMBER(SEARCH("grosser Artikel",BJ334)),2,IFERROR(VLOOKUP(BM334,Parameter!$F$35:$G$64,2,0),2)),IF(OR(IFERROR(VLOOKUP(D334,Parameter!$A$35:$C$64,2,0),"Nein")="Nein",IFERROR(VLOOKUP(D334,Parameter!$A$35:$C$64,2,0),"Nein")=""),"-",VLOOKUP(D334,Parameter!$A$35:$C$64,2,0))))</f>
        <v/>
      </c>
      <c r="V334" s="61" t="n"/>
      <c r="W334" s="62" t="n"/>
      <c r="X334" s="55">
        <f>AM334</f>
        <v/>
      </c>
      <c r="Y334" s="55">
        <f>MAX(AM334,G334)</f>
        <v/>
      </c>
      <c r="Z334" s="63" t="n"/>
      <c r="AA334" s="55">
        <f>IF(LEFT(Cockpit!$C$5,1)="A",G334,IF(BT334=1,BU334,IF(LEFT(Cockpit!$C$5,1)="B",AE334,MAX(AE334,G334))))</f>
        <v/>
      </c>
      <c r="AB334" s="55">
        <f>IF(BO334=1,0,ROUNDUP(AA334/BN334,0))</f>
        <v/>
      </c>
      <c r="AC334" s="64">
        <f>IF(BO334=1,IF(AA334&lt;=0,0,BP334*MAX(1,IF(G334&gt;0,AA334/G334,1))),AB334*Q334)</f>
        <v/>
      </c>
      <c r="AD334" s="55">
        <f>AA334*F334</f>
        <v/>
      </c>
      <c r="AE334" s="55">
        <f>ROUNDUP(MAX(I334/IF(BS334&gt;0,BS334,MAX(0.1,N(Cockpit!$C$6))),BV334)/BN334,0)*BN334</f>
        <v/>
      </c>
      <c r="AF334" s="56">
        <f>IF(AC334&gt;0,I334/AC334,-1)</f>
        <v/>
      </c>
      <c r="AG334" s="56">
        <f>IF(AND(OR(BR334="L1",BR334="L23"),AC334&gt;0),SUMIFS($AC$7:$AC$1570,$BR$7:$BR$1570,BR334,$AF$7:$AF$1570,"&gt;"&amp;AF334)+SUMIFS($AC$7:$AC$1570,$BR$7:$BR$1570,BR334,$AF$7:$AF$1570,AF334,$BL$7:$BL$1570,"&lt;="&amp;BL334),"")</f>
        <v/>
      </c>
      <c r="AH334" s="65">
        <f>IF(AG334="",0,MAX(0,MIN(1,(IF(BR334="L1",Parameter!$K$5,Parameter!$K$6+Parameter!$K$7)-(AG334-AC334))/AC334)))</f>
        <v/>
      </c>
      <c r="AI334" s="55">
        <f>IF(LEFT(Cockpit!$I$5,1)="A",G334,IF(BT334=1,BU334,IF(LEFT(Cockpit!$I$5,1)="B",AM334,MAX(AM334,G334))))</f>
        <v/>
      </c>
      <c r="AJ334" s="55">
        <f>IF(BO334=1,0,ROUNDUP(AI334/BN334,0))</f>
        <v/>
      </c>
      <c r="AK334" s="64">
        <f>IF(BO334=1,IF(AI334&lt;=0,0,BP334*MAX(1,IF(G334&gt;0,AI334/G334,1))),AJ334*Q334)</f>
        <v/>
      </c>
      <c r="AL334" s="55">
        <f>AI334*F334</f>
        <v/>
      </c>
      <c r="AM334" s="55">
        <f>ROUNDUP(MAX(I334/IF(BS334&gt;0,BS334,MAX(0.1,N(Cockpit!$I$6))),BV334)/BN334,0)*BN334</f>
        <v/>
      </c>
      <c r="AN334" s="56">
        <f>IF(AK334&gt;0,I334/AK334,-1)</f>
        <v/>
      </c>
      <c r="AO334" s="56">
        <f>IF(AND(OR(BR334="L1",BR334="L23"),AK334&gt;0),SUMIFS($AK$7:$AK$1570,$BR$7:$BR$1570,BR334,$AN$7:$AN$1570,"&gt;"&amp;AN334)+SUMIFS($AK$7:$AK$1570,$BR$7:$BR$1570,BR334,$AN$7:$AN$1570,AN334,$BL$7:$BL$1570,"&lt;="&amp;BL334),"")</f>
        <v/>
      </c>
      <c r="AP334" s="65">
        <f>IF(AO334="",0,MAX(0,MIN(1,(IF(BR334="L1",Parameter!$K$5,Parameter!$K$6+Parameter!$K$7)-(AO334-AK334))/AK334)))</f>
        <v/>
      </c>
      <c r="AQ334" s="55">
        <f>IF(LEFT(Cockpit!$O$5,1)="A",G334,IF(BT334=1,BU334,IF(LEFT(Cockpit!$O$5,1)="B",AU334,MAX(AU334,G334))))</f>
        <v/>
      </c>
      <c r="AR334" s="55">
        <f>IF(BO334=1,0,ROUNDUP(AQ334/BN334,0))</f>
        <v/>
      </c>
      <c r="AS334" s="64">
        <f>IF(BO334=1,IF(AQ334&lt;=0,0,BP334*MAX(1,IF(G334&gt;0,AQ334/G334,1))),AR334*Q334)</f>
        <v/>
      </c>
      <c r="AT334" s="55">
        <f>AQ334*F334</f>
        <v/>
      </c>
      <c r="AU334" s="55">
        <f>ROUNDUP(MAX(I334/IF(BS334&gt;0,BS334,MAX(0.1,N(Cockpit!$O$6))),BV334)/BN334,0)*BN334</f>
        <v/>
      </c>
      <c r="AV334" s="56">
        <f>IF(AS334&gt;0,I334/AS334,-1)</f>
        <v/>
      </c>
      <c r="AW334" s="56">
        <f>IF(AND(OR(BR334="L1",BR334="L23"),AS334&gt;0),SUMIFS($AS$7:$AS$1570,$BR$7:$BR$1570,BR334,$AV$7:$AV$1570,"&gt;"&amp;AV334)+SUMIFS($AS$7:$AS$1570,$BR$7:$BR$1570,BR334,$AV$7:$AV$1570,AV334,$BL$7:$BL$1570,"&lt;="&amp;BL334),"")</f>
        <v/>
      </c>
      <c r="AX334" s="65">
        <f>IF(AW334="",0,MAX(0,MIN(1,(IF(BR334="L1",Parameter!$K$5,Parameter!$K$6+Parameter!$K$7)-(AW334-AS334))/AS334)))</f>
        <v/>
      </c>
      <c r="AY334" s="53">
        <f>IF(AC334&lt;=0,"",IF(BR334="Aussen","Aussenlager",IF(BR334="-","Nicht im Lift",IF(AH334&gt;=1,"Lift",IF(AH334&lt;=0,"Aussenlager","teilweise")))))</f>
        <v/>
      </c>
      <c r="AZ334" s="53">
        <f>IF(AK334&lt;=0,"",IF(BR334="Aussen","Aussenlager",IF(BR334="-","Nicht im Lift",IF(AP334&gt;=1,"Lift",IF(AP334&lt;=0,"Aussenlager","teilweise")))))</f>
        <v/>
      </c>
      <c r="BA334" s="53">
        <f>IF(AS334&lt;=0,"",IF(BR334="Aussen","Aussenlager",IF(BR334="-","Nicht im Lift",IF(AX334&gt;=1,"Lift",IF(AX334&lt;=0,"Aussenlager","teilweise")))))</f>
        <v/>
      </c>
      <c r="BB334" s="53">
        <f>IF(A334="","",IF(BK334=1,"Neu; ","")&amp;IF(AND(BK334=0,BF334&lt;0),"negativer Bestand (Export "&amp;BF334&amp;"); ","")&amp;IF(I334&lt;=0,"Kein Verbrauch; ","")&amp;IF(BO334=1,"Lose – Fläche geschätzt; ","")&amp;IF(G334&gt;AM334,"Überbestand "&amp;ROUND(G334-AM334,0)&amp;" Stk / CHF "&amp;ROUND((G334-AM334)*F334,0)&amp;"; ","")&amp;IF(AND(BT334=1,BU334&lt;BV334),"MAX &lt; MB+LG; ","")&amp;IF(AND(BZ334&gt;0,BY334*10&gt;BZ334),"zu hoch für Tablar; ","")&amp;IF(AND(BK334=0,OR(BT334=1,V334&lt;&gt;"",S334&lt;&gt;"",T334&lt;&gt;"",W334&lt;&gt;"")),"manuell übersteuert; ","")&amp;IF(AND(BO334=0,Q334=0),"Gebinde unbekannt; ","")&amp;IF(AND(BO334=0,N(T334)&lt;=0,N(P334)&lt;=0),"Menge pro Gebinde fehlt (Ist = 1 Gebinde); ","")&amp;BJ334)</f>
        <v/>
      </c>
      <c r="BC334" s="53" t="n"/>
      <c r="BD334" s="53" t="n"/>
      <c r="BE334" s="61" t="n"/>
      <c r="BF334" s="55" t="n">
        <v>2</v>
      </c>
      <c r="BG334" s="55" t="n">
        <v>19</v>
      </c>
      <c r="BH334" s="54" t="n">
        <v>214</v>
      </c>
      <c r="BI334" s="55" t="n">
        <v>6</v>
      </c>
      <c r="BJ334" s="53" t="inlineStr"/>
      <c r="BK334" s="58" t="n">
        <v>0</v>
      </c>
      <c r="BL334" s="58" t="n">
        <v>334</v>
      </c>
      <c r="BM334" s="53">
        <f>IF(S334&lt;&gt;"",UPPER(TRIM(S334)),IF(O334="","LOSE",O334))</f>
        <v/>
      </c>
      <c r="BN334" s="55">
        <f>IF(BM334="LOSE",1,IF(N(T334)&gt;0,T334,IF(N(P334)&gt;0,P334,MAX(1,G334))))</f>
        <v/>
      </c>
      <c r="BO334" s="58">
        <f>IF(BM334="LOSE",1,0)</f>
        <v/>
      </c>
      <c r="BP334" s="64">
        <f>IF(BO334=0,0,IF(N(R334)&gt;0,R334,IFERROR(VLOOKUP(D334,Parameter!$A$35:$C$64,3,0)+0,0)))</f>
        <v/>
      </c>
      <c r="BQ334" s="53">
        <f>IF(V334&lt;&gt;"",V334,U334)</f>
        <v/>
      </c>
      <c r="BR334" s="53">
        <f>IF(BQ334=1,"L1",IF(OR(BQ334=2,BQ334=3),"L23",IF(BQ334="Aussen","Aussen","-")))</f>
        <v/>
      </c>
      <c r="BS334" s="66">
        <f>IF(N(W334)&gt;0,W334,0)</f>
        <v/>
      </c>
      <c r="BT334" s="58">
        <f>IF(ISNUMBER(Z334),1,0)</f>
        <v/>
      </c>
      <c r="BU334" s="55">
        <f>N(Z334)</f>
        <v/>
      </c>
      <c r="BV334" s="55">
        <f>N(L334)+N(M334)</f>
        <v/>
      </c>
      <c r="BW334" s="55">
        <f>ROUNDUP(G334/BN334,0)</f>
        <v/>
      </c>
      <c r="BX334" s="55">
        <f>ROUNDUP(BU334/BN334,0)</f>
        <v/>
      </c>
      <c r="BY334" s="58">
        <f>IF(BO334=1,0,IFERROR(VLOOKUP(BM334,'Gebinde-Kategorie'!$A$5:$G$45,5,0)+0,0))</f>
        <v/>
      </c>
      <c r="BZ334" s="58">
        <f>IFERROR(IF(OR(BQ334=1,BQ334=2,BQ334=3),N(INDEX(Parameter!$I$5:$I$7,BQ334)),0),0)</f>
        <v/>
      </c>
    </row>
    <row r="335">
      <c r="A335" s="53" t="inlineStr">
        <is>
          <t>005700</t>
        </is>
      </c>
      <c r="B335" s="53" t="inlineStr">
        <is>
          <t>Relaiskoppler</t>
        </is>
      </c>
      <c r="C335" s="53" t="inlineStr">
        <is>
          <t>F</t>
        </is>
      </c>
      <c r="D335" s="53" t="inlineStr">
        <is>
          <t>KTL</t>
        </is>
      </c>
      <c r="E335" s="53" t="inlineStr">
        <is>
          <t>C</t>
        </is>
      </c>
      <c r="F335" s="54" t="n">
        <v>43.47</v>
      </c>
      <c r="G335" s="55">
        <f>MAX(0,IF(Parameter!$B$20="Jahresanfang 2025 + Export",BG335+BF335,BF335))</f>
        <v/>
      </c>
      <c r="H335" s="55">
        <f>G335*F335</f>
        <v/>
      </c>
      <c r="I335" s="55">
        <f>BI335*Parameter!$B$18</f>
        <v/>
      </c>
      <c r="J335" s="56" t="n">
        <v>10</v>
      </c>
      <c r="K335" s="57" t="n">
        <v>0.6</v>
      </c>
      <c r="L335" s="55" t="n">
        <v>0</v>
      </c>
      <c r="M335" s="55" t="n">
        <v>5</v>
      </c>
      <c r="N335" s="58" t="n">
        <v>35</v>
      </c>
      <c r="O335" s="53" t="inlineStr">
        <is>
          <t>S33</t>
        </is>
      </c>
      <c r="P335" s="55" t="n">
        <v>18</v>
      </c>
      <c r="Q335" s="59">
        <f>IF(BO335=1,0,IFERROR(VLOOKUP(BM335,'Gebinde-Kategorie'!$A$5:$G$45,6,0)+0,0))</f>
        <v/>
      </c>
      <c r="R335" s="60" t="n"/>
      <c r="S335" s="61" t="n"/>
      <c r="T335" s="61" t="n"/>
      <c r="U335" s="53">
        <f>IF(A335="","",IF(IFERROR(VLOOKUP(D335,Parameter!$A$35:$C$64,2,0),"Nein")="2+3",IF(ISNUMBER(SEARCH("grosser Artikel",BJ335)),2,IFERROR(VLOOKUP(BM335,Parameter!$F$35:$G$64,2,0),2)),IF(OR(IFERROR(VLOOKUP(D335,Parameter!$A$35:$C$64,2,0),"Nein")="Nein",IFERROR(VLOOKUP(D335,Parameter!$A$35:$C$64,2,0),"Nein")=""),"-",VLOOKUP(D335,Parameter!$A$35:$C$64,2,0))))</f>
        <v/>
      </c>
      <c r="V335" s="61" t="n"/>
      <c r="W335" s="62" t="n"/>
      <c r="X335" s="55">
        <f>AM335</f>
        <v/>
      </c>
      <c r="Y335" s="55">
        <f>MAX(AM335,G335)</f>
        <v/>
      </c>
      <c r="Z335" s="63" t="n"/>
      <c r="AA335" s="55">
        <f>IF(LEFT(Cockpit!$C$5,1)="A",G335,IF(BT335=1,BU335,IF(LEFT(Cockpit!$C$5,1)="B",AE335,MAX(AE335,G335))))</f>
        <v/>
      </c>
      <c r="AB335" s="55">
        <f>IF(BO335=1,0,ROUNDUP(AA335/BN335,0))</f>
        <v/>
      </c>
      <c r="AC335" s="64">
        <f>IF(BO335=1,IF(AA335&lt;=0,0,BP335*MAX(1,IF(G335&gt;0,AA335/G335,1))),AB335*Q335)</f>
        <v/>
      </c>
      <c r="AD335" s="55">
        <f>AA335*F335</f>
        <v/>
      </c>
      <c r="AE335" s="55">
        <f>ROUNDUP(MAX(I335/IF(BS335&gt;0,BS335,MAX(0.1,N(Cockpit!$C$6))),BV335)/BN335,0)*BN335</f>
        <v/>
      </c>
      <c r="AF335" s="56">
        <f>IF(AC335&gt;0,I335/AC335,-1)</f>
        <v/>
      </c>
      <c r="AG335" s="56">
        <f>IF(AND(OR(BR335="L1",BR335="L23"),AC335&gt;0),SUMIFS($AC$7:$AC$1570,$BR$7:$BR$1570,BR335,$AF$7:$AF$1570,"&gt;"&amp;AF335)+SUMIFS($AC$7:$AC$1570,$BR$7:$BR$1570,BR335,$AF$7:$AF$1570,AF335,$BL$7:$BL$1570,"&lt;="&amp;BL335),"")</f>
        <v/>
      </c>
      <c r="AH335" s="65">
        <f>IF(AG335="",0,MAX(0,MIN(1,(IF(BR335="L1",Parameter!$K$5,Parameter!$K$6+Parameter!$K$7)-(AG335-AC335))/AC335)))</f>
        <v/>
      </c>
      <c r="AI335" s="55">
        <f>IF(LEFT(Cockpit!$I$5,1)="A",G335,IF(BT335=1,BU335,IF(LEFT(Cockpit!$I$5,1)="B",AM335,MAX(AM335,G335))))</f>
        <v/>
      </c>
      <c r="AJ335" s="55">
        <f>IF(BO335=1,0,ROUNDUP(AI335/BN335,0))</f>
        <v/>
      </c>
      <c r="AK335" s="64">
        <f>IF(BO335=1,IF(AI335&lt;=0,0,BP335*MAX(1,IF(G335&gt;0,AI335/G335,1))),AJ335*Q335)</f>
        <v/>
      </c>
      <c r="AL335" s="55">
        <f>AI335*F335</f>
        <v/>
      </c>
      <c r="AM335" s="55">
        <f>ROUNDUP(MAX(I335/IF(BS335&gt;0,BS335,MAX(0.1,N(Cockpit!$I$6))),BV335)/BN335,0)*BN335</f>
        <v/>
      </c>
      <c r="AN335" s="56">
        <f>IF(AK335&gt;0,I335/AK335,-1)</f>
        <v/>
      </c>
      <c r="AO335" s="56">
        <f>IF(AND(OR(BR335="L1",BR335="L23"),AK335&gt;0),SUMIFS($AK$7:$AK$1570,$BR$7:$BR$1570,BR335,$AN$7:$AN$1570,"&gt;"&amp;AN335)+SUMIFS($AK$7:$AK$1570,$BR$7:$BR$1570,BR335,$AN$7:$AN$1570,AN335,$BL$7:$BL$1570,"&lt;="&amp;BL335),"")</f>
        <v/>
      </c>
      <c r="AP335" s="65">
        <f>IF(AO335="",0,MAX(0,MIN(1,(IF(BR335="L1",Parameter!$K$5,Parameter!$K$6+Parameter!$K$7)-(AO335-AK335))/AK335)))</f>
        <v/>
      </c>
      <c r="AQ335" s="55">
        <f>IF(LEFT(Cockpit!$O$5,1)="A",G335,IF(BT335=1,BU335,IF(LEFT(Cockpit!$O$5,1)="B",AU335,MAX(AU335,G335))))</f>
        <v/>
      </c>
      <c r="AR335" s="55">
        <f>IF(BO335=1,0,ROUNDUP(AQ335/BN335,0))</f>
        <v/>
      </c>
      <c r="AS335" s="64">
        <f>IF(BO335=1,IF(AQ335&lt;=0,0,BP335*MAX(1,IF(G335&gt;0,AQ335/G335,1))),AR335*Q335)</f>
        <v/>
      </c>
      <c r="AT335" s="55">
        <f>AQ335*F335</f>
        <v/>
      </c>
      <c r="AU335" s="55">
        <f>ROUNDUP(MAX(I335/IF(BS335&gt;0,BS335,MAX(0.1,N(Cockpit!$O$6))),BV335)/BN335,0)*BN335</f>
        <v/>
      </c>
      <c r="AV335" s="56">
        <f>IF(AS335&gt;0,I335/AS335,-1)</f>
        <v/>
      </c>
      <c r="AW335" s="56">
        <f>IF(AND(OR(BR335="L1",BR335="L23"),AS335&gt;0),SUMIFS($AS$7:$AS$1570,$BR$7:$BR$1570,BR335,$AV$7:$AV$1570,"&gt;"&amp;AV335)+SUMIFS($AS$7:$AS$1570,$BR$7:$BR$1570,BR335,$AV$7:$AV$1570,AV335,$BL$7:$BL$1570,"&lt;="&amp;BL335),"")</f>
        <v/>
      </c>
      <c r="AX335" s="65">
        <f>IF(AW335="",0,MAX(0,MIN(1,(IF(BR335="L1",Parameter!$K$5,Parameter!$K$6+Parameter!$K$7)-(AW335-AS335))/AS335)))</f>
        <v/>
      </c>
      <c r="AY335" s="53">
        <f>IF(AC335&lt;=0,"",IF(BR335="Aussen","Aussenlager",IF(BR335="-","Nicht im Lift",IF(AH335&gt;=1,"Lift",IF(AH335&lt;=0,"Aussenlager","teilweise")))))</f>
        <v/>
      </c>
      <c r="AZ335" s="53">
        <f>IF(AK335&lt;=0,"",IF(BR335="Aussen","Aussenlager",IF(BR335="-","Nicht im Lift",IF(AP335&gt;=1,"Lift",IF(AP335&lt;=0,"Aussenlager","teilweise")))))</f>
        <v/>
      </c>
      <c r="BA335" s="53">
        <f>IF(AS335&lt;=0,"",IF(BR335="Aussen","Aussenlager",IF(BR335="-","Nicht im Lift",IF(AX335&gt;=1,"Lift",IF(AX335&lt;=0,"Aussenlager","teilweise")))))</f>
        <v/>
      </c>
      <c r="BB335" s="53">
        <f>IF(A335="","",IF(BK335=1,"Neu; ","")&amp;IF(AND(BK335=0,BF335&lt;0),"negativer Bestand (Export "&amp;BF335&amp;"); ","")&amp;IF(I335&lt;=0,"Kein Verbrauch; ","")&amp;IF(BO335=1,"Lose – Fläche geschätzt; ","")&amp;IF(G335&gt;AM335,"Überbestand "&amp;ROUND(G335-AM335,0)&amp;" Stk / CHF "&amp;ROUND((G335-AM335)*F335,0)&amp;"; ","")&amp;IF(AND(BT335=1,BU335&lt;BV335),"MAX &lt; MB+LG; ","")&amp;IF(AND(BZ335&gt;0,BY335*10&gt;BZ335),"zu hoch für Tablar; ","")&amp;IF(AND(BK335=0,OR(BT335=1,V335&lt;&gt;"",S335&lt;&gt;"",T335&lt;&gt;"",W335&lt;&gt;"")),"manuell übersteuert; ","")&amp;IF(AND(BO335=0,Q335=0),"Gebinde unbekannt; ","")&amp;IF(AND(BO335=0,N(T335)&lt;=0,N(P335)&lt;=0),"Menge pro Gebinde fehlt (Ist = 1 Gebinde); ","")&amp;BJ335)</f>
        <v/>
      </c>
      <c r="BC335" s="53" t="n"/>
      <c r="BD335" s="53" t="n"/>
      <c r="BE335" s="61" t="n"/>
      <c r="BF335" s="55" t="n">
        <v>4</v>
      </c>
      <c r="BG335" s="55" t="n">
        <v>11</v>
      </c>
      <c r="BH335" s="54" t="n">
        <v>213.81</v>
      </c>
      <c r="BI335" s="55" t="n">
        <v>6</v>
      </c>
      <c r="BJ335" s="53" t="inlineStr"/>
      <c r="BK335" s="58" t="n">
        <v>0</v>
      </c>
      <c r="BL335" s="58" t="n">
        <v>335</v>
      </c>
      <c r="BM335" s="53">
        <f>IF(S335&lt;&gt;"",UPPER(TRIM(S335)),IF(O335="","LOSE",O335))</f>
        <v/>
      </c>
      <c r="BN335" s="55">
        <f>IF(BM335="LOSE",1,IF(N(T335)&gt;0,T335,IF(N(P335)&gt;0,P335,MAX(1,G335))))</f>
        <v/>
      </c>
      <c r="BO335" s="58">
        <f>IF(BM335="LOSE",1,0)</f>
        <v/>
      </c>
      <c r="BP335" s="64">
        <f>IF(BO335=0,0,IF(N(R335)&gt;0,R335,IFERROR(VLOOKUP(D335,Parameter!$A$35:$C$64,3,0)+0,0)))</f>
        <v/>
      </c>
      <c r="BQ335" s="53">
        <f>IF(V335&lt;&gt;"",V335,U335)</f>
        <v/>
      </c>
      <c r="BR335" s="53">
        <f>IF(BQ335=1,"L1",IF(OR(BQ335=2,BQ335=3),"L23",IF(BQ335="Aussen","Aussen","-")))</f>
        <v/>
      </c>
      <c r="BS335" s="66">
        <f>IF(N(W335)&gt;0,W335,0)</f>
        <v/>
      </c>
      <c r="BT335" s="58">
        <f>IF(ISNUMBER(Z335),1,0)</f>
        <v/>
      </c>
      <c r="BU335" s="55">
        <f>N(Z335)</f>
        <v/>
      </c>
      <c r="BV335" s="55">
        <f>N(L335)+N(M335)</f>
        <v/>
      </c>
      <c r="BW335" s="55">
        <f>ROUNDUP(G335/BN335,0)</f>
        <v/>
      </c>
      <c r="BX335" s="55">
        <f>ROUNDUP(BU335/BN335,0)</f>
        <v/>
      </c>
      <c r="BY335" s="58">
        <f>IF(BO335=1,0,IFERROR(VLOOKUP(BM335,'Gebinde-Kategorie'!$A$5:$G$45,5,0)+0,0))</f>
        <v/>
      </c>
      <c r="BZ335" s="58">
        <f>IFERROR(IF(OR(BQ335=1,BQ335=2,BQ335=3),N(INDEX(Parameter!$I$5:$I$7,BQ335)),0),0)</f>
        <v/>
      </c>
    </row>
    <row r="336">
      <c r="A336" s="53" t="inlineStr">
        <is>
          <t>108481</t>
        </is>
      </c>
      <c r="B336" s="53" t="inlineStr">
        <is>
          <t>Adapter Stahl verzinkt</t>
        </is>
      </c>
      <c r="C336" s="53" t="inlineStr">
        <is>
          <t>F</t>
        </is>
      </c>
      <c r="D336" s="53" t="inlineStr">
        <is>
          <t>KTL</t>
        </is>
      </c>
      <c r="E336" s="53" t="inlineStr">
        <is>
          <t>C</t>
        </is>
      </c>
      <c r="F336" s="54" t="n">
        <v>4.65</v>
      </c>
      <c r="G336" s="55">
        <f>MAX(0,IF(Parameter!$B$20="Jahresanfang 2025 + Export",BG336+BF336,BF336))</f>
        <v/>
      </c>
      <c r="H336" s="55">
        <f>G336*F336</f>
        <v/>
      </c>
      <c r="I336" s="55">
        <f>BI336*Parameter!$B$18</f>
        <v/>
      </c>
      <c r="J336" s="56" t="n">
        <v>60</v>
      </c>
      <c r="K336" s="57" t="n">
        <v>2.116666666666667</v>
      </c>
      <c r="L336" s="55" t="n">
        <v>7</v>
      </c>
      <c r="M336" s="55" t="n">
        <v>125</v>
      </c>
      <c r="N336" s="58" t="n">
        <v>21</v>
      </c>
      <c r="O336" s="53" t="inlineStr">
        <is>
          <t>S33</t>
        </is>
      </c>
      <c r="P336" s="55" t="n">
        <v>61</v>
      </c>
      <c r="Q336" s="59">
        <f>IF(BO336=1,0,IFERROR(VLOOKUP(BM336,'Gebinde-Kategorie'!$A$5:$G$45,6,0)+0,0))</f>
        <v/>
      </c>
      <c r="R336" s="60" t="n"/>
      <c r="S336" s="61" t="n"/>
      <c r="T336" s="61" t="n"/>
      <c r="U336" s="53">
        <f>IF(A336="","",IF(IFERROR(VLOOKUP(D336,Parameter!$A$35:$C$64,2,0),"Nein")="2+3",IF(ISNUMBER(SEARCH("grosser Artikel",BJ336)),2,IFERROR(VLOOKUP(BM336,Parameter!$F$35:$G$64,2,0),2)),IF(OR(IFERROR(VLOOKUP(D336,Parameter!$A$35:$C$64,2,0),"Nein")="Nein",IFERROR(VLOOKUP(D336,Parameter!$A$35:$C$64,2,0),"Nein")=""),"-",VLOOKUP(D336,Parameter!$A$35:$C$64,2,0))))</f>
        <v/>
      </c>
      <c r="V336" s="61" t="n"/>
      <c r="W336" s="62" t="n"/>
      <c r="X336" s="55">
        <f>AM336</f>
        <v/>
      </c>
      <c r="Y336" s="55">
        <f>MAX(AM336,G336)</f>
        <v/>
      </c>
      <c r="Z336" s="63" t="n"/>
      <c r="AA336" s="55">
        <f>IF(LEFT(Cockpit!$C$5,1)="A",G336,IF(BT336=1,BU336,IF(LEFT(Cockpit!$C$5,1)="B",AE336,MAX(AE336,G336))))</f>
        <v/>
      </c>
      <c r="AB336" s="55">
        <f>IF(BO336=1,0,ROUNDUP(AA336/BN336,0))</f>
        <v/>
      </c>
      <c r="AC336" s="64">
        <f>IF(BO336=1,IF(AA336&lt;=0,0,BP336*MAX(1,IF(G336&gt;0,AA336/G336,1))),AB336*Q336)</f>
        <v/>
      </c>
      <c r="AD336" s="55">
        <f>AA336*F336</f>
        <v/>
      </c>
      <c r="AE336" s="55">
        <f>ROUNDUP(MAX(I336/IF(BS336&gt;0,BS336,MAX(0.1,N(Cockpit!$C$6))),BV336)/BN336,0)*BN336</f>
        <v/>
      </c>
      <c r="AF336" s="56">
        <f>IF(AC336&gt;0,I336/AC336,-1)</f>
        <v/>
      </c>
      <c r="AG336" s="56">
        <f>IF(AND(OR(BR336="L1",BR336="L23"),AC336&gt;0),SUMIFS($AC$7:$AC$1570,$BR$7:$BR$1570,BR336,$AF$7:$AF$1570,"&gt;"&amp;AF336)+SUMIFS($AC$7:$AC$1570,$BR$7:$BR$1570,BR336,$AF$7:$AF$1570,AF336,$BL$7:$BL$1570,"&lt;="&amp;BL336),"")</f>
        <v/>
      </c>
      <c r="AH336" s="65">
        <f>IF(AG336="",0,MAX(0,MIN(1,(IF(BR336="L1",Parameter!$K$5,Parameter!$K$6+Parameter!$K$7)-(AG336-AC336))/AC336)))</f>
        <v/>
      </c>
      <c r="AI336" s="55">
        <f>IF(LEFT(Cockpit!$I$5,1)="A",G336,IF(BT336=1,BU336,IF(LEFT(Cockpit!$I$5,1)="B",AM336,MAX(AM336,G336))))</f>
        <v/>
      </c>
      <c r="AJ336" s="55">
        <f>IF(BO336=1,0,ROUNDUP(AI336/BN336,0))</f>
        <v/>
      </c>
      <c r="AK336" s="64">
        <f>IF(BO336=1,IF(AI336&lt;=0,0,BP336*MAX(1,IF(G336&gt;0,AI336/G336,1))),AJ336*Q336)</f>
        <v/>
      </c>
      <c r="AL336" s="55">
        <f>AI336*F336</f>
        <v/>
      </c>
      <c r="AM336" s="55">
        <f>ROUNDUP(MAX(I336/IF(BS336&gt;0,BS336,MAX(0.1,N(Cockpit!$I$6))),BV336)/BN336,0)*BN336</f>
        <v/>
      </c>
      <c r="AN336" s="56">
        <f>IF(AK336&gt;0,I336/AK336,-1)</f>
        <v/>
      </c>
      <c r="AO336" s="56">
        <f>IF(AND(OR(BR336="L1",BR336="L23"),AK336&gt;0),SUMIFS($AK$7:$AK$1570,$BR$7:$BR$1570,BR336,$AN$7:$AN$1570,"&gt;"&amp;AN336)+SUMIFS($AK$7:$AK$1570,$BR$7:$BR$1570,BR336,$AN$7:$AN$1570,AN336,$BL$7:$BL$1570,"&lt;="&amp;BL336),"")</f>
        <v/>
      </c>
      <c r="AP336" s="65">
        <f>IF(AO336="",0,MAX(0,MIN(1,(IF(BR336="L1",Parameter!$K$5,Parameter!$K$6+Parameter!$K$7)-(AO336-AK336))/AK336)))</f>
        <v/>
      </c>
      <c r="AQ336" s="55">
        <f>IF(LEFT(Cockpit!$O$5,1)="A",G336,IF(BT336=1,BU336,IF(LEFT(Cockpit!$O$5,1)="B",AU336,MAX(AU336,G336))))</f>
        <v/>
      </c>
      <c r="AR336" s="55">
        <f>IF(BO336=1,0,ROUNDUP(AQ336/BN336,0))</f>
        <v/>
      </c>
      <c r="AS336" s="64">
        <f>IF(BO336=1,IF(AQ336&lt;=0,0,BP336*MAX(1,IF(G336&gt;0,AQ336/G336,1))),AR336*Q336)</f>
        <v/>
      </c>
      <c r="AT336" s="55">
        <f>AQ336*F336</f>
        <v/>
      </c>
      <c r="AU336" s="55">
        <f>ROUNDUP(MAX(I336/IF(BS336&gt;0,BS336,MAX(0.1,N(Cockpit!$O$6))),BV336)/BN336,0)*BN336</f>
        <v/>
      </c>
      <c r="AV336" s="56">
        <f>IF(AS336&gt;0,I336/AS336,-1)</f>
        <v/>
      </c>
      <c r="AW336" s="56">
        <f>IF(AND(OR(BR336="L1",BR336="L23"),AS336&gt;0),SUMIFS($AS$7:$AS$1570,$BR$7:$BR$1570,BR336,$AV$7:$AV$1570,"&gt;"&amp;AV336)+SUMIFS($AS$7:$AS$1570,$BR$7:$BR$1570,BR336,$AV$7:$AV$1570,AV336,$BL$7:$BL$1570,"&lt;="&amp;BL336),"")</f>
        <v/>
      </c>
      <c r="AX336" s="65">
        <f>IF(AW336="",0,MAX(0,MIN(1,(IF(BR336="L1",Parameter!$K$5,Parameter!$K$6+Parameter!$K$7)-(AW336-AS336))/AS336)))</f>
        <v/>
      </c>
      <c r="AY336" s="53">
        <f>IF(AC336&lt;=0,"",IF(BR336="Aussen","Aussenlager",IF(BR336="-","Nicht im Lift",IF(AH336&gt;=1,"Lift",IF(AH336&lt;=0,"Aussenlager","teilweise")))))</f>
        <v/>
      </c>
      <c r="AZ336" s="53">
        <f>IF(AK336&lt;=0,"",IF(BR336="Aussen","Aussenlager",IF(BR336="-","Nicht im Lift",IF(AP336&gt;=1,"Lift",IF(AP336&lt;=0,"Aussenlager","teilweise")))))</f>
        <v/>
      </c>
      <c r="BA336" s="53">
        <f>IF(AS336&lt;=0,"",IF(BR336="Aussen","Aussenlager",IF(BR336="-","Nicht im Lift",IF(AX336&gt;=1,"Lift",IF(AX336&lt;=0,"Aussenlager","teilweise")))))</f>
        <v/>
      </c>
      <c r="BB336" s="53">
        <f>IF(A336="","",IF(BK336=1,"Neu; ","")&amp;IF(AND(BK336=0,BF336&lt;0),"negativer Bestand (Export "&amp;BF336&amp;"); ","")&amp;IF(I336&lt;=0,"Kein Verbrauch; ","")&amp;IF(BO336=1,"Lose – Fläche geschätzt; ","")&amp;IF(G336&gt;AM336,"Überbestand "&amp;ROUND(G336-AM336,0)&amp;" Stk / CHF "&amp;ROUND((G336-AM336)*F336,0)&amp;"; ","")&amp;IF(AND(BT336=1,BU336&lt;BV336),"MAX &lt; MB+LG; ","")&amp;IF(AND(BZ336&gt;0,BY336*10&gt;BZ336),"zu hoch für Tablar; ","")&amp;IF(AND(BK336=0,OR(BT336=1,V336&lt;&gt;"",S336&lt;&gt;"",T336&lt;&gt;"",W336&lt;&gt;"")),"manuell übersteuert; ","")&amp;IF(AND(BO336=0,Q336=0),"Gebinde unbekannt; ","")&amp;IF(AND(BO336=0,N(T336)&lt;=0,N(P336)&lt;=0),"Menge pro Gebinde fehlt (Ist = 1 Gebinde); ","")&amp;BJ336)</f>
        <v/>
      </c>
      <c r="BC336" s="53" t="n"/>
      <c r="BD336" s="53" t="n"/>
      <c r="BE336" s="61" t="n"/>
      <c r="BF336" s="55" t="n">
        <v>46</v>
      </c>
      <c r="BG336" s="55" t="n">
        <v>63</v>
      </c>
      <c r="BH336" s="54" t="n">
        <v>212.6400000000005</v>
      </c>
      <c r="BI336" s="55" t="n">
        <v>127</v>
      </c>
      <c r="BJ336" s="53" t="inlineStr"/>
      <c r="BK336" s="58" t="n">
        <v>0</v>
      </c>
      <c r="BL336" s="58" t="n">
        <v>336</v>
      </c>
      <c r="BM336" s="53">
        <f>IF(S336&lt;&gt;"",UPPER(TRIM(S336)),IF(O336="","LOSE",O336))</f>
        <v/>
      </c>
      <c r="BN336" s="55">
        <f>IF(BM336="LOSE",1,IF(N(T336)&gt;0,T336,IF(N(P336)&gt;0,P336,MAX(1,G336))))</f>
        <v/>
      </c>
      <c r="BO336" s="58">
        <f>IF(BM336="LOSE",1,0)</f>
        <v/>
      </c>
      <c r="BP336" s="64">
        <f>IF(BO336=0,0,IF(N(R336)&gt;0,R336,IFERROR(VLOOKUP(D336,Parameter!$A$35:$C$64,3,0)+0,0)))</f>
        <v/>
      </c>
      <c r="BQ336" s="53">
        <f>IF(V336&lt;&gt;"",V336,U336)</f>
        <v/>
      </c>
      <c r="BR336" s="53">
        <f>IF(BQ336=1,"L1",IF(OR(BQ336=2,BQ336=3),"L23",IF(BQ336="Aussen","Aussen","-")))</f>
        <v/>
      </c>
      <c r="BS336" s="66">
        <f>IF(N(W336)&gt;0,W336,0)</f>
        <v/>
      </c>
      <c r="BT336" s="58">
        <f>IF(ISNUMBER(Z336),1,0)</f>
        <v/>
      </c>
      <c r="BU336" s="55">
        <f>N(Z336)</f>
        <v/>
      </c>
      <c r="BV336" s="55">
        <f>N(L336)+N(M336)</f>
        <v/>
      </c>
      <c r="BW336" s="55">
        <f>ROUNDUP(G336/BN336,0)</f>
        <v/>
      </c>
      <c r="BX336" s="55">
        <f>ROUNDUP(BU336/BN336,0)</f>
        <v/>
      </c>
      <c r="BY336" s="58">
        <f>IF(BO336=1,0,IFERROR(VLOOKUP(BM336,'Gebinde-Kategorie'!$A$5:$G$45,5,0)+0,0))</f>
        <v/>
      </c>
      <c r="BZ336" s="58">
        <f>IFERROR(IF(OR(BQ336=1,BQ336=2,BQ336=3),N(INDEX(Parameter!$I$5:$I$7,BQ336)),0),0)</f>
        <v/>
      </c>
    </row>
    <row r="337">
      <c r="A337" s="53" t="inlineStr">
        <is>
          <t>111919</t>
        </is>
      </c>
      <c r="B337" s="53" t="inlineStr">
        <is>
          <t>Einschraub-Schaft Adapter</t>
        </is>
      </c>
      <c r="C337" s="53" t="inlineStr">
        <is>
          <t>F</t>
        </is>
      </c>
      <c r="D337" s="53" t="inlineStr">
        <is>
          <t>KTL</t>
        </is>
      </c>
      <c r="E337" s="53" t="inlineStr">
        <is>
          <t>C</t>
        </is>
      </c>
      <c r="F337" s="54" t="n">
        <v>8.48</v>
      </c>
      <c r="G337" s="55">
        <f>MAX(0,IF(Parameter!$B$20="Jahresanfang 2025 + Export",BG337+BF337,BF337))</f>
        <v/>
      </c>
      <c r="H337" s="55">
        <f>G337*F337</f>
        <v/>
      </c>
      <c r="I337" s="55">
        <f>BI337*Parameter!$B$18</f>
        <v/>
      </c>
      <c r="J337" s="56" t="n">
        <v>0</v>
      </c>
      <c r="K337" s="57" t="n">
        <v>0</v>
      </c>
      <c r="L337" s="55" t="n">
        <v>0</v>
      </c>
      <c r="M337" s="55" t="n">
        <v>1</v>
      </c>
      <c r="N337" s="58" t="n">
        <v>9999</v>
      </c>
      <c r="O337" s="53" t="inlineStr">
        <is>
          <t>LOSE</t>
        </is>
      </c>
      <c r="P337" s="55" t="n"/>
      <c r="Q337" s="59">
        <f>IF(BO337=1,0,IFERROR(VLOOKUP(BM337,'Gebinde-Kategorie'!$A$5:$G$45,6,0)+0,0))</f>
        <v/>
      </c>
      <c r="R337" s="60" t="n"/>
      <c r="S337" s="61" t="n"/>
      <c r="T337" s="61" t="n"/>
      <c r="U337" s="53">
        <f>IF(A337="","",IF(IFERROR(VLOOKUP(D337,Parameter!$A$35:$C$64,2,0),"Nein")="2+3",IF(ISNUMBER(SEARCH("grosser Artikel",BJ337)),2,IFERROR(VLOOKUP(BM337,Parameter!$F$35:$G$64,2,0),2)),IF(OR(IFERROR(VLOOKUP(D337,Parameter!$A$35:$C$64,2,0),"Nein")="Nein",IFERROR(VLOOKUP(D337,Parameter!$A$35:$C$64,2,0),"Nein")=""),"-",VLOOKUP(D337,Parameter!$A$35:$C$64,2,0))))</f>
        <v/>
      </c>
      <c r="V337" s="61" t="n"/>
      <c r="W337" s="62" t="n"/>
      <c r="X337" s="55">
        <f>AM337</f>
        <v/>
      </c>
      <c r="Y337" s="55">
        <f>MAX(AM337,G337)</f>
        <v/>
      </c>
      <c r="Z337" s="63" t="n"/>
      <c r="AA337" s="55">
        <f>IF(LEFT(Cockpit!$C$5,1)="A",G337,IF(BT337=1,BU337,IF(LEFT(Cockpit!$C$5,1)="B",AE337,MAX(AE337,G337))))</f>
        <v/>
      </c>
      <c r="AB337" s="55">
        <f>IF(BO337=1,0,ROUNDUP(AA337/BN337,0))</f>
        <v/>
      </c>
      <c r="AC337" s="64">
        <f>IF(BO337=1,IF(AA337&lt;=0,0,BP337*MAX(1,IF(G337&gt;0,AA337/G337,1))),AB337*Q337)</f>
        <v/>
      </c>
      <c r="AD337" s="55">
        <f>AA337*F337</f>
        <v/>
      </c>
      <c r="AE337" s="55">
        <f>ROUNDUP(MAX(I337/IF(BS337&gt;0,BS337,MAX(0.1,N(Cockpit!$C$6))),BV337)/BN337,0)*BN337</f>
        <v/>
      </c>
      <c r="AF337" s="56">
        <f>IF(AC337&gt;0,I337/AC337,-1)</f>
        <v/>
      </c>
      <c r="AG337" s="56">
        <f>IF(AND(OR(BR337="L1",BR337="L23"),AC337&gt;0),SUMIFS($AC$7:$AC$1570,$BR$7:$BR$1570,BR337,$AF$7:$AF$1570,"&gt;"&amp;AF337)+SUMIFS($AC$7:$AC$1570,$BR$7:$BR$1570,BR337,$AF$7:$AF$1570,AF337,$BL$7:$BL$1570,"&lt;="&amp;BL337),"")</f>
        <v/>
      </c>
      <c r="AH337" s="65">
        <f>IF(AG337="",0,MAX(0,MIN(1,(IF(BR337="L1",Parameter!$K$5,Parameter!$K$6+Parameter!$K$7)-(AG337-AC337))/AC337)))</f>
        <v/>
      </c>
      <c r="AI337" s="55">
        <f>IF(LEFT(Cockpit!$I$5,1)="A",G337,IF(BT337=1,BU337,IF(LEFT(Cockpit!$I$5,1)="B",AM337,MAX(AM337,G337))))</f>
        <v/>
      </c>
      <c r="AJ337" s="55">
        <f>IF(BO337=1,0,ROUNDUP(AI337/BN337,0))</f>
        <v/>
      </c>
      <c r="AK337" s="64">
        <f>IF(BO337=1,IF(AI337&lt;=0,0,BP337*MAX(1,IF(G337&gt;0,AI337/G337,1))),AJ337*Q337)</f>
        <v/>
      </c>
      <c r="AL337" s="55">
        <f>AI337*F337</f>
        <v/>
      </c>
      <c r="AM337" s="55">
        <f>ROUNDUP(MAX(I337/IF(BS337&gt;0,BS337,MAX(0.1,N(Cockpit!$I$6))),BV337)/BN337,0)*BN337</f>
        <v/>
      </c>
      <c r="AN337" s="56">
        <f>IF(AK337&gt;0,I337/AK337,-1)</f>
        <v/>
      </c>
      <c r="AO337" s="56">
        <f>IF(AND(OR(BR337="L1",BR337="L23"),AK337&gt;0),SUMIFS($AK$7:$AK$1570,$BR$7:$BR$1570,BR337,$AN$7:$AN$1570,"&gt;"&amp;AN337)+SUMIFS($AK$7:$AK$1570,$BR$7:$BR$1570,BR337,$AN$7:$AN$1570,AN337,$BL$7:$BL$1570,"&lt;="&amp;BL337),"")</f>
        <v/>
      </c>
      <c r="AP337" s="65">
        <f>IF(AO337="",0,MAX(0,MIN(1,(IF(BR337="L1",Parameter!$K$5,Parameter!$K$6+Parameter!$K$7)-(AO337-AK337))/AK337)))</f>
        <v/>
      </c>
      <c r="AQ337" s="55">
        <f>IF(LEFT(Cockpit!$O$5,1)="A",G337,IF(BT337=1,BU337,IF(LEFT(Cockpit!$O$5,1)="B",AU337,MAX(AU337,G337))))</f>
        <v/>
      </c>
      <c r="AR337" s="55">
        <f>IF(BO337=1,0,ROUNDUP(AQ337/BN337,0))</f>
        <v/>
      </c>
      <c r="AS337" s="64">
        <f>IF(BO337=1,IF(AQ337&lt;=0,0,BP337*MAX(1,IF(G337&gt;0,AQ337/G337,1))),AR337*Q337)</f>
        <v/>
      </c>
      <c r="AT337" s="55">
        <f>AQ337*F337</f>
        <v/>
      </c>
      <c r="AU337" s="55">
        <f>ROUNDUP(MAX(I337/IF(BS337&gt;0,BS337,MAX(0.1,N(Cockpit!$O$6))),BV337)/BN337,0)*BN337</f>
        <v/>
      </c>
      <c r="AV337" s="56">
        <f>IF(AS337&gt;0,I337/AS337,-1)</f>
        <v/>
      </c>
      <c r="AW337" s="56">
        <f>IF(AND(OR(BR337="L1",BR337="L23"),AS337&gt;0),SUMIFS($AS$7:$AS$1570,$BR$7:$BR$1570,BR337,$AV$7:$AV$1570,"&gt;"&amp;AV337)+SUMIFS($AS$7:$AS$1570,$BR$7:$BR$1570,BR337,$AV$7:$AV$1570,AV337,$BL$7:$BL$1570,"&lt;="&amp;BL337),"")</f>
        <v/>
      </c>
      <c r="AX337" s="65">
        <f>IF(AW337="",0,MAX(0,MIN(1,(IF(BR337="L1",Parameter!$K$5,Parameter!$K$6+Parameter!$K$7)-(AW337-AS337))/AS337)))</f>
        <v/>
      </c>
      <c r="AY337" s="53">
        <f>IF(AC337&lt;=0,"",IF(BR337="Aussen","Aussenlager",IF(BR337="-","Nicht im Lift",IF(AH337&gt;=1,"Lift",IF(AH337&lt;=0,"Aussenlager","teilweise")))))</f>
        <v/>
      </c>
      <c r="AZ337" s="53">
        <f>IF(AK337&lt;=0,"",IF(BR337="Aussen","Aussenlager",IF(BR337="-","Nicht im Lift",IF(AP337&gt;=1,"Lift",IF(AP337&lt;=0,"Aussenlager","teilweise")))))</f>
        <v/>
      </c>
      <c r="BA337" s="53">
        <f>IF(AS337&lt;=0,"",IF(BR337="Aussen","Aussenlager",IF(BR337="-","Nicht im Lift",IF(AX337&gt;=1,"Lift",IF(AX337&lt;=0,"Aussenlager","teilweise")))))</f>
        <v/>
      </c>
      <c r="BB337" s="53">
        <f>IF(A337="","",IF(BK337=1,"Neu; ","")&amp;IF(AND(BK337=0,BF337&lt;0),"negativer Bestand (Export "&amp;BF337&amp;"); ","")&amp;IF(I337&lt;=0,"Kein Verbrauch; ","")&amp;IF(BO337=1,"Lose – Fläche geschätzt; ","")&amp;IF(G337&gt;AM337,"Überbestand "&amp;ROUND(G337-AM337,0)&amp;" Stk / CHF "&amp;ROUND((G337-AM337)*F337,0)&amp;"; ","")&amp;IF(AND(BT337=1,BU337&lt;BV337),"MAX &lt; MB+LG; ","")&amp;IF(AND(BZ337&gt;0,BY337*10&gt;BZ337),"zu hoch für Tablar; ","")&amp;IF(AND(BK337=0,OR(BT337=1,V337&lt;&gt;"",S337&lt;&gt;"",T337&lt;&gt;"",W337&lt;&gt;"")),"manuell übersteuert; ","")&amp;IF(AND(BO337=0,Q337=0),"Gebinde unbekannt; ","")&amp;IF(AND(BO337=0,N(T337)&lt;=0,N(P337)&lt;=0),"Menge pro Gebinde fehlt (Ist = 1 Gebinde); ","")&amp;BJ337)</f>
        <v/>
      </c>
      <c r="BC337" s="53" t="n"/>
      <c r="BD337" s="53" t="n"/>
      <c r="BE337" s="61" t="n"/>
      <c r="BF337" s="55" t="n">
        <v>25</v>
      </c>
      <c r="BG337" s="55" t="n">
        <v>0</v>
      </c>
      <c r="BH337" s="54" t="n">
        <v>212</v>
      </c>
      <c r="BI337" s="55" t="n">
        <v>0</v>
      </c>
      <c r="BJ337" s="53" t="inlineStr"/>
      <c r="BK337" s="58" t="n">
        <v>0</v>
      </c>
      <c r="BL337" s="58" t="n">
        <v>337</v>
      </c>
      <c r="BM337" s="53">
        <f>IF(S337&lt;&gt;"",UPPER(TRIM(S337)),IF(O337="","LOSE",O337))</f>
        <v/>
      </c>
      <c r="BN337" s="55">
        <f>IF(BM337="LOSE",1,IF(N(T337)&gt;0,T337,IF(N(P337)&gt;0,P337,MAX(1,G337))))</f>
        <v/>
      </c>
      <c r="BO337" s="58">
        <f>IF(BM337="LOSE",1,0)</f>
        <v/>
      </c>
      <c r="BP337" s="64">
        <f>IF(BO337=0,0,IF(N(R337)&gt;0,R337,IFERROR(VLOOKUP(D337,Parameter!$A$35:$C$64,3,0)+0,0)))</f>
        <v/>
      </c>
      <c r="BQ337" s="53">
        <f>IF(V337&lt;&gt;"",V337,U337)</f>
        <v/>
      </c>
      <c r="BR337" s="53">
        <f>IF(BQ337=1,"L1",IF(OR(BQ337=2,BQ337=3),"L23",IF(BQ337="Aussen","Aussen","-")))</f>
        <v/>
      </c>
      <c r="BS337" s="66">
        <f>IF(N(W337)&gt;0,W337,0)</f>
        <v/>
      </c>
      <c r="BT337" s="58">
        <f>IF(ISNUMBER(Z337),1,0)</f>
        <v/>
      </c>
      <c r="BU337" s="55">
        <f>N(Z337)</f>
        <v/>
      </c>
      <c r="BV337" s="55">
        <f>N(L337)+N(M337)</f>
        <v/>
      </c>
      <c r="BW337" s="55">
        <f>ROUNDUP(G337/BN337,0)</f>
        <v/>
      </c>
      <c r="BX337" s="55">
        <f>ROUNDUP(BU337/BN337,0)</f>
        <v/>
      </c>
      <c r="BY337" s="58">
        <f>IF(BO337=1,0,IFERROR(VLOOKUP(BM337,'Gebinde-Kategorie'!$A$5:$G$45,5,0)+0,0))</f>
        <v/>
      </c>
      <c r="BZ337" s="58">
        <f>IFERROR(IF(OR(BQ337=1,BQ337=2,BQ337=3),N(INDEX(Parameter!$I$5:$I$7,BQ337)),0),0)</f>
        <v/>
      </c>
    </row>
    <row r="338">
      <c r="A338" s="53" t="inlineStr">
        <is>
          <t>001197</t>
        </is>
      </c>
      <c r="B338" s="53" t="inlineStr">
        <is>
          <t>VCI Klebeband</t>
        </is>
      </c>
      <c r="C338" s="53" t="inlineStr">
        <is>
          <t>F</t>
        </is>
      </c>
      <c r="D338" s="53" t="inlineStr">
        <is>
          <t>KTL</t>
        </is>
      </c>
      <c r="E338" s="53" t="inlineStr">
        <is>
          <t>C</t>
        </is>
      </c>
      <c r="F338" s="54" t="n">
        <v>6.13</v>
      </c>
      <c r="G338" s="55">
        <f>MAX(0,IF(Parameter!$B$20="Jahresanfang 2025 + Export",BG338+BF338,BF338))</f>
        <v/>
      </c>
      <c r="H338" s="55">
        <f>G338*F338</f>
        <v/>
      </c>
      <c r="I338" s="55">
        <f>BI338*Parameter!$B$18</f>
        <v/>
      </c>
      <c r="J338" s="56" t="n">
        <v>5.5</v>
      </c>
      <c r="K338" s="57" t="n">
        <v>0</v>
      </c>
      <c r="L338" s="55" t="n">
        <v>0</v>
      </c>
      <c r="M338" s="55" t="n">
        <v>1</v>
      </c>
      <c r="N338" s="58" t="n">
        <v>14</v>
      </c>
      <c r="O338" s="53" t="inlineStr">
        <is>
          <t>S51</t>
        </is>
      </c>
      <c r="P338" s="55" t="n">
        <v>15</v>
      </c>
      <c r="Q338" s="59">
        <f>IF(BO338=1,0,IFERROR(VLOOKUP(BM338,'Gebinde-Kategorie'!$A$5:$G$45,6,0)+0,0))</f>
        <v/>
      </c>
      <c r="R338" s="60" t="n"/>
      <c r="S338" s="61" t="n"/>
      <c r="T338" s="61" t="n"/>
      <c r="U338" s="53">
        <f>IF(A338="","",IF(IFERROR(VLOOKUP(D338,Parameter!$A$35:$C$64,2,0),"Nein")="2+3",IF(ISNUMBER(SEARCH("grosser Artikel",BJ338)),2,IFERROR(VLOOKUP(BM338,Parameter!$F$35:$G$64,2,0),2)),IF(OR(IFERROR(VLOOKUP(D338,Parameter!$A$35:$C$64,2,0),"Nein")="Nein",IFERROR(VLOOKUP(D338,Parameter!$A$35:$C$64,2,0),"Nein")=""),"-",VLOOKUP(D338,Parameter!$A$35:$C$64,2,0))))</f>
        <v/>
      </c>
      <c r="V338" s="61" t="n"/>
      <c r="W338" s="62" t="n"/>
      <c r="X338" s="55">
        <f>AM338</f>
        <v/>
      </c>
      <c r="Y338" s="55">
        <f>MAX(AM338,G338)</f>
        <v/>
      </c>
      <c r="Z338" s="63" t="n"/>
      <c r="AA338" s="55">
        <f>IF(LEFT(Cockpit!$C$5,1)="A",G338,IF(BT338=1,BU338,IF(LEFT(Cockpit!$C$5,1)="B",AE338,MAX(AE338,G338))))</f>
        <v/>
      </c>
      <c r="AB338" s="55">
        <f>IF(BO338=1,0,ROUNDUP(AA338/BN338,0))</f>
        <v/>
      </c>
      <c r="AC338" s="64">
        <f>IF(BO338=1,IF(AA338&lt;=0,0,BP338*MAX(1,IF(G338&gt;0,AA338/G338,1))),AB338*Q338)</f>
        <v/>
      </c>
      <c r="AD338" s="55">
        <f>AA338*F338</f>
        <v/>
      </c>
      <c r="AE338" s="55">
        <f>ROUNDUP(MAX(I338/IF(BS338&gt;0,BS338,MAX(0.1,N(Cockpit!$C$6))),BV338)/BN338,0)*BN338</f>
        <v/>
      </c>
      <c r="AF338" s="56">
        <f>IF(AC338&gt;0,I338/AC338,-1)</f>
        <v/>
      </c>
      <c r="AG338" s="56">
        <f>IF(AND(OR(BR338="L1",BR338="L23"),AC338&gt;0),SUMIFS($AC$7:$AC$1570,$BR$7:$BR$1570,BR338,$AF$7:$AF$1570,"&gt;"&amp;AF338)+SUMIFS($AC$7:$AC$1570,$BR$7:$BR$1570,BR338,$AF$7:$AF$1570,AF338,$BL$7:$BL$1570,"&lt;="&amp;BL338),"")</f>
        <v/>
      </c>
      <c r="AH338" s="65">
        <f>IF(AG338="",0,MAX(0,MIN(1,(IF(BR338="L1",Parameter!$K$5,Parameter!$K$6+Parameter!$K$7)-(AG338-AC338))/AC338)))</f>
        <v/>
      </c>
      <c r="AI338" s="55">
        <f>IF(LEFT(Cockpit!$I$5,1)="A",G338,IF(BT338=1,BU338,IF(LEFT(Cockpit!$I$5,1)="B",AM338,MAX(AM338,G338))))</f>
        <v/>
      </c>
      <c r="AJ338" s="55">
        <f>IF(BO338=1,0,ROUNDUP(AI338/BN338,0))</f>
        <v/>
      </c>
      <c r="AK338" s="64">
        <f>IF(BO338=1,IF(AI338&lt;=0,0,BP338*MAX(1,IF(G338&gt;0,AI338/G338,1))),AJ338*Q338)</f>
        <v/>
      </c>
      <c r="AL338" s="55">
        <f>AI338*F338</f>
        <v/>
      </c>
      <c r="AM338" s="55">
        <f>ROUNDUP(MAX(I338/IF(BS338&gt;0,BS338,MAX(0.1,N(Cockpit!$I$6))),BV338)/BN338,0)*BN338</f>
        <v/>
      </c>
      <c r="AN338" s="56">
        <f>IF(AK338&gt;0,I338/AK338,-1)</f>
        <v/>
      </c>
      <c r="AO338" s="56">
        <f>IF(AND(OR(BR338="L1",BR338="L23"),AK338&gt;0),SUMIFS($AK$7:$AK$1570,$BR$7:$BR$1570,BR338,$AN$7:$AN$1570,"&gt;"&amp;AN338)+SUMIFS($AK$7:$AK$1570,$BR$7:$BR$1570,BR338,$AN$7:$AN$1570,AN338,$BL$7:$BL$1570,"&lt;="&amp;BL338),"")</f>
        <v/>
      </c>
      <c r="AP338" s="65">
        <f>IF(AO338="",0,MAX(0,MIN(1,(IF(BR338="L1",Parameter!$K$5,Parameter!$K$6+Parameter!$K$7)-(AO338-AK338))/AK338)))</f>
        <v/>
      </c>
      <c r="AQ338" s="55">
        <f>IF(LEFT(Cockpit!$O$5,1)="A",G338,IF(BT338=1,BU338,IF(LEFT(Cockpit!$O$5,1)="B",AU338,MAX(AU338,G338))))</f>
        <v/>
      </c>
      <c r="AR338" s="55">
        <f>IF(BO338=1,0,ROUNDUP(AQ338/BN338,0))</f>
        <v/>
      </c>
      <c r="AS338" s="64">
        <f>IF(BO338=1,IF(AQ338&lt;=0,0,BP338*MAX(1,IF(G338&gt;0,AQ338/G338,1))),AR338*Q338)</f>
        <v/>
      </c>
      <c r="AT338" s="55">
        <f>AQ338*F338</f>
        <v/>
      </c>
      <c r="AU338" s="55">
        <f>ROUNDUP(MAX(I338/IF(BS338&gt;0,BS338,MAX(0.1,N(Cockpit!$O$6))),BV338)/BN338,0)*BN338</f>
        <v/>
      </c>
      <c r="AV338" s="56">
        <f>IF(AS338&gt;0,I338/AS338,-1)</f>
        <v/>
      </c>
      <c r="AW338" s="56">
        <f>IF(AND(OR(BR338="L1",BR338="L23"),AS338&gt;0),SUMIFS($AS$7:$AS$1570,$BR$7:$BR$1570,BR338,$AV$7:$AV$1570,"&gt;"&amp;AV338)+SUMIFS($AS$7:$AS$1570,$BR$7:$BR$1570,BR338,$AV$7:$AV$1570,AV338,$BL$7:$BL$1570,"&lt;="&amp;BL338),"")</f>
        <v/>
      </c>
      <c r="AX338" s="65">
        <f>IF(AW338="",0,MAX(0,MIN(1,(IF(BR338="L1",Parameter!$K$5,Parameter!$K$6+Parameter!$K$7)-(AW338-AS338))/AS338)))</f>
        <v/>
      </c>
      <c r="AY338" s="53">
        <f>IF(AC338&lt;=0,"",IF(BR338="Aussen","Aussenlager",IF(BR338="-","Nicht im Lift",IF(AH338&gt;=1,"Lift",IF(AH338&lt;=0,"Aussenlager","teilweise")))))</f>
        <v/>
      </c>
      <c r="AZ338" s="53">
        <f>IF(AK338&lt;=0,"",IF(BR338="Aussen","Aussenlager",IF(BR338="-","Nicht im Lift",IF(AP338&gt;=1,"Lift",IF(AP338&lt;=0,"Aussenlager","teilweise")))))</f>
        <v/>
      </c>
      <c r="BA338" s="53">
        <f>IF(AS338&lt;=0,"",IF(BR338="Aussen","Aussenlager",IF(BR338="-","Nicht im Lift",IF(AX338&gt;=1,"Lift",IF(AX338&lt;=0,"Aussenlager","teilweise")))))</f>
        <v/>
      </c>
      <c r="BB338" s="53">
        <f>IF(A338="","",IF(BK338=1,"Neu; ","")&amp;IF(AND(BK338=0,BF338&lt;0),"negativer Bestand (Export "&amp;BF338&amp;"); ","")&amp;IF(I338&lt;=0,"Kein Verbrauch; ","")&amp;IF(BO338=1,"Lose – Fläche geschätzt; ","")&amp;IF(G338&gt;AM338,"Überbestand "&amp;ROUND(G338-AM338,0)&amp;" Stk / CHF "&amp;ROUND((G338-AM338)*F338,0)&amp;"; ","")&amp;IF(AND(BT338=1,BU338&lt;BV338),"MAX &lt; MB+LG; ","")&amp;IF(AND(BZ338&gt;0,BY338*10&gt;BZ338),"zu hoch für Tablar; ","")&amp;IF(AND(BK338=0,OR(BT338=1,V338&lt;&gt;"",S338&lt;&gt;"",T338&lt;&gt;"",W338&lt;&gt;"")),"manuell übersteuert; ","")&amp;IF(AND(BO338=0,Q338=0),"Gebinde unbekannt; ","")&amp;IF(AND(BO338=0,N(T338)&lt;=0,N(P338)&lt;=0),"Menge pro Gebinde fehlt (Ist = 1 Gebinde); ","")&amp;BJ338)</f>
        <v/>
      </c>
      <c r="BC338" s="53" t="n"/>
      <c r="BD338" s="53" t="n"/>
      <c r="BE338" s="61" t="n"/>
      <c r="BF338" s="55" t="n">
        <v>35</v>
      </c>
      <c r="BG338" s="55" t="n">
        <v>9</v>
      </c>
      <c r="BH338" s="54" t="n">
        <v>204.92</v>
      </c>
      <c r="BI338" s="55" t="n">
        <v>0</v>
      </c>
      <c r="BJ338" s="53" t="inlineStr"/>
      <c r="BK338" s="58" t="n">
        <v>0</v>
      </c>
      <c r="BL338" s="58" t="n">
        <v>338</v>
      </c>
      <c r="BM338" s="53">
        <f>IF(S338&lt;&gt;"",UPPER(TRIM(S338)),IF(O338="","LOSE",O338))</f>
        <v/>
      </c>
      <c r="BN338" s="55">
        <f>IF(BM338="LOSE",1,IF(N(T338)&gt;0,T338,IF(N(P338)&gt;0,P338,MAX(1,G338))))</f>
        <v/>
      </c>
      <c r="BO338" s="58">
        <f>IF(BM338="LOSE",1,0)</f>
        <v/>
      </c>
      <c r="BP338" s="64">
        <f>IF(BO338=0,0,IF(N(R338)&gt;0,R338,IFERROR(VLOOKUP(D338,Parameter!$A$35:$C$64,3,0)+0,0)))</f>
        <v/>
      </c>
      <c r="BQ338" s="53">
        <f>IF(V338&lt;&gt;"",V338,U338)</f>
        <v/>
      </c>
      <c r="BR338" s="53">
        <f>IF(BQ338=1,"L1",IF(OR(BQ338=2,BQ338=3),"L23",IF(BQ338="Aussen","Aussen","-")))</f>
        <v/>
      </c>
      <c r="BS338" s="66">
        <f>IF(N(W338)&gt;0,W338,0)</f>
        <v/>
      </c>
      <c r="BT338" s="58">
        <f>IF(ISNUMBER(Z338),1,0)</f>
        <v/>
      </c>
      <c r="BU338" s="55">
        <f>N(Z338)</f>
        <v/>
      </c>
      <c r="BV338" s="55">
        <f>N(L338)+N(M338)</f>
        <v/>
      </c>
      <c r="BW338" s="55">
        <f>ROUNDUP(G338/BN338,0)</f>
        <v/>
      </c>
      <c r="BX338" s="55">
        <f>ROUNDUP(BU338/BN338,0)</f>
        <v/>
      </c>
      <c r="BY338" s="58">
        <f>IF(BO338=1,0,IFERROR(VLOOKUP(BM338,'Gebinde-Kategorie'!$A$5:$G$45,5,0)+0,0))</f>
        <v/>
      </c>
      <c r="BZ338" s="58">
        <f>IFERROR(IF(OR(BQ338=1,BQ338=2,BQ338=3),N(INDEX(Parameter!$I$5:$I$7,BQ338)),0),0)</f>
        <v/>
      </c>
    </row>
    <row r="339">
      <c r="A339" s="53" t="inlineStr">
        <is>
          <t>107583</t>
        </is>
      </c>
      <c r="B339" s="53" t="inlineStr">
        <is>
          <t>Blinddeckel</t>
        </is>
      </c>
      <c r="C339" s="53" t="inlineStr">
        <is>
          <t>F</t>
        </is>
      </c>
      <c r="D339" s="53" t="inlineStr">
        <is>
          <t>KTL</t>
        </is>
      </c>
      <c r="E339" s="53" t="inlineStr">
        <is>
          <t>C</t>
        </is>
      </c>
      <c r="F339" s="54" t="n">
        <v>21.28</v>
      </c>
      <c r="G339" s="55">
        <f>MAX(0,IF(Parameter!$B$20="Jahresanfang 2025 + Export",BG339+BF339,BF339))</f>
        <v/>
      </c>
      <c r="H339" s="55">
        <f>G339*F339</f>
        <v/>
      </c>
      <c r="I339" s="55">
        <f>BI339*Parameter!$B$18</f>
        <v/>
      </c>
      <c r="J339" s="56" t="n">
        <v>13</v>
      </c>
      <c r="K339" s="57" t="n">
        <v>2</v>
      </c>
      <c r="L339" s="55" t="n">
        <v>2</v>
      </c>
      <c r="M339" s="55" t="n">
        <v>25</v>
      </c>
      <c r="N339" s="58" t="n">
        <v>35</v>
      </c>
      <c r="O339" s="53" t="inlineStr">
        <is>
          <t>S52</t>
        </is>
      </c>
      <c r="P339" s="55" t="n">
        <v>17</v>
      </c>
      <c r="Q339" s="59">
        <f>IF(BO339=1,0,IFERROR(VLOOKUP(BM339,'Gebinde-Kategorie'!$A$5:$G$45,6,0)+0,0))</f>
        <v/>
      </c>
      <c r="R339" s="60" t="n"/>
      <c r="S339" s="61" t="n"/>
      <c r="T339" s="61" t="n"/>
      <c r="U339" s="53">
        <f>IF(A339="","",IF(IFERROR(VLOOKUP(D339,Parameter!$A$35:$C$64,2,0),"Nein")="2+3",IF(ISNUMBER(SEARCH("grosser Artikel",BJ339)),2,IFERROR(VLOOKUP(BM339,Parameter!$F$35:$G$64,2,0),2)),IF(OR(IFERROR(VLOOKUP(D339,Parameter!$A$35:$C$64,2,0),"Nein")="Nein",IFERROR(VLOOKUP(D339,Parameter!$A$35:$C$64,2,0),"Nein")=""),"-",VLOOKUP(D339,Parameter!$A$35:$C$64,2,0))))</f>
        <v/>
      </c>
      <c r="V339" s="61" t="n"/>
      <c r="W339" s="62" t="n"/>
      <c r="X339" s="55">
        <f>AM339</f>
        <v/>
      </c>
      <c r="Y339" s="55">
        <f>MAX(AM339,G339)</f>
        <v/>
      </c>
      <c r="Z339" s="63" t="n"/>
      <c r="AA339" s="55">
        <f>IF(LEFT(Cockpit!$C$5,1)="A",G339,IF(BT339=1,BU339,IF(LEFT(Cockpit!$C$5,1)="B",AE339,MAX(AE339,G339))))</f>
        <v/>
      </c>
      <c r="AB339" s="55">
        <f>IF(BO339=1,0,ROUNDUP(AA339/BN339,0))</f>
        <v/>
      </c>
      <c r="AC339" s="64">
        <f>IF(BO339=1,IF(AA339&lt;=0,0,BP339*MAX(1,IF(G339&gt;0,AA339/G339,1))),AB339*Q339)</f>
        <v/>
      </c>
      <c r="AD339" s="55">
        <f>AA339*F339</f>
        <v/>
      </c>
      <c r="AE339" s="55">
        <f>ROUNDUP(MAX(I339/IF(BS339&gt;0,BS339,MAX(0.1,N(Cockpit!$C$6))),BV339)/BN339,0)*BN339</f>
        <v/>
      </c>
      <c r="AF339" s="56">
        <f>IF(AC339&gt;0,I339/AC339,-1)</f>
        <v/>
      </c>
      <c r="AG339" s="56">
        <f>IF(AND(OR(BR339="L1",BR339="L23"),AC339&gt;0),SUMIFS($AC$7:$AC$1570,$BR$7:$BR$1570,BR339,$AF$7:$AF$1570,"&gt;"&amp;AF339)+SUMIFS($AC$7:$AC$1570,$BR$7:$BR$1570,BR339,$AF$7:$AF$1570,AF339,$BL$7:$BL$1570,"&lt;="&amp;BL339),"")</f>
        <v/>
      </c>
      <c r="AH339" s="65">
        <f>IF(AG339="",0,MAX(0,MIN(1,(IF(BR339="L1",Parameter!$K$5,Parameter!$K$6+Parameter!$K$7)-(AG339-AC339))/AC339)))</f>
        <v/>
      </c>
      <c r="AI339" s="55">
        <f>IF(LEFT(Cockpit!$I$5,1)="A",G339,IF(BT339=1,BU339,IF(LEFT(Cockpit!$I$5,1)="B",AM339,MAX(AM339,G339))))</f>
        <v/>
      </c>
      <c r="AJ339" s="55">
        <f>IF(BO339=1,0,ROUNDUP(AI339/BN339,0))</f>
        <v/>
      </c>
      <c r="AK339" s="64">
        <f>IF(BO339=1,IF(AI339&lt;=0,0,BP339*MAX(1,IF(G339&gt;0,AI339/G339,1))),AJ339*Q339)</f>
        <v/>
      </c>
      <c r="AL339" s="55">
        <f>AI339*F339</f>
        <v/>
      </c>
      <c r="AM339" s="55">
        <f>ROUNDUP(MAX(I339/IF(BS339&gt;0,BS339,MAX(0.1,N(Cockpit!$I$6))),BV339)/BN339,0)*BN339</f>
        <v/>
      </c>
      <c r="AN339" s="56">
        <f>IF(AK339&gt;0,I339/AK339,-1)</f>
        <v/>
      </c>
      <c r="AO339" s="56">
        <f>IF(AND(OR(BR339="L1",BR339="L23"),AK339&gt;0),SUMIFS($AK$7:$AK$1570,$BR$7:$BR$1570,BR339,$AN$7:$AN$1570,"&gt;"&amp;AN339)+SUMIFS($AK$7:$AK$1570,$BR$7:$BR$1570,BR339,$AN$7:$AN$1570,AN339,$BL$7:$BL$1570,"&lt;="&amp;BL339),"")</f>
        <v/>
      </c>
      <c r="AP339" s="65">
        <f>IF(AO339="",0,MAX(0,MIN(1,(IF(BR339="L1",Parameter!$K$5,Parameter!$K$6+Parameter!$K$7)-(AO339-AK339))/AK339)))</f>
        <v/>
      </c>
      <c r="AQ339" s="55">
        <f>IF(LEFT(Cockpit!$O$5,1)="A",G339,IF(BT339=1,BU339,IF(LEFT(Cockpit!$O$5,1)="B",AU339,MAX(AU339,G339))))</f>
        <v/>
      </c>
      <c r="AR339" s="55">
        <f>IF(BO339=1,0,ROUNDUP(AQ339/BN339,0))</f>
        <v/>
      </c>
      <c r="AS339" s="64">
        <f>IF(BO339=1,IF(AQ339&lt;=0,0,BP339*MAX(1,IF(G339&gt;0,AQ339/G339,1))),AR339*Q339)</f>
        <v/>
      </c>
      <c r="AT339" s="55">
        <f>AQ339*F339</f>
        <v/>
      </c>
      <c r="AU339" s="55">
        <f>ROUNDUP(MAX(I339/IF(BS339&gt;0,BS339,MAX(0.1,N(Cockpit!$O$6))),BV339)/BN339,0)*BN339</f>
        <v/>
      </c>
      <c r="AV339" s="56">
        <f>IF(AS339&gt;0,I339/AS339,-1)</f>
        <v/>
      </c>
      <c r="AW339" s="56">
        <f>IF(AND(OR(BR339="L1",BR339="L23"),AS339&gt;0),SUMIFS($AS$7:$AS$1570,$BR$7:$BR$1570,BR339,$AV$7:$AV$1570,"&gt;"&amp;AV339)+SUMIFS($AS$7:$AS$1570,$BR$7:$BR$1570,BR339,$AV$7:$AV$1570,AV339,$BL$7:$BL$1570,"&lt;="&amp;BL339),"")</f>
        <v/>
      </c>
      <c r="AX339" s="65">
        <f>IF(AW339="",0,MAX(0,MIN(1,(IF(BR339="L1",Parameter!$K$5,Parameter!$K$6+Parameter!$K$7)-(AW339-AS339))/AS339)))</f>
        <v/>
      </c>
      <c r="AY339" s="53">
        <f>IF(AC339&lt;=0,"",IF(BR339="Aussen","Aussenlager",IF(BR339="-","Nicht im Lift",IF(AH339&gt;=1,"Lift",IF(AH339&lt;=0,"Aussenlager","teilweise")))))</f>
        <v/>
      </c>
      <c r="AZ339" s="53">
        <f>IF(AK339&lt;=0,"",IF(BR339="Aussen","Aussenlager",IF(BR339="-","Nicht im Lift",IF(AP339&gt;=1,"Lift",IF(AP339&lt;=0,"Aussenlager","teilweise")))))</f>
        <v/>
      </c>
      <c r="BA339" s="53">
        <f>IF(AS339&lt;=0,"",IF(BR339="Aussen","Aussenlager",IF(BR339="-","Nicht im Lift",IF(AX339&gt;=1,"Lift",IF(AX339&lt;=0,"Aussenlager","teilweise")))))</f>
        <v/>
      </c>
      <c r="BB339" s="53">
        <f>IF(A339="","",IF(BK339=1,"Neu; ","")&amp;IF(AND(BK339=0,BF339&lt;0),"negativer Bestand (Export "&amp;BF339&amp;"); ","")&amp;IF(I339&lt;=0,"Kein Verbrauch; ","")&amp;IF(BO339=1,"Lose – Fläche geschätzt; ","")&amp;IF(G339&gt;AM339,"Überbestand "&amp;ROUND(G339-AM339,0)&amp;" Stk / CHF "&amp;ROUND((G339-AM339)*F339,0)&amp;"; ","")&amp;IF(AND(BT339=1,BU339&lt;BV339),"MAX &lt; MB+LG; ","")&amp;IF(AND(BZ339&gt;0,BY339*10&gt;BZ339),"zu hoch für Tablar; ","")&amp;IF(AND(BK339=0,OR(BT339=1,V339&lt;&gt;"",S339&lt;&gt;"",T339&lt;&gt;"",W339&lt;&gt;"")),"manuell übersteuert; ","")&amp;IF(AND(BO339=0,Q339=0),"Gebinde unbekannt; ","")&amp;IF(AND(BO339=0,N(T339)&lt;=0,N(P339)&lt;=0),"Menge pro Gebinde fehlt (Ist = 1 Gebinde); ","")&amp;BJ339)</f>
        <v/>
      </c>
      <c r="BC339" s="53" t="n"/>
      <c r="BD339" s="53" t="n"/>
      <c r="BE339" s="61" t="n"/>
      <c r="BF339" s="55" t="n">
        <v>11</v>
      </c>
      <c r="BG339" s="55" t="n">
        <v>11</v>
      </c>
      <c r="BH339" s="54" t="n">
        <v>202.73</v>
      </c>
      <c r="BI339" s="55" t="n">
        <v>26</v>
      </c>
      <c r="BJ339" s="53" t="inlineStr"/>
      <c r="BK339" s="58" t="n">
        <v>0</v>
      </c>
      <c r="BL339" s="58" t="n">
        <v>339</v>
      </c>
      <c r="BM339" s="53">
        <f>IF(S339&lt;&gt;"",UPPER(TRIM(S339)),IF(O339="","LOSE",O339))</f>
        <v/>
      </c>
      <c r="BN339" s="55">
        <f>IF(BM339="LOSE",1,IF(N(T339)&gt;0,T339,IF(N(P339)&gt;0,P339,MAX(1,G339))))</f>
        <v/>
      </c>
      <c r="BO339" s="58">
        <f>IF(BM339="LOSE",1,0)</f>
        <v/>
      </c>
      <c r="BP339" s="64">
        <f>IF(BO339=0,0,IF(N(R339)&gt;0,R339,IFERROR(VLOOKUP(D339,Parameter!$A$35:$C$64,3,0)+0,0)))</f>
        <v/>
      </c>
      <c r="BQ339" s="53">
        <f>IF(V339&lt;&gt;"",V339,U339)</f>
        <v/>
      </c>
      <c r="BR339" s="53">
        <f>IF(BQ339=1,"L1",IF(OR(BQ339=2,BQ339=3),"L23",IF(BQ339="Aussen","Aussen","-")))</f>
        <v/>
      </c>
      <c r="BS339" s="66">
        <f>IF(N(W339)&gt;0,W339,0)</f>
        <v/>
      </c>
      <c r="BT339" s="58">
        <f>IF(ISNUMBER(Z339),1,0)</f>
        <v/>
      </c>
      <c r="BU339" s="55">
        <f>N(Z339)</f>
        <v/>
      </c>
      <c r="BV339" s="55">
        <f>N(L339)+N(M339)</f>
        <v/>
      </c>
      <c r="BW339" s="55">
        <f>ROUNDUP(G339/BN339,0)</f>
        <v/>
      </c>
      <c r="BX339" s="55">
        <f>ROUNDUP(BU339/BN339,0)</f>
        <v/>
      </c>
      <c r="BY339" s="58">
        <f>IF(BO339=1,0,IFERROR(VLOOKUP(BM339,'Gebinde-Kategorie'!$A$5:$G$45,5,0)+0,0))</f>
        <v/>
      </c>
      <c r="BZ339" s="58">
        <f>IFERROR(IF(OR(BQ339=1,BQ339=2,BQ339=3),N(INDEX(Parameter!$I$5:$I$7,BQ339)),0),0)</f>
        <v/>
      </c>
    </row>
    <row r="340">
      <c r="A340" s="53" t="inlineStr">
        <is>
          <t>106090</t>
        </is>
      </c>
      <c r="B340" s="53" t="inlineStr">
        <is>
          <t>O-Ring</t>
        </is>
      </c>
      <c r="C340" s="53" t="inlineStr">
        <is>
          <t>F</t>
        </is>
      </c>
      <c r="D340" s="53" t="inlineStr">
        <is>
          <t>KTL</t>
        </is>
      </c>
      <c r="E340" s="53" t="inlineStr">
        <is>
          <t>C</t>
        </is>
      </c>
      <c r="F340" s="54" t="n">
        <v>1.22</v>
      </c>
      <c r="G340" s="55">
        <f>MAX(0,IF(Parameter!$B$20="Jahresanfang 2025 + Export",BG340+BF340,BF340))</f>
        <v/>
      </c>
      <c r="H340" s="55">
        <f>G340*F340</f>
        <v/>
      </c>
      <c r="I340" s="55">
        <f>BI340*Parameter!$B$18</f>
        <v/>
      </c>
      <c r="J340" s="56" t="n">
        <v>92</v>
      </c>
      <c r="K340" s="57" t="n">
        <v>1.543478260869565</v>
      </c>
      <c r="L340" s="55" t="n">
        <v>5</v>
      </c>
      <c r="M340" s="55" t="n">
        <v>140</v>
      </c>
      <c r="N340" s="58" t="n">
        <v>14</v>
      </c>
      <c r="O340" s="53" t="inlineStr">
        <is>
          <t>S51</t>
        </is>
      </c>
      <c r="P340" s="55" t="n">
        <v>264</v>
      </c>
      <c r="Q340" s="59">
        <f>IF(BO340=1,0,IFERROR(VLOOKUP(BM340,'Gebinde-Kategorie'!$A$5:$G$45,6,0)+0,0))</f>
        <v/>
      </c>
      <c r="R340" s="60" t="n"/>
      <c r="S340" s="61" t="n"/>
      <c r="T340" s="61" t="n"/>
      <c r="U340" s="53">
        <f>IF(A340="","",IF(IFERROR(VLOOKUP(D340,Parameter!$A$35:$C$64,2,0),"Nein")="2+3",IF(ISNUMBER(SEARCH("grosser Artikel",BJ340)),2,IFERROR(VLOOKUP(BM340,Parameter!$F$35:$G$64,2,0),2)),IF(OR(IFERROR(VLOOKUP(D340,Parameter!$A$35:$C$64,2,0),"Nein")="Nein",IFERROR(VLOOKUP(D340,Parameter!$A$35:$C$64,2,0),"Nein")=""),"-",VLOOKUP(D340,Parameter!$A$35:$C$64,2,0))))</f>
        <v/>
      </c>
      <c r="V340" s="61" t="n"/>
      <c r="W340" s="62" t="n"/>
      <c r="X340" s="55">
        <f>AM340</f>
        <v/>
      </c>
      <c r="Y340" s="55">
        <f>MAX(AM340,G340)</f>
        <v/>
      </c>
      <c r="Z340" s="63" t="n"/>
      <c r="AA340" s="55">
        <f>IF(LEFT(Cockpit!$C$5,1)="A",G340,IF(BT340=1,BU340,IF(LEFT(Cockpit!$C$5,1)="B",AE340,MAX(AE340,G340))))</f>
        <v/>
      </c>
      <c r="AB340" s="55">
        <f>IF(BO340=1,0,ROUNDUP(AA340/BN340,0))</f>
        <v/>
      </c>
      <c r="AC340" s="64">
        <f>IF(BO340=1,IF(AA340&lt;=0,0,BP340*MAX(1,IF(G340&gt;0,AA340/G340,1))),AB340*Q340)</f>
        <v/>
      </c>
      <c r="AD340" s="55">
        <f>AA340*F340</f>
        <v/>
      </c>
      <c r="AE340" s="55">
        <f>ROUNDUP(MAX(I340/IF(BS340&gt;0,BS340,MAX(0.1,N(Cockpit!$C$6))),BV340)/BN340,0)*BN340</f>
        <v/>
      </c>
      <c r="AF340" s="56">
        <f>IF(AC340&gt;0,I340/AC340,-1)</f>
        <v/>
      </c>
      <c r="AG340" s="56">
        <f>IF(AND(OR(BR340="L1",BR340="L23"),AC340&gt;0),SUMIFS($AC$7:$AC$1570,$BR$7:$BR$1570,BR340,$AF$7:$AF$1570,"&gt;"&amp;AF340)+SUMIFS($AC$7:$AC$1570,$BR$7:$BR$1570,BR340,$AF$7:$AF$1570,AF340,$BL$7:$BL$1570,"&lt;="&amp;BL340),"")</f>
        <v/>
      </c>
      <c r="AH340" s="65">
        <f>IF(AG340="",0,MAX(0,MIN(1,(IF(BR340="L1",Parameter!$K$5,Parameter!$K$6+Parameter!$K$7)-(AG340-AC340))/AC340)))</f>
        <v/>
      </c>
      <c r="AI340" s="55">
        <f>IF(LEFT(Cockpit!$I$5,1)="A",G340,IF(BT340=1,BU340,IF(LEFT(Cockpit!$I$5,1)="B",AM340,MAX(AM340,G340))))</f>
        <v/>
      </c>
      <c r="AJ340" s="55">
        <f>IF(BO340=1,0,ROUNDUP(AI340/BN340,0))</f>
        <v/>
      </c>
      <c r="AK340" s="64">
        <f>IF(BO340=1,IF(AI340&lt;=0,0,BP340*MAX(1,IF(G340&gt;0,AI340/G340,1))),AJ340*Q340)</f>
        <v/>
      </c>
      <c r="AL340" s="55">
        <f>AI340*F340</f>
        <v/>
      </c>
      <c r="AM340" s="55">
        <f>ROUNDUP(MAX(I340/IF(BS340&gt;0,BS340,MAX(0.1,N(Cockpit!$I$6))),BV340)/BN340,0)*BN340</f>
        <v/>
      </c>
      <c r="AN340" s="56">
        <f>IF(AK340&gt;0,I340/AK340,-1)</f>
        <v/>
      </c>
      <c r="AO340" s="56">
        <f>IF(AND(OR(BR340="L1",BR340="L23"),AK340&gt;0),SUMIFS($AK$7:$AK$1570,$BR$7:$BR$1570,BR340,$AN$7:$AN$1570,"&gt;"&amp;AN340)+SUMIFS($AK$7:$AK$1570,$BR$7:$BR$1570,BR340,$AN$7:$AN$1570,AN340,$BL$7:$BL$1570,"&lt;="&amp;BL340),"")</f>
        <v/>
      </c>
      <c r="AP340" s="65">
        <f>IF(AO340="",0,MAX(0,MIN(1,(IF(BR340="L1",Parameter!$K$5,Parameter!$K$6+Parameter!$K$7)-(AO340-AK340))/AK340)))</f>
        <v/>
      </c>
      <c r="AQ340" s="55">
        <f>IF(LEFT(Cockpit!$O$5,1)="A",G340,IF(BT340=1,BU340,IF(LEFT(Cockpit!$O$5,1)="B",AU340,MAX(AU340,G340))))</f>
        <v/>
      </c>
      <c r="AR340" s="55">
        <f>IF(BO340=1,0,ROUNDUP(AQ340/BN340,0))</f>
        <v/>
      </c>
      <c r="AS340" s="64">
        <f>IF(BO340=1,IF(AQ340&lt;=0,0,BP340*MAX(1,IF(G340&gt;0,AQ340/G340,1))),AR340*Q340)</f>
        <v/>
      </c>
      <c r="AT340" s="55">
        <f>AQ340*F340</f>
        <v/>
      </c>
      <c r="AU340" s="55">
        <f>ROUNDUP(MAX(I340/IF(BS340&gt;0,BS340,MAX(0.1,N(Cockpit!$O$6))),BV340)/BN340,0)*BN340</f>
        <v/>
      </c>
      <c r="AV340" s="56">
        <f>IF(AS340&gt;0,I340/AS340,-1)</f>
        <v/>
      </c>
      <c r="AW340" s="56">
        <f>IF(AND(OR(BR340="L1",BR340="L23"),AS340&gt;0),SUMIFS($AS$7:$AS$1570,$BR$7:$BR$1570,BR340,$AV$7:$AV$1570,"&gt;"&amp;AV340)+SUMIFS($AS$7:$AS$1570,$BR$7:$BR$1570,BR340,$AV$7:$AV$1570,AV340,$BL$7:$BL$1570,"&lt;="&amp;BL340),"")</f>
        <v/>
      </c>
      <c r="AX340" s="65">
        <f>IF(AW340="",0,MAX(0,MIN(1,(IF(BR340="L1",Parameter!$K$5,Parameter!$K$6+Parameter!$K$7)-(AW340-AS340))/AS340)))</f>
        <v/>
      </c>
      <c r="AY340" s="53">
        <f>IF(AC340&lt;=0,"",IF(BR340="Aussen","Aussenlager",IF(BR340="-","Nicht im Lift",IF(AH340&gt;=1,"Lift",IF(AH340&lt;=0,"Aussenlager","teilweise")))))</f>
        <v/>
      </c>
      <c r="AZ340" s="53">
        <f>IF(AK340&lt;=0,"",IF(BR340="Aussen","Aussenlager",IF(BR340="-","Nicht im Lift",IF(AP340&gt;=1,"Lift",IF(AP340&lt;=0,"Aussenlager","teilweise")))))</f>
        <v/>
      </c>
      <c r="BA340" s="53">
        <f>IF(AS340&lt;=0,"",IF(BR340="Aussen","Aussenlager",IF(BR340="-","Nicht im Lift",IF(AX340&gt;=1,"Lift",IF(AX340&lt;=0,"Aussenlager","teilweise")))))</f>
        <v/>
      </c>
      <c r="BB340" s="53">
        <f>IF(A340="","",IF(BK340=1,"Neu; ","")&amp;IF(AND(BK340=0,BF340&lt;0),"negativer Bestand (Export "&amp;BF340&amp;"); ","")&amp;IF(I340&lt;=0,"Kein Verbrauch; ","")&amp;IF(BO340=1,"Lose – Fläche geschätzt; ","")&amp;IF(G340&gt;AM340,"Überbestand "&amp;ROUND(G340-AM340,0)&amp;" Stk / CHF "&amp;ROUND((G340-AM340)*F340,0)&amp;"; ","")&amp;IF(AND(BT340=1,BU340&lt;BV340),"MAX &lt; MB+LG; ","")&amp;IF(AND(BZ340&gt;0,BY340*10&gt;BZ340),"zu hoch für Tablar; ","")&amp;IF(AND(BK340=0,OR(BT340=1,V340&lt;&gt;"",S340&lt;&gt;"",T340&lt;&gt;"",W340&lt;&gt;"")),"manuell übersteuert; ","")&amp;IF(AND(BO340=0,Q340=0),"Gebinde unbekannt; ","")&amp;IF(AND(BO340=0,N(T340)&lt;=0,N(P340)&lt;=0),"Menge pro Gebinde fehlt (Ist = 1 Gebinde); ","")&amp;BJ340)</f>
        <v/>
      </c>
      <c r="BC340" s="53" t="n"/>
      <c r="BD340" s="53" t="n"/>
      <c r="BE340" s="61" t="n"/>
      <c r="BF340" s="55" t="n">
        <v>174</v>
      </c>
      <c r="BG340" s="55" t="n">
        <v>108</v>
      </c>
      <c r="BH340" s="54" t="n">
        <v>201.1700000000004</v>
      </c>
      <c r="BI340" s="55" t="n">
        <v>142</v>
      </c>
      <c r="BJ340" s="53" t="inlineStr">
        <is>
          <t>Überbestand</t>
        </is>
      </c>
      <c r="BK340" s="58" t="n">
        <v>0</v>
      </c>
      <c r="BL340" s="58" t="n">
        <v>340</v>
      </c>
      <c r="BM340" s="53">
        <f>IF(S340&lt;&gt;"",UPPER(TRIM(S340)),IF(O340="","LOSE",O340))</f>
        <v/>
      </c>
      <c r="BN340" s="55">
        <f>IF(BM340="LOSE",1,IF(N(T340)&gt;0,T340,IF(N(P340)&gt;0,P340,MAX(1,G340))))</f>
        <v/>
      </c>
      <c r="BO340" s="58">
        <f>IF(BM340="LOSE",1,0)</f>
        <v/>
      </c>
      <c r="BP340" s="64">
        <f>IF(BO340=0,0,IF(N(R340)&gt;0,R340,IFERROR(VLOOKUP(D340,Parameter!$A$35:$C$64,3,0)+0,0)))</f>
        <v/>
      </c>
      <c r="BQ340" s="53">
        <f>IF(V340&lt;&gt;"",V340,U340)</f>
        <v/>
      </c>
      <c r="BR340" s="53">
        <f>IF(BQ340=1,"L1",IF(OR(BQ340=2,BQ340=3),"L23",IF(BQ340="Aussen","Aussen","-")))</f>
        <v/>
      </c>
      <c r="BS340" s="66">
        <f>IF(N(W340)&gt;0,W340,0)</f>
        <v/>
      </c>
      <c r="BT340" s="58">
        <f>IF(ISNUMBER(Z340),1,0)</f>
        <v/>
      </c>
      <c r="BU340" s="55">
        <f>N(Z340)</f>
        <v/>
      </c>
      <c r="BV340" s="55">
        <f>N(L340)+N(M340)</f>
        <v/>
      </c>
      <c r="BW340" s="55">
        <f>ROUNDUP(G340/BN340,0)</f>
        <v/>
      </c>
      <c r="BX340" s="55">
        <f>ROUNDUP(BU340/BN340,0)</f>
        <v/>
      </c>
      <c r="BY340" s="58">
        <f>IF(BO340=1,0,IFERROR(VLOOKUP(BM340,'Gebinde-Kategorie'!$A$5:$G$45,5,0)+0,0))</f>
        <v/>
      </c>
      <c r="BZ340" s="58">
        <f>IFERROR(IF(OR(BQ340=1,BQ340=2,BQ340=3),N(INDEX(Parameter!$I$5:$I$7,BQ340)),0),0)</f>
        <v/>
      </c>
    </row>
    <row r="341">
      <c r="A341" s="53" t="inlineStr">
        <is>
          <t>002009</t>
        </is>
      </c>
      <c r="B341" s="53" t="inlineStr">
        <is>
          <t>Nylonhammer</t>
        </is>
      </c>
      <c r="C341" s="53" t="inlineStr">
        <is>
          <t>F</t>
        </is>
      </c>
      <c r="D341" s="53" t="inlineStr">
        <is>
          <t>KTL</t>
        </is>
      </c>
      <c r="E341" s="53" t="inlineStr">
        <is>
          <t>C</t>
        </is>
      </c>
      <c r="F341" s="54" t="n">
        <v>33.5</v>
      </c>
      <c r="G341" s="55">
        <f>MAX(0,IF(Parameter!$B$20="Jahresanfang 2025 + Export",BG341+BF341,BF341))</f>
        <v/>
      </c>
      <c r="H341" s="55">
        <f>G341*F341</f>
        <v/>
      </c>
      <c r="I341" s="55">
        <f>BI341*Parameter!$B$18</f>
        <v/>
      </c>
      <c r="J341" s="56" t="n">
        <v>2.5</v>
      </c>
      <c r="K341" s="57" t="n">
        <v>2.8</v>
      </c>
      <c r="L341" s="55" t="n">
        <v>0</v>
      </c>
      <c r="M341" s="55" t="n">
        <v>5</v>
      </c>
      <c r="N341" s="58" t="n">
        <v>14</v>
      </c>
      <c r="O341" s="53" t="inlineStr">
        <is>
          <t>S33</t>
        </is>
      </c>
      <c r="P341" s="55" t="n">
        <v>5</v>
      </c>
      <c r="Q341" s="59">
        <f>IF(BO341=1,0,IFERROR(VLOOKUP(BM341,'Gebinde-Kategorie'!$A$5:$G$45,6,0)+0,0))</f>
        <v/>
      </c>
      <c r="R341" s="60" t="n"/>
      <c r="S341" s="61" t="n"/>
      <c r="T341" s="61" t="n"/>
      <c r="U341" s="53">
        <f>IF(A341="","",IF(IFERROR(VLOOKUP(D341,Parameter!$A$35:$C$64,2,0),"Nein")="2+3",IF(ISNUMBER(SEARCH("grosser Artikel",BJ341)),2,IFERROR(VLOOKUP(BM341,Parameter!$F$35:$G$64,2,0),2)),IF(OR(IFERROR(VLOOKUP(D341,Parameter!$A$35:$C$64,2,0),"Nein")="Nein",IFERROR(VLOOKUP(D341,Parameter!$A$35:$C$64,2,0),"Nein")=""),"-",VLOOKUP(D341,Parameter!$A$35:$C$64,2,0))))</f>
        <v/>
      </c>
      <c r="V341" s="61" t="n"/>
      <c r="W341" s="62" t="n"/>
      <c r="X341" s="55">
        <f>AM341</f>
        <v/>
      </c>
      <c r="Y341" s="55">
        <f>MAX(AM341,G341)</f>
        <v/>
      </c>
      <c r="Z341" s="63" t="n"/>
      <c r="AA341" s="55">
        <f>IF(LEFT(Cockpit!$C$5,1)="A",G341,IF(BT341=1,BU341,IF(LEFT(Cockpit!$C$5,1)="B",AE341,MAX(AE341,G341))))</f>
        <v/>
      </c>
      <c r="AB341" s="55">
        <f>IF(BO341=1,0,ROUNDUP(AA341/BN341,0))</f>
        <v/>
      </c>
      <c r="AC341" s="64">
        <f>IF(BO341=1,IF(AA341&lt;=0,0,BP341*MAX(1,IF(G341&gt;0,AA341/G341,1))),AB341*Q341)</f>
        <v/>
      </c>
      <c r="AD341" s="55">
        <f>AA341*F341</f>
        <v/>
      </c>
      <c r="AE341" s="55">
        <f>ROUNDUP(MAX(I341/IF(BS341&gt;0,BS341,MAX(0.1,N(Cockpit!$C$6))),BV341)/BN341,0)*BN341</f>
        <v/>
      </c>
      <c r="AF341" s="56">
        <f>IF(AC341&gt;0,I341/AC341,-1)</f>
        <v/>
      </c>
      <c r="AG341" s="56">
        <f>IF(AND(OR(BR341="L1",BR341="L23"),AC341&gt;0),SUMIFS($AC$7:$AC$1570,$BR$7:$BR$1570,BR341,$AF$7:$AF$1570,"&gt;"&amp;AF341)+SUMIFS($AC$7:$AC$1570,$BR$7:$BR$1570,BR341,$AF$7:$AF$1570,AF341,$BL$7:$BL$1570,"&lt;="&amp;BL341),"")</f>
        <v/>
      </c>
      <c r="AH341" s="65">
        <f>IF(AG341="",0,MAX(0,MIN(1,(IF(BR341="L1",Parameter!$K$5,Parameter!$K$6+Parameter!$K$7)-(AG341-AC341))/AC341)))</f>
        <v/>
      </c>
      <c r="AI341" s="55">
        <f>IF(LEFT(Cockpit!$I$5,1)="A",G341,IF(BT341=1,BU341,IF(LEFT(Cockpit!$I$5,1)="B",AM341,MAX(AM341,G341))))</f>
        <v/>
      </c>
      <c r="AJ341" s="55">
        <f>IF(BO341=1,0,ROUNDUP(AI341/BN341,0))</f>
        <v/>
      </c>
      <c r="AK341" s="64">
        <f>IF(BO341=1,IF(AI341&lt;=0,0,BP341*MAX(1,IF(G341&gt;0,AI341/G341,1))),AJ341*Q341)</f>
        <v/>
      </c>
      <c r="AL341" s="55">
        <f>AI341*F341</f>
        <v/>
      </c>
      <c r="AM341" s="55">
        <f>ROUNDUP(MAX(I341/IF(BS341&gt;0,BS341,MAX(0.1,N(Cockpit!$I$6))),BV341)/BN341,0)*BN341</f>
        <v/>
      </c>
      <c r="AN341" s="56">
        <f>IF(AK341&gt;0,I341/AK341,-1)</f>
        <v/>
      </c>
      <c r="AO341" s="56">
        <f>IF(AND(OR(BR341="L1",BR341="L23"),AK341&gt;0),SUMIFS($AK$7:$AK$1570,$BR$7:$BR$1570,BR341,$AN$7:$AN$1570,"&gt;"&amp;AN341)+SUMIFS($AK$7:$AK$1570,$BR$7:$BR$1570,BR341,$AN$7:$AN$1570,AN341,$BL$7:$BL$1570,"&lt;="&amp;BL341),"")</f>
        <v/>
      </c>
      <c r="AP341" s="65">
        <f>IF(AO341="",0,MAX(0,MIN(1,(IF(BR341="L1",Parameter!$K$5,Parameter!$K$6+Parameter!$K$7)-(AO341-AK341))/AK341)))</f>
        <v/>
      </c>
      <c r="AQ341" s="55">
        <f>IF(LEFT(Cockpit!$O$5,1)="A",G341,IF(BT341=1,BU341,IF(LEFT(Cockpit!$O$5,1)="B",AU341,MAX(AU341,G341))))</f>
        <v/>
      </c>
      <c r="AR341" s="55">
        <f>IF(BO341=1,0,ROUNDUP(AQ341/BN341,0))</f>
        <v/>
      </c>
      <c r="AS341" s="64">
        <f>IF(BO341=1,IF(AQ341&lt;=0,0,BP341*MAX(1,IF(G341&gt;0,AQ341/G341,1))),AR341*Q341)</f>
        <v/>
      </c>
      <c r="AT341" s="55">
        <f>AQ341*F341</f>
        <v/>
      </c>
      <c r="AU341" s="55">
        <f>ROUNDUP(MAX(I341/IF(BS341&gt;0,BS341,MAX(0.1,N(Cockpit!$O$6))),BV341)/BN341,0)*BN341</f>
        <v/>
      </c>
      <c r="AV341" s="56">
        <f>IF(AS341&gt;0,I341/AS341,-1)</f>
        <v/>
      </c>
      <c r="AW341" s="56">
        <f>IF(AND(OR(BR341="L1",BR341="L23"),AS341&gt;0),SUMIFS($AS$7:$AS$1570,$BR$7:$BR$1570,BR341,$AV$7:$AV$1570,"&gt;"&amp;AV341)+SUMIFS($AS$7:$AS$1570,$BR$7:$BR$1570,BR341,$AV$7:$AV$1570,AV341,$BL$7:$BL$1570,"&lt;="&amp;BL341),"")</f>
        <v/>
      </c>
      <c r="AX341" s="65">
        <f>IF(AW341="",0,MAX(0,MIN(1,(IF(BR341="L1",Parameter!$K$5,Parameter!$K$6+Parameter!$K$7)-(AW341-AS341))/AS341)))</f>
        <v/>
      </c>
      <c r="AY341" s="53">
        <f>IF(AC341&lt;=0,"",IF(BR341="Aussen","Aussenlager",IF(BR341="-","Nicht im Lift",IF(AH341&gt;=1,"Lift",IF(AH341&lt;=0,"Aussenlager","teilweise")))))</f>
        <v/>
      </c>
      <c r="AZ341" s="53">
        <f>IF(AK341&lt;=0,"",IF(BR341="Aussen","Aussenlager",IF(BR341="-","Nicht im Lift",IF(AP341&gt;=1,"Lift",IF(AP341&lt;=0,"Aussenlager","teilweise")))))</f>
        <v/>
      </c>
      <c r="BA341" s="53">
        <f>IF(AS341&lt;=0,"",IF(BR341="Aussen","Aussenlager",IF(BR341="-","Nicht im Lift",IF(AX341&gt;=1,"Lift",IF(AX341&lt;=0,"Aussenlager","teilweise")))))</f>
        <v/>
      </c>
      <c r="BB341" s="53">
        <f>IF(A341="","",IF(BK341=1,"Neu; ","")&amp;IF(AND(BK341=0,BF341&lt;0),"negativer Bestand (Export "&amp;BF341&amp;"); ","")&amp;IF(I341&lt;=0,"Kein Verbrauch; ","")&amp;IF(BO341=1,"Lose – Fläche geschätzt; ","")&amp;IF(G341&gt;AM341,"Überbestand "&amp;ROUND(G341-AM341,0)&amp;" Stk / CHF "&amp;ROUND((G341-AM341)*F341,0)&amp;"; ","")&amp;IF(AND(BT341=1,BU341&lt;BV341),"MAX &lt; MB+LG; ","")&amp;IF(AND(BZ341&gt;0,BY341*10&gt;BZ341),"zu hoch für Tablar; ","")&amp;IF(AND(BK341=0,OR(BT341=1,V341&lt;&gt;"",S341&lt;&gt;"",T341&lt;&gt;"",W341&lt;&gt;"")),"manuell übersteuert; ","")&amp;IF(AND(BO341=0,Q341=0),"Gebinde unbekannt; ","")&amp;IF(AND(BO341=0,N(T341)&lt;=0,N(P341)&lt;=0),"Menge pro Gebinde fehlt (Ist = 1 Gebinde); ","")&amp;BJ341)</f>
        <v/>
      </c>
      <c r="BC341" s="53" t="n"/>
      <c r="BD341" s="53" t="n"/>
      <c r="BE341" s="61" t="n"/>
      <c r="BF341" s="55" t="n">
        <v>6</v>
      </c>
      <c r="BG341" s="55" t="n">
        <v>3</v>
      </c>
      <c r="BH341" s="54" t="n">
        <v>201</v>
      </c>
      <c r="BI341" s="55" t="n">
        <v>7</v>
      </c>
      <c r="BJ341" s="53" t="inlineStr"/>
      <c r="BK341" s="58" t="n">
        <v>0</v>
      </c>
      <c r="BL341" s="58" t="n">
        <v>341</v>
      </c>
      <c r="BM341" s="53">
        <f>IF(S341&lt;&gt;"",UPPER(TRIM(S341)),IF(O341="","LOSE",O341))</f>
        <v/>
      </c>
      <c r="BN341" s="55">
        <f>IF(BM341="LOSE",1,IF(N(T341)&gt;0,T341,IF(N(P341)&gt;0,P341,MAX(1,G341))))</f>
        <v/>
      </c>
      <c r="BO341" s="58">
        <f>IF(BM341="LOSE",1,0)</f>
        <v/>
      </c>
      <c r="BP341" s="64">
        <f>IF(BO341=0,0,IF(N(R341)&gt;0,R341,IFERROR(VLOOKUP(D341,Parameter!$A$35:$C$64,3,0)+0,0)))</f>
        <v/>
      </c>
      <c r="BQ341" s="53">
        <f>IF(V341&lt;&gt;"",V341,U341)</f>
        <v/>
      </c>
      <c r="BR341" s="53">
        <f>IF(BQ341=1,"L1",IF(OR(BQ341=2,BQ341=3),"L23",IF(BQ341="Aussen","Aussen","-")))</f>
        <v/>
      </c>
      <c r="BS341" s="66">
        <f>IF(N(W341)&gt;0,W341,0)</f>
        <v/>
      </c>
      <c r="BT341" s="58">
        <f>IF(ISNUMBER(Z341),1,0)</f>
        <v/>
      </c>
      <c r="BU341" s="55">
        <f>N(Z341)</f>
        <v/>
      </c>
      <c r="BV341" s="55">
        <f>N(L341)+N(M341)</f>
        <v/>
      </c>
      <c r="BW341" s="55">
        <f>ROUNDUP(G341/BN341,0)</f>
        <v/>
      </c>
      <c r="BX341" s="55">
        <f>ROUNDUP(BU341/BN341,0)</f>
        <v/>
      </c>
      <c r="BY341" s="58">
        <f>IF(BO341=1,0,IFERROR(VLOOKUP(BM341,'Gebinde-Kategorie'!$A$5:$G$45,5,0)+0,0))</f>
        <v/>
      </c>
      <c r="BZ341" s="58">
        <f>IFERROR(IF(OR(BQ341=1,BQ341=2,BQ341=3),N(INDEX(Parameter!$I$5:$I$7,BQ341)),0),0)</f>
        <v/>
      </c>
    </row>
    <row r="342">
      <c r="A342" s="53" t="inlineStr">
        <is>
          <t>110026</t>
        </is>
      </c>
      <c r="B342" s="53" t="inlineStr">
        <is>
          <t>selbstklebende Dokumententasche</t>
        </is>
      </c>
      <c r="C342" s="53" t="inlineStr">
        <is>
          <t>F</t>
        </is>
      </c>
      <c r="D342" s="53" t="inlineStr">
        <is>
          <t>KTL</t>
        </is>
      </c>
      <c r="E342" s="53" t="inlineStr">
        <is>
          <t>C</t>
        </is>
      </c>
      <c r="F342" s="54" t="n">
        <v>0.23</v>
      </c>
      <c r="G342" s="55">
        <f>MAX(0,IF(Parameter!$B$20="Jahresanfang 2025 + Export",BG342+BF342,BF342))</f>
        <v/>
      </c>
      <c r="H342" s="55">
        <f>G342*F342</f>
        <v/>
      </c>
      <c r="I342" s="55">
        <f>BI342*Parameter!$B$18</f>
        <v/>
      </c>
      <c r="J342" s="56" t="n">
        <v>467.5</v>
      </c>
      <c r="K342" s="57" t="n">
        <v>1.101604278074866</v>
      </c>
      <c r="L342" s="55" t="n">
        <v>30</v>
      </c>
      <c r="M342" s="55" t="n">
        <v>515</v>
      </c>
      <c r="N342" s="58" t="n">
        <v>21</v>
      </c>
      <c r="O342" s="53" t="inlineStr">
        <is>
          <t>S52</t>
        </is>
      </c>
      <c r="P342" s="55" t="n">
        <v>400</v>
      </c>
      <c r="Q342" s="59">
        <f>IF(BO342=1,0,IFERROR(VLOOKUP(BM342,'Gebinde-Kategorie'!$A$5:$G$45,6,0)+0,0))</f>
        <v/>
      </c>
      <c r="R342" s="60" t="n"/>
      <c r="S342" s="61" t="n"/>
      <c r="T342" s="61" t="n"/>
      <c r="U342" s="53">
        <f>IF(A342="","",IF(IFERROR(VLOOKUP(D342,Parameter!$A$35:$C$64,2,0),"Nein")="2+3",IF(ISNUMBER(SEARCH("grosser Artikel",BJ342)),2,IFERROR(VLOOKUP(BM342,Parameter!$F$35:$G$64,2,0),2)),IF(OR(IFERROR(VLOOKUP(D342,Parameter!$A$35:$C$64,2,0),"Nein")="Nein",IFERROR(VLOOKUP(D342,Parameter!$A$35:$C$64,2,0),"Nein")=""),"-",VLOOKUP(D342,Parameter!$A$35:$C$64,2,0))))</f>
        <v/>
      </c>
      <c r="V342" s="61" t="n"/>
      <c r="W342" s="62" t="n"/>
      <c r="X342" s="55">
        <f>AM342</f>
        <v/>
      </c>
      <c r="Y342" s="55">
        <f>MAX(AM342,G342)</f>
        <v/>
      </c>
      <c r="Z342" s="63" t="n"/>
      <c r="AA342" s="55">
        <f>IF(LEFT(Cockpit!$C$5,1)="A",G342,IF(BT342=1,BU342,IF(LEFT(Cockpit!$C$5,1)="B",AE342,MAX(AE342,G342))))</f>
        <v/>
      </c>
      <c r="AB342" s="55">
        <f>IF(BO342=1,0,ROUNDUP(AA342/BN342,0))</f>
        <v/>
      </c>
      <c r="AC342" s="64">
        <f>IF(BO342=1,IF(AA342&lt;=0,0,BP342*MAX(1,IF(G342&gt;0,AA342/G342,1))),AB342*Q342)</f>
        <v/>
      </c>
      <c r="AD342" s="55">
        <f>AA342*F342</f>
        <v/>
      </c>
      <c r="AE342" s="55">
        <f>ROUNDUP(MAX(I342/IF(BS342&gt;0,BS342,MAX(0.1,N(Cockpit!$C$6))),BV342)/BN342,0)*BN342</f>
        <v/>
      </c>
      <c r="AF342" s="56">
        <f>IF(AC342&gt;0,I342/AC342,-1)</f>
        <v/>
      </c>
      <c r="AG342" s="56">
        <f>IF(AND(OR(BR342="L1",BR342="L23"),AC342&gt;0),SUMIFS($AC$7:$AC$1570,$BR$7:$BR$1570,BR342,$AF$7:$AF$1570,"&gt;"&amp;AF342)+SUMIFS($AC$7:$AC$1570,$BR$7:$BR$1570,BR342,$AF$7:$AF$1570,AF342,$BL$7:$BL$1570,"&lt;="&amp;BL342),"")</f>
        <v/>
      </c>
      <c r="AH342" s="65">
        <f>IF(AG342="",0,MAX(0,MIN(1,(IF(BR342="L1",Parameter!$K$5,Parameter!$K$6+Parameter!$K$7)-(AG342-AC342))/AC342)))</f>
        <v/>
      </c>
      <c r="AI342" s="55">
        <f>IF(LEFT(Cockpit!$I$5,1)="A",G342,IF(BT342=1,BU342,IF(LEFT(Cockpit!$I$5,1)="B",AM342,MAX(AM342,G342))))</f>
        <v/>
      </c>
      <c r="AJ342" s="55">
        <f>IF(BO342=1,0,ROUNDUP(AI342/BN342,0))</f>
        <v/>
      </c>
      <c r="AK342" s="64">
        <f>IF(BO342=1,IF(AI342&lt;=0,0,BP342*MAX(1,IF(G342&gt;0,AI342/G342,1))),AJ342*Q342)</f>
        <v/>
      </c>
      <c r="AL342" s="55">
        <f>AI342*F342</f>
        <v/>
      </c>
      <c r="AM342" s="55">
        <f>ROUNDUP(MAX(I342/IF(BS342&gt;0,BS342,MAX(0.1,N(Cockpit!$I$6))),BV342)/BN342,0)*BN342</f>
        <v/>
      </c>
      <c r="AN342" s="56">
        <f>IF(AK342&gt;0,I342/AK342,-1)</f>
        <v/>
      </c>
      <c r="AO342" s="56">
        <f>IF(AND(OR(BR342="L1",BR342="L23"),AK342&gt;0),SUMIFS($AK$7:$AK$1570,$BR$7:$BR$1570,BR342,$AN$7:$AN$1570,"&gt;"&amp;AN342)+SUMIFS($AK$7:$AK$1570,$BR$7:$BR$1570,BR342,$AN$7:$AN$1570,AN342,$BL$7:$BL$1570,"&lt;="&amp;BL342),"")</f>
        <v/>
      </c>
      <c r="AP342" s="65">
        <f>IF(AO342="",0,MAX(0,MIN(1,(IF(BR342="L1",Parameter!$K$5,Parameter!$K$6+Parameter!$K$7)-(AO342-AK342))/AK342)))</f>
        <v/>
      </c>
      <c r="AQ342" s="55">
        <f>IF(LEFT(Cockpit!$O$5,1)="A",G342,IF(BT342=1,BU342,IF(LEFT(Cockpit!$O$5,1)="B",AU342,MAX(AU342,G342))))</f>
        <v/>
      </c>
      <c r="AR342" s="55">
        <f>IF(BO342=1,0,ROUNDUP(AQ342/BN342,0))</f>
        <v/>
      </c>
      <c r="AS342" s="64">
        <f>IF(BO342=1,IF(AQ342&lt;=0,0,BP342*MAX(1,IF(G342&gt;0,AQ342/G342,1))),AR342*Q342)</f>
        <v/>
      </c>
      <c r="AT342" s="55">
        <f>AQ342*F342</f>
        <v/>
      </c>
      <c r="AU342" s="55">
        <f>ROUNDUP(MAX(I342/IF(BS342&gt;0,BS342,MAX(0.1,N(Cockpit!$O$6))),BV342)/BN342,0)*BN342</f>
        <v/>
      </c>
      <c r="AV342" s="56">
        <f>IF(AS342&gt;0,I342/AS342,-1)</f>
        <v/>
      </c>
      <c r="AW342" s="56">
        <f>IF(AND(OR(BR342="L1",BR342="L23"),AS342&gt;0),SUMIFS($AS$7:$AS$1570,$BR$7:$BR$1570,BR342,$AV$7:$AV$1570,"&gt;"&amp;AV342)+SUMIFS($AS$7:$AS$1570,$BR$7:$BR$1570,BR342,$AV$7:$AV$1570,AV342,$BL$7:$BL$1570,"&lt;="&amp;BL342),"")</f>
        <v/>
      </c>
      <c r="AX342" s="65">
        <f>IF(AW342="",0,MAX(0,MIN(1,(IF(BR342="L1",Parameter!$K$5,Parameter!$K$6+Parameter!$K$7)-(AW342-AS342))/AS342)))</f>
        <v/>
      </c>
      <c r="AY342" s="53">
        <f>IF(AC342&lt;=0,"",IF(BR342="Aussen","Aussenlager",IF(BR342="-","Nicht im Lift",IF(AH342&gt;=1,"Lift",IF(AH342&lt;=0,"Aussenlager","teilweise")))))</f>
        <v/>
      </c>
      <c r="AZ342" s="53">
        <f>IF(AK342&lt;=0,"",IF(BR342="Aussen","Aussenlager",IF(BR342="-","Nicht im Lift",IF(AP342&gt;=1,"Lift",IF(AP342&lt;=0,"Aussenlager","teilweise")))))</f>
        <v/>
      </c>
      <c r="BA342" s="53">
        <f>IF(AS342&lt;=0,"",IF(BR342="Aussen","Aussenlager",IF(BR342="-","Nicht im Lift",IF(AX342&gt;=1,"Lift",IF(AX342&lt;=0,"Aussenlager","teilweise")))))</f>
        <v/>
      </c>
      <c r="BB342" s="53">
        <f>IF(A342="","",IF(BK342=1,"Neu; ","")&amp;IF(AND(BK342=0,BF342&lt;0),"negativer Bestand (Export "&amp;BF342&amp;"); ","")&amp;IF(I342&lt;=0,"Kein Verbrauch; ","")&amp;IF(BO342=1,"Lose – Fläche geschätzt; ","")&amp;IF(G342&gt;AM342,"Überbestand "&amp;ROUND(G342-AM342,0)&amp;" Stk / CHF "&amp;ROUND((G342-AM342)*F342,0)&amp;"; ","")&amp;IF(AND(BT342=1,BU342&lt;BV342),"MAX &lt; MB+LG; ","")&amp;IF(AND(BZ342&gt;0,BY342*10&gt;BZ342),"zu hoch für Tablar; ","")&amp;IF(AND(BK342=0,OR(BT342=1,V342&lt;&gt;"",S342&lt;&gt;"",T342&lt;&gt;"",W342&lt;&gt;"")),"manuell übersteuert; ","")&amp;IF(AND(BO342=0,Q342=0),"Gebinde unbekannt; ","")&amp;IF(AND(BO342=0,N(T342)&lt;=0,N(P342)&lt;=0),"Menge pro Gebinde fehlt (Ist = 1 Gebinde); ","")&amp;BJ342)</f>
        <v/>
      </c>
      <c r="BC342" s="53" t="n"/>
      <c r="BD342" s="53" t="n"/>
      <c r="BE342" s="61" t="n"/>
      <c r="BF342" s="55" t="n">
        <v>818</v>
      </c>
      <c r="BG342" s="55" t="n">
        <v>462</v>
      </c>
      <c r="BH342" s="54" t="n">
        <v>197.3800000000001</v>
      </c>
      <c r="BI342" s="55" t="n">
        <v>515</v>
      </c>
      <c r="BJ342" s="53" t="inlineStr"/>
      <c r="BK342" s="58" t="n">
        <v>0</v>
      </c>
      <c r="BL342" s="58" t="n">
        <v>342</v>
      </c>
      <c r="BM342" s="53">
        <f>IF(S342&lt;&gt;"",UPPER(TRIM(S342)),IF(O342="","LOSE",O342))</f>
        <v/>
      </c>
      <c r="BN342" s="55">
        <f>IF(BM342="LOSE",1,IF(N(T342)&gt;0,T342,IF(N(P342)&gt;0,P342,MAX(1,G342))))</f>
        <v/>
      </c>
      <c r="BO342" s="58">
        <f>IF(BM342="LOSE",1,0)</f>
        <v/>
      </c>
      <c r="BP342" s="64">
        <f>IF(BO342=0,0,IF(N(R342)&gt;0,R342,IFERROR(VLOOKUP(D342,Parameter!$A$35:$C$64,3,0)+0,0)))</f>
        <v/>
      </c>
      <c r="BQ342" s="53">
        <f>IF(V342&lt;&gt;"",V342,U342)</f>
        <v/>
      </c>
      <c r="BR342" s="53">
        <f>IF(BQ342=1,"L1",IF(OR(BQ342=2,BQ342=3),"L23",IF(BQ342="Aussen","Aussen","-")))</f>
        <v/>
      </c>
      <c r="BS342" s="66">
        <f>IF(N(W342)&gt;0,W342,0)</f>
        <v/>
      </c>
      <c r="BT342" s="58">
        <f>IF(ISNUMBER(Z342),1,0)</f>
        <v/>
      </c>
      <c r="BU342" s="55">
        <f>N(Z342)</f>
        <v/>
      </c>
      <c r="BV342" s="55">
        <f>N(L342)+N(M342)</f>
        <v/>
      </c>
      <c r="BW342" s="55">
        <f>ROUNDUP(G342/BN342,0)</f>
        <v/>
      </c>
      <c r="BX342" s="55">
        <f>ROUNDUP(BU342/BN342,0)</f>
        <v/>
      </c>
      <c r="BY342" s="58">
        <f>IF(BO342=1,0,IFERROR(VLOOKUP(BM342,'Gebinde-Kategorie'!$A$5:$G$45,5,0)+0,0))</f>
        <v/>
      </c>
      <c r="BZ342" s="58">
        <f>IFERROR(IF(OR(BQ342=1,BQ342=2,BQ342=3),N(INDEX(Parameter!$I$5:$I$7,BQ342)),0),0)</f>
        <v/>
      </c>
    </row>
    <row r="343">
      <c r="A343" s="53" t="inlineStr">
        <is>
          <t>109987</t>
        </is>
      </c>
      <c r="B343" s="53" t="inlineStr">
        <is>
          <t>Hauptschalter</t>
        </is>
      </c>
      <c r="C343" s="53" t="inlineStr">
        <is>
          <t>F</t>
        </is>
      </c>
      <c r="D343" s="53" t="inlineStr">
        <is>
          <t>KTL</t>
        </is>
      </c>
      <c r="E343" s="53" t="inlineStr">
        <is>
          <t>C</t>
        </is>
      </c>
      <c r="F343" s="54" t="n">
        <v>47.25</v>
      </c>
      <c r="G343" s="55">
        <f>MAX(0,IF(Parameter!$B$20="Jahresanfang 2025 + Export",BG343+BF343,BF343))</f>
        <v/>
      </c>
      <c r="H343" s="55">
        <f>G343*F343</f>
        <v/>
      </c>
      <c r="I343" s="55">
        <f>BI343*Parameter!$B$18</f>
        <v/>
      </c>
      <c r="J343" s="56" t="n">
        <v>1.5</v>
      </c>
      <c r="K343" s="57" t="n">
        <v>4.666666666666667</v>
      </c>
      <c r="L343" s="55" t="n">
        <v>0</v>
      </c>
      <c r="M343" s="55" t="n">
        <v>5</v>
      </c>
      <c r="N343" s="58" t="n">
        <v>35</v>
      </c>
      <c r="O343" s="53" t="inlineStr">
        <is>
          <t>S41</t>
        </is>
      </c>
      <c r="P343" s="55" t="n">
        <v>6</v>
      </c>
      <c r="Q343" s="59">
        <f>IF(BO343=1,0,IFERROR(VLOOKUP(BM343,'Gebinde-Kategorie'!$A$5:$G$45,6,0)+0,0))</f>
        <v/>
      </c>
      <c r="R343" s="60" t="n"/>
      <c r="S343" s="61" t="n"/>
      <c r="T343" s="61" t="n"/>
      <c r="U343" s="53">
        <f>IF(A343="","",IF(IFERROR(VLOOKUP(D343,Parameter!$A$35:$C$64,2,0),"Nein")="2+3",IF(ISNUMBER(SEARCH("grosser Artikel",BJ343)),2,IFERROR(VLOOKUP(BM343,Parameter!$F$35:$G$64,2,0),2)),IF(OR(IFERROR(VLOOKUP(D343,Parameter!$A$35:$C$64,2,0),"Nein")="Nein",IFERROR(VLOOKUP(D343,Parameter!$A$35:$C$64,2,0),"Nein")=""),"-",VLOOKUP(D343,Parameter!$A$35:$C$64,2,0))))</f>
        <v/>
      </c>
      <c r="V343" s="61" t="n"/>
      <c r="W343" s="62" t="n"/>
      <c r="X343" s="55">
        <f>AM343</f>
        <v/>
      </c>
      <c r="Y343" s="55">
        <f>MAX(AM343,G343)</f>
        <v/>
      </c>
      <c r="Z343" s="63" t="n"/>
      <c r="AA343" s="55">
        <f>IF(LEFT(Cockpit!$C$5,1)="A",G343,IF(BT343=1,BU343,IF(LEFT(Cockpit!$C$5,1)="B",AE343,MAX(AE343,G343))))</f>
        <v/>
      </c>
      <c r="AB343" s="55">
        <f>IF(BO343=1,0,ROUNDUP(AA343/BN343,0))</f>
        <v/>
      </c>
      <c r="AC343" s="64">
        <f>IF(BO343=1,IF(AA343&lt;=0,0,BP343*MAX(1,IF(G343&gt;0,AA343/G343,1))),AB343*Q343)</f>
        <v/>
      </c>
      <c r="AD343" s="55">
        <f>AA343*F343</f>
        <v/>
      </c>
      <c r="AE343" s="55">
        <f>ROUNDUP(MAX(I343/IF(BS343&gt;0,BS343,MAX(0.1,N(Cockpit!$C$6))),BV343)/BN343,0)*BN343</f>
        <v/>
      </c>
      <c r="AF343" s="56">
        <f>IF(AC343&gt;0,I343/AC343,-1)</f>
        <v/>
      </c>
      <c r="AG343" s="56">
        <f>IF(AND(OR(BR343="L1",BR343="L23"),AC343&gt;0),SUMIFS($AC$7:$AC$1570,$BR$7:$BR$1570,BR343,$AF$7:$AF$1570,"&gt;"&amp;AF343)+SUMIFS($AC$7:$AC$1570,$BR$7:$BR$1570,BR343,$AF$7:$AF$1570,AF343,$BL$7:$BL$1570,"&lt;="&amp;BL343),"")</f>
        <v/>
      </c>
      <c r="AH343" s="65">
        <f>IF(AG343="",0,MAX(0,MIN(1,(IF(BR343="L1",Parameter!$K$5,Parameter!$K$6+Parameter!$K$7)-(AG343-AC343))/AC343)))</f>
        <v/>
      </c>
      <c r="AI343" s="55">
        <f>IF(LEFT(Cockpit!$I$5,1)="A",G343,IF(BT343=1,BU343,IF(LEFT(Cockpit!$I$5,1)="B",AM343,MAX(AM343,G343))))</f>
        <v/>
      </c>
      <c r="AJ343" s="55">
        <f>IF(BO343=1,0,ROUNDUP(AI343/BN343,0))</f>
        <v/>
      </c>
      <c r="AK343" s="64">
        <f>IF(BO343=1,IF(AI343&lt;=0,0,BP343*MAX(1,IF(G343&gt;0,AI343/G343,1))),AJ343*Q343)</f>
        <v/>
      </c>
      <c r="AL343" s="55">
        <f>AI343*F343</f>
        <v/>
      </c>
      <c r="AM343" s="55">
        <f>ROUNDUP(MAX(I343/IF(BS343&gt;0,BS343,MAX(0.1,N(Cockpit!$I$6))),BV343)/BN343,0)*BN343</f>
        <v/>
      </c>
      <c r="AN343" s="56">
        <f>IF(AK343&gt;0,I343/AK343,-1)</f>
        <v/>
      </c>
      <c r="AO343" s="56">
        <f>IF(AND(OR(BR343="L1",BR343="L23"),AK343&gt;0),SUMIFS($AK$7:$AK$1570,$BR$7:$BR$1570,BR343,$AN$7:$AN$1570,"&gt;"&amp;AN343)+SUMIFS($AK$7:$AK$1570,$BR$7:$BR$1570,BR343,$AN$7:$AN$1570,AN343,$BL$7:$BL$1570,"&lt;="&amp;BL343),"")</f>
        <v/>
      </c>
      <c r="AP343" s="65">
        <f>IF(AO343="",0,MAX(0,MIN(1,(IF(BR343="L1",Parameter!$K$5,Parameter!$K$6+Parameter!$K$7)-(AO343-AK343))/AK343)))</f>
        <v/>
      </c>
      <c r="AQ343" s="55">
        <f>IF(LEFT(Cockpit!$O$5,1)="A",G343,IF(BT343=1,BU343,IF(LEFT(Cockpit!$O$5,1)="B",AU343,MAX(AU343,G343))))</f>
        <v/>
      </c>
      <c r="AR343" s="55">
        <f>IF(BO343=1,0,ROUNDUP(AQ343/BN343,0))</f>
        <v/>
      </c>
      <c r="AS343" s="64">
        <f>IF(BO343=1,IF(AQ343&lt;=0,0,BP343*MAX(1,IF(G343&gt;0,AQ343/G343,1))),AR343*Q343)</f>
        <v/>
      </c>
      <c r="AT343" s="55">
        <f>AQ343*F343</f>
        <v/>
      </c>
      <c r="AU343" s="55">
        <f>ROUNDUP(MAX(I343/IF(BS343&gt;0,BS343,MAX(0.1,N(Cockpit!$O$6))),BV343)/BN343,0)*BN343</f>
        <v/>
      </c>
      <c r="AV343" s="56">
        <f>IF(AS343&gt;0,I343/AS343,-1)</f>
        <v/>
      </c>
      <c r="AW343" s="56">
        <f>IF(AND(OR(BR343="L1",BR343="L23"),AS343&gt;0),SUMIFS($AS$7:$AS$1570,$BR$7:$BR$1570,BR343,$AV$7:$AV$1570,"&gt;"&amp;AV343)+SUMIFS($AS$7:$AS$1570,$BR$7:$BR$1570,BR343,$AV$7:$AV$1570,AV343,$BL$7:$BL$1570,"&lt;="&amp;BL343),"")</f>
        <v/>
      </c>
      <c r="AX343" s="65">
        <f>IF(AW343="",0,MAX(0,MIN(1,(IF(BR343="L1",Parameter!$K$5,Parameter!$K$6+Parameter!$K$7)-(AW343-AS343))/AS343)))</f>
        <v/>
      </c>
      <c r="AY343" s="53">
        <f>IF(AC343&lt;=0,"",IF(BR343="Aussen","Aussenlager",IF(BR343="-","Nicht im Lift",IF(AH343&gt;=1,"Lift",IF(AH343&lt;=0,"Aussenlager","teilweise")))))</f>
        <v/>
      </c>
      <c r="AZ343" s="53">
        <f>IF(AK343&lt;=0,"",IF(BR343="Aussen","Aussenlager",IF(BR343="-","Nicht im Lift",IF(AP343&gt;=1,"Lift",IF(AP343&lt;=0,"Aussenlager","teilweise")))))</f>
        <v/>
      </c>
      <c r="BA343" s="53">
        <f>IF(AS343&lt;=0,"",IF(BR343="Aussen","Aussenlager",IF(BR343="-","Nicht im Lift",IF(AX343&gt;=1,"Lift",IF(AX343&lt;=0,"Aussenlager","teilweise")))))</f>
        <v/>
      </c>
      <c r="BB343" s="53">
        <f>IF(A343="","",IF(BK343=1,"Neu; ","")&amp;IF(AND(BK343=0,BF343&lt;0),"negativer Bestand (Export "&amp;BF343&amp;"); ","")&amp;IF(I343&lt;=0,"Kein Verbrauch; ","")&amp;IF(BO343=1,"Lose – Fläche geschätzt; ","")&amp;IF(G343&gt;AM343,"Überbestand "&amp;ROUND(G343-AM343,0)&amp;" Stk / CHF "&amp;ROUND((G343-AM343)*F343,0)&amp;"; ","")&amp;IF(AND(BT343=1,BU343&lt;BV343),"MAX &lt; MB+LG; ","")&amp;IF(AND(BZ343&gt;0,BY343*10&gt;BZ343),"zu hoch für Tablar; ","")&amp;IF(AND(BK343=0,OR(BT343=1,V343&lt;&gt;"",S343&lt;&gt;"",T343&lt;&gt;"",W343&lt;&gt;"")),"manuell übersteuert; ","")&amp;IF(AND(BO343=0,Q343=0),"Gebinde unbekannt; ","")&amp;IF(AND(BO343=0,N(T343)&lt;=0,N(P343)&lt;=0),"Menge pro Gebinde fehlt (Ist = 1 Gebinde); ","")&amp;BJ343)</f>
        <v/>
      </c>
      <c r="BC343" s="53" t="n"/>
      <c r="BD343" s="53" t="n"/>
      <c r="BE343" s="61" t="n"/>
      <c r="BF343" s="55" t="n">
        <v>4</v>
      </c>
      <c r="BG343" s="55" t="n">
        <v>2</v>
      </c>
      <c r="BH343" s="54" t="n">
        <v>197.18</v>
      </c>
      <c r="BI343" s="55" t="n">
        <v>7</v>
      </c>
      <c r="BJ343" s="53" t="inlineStr"/>
      <c r="BK343" s="58" t="n">
        <v>0</v>
      </c>
      <c r="BL343" s="58" t="n">
        <v>343</v>
      </c>
      <c r="BM343" s="53">
        <f>IF(S343&lt;&gt;"",UPPER(TRIM(S343)),IF(O343="","LOSE",O343))</f>
        <v/>
      </c>
      <c r="BN343" s="55">
        <f>IF(BM343="LOSE",1,IF(N(T343)&gt;0,T343,IF(N(P343)&gt;0,P343,MAX(1,G343))))</f>
        <v/>
      </c>
      <c r="BO343" s="58">
        <f>IF(BM343="LOSE",1,0)</f>
        <v/>
      </c>
      <c r="BP343" s="64">
        <f>IF(BO343=0,0,IF(N(R343)&gt;0,R343,IFERROR(VLOOKUP(D343,Parameter!$A$35:$C$64,3,0)+0,0)))</f>
        <v/>
      </c>
      <c r="BQ343" s="53">
        <f>IF(V343&lt;&gt;"",V343,U343)</f>
        <v/>
      </c>
      <c r="BR343" s="53">
        <f>IF(BQ343=1,"L1",IF(OR(BQ343=2,BQ343=3),"L23",IF(BQ343="Aussen","Aussen","-")))</f>
        <v/>
      </c>
      <c r="BS343" s="66">
        <f>IF(N(W343)&gt;0,W343,0)</f>
        <v/>
      </c>
      <c r="BT343" s="58">
        <f>IF(ISNUMBER(Z343),1,0)</f>
        <v/>
      </c>
      <c r="BU343" s="55">
        <f>N(Z343)</f>
        <v/>
      </c>
      <c r="BV343" s="55">
        <f>N(L343)+N(M343)</f>
        <v/>
      </c>
      <c r="BW343" s="55">
        <f>ROUNDUP(G343/BN343,0)</f>
        <v/>
      </c>
      <c r="BX343" s="55">
        <f>ROUNDUP(BU343/BN343,0)</f>
        <v/>
      </c>
      <c r="BY343" s="58">
        <f>IF(BO343=1,0,IFERROR(VLOOKUP(BM343,'Gebinde-Kategorie'!$A$5:$G$45,5,0)+0,0))</f>
        <v/>
      </c>
      <c r="BZ343" s="58">
        <f>IFERROR(IF(OR(BQ343=1,BQ343=2,BQ343=3),N(INDEX(Parameter!$I$5:$I$7,BQ343)),0),0)</f>
        <v/>
      </c>
    </row>
    <row r="344">
      <c r="A344" s="53" t="inlineStr">
        <is>
          <t>111913</t>
        </is>
      </c>
      <c r="B344" s="53" t="inlineStr">
        <is>
          <t>Kontakteinsatz</t>
        </is>
      </c>
      <c r="C344" s="53" t="inlineStr">
        <is>
          <t>F</t>
        </is>
      </c>
      <c r="D344" s="53" t="inlineStr">
        <is>
          <t>KTL</t>
        </is>
      </c>
      <c r="E344" s="53" t="inlineStr">
        <is>
          <t>C</t>
        </is>
      </c>
      <c r="F344" s="54" t="n">
        <v>7.87</v>
      </c>
      <c r="G344" s="55">
        <f>MAX(0,IF(Parameter!$B$20="Jahresanfang 2025 + Export",BG344+BF344,BF344))</f>
        <v/>
      </c>
      <c r="H344" s="55">
        <f>G344*F344</f>
        <v/>
      </c>
      <c r="I344" s="55">
        <f>BI344*Parameter!$B$18</f>
        <v/>
      </c>
      <c r="J344" s="56" t="n">
        <v>0</v>
      </c>
      <c r="K344" s="57" t="n">
        <v>0</v>
      </c>
      <c r="L344" s="55" t="n">
        <v>0</v>
      </c>
      <c r="M344" s="55" t="n">
        <v>5</v>
      </c>
      <c r="N344" s="58" t="n">
        <v>9999</v>
      </c>
      <c r="O344" s="53" t="inlineStr">
        <is>
          <t>LOSE</t>
        </is>
      </c>
      <c r="P344" s="55" t="n"/>
      <c r="Q344" s="59">
        <f>IF(BO344=1,0,IFERROR(VLOOKUP(BM344,'Gebinde-Kategorie'!$A$5:$G$45,6,0)+0,0))</f>
        <v/>
      </c>
      <c r="R344" s="60" t="n"/>
      <c r="S344" s="61" t="n"/>
      <c r="T344" s="61" t="n"/>
      <c r="U344" s="53">
        <f>IF(A344="","",IF(IFERROR(VLOOKUP(D344,Parameter!$A$35:$C$64,2,0),"Nein")="2+3",IF(ISNUMBER(SEARCH("grosser Artikel",BJ344)),2,IFERROR(VLOOKUP(BM344,Parameter!$F$35:$G$64,2,0),2)),IF(OR(IFERROR(VLOOKUP(D344,Parameter!$A$35:$C$64,2,0),"Nein")="Nein",IFERROR(VLOOKUP(D344,Parameter!$A$35:$C$64,2,0),"Nein")=""),"-",VLOOKUP(D344,Parameter!$A$35:$C$64,2,0))))</f>
        <v/>
      </c>
      <c r="V344" s="61" t="n"/>
      <c r="W344" s="62" t="n"/>
      <c r="X344" s="55">
        <f>AM344</f>
        <v/>
      </c>
      <c r="Y344" s="55">
        <f>MAX(AM344,G344)</f>
        <v/>
      </c>
      <c r="Z344" s="63" t="n"/>
      <c r="AA344" s="55">
        <f>IF(LEFT(Cockpit!$C$5,1)="A",G344,IF(BT344=1,BU344,IF(LEFT(Cockpit!$C$5,1)="B",AE344,MAX(AE344,G344))))</f>
        <v/>
      </c>
      <c r="AB344" s="55">
        <f>IF(BO344=1,0,ROUNDUP(AA344/BN344,0))</f>
        <v/>
      </c>
      <c r="AC344" s="64">
        <f>IF(BO344=1,IF(AA344&lt;=0,0,BP344*MAX(1,IF(G344&gt;0,AA344/G344,1))),AB344*Q344)</f>
        <v/>
      </c>
      <c r="AD344" s="55">
        <f>AA344*F344</f>
        <v/>
      </c>
      <c r="AE344" s="55">
        <f>ROUNDUP(MAX(I344/IF(BS344&gt;0,BS344,MAX(0.1,N(Cockpit!$C$6))),BV344)/BN344,0)*BN344</f>
        <v/>
      </c>
      <c r="AF344" s="56">
        <f>IF(AC344&gt;0,I344/AC344,-1)</f>
        <v/>
      </c>
      <c r="AG344" s="56">
        <f>IF(AND(OR(BR344="L1",BR344="L23"),AC344&gt;0),SUMIFS($AC$7:$AC$1570,$BR$7:$BR$1570,BR344,$AF$7:$AF$1570,"&gt;"&amp;AF344)+SUMIFS($AC$7:$AC$1570,$BR$7:$BR$1570,BR344,$AF$7:$AF$1570,AF344,$BL$7:$BL$1570,"&lt;="&amp;BL344),"")</f>
        <v/>
      </c>
      <c r="AH344" s="65">
        <f>IF(AG344="",0,MAX(0,MIN(1,(IF(BR344="L1",Parameter!$K$5,Parameter!$K$6+Parameter!$K$7)-(AG344-AC344))/AC344)))</f>
        <v/>
      </c>
      <c r="AI344" s="55">
        <f>IF(LEFT(Cockpit!$I$5,1)="A",G344,IF(BT344=1,BU344,IF(LEFT(Cockpit!$I$5,1)="B",AM344,MAX(AM344,G344))))</f>
        <v/>
      </c>
      <c r="AJ344" s="55">
        <f>IF(BO344=1,0,ROUNDUP(AI344/BN344,0))</f>
        <v/>
      </c>
      <c r="AK344" s="64">
        <f>IF(BO344=1,IF(AI344&lt;=0,0,BP344*MAX(1,IF(G344&gt;0,AI344/G344,1))),AJ344*Q344)</f>
        <v/>
      </c>
      <c r="AL344" s="55">
        <f>AI344*F344</f>
        <v/>
      </c>
      <c r="AM344" s="55">
        <f>ROUNDUP(MAX(I344/IF(BS344&gt;0,BS344,MAX(0.1,N(Cockpit!$I$6))),BV344)/BN344,0)*BN344</f>
        <v/>
      </c>
      <c r="AN344" s="56">
        <f>IF(AK344&gt;0,I344/AK344,-1)</f>
        <v/>
      </c>
      <c r="AO344" s="56">
        <f>IF(AND(OR(BR344="L1",BR344="L23"),AK344&gt;0),SUMIFS($AK$7:$AK$1570,$BR$7:$BR$1570,BR344,$AN$7:$AN$1570,"&gt;"&amp;AN344)+SUMIFS($AK$7:$AK$1570,$BR$7:$BR$1570,BR344,$AN$7:$AN$1570,AN344,$BL$7:$BL$1570,"&lt;="&amp;BL344),"")</f>
        <v/>
      </c>
      <c r="AP344" s="65">
        <f>IF(AO344="",0,MAX(0,MIN(1,(IF(BR344="L1",Parameter!$K$5,Parameter!$K$6+Parameter!$K$7)-(AO344-AK344))/AK344)))</f>
        <v/>
      </c>
      <c r="AQ344" s="55">
        <f>IF(LEFT(Cockpit!$O$5,1)="A",G344,IF(BT344=1,BU344,IF(LEFT(Cockpit!$O$5,1)="B",AU344,MAX(AU344,G344))))</f>
        <v/>
      </c>
      <c r="AR344" s="55">
        <f>IF(BO344=1,0,ROUNDUP(AQ344/BN344,0))</f>
        <v/>
      </c>
      <c r="AS344" s="64">
        <f>IF(BO344=1,IF(AQ344&lt;=0,0,BP344*MAX(1,IF(G344&gt;0,AQ344/G344,1))),AR344*Q344)</f>
        <v/>
      </c>
      <c r="AT344" s="55">
        <f>AQ344*F344</f>
        <v/>
      </c>
      <c r="AU344" s="55">
        <f>ROUNDUP(MAX(I344/IF(BS344&gt;0,BS344,MAX(0.1,N(Cockpit!$O$6))),BV344)/BN344,0)*BN344</f>
        <v/>
      </c>
      <c r="AV344" s="56">
        <f>IF(AS344&gt;0,I344/AS344,-1)</f>
        <v/>
      </c>
      <c r="AW344" s="56">
        <f>IF(AND(OR(BR344="L1",BR344="L23"),AS344&gt;0),SUMIFS($AS$7:$AS$1570,$BR$7:$BR$1570,BR344,$AV$7:$AV$1570,"&gt;"&amp;AV344)+SUMIFS($AS$7:$AS$1570,$BR$7:$BR$1570,BR344,$AV$7:$AV$1570,AV344,$BL$7:$BL$1570,"&lt;="&amp;BL344),"")</f>
        <v/>
      </c>
      <c r="AX344" s="65">
        <f>IF(AW344="",0,MAX(0,MIN(1,(IF(BR344="L1",Parameter!$K$5,Parameter!$K$6+Parameter!$K$7)-(AW344-AS344))/AS344)))</f>
        <v/>
      </c>
      <c r="AY344" s="53">
        <f>IF(AC344&lt;=0,"",IF(BR344="Aussen","Aussenlager",IF(BR344="-","Nicht im Lift",IF(AH344&gt;=1,"Lift",IF(AH344&lt;=0,"Aussenlager","teilweise")))))</f>
        <v/>
      </c>
      <c r="AZ344" s="53">
        <f>IF(AK344&lt;=0,"",IF(BR344="Aussen","Aussenlager",IF(BR344="-","Nicht im Lift",IF(AP344&gt;=1,"Lift",IF(AP344&lt;=0,"Aussenlager","teilweise")))))</f>
        <v/>
      </c>
      <c r="BA344" s="53">
        <f>IF(AS344&lt;=0,"",IF(BR344="Aussen","Aussenlager",IF(BR344="-","Nicht im Lift",IF(AX344&gt;=1,"Lift",IF(AX344&lt;=0,"Aussenlager","teilweise")))))</f>
        <v/>
      </c>
      <c r="BB344" s="53">
        <f>IF(A344="","",IF(BK344=1,"Neu; ","")&amp;IF(AND(BK344=0,BF344&lt;0),"negativer Bestand (Export "&amp;BF344&amp;"); ","")&amp;IF(I344&lt;=0,"Kein Verbrauch; ","")&amp;IF(BO344=1,"Lose – Fläche geschätzt; ","")&amp;IF(G344&gt;AM344,"Überbestand "&amp;ROUND(G344-AM344,0)&amp;" Stk / CHF "&amp;ROUND((G344-AM344)*F344,0)&amp;"; ","")&amp;IF(AND(BT344=1,BU344&lt;BV344),"MAX &lt; MB+LG; ","")&amp;IF(AND(BZ344&gt;0,BY344*10&gt;BZ344),"zu hoch für Tablar; ","")&amp;IF(AND(BK344=0,OR(BT344=1,V344&lt;&gt;"",S344&lt;&gt;"",T344&lt;&gt;"",W344&lt;&gt;"")),"manuell übersteuert; ","")&amp;IF(AND(BO344=0,Q344=0),"Gebinde unbekannt; ","")&amp;IF(AND(BO344=0,N(T344)&lt;=0,N(P344)&lt;=0),"Menge pro Gebinde fehlt (Ist = 1 Gebinde); ","")&amp;BJ344)</f>
        <v/>
      </c>
      <c r="BC344" s="53" t="n"/>
      <c r="BD344" s="53" t="n"/>
      <c r="BE344" s="61" t="n"/>
      <c r="BF344" s="55" t="n">
        <v>25</v>
      </c>
      <c r="BG344" s="55" t="n">
        <v>0</v>
      </c>
      <c r="BH344" s="54" t="n">
        <v>196.75</v>
      </c>
      <c r="BI344" s="55" t="n">
        <v>0</v>
      </c>
      <c r="BJ344" s="53" t="inlineStr"/>
      <c r="BK344" s="58" t="n">
        <v>0</v>
      </c>
      <c r="BL344" s="58" t="n">
        <v>344</v>
      </c>
      <c r="BM344" s="53">
        <f>IF(S344&lt;&gt;"",UPPER(TRIM(S344)),IF(O344="","LOSE",O344))</f>
        <v/>
      </c>
      <c r="BN344" s="55">
        <f>IF(BM344="LOSE",1,IF(N(T344)&gt;0,T344,IF(N(P344)&gt;0,P344,MAX(1,G344))))</f>
        <v/>
      </c>
      <c r="BO344" s="58">
        <f>IF(BM344="LOSE",1,0)</f>
        <v/>
      </c>
      <c r="BP344" s="64">
        <f>IF(BO344=0,0,IF(N(R344)&gt;0,R344,IFERROR(VLOOKUP(D344,Parameter!$A$35:$C$64,3,0)+0,0)))</f>
        <v/>
      </c>
      <c r="BQ344" s="53">
        <f>IF(V344&lt;&gt;"",V344,U344)</f>
        <v/>
      </c>
      <c r="BR344" s="53">
        <f>IF(BQ344=1,"L1",IF(OR(BQ344=2,BQ344=3),"L23",IF(BQ344="Aussen","Aussen","-")))</f>
        <v/>
      </c>
      <c r="BS344" s="66">
        <f>IF(N(W344)&gt;0,W344,0)</f>
        <v/>
      </c>
      <c r="BT344" s="58">
        <f>IF(ISNUMBER(Z344),1,0)</f>
        <v/>
      </c>
      <c r="BU344" s="55">
        <f>N(Z344)</f>
        <v/>
      </c>
      <c r="BV344" s="55">
        <f>N(L344)+N(M344)</f>
        <v/>
      </c>
      <c r="BW344" s="55">
        <f>ROUNDUP(G344/BN344,0)</f>
        <v/>
      </c>
      <c r="BX344" s="55">
        <f>ROUNDUP(BU344/BN344,0)</f>
        <v/>
      </c>
      <c r="BY344" s="58">
        <f>IF(BO344=1,0,IFERROR(VLOOKUP(BM344,'Gebinde-Kategorie'!$A$5:$G$45,5,0)+0,0))</f>
        <v/>
      </c>
      <c r="BZ344" s="58">
        <f>IFERROR(IF(OR(BQ344=1,BQ344=2,BQ344=3),N(INDEX(Parameter!$I$5:$I$7,BQ344)),0),0)</f>
        <v/>
      </c>
    </row>
    <row r="345">
      <c r="A345" s="53" t="inlineStr">
        <is>
          <t>107050</t>
        </is>
      </c>
      <c r="B345" s="53" t="inlineStr">
        <is>
          <t>Inbusschlüssel lang</t>
        </is>
      </c>
      <c r="C345" s="53" t="inlineStr">
        <is>
          <t>F</t>
        </is>
      </c>
      <c r="D345" s="53" t="inlineStr">
        <is>
          <t>KTL</t>
        </is>
      </c>
      <c r="E345" s="53" t="inlineStr">
        <is>
          <t>C</t>
        </is>
      </c>
      <c r="F345" s="54" t="n">
        <v>32.53</v>
      </c>
      <c r="G345" s="55">
        <f>MAX(0,IF(Parameter!$B$20="Jahresanfang 2025 + Export",BG345+BF345,BF345))</f>
        <v/>
      </c>
      <c r="H345" s="55">
        <f>G345*F345</f>
        <v/>
      </c>
      <c r="I345" s="55">
        <f>BI345*Parameter!$B$18</f>
        <v/>
      </c>
      <c r="J345" s="56" t="n">
        <v>10</v>
      </c>
      <c r="K345" s="57" t="n">
        <v>2</v>
      </c>
      <c r="L345" s="55" t="n">
        <v>0</v>
      </c>
      <c r="M345" s="55" t="n">
        <v>20</v>
      </c>
      <c r="N345" s="58" t="n">
        <v>14</v>
      </c>
      <c r="O345" s="53" t="inlineStr">
        <is>
          <t>S51</t>
        </is>
      </c>
      <c r="P345" s="55" t="n">
        <v>37</v>
      </c>
      <c r="Q345" s="59">
        <f>IF(BO345=1,0,IFERROR(VLOOKUP(BM345,'Gebinde-Kategorie'!$A$5:$G$45,6,0)+0,0))</f>
        <v/>
      </c>
      <c r="R345" s="60" t="n"/>
      <c r="S345" s="61" t="n"/>
      <c r="T345" s="61" t="n"/>
      <c r="U345" s="53">
        <f>IF(A345="","",IF(IFERROR(VLOOKUP(D345,Parameter!$A$35:$C$64,2,0),"Nein")="2+3",IF(ISNUMBER(SEARCH("grosser Artikel",BJ345)),2,IFERROR(VLOOKUP(BM345,Parameter!$F$35:$G$64,2,0),2)),IF(OR(IFERROR(VLOOKUP(D345,Parameter!$A$35:$C$64,2,0),"Nein")="Nein",IFERROR(VLOOKUP(D345,Parameter!$A$35:$C$64,2,0),"Nein")=""),"-",VLOOKUP(D345,Parameter!$A$35:$C$64,2,0))))</f>
        <v/>
      </c>
      <c r="V345" s="61" t="n"/>
      <c r="W345" s="62" t="n"/>
      <c r="X345" s="55">
        <f>AM345</f>
        <v/>
      </c>
      <c r="Y345" s="55">
        <f>MAX(AM345,G345)</f>
        <v/>
      </c>
      <c r="Z345" s="63" t="n"/>
      <c r="AA345" s="55">
        <f>IF(LEFT(Cockpit!$C$5,1)="A",G345,IF(BT345=1,BU345,IF(LEFT(Cockpit!$C$5,1)="B",AE345,MAX(AE345,G345))))</f>
        <v/>
      </c>
      <c r="AB345" s="55">
        <f>IF(BO345=1,0,ROUNDUP(AA345/BN345,0))</f>
        <v/>
      </c>
      <c r="AC345" s="64">
        <f>IF(BO345=1,IF(AA345&lt;=0,0,BP345*MAX(1,IF(G345&gt;0,AA345/G345,1))),AB345*Q345)</f>
        <v/>
      </c>
      <c r="AD345" s="55">
        <f>AA345*F345</f>
        <v/>
      </c>
      <c r="AE345" s="55">
        <f>ROUNDUP(MAX(I345/IF(BS345&gt;0,BS345,MAX(0.1,N(Cockpit!$C$6))),BV345)/BN345,0)*BN345</f>
        <v/>
      </c>
      <c r="AF345" s="56">
        <f>IF(AC345&gt;0,I345/AC345,-1)</f>
        <v/>
      </c>
      <c r="AG345" s="56">
        <f>IF(AND(OR(BR345="L1",BR345="L23"),AC345&gt;0),SUMIFS($AC$7:$AC$1570,$BR$7:$BR$1570,BR345,$AF$7:$AF$1570,"&gt;"&amp;AF345)+SUMIFS($AC$7:$AC$1570,$BR$7:$BR$1570,BR345,$AF$7:$AF$1570,AF345,$BL$7:$BL$1570,"&lt;="&amp;BL345),"")</f>
        <v/>
      </c>
      <c r="AH345" s="65">
        <f>IF(AG345="",0,MAX(0,MIN(1,(IF(BR345="L1",Parameter!$K$5,Parameter!$K$6+Parameter!$K$7)-(AG345-AC345))/AC345)))</f>
        <v/>
      </c>
      <c r="AI345" s="55">
        <f>IF(LEFT(Cockpit!$I$5,1)="A",G345,IF(BT345=1,BU345,IF(LEFT(Cockpit!$I$5,1)="B",AM345,MAX(AM345,G345))))</f>
        <v/>
      </c>
      <c r="AJ345" s="55">
        <f>IF(BO345=1,0,ROUNDUP(AI345/BN345,0))</f>
        <v/>
      </c>
      <c r="AK345" s="64">
        <f>IF(BO345=1,IF(AI345&lt;=0,0,BP345*MAX(1,IF(G345&gt;0,AI345/G345,1))),AJ345*Q345)</f>
        <v/>
      </c>
      <c r="AL345" s="55">
        <f>AI345*F345</f>
        <v/>
      </c>
      <c r="AM345" s="55">
        <f>ROUNDUP(MAX(I345/IF(BS345&gt;0,BS345,MAX(0.1,N(Cockpit!$I$6))),BV345)/BN345,0)*BN345</f>
        <v/>
      </c>
      <c r="AN345" s="56">
        <f>IF(AK345&gt;0,I345/AK345,-1)</f>
        <v/>
      </c>
      <c r="AO345" s="56">
        <f>IF(AND(OR(BR345="L1",BR345="L23"),AK345&gt;0),SUMIFS($AK$7:$AK$1570,$BR$7:$BR$1570,BR345,$AN$7:$AN$1570,"&gt;"&amp;AN345)+SUMIFS($AK$7:$AK$1570,$BR$7:$BR$1570,BR345,$AN$7:$AN$1570,AN345,$BL$7:$BL$1570,"&lt;="&amp;BL345),"")</f>
        <v/>
      </c>
      <c r="AP345" s="65">
        <f>IF(AO345="",0,MAX(0,MIN(1,(IF(BR345="L1",Parameter!$K$5,Parameter!$K$6+Parameter!$K$7)-(AO345-AK345))/AK345)))</f>
        <v/>
      </c>
      <c r="AQ345" s="55">
        <f>IF(LEFT(Cockpit!$O$5,1)="A",G345,IF(BT345=1,BU345,IF(LEFT(Cockpit!$O$5,1)="B",AU345,MAX(AU345,G345))))</f>
        <v/>
      </c>
      <c r="AR345" s="55">
        <f>IF(BO345=1,0,ROUNDUP(AQ345/BN345,0))</f>
        <v/>
      </c>
      <c r="AS345" s="64">
        <f>IF(BO345=1,IF(AQ345&lt;=0,0,BP345*MAX(1,IF(G345&gt;0,AQ345/G345,1))),AR345*Q345)</f>
        <v/>
      </c>
      <c r="AT345" s="55">
        <f>AQ345*F345</f>
        <v/>
      </c>
      <c r="AU345" s="55">
        <f>ROUNDUP(MAX(I345/IF(BS345&gt;0,BS345,MAX(0.1,N(Cockpit!$O$6))),BV345)/BN345,0)*BN345</f>
        <v/>
      </c>
      <c r="AV345" s="56">
        <f>IF(AS345&gt;0,I345/AS345,-1)</f>
        <v/>
      </c>
      <c r="AW345" s="56">
        <f>IF(AND(OR(BR345="L1",BR345="L23"),AS345&gt;0),SUMIFS($AS$7:$AS$1570,$BR$7:$BR$1570,BR345,$AV$7:$AV$1570,"&gt;"&amp;AV345)+SUMIFS($AS$7:$AS$1570,$BR$7:$BR$1570,BR345,$AV$7:$AV$1570,AV345,$BL$7:$BL$1570,"&lt;="&amp;BL345),"")</f>
        <v/>
      </c>
      <c r="AX345" s="65">
        <f>IF(AW345="",0,MAX(0,MIN(1,(IF(BR345="L1",Parameter!$K$5,Parameter!$K$6+Parameter!$K$7)-(AW345-AS345))/AS345)))</f>
        <v/>
      </c>
      <c r="AY345" s="53">
        <f>IF(AC345&lt;=0,"",IF(BR345="Aussen","Aussenlager",IF(BR345="-","Nicht im Lift",IF(AH345&gt;=1,"Lift",IF(AH345&lt;=0,"Aussenlager","teilweise")))))</f>
        <v/>
      </c>
      <c r="AZ345" s="53">
        <f>IF(AK345&lt;=0,"",IF(BR345="Aussen","Aussenlager",IF(BR345="-","Nicht im Lift",IF(AP345&gt;=1,"Lift",IF(AP345&lt;=0,"Aussenlager","teilweise")))))</f>
        <v/>
      </c>
      <c r="BA345" s="53">
        <f>IF(AS345&lt;=0,"",IF(BR345="Aussen","Aussenlager",IF(BR345="-","Nicht im Lift",IF(AX345&gt;=1,"Lift",IF(AX345&lt;=0,"Aussenlager","teilweise")))))</f>
        <v/>
      </c>
      <c r="BB345" s="53">
        <f>IF(A345="","",IF(BK345=1,"Neu; ","")&amp;IF(AND(BK345=0,BF345&lt;0),"negativer Bestand (Export "&amp;BF345&amp;"); ","")&amp;IF(I345&lt;=0,"Kein Verbrauch; ","")&amp;IF(BO345=1,"Lose – Fläche geschätzt; ","")&amp;IF(G345&gt;AM345,"Überbestand "&amp;ROUND(G345-AM345,0)&amp;" Stk / CHF "&amp;ROUND((G345-AM345)*F345,0)&amp;"; ","")&amp;IF(AND(BT345=1,BU345&lt;BV345),"MAX &lt; MB+LG; ","")&amp;IF(AND(BZ345&gt;0,BY345*10&gt;BZ345),"zu hoch für Tablar; ","")&amp;IF(AND(BK345=0,OR(BT345=1,V345&lt;&gt;"",S345&lt;&gt;"",T345&lt;&gt;"",W345&lt;&gt;"")),"manuell übersteuert; ","")&amp;IF(AND(BO345=0,Q345=0),"Gebinde unbekannt; ","")&amp;IF(AND(BO345=0,N(T345)&lt;=0,N(P345)&lt;=0),"Menge pro Gebinde fehlt (Ist = 1 Gebinde); ","")&amp;BJ345)</f>
        <v/>
      </c>
      <c r="BC345" s="53" t="n"/>
      <c r="BD345" s="53" t="n"/>
      <c r="BE345" s="61" t="n"/>
      <c r="BF345" s="55" t="n">
        <v>6</v>
      </c>
      <c r="BG345" s="55" t="n">
        <v>10</v>
      </c>
      <c r="BH345" s="54" t="n">
        <v>195.5800000000002</v>
      </c>
      <c r="BI345" s="55" t="n">
        <v>20</v>
      </c>
      <c r="BJ345" s="53" t="inlineStr"/>
      <c r="BK345" s="58" t="n">
        <v>0</v>
      </c>
      <c r="BL345" s="58" t="n">
        <v>345</v>
      </c>
      <c r="BM345" s="53">
        <f>IF(S345&lt;&gt;"",UPPER(TRIM(S345)),IF(O345="","LOSE",O345))</f>
        <v/>
      </c>
      <c r="BN345" s="55">
        <f>IF(BM345="LOSE",1,IF(N(T345)&gt;0,T345,IF(N(P345)&gt;0,P345,MAX(1,G345))))</f>
        <v/>
      </c>
      <c r="BO345" s="58">
        <f>IF(BM345="LOSE",1,0)</f>
        <v/>
      </c>
      <c r="BP345" s="64">
        <f>IF(BO345=0,0,IF(N(R345)&gt;0,R345,IFERROR(VLOOKUP(D345,Parameter!$A$35:$C$64,3,0)+0,0)))</f>
        <v/>
      </c>
      <c r="BQ345" s="53">
        <f>IF(V345&lt;&gt;"",V345,U345)</f>
        <v/>
      </c>
      <c r="BR345" s="53">
        <f>IF(BQ345=1,"L1",IF(OR(BQ345=2,BQ345=3),"L23",IF(BQ345="Aussen","Aussen","-")))</f>
        <v/>
      </c>
      <c r="BS345" s="66">
        <f>IF(N(W345)&gt;0,W345,0)</f>
        <v/>
      </c>
      <c r="BT345" s="58">
        <f>IF(ISNUMBER(Z345),1,0)</f>
        <v/>
      </c>
      <c r="BU345" s="55">
        <f>N(Z345)</f>
        <v/>
      </c>
      <c r="BV345" s="55">
        <f>N(L345)+N(M345)</f>
        <v/>
      </c>
      <c r="BW345" s="55">
        <f>ROUNDUP(G345/BN345,0)</f>
        <v/>
      </c>
      <c r="BX345" s="55">
        <f>ROUNDUP(BU345/BN345,0)</f>
        <v/>
      </c>
      <c r="BY345" s="58">
        <f>IF(BO345=1,0,IFERROR(VLOOKUP(BM345,'Gebinde-Kategorie'!$A$5:$G$45,5,0)+0,0))</f>
        <v/>
      </c>
      <c r="BZ345" s="58">
        <f>IFERROR(IF(OR(BQ345=1,BQ345=2,BQ345=3),N(INDEX(Parameter!$I$5:$I$7,BQ345)),0),0)</f>
        <v/>
      </c>
    </row>
    <row r="346">
      <c r="A346" s="53" t="inlineStr">
        <is>
          <t>001116</t>
        </is>
      </c>
      <c r="B346" s="53" t="inlineStr">
        <is>
          <t>Putzpapier Ecoline</t>
        </is>
      </c>
      <c r="C346" s="53" t="inlineStr">
        <is>
          <t>F</t>
        </is>
      </c>
      <c r="D346" s="53" t="inlineStr">
        <is>
          <t>VERB-P</t>
        </is>
      </c>
      <c r="E346" s="53" t="inlineStr">
        <is>
          <t>C</t>
        </is>
      </c>
      <c r="F346" s="54" t="n">
        <v>32.1</v>
      </c>
      <c r="G346" s="55">
        <f>MAX(0,IF(Parameter!$B$20="Jahresanfang 2025 + Export",BG346+BF346,BF346))</f>
        <v/>
      </c>
      <c r="H346" s="55">
        <f>G346*F346</f>
        <v/>
      </c>
      <c r="I346" s="55">
        <f>BI346*Parameter!$B$18</f>
        <v/>
      </c>
      <c r="J346" s="56" t="n">
        <v>0</v>
      </c>
      <c r="K346" s="57" t="n">
        <v>0</v>
      </c>
      <c r="L346" s="55" t="n">
        <v>0</v>
      </c>
      <c r="M346" s="55" t="n">
        <v>6</v>
      </c>
      <c r="N346" s="58" t="n">
        <v>14</v>
      </c>
      <c r="O346" s="53" t="inlineStr">
        <is>
          <t>LOSE</t>
        </is>
      </c>
      <c r="P346" s="55" t="n"/>
      <c r="Q346" s="59">
        <f>IF(BO346=1,0,IFERROR(VLOOKUP(BM346,'Gebinde-Kategorie'!$A$5:$G$45,6,0)+0,0))</f>
        <v/>
      </c>
      <c r="R346" s="60" t="n"/>
      <c r="S346" s="61" t="n"/>
      <c r="T346" s="61" t="n"/>
      <c r="U346" s="53">
        <f>IF(A346="","",IF(IFERROR(VLOOKUP(D346,Parameter!$A$35:$C$64,2,0),"Nein")="2+3",IF(ISNUMBER(SEARCH("grosser Artikel",BJ346)),2,IFERROR(VLOOKUP(BM346,Parameter!$F$35:$G$64,2,0),2)),IF(OR(IFERROR(VLOOKUP(D346,Parameter!$A$35:$C$64,2,0),"Nein")="Nein",IFERROR(VLOOKUP(D346,Parameter!$A$35:$C$64,2,0),"Nein")=""),"-",VLOOKUP(D346,Parameter!$A$35:$C$64,2,0))))</f>
        <v/>
      </c>
      <c r="V346" s="61" t="n"/>
      <c r="W346" s="62" t="n"/>
      <c r="X346" s="55">
        <f>AM346</f>
        <v/>
      </c>
      <c r="Y346" s="55">
        <f>MAX(AM346,G346)</f>
        <v/>
      </c>
      <c r="Z346" s="63" t="n"/>
      <c r="AA346" s="55">
        <f>IF(LEFT(Cockpit!$C$5,1)="A",G346,IF(BT346=1,BU346,IF(LEFT(Cockpit!$C$5,1)="B",AE346,MAX(AE346,G346))))</f>
        <v/>
      </c>
      <c r="AB346" s="55">
        <f>IF(BO346=1,0,ROUNDUP(AA346/BN346,0))</f>
        <v/>
      </c>
      <c r="AC346" s="64">
        <f>IF(BO346=1,IF(AA346&lt;=0,0,BP346*MAX(1,IF(G346&gt;0,AA346/G346,1))),AB346*Q346)</f>
        <v/>
      </c>
      <c r="AD346" s="55">
        <f>AA346*F346</f>
        <v/>
      </c>
      <c r="AE346" s="55">
        <f>ROUNDUP(MAX(I346/IF(BS346&gt;0,BS346,MAX(0.1,N(Cockpit!$C$6))),BV346)/BN346,0)*BN346</f>
        <v/>
      </c>
      <c r="AF346" s="56">
        <f>IF(AC346&gt;0,I346/AC346,-1)</f>
        <v/>
      </c>
      <c r="AG346" s="56">
        <f>IF(AND(OR(BR346="L1",BR346="L23"),AC346&gt;0),SUMIFS($AC$7:$AC$1570,$BR$7:$BR$1570,BR346,$AF$7:$AF$1570,"&gt;"&amp;AF346)+SUMIFS($AC$7:$AC$1570,$BR$7:$BR$1570,BR346,$AF$7:$AF$1570,AF346,$BL$7:$BL$1570,"&lt;="&amp;BL346),"")</f>
        <v/>
      </c>
      <c r="AH346" s="65">
        <f>IF(AG346="",0,MAX(0,MIN(1,(IF(BR346="L1",Parameter!$K$5,Parameter!$K$6+Parameter!$K$7)-(AG346-AC346))/AC346)))</f>
        <v/>
      </c>
      <c r="AI346" s="55">
        <f>IF(LEFT(Cockpit!$I$5,1)="A",G346,IF(BT346=1,BU346,IF(LEFT(Cockpit!$I$5,1)="B",AM346,MAX(AM346,G346))))</f>
        <v/>
      </c>
      <c r="AJ346" s="55">
        <f>IF(BO346=1,0,ROUNDUP(AI346/BN346,0))</f>
        <v/>
      </c>
      <c r="AK346" s="64">
        <f>IF(BO346=1,IF(AI346&lt;=0,0,BP346*MAX(1,IF(G346&gt;0,AI346/G346,1))),AJ346*Q346)</f>
        <v/>
      </c>
      <c r="AL346" s="55">
        <f>AI346*F346</f>
        <v/>
      </c>
      <c r="AM346" s="55">
        <f>ROUNDUP(MAX(I346/IF(BS346&gt;0,BS346,MAX(0.1,N(Cockpit!$I$6))),BV346)/BN346,0)*BN346</f>
        <v/>
      </c>
      <c r="AN346" s="56">
        <f>IF(AK346&gt;0,I346/AK346,-1)</f>
        <v/>
      </c>
      <c r="AO346" s="56">
        <f>IF(AND(OR(BR346="L1",BR346="L23"),AK346&gt;0),SUMIFS($AK$7:$AK$1570,$BR$7:$BR$1570,BR346,$AN$7:$AN$1570,"&gt;"&amp;AN346)+SUMIFS($AK$7:$AK$1570,$BR$7:$BR$1570,BR346,$AN$7:$AN$1570,AN346,$BL$7:$BL$1570,"&lt;="&amp;BL346),"")</f>
        <v/>
      </c>
      <c r="AP346" s="65">
        <f>IF(AO346="",0,MAX(0,MIN(1,(IF(BR346="L1",Parameter!$K$5,Parameter!$K$6+Parameter!$K$7)-(AO346-AK346))/AK346)))</f>
        <v/>
      </c>
      <c r="AQ346" s="55">
        <f>IF(LEFT(Cockpit!$O$5,1)="A",G346,IF(BT346=1,BU346,IF(LEFT(Cockpit!$O$5,1)="B",AU346,MAX(AU346,G346))))</f>
        <v/>
      </c>
      <c r="AR346" s="55">
        <f>IF(BO346=1,0,ROUNDUP(AQ346/BN346,0))</f>
        <v/>
      </c>
      <c r="AS346" s="64">
        <f>IF(BO346=1,IF(AQ346&lt;=0,0,BP346*MAX(1,IF(G346&gt;0,AQ346/G346,1))),AR346*Q346)</f>
        <v/>
      </c>
      <c r="AT346" s="55">
        <f>AQ346*F346</f>
        <v/>
      </c>
      <c r="AU346" s="55">
        <f>ROUNDUP(MAX(I346/IF(BS346&gt;0,BS346,MAX(0.1,N(Cockpit!$O$6))),BV346)/BN346,0)*BN346</f>
        <v/>
      </c>
      <c r="AV346" s="56">
        <f>IF(AS346&gt;0,I346/AS346,-1)</f>
        <v/>
      </c>
      <c r="AW346" s="56">
        <f>IF(AND(OR(BR346="L1",BR346="L23"),AS346&gt;0),SUMIFS($AS$7:$AS$1570,$BR$7:$BR$1570,BR346,$AV$7:$AV$1570,"&gt;"&amp;AV346)+SUMIFS($AS$7:$AS$1570,$BR$7:$BR$1570,BR346,$AV$7:$AV$1570,AV346,$BL$7:$BL$1570,"&lt;="&amp;BL346),"")</f>
        <v/>
      </c>
      <c r="AX346" s="65">
        <f>IF(AW346="",0,MAX(0,MIN(1,(IF(BR346="L1",Parameter!$K$5,Parameter!$K$6+Parameter!$K$7)-(AW346-AS346))/AS346)))</f>
        <v/>
      </c>
      <c r="AY346" s="53">
        <f>IF(AC346&lt;=0,"",IF(BR346="Aussen","Aussenlager",IF(BR346="-","Nicht im Lift",IF(AH346&gt;=1,"Lift",IF(AH346&lt;=0,"Aussenlager","teilweise")))))</f>
        <v/>
      </c>
      <c r="AZ346" s="53">
        <f>IF(AK346&lt;=0,"",IF(BR346="Aussen","Aussenlager",IF(BR346="-","Nicht im Lift",IF(AP346&gt;=1,"Lift",IF(AP346&lt;=0,"Aussenlager","teilweise")))))</f>
        <v/>
      </c>
      <c r="BA346" s="53">
        <f>IF(AS346&lt;=0,"",IF(BR346="Aussen","Aussenlager",IF(BR346="-","Nicht im Lift",IF(AX346&gt;=1,"Lift",IF(AX346&lt;=0,"Aussenlager","teilweise")))))</f>
        <v/>
      </c>
      <c r="BB346" s="53">
        <f>IF(A346="","",IF(BK346=1,"Neu; ","")&amp;IF(AND(BK346=0,BF346&lt;0),"negativer Bestand (Export "&amp;BF346&amp;"); ","")&amp;IF(I346&lt;=0,"Kein Verbrauch; ","")&amp;IF(BO346=1,"Lose – Fläche geschätzt; ","")&amp;IF(G346&gt;AM346,"Überbestand "&amp;ROUND(G346-AM346,0)&amp;" Stk / CHF "&amp;ROUND((G346-AM346)*F346,0)&amp;"; ","")&amp;IF(AND(BT346=1,BU346&lt;BV346),"MAX &lt; MB+LG; ","")&amp;IF(AND(BZ346&gt;0,BY346*10&gt;BZ346),"zu hoch für Tablar; ","")&amp;IF(AND(BK346=0,OR(BT346=1,V346&lt;&gt;"",S346&lt;&gt;"",T346&lt;&gt;"",W346&lt;&gt;"")),"manuell übersteuert; ","")&amp;IF(AND(BO346=0,Q346=0),"Gebinde unbekannt; ","")&amp;IF(AND(BO346=0,N(T346)&lt;=0,N(P346)&lt;=0),"Menge pro Gebinde fehlt (Ist = 1 Gebinde); ","")&amp;BJ346)</f>
        <v/>
      </c>
      <c r="BC346" s="53" t="n"/>
      <c r="BD346" s="53" t="n"/>
      <c r="BE346" s="61" t="n"/>
      <c r="BF346" s="55" t="n">
        <v>6</v>
      </c>
      <c r="BG346" s="55" t="n">
        <v>0</v>
      </c>
      <c r="BH346" s="54" t="n">
        <v>192.6</v>
      </c>
      <c r="BI346" s="55" t="n">
        <v>6</v>
      </c>
      <c r="BJ346" s="53" t="inlineStr"/>
      <c r="BK346" s="58" t="n">
        <v>0</v>
      </c>
      <c r="BL346" s="58" t="n">
        <v>346</v>
      </c>
      <c r="BM346" s="53">
        <f>IF(S346&lt;&gt;"",UPPER(TRIM(S346)),IF(O346="","LOSE",O346))</f>
        <v/>
      </c>
      <c r="BN346" s="55">
        <f>IF(BM346="LOSE",1,IF(N(T346)&gt;0,T346,IF(N(P346)&gt;0,P346,MAX(1,G346))))</f>
        <v/>
      </c>
      <c r="BO346" s="58">
        <f>IF(BM346="LOSE",1,0)</f>
        <v/>
      </c>
      <c r="BP346" s="64">
        <f>IF(BO346=0,0,IF(N(R346)&gt;0,R346,IFERROR(VLOOKUP(D346,Parameter!$A$35:$C$64,3,0)+0,0)))</f>
        <v/>
      </c>
      <c r="BQ346" s="53">
        <f>IF(V346&lt;&gt;"",V346,U346)</f>
        <v/>
      </c>
      <c r="BR346" s="53">
        <f>IF(BQ346=1,"L1",IF(OR(BQ346=2,BQ346=3),"L23",IF(BQ346="Aussen","Aussen","-")))</f>
        <v/>
      </c>
      <c r="BS346" s="66">
        <f>IF(N(W346)&gt;0,W346,0)</f>
        <v/>
      </c>
      <c r="BT346" s="58">
        <f>IF(ISNUMBER(Z346),1,0)</f>
        <v/>
      </c>
      <c r="BU346" s="55">
        <f>N(Z346)</f>
        <v/>
      </c>
      <c r="BV346" s="55">
        <f>N(L346)+N(M346)</f>
        <v/>
      </c>
      <c r="BW346" s="55">
        <f>ROUNDUP(G346/BN346,0)</f>
        <v/>
      </c>
      <c r="BX346" s="55">
        <f>ROUNDUP(BU346/BN346,0)</f>
        <v/>
      </c>
      <c r="BY346" s="58">
        <f>IF(BO346=1,0,IFERROR(VLOOKUP(BM346,'Gebinde-Kategorie'!$A$5:$G$45,5,0)+0,0))</f>
        <v/>
      </c>
      <c r="BZ346" s="58">
        <f>IFERROR(IF(OR(BQ346=1,BQ346=2,BQ346=3),N(INDEX(Parameter!$I$5:$I$7,BQ346)),0),0)</f>
        <v/>
      </c>
    </row>
    <row r="347">
      <c r="A347" s="53" t="inlineStr">
        <is>
          <t>001175</t>
        </is>
      </c>
      <c r="B347" s="53" t="inlineStr">
        <is>
          <t>Abdeckklebeband</t>
        </is>
      </c>
      <c r="C347" s="53" t="inlineStr">
        <is>
          <t>F</t>
        </is>
      </c>
      <c r="D347" s="53" t="inlineStr">
        <is>
          <t>KTL</t>
        </is>
      </c>
      <c r="E347" s="53" t="inlineStr">
        <is>
          <t>C</t>
        </is>
      </c>
      <c r="F347" s="54" t="n">
        <v>5.4</v>
      </c>
      <c r="G347" s="55">
        <f>MAX(0,IF(Parameter!$B$20="Jahresanfang 2025 + Export",BG347+BF347,BF347))</f>
        <v/>
      </c>
      <c r="H347" s="55">
        <f>G347*F347</f>
        <v/>
      </c>
      <c r="I347" s="55">
        <f>BI347*Parameter!$B$18</f>
        <v/>
      </c>
      <c r="J347" s="56" t="n">
        <v>11</v>
      </c>
      <c r="K347" s="57" t="n">
        <v>4.545454545454546</v>
      </c>
      <c r="L347" s="55" t="n">
        <v>1</v>
      </c>
      <c r="M347" s="55" t="n">
        <v>50</v>
      </c>
      <c r="N347" s="58" t="n">
        <v>14</v>
      </c>
      <c r="O347" s="53" t="inlineStr">
        <is>
          <t>S51</t>
        </is>
      </c>
      <c r="P347" s="55" t="n">
        <v>30</v>
      </c>
      <c r="Q347" s="59">
        <f>IF(BO347=1,0,IFERROR(VLOOKUP(BM347,'Gebinde-Kategorie'!$A$5:$G$45,6,0)+0,0))</f>
        <v/>
      </c>
      <c r="R347" s="60" t="n"/>
      <c r="S347" s="61" t="n"/>
      <c r="T347" s="61" t="n"/>
      <c r="U347" s="53">
        <f>IF(A347="","",IF(IFERROR(VLOOKUP(D347,Parameter!$A$35:$C$64,2,0),"Nein")="2+3",IF(ISNUMBER(SEARCH("grosser Artikel",BJ347)),2,IFERROR(VLOOKUP(BM347,Parameter!$F$35:$G$64,2,0),2)),IF(OR(IFERROR(VLOOKUP(D347,Parameter!$A$35:$C$64,2,0),"Nein")="Nein",IFERROR(VLOOKUP(D347,Parameter!$A$35:$C$64,2,0),"Nein")=""),"-",VLOOKUP(D347,Parameter!$A$35:$C$64,2,0))))</f>
        <v/>
      </c>
      <c r="V347" s="61" t="n"/>
      <c r="W347" s="62" t="n"/>
      <c r="X347" s="55">
        <f>AM347</f>
        <v/>
      </c>
      <c r="Y347" s="55">
        <f>MAX(AM347,G347)</f>
        <v/>
      </c>
      <c r="Z347" s="63" t="n"/>
      <c r="AA347" s="55">
        <f>IF(LEFT(Cockpit!$C$5,1)="A",G347,IF(BT347=1,BU347,IF(LEFT(Cockpit!$C$5,1)="B",AE347,MAX(AE347,G347))))</f>
        <v/>
      </c>
      <c r="AB347" s="55">
        <f>IF(BO347=1,0,ROUNDUP(AA347/BN347,0))</f>
        <v/>
      </c>
      <c r="AC347" s="64">
        <f>IF(BO347=1,IF(AA347&lt;=0,0,BP347*MAX(1,IF(G347&gt;0,AA347/G347,1))),AB347*Q347)</f>
        <v/>
      </c>
      <c r="AD347" s="55">
        <f>AA347*F347</f>
        <v/>
      </c>
      <c r="AE347" s="55">
        <f>ROUNDUP(MAX(I347/IF(BS347&gt;0,BS347,MAX(0.1,N(Cockpit!$C$6))),BV347)/BN347,0)*BN347</f>
        <v/>
      </c>
      <c r="AF347" s="56">
        <f>IF(AC347&gt;0,I347/AC347,-1)</f>
        <v/>
      </c>
      <c r="AG347" s="56">
        <f>IF(AND(OR(BR347="L1",BR347="L23"),AC347&gt;0),SUMIFS($AC$7:$AC$1570,$BR$7:$BR$1570,BR347,$AF$7:$AF$1570,"&gt;"&amp;AF347)+SUMIFS($AC$7:$AC$1570,$BR$7:$BR$1570,BR347,$AF$7:$AF$1570,AF347,$BL$7:$BL$1570,"&lt;="&amp;BL347),"")</f>
        <v/>
      </c>
      <c r="AH347" s="65">
        <f>IF(AG347="",0,MAX(0,MIN(1,(IF(BR347="L1",Parameter!$K$5,Parameter!$K$6+Parameter!$K$7)-(AG347-AC347))/AC347)))</f>
        <v/>
      </c>
      <c r="AI347" s="55">
        <f>IF(LEFT(Cockpit!$I$5,1)="A",G347,IF(BT347=1,BU347,IF(LEFT(Cockpit!$I$5,1)="B",AM347,MAX(AM347,G347))))</f>
        <v/>
      </c>
      <c r="AJ347" s="55">
        <f>IF(BO347=1,0,ROUNDUP(AI347/BN347,0))</f>
        <v/>
      </c>
      <c r="AK347" s="64">
        <f>IF(BO347=1,IF(AI347&lt;=0,0,BP347*MAX(1,IF(G347&gt;0,AI347/G347,1))),AJ347*Q347)</f>
        <v/>
      </c>
      <c r="AL347" s="55">
        <f>AI347*F347</f>
        <v/>
      </c>
      <c r="AM347" s="55">
        <f>ROUNDUP(MAX(I347/IF(BS347&gt;0,BS347,MAX(0.1,N(Cockpit!$I$6))),BV347)/BN347,0)*BN347</f>
        <v/>
      </c>
      <c r="AN347" s="56">
        <f>IF(AK347&gt;0,I347/AK347,-1)</f>
        <v/>
      </c>
      <c r="AO347" s="56">
        <f>IF(AND(OR(BR347="L1",BR347="L23"),AK347&gt;0),SUMIFS($AK$7:$AK$1570,$BR$7:$BR$1570,BR347,$AN$7:$AN$1570,"&gt;"&amp;AN347)+SUMIFS($AK$7:$AK$1570,$BR$7:$BR$1570,BR347,$AN$7:$AN$1570,AN347,$BL$7:$BL$1570,"&lt;="&amp;BL347),"")</f>
        <v/>
      </c>
      <c r="AP347" s="65">
        <f>IF(AO347="",0,MAX(0,MIN(1,(IF(BR347="L1",Parameter!$K$5,Parameter!$K$6+Parameter!$K$7)-(AO347-AK347))/AK347)))</f>
        <v/>
      </c>
      <c r="AQ347" s="55">
        <f>IF(LEFT(Cockpit!$O$5,1)="A",G347,IF(BT347=1,BU347,IF(LEFT(Cockpit!$O$5,1)="B",AU347,MAX(AU347,G347))))</f>
        <v/>
      </c>
      <c r="AR347" s="55">
        <f>IF(BO347=1,0,ROUNDUP(AQ347/BN347,0))</f>
        <v/>
      </c>
      <c r="AS347" s="64">
        <f>IF(BO347=1,IF(AQ347&lt;=0,0,BP347*MAX(1,IF(G347&gt;0,AQ347/G347,1))),AR347*Q347)</f>
        <v/>
      </c>
      <c r="AT347" s="55">
        <f>AQ347*F347</f>
        <v/>
      </c>
      <c r="AU347" s="55">
        <f>ROUNDUP(MAX(I347/IF(BS347&gt;0,BS347,MAX(0.1,N(Cockpit!$O$6))),BV347)/BN347,0)*BN347</f>
        <v/>
      </c>
      <c r="AV347" s="56">
        <f>IF(AS347&gt;0,I347/AS347,-1)</f>
        <v/>
      </c>
      <c r="AW347" s="56">
        <f>IF(AND(OR(BR347="L1",BR347="L23"),AS347&gt;0),SUMIFS($AS$7:$AS$1570,$BR$7:$BR$1570,BR347,$AV$7:$AV$1570,"&gt;"&amp;AV347)+SUMIFS($AS$7:$AS$1570,$BR$7:$BR$1570,BR347,$AV$7:$AV$1570,AV347,$BL$7:$BL$1570,"&lt;="&amp;BL347),"")</f>
        <v/>
      </c>
      <c r="AX347" s="65">
        <f>IF(AW347="",0,MAX(0,MIN(1,(IF(BR347="L1",Parameter!$K$5,Parameter!$K$6+Parameter!$K$7)-(AW347-AS347))/AS347)))</f>
        <v/>
      </c>
      <c r="AY347" s="53">
        <f>IF(AC347&lt;=0,"",IF(BR347="Aussen","Aussenlager",IF(BR347="-","Nicht im Lift",IF(AH347&gt;=1,"Lift",IF(AH347&lt;=0,"Aussenlager","teilweise")))))</f>
        <v/>
      </c>
      <c r="AZ347" s="53">
        <f>IF(AK347&lt;=0,"",IF(BR347="Aussen","Aussenlager",IF(BR347="-","Nicht im Lift",IF(AP347&gt;=1,"Lift",IF(AP347&lt;=0,"Aussenlager","teilweise")))))</f>
        <v/>
      </c>
      <c r="BA347" s="53">
        <f>IF(AS347&lt;=0,"",IF(BR347="Aussen","Aussenlager",IF(BR347="-","Nicht im Lift",IF(AX347&gt;=1,"Lift",IF(AX347&lt;=0,"Aussenlager","teilweise")))))</f>
        <v/>
      </c>
      <c r="BB347" s="53">
        <f>IF(A347="","",IF(BK347=1,"Neu; ","")&amp;IF(AND(BK347=0,BF347&lt;0),"negativer Bestand (Export "&amp;BF347&amp;"); ","")&amp;IF(I347&lt;=0,"Kein Verbrauch; ","")&amp;IF(BO347=1,"Lose – Fläche geschätzt; ","")&amp;IF(G347&gt;AM347,"Überbestand "&amp;ROUND(G347-AM347,0)&amp;" Stk / CHF "&amp;ROUND((G347-AM347)*F347,0)&amp;"; ","")&amp;IF(AND(BT347=1,BU347&lt;BV347),"MAX &lt; MB+LG; ","")&amp;IF(AND(BZ347&gt;0,BY347*10&gt;BZ347),"zu hoch für Tablar; ","")&amp;IF(AND(BK347=0,OR(BT347=1,V347&lt;&gt;"",S347&lt;&gt;"",T347&lt;&gt;"",W347&lt;&gt;"")),"manuell übersteuert; ","")&amp;IF(AND(BO347=0,Q347=0),"Gebinde unbekannt; ","")&amp;IF(AND(BO347=0,N(T347)&lt;=0,N(P347)&lt;=0),"Menge pro Gebinde fehlt (Ist = 1 Gebinde); ","")&amp;BJ347)</f>
        <v/>
      </c>
      <c r="BC347" s="53" t="n"/>
      <c r="BD347" s="53" t="n"/>
      <c r="BE347" s="61" t="n"/>
      <c r="BF347" s="55" t="n">
        <v>35</v>
      </c>
      <c r="BG347" s="55" t="n">
        <v>12</v>
      </c>
      <c r="BH347" s="54" t="n">
        <v>185.4</v>
      </c>
      <c r="BI347" s="55" t="n">
        <v>50</v>
      </c>
      <c r="BJ347" s="53" t="inlineStr"/>
      <c r="BK347" s="58" t="n">
        <v>0</v>
      </c>
      <c r="BL347" s="58" t="n">
        <v>347</v>
      </c>
      <c r="BM347" s="53">
        <f>IF(S347&lt;&gt;"",UPPER(TRIM(S347)),IF(O347="","LOSE",O347))</f>
        <v/>
      </c>
      <c r="BN347" s="55">
        <f>IF(BM347="LOSE",1,IF(N(T347)&gt;0,T347,IF(N(P347)&gt;0,P347,MAX(1,G347))))</f>
        <v/>
      </c>
      <c r="BO347" s="58">
        <f>IF(BM347="LOSE",1,0)</f>
        <v/>
      </c>
      <c r="BP347" s="64">
        <f>IF(BO347=0,0,IF(N(R347)&gt;0,R347,IFERROR(VLOOKUP(D347,Parameter!$A$35:$C$64,3,0)+0,0)))</f>
        <v/>
      </c>
      <c r="BQ347" s="53">
        <f>IF(V347&lt;&gt;"",V347,U347)</f>
        <v/>
      </c>
      <c r="BR347" s="53">
        <f>IF(BQ347=1,"L1",IF(OR(BQ347=2,BQ347=3),"L23",IF(BQ347="Aussen","Aussen","-")))</f>
        <v/>
      </c>
      <c r="BS347" s="66">
        <f>IF(N(W347)&gt;0,W347,0)</f>
        <v/>
      </c>
      <c r="BT347" s="58">
        <f>IF(ISNUMBER(Z347),1,0)</f>
        <v/>
      </c>
      <c r="BU347" s="55">
        <f>N(Z347)</f>
        <v/>
      </c>
      <c r="BV347" s="55">
        <f>N(L347)+N(M347)</f>
        <v/>
      </c>
      <c r="BW347" s="55">
        <f>ROUNDUP(G347/BN347,0)</f>
        <v/>
      </c>
      <c r="BX347" s="55">
        <f>ROUNDUP(BU347/BN347,0)</f>
        <v/>
      </c>
      <c r="BY347" s="58">
        <f>IF(BO347=1,0,IFERROR(VLOOKUP(BM347,'Gebinde-Kategorie'!$A$5:$G$45,5,0)+0,0))</f>
        <v/>
      </c>
      <c r="BZ347" s="58">
        <f>IFERROR(IF(OR(BQ347=1,BQ347=2,BQ347=3),N(INDEX(Parameter!$I$5:$I$7,BQ347)),0),0)</f>
        <v/>
      </c>
    </row>
    <row r="348">
      <c r="A348" s="53" t="inlineStr">
        <is>
          <t>111978</t>
        </is>
      </c>
      <c r="B348" s="53" t="inlineStr">
        <is>
          <t>Einschraub-Schaft Adapter</t>
        </is>
      </c>
      <c r="C348" s="53" t="inlineStr">
        <is>
          <t>F</t>
        </is>
      </c>
      <c r="D348" s="53" t="inlineStr">
        <is>
          <t>KTL</t>
        </is>
      </c>
      <c r="E348" s="53" t="inlineStr">
        <is>
          <t>C</t>
        </is>
      </c>
      <c r="F348" s="54" t="n">
        <v>7.4</v>
      </c>
      <c r="G348" s="55">
        <f>MAX(0,IF(Parameter!$B$20="Jahresanfang 2025 + Export",BG348+BF348,BF348))</f>
        <v/>
      </c>
      <c r="H348" s="55">
        <f>G348*F348</f>
        <v/>
      </c>
      <c r="I348" s="55">
        <f>BI348*Parameter!$B$18</f>
        <v/>
      </c>
      <c r="J348" s="56" t="n">
        <v>0</v>
      </c>
      <c r="K348" s="57" t="n">
        <v>0</v>
      </c>
      <c r="L348" s="55" t="n">
        <v>0</v>
      </c>
      <c r="M348" s="55" t="n">
        <v>1</v>
      </c>
      <c r="N348" s="58" t="n">
        <v>9999</v>
      </c>
      <c r="O348" s="53" t="inlineStr">
        <is>
          <t>LOSE</t>
        </is>
      </c>
      <c r="P348" s="55" t="n"/>
      <c r="Q348" s="59">
        <f>IF(BO348=1,0,IFERROR(VLOOKUP(BM348,'Gebinde-Kategorie'!$A$5:$G$45,6,0)+0,0))</f>
        <v/>
      </c>
      <c r="R348" s="60" t="n"/>
      <c r="S348" s="61" t="n"/>
      <c r="T348" s="61" t="n"/>
      <c r="U348" s="53">
        <f>IF(A348="","",IF(IFERROR(VLOOKUP(D348,Parameter!$A$35:$C$64,2,0),"Nein")="2+3",IF(ISNUMBER(SEARCH("grosser Artikel",BJ348)),2,IFERROR(VLOOKUP(BM348,Parameter!$F$35:$G$64,2,0),2)),IF(OR(IFERROR(VLOOKUP(D348,Parameter!$A$35:$C$64,2,0),"Nein")="Nein",IFERROR(VLOOKUP(D348,Parameter!$A$35:$C$64,2,0),"Nein")=""),"-",VLOOKUP(D348,Parameter!$A$35:$C$64,2,0))))</f>
        <v/>
      </c>
      <c r="V348" s="61" t="n"/>
      <c r="W348" s="62" t="n"/>
      <c r="X348" s="55">
        <f>AM348</f>
        <v/>
      </c>
      <c r="Y348" s="55">
        <f>MAX(AM348,G348)</f>
        <v/>
      </c>
      <c r="Z348" s="63" t="n"/>
      <c r="AA348" s="55">
        <f>IF(LEFT(Cockpit!$C$5,1)="A",G348,IF(BT348=1,BU348,IF(LEFT(Cockpit!$C$5,1)="B",AE348,MAX(AE348,G348))))</f>
        <v/>
      </c>
      <c r="AB348" s="55">
        <f>IF(BO348=1,0,ROUNDUP(AA348/BN348,0))</f>
        <v/>
      </c>
      <c r="AC348" s="64">
        <f>IF(BO348=1,IF(AA348&lt;=0,0,BP348*MAX(1,IF(G348&gt;0,AA348/G348,1))),AB348*Q348)</f>
        <v/>
      </c>
      <c r="AD348" s="55">
        <f>AA348*F348</f>
        <v/>
      </c>
      <c r="AE348" s="55">
        <f>ROUNDUP(MAX(I348/IF(BS348&gt;0,BS348,MAX(0.1,N(Cockpit!$C$6))),BV348)/BN348,0)*BN348</f>
        <v/>
      </c>
      <c r="AF348" s="56">
        <f>IF(AC348&gt;0,I348/AC348,-1)</f>
        <v/>
      </c>
      <c r="AG348" s="56">
        <f>IF(AND(OR(BR348="L1",BR348="L23"),AC348&gt;0),SUMIFS($AC$7:$AC$1570,$BR$7:$BR$1570,BR348,$AF$7:$AF$1570,"&gt;"&amp;AF348)+SUMIFS($AC$7:$AC$1570,$BR$7:$BR$1570,BR348,$AF$7:$AF$1570,AF348,$BL$7:$BL$1570,"&lt;="&amp;BL348),"")</f>
        <v/>
      </c>
      <c r="AH348" s="65">
        <f>IF(AG348="",0,MAX(0,MIN(1,(IF(BR348="L1",Parameter!$K$5,Parameter!$K$6+Parameter!$K$7)-(AG348-AC348))/AC348)))</f>
        <v/>
      </c>
      <c r="AI348" s="55">
        <f>IF(LEFT(Cockpit!$I$5,1)="A",G348,IF(BT348=1,BU348,IF(LEFT(Cockpit!$I$5,1)="B",AM348,MAX(AM348,G348))))</f>
        <v/>
      </c>
      <c r="AJ348" s="55">
        <f>IF(BO348=1,0,ROUNDUP(AI348/BN348,0))</f>
        <v/>
      </c>
      <c r="AK348" s="64">
        <f>IF(BO348=1,IF(AI348&lt;=0,0,BP348*MAX(1,IF(G348&gt;0,AI348/G348,1))),AJ348*Q348)</f>
        <v/>
      </c>
      <c r="AL348" s="55">
        <f>AI348*F348</f>
        <v/>
      </c>
      <c r="AM348" s="55">
        <f>ROUNDUP(MAX(I348/IF(BS348&gt;0,BS348,MAX(0.1,N(Cockpit!$I$6))),BV348)/BN348,0)*BN348</f>
        <v/>
      </c>
      <c r="AN348" s="56">
        <f>IF(AK348&gt;0,I348/AK348,-1)</f>
        <v/>
      </c>
      <c r="AO348" s="56">
        <f>IF(AND(OR(BR348="L1",BR348="L23"),AK348&gt;0),SUMIFS($AK$7:$AK$1570,$BR$7:$BR$1570,BR348,$AN$7:$AN$1570,"&gt;"&amp;AN348)+SUMIFS($AK$7:$AK$1570,$BR$7:$BR$1570,BR348,$AN$7:$AN$1570,AN348,$BL$7:$BL$1570,"&lt;="&amp;BL348),"")</f>
        <v/>
      </c>
      <c r="AP348" s="65">
        <f>IF(AO348="",0,MAX(0,MIN(1,(IF(BR348="L1",Parameter!$K$5,Parameter!$K$6+Parameter!$K$7)-(AO348-AK348))/AK348)))</f>
        <v/>
      </c>
      <c r="AQ348" s="55">
        <f>IF(LEFT(Cockpit!$O$5,1)="A",G348,IF(BT348=1,BU348,IF(LEFT(Cockpit!$O$5,1)="B",AU348,MAX(AU348,G348))))</f>
        <v/>
      </c>
      <c r="AR348" s="55">
        <f>IF(BO348=1,0,ROUNDUP(AQ348/BN348,0))</f>
        <v/>
      </c>
      <c r="AS348" s="64">
        <f>IF(BO348=1,IF(AQ348&lt;=0,0,BP348*MAX(1,IF(G348&gt;0,AQ348/G348,1))),AR348*Q348)</f>
        <v/>
      </c>
      <c r="AT348" s="55">
        <f>AQ348*F348</f>
        <v/>
      </c>
      <c r="AU348" s="55">
        <f>ROUNDUP(MAX(I348/IF(BS348&gt;0,BS348,MAX(0.1,N(Cockpit!$O$6))),BV348)/BN348,0)*BN348</f>
        <v/>
      </c>
      <c r="AV348" s="56">
        <f>IF(AS348&gt;0,I348/AS348,-1)</f>
        <v/>
      </c>
      <c r="AW348" s="56">
        <f>IF(AND(OR(BR348="L1",BR348="L23"),AS348&gt;0),SUMIFS($AS$7:$AS$1570,$BR$7:$BR$1570,BR348,$AV$7:$AV$1570,"&gt;"&amp;AV348)+SUMIFS($AS$7:$AS$1570,$BR$7:$BR$1570,BR348,$AV$7:$AV$1570,AV348,$BL$7:$BL$1570,"&lt;="&amp;BL348),"")</f>
        <v/>
      </c>
      <c r="AX348" s="65">
        <f>IF(AW348="",0,MAX(0,MIN(1,(IF(BR348="L1",Parameter!$K$5,Parameter!$K$6+Parameter!$K$7)-(AW348-AS348))/AS348)))</f>
        <v/>
      </c>
      <c r="AY348" s="53">
        <f>IF(AC348&lt;=0,"",IF(BR348="Aussen","Aussenlager",IF(BR348="-","Nicht im Lift",IF(AH348&gt;=1,"Lift",IF(AH348&lt;=0,"Aussenlager","teilweise")))))</f>
        <v/>
      </c>
      <c r="AZ348" s="53">
        <f>IF(AK348&lt;=0,"",IF(BR348="Aussen","Aussenlager",IF(BR348="-","Nicht im Lift",IF(AP348&gt;=1,"Lift",IF(AP348&lt;=0,"Aussenlager","teilweise")))))</f>
        <v/>
      </c>
      <c r="BA348" s="53">
        <f>IF(AS348&lt;=0,"",IF(BR348="Aussen","Aussenlager",IF(BR348="-","Nicht im Lift",IF(AX348&gt;=1,"Lift",IF(AX348&lt;=0,"Aussenlager","teilweise")))))</f>
        <v/>
      </c>
      <c r="BB348" s="53">
        <f>IF(A348="","",IF(BK348=1,"Neu; ","")&amp;IF(AND(BK348=0,BF348&lt;0),"negativer Bestand (Export "&amp;BF348&amp;"); ","")&amp;IF(I348&lt;=0,"Kein Verbrauch; ","")&amp;IF(BO348=1,"Lose – Fläche geschätzt; ","")&amp;IF(G348&gt;AM348,"Überbestand "&amp;ROUND(G348-AM348,0)&amp;" Stk / CHF "&amp;ROUND((G348-AM348)*F348,0)&amp;"; ","")&amp;IF(AND(BT348=1,BU348&lt;BV348),"MAX &lt; MB+LG; ","")&amp;IF(AND(BZ348&gt;0,BY348*10&gt;BZ348),"zu hoch für Tablar; ","")&amp;IF(AND(BK348=0,OR(BT348=1,V348&lt;&gt;"",S348&lt;&gt;"",T348&lt;&gt;"",W348&lt;&gt;"")),"manuell übersteuert; ","")&amp;IF(AND(BO348=0,Q348=0),"Gebinde unbekannt; ","")&amp;IF(AND(BO348=0,N(T348)&lt;=0,N(P348)&lt;=0),"Menge pro Gebinde fehlt (Ist = 1 Gebinde); ","")&amp;BJ348)</f>
        <v/>
      </c>
      <c r="BC348" s="53" t="n"/>
      <c r="BD348" s="53" t="n"/>
      <c r="BE348" s="61" t="n"/>
      <c r="BF348" s="55" t="n">
        <v>25</v>
      </c>
      <c r="BG348" s="55" t="n">
        <v>0</v>
      </c>
      <c r="BH348" s="54" t="n">
        <v>185</v>
      </c>
      <c r="BI348" s="55" t="n">
        <v>0</v>
      </c>
      <c r="BJ348" s="53" t="inlineStr"/>
      <c r="BK348" s="58" t="n">
        <v>0</v>
      </c>
      <c r="BL348" s="58" t="n">
        <v>348</v>
      </c>
      <c r="BM348" s="53">
        <f>IF(S348&lt;&gt;"",UPPER(TRIM(S348)),IF(O348="","LOSE",O348))</f>
        <v/>
      </c>
      <c r="BN348" s="55">
        <f>IF(BM348="LOSE",1,IF(N(T348)&gt;0,T348,IF(N(P348)&gt;0,P348,MAX(1,G348))))</f>
        <v/>
      </c>
      <c r="BO348" s="58">
        <f>IF(BM348="LOSE",1,0)</f>
        <v/>
      </c>
      <c r="BP348" s="64">
        <f>IF(BO348=0,0,IF(N(R348)&gt;0,R348,IFERROR(VLOOKUP(D348,Parameter!$A$35:$C$64,3,0)+0,0)))</f>
        <v/>
      </c>
      <c r="BQ348" s="53">
        <f>IF(V348&lt;&gt;"",V348,U348)</f>
        <v/>
      </c>
      <c r="BR348" s="53">
        <f>IF(BQ348=1,"L1",IF(OR(BQ348=2,BQ348=3),"L23",IF(BQ348="Aussen","Aussen","-")))</f>
        <v/>
      </c>
      <c r="BS348" s="66">
        <f>IF(N(W348)&gt;0,W348,0)</f>
        <v/>
      </c>
      <c r="BT348" s="58">
        <f>IF(ISNUMBER(Z348),1,0)</f>
        <v/>
      </c>
      <c r="BU348" s="55">
        <f>N(Z348)</f>
        <v/>
      </c>
      <c r="BV348" s="55">
        <f>N(L348)+N(M348)</f>
        <v/>
      </c>
      <c r="BW348" s="55">
        <f>ROUNDUP(G348/BN348,0)</f>
        <v/>
      </c>
      <c r="BX348" s="55">
        <f>ROUNDUP(BU348/BN348,0)</f>
        <v/>
      </c>
      <c r="BY348" s="58">
        <f>IF(BO348=1,0,IFERROR(VLOOKUP(BM348,'Gebinde-Kategorie'!$A$5:$G$45,5,0)+0,0))</f>
        <v/>
      </c>
      <c r="BZ348" s="58">
        <f>IFERROR(IF(OR(BQ348=1,BQ348=2,BQ348=3),N(INDEX(Parameter!$I$5:$I$7,BQ348)),0),0)</f>
        <v/>
      </c>
    </row>
    <row r="349">
      <c r="A349" s="53" t="inlineStr">
        <is>
          <t>001130</t>
        </is>
      </c>
      <c r="B349" s="53" t="inlineStr">
        <is>
          <t>Holzschraube</t>
        </is>
      </c>
      <c r="C349" s="53" t="inlineStr">
        <is>
          <t>F</t>
        </is>
      </c>
      <c r="D349" s="53" t="inlineStr">
        <is>
          <t>KTL</t>
        </is>
      </c>
      <c r="E349" s="53" t="inlineStr">
        <is>
          <t>C</t>
        </is>
      </c>
      <c r="F349" s="54" t="n">
        <v>0.05</v>
      </c>
      <c r="G349" s="55">
        <f>MAX(0,IF(Parameter!$B$20="Jahresanfang 2025 + Export",BG349+BF349,BF349))</f>
        <v/>
      </c>
      <c r="H349" s="55">
        <f>G349*F349</f>
        <v/>
      </c>
      <c r="I349" s="55">
        <f>BI349*Parameter!$B$18</f>
        <v/>
      </c>
      <c r="J349" s="56" t="n">
        <v>1074.5</v>
      </c>
      <c r="K349" s="57" t="n">
        <v>6.88599348534202</v>
      </c>
      <c r="L349" s="55" t="n">
        <v>750</v>
      </c>
      <c r="M349" s="55" t="n">
        <v>2500</v>
      </c>
      <c r="N349" s="58" t="n">
        <v>14</v>
      </c>
      <c r="O349" s="53" t="inlineStr">
        <is>
          <t>S61</t>
        </is>
      </c>
      <c r="P349" s="55" t="n">
        <v>3500</v>
      </c>
      <c r="Q349" s="59">
        <f>IF(BO349=1,0,IFERROR(VLOOKUP(BM349,'Gebinde-Kategorie'!$A$5:$G$45,6,0)+0,0))</f>
        <v/>
      </c>
      <c r="R349" s="60" t="n"/>
      <c r="S349" s="61" t="n"/>
      <c r="T349" s="61" t="n"/>
      <c r="U349" s="53">
        <f>IF(A349="","",IF(IFERROR(VLOOKUP(D349,Parameter!$A$35:$C$64,2,0),"Nein")="2+3",IF(ISNUMBER(SEARCH("grosser Artikel",BJ349)),2,IFERROR(VLOOKUP(BM349,Parameter!$F$35:$G$64,2,0),2)),IF(OR(IFERROR(VLOOKUP(D349,Parameter!$A$35:$C$64,2,0),"Nein")="Nein",IFERROR(VLOOKUP(D349,Parameter!$A$35:$C$64,2,0),"Nein")=""),"-",VLOOKUP(D349,Parameter!$A$35:$C$64,2,0))))</f>
        <v/>
      </c>
      <c r="V349" s="61" t="n"/>
      <c r="W349" s="62" t="n"/>
      <c r="X349" s="55">
        <f>AM349</f>
        <v/>
      </c>
      <c r="Y349" s="55">
        <f>MAX(AM349,G349)</f>
        <v/>
      </c>
      <c r="Z349" s="63" t="n"/>
      <c r="AA349" s="55">
        <f>IF(LEFT(Cockpit!$C$5,1)="A",G349,IF(BT349=1,BU349,IF(LEFT(Cockpit!$C$5,1)="B",AE349,MAX(AE349,G349))))</f>
        <v/>
      </c>
      <c r="AB349" s="55">
        <f>IF(BO349=1,0,ROUNDUP(AA349/BN349,0))</f>
        <v/>
      </c>
      <c r="AC349" s="64">
        <f>IF(BO349=1,IF(AA349&lt;=0,0,BP349*MAX(1,IF(G349&gt;0,AA349/G349,1))),AB349*Q349)</f>
        <v/>
      </c>
      <c r="AD349" s="55">
        <f>AA349*F349</f>
        <v/>
      </c>
      <c r="AE349" s="55">
        <f>ROUNDUP(MAX(I349/IF(BS349&gt;0,BS349,MAX(0.1,N(Cockpit!$C$6))),BV349)/BN349,0)*BN349</f>
        <v/>
      </c>
      <c r="AF349" s="56">
        <f>IF(AC349&gt;0,I349/AC349,-1)</f>
        <v/>
      </c>
      <c r="AG349" s="56">
        <f>IF(AND(OR(BR349="L1",BR349="L23"),AC349&gt;0),SUMIFS($AC$7:$AC$1570,$BR$7:$BR$1570,BR349,$AF$7:$AF$1570,"&gt;"&amp;AF349)+SUMIFS($AC$7:$AC$1570,$BR$7:$BR$1570,BR349,$AF$7:$AF$1570,AF349,$BL$7:$BL$1570,"&lt;="&amp;BL349),"")</f>
        <v/>
      </c>
      <c r="AH349" s="65">
        <f>IF(AG349="",0,MAX(0,MIN(1,(IF(BR349="L1",Parameter!$K$5,Parameter!$K$6+Parameter!$K$7)-(AG349-AC349))/AC349)))</f>
        <v/>
      </c>
      <c r="AI349" s="55">
        <f>IF(LEFT(Cockpit!$I$5,1)="A",G349,IF(BT349=1,BU349,IF(LEFT(Cockpit!$I$5,1)="B",AM349,MAX(AM349,G349))))</f>
        <v/>
      </c>
      <c r="AJ349" s="55">
        <f>IF(BO349=1,0,ROUNDUP(AI349/BN349,0))</f>
        <v/>
      </c>
      <c r="AK349" s="64">
        <f>IF(BO349=1,IF(AI349&lt;=0,0,BP349*MAX(1,IF(G349&gt;0,AI349/G349,1))),AJ349*Q349)</f>
        <v/>
      </c>
      <c r="AL349" s="55">
        <f>AI349*F349</f>
        <v/>
      </c>
      <c r="AM349" s="55">
        <f>ROUNDUP(MAX(I349/IF(BS349&gt;0,BS349,MAX(0.1,N(Cockpit!$I$6))),BV349)/BN349,0)*BN349</f>
        <v/>
      </c>
      <c r="AN349" s="56">
        <f>IF(AK349&gt;0,I349/AK349,-1)</f>
        <v/>
      </c>
      <c r="AO349" s="56">
        <f>IF(AND(OR(BR349="L1",BR349="L23"),AK349&gt;0),SUMIFS($AK$7:$AK$1570,$BR$7:$BR$1570,BR349,$AN$7:$AN$1570,"&gt;"&amp;AN349)+SUMIFS($AK$7:$AK$1570,$BR$7:$BR$1570,BR349,$AN$7:$AN$1570,AN349,$BL$7:$BL$1570,"&lt;="&amp;BL349),"")</f>
        <v/>
      </c>
      <c r="AP349" s="65">
        <f>IF(AO349="",0,MAX(0,MIN(1,(IF(BR349="L1",Parameter!$K$5,Parameter!$K$6+Parameter!$K$7)-(AO349-AK349))/AK349)))</f>
        <v/>
      </c>
      <c r="AQ349" s="55">
        <f>IF(LEFT(Cockpit!$O$5,1)="A",G349,IF(BT349=1,BU349,IF(LEFT(Cockpit!$O$5,1)="B",AU349,MAX(AU349,G349))))</f>
        <v/>
      </c>
      <c r="AR349" s="55">
        <f>IF(BO349=1,0,ROUNDUP(AQ349/BN349,0))</f>
        <v/>
      </c>
      <c r="AS349" s="64">
        <f>IF(BO349=1,IF(AQ349&lt;=0,0,BP349*MAX(1,IF(G349&gt;0,AQ349/G349,1))),AR349*Q349)</f>
        <v/>
      </c>
      <c r="AT349" s="55">
        <f>AQ349*F349</f>
        <v/>
      </c>
      <c r="AU349" s="55">
        <f>ROUNDUP(MAX(I349/IF(BS349&gt;0,BS349,MAX(0.1,N(Cockpit!$O$6))),BV349)/BN349,0)*BN349</f>
        <v/>
      </c>
      <c r="AV349" s="56">
        <f>IF(AS349&gt;0,I349/AS349,-1)</f>
        <v/>
      </c>
      <c r="AW349" s="56">
        <f>IF(AND(OR(BR349="L1",BR349="L23"),AS349&gt;0),SUMIFS($AS$7:$AS$1570,$BR$7:$BR$1570,BR349,$AV$7:$AV$1570,"&gt;"&amp;AV349)+SUMIFS($AS$7:$AS$1570,$BR$7:$BR$1570,BR349,$AV$7:$AV$1570,AV349,$BL$7:$BL$1570,"&lt;="&amp;BL349),"")</f>
        <v/>
      </c>
      <c r="AX349" s="65">
        <f>IF(AW349="",0,MAX(0,MIN(1,(IF(BR349="L1",Parameter!$K$5,Parameter!$K$6+Parameter!$K$7)-(AW349-AS349))/AS349)))</f>
        <v/>
      </c>
      <c r="AY349" s="53">
        <f>IF(AC349&lt;=0,"",IF(BR349="Aussen","Aussenlager",IF(BR349="-","Nicht im Lift",IF(AH349&gt;=1,"Lift",IF(AH349&lt;=0,"Aussenlager","teilweise")))))</f>
        <v/>
      </c>
      <c r="AZ349" s="53">
        <f>IF(AK349&lt;=0,"",IF(BR349="Aussen","Aussenlager",IF(BR349="-","Nicht im Lift",IF(AP349&gt;=1,"Lift",IF(AP349&lt;=0,"Aussenlager","teilweise")))))</f>
        <v/>
      </c>
      <c r="BA349" s="53">
        <f>IF(AS349&lt;=0,"",IF(BR349="Aussen","Aussenlager",IF(BR349="-","Nicht im Lift",IF(AX349&gt;=1,"Lift",IF(AX349&lt;=0,"Aussenlager","teilweise")))))</f>
        <v/>
      </c>
      <c r="BB349" s="53">
        <f>IF(A349="","",IF(BK349=1,"Neu; ","")&amp;IF(AND(BK349=0,BF349&lt;0),"negativer Bestand (Export "&amp;BF349&amp;"); ","")&amp;IF(I349&lt;=0,"Kein Verbrauch; ","")&amp;IF(BO349=1,"Lose – Fläche geschätzt; ","")&amp;IF(G349&gt;AM349,"Überbestand "&amp;ROUND(G349-AM349,0)&amp;" Stk / CHF "&amp;ROUND((G349-AM349)*F349,0)&amp;"; ","")&amp;IF(AND(BT349=1,BU349&lt;BV349),"MAX &lt; MB+LG; ","")&amp;IF(AND(BZ349&gt;0,BY349*10&gt;BZ349),"zu hoch für Tablar; ","")&amp;IF(AND(BK349=0,OR(BT349=1,V349&lt;&gt;"",S349&lt;&gt;"",T349&lt;&gt;"",W349&lt;&gt;"")),"manuell übersteuert; ","")&amp;IF(AND(BO349=0,Q349=0),"Gebinde unbekannt; ","")&amp;IF(AND(BO349=0,N(T349)&lt;=0,N(P349)&lt;=0),"Menge pro Gebinde fehlt (Ist = 1 Gebinde); ","")&amp;BJ349)</f>
        <v/>
      </c>
      <c r="BC349" s="53" t="n"/>
      <c r="BD349" s="53" t="n"/>
      <c r="BE349" s="61" t="n"/>
      <c r="BF349" s="55" t="n">
        <v>3601</v>
      </c>
      <c r="BG349" s="55" t="n">
        <v>899</v>
      </c>
      <c r="BH349" s="54" t="n">
        <v>184.0399999999999</v>
      </c>
      <c r="BI349" s="55" t="n">
        <v>7399</v>
      </c>
      <c r="BJ349" s="53" t="inlineStr"/>
      <c r="BK349" s="58" t="n">
        <v>0</v>
      </c>
      <c r="BL349" s="58" t="n">
        <v>349</v>
      </c>
      <c r="BM349" s="53">
        <f>IF(S349&lt;&gt;"",UPPER(TRIM(S349)),IF(O349="","LOSE",O349))</f>
        <v/>
      </c>
      <c r="BN349" s="55">
        <f>IF(BM349="LOSE",1,IF(N(T349)&gt;0,T349,IF(N(P349)&gt;0,P349,MAX(1,G349))))</f>
        <v/>
      </c>
      <c r="BO349" s="58">
        <f>IF(BM349="LOSE",1,0)</f>
        <v/>
      </c>
      <c r="BP349" s="64">
        <f>IF(BO349=0,0,IF(N(R349)&gt;0,R349,IFERROR(VLOOKUP(D349,Parameter!$A$35:$C$64,3,0)+0,0)))</f>
        <v/>
      </c>
      <c r="BQ349" s="53">
        <f>IF(V349&lt;&gt;"",V349,U349)</f>
        <v/>
      </c>
      <c r="BR349" s="53">
        <f>IF(BQ349=1,"L1",IF(OR(BQ349=2,BQ349=3),"L23",IF(BQ349="Aussen","Aussen","-")))</f>
        <v/>
      </c>
      <c r="BS349" s="66">
        <f>IF(N(W349)&gt;0,W349,0)</f>
        <v/>
      </c>
      <c r="BT349" s="58">
        <f>IF(ISNUMBER(Z349),1,0)</f>
        <v/>
      </c>
      <c r="BU349" s="55">
        <f>N(Z349)</f>
        <v/>
      </c>
      <c r="BV349" s="55">
        <f>N(L349)+N(M349)</f>
        <v/>
      </c>
      <c r="BW349" s="55">
        <f>ROUNDUP(G349/BN349,0)</f>
        <v/>
      </c>
      <c r="BX349" s="55">
        <f>ROUNDUP(BU349/BN349,0)</f>
        <v/>
      </c>
      <c r="BY349" s="58">
        <f>IF(BO349=1,0,IFERROR(VLOOKUP(BM349,'Gebinde-Kategorie'!$A$5:$G$45,5,0)+0,0))</f>
        <v/>
      </c>
      <c r="BZ349" s="58">
        <f>IFERROR(IF(OR(BQ349=1,BQ349=2,BQ349=3),N(INDEX(Parameter!$I$5:$I$7,BQ349)),0),0)</f>
        <v/>
      </c>
    </row>
    <row r="350">
      <c r="A350" s="53" t="inlineStr">
        <is>
          <t>109175</t>
        </is>
      </c>
      <c r="B350" s="53" t="inlineStr">
        <is>
          <t>Adapter Bündelanschluss Stickstoff</t>
        </is>
      </c>
      <c r="C350" s="53" t="inlineStr">
        <is>
          <t>F</t>
        </is>
      </c>
      <c r="D350" s="53" t="inlineStr">
        <is>
          <t>KTL</t>
        </is>
      </c>
      <c r="E350" s="53" t="inlineStr">
        <is>
          <t>C</t>
        </is>
      </c>
      <c r="F350" s="54" t="n">
        <v>42.95</v>
      </c>
      <c r="G350" s="55">
        <f>MAX(0,IF(Parameter!$B$20="Jahresanfang 2025 + Export",BG350+BF350,BF350))</f>
        <v/>
      </c>
      <c r="H350" s="55">
        <f>G350*F350</f>
        <v/>
      </c>
      <c r="I350" s="55">
        <f>BI350*Parameter!$B$18</f>
        <v/>
      </c>
      <c r="J350" s="56" t="n">
        <v>15.5</v>
      </c>
      <c r="K350" s="57" t="n">
        <v>0.6451612903225806</v>
      </c>
      <c r="L350" s="55" t="n">
        <v>0</v>
      </c>
      <c r="M350" s="55" t="n">
        <v>10</v>
      </c>
      <c r="N350" s="58" t="n">
        <v>35</v>
      </c>
      <c r="O350" s="53" t="inlineStr">
        <is>
          <t>S32</t>
        </is>
      </c>
      <c r="P350" s="55" t="n">
        <v>18</v>
      </c>
      <c r="Q350" s="59">
        <f>IF(BO350=1,0,IFERROR(VLOOKUP(BM350,'Gebinde-Kategorie'!$A$5:$G$45,6,0)+0,0))</f>
        <v/>
      </c>
      <c r="R350" s="60" t="n"/>
      <c r="S350" s="61" t="n"/>
      <c r="T350" s="61" t="n"/>
      <c r="U350" s="53">
        <f>IF(A350="","",IF(IFERROR(VLOOKUP(D350,Parameter!$A$35:$C$64,2,0),"Nein")="2+3",IF(ISNUMBER(SEARCH("grosser Artikel",BJ350)),2,IFERROR(VLOOKUP(BM350,Parameter!$F$35:$G$64,2,0),2)),IF(OR(IFERROR(VLOOKUP(D350,Parameter!$A$35:$C$64,2,0),"Nein")="Nein",IFERROR(VLOOKUP(D350,Parameter!$A$35:$C$64,2,0),"Nein")=""),"-",VLOOKUP(D350,Parameter!$A$35:$C$64,2,0))))</f>
        <v/>
      </c>
      <c r="V350" s="61" t="n"/>
      <c r="W350" s="62" t="n"/>
      <c r="X350" s="55">
        <f>AM350</f>
        <v/>
      </c>
      <c r="Y350" s="55">
        <f>MAX(AM350,G350)</f>
        <v/>
      </c>
      <c r="Z350" s="63" t="n"/>
      <c r="AA350" s="55">
        <f>IF(LEFT(Cockpit!$C$5,1)="A",G350,IF(BT350=1,BU350,IF(LEFT(Cockpit!$C$5,1)="B",AE350,MAX(AE350,G350))))</f>
        <v/>
      </c>
      <c r="AB350" s="55">
        <f>IF(BO350=1,0,ROUNDUP(AA350/BN350,0))</f>
        <v/>
      </c>
      <c r="AC350" s="64">
        <f>IF(BO350=1,IF(AA350&lt;=0,0,BP350*MAX(1,IF(G350&gt;0,AA350/G350,1))),AB350*Q350)</f>
        <v/>
      </c>
      <c r="AD350" s="55">
        <f>AA350*F350</f>
        <v/>
      </c>
      <c r="AE350" s="55">
        <f>ROUNDUP(MAX(I350/IF(BS350&gt;0,BS350,MAX(0.1,N(Cockpit!$C$6))),BV350)/BN350,0)*BN350</f>
        <v/>
      </c>
      <c r="AF350" s="56">
        <f>IF(AC350&gt;0,I350/AC350,-1)</f>
        <v/>
      </c>
      <c r="AG350" s="56">
        <f>IF(AND(OR(BR350="L1",BR350="L23"),AC350&gt;0),SUMIFS($AC$7:$AC$1570,$BR$7:$BR$1570,BR350,$AF$7:$AF$1570,"&gt;"&amp;AF350)+SUMIFS($AC$7:$AC$1570,$BR$7:$BR$1570,BR350,$AF$7:$AF$1570,AF350,$BL$7:$BL$1570,"&lt;="&amp;BL350),"")</f>
        <v/>
      </c>
      <c r="AH350" s="65">
        <f>IF(AG350="",0,MAX(0,MIN(1,(IF(BR350="L1",Parameter!$K$5,Parameter!$K$6+Parameter!$K$7)-(AG350-AC350))/AC350)))</f>
        <v/>
      </c>
      <c r="AI350" s="55">
        <f>IF(LEFT(Cockpit!$I$5,1)="A",G350,IF(BT350=1,BU350,IF(LEFT(Cockpit!$I$5,1)="B",AM350,MAX(AM350,G350))))</f>
        <v/>
      </c>
      <c r="AJ350" s="55">
        <f>IF(BO350=1,0,ROUNDUP(AI350/BN350,0))</f>
        <v/>
      </c>
      <c r="AK350" s="64">
        <f>IF(BO350=1,IF(AI350&lt;=0,0,BP350*MAX(1,IF(G350&gt;0,AI350/G350,1))),AJ350*Q350)</f>
        <v/>
      </c>
      <c r="AL350" s="55">
        <f>AI350*F350</f>
        <v/>
      </c>
      <c r="AM350" s="55">
        <f>ROUNDUP(MAX(I350/IF(BS350&gt;0,BS350,MAX(0.1,N(Cockpit!$I$6))),BV350)/BN350,0)*BN350</f>
        <v/>
      </c>
      <c r="AN350" s="56">
        <f>IF(AK350&gt;0,I350/AK350,-1)</f>
        <v/>
      </c>
      <c r="AO350" s="56">
        <f>IF(AND(OR(BR350="L1",BR350="L23"),AK350&gt;0),SUMIFS($AK$7:$AK$1570,$BR$7:$BR$1570,BR350,$AN$7:$AN$1570,"&gt;"&amp;AN350)+SUMIFS($AK$7:$AK$1570,$BR$7:$BR$1570,BR350,$AN$7:$AN$1570,AN350,$BL$7:$BL$1570,"&lt;="&amp;BL350),"")</f>
        <v/>
      </c>
      <c r="AP350" s="65">
        <f>IF(AO350="",0,MAX(0,MIN(1,(IF(BR350="L1",Parameter!$K$5,Parameter!$K$6+Parameter!$K$7)-(AO350-AK350))/AK350)))</f>
        <v/>
      </c>
      <c r="AQ350" s="55">
        <f>IF(LEFT(Cockpit!$O$5,1)="A",G350,IF(BT350=1,BU350,IF(LEFT(Cockpit!$O$5,1)="B",AU350,MAX(AU350,G350))))</f>
        <v/>
      </c>
      <c r="AR350" s="55">
        <f>IF(BO350=1,0,ROUNDUP(AQ350/BN350,0))</f>
        <v/>
      </c>
      <c r="AS350" s="64">
        <f>IF(BO350=1,IF(AQ350&lt;=0,0,BP350*MAX(1,IF(G350&gt;0,AQ350/G350,1))),AR350*Q350)</f>
        <v/>
      </c>
      <c r="AT350" s="55">
        <f>AQ350*F350</f>
        <v/>
      </c>
      <c r="AU350" s="55">
        <f>ROUNDUP(MAX(I350/IF(BS350&gt;0,BS350,MAX(0.1,N(Cockpit!$O$6))),BV350)/BN350,0)*BN350</f>
        <v/>
      </c>
      <c r="AV350" s="56">
        <f>IF(AS350&gt;0,I350/AS350,-1)</f>
        <v/>
      </c>
      <c r="AW350" s="56">
        <f>IF(AND(OR(BR350="L1",BR350="L23"),AS350&gt;0),SUMIFS($AS$7:$AS$1570,$BR$7:$BR$1570,BR350,$AV$7:$AV$1570,"&gt;"&amp;AV350)+SUMIFS($AS$7:$AS$1570,$BR$7:$BR$1570,BR350,$AV$7:$AV$1570,AV350,$BL$7:$BL$1570,"&lt;="&amp;BL350),"")</f>
        <v/>
      </c>
      <c r="AX350" s="65">
        <f>IF(AW350="",0,MAX(0,MIN(1,(IF(BR350="L1",Parameter!$K$5,Parameter!$K$6+Parameter!$K$7)-(AW350-AS350))/AS350)))</f>
        <v/>
      </c>
      <c r="AY350" s="53">
        <f>IF(AC350&lt;=0,"",IF(BR350="Aussen","Aussenlager",IF(BR350="-","Nicht im Lift",IF(AH350&gt;=1,"Lift",IF(AH350&lt;=0,"Aussenlager","teilweise")))))</f>
        <v/>
      </c>
      <c r="AZ350" s="53">
        <f>IF(AK350&lt;=0,"",IF(BR350="Aussen","Aussenlager",IF(BR350="-","Nicht im Lift",IF(AP350&gt;=1,"Lift",IF(AP350&lt;=0,"Aussenlager","teilweise")))))</f>
        <v/>
      </c>
      <c r="BA350" s="53">
        <f>IF(AS350&lt;=0,"",IF(BR350="Aussen","Aussenlager",IF(BR350="-","Nicht im Lift",IF(AX350&gt;=1,"Lift",IF(AX350&lt;=0,"Aussenlager","teilweise")))))</f>
        <v/>
      </c>
      <c r="BB350" s="53">
        <f>IF(A350="","",IF(BK350=1,"Neu; ","")&amp;IF(AND(BK350=0,BF350&lt;0),"negativer Bestand (Export "&amp;BF350&amp;"); ","")&amp;IF(I350&lt;=0,"Kein Verbrauch; ","")&amp;IF(BO350=1,"Lose – Fläche geschätzt; ","")&amp;IF(G350&gt;AM350,"Überbestand "&amp;ROUND(G350-AM350,0)&amp;" Stk / CHF "&amp;ROUND((G350-AM350)*F350,0)&amp;"; ","")&amp;IF(AND(BT350=1,BU350&lt;BV350),"MAX &lt; MB+LG; ","")&amp;IF(AND(BZ350&gt;0,BY350*10&gt;BZ350),"zu hoch für Tablar; ","")&amp;IF(AND(BK350=0,OR(BT350=1,V350&lt;&gt;"",S350&lt;&gt;"",T350&lt;&gt;"",W350&lt;&gt;"")),"manuell übersteuert; ","")&amp;IF(AND(BO350=0,Q350=0),"Gebinde unbekannt; ","")&amp;IF(AND(BO350=0,N(T350)&lt;=0,N(P350)&lt;=0),"Menge pro Gebinde fehlt (Ist = 1 Gebinde); ","")&amp;BJ350)</f>
        <v/>
      </c>
      <c r="BC350" s="53" t="n"/>
      <c r="BD350" s="53" t="n"/>
      <c r="BE350" s="61" t="n"/>
      <c r="BF350" s="55" t="n">
        <v>4</v>
      </c>
      <c r="BG350" s="55" t="n">
        <v>11</v>
      </c>
      <c r="BH350" s="54" t="n">
        <v>178.8399999999999</v>
      </c>
      <c r="BI350" s="55" t="n">
        <v>10</v>
      </c>
      <c r="BJ350" s="53" t="inlineStr"/>
      <c r="BK350" s="58" t="n">
        <v>0</v>
      </c>
      <c r="BL350" s="58" t="n">
        <v>350</v>
      </c>
      <c r="BM350" s="53">
        <f>IF(S350&lt;&gt;"",UPPER(TRIM(S350)),IF(O350="","LOSE",O350))</f>
        <v/>
      </c>
      <c r="BN350" s="55">
        <f>IF(BM350="LOSE",1,IF(N(T350)&gt;0,T350,IF(N(P350)&gt;0,P350,MAX(1,G350))))</f>
        <v/>
      </c>
      <c r="BO350" s="58">
        <f>IF(BM350="LOSE",1,0)</f>
        <v/>
      </c>
      <c r="BP350" s="64">
        <f>IF(BO350=0,0,IF(N(R350)&gt;0,R350,IFERROR(VLOOKUP(D350,Parameter!$A$35:$C$64,3,0)+0,0)))</f>
        <v/>
      </c>
      <c r="BQ350" s="53">
        <f>IF(V350&lt;&gt;"",V350,U350)</f>
        <v/>
      </c>
      <c r="BR350" s="53">
        <f>IF(BQ350=1,"L1",IF(OR(BQ350=2,BQ350=3),"L23",IF(BQ350="Aussen","Aussen","-")))</f>
        <v/>
      </c>
      <c r="BS350" s="66">
        <f>IF(N(W350)&gt;0,W350,0)</f>
        <v/>
      </c>
      <c r="BT350" s="58">
        <f>IF(ISNUMBER(Z350),1,0)</f>
        <v/>
      </c>
      <c r="BU350" s="55">
        <f>N(Z350)</f>
        <v/>
      </c>
      <c r="BV350" s="55">
        <f>N(L350)+N(M350)</f>
        <v/>
      </c>
      <c r="BW350" s="55">
        <f>ROUNDUP(G350/BN350,0)</f>
        <v/>
      </c>
      <c r="BX350" s="55">
        <f>ROUNDUP(BU350/BN350,0)</f>
        <v/>
      </c>
      <c r="BY350" s="58">
        <f>IF(BO350=1,0,IFERROR(VLOOKUP(BM350,'Gebinde-Kategorie'!$A$5:$G$45,5,0)+0,0))</f>
        <v/>
      </c>
      <c r="BZ350" s="58">
        <f>IFERROR(IF(OR(BQ350=1,BQ350=2,BQ350=3),N(INDEX(Parameter!$I$5:$I$7,BQ350)),0),0)</f>
        <v/>
      </c>
    </row>
    <row r="351">
      <c r="A351" s="53" t="inlineStr">
        <is>
          <t>108727</t>
        </is>
      </c>
      <c r="B351" s="53" t="inlineStr">
        <is>
          <t>Schutzdeckel</t>
        </is>
      </c>
      <c r="C351" s="53" t="inlineStr">
        <is>
          <t>F</t>
        </is>
      </c>
      <c r="D351" s="53" t="inlineStr">
        <is>
          <t>KTL</t>
        </is>
      </c>
      <c r="E351" s="53" t="inlineStr">
        <is>
          <t>C</t>
        </is>
      </c>
      <c r="F351" s="54" t="n">
        <v>6.12</v>
      </c>
      <c r="G351" s="55">
        <f>MAX(0,IF(Parameter!$B$20="Jahresanfang 2025 + Export",BG351+BF351,BF351))</f>
        <v/>
      </c>
      <c r="H351" s="55">
        <f>G351*F351</f>
        <v/>
      </c>
      <c r="I351" s="55">
        <f>BI351*Parameter!$B$18</f>
        <v/>
      </c>
      <c r="J351" s="56" t="n">
        <v>142</v>
      </c>
      <c r="K351" s="57" t="n">
        <v>0.07746478873239436</v>
      </c>
      <c r="L351" s="55" t="n">
        <v>1</v>
      </c>
      <c r="M351" s="55" t="n">
        <v>10</v>
      </c>
      <c r="N351" s="58" t="n">
        <v>56</v>
      </c>
      <c r="O351" s="53" t="inlineStr">
        <is>
          <t>S61</t>
        </is>
      </c>
      <c r="P351" s="55" t="n">
        <v>155</v>
      </c>
      <c r="Q351" s="59">
        <f>IF(BO351=1,0,IFERROR(VLOOKUP(BM351,'Gebinde-Kategorie'!$A$5:$G$45,6,0)+0,0))</f>
        <v/>
      </c>
      <c r="R351" s="60" t="n"/>
      <c r="S351" s="61" t="n"/>
      <c r="T351" s="61" t="n"/>
      <c r="U351" s="53">
        <f>IF(A351="","",IF(IFERROR(VLOOKUP(D351,Parameter!$A$35:$C$64,2,0),"Nein")="2+3",IF(ISNUMBER(SEARCH("grosser Artikel",BJ351)),2,IFERROR(VLOOKUP(BM351,Parameter!$F$35:$G$64,2,0),2)),IF(OR(IFERROR(VLOOKUP(D351,Parameter!$A$35:$C$64,2,0),"Nein")="Nein",IFERROR(VLOOKUP(D351,Parameter!$A$35:$C$64,2,0),"Nein")=""),"-",VLOOKUP(D351,Parameter!$A$35:$C$64,2,0))))</f>
        <v/>
      </c>
      <c r="V351" s="61" t="n"/>
      <c r="W351" s="62" t="n"/>
      <c r="X351" s="55">
        <f>AM351</f>
        <v/>
      </c>
      <c r="Y351" s="55">
        <f>MAX(AM351,G351)</f>
        <v/>
      </c>
      <c r="Z351" s="63" t="n"/>
      <c r="AA351" s="55">
        <f>IF(LEFT(Cockpit!$C$5,1)="A",G351,IF(BT351=1,BU351,IF(LEFT(Cockpit!$C$5,1)="B",AE351,MAX(AE351,G351))))</f>
        <v/>
      </c>
      <c r="AB351" s="55">
        <f>IF(BO351=1,0,ROUNDUP(AA351/BN351,0))</f>
        <v/>
      </c>
      <c r="AC351" s="64">
        <f>IF(BO351=1,IF(AA351&lt;=0,0,BP351*MAX(1,IF(G351&gt;0,AA351/G351,1))),AB351*Q351)</f>
        <v/>
      </c>
      <c r="AD351" s="55">
        <f>AA351*F351</f>
        <v/>
      </c>
      <c r="AE351" s="55">
        <f>ROUNDUP(MAX(I351/IF(BS351&gt;0,BS351,MAX(0.1,N(Cockpit!$C$6))),BV351)/BN351,0)*BN351</f>
        <v/>
      </c>
      <c r="AF351" s="56">
        <f>IF(AC351&gt;0,I351/AC351,-1)</f>
        <v/>
      </c>
      <c r="AG351" s="56">
        <f>IF(AND(OR(BR351="L1",BR351="L23"),AC351&gt;0),SUMIFS($AC$7:$AC$1570,$BR$7:$BR$1570,BR351,$AF$7:$AF$1570,"&gt;"&amp;AF351)+SUMIFS($AC$7:$AC$1570,$BR$7:$BR$1570,BR351,$AF$7:$AF$1570,AF351,$BL$7:$BL$1570,"&lt;="&amp;BL351),"")</f>
        <v/>
      </c>
      <c r="AH351" s="65">
        <f>IF(AG351="",0,MAX(0,MIN(1,(IF(BR351="L1",Parameter!$K$5,Parameter!$K$6+Parameter!$K$7)-(AG351-AC351))/AC351)))</f>
        <v/>
      </c>
      <c r="AI351" s="55">
        <f>IF(LEFT(Cockpit!$I$5,1)="A",G351,IF(BT351=1,BU351,IF(LEFT(Cockpit!$I$5,1)="B",AM351,MAX(AM351,G351))))</f>
        <v/>
      </c>
      <c r="AJ351" s="55">
        <f>IF(BO351=1,0,ROUNDUP(AI351/BN351,0))</f>
        <v/>
      </c>
      <c r="AK351" s="64">
        <f>IF(BO351=1,IF(AI351&lt;=0,0,BP351*MAX(1,IF(G351&gt;0,AI351/G351,1))),AJ351*Q351)</f>
        <v/>
      </c>
      <c r="AL351" s="55">
        <f>AI351*F351</f>
        <v/>
      </c>
      <c r="AM351" s="55">
        <f>ROUNDUP(MAX(I351/IF(BS351&gt;0,BS351,MAX(0.1,N(Cockpit!$I$6))),BV351)/BN351,0)*BN351</f>
        <v/>
      </c>
      <c r="AN351" s="56">
        <f>IF(AK351&gt;0,I351/AK351,-1)</f>
        <v/>
      </c>
      <c r="AO351" s="56">
        <f>IF(AND(OR(BR351="L1",BR351="L23"),AK351&gt;0),SUMIFS($AK$7:$AK$1570,$BR$7:$BR$1570,BR351,$AN$7:$AN$1570,"&gt;"&amp;AN351)+SUMIFS($AK$7:$AK$1570,$BR$7:$BR$1570,BR351,$AN$7:$AN$1570,AN351,$BL$7:$BL$1570,"&lt;="&amp;BL351),"")</f>
        <v/>
      </c>
      <c r="AP351" s="65">
        <f>IF(AO351="",0,MAX(0,MIN(1,(IF(BR351="L1",Parameter!$K$5,Parameter!$K$6+Parameter!$K$7)-(AO351-AK351))/AK351)))</f>
        <v/>
      </c>
      <c r="AQ351" s="55">
        <f>IF(LEFT(Cockpit!$O$5,1)="A",G351,IF(BT351=1,BU351,IF(LEFT(Cockpit!$O$5,1)="B",AU351,MAX(AU351,G351))))</f>
        <v/>
      </c>
      <c r="AR351" s="55">
        <f>IF(BO351=1,0,ROUNDUP(AQ351/BN351,0))</f>
        <v/>
      </c>
      <c r="AS351" s="64">
        <f>IF(BO351=1,IF(AQ351&lt;=0,0,BP351*MAX(1,IF(G351&gt;0,AQ351/G351,1))),AR351*Q351)</f>
        <v/>
      </c>
      <c r="AT351" s="55">
        <f>AQ351*F351</f>
        <v/>
      </c>
      <c r="AU351" s="55">
        <f>ROUNDUP(MAX(I351/IF(BS351&gt;0,BS351,MAX(0.1,N(Cockpit!$O$6))),BV351)/BN351,0)*BN351</f>
        <v/>
      </c>
      <c r="AV351" s="56">
        <f>IF(AS351&gt;0,I351/AS351,-1)</f>
        <v/>
      </c>
      <c r="AW351" s="56">
        <f>IF(AND(OR(BR351="L1",BR351="L23"),AS351&gt;0),SUMIFS($AS$7:$AS$1570,$BR$7:$BR$1570,BR351,$AV$7:$AV$1570,"&gt;"&amp;AV351)+SUMIFS($AS$7:$AS$1570,$BR$7:$BR$1570,BR351,$AV$7:$AV$1570,AV351,$BL$7:$BL$1570,"&lt;="&amp;BL351),"")</f>
        <v/>
      </c>
      <c r="AX351" s="65">
        <f>IF(AW351="",0,MAX(0,MIN(1,(IF(BR351="L1",Parameter!$K$5,Parameter!$K$6+Parameter!$K$7)-(AW351-AS351))/AS351)))</f>
        <v/>
      </c>
      <c r="AY351" s="53">
        <f>IF(AC351&lt;=0,"",IF(BR351="Aussen","Aussenlager",IF(BR351="-","Nicht im Lift",IF(AH351&gt;=1,"Lift",IF(AH351&lt;=0,"Aussenlager","teilweise")))))</f>
        <v/>
      </c>
      <c r="AZ351" s="53">
        <f>IF(AK351&lt;=0,"",IF(BR351="Aussen","Aussenlager",IF(BR351="-","Nicht im Lift",IF(AP351&gt;=1,"Lift",IF(AP351&lt;=0,"Aussenlager","teilweise")))))</f>
        <v/>
      </c>
      <c r="BA351" s="53">
        <f>IF(AS351&lt;=0,"",IF(BR351="Aussen","Aussenlager",IF(BR351="-","Nicht im Lift",IF(AX351&gt;=1,"Lift",IF(AX351&lt;=0,"Aussenlager","teilweise")))))</f>
        <v/>
      </c>
      <c r="BB351" s="53">
        <f>IF(A351="","",IF(BK351=1,"Neu; ","")&amp;IF(AND(BK351=0,BF351&lt;0),"negativer Bestand (Export "&amp;BF351&amp;"); ","")&amp;IF(I351&lt;=0,"Kein Verbrauch; ","")&amp;IF(BO351=1,"Lose – Fläche geschätzt; ","")&amp;IF(G351&gt;AM351,"Überbestand "&amp;ROUND(G351-AM351,0)&amp;" Stk / CHF "&amp;ROUND((G351-AM351)*F351,0)&amp;"; ","")&amp;IF(AND(BT351=1,BU351&lt;BV351),"MAX &lt; MB+LG; ","")&amp;IF(AND(BZ351&gt;0,BY351*10&gt;BZ351),"zu hoch für Tablar; ","")&amp;IF(AND(BK351=0,OR(BT351=1,V351&lt;&gt;"",S351&lt;&gt;"",T351&lt;&gt;"",W351&lt;&gt;"")),"manuell übersteuert; ","")&amp;IF(AND(BO351=0,Q351=0),"Gebinde unbekannt; ","")&amp;IF(AND(BO351=0,N(T351)&lt;=0,N(P351)&lt;=0),"Menge pro Gebinde fehlt (Ist = 1 Gebinde); ","")&amp;BJ351)</f>
        <v/>
      </c>
      <c r="BC351" s="53" t="n"/>
      <c r="BD351" s="53" t="n"/>
      <c r="BE351" s="61" t="n"/>
      <c r="BF351" s="55" t="n">
        <v>29</v>
      </c>
      <c r="BG351" s="55" t="n">
        <v>126</v>
      </c>
      <c r="BH351" s="54" t="n">
        <v>177.48</v>
      </c>
      <c r="BI351" s="55" t="n">
        <v>11</v>
      </c>
      <c r="BJ351" s="53" t="inlineStr">
        <is>
          <t>Neuer Art.</t>
        </is>
      </c>
      <c r="BK351" s="58" t="n">
        <v>0</v>
      </c>
      <c r="BL351" s="58" t="n">
        <v>351</v>
      </c>
      <c r="BM351" s="53">
        <f>IF(S351&lt;&gt;"",UPPER(TRIM(S351)),IF(O351="","LOSE",O351))</f>
        <v/>
      </c>
      <c r="BN351" s="55">
        <f>IF(BM351="LOSE",1,IF(N(T351)&gt;0,T351,IF(N(P351)&gt;0,P351,MAX(1,G351))))</f>
        <v/>
      </c>
      <c r="BO351" s="58">
        <f>IF(BM351="LOSE",1,0)</f>
        <v/>
      </c>
      <c r="BP351" s="64">
        <f>IF(BO351=0,0,IF(N(R351)&gt;0,R351,IFERROR(VLOOKUP(D351,Parameter!$A$35:$C$64,3,0)+0,0)))</f>
        <v/>
      </c>
      <c r="BQ351" s="53">
        <f>IF(V351&lt;&gt;"",V351,U351)</f>
        <v/>
      </c>
      <c r="BR351" s="53">
        <f>IF(BQ351=1,"L1",IF(OR(BQ351=2,BQ351=3),"L23",IF(BQ351="Aussen","Aussen","-")))</f>
        <v/>
      </c>
      <c r="BS351" s="66">
        <f>IF(N(W351)&gt;0,W351,0)</f>
        <v/>
      </c>
      <c r="BT351" s="58">
        <f>IF(ISNUMBER(Z351),1,0)</f>
        <v/>
      </c>
      <c r="BU351" s="55">
        <f>N(Z351)</f>
        <v/>
      </c>
      <c r="BV351" s="55">
        <f>N(L351)+N(M351)</f>
        <v/>
      </c>
      <c r="BW351" s="55">
        <f>ROUNDUP(G351/BN351,0)</f>
        <v/>
      </c>
      <c r="BX351" s="55">
        <f>ROUNDUP(BU351/BN351,0)</f>
        <v/>
      </c>
      <c r="BY351" s="58">
        <f>IF(BO351=1,0,IFERROR(VLOOKUP(BM351,'Gebinde-Kategorie'!$A$5:$G$45,5,0)+0,0))</f>
        <v/>
      </c>
      <c r="BZ351" s="58">
        <f>IFERROR(IF(OR(BQ351=1,BQ351=2,BQ351=3),N(INDEX(Parameter!$I$5:$I$7,BQ351)),0),0)</f>
        <v/>
      </c>
    </row>
    <row r="352">
      <c r="A352" s="53" t="inlineStr">
        <is>
          <t>109369</t>
        </is>
      </c>
      <c r="B352" s="53" t="inlineStr">
        <is>
          <t>Adapter</t>
        </is>
      </c>
      <c r="C352" s="53" t="inlineStr">
        <is>
          <t>F</t>
        </is>
      </c>
      <c r="D352" s="53" t="inlineStr">
        <is>
          <t>KTL</t>
        </is>
      </c>
      <c r="E352" s="53" t="inlineStr">
        <is>
          <t>C</t>
        </is>
      </c>
      <c r="F352" s="54" t="n">
        <v>6.79</v>
      </c>
      <c r="G352" s="55">
        <f>MAX(0,IF(Parameter!$B$20="Jahresanfang 2025 + Export",BG352+BF352,BF352))</f>
        <v/>
      </c>
      <c r="H352" s="55">
        <f>G352*F352</f>
        <v/>
      </c>
      <c r="I352" s="55">
        <f>BI352*Parameter!$B$18</f>
        <v/>
      </c>
      <c r="J352" s="56" t="n">
        <v>22</v>
      </c>
      <c r="K352" s="57" t="n">
        <v>0.4090909090909091</v>
      </c>
      <c r="L352" s="55" t="n">
        <v>0</v>
      </c>
      <c r="M352" s="55" t="n">
        <v>10</v>
      </c>
      <c r="N352" s="58" t="n">
        <v>21</v>
      </c>
      <c r="O352" s="53" t="inlineStr">
        <is>
          <t>S32</t>
        </is>
      </c>
      <c r="P352" s="55" t="n">
        <v>60</v>
      </c>
      <c r="Q352" s="59">
        <f>IF(BO352=1,0,IFERROR(VLOOKUP(BM352,'Gebinde-Kategorie'!$A$5:$G$45,6,0)+0,0))</f>
        <v/>
      </c>
      <c r="R352" s="60" t="n"/>
      <c r="S352" s="61" t="n"/>
      <c r="T352" s="61" t="n"/>
      <c r="U352" s="53">
        <f>IF(A352="","",IF(IFERROR(VLOOKUP(D352,Parameter!$A$35:$C$64,2,0),"Nein")="2+3",IF(ISNUMBER(SEARCH("grosser Artikel",BJ352)),2,IFERROR(VLOOKUP(BM352,Parameter!$F$35:$G$64,2,0),2)),IF(OR(IFERROR(VLOOKUP(D352,Parameter!$A$35:$C$64,2,0),"Nein")="Nein",IFERROR(VLOOKUP(D352,Parameter!$A$35:$C$64,2,0),"Nein")=""),"-",VLOOKUP(D352,Parameter!$A$35:$C$64,2,0))))</f>
        <v/>
      </c>
      <c r="V352" s="61" t="n"/>
      <c r="W352" s="62" t="n"/>
      <c r="X352" s="55">
        <f>AM352</f>
        <v/>
      </c>
      <c r="Y352" s="55">
        <f>MAX(AM352,G352)</f>
        <v/>
      </c>
      <c r="Z352" s="63" t="n"/>
      <c r="AA352" s="55">
        <f>IF(LEFT(Cockpit!$C$5,1)="A",G352,IF(BT352=1,BU352,IF(LEFT(Cockpit!$C$5,1)="B",AE352,MAX(AE352,G352))))</f>
        <v/>
      </c>
      <c r="AB352" s="55">
        <f>IF(BO352=1,0,ROUNDUP(AA352/BN352,0))</f>
        <v/>
      </c>
      <c r="AC352" s="64">
        <f>IF(BO352=1,IF(AA352&lt;=0,0,BP352*MAX(1,IF(G352&gt;0,AA352/G352,1))),AB352*Q352)</f>
        <v/>
      </c>
      <c r="AD352" s="55">
        <f>AA352*F352</f>
        <v/>
      </c>
      <c r="AE352" s="55">
        <f>ROUNDUP(MAX(I352/IF(BS352&gt;0,BS352,MAX(0.1,N(Cockpit!$C$6))),BV352)/BN352,0)*BN352</f>
        <v/>
      </c>
      <c r="AF352" s="56">
        <f>IF(AC352&gt;0,I352/AC352,-1)</f>
        <v/>
      </c>
      <c r="AG352" s="56">
        <f>IF(AND(OR(BR352="L1",BR352="L23"),AC352&gt;0),SUMIFS($AC$7:$AC$1570,$BR$7:$BR$1570,BR352,$AF$7:$AF$1570,"&gt;"&amp;AF352)+SUMIFS($AC$7:$AC$1570,$BR$7:$BR$1570,BR352,$AF$7:$AF$1570,AF352,$BL$7:$BL$1570,"&lt;="&amp;BL352),"")</f>
        <v/>
      </c>
      <c r="AH352" s="65">
        <f>IF(AG352="",0,MAX(0,MIN(1,(IF(BR352="L1",Parameter!$K$5,Parameter!$K$6+Parameter!$K$7)-(AG352-AC352))/AC352)))</f>
        <v/>
      </c>
      <c r="AI352" s="55">
        <f>IF(LEFT(Cockpit!$I$5,1)="A",G352,IF(BT352=1,BU352,IF(LEFT(Cockpit!$I$5,1)="B",AM352,MAX(AM352,G352))))</f>
        <v/>
      </c>
      <c r="AJ352" s="55">
        <f>IF(BO352=1,0,ROUNDUP(AI352/BN352,0))</f>
        <v/>
      </c>
      <c r="AK352" s="64">
        <f>IF(BO352=1,IF(AI352&lt;=0,0,BP352*MAX(1,IF(G352&gt;0,AI352/G352,1))),AJ352*Q352)</f>
        <v/>
      </c>
      <c r="AL352" s="55">
        <f>AI352*F352</f>
        <v/>
      </c>
      <c r="AM352" s="55">
        <f>ROUNDUP(MAX(I352/IF(BS352&gt;0,BS352,MAX(0.1,N(Cockpit!$I$6))),BV352)/BN352,0)*BN352</f>
        <v/>
      </c>
      <c r="AN352" s="56">
        <f>IF(AK352&gt;0,I352/AK352,-1)</f>
        <v/>
      </c>
      <c r="AO352" s="56">
        <f>IF(AND(OR(BR352="L1",BR352="L23"),AK352&gt;0),SUMIFS($AK$7:$AK$1570,$BR$7:$BR$1570,BR352,$AN$7:$AN$1570,"&gt;"&amp;AN352)+SUMIFS($AK$7:$AK$1570,$BR$7:$BR$1570,BR352,$AN$7:$AN$1570,AN352,$BL$7:$BL$1570,"&lt;="&amp;BL352),"")</f>
        <v/>
      </c>
      <c r="AP352" s="65">
        <f>IF(AO352="",0,MAX(0,MIN(1,(IF(BR352="L1",Parameter!$K$5,Parameter!$K$6+Parameter!$K$7)-(AO352-AK352))/AK352)))</f>
        <v/>
      </c>
      <c r="AQ352" s="55">
        <f>IF(LEFT(Cockpit!$O$5,1)="A",G352,IF(BT352=1,BU352,IF(LEFT(Cockpit!$O$5,1)="B",AU352,MAX(AU352,G352))))</f>
        <v/>
      </c>
      <c r="AR352" s="55">
        <f>IF(BO352=1,0,ROUNDUP(AQ352/BN352,0))</f>
        <v/>
      </c>
      <c r="AS352" s="64">
        <f>IF(BO352=1,IF(AQ352&lt;=0,0,BP352*MAX(1,IF(G352&gt;0,AQ352/G352,1))),AR352*Q352)</f>
        <v/>
      </c>
      <c r="AT352" s="55">
        <f>AQ352*F352</f>
        <v/>
      </c>
      <c r="AU352" s="55">
        <f>ROUNDUP(MAX(I352/IF(BS352&gt;0,BS352,MAX(0.1,N(Cockpit!$O$6))),BV352)/BN352,0)*BN352</f>
        <v/>
      </c>
      <c r="AV352" s="56">
        <f>IF(AS352&gt;0,I352/AS352,-1)</f>
        <v/>
      </c>
      <c r="AW352" s="56">
        <f>IF(AND(OR(BR352="L1",BR352="L23"),AS352&gt;0),SUMIFS($AS$7:$AS$1570,$BR$7:$BR$1570,BR352,$AV$7:$AV$1570,"&gt;"&amp;AV352)+SUMIFS($AS$7:$AS$1570,$BR$7:$BR$1570,BR352,$AV$7:$AV$1570,AV352,$BL$7:$BL$1570,"&lt;="&amp;BL352),"")</f>
        <v/>
      </c>
      <c r="AX352" s="65">
        <f>IF(AW352="",0,MAX(0,MIN(1,(IF(BR352="L1",Parameter!$K$5,Parameter!$K$6+Parameter!$K$7)-(AW352-AS352))/AS352)))</f>
        <v/>
      </c>
      <c r="AY352" s="53">
        <f>IF(AC352&lt;=0,"",IF(BR352="Aussen","Aussenlager",IF(BR352="-","Nicht im Lift",IF(AH352&gt;=1,"Lift",IF(AH352&lt;=0,"Aussenlager","teilweise")))))</f>
        <v/>
      </c>
      <c r="AZ352" s="53">
        <f>IF(AK352&lt;=0,"",IF(BR352="Aussen","Aussenlager",IF(BR352="-","Nicht im Lift",IF(AP352&gt;=1,"Lift",IF(AP352&lt;=0,"Aussenlager","teilweise")))))</f>
        <v/>
      </c>
      <c r="BA352" s="53">
        <f>IF(AS352&lt;=0,"",IF(BR352="Aussen","Aussenlager",IF(BR352="-","Nicht im Lift",IF(AX352&gt;=1,"Lift",IF(AX352&lt;=0,"Aussenlager","teilweise")))))</f>
        <v/>
      </c>
      <c r="BB352" s="53">
        <f>IF(A352="","",IF(BK352=1,"Neu; ","")&amp;IF(AND(BK352=0,BF352&lt;0),"negativer Bestand (Export "&amp;BF352&amp;"); ","")&amp;IF(I352&lt;=0,"Kein Verbrauch; ","")&amp;IF(BO352=1,"Lose – Fläche geschätzt; ","")&amp;IF(G352&gt;AM352,"Überbestand "&amp;ROUND(G352-AM352,0)&amp;" Stk / CHF "&amp;ROUND((G352-AM352)*F352,0)&amp;"; ","")&amp;IF(AND(BT352=1,BU352&lt;BV352),"MAX &lt; MB+LG; ","")&amp;IF(AND(BZ352&gt;0,BY352*10&gt;BZ352),"zu hoch für Tablar; ","")&amp;IF(AND(BK352=0,OR(BT352=1,V352&lt;&gt;"",S352&lt;&gt;"",T352&lt;&gt;"",W352&lt;&gt;"")),"manuell übersteuert; ","")&amp;IF(AND(BO352=0,Q352=0),"Gebinde unbekannt; ","")&amp;IF(AND(BO352=0,N(T352)&lt;=0,N(P352)&lt;=0),"Menge pro Gebinde fehlt (Ist = 1 Gebinde); ","")&amp;BJ352)</f>
        <v/>
      </c>
      <c r="BC352" s="53" t="n"/>
      <c r="BD352" s="53" t="n"/>
      <c r="BE352" s="61" t="n"/>
      <c r="BF352" s="55" t="n">
        <v>26</v>
      </c>
      <c r="BG352" s="55" t="n">
        <v>17</v>
      </c>
      <c r="BH352" s="54" t="n">
        <v>176.54</v>
      </c>
      <c r="BI352" s="55" t="n">
        <v>9</v>
      </c>
      <c r="BJ352" s="53" t="inlineStr"/>
      <c r="BK352" s="58" t="n">
        <v>0</v>
      </c>
      <c r="BL352" s="58" t="n">
        <v>352</v>
      </c>
      <c r="BM352" s="53">
        <f>IF(S352&lt;&gt;"",UPPER(TRIM(S352)),IF(O352="","LOSE",O352))</f>
        <v/>
      </c>
      <c r="BN352" s="55">
        <f>IF(BM352="LOSE",1,IF(N(T352)&gt;0,T352,IF(N(P352)&gt;0,P352,MAX(1,G352))))</f>
        <v/>
      </c>
      <c r="BO352" s="58">
        <f>IF(BM352="LOSE",1,0)</f>
        <v/>
      </c>
      <c r="BP352" s="64">
        <f>IF(BO352=0,0,IF(N(R352)&gt;0,R352,IFERROR(VLOOKUP(D352,Parameter!$A$35:$C$64,3,0)+0,0)))</f>
        <v/>
      </c>
      <c r="BQ352" s="53">
        <f>IF(V352&lt;&gt;"",V352,U352)</f>
        <v/>
      </c>
      <c r="BR352" s="53">
        <f>IF(BQ352=1,"L1",IF(OR(BQ352=2,BQ352=3),"L23",IF(BQ352="Aussen","Aussen","-")))</f>
        <v/>
      </c>
      <c r="BS352" s="66">
        <f>IF(N(W352)&gt;0,W352,0)</f>
        <v/>
      </c>
      <c r="BT352" s="58">
        <f>IF(ISNUMBER(Z352),1,0)</f>
        <v/>
      </c>
      <c r="BU352" s="55">
        <f>N(Z352)</f>
        <v/>
      </c>
      <c r="BV352" s="55">
        <f>N(L352)+N(M352)</f>
        <v/>
      </c>
      <c r="BW352" s="55">
        <f>ROUNDUP(G352/BN352,0)</f>
        <v/>
      </c>
      <c r="BX352" s="55">
        <f>ROUNDUP(BU352/BN352,0)</f>
        <v/>
      </c>
      <c r="BY352" s="58">
        <f>IF(BO352=1,0,IFERROR(VLOOKUP(BM352,'Gebinde-Kategorie'!$A$5:$G$45,5,0)+0,0))</f>
        <v/>
      </c>
      <c r="BZ352" s="58">
        <f>IFERROR(IF(OR(BQ352=1,BQ352=2,BQ352=3),N(INDEX(Parameter!$I$5:$I$7,BQ352)),0),0)</f>
        <v/>
      </c>
    </row>
    <row r="353">
      <c r="A353" s="53" t="inlineStr">
        <is>
          <t>103439</t>
        </is>
      </c>
      <c r="B353" s="53" t="inlineStr">
        <is>
          <t>Rohr</t>
        </is>
      </c>
      <c r="C353" s="53" t="inlineStr">
        <is>
          <t>F</t>
        </is>
      </c>
      <c r="D353" s="53" t="inlineStr">
        <is>
          <t>KTL</t>
        </is>
      </c>
      <c r="E353" s="53" t="inlineStr">
        <is>
          <t>C</t>
        </is>
      </c>
      <c r="F353" s="54" t="n">
        <v>10.47</v>
      </c>
      <c r="G353" s="55">
        <f>MAX(0,IF(Parameter!$B$20="Jahresanfang 2025 + Export",BG353+BF353,BF353))</f>
        <v/>
      </c>
      <c r="H353" s="55">
        <f>G353*F353</f>
        <v/>
      </c>
      <c r="I353" s="55">
        <f>BI353*Parameter!$B$18</f>
        <v/>
      </c>
      <c r="J353" s="56" t="n">
        <v>18.5</v>
      </c>
      <c r="K353" s="57" t="n">
        <v>0</v>
      </c>
      <c r="L353" s="55" t="n">
        <v>0</v>
      </c>
      <c r="M353" s="55" t="n">
        <v>10</v>
      </c>
      <c r="N353" s="58" t="n">
        <v>21</v>
      </c>
      <c r="O353" s="53" t="inlineStr">
        <is>
          <t>S41</t>
        </is>
      </c>
      <c r="P353" s="55" t="n">
        <v>50</v>
      </c>
      <c r="Q353" s="59">
        <f>IF(BO353=1,0,IFERROR(VLOOKUP(BM353,'Gebinde-Kategorie'!$A$5:$G$45,6,0)+0,0))</f>
        <v/>
      </c>
      <c r="R353" s="60" t="n"/>
      <c r="S353" s="61" t="n"/>
      <c r="T353" s="61" t="n"/>
      <c r="U353" s="53">
        <f>IF(A353="","",IF(IFERROR(VLOOKUP(D353,Parameter!$A$35:$C$64,2,0),"Nein")="2+3",IF(ISNUMBER(SEARCH("grosser Artikel",BJ353)),2,IFERROR(VLOOKUP(BM353,Parameter!$F$35:$G$64,2,0),2)),IF(OR(IFERROR(VLOOKUP(D353,Parameter!$A$35:$C$64,2,0),"Nein")="Nein",IFERROR(VLOOKUP(D353,Parameter!$A$35:$C$64,2,0),"Nein")=""),"-",VLOOKUP(D353,Parameter!$A$35:$C$64,2,0))))</f>
        <v/>
      </c>
      <c r="V353" s="61" t="n"/>
      <c r="W353" s="62" t="n"/>
      <c r="X353" s="55">
        <f>AM353</f>
        <v/>
      </c>
      <c r="Y353" s="55">
        <f>MAX(AM353,G353)</f>
        <v/>
      </c>
      <c r="Z353" s="63" t="n"/>
      <c r="AA353" s="55">
        <f>IF(LEFT(Cockpit!$C$5,1)="A",G353,IF(BT353=1,BU353,IF(LEFT(Cockpit!$C$5,1)="B",AE353,MAX(AE353,G353))))</f>
        <v/>
      </c>
      <c r="AB353" s="55">
        <f>IF(BO353=1,0,ROUNDUP(AA353/BN353,0))</f>
        <v/>
      </c>
      <c r="AC353" s="64">
        <f>IF(BO353=1,IF(AA353&lt;=0,0,BP353*MAX(1,IF(G353&gt;0,AA353/G353,1))),AB353*Q353)</f>
        <v/>
      </c>
      <c r="AD353" s="55">
        <f>AA353*F353</f>
        <v/>
      </c>
      <c r="AE353" s="55">
        <f>ROUNDUP(MAX(I353/IF(BS353&gt;0,BS353,MAX(0.1,N(Cockpit!$C$6))),BV353)/BN353,0)*BN353</f>
        <v/>
      </c>
      <c r="AF353" s="56">
        <f>IF(AC353&gt;0,I353/AC353,-1)</f>
        <v/>
      </c>
      <c r="AG353" s="56">
        <f>IF(AND(OR(BR353="L1",BR353="L23"),AC353&gt;0),SUMIFS($AC$7:$AC$1570,$BR$7:$BR$1570,BR353,$AF$7:$AF$1570,"&gt;"&amp;AF353)+SUMIFS($AC$7:$AC$1570,$BR$7:$BR$1570,BR353,$AF$7:$AF$1570,AF353,$BL$7:$BL$1570,"&lt;="&amp;BL353),"")</f>
        <v/>
      </c>
      <c r="AH353" s="65">
        <f>IF(AG353="",0,MAX(0,MIN(1,(IF(BR353="L1",Parameter!$K$5,Parameter!$K$6+Parameter!$K$7)-(AG353-AC353))/AC353)))</f>
        <v/>
      </c>
      <c r="AI353" s="55">
        <f>IF(LEFT(Cockpit!$I$5,1)="A",G353,IF(BT353=1,BU353,IF(LEFT(Cockpit!$I$5,1)="B",AM353,MAX(AM353,G353))))</f>
        <v/>
      </c>
      <c r="AJ353" s="55">
        <f>IF(BO353=1,0,ROUNDUP(AI353/BN353,0))</f>
        <v/>
      </c>
      <c r="AK353" s="64">
        <f>IF(BO353=1,IF(AI353&lt;=0,0,BP353*MAX(1,IF(G353&gt;0,AI353/G353,1))),AJ353*Q353)</f>
        <v/>
      </c>
      <c r="AL353" s="55">
        <f>AI353*F353</f>
        <v/>
      </c>
      <c r="AM353" s="55">
        <f>ROUNDUP(MAX(I353/IF(BS353&gt;0,BS353,MAX(0.1,N(Cockpit!$I$6))),BV353)/BN353,0)*BN353</f>
        <v/>
      </c>
      <c r="AN353" s="56">
        <f>IF(AK353&gt;0,I353/AK353,-1)</f>
        <v/>
      </c>
      <c r="AO353" s="56">
        <f>IF(AND(OR(BR353="L1",BR353="L23"),AK353&gt;0),SUMIFS($AK$7:$AK$1570,$BR$7:$BR$1570,BR353,$AN$7:$AN$1570,"&gt;"&amp;AN353)+SUMIFS($AK$7:$AK$1570,$BR$7:$BR$1570,BR353,$AN$7:$AN$1570,AN353,$BL$7:$BL$1570,"&lt;="&amp;BL353),"")</f>
        <v/>
      </c>
      <c r="AP353" s="65">
        <f>IF(AO353="",0,MAX(0,MIN(1,(IF(BR353="L1",Parameter!$K$5,Parameter!$K$6+Parameter!$K$7)-(AO353-AK353))/AK353)))</f>
        <v/>
      </c>
      <c r="AQ353" s="55">
        <f>IF(LEFT(Cockpit!$O$5,1)="A",G353,IF(BT353=1,BU353,IF(LEFT(Cockpit!$O$5,1)="B",AU353,MAX(AU353,G353))))</f>
        <v/>
      </c>
      <c r="AR353" s="55">
        <f>IF(BO353=1,0,ROUNDUP(AQ353/BN353,0))</f>
        <v/>
      </c>
      <c r="AS353" s="64">
        <f>IF(BO353=1,IF(AQ353&lt;=0,0,BP353*MAX(1,IF(G353&gt;0,AQ353/G353,1))),AR353*Q353)</f>
        <v/>
      </c>
      <c r="AT353" s="55">
        <f>AQ353*F353</f>
        <v/>
      </c>
      <c r="AU353" s="55">
        <f>ROUNDUP(MAX(I353/IF(BS353&gt;0,BS353,MAX(0.1,N(Cockpit!$O$6))),BV353)/BN353,0)*BN353</f>
        <v/>
      </c>
      <c r="AV353" s="56">
        <f>IF(AS353&gt;0,I353/AS353,-1)</f>
        <v/>
      </c>
      <c r="AW353" s="56">
        <f>IF(AND(OR(BR353="L1",BR353="L23"),AS353&gt;0),SUMIFS($AS$7:$AS$1570,$BR$7:$BR$1570,BR353,$AV$7:$AV$1570,"&gt;"&amp;AV353)+SUMIFS($AS$7:$AS$1570,$BR$7:$BR$1570,BR353,$AV$7:$AV$1570,AV353,$BL$7:$BL$1570,"&lt;="&amp;BL353),"")</f>
        <v/>
      </c>
      <c r="AX353" s="65">
        <f>IF(AW353="",0,MAX(0,MIN(1,(IF(BR353="L1",Parameter!$K$5,Parameter!$K$6+Parameter!$K$7)-(AW353-AS353))/AS353)))</f>
        <v/>
      </c>
      <c r="AY353" s="53">
        <f>IF(AC353&lt;=0,"",IF(BR353="Aussen","Aussenlager",IF(BR353="-","Nicht im Lift",IF(AH353&gt;=1,"Lift",IF(AH353&lt;=0,"Aussenlager","teilweise")))))</f>
        <v/>
      </c>
      <c r="AZ353" s="53">
        <f>IF(AK353&lt;=0,"",IF(BR353="Aussen","Aussenlager",IF(BR353="-","Nicht im Lift",IF(AP353&gt;=1,"Lift",IF(AP353&lt;=0,"Aussenlager","teilweise")))))</f>
        <v/>
      </c>
      <c r="BA353" s="53">
        <f>IF(AS353&lt;=0,"",IF(BR353="Aussen","Aussenlager",IF(BR353="-","Nicht im Lift",IF(AX353&gt;=1,"Lift",IF(AX353&lt;=0,"Aussenlager","teilweise")))))</f>
        <v/>
      </c>
      <c r="BB353" s="53">
        <f>IF(A353="","",IF(BK353=1,"Neu; ","")&amp;IF(AND(BK353=0,BF353&lt;0),"negativer Bestand (Export "&amp;BF353&amp;"); ","")&amp;IF(I353&lt;=0,"Kein Verbrauch; ","")&amp;IF(BO353=1,"Lose – Fläche geschätzt; ","")&amp;IF(G353&gt;AM353,"Überbestand "&amp;ROUND(G353-AM353,0)&amp;" Stk / CHF "&amp;ROUND((G353-AM353)*F353,0)&amp;"; ","")&amp;IF(AND(BT353=1,BU353&lt;BV353),"MAX &lt; MB+LG; ","")&amp;IF(AND(BZ353&gt;0,BY353*10&gt;BZ353),"zu hoch für Tablar; ","")&amp;IF(AND(BK353=0,OR(BT353=1,V353&lt;&gt;"",S353&lt;&gt;"",T353&lt;&gt;"",W353&lt;&gt;"")),"manuell übersteuert; ","")&amp;IF(AND(BO353=0,Q353=0),"Gebinde unbekannt; ","")&amp;IF(AND(BO353=0,N(T353)&lt;=0,N(P353)&lt;=0),"Menge pro Gebinde fehlt (Ist = 1 Gebinde); ","")&amp;BJ353)</f>
        <v/>
      </c>
      <c r="BC353" s="53" t="n"/>
      <c r="BD353" s="53" t="n"/>
      <c r="BE353" s="61" t="n"/>
      <c r="BF353" s="55" t="n">
        <v>15</v>
      </c>
      <c r="BG353" s="55" t="n">
        <v>11</v>
      </c>
      <c r="BH353" s="54" t="n">
        <v>175.2</v>
      </c>
      <c r="BI353" s="55" t="n">
        <v>0</v>
      </c>
      <c r="BJ353" s="53" t="inlineStr"/>
      <c r="BK353" s="58" t="n">
        <v>0</v>
      </c>
      <c r="BL353" s="58" t="n">
        <v>353</v>
      </c>
      <c r="BM353" s="53">
        <f>IF(S353&lt;&gt;"",UPPER(TRIM(S353)),IF(O353="","LOSE",O353))</f>
        <v/>
      </c>
      <c r="BN353" s="55">
        <f>IF(BM353="LOSE",1,IF(N(T353)&gt;0,T353,IF(N(P353)&gt;0,P353,MAX(1,G353))))</f>
        <v/>
      </c>
      <c r="BO353" s="58">
        <f>IF(BM353="LOSE",1,0)</f>
        <v/>
      </c>
      <c r="BP353" s="64">
        <f>IF(BO353=0,0,IF(N(R353)&gt;0,R353,IFERROR(VLOOKUP(D353,Parameter!$A$35:$C$64,3,0)+0,0)))</f>
        <v/>
      </c>
      <c r="BQ353" s="53">
        <f>IF(V353&lt;&gt;"",V353,U353)</f>
        <v/>
      </c>
      <c r="BR353" s="53">
        <f>IF(BQ353=1,"L1",IF(OR(BQ353=2,BQ353=3),"L23",IF(BQ353="Aussen","Aussen","-")))</f>
        <v/>
      </c>
      <c r="BS353" s="66">
        <f>IF(N(W353)&gt;0,W353,0)</f>
        <v/>
      </c>
      <c r="BT353" s="58">
        <f>IF(ISNUMBER(Z353),1,0)</f>
        <v/>
      </c>
      <c r="BU353" s="55">
        <f>N(Z353)</f>
        <v/>
      </c>
      <c r="BV353" s="55">
        <f>N(L353)+N(M353)</f>
        <v/>
      </c>
      <c r="BW353" s="55">
        <f>ROUNDUP(G353/BN353,0)</f>
        <v/>
      </c>
      <c r="BX353" s="55">
        <f>ROUNDUP(BU353/BN353,0)</f>
        <v/>
      </c>
      <c r="BY353" s="58">
        <f>IF(BO353=1,0,IFERROR(VLOOKUP(BM353,'Gebinde-Kategorie'!$A$5:$G$45,5,0)+0,0))</f>
        <v/>
      </c>
      <c r="BZ353" s="58">
        <f>IFERROR(IF(OR(BQ353=1,BQ353=2,BQ353=3),N(INDEX(Parameter!$I$5:$I$7,BQ353)),0),0)</f>
        <v/>
      </c>
    </row>
    <row r="354">
      <c r="A354" s="53" t="inlineStr">
        <is>
          <t>100408</t>
        </is>
      </c>
      <c r="B354" s="53" t="inlineStr">
        <is>
          <t>Konsole</t>
        </is>
      </c>
      <c r="C354" s="53" t="inlineStr">
        <is>
          <t>F</t>
        </is>
      </c>
      <c r="D354" s="53" t="inlineStr">
        <is>
          <t>KTL</t>
        </is>
      </c>
      <c r="E354" s="53" t="inlineStr">
        <is>
          <t>C</t>
        </is>
      </c>
      <c r="F354" s="54" t="n">
        <v>35</v>
      </c>
      <c r="G354" s="55">
        <f>MAX(0,IF(Parameter!$B$20="Jahresanfang 2025 + Export",BG354+BF354,BF354))</f>
        <v/>
      </c>
      <c r="H354" s="55">
        <f>G354*F354</f>
        <v/>
      </c>
      <c r="I354" s="55">
        <f>BI354*Parameter!$B$18</f>
        <v/>
      </c>
      <c r="J354" s="56" t="n">
        <v>2.5</v>
      </c>
      <c r="K354" s="57" t="n">
        <v>0</v>
      </c>
      <c r="L354" s="55" t="n">
        <v>0</v>
      </c>
      <c r="M354" s="55" t="n">
        <v>1</v>
      </c>
      <c r="N354" s="58" t="n">
        <v>28</v>
      </c>
      <c r="O354" s="53" t="inlineStr">
        <is>
          <t>S41</t>
        </is>
      </c>
      <c r="P354" s="55" t="n">
        <v>10</v>
      </c>
      <c r="Q354" s="59">
        <f>IF(BO354=1,0,IFERROR(VLOOKUP(BM354,'Gebinde-Kategorie'!$A$5:$G$45,6,0)+0,0))</f>
        <v/>
      </c>
      <c r="R354" s="60" t="n"/>
      <c r="S354" s="61" t="n"/>
      <c r="T354" s="61" t="n"/>
      <c r="U354" s="53">
        <f>IF(A354="","",IF(IFERROR(VLOOKUP(D354,Parameter!$A$35:$C$64,2,0),"Nein")="2+3",IF(ISNUMBER(SEARCH("grosser Artikel",BJ354)),2,IFERROR(VLOOKUP(BM354,Parameter!$F$35:$G$64,2,0),2)),IF(OR(IFERROR(VLOOKUP(D354,Parameter!$A$35:$C$64,2,0),"Nein")="Nein",IFERROR(VLOOKUP(D354,Parameter!$A$35:$C$64,2,0),"Nein")=""),"-",VLOOKUP(D354,Parameter!$A$35:$C$64,2,0))))</f>
        <v/>
      </c>
      <c r="V354" s="61" t="n"/>
      <c r="W354" s="62" t="n"/>
      <c r="X354" s="55">
        <f>AM354</f>
        <v/>
      </c>
      <c r="Y354" s="55">
        <f>MAX(AM354,G354)</f>
        <v/>
      </c>
      <c r="Z354" s="63" t="n"/>
      <c r="AA354" s="55">
        <f>IF(LEFT(Cockpit!$C$5,1)="A",G354,IF(BT354=1,BU354,IF(LEFT(Cockpit!$C$5,1)="B",AE354,MAX(AE354,G354))))</f>
        <v/>
      </c>
      <c r="AB354" s="55">
        <f>IF(BO354=1,0,ROUNDUP(AA354/BN354,0))</f>
        <v/>
      </c>
      <c r="AC354" s="64">
        <f>IF(BO354=1,IF(AA354&lt;=0,0,BP354*MAX(1,IF(G354&gt;0,AA354/G354,1))),AB354*Q354)</f>
        <v/>
      </c>
      <c r="AD354" s="55">
        <f>AA354*F354</f>
        <v/>
      </c>
      <c r="AE354" s="55">
        <f>ROUNDUP(MAX(I354/IF(BS354&gt;0,BS354,MAX(0.1,N(Cockpit!$C$6))),BV354)/BN354,0)*BN354</f>
        <v/>
      </c>
      <c r="AF354" s="56">
        <f>IF(AC354&gt;0,I354/AC354,-1)</f>
        <v/>
      </c>
      <c r="AG354" s="56">
        <f>IF(AND(OR(BR354="L1",BR354="L23"),AC354&gt;0),SUMIFS($AC$7:$AC$1570,$BR$7:$BR$1570,BR354,$AF$7:$AF$1570,"&gt;"&amp;AF354)+SUMIFS($AC$7:$AC$1570,$BR$7:$BR$1570,BR354,$AF$7:$AF$1570,AF354,$BL$7:$BL$1570,"&lt;="&amp;BL354),"")</f>
        <v/>
      </c>
      <c r="AH354" s="65">
        <f>IF(AG354="",0,MAX(0,MIN(1,(IF(BR354="L1",Parameter!$K$5,Parameter!$K$6+Parameter!$K$7)-(AG354-AC354))/AC354)))</f>
        <v/>
      </c>
      <c r="AI354" s="55">
        <f>IF(LEFT(Cockpit!$I$5,1)="A",G354,IF(BT354=1,BU354,IF(LEFT(Cockpit!$I$5,1)="B",AM354,MAX(AM354,G354))))</f>
        <v/>
      </c>
      <c r="AJ354" s="55">
        <f>IF(BO354=1,0,ROUNDUP(AI354/BN354,0))</f>
        <v/>
      </c>
      <c r="AK354" s="64">
        <f>IF(BO354=1,IF(AI354&lt;=0,0,BP354*MAX(1,IF(G354&gt;0,AI354/G354,1))),AJ354*Q354)</f>
        <v/>
      </c>
      <c r="AL354" s="55">
        <f>AI354*F354</f>
        <v/>
      </c>
      <c r="AM354" s="55">
        <f>ROUNDUP(MAX(I354/IF(BS354&gt;0,BS354,MAX(0.1,N(Cockpit!$I$6))),BV354)/BN354,0)*BN354</f>
        <v/>
      </c>
      <c r="AN354" s="56">
        <f>IF(AK354&gt;0,I354/AK354,-1)</f>
        <v/>
      </c>
      <c r="AO354" s="56">
        <f>IF(AND(OR(BR354="L1",BR354="L23"),AK354&gt;0),SUMIFS($AK$7:$AK$1570,$BR$7:$BR$1570,BR354,$AN$7:$AN$1570,"&gt;"&amp;AN354)+SUMIFS($AK$7:$AK$1570,$BR$7:$BR$1570,BR354,$AN$7:$AN$1570,AN354,$BL$7:$BL$1570,"&lt;="&amp;BL354),"")</f>
        <v/>
      </c>
      <c r="AP354" s="65">
        <f>IF(AO354="",0,MAX(0,MIN(1,(IF(BR354="L1",Parameter!$K$5,Parameter!$K$6+Parameter!$K$7)-(AO354-AK354))/AK354)))</f>
        <v/>
      </c>
      <c r="AQ354" s="55">
        <f>IF(LEFT(Cockpit!$O$5,1)="A",G354,IF(BT354=1,BU354,IF(LEFT(Cockpit!$O$5,1)="B",AU354,MAX(AU354,G354))))</f>
        <v/>
      </c>
      <c r="AR354" s="55">
        <f>IF(BO354=1,0,ROUNDUP(AQ354/BN354,0))</f>
        <v/>
      </c>
      <c r="AS354" s="64">
        <f>IF(BO354=1,IF(AQ354&lt;=0,0,BP354*MAX(1,IF(G354&gt;0,AQ354/G354,1))),AR354*Q354)</f>
        <v/>
      </c>
      <c r="AT354" s="55">
        <f>AQ354*F354</f>
        <v/>
      </c>
      <c r="AU354" s="55">
        <f>ROUNDUP(MAX(I354/IF(BS354&gt;0,BS354,MAX(0.1,N(Cockpit!$O$6))),BV354)/BN354,0)*BN354</f>
        <v/>
      </c>
      <c r="AV354" s="56">
        <f>IF(AS354&gt;0,I354/AS354,-1)</f>
        <v/>
      </c>
      <c r="AW354" s="56">
        <f>IF(AND(OR(BR354="L1",BR354="L23"),AS354&gt;0),SUMIFS($AS$7:$AS$1570,$BR$7:$BR$1570,BR354,$AV$7:$AV$1570,"&gt;"&amp;AV354)+SUMIFS($AS$7:$AS$1570,$BR$7:$BR$1570,BR354,$AV$7:$AV$1570,AV354,$BL$7:$BL$1570,"&lt;="&amp;BL354),"")</f>
        <v/>
      </c>
      <c r="AX354" s="65">
        <f>IF(AW354="",0,MAX(0,MIN(1,(IF(BR354="L1",Parameter!$K$5,Parameter!$K$6+Parameter!$K$7)-(AW354-AS354))/AS354)))</f>
        <v/>
      </c>
      <c r="AY354" s="53">
        <f>IF(AC354&lt;=0,"",IF(BR354="Aussen","Aussenlager",IF(BR354="-","Nicht im Lift",IF(AH354&gt;=1,"Lift",IF(AH354&lt;=0,"Aussenlager","teilweise")))))</f>
        <v/>
      </c>
      <c r="AZ354" s="53">
        <f>IF(AK354&lt;=0,"",IF(BR354="Aussen","Aussenlager",IF(BR354="-","Nicht im Lift",IF(AP354&gt;=1,"Lift",IF(AP354&lt;=0,"Aussenlager","teilweise")))))</f>
        <v/>
      </c>
      <c r="BA354" s="53">
        <f>IF(AS354&lt;=0,"",IF(BR354="Aussen","Aussenlager",IF(BR354="-","Nicht im Lift",IF(AX354&gt;=1,"Lift",IF(AX354&lt;=0,"Aussenlager","teilweise")))))</f>
        <v/>
      </c>
      <c r="BB354" s="53">
        <f>IF(A354="","",IF(BK354=1,"Neu; ","")&amp;IF(AND(BK354=0,BF354&lt;0),"negativer Bestand (Export "&amp;BF354&amp;"); ","")&amp;IF(I354&lt;=0,"Kein Verbrauch; ","")&amp;IF(BO354=1,"Lose – Fläche geschätzt; ","")&amp;IF(G354&gt;AM354,"Überbestand "&amp;ROUND(G354-AM354,0)&amp;" Stk / CHF "&amp;ROUND((G354-AM354)*F354,0)&amp;"; ","")&amp;IF(AND(BT354=1,BU354&lt;BV354),"MAX &lt; MB+LG; ","")&amp;IF(AND(BZ354&gt;0,BY354*10&gt;BZ354),"zu hoch für Tablar; ","")&amp;IF(AND(BK354=0,OR(BT354=1,V354&lt;&gt;"",S354&lt;&gt;"",T354&lt;&gt;"",W354&lt;&gt;"")),"manuell übersteuert; ","")&amp;IF(AND(BO354=0,Q354=0),"Gebinde unbekannt; ","")&amp;IF(AND(BO354=0,N(T354)&lt;=0,N(P354)&lt;=0),"Menge pro Gebinde fehlt (Ist = 1 Gebinde); ","")&amp;BJ354)</f>
        <v/>
      </c>
      <c r="BC354" s="53" t="n"/>
      <c r="BD354" s="53" t="n"/>
      <c r="BE354" s="61" t="n"/>
      <c r="BF354" s="55" t="n">
        <v>5</v>
      </c>
      <c r="BG354" s="55" t="n">
        <v>0</v>
      </c>
      <c r="BH354" s="54" t="n">
        <v>175</v>
      </c>
      <c r="BI354" s="55" t="n">
        <v>0</v>
      </c>
      <c r="BJ354" s="53" t="inlineStr"/>
      <c r="BK354" s="58" t="n">
        <v>0</v>
      </c>
      <c r="BL354" s="58" t="n">
        <v>354</v>
      </c>
      <c r="BM354" s="53">
        <f>IF(S354&lt;&gt;"",UPPER(TRIM(S354)),IF(O354="","LOSE",O354))</f>
        <v/>
      </c>
      <c r="BN354" s="55">
        <f>IF(BM354="LOSE",1,IF(N(T354)&gt;0,T354,IF(N(P354)&gt;0,P354,MAX(1,G354))))</f>
        <v/>
      </c>
      <c r="BO354" s="58">
        <f>IF(BM354="LOSE",1,0)</f>
        <v/>
      </c>
      <c r="BP354" s="64">
        <f>IF(BO354=0,0,IF(N(R354)&gt;0,R354,IFERROR(VLOOKUP(D354,Parameter!$A$35:$C$64,3,0)+0,0)))</f>
        <v/>
      </c>
      <c r="BQ354" s="53">
        <f>IF(V354&lt;&gt;"",V354,U354)</f>
        <v/>
      </c>
      <c r="BR354" s="53">
        <f>IF(BQ354=1,"L1",IF(OR(BQ354=2,BQ354=3),"L23",IF(BQ354="Aussen","Aussen","-")))</f>
        <v/>
      </c>
      <c r="BS354" s="66">
        <f>IF(N(W354)&gt;0,W354,0)</f>
        <v/>
      </c>
      <c r="BT354" s="58">
        <f>IF(ISNUMBER(Z354),1,0)</f>
        <v/>
      </c>
      <c r="BU354" s="55">
        <f>N(Z354)</f>
        <v/>
      </c>
      <c r="BV354" s="55">
        <f>N(L354)+N(M354)</f>
        <v/>
      </c>
      <c r="BW354" s="55">
        <f>ROUNDUP(G354/BN354,0)</f>
        <v/>
      </c>
      <c r="BX354" s="55">
        <f>ROUNDUP(BU354/BN354,0)</f>
        <v/>
      </c>
      <c r="BY354" s="58">
        <f>IF(BO354=1,0,IFERROR(VLOOKUP(BM354,'Gebinde-Kategorie'!$A$5:$G$45,5,0)+0,0))</f>
        <v/>
      </c>
      <c r="BZ354" s="58">
        <f>IFERROR(IF(OR(BQ354=1,BQ354=2,BQ354=3),N(INDEX(Parameter!$I$5:$I$7,BQ354)),0),0)</f>
        <v/>
      </c>
    </row>
    <row r="355">
      <c r="A355" s="53" t="inlineStr">
        <is>
          <t>100789</t>
        </is>
      </c>
      <c r="B355" s="53" t="inlineStr">
        <is>
          <t>Blende</t>
        </is>
      </c>
      <c r="C355" s="53" t="inlineStr">
        <is>
          <t>F</t>
        </is>
      </c>
      <c r="D355" s="53" t="inlineStr">
        <is>
          <t>KTL</t>
        </is>
      </c>
      <c r="E355" s="53" t="inlineStr">
        <is>
          <t>C</t>
        </is>
      </c>
      <c r="F355" s="54" t="n">
        <v>17.2</v>
      </c>
      <c r="G355" s="55">
        <f>MAX(0,IF(Parameter!$B$20="Jahresanfang 2025 + Export",BG355+BF355,BF355))</f>
        <v/>
      </c>
      <c r="H355" s="55">
        <f>G355*F355</f>
        <v/>
      </c>
      <c r="I355" s="55">
        <f>BI355*Parameter!$B$18</f>
        <v/>
      </c>
      <c r="J355" s="56" t="n">
        <v>73</v>
      </c>
      <c r="K355" s="57" t="n">
        <v>0</v>
      </c>
      <c r="L355" s="55" t="n">
        <v>0</v>
      </c>
      <c r="M355" s="55" t="n">
        <v>1</v>
      </c>
      <c r="N355" s="58" t="n">
        <v>35</v>
      </c>
      <c r="O355" s="53" t="inlineStr">
        <is>
          <t>S22</t>
        </is>
      </c>
      <c r="P355" s="55" t="n">
        <v>114</v>
      </c>
      <c r="Q355" s="59">
        <f>IF(BO355=1,0,IFERROR(VLOOKUP(BM355,'Gebinde-Kategorie'!$A$5:$G$45,6,0)+0,0))</f>
        <v/>
      </c>
      <c r="R355" s="60" t="n"/>
      <c r="S355" s="61" t="n"/>
      <c r="T355" s="61" t="n"/>
      <c r="U355" s="53">
        <f>IF(A355="","",IF(IFERROR(VLOOKUP(D355,Parameter!$A$35:$C$64,2,0),"Nein")="2+3",IF(ISNUMBER(SEARCH("grosser Artikel",BJ355)),2,IFERROR(VLOOKUP(BM355,Parameter!$F$35:$G$64,2,0),2)),IF(OR(IFERROR(VLOOKUP(D355,Parameter!$A$35:$C$64,2,0),"Nein")="Nein",IFERROR(VLOOKUP(D355,Parameter!$A$35:$C$64,2,0),"Nein")=""),"-",VLOOKUP(D355,Parameter!$A$35:$C$64,2,0))))</f>
        <v/>
      </c>
      <c r="V355" s="61" t="n"/>
      <c r="W355" s="62" t="n"/>
      <c r="X355" s="55">
        <f>AM355</f>
        <v/>
      </c>
      <c r="Y355" s="55">
        <f>MAX(AM355,G355)</f>
        <v/>
      </c>
      <c r="Z355" s="63" t="n"/>
      <c r="AA355" s="55">
        <f>IF(LEFT(Cockpit!$C$5,1)="A",G355,IF(BT355=1,BU355,IF(LEFT(Cockpit!$C$5,1)="B",AE355,MAX(AE355,G355))))</f>
        <v/>
      </c>
      <c r="AB355" s="55">
        <f>IF(BO355=1,0,ROUNDUP(AA355/BN355,0))</f>
        <v/>
      </c>
      <c r="AC355" s="64">
        <f>IF(BO355=1,IF(AA355&lt;=0,0,BP355*MAX(1,IF(G355&gt;0,AA355/G355,1))),AB355*Q355)</f>
        <v/>
      </c>
      <c r="AD355" s="55">
        <f>AA355*F355</f>
        <v/>
      </c>
      <c r="AE355" s="55">
        <f>ROUNDUP(MAX(I355/IF(BS355&gt;0,BS355,MAX(0.1,N(Cockpit!$C$6))),BV355)/BN355,0)*BN355</f>
        <v/>
      </c>
      <c r="AF355" s="56">
        <f>IF(AC355&gt;0,I355/AC355,-1)</f>
        <v/>
      </c>
      <c r="AG355" s="56">
        <f>IF(AND(OR(BR355="L1",BR355="L23"),AC355&gt;0),SUMIFS($AC$7:$AC$1570,$BR$7:$BR$1570,BR355,$AF$7:$AF$1570,"&gt;"&amp;AF355)+SUMIFS($AC$7:$AC$1570,$BR$7:$BR$1570,BR355,$AF$7:$AF$1570,AF355,$BL$7:$BL$1570,"&lt;="&amp;BL355),"")</f>
        <v/>
      </c>
      <c r="AH355" s="65">
        <f>IF(AG355="",0,MAX(0,MIN(1,(IF(BR355="L1",Parameter!$K$5,Parameter!$K$6+Parameter!$K$7)-(AG355-AC355))/AC355)))</f>
        <v/>
      </c>
      <c r="AI355" s="55">
        <f>IF(LEFT(Cockpit!$I$5,1)="A",G355,IF(BT355=1,BU355,IF(LEFT(Cockpit!$I$5,1)="B",AM355,MAX(AM355,G355))))</f>
        <v/>
      </c>
      <c r="AJ355" s="55">
        <f>IF(BO355=1,0,ROUNDUP(AI355/BN355,0))</f>
        <v/>
      </c>
      <c r="AK355" s="64">
        <f>IF(BO355=1,IF(AI355&lt;=0,0,BP355*MAX(1,IF(G355&gt;0,AI355/G355,1))),AJ355*Q355)</f>
        <v/>
      </c>
      <c r="AL355" s="55">
        <f>AI355*F355</f>
        <v/>
      </c>
      <c r="AM355" s="55">
        <f>ROUNDUP(MAX(I355/IF(BS355&gt;0,BS355,MAX(0.1,N(Cockpit!$I$6))),BV355)/BN355,0)*BN355</f>
        <v/>
      </c>
      <c r="AN355" s="56">
        <f>IF(AK355&gt;0,I355/AK355,-1)</f>
        <v/>
      </c>
      <c r="AO355" s="56">
        <f>IF(AND(OR(BR355="L1",BR355="L23"),AK355&gt;0),SUMIFS($AK$7:$AK$1570,$BR$7:$BR$1570,BR355,$AN$7:$AN$1570,"&gt;"&amp;AN355)+SUMIFS($AK$7:$AK$1570,$BR$7:$BR$1570,BR355,$AN$7:$AN$1570,AN355,$BL$7:$BL$1570,"&lt;="&amp;BL355),"")</f>
        <v/>
      </c>
      <c r="AP355" s="65">
        <f>IF(AO355="",0,MAX(0,MIN(1,(IF(BR355="L1",Parameter!$K$5,Parameter!$K$6+Parameter!$K$7)-(AO355-AK355))/AK355)))</f>
        <v/>
      </c>
      <c r="AQ355" s="55">
        <f>IF(LEFT(Cockpit!$O$5,1)="A",G355,IF(BT355=1,BU355,IF(LEFT(Cockpit!$O$5,1)="B",AU355,MAX(AU355,G355))))</f>
        <v/>
      </c>
      <c r="AR355" s="55">
        <f>IF(BO355=1,0,ROUNDUP(AQ355/BN355,0))</f>
        <v/>
      </c>
      <c r="AS355" s="64">
        <f>IF(BO355=1,IF(AQ355&lt;=0,0,BP355*MAX(1,IF(G355&gt;0,AQ355/G355,1))),AR355*Q355)</f>
        <v/>
      </c>
      <c r="AT355" s="55">
        <f>AQ355*F355</f>
        <v/>
      </c>
      <c r="AU355" s="55">
        <f>ROUNDUP(MAX(I355/IF(BS355&gt;0,BS355,MAX(0.1,N(Cockpit!$O$6))),BV355)/BN355,0)*BN355</f>
        <v/>
      </c>
      <c r="AV355" s="56">
        <f>IF(AS355&gt;0,I355/AS355,-1)</f>
        <v/>
      </c>
      <c r="AW355" s="56">
        <f>IF(AND(OR(BR355="L1",BR355="L23"),AS355&gt;0),SUMIFS($AS$7:$AS$1570,$BR$7:$BR$1570,BR355,$AV$7:$AV$1570,"&gt;"&amp;AV355)+SUMIFS($AS$7:$AS$1570,$BR$7:$BR$1570,BR355,$AV$7:$AV$1570,AV355,$BL$7:$BL$1570,"&lt;="&amp;BL355),"")</f>
        <v/>
      </c>
      <c r="AX355" s="65">
        <f>IF(AW355="",0,MAX(0,MIN(1,(IF(BR355="L1",Parameter!$K$5,Parameter!$K$6+Parameter!$K$7)-(AW355-AS355))/AS355)))</f>
        <v/>
      </c>
      <c r="AY355" s="53">
        <f>IF(AC355&lt;=0,"",IF(BR355="Aussen","Aussenlager",IF(BR355="-","Nicht im Lift",IF(AH355&gt;=1,"Lift",IF(AH355&lt;=0,"Aussenlager","teilweise")))))</f>
        <v/>
      </c>
      <c r="AZ355" s="53">
        <f>IF(AK355&lt;=0,"",IF(BR355="Aussen","Aussenlager",IF(BR355="-","Nicht im Lift",IF(AP355&gt;=1,"Lift",IF(AP355&lt;=0,"Aussenlager","teilweise")))))</f>
        <v/>
      </c>
      <c r="BA355" s="53">
        <f>IF(AS355&lt;=0,"",IF(BR355="Aussen","Aussenlager",IF(BR355="-","Nicht im Lift",IF(AX355&gt;=1,"Lift",IF(AX355&lt;=0,"Aussenlager","teilweise")))))</f>
        <v/>
      </c>
      <c r="BB355" s="53">
        <f>IF(A355="","",IF(BK355=1,"Neu; ","")&amp;IF(AND(BK355=0,BF355&lt;0),"negativer Bestand (Export "&amp;BF355&amp;"); ","")&amp;IF(I355&lt;=0,"Kein Verbrauch; ","")&amp;IF(BO355=1,"Lose – Fläche geschätzt; ","")&amp;IF(G355&gt;AM355,"Überbestand "&amp;ROUND(G355-AM355,0)&amp;" Stk / CHF "&amp;ROUND((G355-AM355)*F355,0)&amp;"; ","")&amp;IF(AND(BT355=1,BU355&lt;BV355),"MAX &lt; MB+LG; ","")&amp;IF(AND(BZ355&gt;0,BY355*10&gt;BZ355),"zu hoch für Tablar; ","")&amp;IF(AND(BK355=0,OR(BT355=1,V355&lt;&gt;"",S355&lt;&gt;"",T355&lt;&gt;"",W355&lt;&gt;"")),"manuell übersteuert; ","")&amp;IF(AND(BO355=0,Q355=0),"Gebinde unbekannt; ","")&amp;IF(AND(BO355=0,N(T355)&lt;=0,N(P355)&lt;=0),"Menge pro Gebinde fehlt (Ist = 1 Gebinde); ","")&amp;BJ355)</f>
        <v/>
      </c>
      <c r="BC355" s="53" t="n"/>
      <c r="BD355" s="53" t="n"/>
      <c r="BE355" s="61" t="n"/>
      <c r="BF355" s="55" t="n">
        <v>10</v>
      </c>
      <c r="BG355" s="55" t="n">
        <v>68</v>
      </c>
      <c r="BH355" s="54" t="n">
        <v>172</v>
      </c>
      <c r="BI355" s="55" t="n">
        <v>0</v>
      </c>
      <c r="BJ355" s="53" t="inlineStr">
        <is>
          <t>Überbestand</t>
        </is>
      </c>
      <c r="BK355" s="58" t="n">
        <v>0</v>
      </c>
      <c r="BL355" s="58" t="n">
        <v>355</v>
      </c>
      <c r="BM355" s="53">
        <f>IF(S355&lt;&gt;"",UPPER(TRIM(S355)),IF(O355="","LOSE",O355))</f>
        <v/>
      </c>
      <c r="BN355" s="55">
        <f>IF(BM355="LOSE",1,IF(N(T355)&gt;0,T355,IF(N(P355)&gt;0,P355,MAX(1,G355))))</f>
        <v/>
      </c>
      <c r="BO355" s="58">
        <f>IF(BM355="LOSE",1,0)</f>
        <v/>
      </c>
      <c r="BP355" s="64">
        <f>IF(BO355=0,0,IF(N(R355)&gt;0,R355,IFERROR(VLOOKUP(D355,Parameter!$A$35:$C$64,3,0)+0,0)))</f>
        <v/>
      </c>
      <c r="BQ355" s="53">
        <f>IF(V355&lt;&gt;"",V355,U355)</f>
        <v/>
      </c>
      <c r="BR355" s="53">
        <f>IF(BQ355=1,"L1",IF(OR(BQ355=2,BQ355=3),"L23",IF(BQ355="Aussen","Aussen","-")))</f>
        <v/>
      </c>
      <c r="BS355" s="66">
        <f>IF(N(W355)&gt;0,W355,0)</f>
        <v/>
      </c>
      <c r="BT355" s="58">
        <f>IF(ISNUMBER(Z355),1,0)</f>
        <v/>
      </c>
      <c r="BU355" s="55">
        <f>N(Z355)</f>
        <v/>
      </c>
      <c r="BV355" s="55">
        <f>N(L355)+N(M355)</f>
        <v/>
      </c>
      <c r="BW355" s="55">
        <f>ROUNDUP(G355/BN355,0)</f>
        <v/>
      </c>
      <c r="BX355" s="55">
        <f>ROUNDUP(BU355/BN355,0)</f>
        <v/>
      </c>
      <c r="BY355" s="58">
        <f>IF(BO355=1,0,IFERROR(VLOOKUP(BM355,'Gebinde-Kategorie'!$A$5:$G$45,5,0)+0,0))</f>
        <v/>
      </c>
      <c r="BZ355" s="58">
        <f>IFERROR(IF(OR(BQ355=1,BQ355=2,BQ355=3),N(INDEX(Parameter!$I$5:$I$7,BQ355)),0),0)</f>
        <v/>
      </c>
    </row>
    <row r="356">
      <c r="A356" s="53" t="inlineStr">
        <is>
          <t>001169</t>
        </is>
      </c>
      <c r="B356" s="53" t="inlineStr">
        <is>
          <t>Handreiniger N-Super</t>
        </is>
      </c>
      <c r="C356" s="53" t="inlineStr">
        <is>
          <t>F</t>
        </is>
      </c>
      <c r="D356" s="53" t="inlineStr">
        <is>
          <t>KTL</t>
        </is>
      </c>
      <c r="E356" s="53" t="inlineStr">
        <is>
          <t>C</t>
        </is>
      </c>
      <c r="F356" s="54" t="n">
        <v>19.05</v>
      </c>
      <c r="G356" s="55">
        <f>MAX(0,IF(Parameter!$B$20="Jahresanfang 2025 + Export",BG356+BF356,BF356))</f>
        <v/>
      </c>
      <c r="H356" s="55">
        <f>G356*F356</f>
        <v/>
      </c>
      <c r="I356" s="55">
        <f>BI356*Parameter!$B$18</f>
        <v/>
      </c>
      <c r="J356" s="56" t="n">
        <v>4.5</v>
      </c>
      <c r="K356" s="57" t="n">
        <v>1.333333333333333</v>
      </c>
      <c r="L356" s="55" t="n">
        <v>0</v>
      </c>
      <c r="M356" s="55" t="n">
        <v>5</v>
      </c>
      <c r="N356" s="58" t="n">
        <v>14</v>
      </c>
      <c r="O356" s="53" t="inlineStr">
        <is>
          <t>LOSE</t>
        </is>
      </c>
      <c r="P356" s="55" t="n"/>
      <c r="Q356" s="59">
        <f>IF(BO356=1,0,IFERROR(VLOOKUP(BM356,'Gebinde-Kategorie'!$A$5:$G$45,6,0)+0,0))</f>
        <v/>
      </c>
      <c r="R356" s="60" t="n"/>
      <c r="S356" s="61" t="n"/>
      <c r="T356" s="61" t="n"/>
      <c r="U356" s="53">
        <f>IF(A356="","",IF(IFERROR(VLOOKUP(D356,Parameter!$A$35:$C$64,2,0),"Nein")="2+3",IF(ISNUMBER(SEARCH("grosser Artikel",BJ356)),2,IFERROR(VLOOKUP(BM356,Parameter!$F$35:$G$64,2,0),2)),IF(OR(IFERROR(VLOOKUP(D356,Parameter!$A$35:$C$64,2,0),"Nein")="Nein",IFERROR(VLOOKUP(D356,Parameter!$A$35:$C$64,2,0),"Nein")=""),"-",VLOOKUP(D356,Parameter!$A$35:$C$64,2,0))))</f>
        <v/>
      </c>
      <c r="V356" s="61" t="n"/>
      <c r="W356" s="62" t="n"/>
      <c r="X356" s="55">
        <f>AM356</f>
        <v/>
      </c>
      <c r="Y356" s="55">
        <f>MAX(AM356,G356)</f>
        <v/>
      </c>
      <c r="Z356" s="63" t="n"/>
      <c r="AA356" s="55">
        <f>IF(LEFT(Cockpit!$C$5,1)="A",G356,IF(BT356=1,BU356,IF(LEFT(Cockpit!$C$5,1)="B",AE356,MAX(AE356,G356))))</f>
        <v/>
      </c>
      <c r="AB356" s="55">
        <f>IF(BO356=1,0,ROUNDUP(AA356/BN356,0))</f>
        <v/>
      </c>
      <c r="AC356" s="64">
        <f>IF(BO356=1,IF(AA356&lt;=0,0,BP356*MAX(1,IF(G356&gt;0,AA356/G356,1))),AB356*Q356)</f>
        <v/>
      </c>
      <c r="AD356" s="55">
        <f>AA356*F356</f>
        <v/>
      </c>
      <c r="AE356" s="55">
        <f>ROUNDUP(MAX(I356/IF(BS356&gt;0,BS356,MAX(0.1,N(Cockpit!$C$6))),BV356)/BN356,0)*BN356</f>
        <v/>
      </c>
      <c r="AF356" s="56">
        <f>IF(AC356&gt;0,I356/AC356,-1)</f>
        <v/>
      </c>
      <c r="AG356" s="56">
        <f>IF(AND(OR(BR356="L1",BR356="L23"),AC356&gt;0),SUMIFS($AC$7:$AC$1570,$BR$7:$BR$1570,BR356,$AF$7:$AF$1570,"&gt;"&amp;AF356)+SUMIFS($AC$7:$AC$1570,$BR$7:$BR$1570,BR356,$AF$7:$AF$1570,AF356,$BL$7:$BL$1570,"&lt;="&amp;BL356),"")</f>
        <v/>
      </c>
      <c r="AH356" s="65">
        <f>IF(AG356="",0,MAX(0,MIN(1,(IF(BR356="L1",Parameter!$K$5,Parameter!$K$6+Parameter!$K$7)-(AG356-AC356))/AC356)))</f>
        <v/>
      </c>
      <c r="AI356" s="55">
        <f>IF(LEFT(Cockpit!$I$5,1)="A",G356,IF(BT356=1,BU356,IF(LEFT(Cockpit!$I$5,1)="B",AM356,MAX(AM356,G356))))</f>
        <v/>
      </c>
      <c r="AJ356" s="55">
        <f>IF(BO356=1,0,ROUNDUP(AI356/BN356,0))</f>
        <v/>
      </c>
      <c r="AK356" s="64">
        <f>IF(BO356=1,IF(AI356&lt;=0,0,BP356*MAX(1,IF(G356&gt;0,AI356/G356,1))),AJ356*Q356)</f>
        <v/>
      </c>
      <c r="AL356" s="55">
        <f>AI356*F356</f>
        <v/>
      </c>
      <c r="AM356" s="55">
        <f>ROUNDUP(MAX(I356/IF(BS356&gt;0,BS356,MAX(0.1,N(Cockpit!$I$6))),BV356)/BN356,0)*BN356</f>
        <v/>
      </c>
      <c r="AN356" s="56">
        <f>IF(AK356&gt;0,I356/AK356,-1)</f>
        <v/>
      </c>
      <c r="AO356" s="56">
        <f>IF(AND(OR(BR356="L1",BR356="L23"),AK356&gt;0),SUMIFS($AK$7:$AK$1570,$BR$7:$BR$1570,BR356,$AN$7:$AN$1570,"&gt;"&amp;AN356)+SUMIFS($AK$7:$AK$1570,$BR$7:$BR$1570,BR356,$AN$7:$AN$1570,AN356,$BL$7:$BL$1570,"&lt;="&amp;BL356),"")</f>
        <v/>
      </c>
      <c r="AP356" s="65">
        <f>IF(AO356="",0,MAX(0,MIN(1,(IF(BR356="L1",Parameter!$K$5,Parameter!$K$6+Parameter!$K$7)-(AO356-AK356))/AK356)))</f>
        <v/>
      </c>
      <c r="AQ356" s="55">
        <f>IF(LEFT(Cockpit!$O$5,1)="A",G356,IF(BT356=1,BU356,IF(LEFT(Cockpit!$O$5,1)="B",AU356,MAX(AU356,G356))))</f>
        <v/>
      </c>
      <c r="AR356" s="55">
        <f>IF(BO356=1,0,ROUNDUP(AQ356/BN356,0))</f>
        <v/>
      </c>
      <c r="AS356" s="64">
        <f>IF(BO356=1,IF(AQ356&lt;=0,0,BP356*MAX(1,IF(G356&gt;0,AQ356/G356,1))),AR356*Q356)</f>
        <v/>
      </c>
      <c r="AT356" s="55">
        <f>AQ356*F356</f>
        <v/>
      </c>
      <c r="AU356" s="55">
        <f>ROUNDUP(MAX(I356/IF(BS356&gt;0,BS356,MAX(0.1,N(Cockpit!$O$6))),BV356)/BN356,0)*BN356</f>
        <v/>
      </c>
      <c r="AV356" s="56">
        <f>IF(AS356&gt;0,I356/AS356,-1)</f>
        <v/>
      </c>
      <c r="AW356" s="56">
        <f>IF(AND(OR(BR356="L1",BR356="L23"),AS356&gt;0),SUMIFS($AS$7:$AS$1570,$BR$7:$BR$1570,BR356,$AV$7:$AV$1570,"&gt;"&amp;AV356)+SUMIFS($AS$7:$AS$1570,$BR$7:$BR$1570,BR356,$AV$7:$AV$1570,AV356,$BL$7:$BL$1570,"&lt;="&amp;BL356),"")</f>
        <v/>
      </c>
      <c r="AX356" s="65">
        <f>IF(AW356="",0,MAX(0,MIN(1,(IF(BR356="L1",Parameter!$K$5,Parameter!$K$6+Parameter!$K$7)-(AW356-AS356))/AS356)))</f>
        <v/>
      </c>
      <c r="AY356" s="53">
        <f>IF(AC356&lt;=0,"",IF(BR356="Aussen","Aussenlager",IF(BR356="-","Nicht im Lift",IF(AH356&gt;=1,"Lift",IF(AH356&lt;=0,"Aussenlager","teilweise")))))</f>
        <v/>
      </c>
      <c r="AZ356" s="53">
        <f>IF(AK356&lt;=0,"",IF(BR356="Aussen","Aussenlager",IF(BR356="-","Nicht im Lift",IF(AP356&gt;=1,"Lift",IF(AP356&lt;=0,"Aussenlager","teilweise")))))</f>
        <v/>
      </c>
      <c r="BA356" s="53">
        <f>IF(AS356&lt;=0,"",IF(BR356="Aussen","Aussenlager",IF(BR356="-","Nicht im Lift",IF(AX356&gt;=1,"Lift",IF(AX356&lt;=0,"Aussenlager","teilweise")))))</f>
        <v/>
      </c>
      <c r="BB356" s="53">
        <f>IF(A356="","",IF(BK356=1,"Neu; ","")&amp;IF(AND(BK356=0,BF356&lt;0),"negativer Bestand (Export "&amp;BF356&amp;"); ","")&amp;IF(I356&lt;=0,"Kein Verbrauch; ","")&amp;IF(BO356=1,"Lose – Fläche geschätzt; ","")&amp;IF(G356&gt;AM356,"Überbestand "&amp;ROUND(G356-AM356,0)&amp;" Stk / CHF "&amp;ROUND((G356-AM356)*F356,0)&amp;"; ","")&amp;IF(AND(BT356=1,BU356&lt;BV356),"MAX &lt; MB+LG; ","")&amp;IF(AND(BZ356&gt;0,BY356*10&gt;BZ356),"zu hoch für Tablar; ","")&amp;IF(AND(BK356=0,OR(BT356=1,V356&lt;&gt;"",S356&lt;&gt;"",T356&lt;&gt;"",W356&lt;&gt;"")),"manuell übersteuert; ","")&amp;IF(AND(BO356=0,Q356=0),"Gebinde unbekannt; ","")&amp;IF(AND(BO356=0,N(T356)&lt;=0,N(P356)&lt;=0),"Menge pro Gebinde fehlt (Ist = 1 Gebinde); ","")&amp;BJ356)</f>
        <v/>
      </c>
      <c r="BC356" s="53" t="n"/>
      <c r="BD356" s="53" t="n"/>
      <c r="BE356" s="61" t="n"/>
      <c r="BF356" s="55" t="n">
        <v>9</v>
      </c>
      <c r="BG356" s="55" t="n">
        <v>0</v>
      </c>
      <c r="BH356" s="54" t="n">
        <v>171.45</v>
      </c>
      <c r="BI356" s="55" t="n">
        <v>6</v>
      </c>
      <c r="BJ356" s="53" t="inlineStr">
        <is>
          <t>nicht im KTL vorhanden</t>
        </is>
      </c>
      <c r="BK356" s="58" t="n">
        <v>0</v>
      </c>
      <c r="BL356" s="58" t="n">
        <v>356</v>
      </c>
      <c r="BM356" s="53">
        <f>IF(S356&lt;&gt;"",UPPER(TRIM(S356)),IF(O356="","LOSE",O356))</f>
        <v/>
      </c>
      <c r="BN356" s="55">
        <f>IF(BM356="LOSE",1,IF(N(T356)&gt;0,T356,IF(N(P356)&gt;0,P356,MAX(1,G356))))</f>
        <v/>
      </c>
      <c r="BO356" s="58">
        <f>IF(BM356="LOSE",1,0)</f>
        <v/>
      </c>
      <c r="BP356" s="64">
        <f>IF(BO356=0,0,IF(N(R356)&gt;0,R356,IFERROR(VLOOKUP(D356,Parameter!$A$35:$C$64,3,0)+0,0)))</f>
        <v/>
      </c>
      <c r="BQ356" s="53">
        <f>IF(V356&lt;&gt;"",V356,U356)</f>
        <v/>
      </c>
      <c r="BR356" s="53">
        <f>IF(BQ356=1,"L1",IF(OR(BQ356=2,BQ356=3),"L23",IF(BQ356="Aussen","Aussen","-")))</f>
        <v/>
      </c>
      <c r="BS356" s="66">
        <f>IF(N(W356)&gt;0,W356,0)</f>
        <v/>
      </c>
      <c r="BT356" s="58">
        <f>IF(ISNUMBER(Z356),1,0)</f>
        <v/>
      </c>
      <c r="BU356" s="55">
        <f>N(Z356)</f>
        <v/>
      </c>
      <c r="BV356" s="55">
        <f>N(L356)+N(M356)</f>
        <v/>
      </c>
      <c r="BW356" s="55">
        <f>ROUNDUP(G356/BN356,0)</f>
        <v/>
      </c>
      <c r="BX356" s="55">
        <f>ROUNDUP(BU356/BN356,0)</f>
        <v/>
      </c>
      <c r="BY356" s="58">
        <f>IF(BO356=1,0,IFERROR(VLOOKUP(BM356,'Gebinde-Kategorie'!$A$5:$G$45,5,0)+0,0))</f>
        <v/>
      </c>
      <c r="BZ356" s="58">
        <f>IFERROR(IF(OR(BQ356=1,BQ356=2,BQ356=3),N(INDEX(Parameter!$I$5:$I$7,BQ356)),0),0)</f>
        <v/>
      </c>
    </row>
    <row r="357">
      <c r="A357" s="53" t="inlineStr">
        <is>
          <t>100415</t>
        </is>
      </c>
      <c r="B357" s="53" t="inlineStr">
        <is>
          <t>Flammschutz</t>
        </is>
      </c>
      <c r="C357" s="53" t="inlineStr">
        <is>
          <t>F</t>
        </is>
      </c>
      <c r="D357" s="53" t="inlineStr">
        <is>
          <t>KTL</t>
        </is>
      </c>
      <c r="E357" s="53" t="inlineStr">
        <is>
          <t>C</t>
        </is>
      </c>
      <c r="F357" s="54" t="n">
        <v>8.039999999999999</v>
      </c>
      <c r="G357" s="55">
        <f>MAX(0,IF(Parameter!$B$20="Jahresanfang 2025 + Export",BG357+BF357,BF357))</f>
        <v/>
      </c>
      <c r="H357" s="55">
        <f>G357*F357</f>
        <v/>
      </c>
      <c r="I357" s="55">
        <f>BI357*Parameter!$B$18</f>
        <v/>
      </c>
      <c r="J357" s="56" t="n">
        <v>128</v>
      </c>
      <c r="K357" s="57" t="n">
        <v>5.25</v>
      </c>
      <c r="L357" s="55" t="n">
        <v>39</v>
      </c>
      <c r="M357" s="55" t="n">
        <v>150</v>
      </c>
      <c r="N357" s="58" t="n">
        <v>21</v>
      </c>
      <c r="O357" s="53" t="inlineStr">
        <is>
          <t>S51</t>
        </is>
      </c>
      <c r="P357" s="55" t="n">
        <v>266</v>
      </c>
      <c r="Q357" s="59">
        <f>IF(BO357=1,0,IFERROR(VLOOKUP(BM357,'Gebinde-Kategorie'!$A$5:$G$45,6,0)+0,0))</f>
        <v/>
      </c>
      <c r="R357" s="60" t="n"/>
      <c r="S357" s="61" t="n"/>
      <c r="T357" s="61" t="n"/>
      <c r="U357" s="53">
        <f>IF(A357="","",IF(IFERROR(VLOOKUP(D357,Parameter!$A$35:$C$64,2,0),"Nein")="2+3",IF(ISNUMBER(SEARCH("grosser Artikel",BJ357)),2,IFERROR(VLOOKUP(BM357,Parameter!$F$35:$G$64,2,0),2)),IF(OR(IFERROR(VLOOKUP(D357,Parameter!$A$35:$C$64,2,0),"Nein")="Nein",IFERROR(VLOOKUP(D357,Parameter!$A$35:$C$64,2,0),"Nein")=""),"-",VLOOKUP(D357,Parameter!$A$35:$C$64,2,0))))</f>
        <v/>
      </c>
      <c r="V357" s="61" t="n"/>
      <c r="W357" s="62" t="n"/>
      <c r="X357" s="55">
        <f>AM357</f>
        <v/>
      </c>
      <c r="Y357" s="55">
        <f>MAX(AM357,G357)</f>
        <v/>
      </c>
      <c r="Z357" s="63" t="n"/>
      <c r="AA357" s="55">
        <f>IF(LEFT(Cockpit!$C$5,1)="A",G357,IF(BT357=1,BU357,IF(LEFT(Cockpit!$C$5,1)="B",AE357,MAX(AE357,G357))))</f>
        <v/>
      </c>
      <c r="AB357" s="55">
        <f>IF(BO357=1,0,ROUNDUP(AA357/BN357,0))</f>
        <v/>
      </c>
      <c r="AC357" s="64">
        <f>IF(BO357=1,IF(AA357&lt;=0,0,BP357*MAX(1,IF(G357&gt;0,AA357/G357,1))),AB357*Q357)</f>
        <v/>
      </c>
      <c r="AD357" s="55">
        <f>AA357*F357</f>
        <v/>
      </c>
      <c r="AE357" s="55">
        <f>ROUNDUP(MAX(I357/IF(BS357&gt;0,BS357,MAX(0.1,N(Cockpit!$C$6))),BV357)/BN357,0)*BN357</f>
        <v/>
      </c>
      <c r="AF357" s="56">
        <f>IF(AC357&gt;0,I357/AC357,-1)</f>
        <v/>
      </c>
      <c r="AG357" s="56">
        <f>IF(AND(OR(BR357="L1",BR357="L23"),AC357&gt;0),SUMIFS($AC$7:$AC$1570,$BR$7:$BR$1570,BR357,$AF$7:$AF$1570,"&gt;"&amp;AF357)+SUMIFS($AC$7:$AC$1570,$BR$7:$BR$1570,BR357,$AF$7:$AF$1570,AF357,$BL$7:$BL$1570,"&lt;="&amp;BL357),"")</f>
        <v/>
      </c>
      <c r="AH357" s="65">
        <f>IF(AG357="",0,MAX(0,MIN(1,(IF(BR357="L1",Parameter!$K$5,Parameter!$K$6+Parameter!$K$7)-(AG357-AC357))/AC357)))</f>
        <v/>
      </c>
      <c r="AI357" s="55">
        <f>IF(LEFT(Cockpit!$I$5,1)="A",G357,IF(BT357=1,BU357,IF(LEFT(Cockpit!$I$5,1)="B",AM357,MAX(AM357,G357))))</f>
        <v/>
      </c>
      <c r="AJ357" s="55">
        <f>IF(BO357=1,0,ROUNDUP(AI357/BN357,0))</f>
        <v/>
      </c>
      <c r="AK357" s="64">
        <f>IF(BO357=1,IF(AI357&lt;=0,0,BP357*MAX(1,IF(G357&gt;0,AI357/G357,1))),AJ357*Q357)</f>
        <v/>
      </c>
      <c r="AL357" s="55">
        <f>AI357*F357</f>
        <v/>
      </c>
      <c r="AM357" s="55">
        <f>ROUNDUP(MAX(I357/IF(BS357&gt;0,BS357,MAX(0.1,N(Cockpit!$I$6))),BV357)/BN357,0)*BN357</f>
        <v/>
      </c>
      <c r="AN357" s="56">
        <f>IF(AK357&gt;0,I357/AK357,-1)</f>
        <v/>
      </c>
      <c r="AO357" s="56">
        <f>IF(AND(OR(BR357="L1",BR357="L23"),AK357&gt;0),SUMIFS($AK$7:$AK$1570,$BR$7:$BR$1570,BR357,$AN$7:$AN$1570,"&gt;"&amp;AN357)+SUMIFS($AK$7:$AK$1570,$BR$7:$BR$1570,BR357,$AN$7:$AN$1570,AN357,$BL$7:$BL$1570,"&lt;="&amp;BL357),"")</f>
        <v/>
      </c>
      <c r="AP357" s="65">
        <f>IF(AO357="",0,MAX(0,MIN(1,(IF(BR357="L1",Parameter!$K$5,Parameter!$K$6+Parameter!$K$7)-(AO357-AK357))/AK357)))</f>
        <v/>
      </c>
      <c r="AQ357" s="55">
        <f>IF(LEFT(Cockpit!$O$5,1)="A",G357,IF(BT357=1,BU357,IF(LEFT(Cockpit!$O$5,1)="B",AU357,MAX(AU357,G357))))</f>
        <v/>
      </c>
      <c r="AR357" s="55">
        <f>IF(BO357=1,0,ROUNDUP(AQ357/BN357,0))</f>
        <v/>
      </c>
      <c r="AS357" s="64">
        <f>IF(BO357=1,IF(AQ357&lt;=0,0,BP357*MAX(1,IF(G357&gt;0,AQ357/G357,1))),AR357*Q357)</f>
        <v/>
      </c>
      <c r="AT357" s="55">
        <f>AQ357*F357</f>
        <v/>
      </c>
      <c r="AU357" s="55">
        <f>ROUNDUP(MAX(I357/IF(BS357&gt;0,BS357,MAX(0.1,N(Cockpit!$O$6))),BV357)/BN357,0)*BN357</f>
        <v/>
      </c>
      <c r="AV357" s="56">
        <f>IF(AS357&gt;0,I357/AS357,-1)</f>
        <v/>
      </c>
      <c r="AW357" s="56">
        <f>IF(AND(OR(BR357="L1",BR357="L23"),AS357&gt;0),SUMIFS($AS$7:$AS$1570,$BR$7:$BR$1570,BR357,$AV$7:$AV$1570,"&gt;"&amp;AV357)+SUMIFS($AS$7:$AS$1570,$BR$7:$BR$1570,BR357,$AV$7:$AV$1570,AV357,$BL$7:$BL$1570,"&lt;="&amp;BL357),"")</f>
        <v/>
      </c>
      <c r="AX357" s="65">
        <f>IF(AW357="",0,MAX(0,MIN(1,(IF(BR357="L1",Parameter!$K$5,Parameter!$K$6+Parameter!$K$7)-(AW357-AS357))/AS357)))</f>
        <v/>
      </c>
      <c r="AY357" s="53">
        <f>IF(AC357&lt;=0,"",IF(BR357="Aussen","Aussenlager",IF(BR357="-","Nicht im Lift",IF(AH357&gt;=1,"Lift",IF(AH357&lt;=0,"Aussenlager","teilweise")))))</f>
        <v/>
      </c>
      <c r="AZ357" s="53">
        <f>IF(AK357&lt;=0,"",IF(BR357="Aussen","Aussenlager",IF(BR357="-","Nicht im Lift",IF(AP357&gt;=1,"Lift",IF(AP357&lt;=0,"Aussenlager","teilweise")))))</f>
        <v/>
      </c>
      <c r="BA357" s="53">
        <f>IF(AS357&lt;=0,"",IF(BR357="Aussen","Aussenlager",IF(BR357="-","Nicht im Lift",IF(AX357&gt;=1,"Lift",IF(AX357&lt;=0,"Aussenlager","teilweise")))))</f>
        <v/>
      </c>
      <c r="BB357" s="53">
        <f>IF(A357="","",IF(BK357=1,"Neu; ","")&amp;IF(AND(BK357=0,BF357&lt;0),"negativer Bestand (Export "&amp;BF357&amp;"); ","")&amp;IF(I357&lt;=0,"Kein Verbrauch; ","")&amp;IF(BO357=1,"Lose – Fläche geschätzt; ","")&amp;IF(G357&gt;AM357,"Überbestand "&amp;ROUND(G357-AM357,0)&amp;" Stk / CHF "&amp;ROUND((G357-AM357)*F357,0)&amp;"; ","")&amp;IF(AND(BT357=1,BU357&lt;BV357),"MAX &lt; MB+LG; ","")&amp;IF(AND(BZ357&gt;0,BY357*10&gt;BZ357),"zu hoch für Tablar; ","")&amp;IF(AND(BK357=0,OR(BT357=1,V357&lt;&gt;"",S357&lt;&gt;"",T357&lt;&gt;"",W357&lt;&gt;"")),"manuell übersteuert; ","")&amp;IF(AND(BO357=0,Q357=0),"Gebinde unbekannt; ","")&amp;IF(AND(BO357=0,N(T357)&lt;=0,N(P357)&lt;=0),"Menge pro Gebinde fehlt (Ist = 1 Gebinde); ","")&amp;BJ357)</f>
        <v/>
      </c>
      <c r="BC357" s="53" t="n"/>
      <c r="BD357" s="53" t="n"/>
      <c r="BE357" s="61" t="n"/>
      <c r="BF357" s="55" t="n">
        <v>25</v>
      </c>
      <c r="BG357" s="55" t="n">
        <v>92</v>
      </c>
      <c r="BH357" s="54" t="n">
        <v>170.5999999999992</v>
      </c>
      <c r="BI357" s="55" t="n">
        <v>672</v>
      </c>
      <c r="BJ357" s="53" t="inlineStr"/>
      <c r="BK357" s="58" t="n">
        <v>0</v>
      </c>
      <c r="BL357" s="58" t="n">
        <v>357</v>
      </c>
      <c r="BM357" s="53">
        <f>IF(S357&lt;&gt;"",UPPER(TRIM(S357)),IF(O357="","LOSE",O357))</f>
        <v/>
      </c>
      <c r="BN357" s="55">
        <f>IF(BM357="LOSE",1,IF(N(T357)&gt;0,T357,IF(N(P357)&gt;0,P357,MAX(1,G357))))</f>
        <v/>
      </c>
      <c r="BO357" s="58">
        <f>IF(BM357="LOSE",1,0)</f>
        <v/>
      </c>
      <c r="BP357" s="64">
        <f>IF(BO357=0,0,IF(N(R357)&gt;0,R357,IFERROR(VLOOKUP(D357,Parameter!$A$35:$C$64,3,0)+0,0)))</f>
        <v/>
      </c>
      <c r="BQ357" s="53">
        <f>IF(V357&lt;&gt;"",V357,U357)</f>
        <v/>
      </c>
      <c r="BR357" s="53">
        <f>IF(BQ357=1,"L1",IF(OR(BQ357=2,BQ357=3),"L23",IF(BQ357="Aussen","Aussen","-")))</f>
        <v/>
      </c>
      <c r="BS357" s="66">
        <f>IF(N(W357)&gt;0,W357,0)</f>
        <v/>
      </c>
      <c r="BT357" s="58">
        <f>IF(ISNUMBER(Z357),1,0)</f>
        <v/>
      </c>
      <c r="BU357" s="55">
        <f>N(Z357)</f>
        <v/>
      </c>
      <c r="BV357" s="55">
        <f>N(L357)+N(M357)</f>
        <v/>
      </c>
      <c r="BW357" s="55">
        <f>ROUNDUP(G357/BN357,0)</f>
        <v/>
      </c>
      <c r="BX357" s="55">
        <f>ROUNDUP(BU357/BN357,0)</f>
        <v/>
      </c>
      <c r="BY357" s="58">
        <f>IF(BO357=1,0,IFERROR(VLOOKUP(BM357,'Gebinde-Kategorie'!$A$5:$G$45,5,0)+0,0))</f>
        <v/>
      </c>
      <c r="BZ357" s="58">
        <f>IFERROR(IF(OR(BQ357=1,BQ357=2,BQ357=3),N(INDEX(Parameter!$I$5:$I$7,BQ357)),0),0)</f>
        <v/>
      </c>
    </row>
    <row r="358">
      <c r="A358" s="53" t="inlineStr">
        <is>
          <t>108041</t>
        </is>
      </c>
      <c r="B358" s="53" t="inlineStr">
        <is>
          <t>Kontakteinsatzmodul 5 polig</t>
        </is>
      </c>
      <c r="C358" s="53" t="inlineStr">
        <is>
          <t>F</t>
        </is>
      </c>
      <c r="D358" s="53" t="inlineStr">
        <is>
          <t>KTL</t>
        </is>
      </c>
      <c r="E358" s="53" t="inlineStr">
        <is>
          <t>C</t>
        </is>
      </c>
      <c r="F358" s="54" t="n">
        <v>5.65</v>
      </c>
      <c r="G358" s="55">
        <f>MAX(0,IF(Parameter!$B$20="Jahresanfang 2025 + Export",BG358+BF358,BF358))</f>
        <v/>
      </c>
      <c r="H358" s="55">
        <f>G358*F358</f>
        <v/>
      </c>
      <c r="I358" s="55">
        <f>BI358*Parameter!$B$18</f>
        <v/>
      </c>
      <c r="J358" s="56" t="n">
        <v>122.5</v>
      </c>
      <c r="K358" s="57" t="n">
        <v>0.1469387755102041</v>
      </c>
      <c r="L358" s="55" t="n">
        <v>3</v>
      </c>
      <c r="M358" s="55" t="n">
        <v>20</v>
      </c>
      <c r="N358" s="58" t="n">
        <v>63</v>
      </c>
      <c r="O358" s="53" t="inlineStr">
        <is>
          <t>S52</t>
        </is>
      </c>
      <c r="P358" s="55" t="n">
        <v>110</v>
      </c>
      <c r="Q358" s="59">
        <f>IF(BO358=1,0,IFERROR(VLOOKUP(BM358,'Gebinde-Kategorie'!$A$5:$G$45,6,0)+0,0))</f>
        <v/>
      </c>
      <c r="R358" s="60" t="n"/>
      <c r="S358" s="61" t="n"/>
      <c r="T358" s="61" t="n"/>
      <c r="U358" s="53">
        <f>IF(A358="","",IF(IFERROR(VLOOKUP(D358,Parameter!$A$35:$C$64,2,0),"Nein")="2+3",IF(ISNUMBER(SEARCH("grosser Artikel",BJ358)),2,IFERROR(VLOOKUP(BM358,Parameter!$F$35:$G$64,2,0),2)),IF(OR(IFERROR(VLOOKUP(D358,Parameter!$A$35:$C$64,2,0),"Nein")="Nein",IFERROR(VLOOKUP(D358,Parameter!$A$35:$C$64,2,0),"Nein")=""),"-",VLOOKUP(D358,Parameter!$A$35:$C$64,2,0))))</f>
        <v/>
      </c>
      <c r="V358" s="61" t="n"/>
      <c r="W358" s="62" t="n"/>
      <c r="X358" s="55">
        <f>AM358</f>
        <v/>
      </c>
      <c r="Y358" s="55">
        <f>MAX(AM358,G358)</f>
        <v/>
      </c>
      <c r="Z358" s="63" t="n"/>
      <c r="AA358" s="55">
        <f>IF(LEFT(Cockpit!$C$5,1)="A",G358,IF(BT358=1,BU358,IF(LEFT(Cockpit!$C$5,1)="B",AE358,MAX(AE358,G358))))</f>
        <v/>
      </c>
      <c r="AB358" s="55">
        <f>IF(BO358=1,0,ROUNDUP(AA358/BN358,0))</f>
        <v/>
      </c>
      <c r="AC358" s="64">
        <f>IF(BO358=1,IF(AA358&lt;=0,0,BP358*MAX(1,IF(G358&gt;0,AA358/G358,1))),AB358*Q358)</f>
        <v/>
      </c>
      <c r="AD358" s="55">
        <f>AA358*F358</f>
        <v/>
      </c>
      <c r="AE358" s="55">
        <f>ROUNDUP(MAX(I358/IF(BS358&gt;0,BS358,MAX(0.1,N(Cockpit!$C$6))),BV358)/BN358,0)*BN358</f>
        <v/>
      </c>
      <c r="AF358" s="56">
        <f>IF(AC358&gt;0,I358/AC358,-1)</f>
        <v/>
      </c>
      <c r="AG358" s="56">
        <f>IF(AND(OR(BR358="L1",BR358="L23"),AC358&gt;0),SUMIFS($AC$7:$AC$1570,$BR$7:$BR$1570,BR358,$AF$7:$AF$1570,"&gt;"&amp;AF358)+SUMIFS($AC$7:$AC$1570,$BR$7:$BR$1570,BR358,$AF$7:$AF$1570,AF358,$BL$7:$BL$1570,"&lt;="&amp;BL358),"")</f>
        <v/>
      </c>
      <c r="AH358" s="65">
        <f>IF(AG358="",0,MAX(0,MIN(1,(IF(BR358="L1",Parameter!$K$5,Parameter!$K$6+Parameter!$K$7)-(AG358-AC358))/AC358)))</f>
        <v/>
      </c>
      <c r="AI358" s="55">
        <f>IF(LEFT(Cockpit!$I$5,1)="A",G358,IF(BT358=1,BU358,IF(LEFT(Cockpit!$I$5,1)="B",AM358,MAX(AM358,G358))))</f>
        <v/>
      </c>
      <c r="AJ358" s="55">
        <f>IF(BO358=1,0,ROUNDUP(AI358/BN358,0))</f>
        <v/>
      </c>
      <c r="AK358" s="64">
        <f>IF(BO358=1,IF(AI358&lt;=0,0,BP358*MAX(1,IF(G358&gt;0,AI358/G358,1))),AJ358*Q358)</f>
        <v/>
      </c>
      <c r="AL358" s="55">
        <f>AI358*F358</f>
        <v/>
      </c>
      <c r="AM358" s="55">
        <f>ROUNDUP(MAX(I358/IF(BS358&gt;0,BS358,MAX(0.1,N(Cockpit!$I$6))),BV358)/BN358,0)*BN358</f>
        <v/>
      </c>
      <c r="AN358" s="56">
        <f>IF(AK358&gt;0,I358/AK358,-1)</f>
        <v/>
      </c>
      <c r="AO358" s="56">
        <f>IF(AND(OR(BR358="L1",BR358="L23"),AK358&gt;0),SUMIFS($AK$7:$AK$1570,$BR$7:$BR$1570,BR358,$AN$7:$AN$1570,"&gt;"&amp;AN358)+SUMIFS($AK$7:$AK$1570,$BR$7:$BR$1570,BR358,$AN$7:$AN$1570,AN358,$BL$7:$BL$1570,"&lt;="&amp;BL358),"")</f>
        <v/>
      </c>
      <c r="AP358" s="65">
        <f>IF(AO358="",0,MAX(0,MIN(1,(IF(BR358="L1",Parameter!$K$5,Parameter!$K$6+Parameter!$K$7)-(AO358-AK358))/AK358)))</f>
        <v/>
      </c>
      <c r="AQ358" s="55">
        <f>IF(LEFT(Cockpit!$O$5,1)="A",G358,IF(BT358=1,BU358,IF(LEFT(Cockpit!$O$5,1)="B",AU358,MAX(AU358,G358))))</f>
        <v/>
      </c>
      <c r="AR358" s="55">
        <f>IF(BO358=1,0,ROUNDUP(AQ358/BN358,0))</f>
        <v/>
      </c>
      <c r="AS358" s="64">
        <f>IF(BO358=1,IF(AQ358&lt;=0,0,BP358*MAX(1,IF(G358&gt;0,AQ358/G358,1))),AR358*Q358)</f>
        <v/>
      </c>
      <c r="AT358" s="55">
        <f>AQ358*F358</f>
        <v/>
      </c>
      <c r="AU358" s="55">
        <f>ROUNDUP(MAX(I358/IF(BS358&gt;0,BS358,MAX(0.1,N(Cockpit!$O$6))),BV358)/BN358,0)*BN358</f>
        <v/>
      </c>
      <c r="AV358" s="56">
        <f>IF(AS358&gt;0,I358/AS358,-1)</f>
        <v/>
      </c>
      <c r="AW358" s="56">
        <f>IF(AND(OR(BR358="L1",BR358="L23"),AS358&gt;0),SUMIFS($AS$7:$AS$1570,$BR$7:$BR$1570,BR358,$AV$7:$AV$1570,"&gt;"&amp;AV358)+SUMIFS($AS$7:$AS$1570,$BR$7:$BR$1570,BR358,$AV$7:$AV$1570,AV358,$BL$7:$BL$1570,"&lt;="&amp;BL358),"")</f>
        <v/>
      </c>
      <c r="AX358" s="65">
        <f>IF(AW358="",0,MAX(0,MIN(1,(IF(BR358="L1",Parameter!$K$5,Parameter!$K$6+Parameter!$K$7)-(AW358-AS358))/AS358)))</f>
        <v/>
      </c>
      <c r="AY358" s="53">
        <f>IF(AC358&lt;=0,"",IF(BR358="Aussen","Aussenlager",IF(BR358="-","Nicht im Lift",IF(AH358&gt;=1,"Lift",IF(AH358&lt;=0,"Aussenlager","teilweise")))))</f>
        <v/>
      </c>
      <c r="AZ358" s="53">
        <f>IF(AK358&lt;=0,"",IF(BR358="Aussen","Aussenlager",IF(BR358="-","Nicht im Lift",IF(AP358&gt;=1,"Lift",IF(AP358&lt;=0,"Aussenlager","teilweise")))))</f>
        <v/>
      </c>
      <c r="BA358" s="53">
        <f>IF(AS358&lt;=0,"",IF(BR358="Aussen","Aussenlager",IF(BR358="-","Nicht im Lift",IF(AX358&gt;=1,"Lift",IF(AX358&lt;=0,"Aussenlager","teilweise")))))</f>
        <v/>
      </c>
      <c r="BB358" s="53">
        <f>IF(A358="","",IF(BK358=1,"Neu; ","")&amp;IF(AND(BK358=0,BF358&lt;0),"negativer Bestand (Export "&amp;BF358&amp;"); ","")&amp;IF(I358&lt;=0,"Kein Verbrauch; ","")&amp;IF(BO358=1,"Lose – Fläche geschätzt; ","")&amp;IF(G358&gt;AM358,"Überbestand "&amp;ROUND(G358-AM358,0)&amp;" Stk / CHF "&amp;ROUND((G358-AM358)*F358,0)&amp;"; ","")&amp;IF(AND(BT358=1,BU358&lt;BV358),"MAX &lt; MB+LG; ","")&amp;IF(AND(BZ358&gt;0,BY358*10&gt;BZ358),"zu hoch für Tablar; ","")&amp;IF(AND(BK358=0,OR(BT358=1,V358&lt;&gt;"",S358&lt;&gt;"",T358&lt;&gt;"",W358&lt;&gt;"")),"manuell übersteuert; ","")&amp;IF(AND(BO358=0,Q358=0),"Gebinde unbekannt; ","")&amp;IF(AND(BO358=0,N(T358)&lt;=0,N(P358)&lt;=0),"Menge pro Gebinde fehlt (Ist = 1 Gebinde); ","")&amp;BJ358)</f>
        <v/>
      </c>
      <c r="BC358" s="53" t="n"/>
      <c r="BD358" s="53" t="n"/>
      <c r="BE358" s="61" t="n"/>
      <c r="BF358" s="55" t="n">
        <v>30</v>
      </c>
      <c r="BG358" s="55" t="n">
        <v>103</v>
      </c>
      <c r="BH358" s="54" t="n">
        <v>169.5</v>
      </c>
      <c r="BI358" s="55" t="n">
        <v>18</v>
      </c>
      <c r="BJ358" s="53" t="inlineStr"/>
      <c r="BK358" s="58" t="n">
        <v>0</v>
      </c>
      <c r="BL358" s="58" t="n">
        <v>358</v>
      </c>
      <c r="BM358" s="53">
        <f>IF(S358&lt;&gt;"",UPPER(TRIM(S358)),IF(O358="","LOSE",O358))</f>
        <v/>
      </c>
      <c r="BN358" s="55">
        <f>IF(BM358="LOSE",1,IF(N(T358)&gt;0,T358,IF(N(P358)&gt;0,P358,MAX(1,G358))))</f>
        <v/>
      </c>
      <c r="BO358" s="58">
        <f>IF(BM358="LOSE",1,0)</f>
        <v/>
      </c>
      <c r="BP358" s="64">
        <f>IF(BO358=0,0,IF(N(R358)&gt;0,R358,IFERROR(VLOOKUP(D358,Parameter!$A$35:$C$64,3,0)+0,0)))</f>
        <v/>
      </c>
      <c r="BQ358" s="53">
        <f>IF(V358&lt;&gt;"",V358,U358)</f>
        <v/>
      </c>
      <c r="BR358" s="53">
        <f>IF(BQ358=1,"L1",IF(OR(BQ358=2,BQ358=3),"L23",IF(BQ358="Aussen","Aussen","-")))</f>
        <v/>
      </c>
      <c r="BS358" s="66">
        <f>IF(N(W358)&gt;0,W358,0)</f>
        <v/>
      </c>
      <c r="BT358" s="58">
        <f>IF(ISNUMBER(Z358),1,0)</f>
        <v/>
      </c>
      <c r="BU358" s="55">
        <f>N(Z358)</f>
        <v/>
      </c>
      <c r="BV358" s="55">
        <f>N(L358)+N(M358)</f>
        <v/>
      </c>
      <c r="BW358" s="55">
        <f>ROUNDUP(G358/BN358,0)</f>
        <v/>
      </c>
      <c r="BX358" s="55">
        <f>ROUNDUP(BU358/BN358,0)</f>
        <v/>
      </c>
      <c r="BY358" s="58">
        <f>IF(BO358=1,0,IFERROR(VLOOKUP(BM358,'Gebinde-Kategorie'!$A$5:$G$45,5,0)+0,0))</f>
        <v/>
      </c>
      <c r="BZ358" s="58">
        <f>IFERROR(IF(OR(BQ358=1,BQ358=2,BQ358=3),N(INDEX(Parameter!$I$5:$I$7,BQ358)),0),0)</f>
        <v/>
      </c>
    </row>
    <row r="359">
      <c r="A359" s="53" t="inlineStr">
        <is>
          <t>106899</t>
        </is>
      </c>
      <c r="B359" s="53" t="inlineStr">
        <is>
          <t>Montagewinkel</t>
        </is>
      </c>
      <c r="C359" s="53" t="inlineStr">
        <is>
          <t>F</t>
        </is>
      </c>
      <c r="D359" s="53" t="inlineStr">
        <is>
          <t>KTL</t>
        </is>
      </c>
      <c r="E359" s="53" t="inlineStr">
        <is>
          <t>C</t>
        </is>
      </c>
      <c r="F359" s="54" t="n">
        <v>11.4</v>
      </c>
      <c r="G359" s="55">
        <f>MAX(0,IF(Parameter!$B$20="Jahresanfang 2025 + Export",BG359+BF359,BF359))</f>
        <v/>
      </c>
      <c r="H359" s="55">
        <f>G359*F359</f>
        <v/>
      </c>
      <c r="I359" s="55">
        <f>BI359*Parameter!$B$18</f>
        <v/>
      </c>
      <c r="J359" s="56" t="n">
        <v>48</v>
      </c>
      <c r="K359" s="57" t="n">
        <v>1.1875</v>
      </c>
      <c r="L359" s="55" t="n">
        <v>4</v>
      </c>
      <c r="M359" s="55" t="n">
        <v>55</v>
      </c>
      <c r="N359" s="58" t="n">
        <v>28</v>
      </c>
      <c r="O359" s="53" t="inlineStr">
        <is>
          <t>S62</t>
        </is>
      </c>
      <c r="P359" s="55" t="n">
        <v>26</v>
      </c>
      <c r="Q359" s="59">
        <f>IF(BO359=1,0,IFERROR(VLOOKUP(BM359,'Gebinde-Kategorie'!$A$5:$G$45,6,0)+0,0))</f>
        <v/>
      </c>
      <c r="R359" s="60" t="n"/>
      <c r="S359" s="61" t="n"/>
      <c r="T359" s="61" t="n"/>
      <c r="U359" s="53">
        <f>IF(A359="","",IF(IFERROR(VLOOKUP(D359,Parameter!$A$35:$C$64,2,0),"Nein")="2+3",IF(ISNUMBER(SEARCH("grosser Artikel",BJ359)),2,IFERROR(VLOOKUP(BM359,Parameter!$F$35:$G$64,2,0),2)),IF(OR(IFERROR(VLOOKUP(D359,Parameter!$A$35:$C$64,2,0),"Nein")="Nein",IFERROR(VLOOKUP(D359,Parameter!$A$35:$C$64,2,0),"Nein")=""),"-",VLOOKUP(D359,Parameter!$A$35:$C$64,2,0))))</f>
        <v/>
      </c>
      <c r="V359" s="61" t="n"/>
      <c r="W359" s="62" t="n"/>
      <c r="X359" s="55">
        <f>AM359</f>
        <v/>
      </c>
      <c r="Y359" s="55">
        <f>MAX(AM359,G359)</f>
        <v/>
      </c>
      <c r="Z359" s="63" t="n"/>
      <c r="AA359" s="55">
        <f>IF(LEFT(Cockpit!$C$5,1)="A",G359,IF(BT359=1,BU359,IF(LEFT(Cockpit!$C$5,1)="B",AE359,MAX(AE359,G359))))</f>
        <v/>
      </c>
      <c r="AB359" s="55">
        <f>IF(BO359=1,0,ROUNDUP(AA359/BN359,0))</f>
        <v/>
      </c>
      <c r="AC359" s="64">
        <f>IF(BO359=1,IF(AA359&lt;=0,0,BP359*MAX(1,IF(G359&gt;0,AA359/G359,1))),AB359*Q359)</f>
        <v/>
      </c>
      <c r="AD359" s="55">
        <f>AA359*F359</f>
        <v/>
      </c>
      <c r="AE359" s="55">
        <f>ROUNDUP(MAX(I359/IF(BS359&gt;0,BS359,MAX(0.1,N(Cockpit!$C$6))),BV359)/BN359,0)*BN359</f>
        <v/>
      </c>
      <c r="AF359" s="56">
        <f>IF(AC359&gt;0,I359/AC359,-1)</f>
        <v/>
      </c>
      <c r="AG359" s="56">
        <f>IF(AND(OR(BR359="L1",BR359="L23"),AC359&gt;0),SUMIFS($AC$7:$AC$1570,$BR$7:$BR$1570,BR359,$AF$7:$AF$1570,"&gt;"&amp;AF359)+SUMIFS($AC$7:$AC$1570,$BR$7:$BR$1570,BR359,$AF$7:$AF$1570,AF359,$BL$7:$BL$1570,"&lt;="&amp;BL359),"")</f>
        <v/>
      </c>
      <c r="AH359" s="65">
        <f>IF(AG359="",0,MAX(0,MIN(1,(IF(BR359="L1",Parameter!$K$5,Parameter!$K$6+Parameter!$K$7)-(AG359-AC359))/AC359)))</f>
        <v/>
      </c>
      <c r="AI359" s="55">
        <f>IF(LEFT(Cockpit!$I$5,1)="A",G359,IF(BT359=1,BU359,IF(LEFT(Cockpit!$I$5,1)="B",AM359,MAX(AM359,G359))))</f>
        <v/>
      </c>
      <c r="AJ359" s="55">
        <f>IF(BO359=1,0,ROUNDUP(AI359/BN359,0))</f>
        <v/>
      </c>
      <c r="AK359" s="64">
        <f>IF(BO359=1,IF(AI359&lt;=0,0,BP359*MAX(1,IF(G359&gt;0,AI359/G359,1))),AJ359*Q359)</f>
        <v/>
      </c>
      <c r="AL359" s="55">
        <f>AI359*F359</f>
        <v/>
      </c>
      <c r="AM359" s="55">
        <f>ROUNDUP(MAX(I359/IF(BS359&gt;0,BS359,MAX(0.1,N(Cockpit!$I$6))),BV359)/BN359,0)*BN359</f>
        <v/>
      </c>
      <c r="AN359" s="56">
        <f>IF(AK359&gt;0,I359/AK359,-1)</f>
        <v/>
      </c>
      <c r="AO359" s="56">
        <f>IF(AND(OR(BR359="L1",BR359="L23"),AK359&gt;0),SUMIFS($AK$7:$AK$1570,$BR$7:$BR$1570,BR359,$AN$7:$AN$1570,"&gt;"&amp;AN359)+SUMIFS($AK$7:$AK$1570,$BR$7:$BR$1570,BR359,$AN$7:$AN$1570,AN359,$BL$7:$BL$1570,"&lt;="&amp;BL359),"")</f>
        <v/>
      </c>
      <c r="AP359" s="65">
        <f>IF(AO359="",0,MAX(0,MIN(1,(IF(BR359="L1",Parameter!$K$5,Parameter!$K$6+Parameter!$K$7)-(AO359-AK359))/AK359)))</f>
        <v/>
      </c>
      <c r="AQ359" s="55">
        <f>IF(LEFT(Cockpit!$O$5,1)="A",G359,IF(BT359=1,BU359,IF(LEFT(Cockpit!$O$5,1)="B",AU359,MAX(AU359,G359))))</f>
        <v/>
      </c>
      <c r="AR359" s="55">
        <f>IF(BO359=1,0,ROUNDUP(AQ359/BN359,0))</f>
        <v/>
      </c>
      <c r="AS359" s="64">
        <f>IF(BO359=1,IF(AQ359&lt;=0,0,BP359*MAX(1,IF(G359&gt;0,AQ359/G359,1))),AR359*Q359)</f>
        <v/>
      </c>
      <c r="AT359" s="55">
        <f>AQ359*F359</f>
        <v/>
      </c>
      <c r="AU359" s="55">
        <f>ROUNDUP(MAX(I359/IF(BS359&gt;0,BS359,MAX(0.1,N(Cockpit!$O$6))),BV359)/BN359,0)*BN359</f>
        <v/>
      </c>
      <c r="AV359" s="56">
        <f>IF(AS359&gt;0,I359/AS359,-1)</f>
        <v/>
      </c>
      <c r="AW359" s="56">
        <f>IF(AND(OR(BR359="L1",BR359="L23"),AS359&gt;0),SUMIFS($AS$7:$AS$1570,$BR$7:$BR$1570,BR359,$AV$7:$AV$1570,"&gt;"&amp;AV359)+SUMIFS($AS$7:$AS$1570,$BR$7:$BR$1570,BR359,$AV$7:$AV$1570,AV359,$BL$7:$BL$1570,"&lt;="&amp;BL359),"")</f>
        <v/>
      </c>
      <c r="AX359" s="65">
        <f>IF(AW359="",0,MAX(0,MIN(1,(IF(BR359="L1",Parameter!$K$5,Parameter!$K$6+Parameter!$K$7)-(AW359-AS359))/AS359)))</f>
        <v/>
      </c>
      <c r="AY359" s="53">
        <f>IF(AC359&lt;=0,"",IF(BR359="Aussen","Aussenlager",IF(BR359="-","Nicht im Lift",IF(AH359&gt;=1,"Lift",IF(AH359&lt;=0,"Aussenlager","teilweise")))))</f>
        <v/>
      </c>
      <c r="AZ359" s="53">
        <f>IF(AK359&lt;=0,"",IF(BR359="Aussen","Aussenlager",IF(BR359="-","Nicht im Lift",IF(AP359&gt;=1,"Lift",IF(AP359&lt;=0,"Aussenlager","teilweise")))))</f>
        <v/>
      </c>
      <c r="BA359" s="53">
        <f>IF(AS359&lt;=0,"",IF(BR359="Aussen","Aussenlager",IF(BR359="-","Nicht im Lift",IF(AX359&gt;=1,"Lift",IF(AX359&lt;=0,"Aussenlager","teilweise")))))</f>
        <v/>
      </c>
      <c r="BB359" s="53">
        <f>IF(A359="","",IF(BK359=1,"Neu; ","")&amp;IF(AND(BK359=0,BF359&lt;0),"negativer Bestand (Export "&amp;BF359&amp;"); ","")&amp;IF(I359&lt;=0,"Kein Verbrauch; ","")&amp;IF(BO359=1,"Lose – Fläche geschätzt; ","")&amp;IF(G359&gt;AM359,"Überbestand "&amp;ROUND(G359-AM359,0)&amp;" Stk / CHF "&amp;ROUND((G359-AM359)*F359,0)&amp;"; ","")&amp;IF(AND(BT359=1,BU359&lt;BV359),"MAX &lt; MB+LG; ","")&amp;IF(AND(BZ359&gt;0,BY359*10&gt;BZ359),"zu hoch für Tablar; ","")&amp;IF(AND(BK359=0,OR(BT359=1,V359&lt;&gt;"",S359&lt;&gt;"",T359&lt;&gt;"",W359&lt;&gt;"")),"manuell übersteuert; ","")&amp;IF(AND(BO359=0,Q359=0),"Gebinde unbekannt; ","")&amp;IF(AND(BO359=0,N(T359)&lt;=0,N(P359)&lt;=0),"Menge pro Gebinde fehlt (Ist = 1 Gebinde); ","")&amp;BJ359)</f>
        <v/>
      </c>
      <c r="BC359" s="53" t="n"/>
      <c r="BD359" s="53" t="n"/>
      <c r="BE359" s="61" t="n"/>
      <c r="BF359" s="55" t="n">
        <v>14</v>
      </c>
      <c r="BG359" s="55" t="n">
        <v>35</v>
      </c>
      <c r="BH359" s="54" t="n">
        <v>168.3500000000001</v>
      </c>
      <c r="BI359" s="55" t="n">
        <v>57</v>
      </c>
      <c r="BJ359" s="53" t="inlineStr"/>
      <c r="BK359" s="58" t="n">
        <v>0</v>
      </c>
      <c r="BL359" s="58" t="n">
        <v>359</v>
      </c>
      <c r="BM359" s="53">
        <f>IF(S359&lt;&gt;"",UPPER(TRIM(S359)),IF(O359="","LOSE",O359))</f>
        <v/>
      </c>
      <c r="BN359" s="55">
        <f>IF(BM359="LOSE",1,IF(N(T359)&gt;0,T359,IF(N(P359)&gt;0,P359,MAX(1,G359))))</f>
        <v/>
      </c>
      <c r="BO359" s="58">
        <f>IF(BM359="LOSE",1,0)</f>
        <v/>
      </c>
      <c r="BP359" s="64">
        <f>IF(BO359=0,0,IF(N(R359)&gt;0,R359,IFERROR(VLOOKUP(D359,Parameter!$A$35:$C$64,3,0)+0,0)))</f>
        <v/>
      </c>
      <c r="BQ359" s="53">
        <f>IF(V359&lt;&gt;"",V359,U359)</f>
        <v/>
      </c>
      <c r="BR359" s="53">
        <f>IF(BQ359=1,"L1",IF(OR(BQ359=2,BQ359=3),"L23",IF(BQ359="Aussen","Aussen","-")))</f>
        <v/>
      </c>
      <c r="BS359" s="66">
        <f>IF(N(W359)&gt;0,W359,0)</f>
        <v/>
      </c>
      <c r="BT359" s="58">
        <f>IF(ISNUMBER(Z359),1,0)</f>
        <v/>
      </c>
      <c r="BU359" s="55">
        <f>N(Z359)</f>
        <v/>
      </c>
      <c r="BV359" s="55">
        <f>N(L359)+N(M359)</f>
        <v/>
      </c>
      <c r="BW359" s="55">
        <f>ROUNDUP(G359/BN359,0)</f>
        <v/>
      </c>
      <c r="BX359" s="55">
        <f>ROUNDUP(BU359/BN359,0)</f>
        <v/>
      </c>
      <c r="BY359" s="58">
        <f>IF(BO359=1,0,IFERROR(VLOOKUP(BM359,'Gebinde-Kategorie'!$A$5:$G$45,5,0)+0,0))</f>
        <v/>
      </c>
      <c r="BZ359" s="58">
        <f>IFERROR(IF(OR(BQ359=1,BQ359=2,BQ359=3),N(INDEX(Parameter!$I$5:$I$7,BQ359)),0),0)</f>
        <v/>
      </c>
    </row>
    <row r="360">
      <c r="A360" s="53" t="inlineStr">
        <is>
          <t>100148</t>
        </is>
      </c>
      <c r="B360" s="53" t="inlineStr">
        <is>
          <t>O-Ring</t>
        </is>
      </c>
      <c r="C360" s="53" t="inlineStr">
        <is>
          <t>F</t>
        </is>
      </c>
      <c r="D360" s="53" t="inlineStr">
        <is>
          <t>KTL</t>
        </is>
      </c>
      <c r="E360" s="53" t="inlineStr">
        <is>
          <t>C</t>
        </is>
      </c>
      <c r="F360" s="54" t="n">
        <v>0.28</v>
      </c>
      <c r="G360" s="55">
        <f>MAX(0,IF(Parameter!$B$20="Jahresanfang 2025 + Export",BG360+BF360,BF360))</f>
        <v/>
      </c>
      <c r="H360" s="55">
        <f>G360*F360</f>
        <v/>
      </c>
      <c r="I360" s="55">
        <f>BI360*Parameter!$B$18</f>
        <v/>
      </c>
      <c r="J360" s="56" t="n">
        <v>530</v>
      </c>
      <c r="K360" s="57" t="n">
        <v>2.324528301886792</v>
      </c>
      <c r="L360" s="55" t="n">
        <v>47</v>
      </c>
      <c r="M360" s="55" t="n">
        <v>1235</v>
      </c>
      <c r="N360" s="58" t="n">
        <v>14</v>
      </c>
      <c r="O360" s="53" t="inlineStr">
        <is>
          <t>S41</t>
        </is>
      </c>
      <c r="P360" s="55" t="n">
        <v>534</v>
      </c>
      <c r="Q360" s="59">
        <f>IF(BO360=1,0,IFERROR(VLOOKUP(BM360,'Gebinde-Kategorie'!$A$5:$G$45,6,0)+0,0))</f>
        <v/>
      </c>
      <c r="R360" s="60" t="n"/>
      <c r="S360" s="61" t="n"/>
      <c r="T360" s="61" t="n"/>
      <c r="U360" s="53">
        <f>IF(A360="","",IF(IFERROR(VLOOKUP(D360,Parameter!$A$35:$C$64,2,0),"Nein")="2+3",IF(ISNUMBER(SEARCH("grosser Artikel",BJ360)),2,IFERROR(VLOOKUP(BM360,Parameter!$F$35:$G$64,2,0),2)),IF(OR(IFERROR(VLOOKUP(D360,Parameter!$A$35:$C$64,2,0),"Nein")="Nein",IFERROR(VLOOKUP(D360,Parameter!$A$35:$C$64,2,0),"Nein")=""),"-",VLOOKUP(D360,Parameter!$A$35:$C$64,2,0))))</f>
        <v/>
      </c>
      <c r="V360" s="61" t="n"/>
      <c r="W360" s="62" t="n"/>
      <c r="X360" s="55">
        <f>AM360</f>
        <v/>
      </c>
      <c r="Y360" s="55">
        <f>MAX(AM360,G360)</f>
        <v/>
      </c>
      <c r="Z360" s="63" t="n"/>
      <c r="AA360" s="55">
        <f>IF(LEFT(Cockpit!$C$5,1)="A",G360,IF(BT360=1,BU360,IF(LEFT(Cockpit!$C$5,1)="B",AE360,MAX(AE360,G360))))</f>
        <v/>
      </c>
      <c r="AB360" s="55">
        <f>IF(BO360=1,0,ROUNDUP(AA360/BN360,0))</f>
        <v/>
      </c>
      <c r="AC360" s="64">
        <f>IF(BO360=1,IF(AA360&lt;=0,0,BP360*MAX(1,IF(G360&gt;0,AA360/G360,1))),AB360*Q360)</f>
        <v/>
      </c>
      <c r="AD360" s="55">
        <f>AA360*F360</f>
        <v/>
      </c>
      <c r="AE360" s="55">
        <f>ROUNDUP(MAX(I360/IF(BS360&gt;0,BS360,MAX(0.1,N(Cockpit!$C$6))),BV360)/BN360,0)*BN360</f>
        <v/>
      </c>
      <c r="AF360" s="56">
        <f>IF(AC360&gt;0,I360/AC360,-1)</f>
        <v/>
      </c>
      <c r="AG360" s="56">
        <f>IF(AND(OR(BR360="L1",BR360="L23"),AC360&gt;0),SUMIFS($AC$7:$AC$1570,$BR$7:$BR$1570,BR360,$AF$7:$AF$1570,"&gt;"&amp;AF360)+SUMIFS($AC$7:$AC$1570,$BR$7:$BR$1570,BR360,$AF$7:$AF$1570,AF360,$BL$7:$BL$1570,"&lt;="&amp;BL360),"")</f>
        <v/>
      </c>
      <c r="AH360" s="65">
        <f>IF(AG360="",0,MAX(0,MIN(1,(IF(BR360="L1",Parameter!$K$5,Parameter!$K$6+Parameter!$K$7)-(AG360-AC360))/AC360)))</f>
        <v/>
      </c>
      <c r="AI360" s="55">
        <f>IF(LEFT(Cockpit!$I$5,1)="A",G360,IF(BT360=1,BU360,IF(LEFT(Cockpit!$I$5,1)="B",AM360,MAX(AM360,G360))))</f>
        <v/>
      </c>
      <c r="AJ360" s="55">
        <f>IF(BO360=1,0,ROUNDUP(AI360/BN360,0))</f>
        <v/>
      </c>
      <c r="AK360" s="64">
        <f>IF(BO360=1,IF(AI360&lt;=0,0,BP360*MAX(1,IF(G360&gt;0,AI360/G360,1))),AJ360*Q360)</f>
        <v/>
      </c>
      <c r="AL360" s="55">
        <f>AI360*F360</f>
        <v/>
      </c>
      <c r="AM360" s="55">
        <f>ROUNDUP(MAX(I360/IF(BS360&gt;0,BS360,MAX(0.1,N(Cockpit!$I$6))),BV360)/BN360,0)*BN360</f>
        <v/>
      </c>
      <c r="AN360" s="56">
        <f>IF(AK360&gt;0,I360/AK360,-1)</f>
        <v/>
      </c>
      <c r="AO360" s="56">
        <f>IF(AND(OR(BR360="L1",BR360="L23"),AK360&gt;0),SUMIFS($AK$7:$AK$1570,$BR$7:$BR$1570,BR360,$AN$7:$AN$1570,"&gt;"&amp;AN360)+SUMIFS($AK$7:$AK$1570,$BR$7:$BR$1570,BR360,$AN$7:$AN$1570,AN360,$BL$7:$BL$1570,"&lt;="&amp;BL360),"")</f>
        <v/>
      </c>
      <c r="AP360" s="65">
        <f>IF(AO360="",0,MAX(0,MIN(1,(IF(BR360="L1",Parameter!$K$5,Parameter!$K$6+Parameter!$K$7)-(AO360-AK360))/AK360)))</f>
        <v/>
      </c>
      <c r="AQ360" s="55">
        <f>IF(LEFT(Cockpit!$O$5,1)="A",G360,IF(BT360=1,BU360,IF(LEFT(Cockpit!$O$5,1)="B",AU360,MAX(AU360,G360))))</f>
        <v/>
      </c>
      <c r="AR360" s="55">
        <f>IF(BO360=1,0,ROUNDUP(AQ360/BN360,0))</f>
        <v/>
      </c>
      <c r="AS360" s="64">
        <f>IF(BO360=1,IF(AQ360&lt;=0,0,BP360*MAX(1,IF(G360&gt;0,AQ360/G360,1))),AR360*Q360)</f>
        <v/>
      </c>
      <c r="AT360" s="55">
        <f>AQ360*F360</f>
        <v/>
      </c>
      <c r="AU360" s="55">
        <f>ROUNDUP(MAX(I360/IF(BS360&gt;0,BS360,MAX(0.1,N(Cockpit!$O$6))),BV360)/BN360,0)*BN360</f>
        <v/>
      </c>
      <c r="AV360" s="56">
        <f>IF(AS360&gt;0,I360/AS360,-1)</f>
        <v/>
      </c>
      <c r="AW360" s="56">
        <f>IF(AND(OR(BR360="L1",BR360="L23"),AS360&gt;0),SUMIFS($AS$7:$AS$1570,$BR$7:$BR$1570,BR360,$AV$7:$AV$1570,"&gt;"&amp;AV360)+SUMIFS($AS$7:$AS$1570,$BR$7:$BR$1570,BR360,$AV$7:$AV$1570,AV360,$BL$7:$BL$1570,"&lt;="&amp;BL360),"")</f>
        <v/>
      </c>
      <c r="AX360" s="65">
        <f>IF(AW360="",0,MAX(0,MIN(1,(IF(BR360="L1",Parameter!$K$5,Parameter!$K$6+Parameter!$K$7)-(AW360-AS360))/AS360)))</f>
        <v/>
      </c>
      <c r="AY360" s="53">
        <f>IF(AC360&lt;=0,"",IF(BR360="Aussen","Aussenlager",IF(BR360="-","Nicht im Lift",IF(AH360&gt;=1,"Lift",IF(AH360&lt;=0,"Aussenlager","teilweise")))))</f>
        <v/>
      </c>
      <c r="AZ360" s="53">
        <f>IF(AK360&lt;=0,"",IF(BR360="Aussen","Aussenlager",IF(BR360="-","Nicht im Lift",IF(AP360&gt;=1,"Lift",IF(AP360&lt;=0,"Aussenlager","teilweise")))))</f>
        <v/>
      </c>
      <c r="BA360" s="53">
        <f>IF(AS360&lt;=0,"",IF(BR360="Aussen","Aussenlager",IF(BR360="-","Nicht im Lift",IF(AX360&gt;=1,"Lift",IF(AX360&lt;=0,"Aussenlager","teilweise")))))</f>
        <v/>
      </c>
      <c r="BB360" s="53">
        <f>IF(A360="","",IF(BK360=1,"Neu; ","")&amp;IF(AND(BK360=0,BF360&lt;0),"negativer Bestand (Export "&amp;BF360&amp;"); ","")&amp;IF(I360&lt;=0,"Kein Verbrauch; ","")&amp;IF(BO360=1,"Lose – Fläche geschätzt; ","")&amp;IF(G360&gt;AM360,"Überbestand "&amp;ROUND(G360-AM360,0)&amp;" Stk / CHF "&amp;ROUND((G360-AM360)*F360,0)&amp;"; ","")&amp;IF(AND(BT360=1,BU360&lt;BV360),"MAX &lt; MB+LG; ","")&amp;IF(AND(BZ360&gt;0,BY360*10&gt;BZ360),"zu hoch für Tablar; ","")&amp;IF(AND(BK360=0,OR(BT360=1,V360&lt;&gt;"",S360&lt;&gt;"",T360&lt;&gt;"",W360&lt;&gt;"")),"manuell übersteuert; ","")&amp;IF(AND(BO360=0,Q360=0),"Gebinde unbekannt; ","")&amp;IF(AND(BO360=0,N(T360)&lt;=0,N(P360)&lt;=0),"Menge pro Gebinde fehlt (Ist = 1 Gebinde); ","")&amp;BJ360)</f>
        <v/>
      </c>
      <c r="BC360" s="53" t="n"/>
      <c r="BD360" s="53" t="n"/>
      <c r="BE360" s="61" t="n"/>
      <c r="BF360" s="55" t="n">
        <v>688</v>
      </c>
      <c r="BG360" s="55" t="n">
        <v>429</v>
      </c>
      <c r="BH360" s="54" t="n">
        <v>167.5000000000004</v>
      </c>
      <c r="BI360" s="55" t="n">
        <v>1232</v>
      </c>
      <c r="BJ360" s="53" t="inlineStr"/>
      <c r="BK360" s="58" t="n">
        <v>0</v>
      </c>
      <c r="BL360" s="58" t="n">
        <v>360</v>
      </c>
      <c r="BM360" s="53">
        <f>IF(S360&lt;&gt;"",UPPER(TRIM(S360)),IF(O360="","LOSE",O360))</f>
        <v/>
      </c>
      <c r="BN360" s="55">
        <f>IF(BM360="LOSE",1,IF(N(T360)&gt;0,T360,IF(N(P360)&gt;0,P360,MAX(1,G360))))</f>
        <v/>
      </c>
      <c r="BO360" s="58">
        <f>IF(BM360="LOSE",1,0)</f>
        <v/>
      </c>
      <c r="BP360" s="64">
        <f>IF(BO360=0,0,IF(N(R360)&gt;0,R360,IFERROR(VLOOKUP(D360,Parameter!$A$35:$C$64,3,0)+0,0)))</f>
        <v/>
      </c>
      <c r="BQ360" s="53">
        <f>IF(V360&lt;&gt;"",V360,U360)</f>
        <v/>
      </c>
      <c r="BR360" s="53">
        <f>IF(BQ360=1,"L1",IF(OR(BQ360=2,BQ360=3),"L23",IF(BQ360="Aussen","Aussen","-")))</f>
        <v/>
      </c>
      <c r="BS360" s="66">
        <f>IF(N(W360)&gt;0,W360,0)</f>
        <v/>
      </c>
      <c r="BT360" s="58">
        <f>IF(ISNUMBER(Z360),1,0)</f>
        <v/>
      </c>
      <c r="BU360" s="55">
        <f>N(Z360)</f>
        <v/>
      </c>
      <c r="BV360" s="55">
        <f>N(L360)+N(M360)</f>
        <v/>
      </c>
      <c r="BW360" s="55">
        <f>ROUNDUP(G360/BN360,0)</f>
        <v/>
      </c>
      <c r="BX360" s="55">
        <f>ROUNDUP(BU360/BN360,0)</f>
        <v/>
      </c>
      <c r="BY360" s="58">
        <f>IF(BO360=1,0,IFERROR(VLOOKUP(BM360,'Gebinde-Kategorie'!$A$5:$G$45,5,0)+0,0))</f>
        <v/>
      </c>
      <c r="BZ360" s="58">
        <f>IFERROR(IF(OR(BQ360=1,BQ360=2,BQ360=3),N(INDEX(Parameter!$I$5:$I$7,BQ360)),0),0)</f>
        <v/>
      </c>
    </row>
    <row r="361">
      <c r="A361" s="53" t="inlineStr">
        <is>
          <t>111909</t>
        </is>
      </c>
      <c r="B361" s="53" t="inlineStr">
        <is>
          <t>Kontakteinsatz</t>
        </is>
      </c>
      <c r="C361" s="53" t="inlineStr">
        <is>
          <t>F</t>
        </is>
      </c>
      <c r="D361" s="53" t="inlineStr">
        <is>
          <t>KTL</t>
        </is>
      </c>
      <c r="E361" s="53" t="inlineStr">
        <is>
          <t>C</t>
        </is>
      </c>
      <c r="F361" s="54" t="n">
        <v>6.7</v>
      </c>
      <c r="G361" s="55">
        <f>MAX(0,IF(Parameter!$B$20="Jahresanfang 2025 + Export",BG361+BF361,BF361))</f>
        <v/>
      </c>
      <c r="H361" s="55">
        <f>G361*F361</f>
        <v/>
      </c>
      <c r="I361" s="55">
        <f>BI361*Parameter!$B$18</f>
        <v/>
      </c>
      <c r="J361" s="56" t="n">
        <v>0</v>
      </c>
      <c r="K361" s="57" t="n">
        <v>0</v>
      </c>
      <c r="L361" s="55" t="n">
        <v>0</v>
      </c>
      <c r="M361" s="55" t="n">
        <v>5</v>
      </c>
      <c r="N361" s="58" t="n">
        <v>9999</v>
      </c>
      <c r="O361" s="53" t="inlineStr">
        <is>
          <t>LOSE</t>
        </is>
      </c>
      <c r="P361" s="55" t="n"/>
      <c r="Q361" s="59">
        <f>IF(BO361=1,0,IFERROR(VLOOKUP(BM361,'Gebinde-Kategorie'!$A$5:$G$45,6,0)+0,0))</f>
        <v/>
      </c>
      <c r="R361" s="60" t="n"/>
      <c r="S361" s="61" t="n"/>
      <c r="T361" s="61" t="n"/>
      <c r="U361" s="53">
        <f>IF(A361="","",IF(IFERROR(VLOOKUP(D361,Parameter!$A$35:$C$64,2,0),"Nein")="2+3",IF(ISNUMBER(SEARCH("grosser Artikel",BJ361)),2,IFERROR(VLOOKUP(BM361,Parameter!$F$35:$G$64,2,0),2)),IF(OR(IFERROR(VLOOKUP(D361,Parameter!$A$35:$C$64,2,0),"Nein")="Nein",IFERROR(VLOOKUP(D361,Parameter!$A$35:$C$64,2,0),"Nein")=""),"-",VLOOKUP(D361,Parameter!$A$35:$C$64,2,0))))</f>
        <v/>
      </c>
      <c r="V361" s="61" t="n"/>
      <c r="W361" s="62" t="n"/>
      <c r="X361" s="55">
        <f>AM361</f>
        <v/>
      </c>
      <c r="Y361" s="55">
        <f>MAX(AM361,G361)</f>
        <v/>
      </c>
      <c r="Z361" s="63" t="n"/>
      <c r="AA361" s="55">
        <f>IF(LEFT(Cockpit!$C$5,1)="A",G361,IF(BT361=1,BU361,IF(LEFT(Cockpit!$C$5,1)="B",AE361,MAX(AE361,G361))))</f>
        <v/>
      </c>
      <c r="AB361" s="55">
        <f>IF(BO361=1,0,ROUNDUP(AA361/BN361,0))</f>
        <v/>
      </c>
      <c r="AC361" s="64">
        <f>IF(BO361=1,IF(AA361&lt;=0,0,BP361*MAX(1,IF(G361&gt;0,AA361/G361,1))),AB361*Q361)</f>
        <v/>
      </c>
      <c r="AD361" s="55">
        <f>AA361*F361</f>
        <v/>
      </c>
      <c r="AE361" s="55">
        <f>ROUNDUP(MAX(I361/IF(BS361&gt;0,BS361,MAX(0.1,N(Cockpit!$C$6))),BV361)/BN361,0)*BN361</f>
        <v/>
      </c>
      <c r="AF361" s="56">
        <f>IF(AC361&gt;0,I361/AC361,-1)</f>
        <v/>
      </c>
      <c r="AG361" s="56">
        <f>IF(AND(OR(BR361="L1",BR361="L23"),AC361&gt;0),SUMIFS($AC$7:$AC$1570,$BR$7:$BR$1570,BR361,$AF$7:$AF$1570,"&gt;"&amp;AF361)+SUMIFS($AC$7:$AC$1570,$BR$7:$BR$1570,BR361,$AF$7:$AF$1570,AF361,$BL$7:$BL$1570,"&lt;="&amp;BL361),"")</f>
        <v/>
      </c>
      <c r="AH361" s="65">
        <f>IF(AG361="",0,MAX(0,MIN(1,(IF(BR361="L1",Parameter!$K$5,Parameter!$K$6+Parameter!$K$7)-(AG361-AC361))/AC361)))</f>
        <v/>
      </c>
      <c r="AI361" s="55">
        <f>IF(LEFT(Cockpit!$I$5,1)="A",G361,IF(BT361=1,BU361,IF(LEFT(Cockpit!$I$5,1)="B",AM361,MAX(AM361,G361))))</f>
        <v/>
      </c>
      <c r="AJ361" s="55">
        <f>IF(BO361=1,0,ROUNDUP(AI361/BN361,0))</f>
        <v/>
      </c>
      <c r="AK361" s="64">
        <f>IF(BO361=1,IF(AI361&lt;=0,0,BP361*MAX(1,IF(G361&gt;0,AI361/G361,1))),AJ361*Q361)</f>
        <v/>
      </c>
      <c r="AL361" s="55">
        <f>AI361*F361</f>
        <v/>
      </c>
      <c r="AM361" s="55">
        <f>ROUNDUP(MAX(I361/IF(BS361&gt;0,BS361,MAX(0.1,N(Cockpit!$I$6))),BV361)/BN361,0)*BN361</f>
        <v/>
      </c>
      <c r="AN361" s="56">
        <f>IF(AK361&gt;0,I361/AK361,-1)</f>
        <v/>
      </c>
      <c r="AO361" s="56">
        <f>IF(AND(OR(BR361="L1",BR361="L23"),AK361&gt;0),SUMIFS($AK$7:$AK$1570,$BR$7:$BR$1570,BR361,$AN$7:$AN$1570,"&gt;"&amp;AN361)+SUMIFS($AK$7:$AK$1570,$BR$7:$BR$1570,BR361,$AN$7:$AN$1570,AN361,$BL$7:$BL$1570,"&lt;="&amp;BL361),"")</f>
        <v/>
      </c>
      <c r="AP361" s="65">
        <f>IF(AO361="",0,MAX(0,MIN(1,(IF(BR361="L1",Parameter!$K$5,Parameter!$K$6+Parameter!$K$7)-(AO361-AK361))/AK361)))</f>
        <v/>
      </c>
      <c r="AQ361" s="55">
        <f>IF(LEFT(Cockpit!$O$5,1)="A",G361,IF(BT361=1,BU361,IF(LEFT(Cockpit!$O$5,1)="B",AU361,MAX(AU361,G361))))</f>
        <v/>
      </c>
      <c r="AR361" s="55">
        <f>IF(BO361=1,0,ROUNDUP(AQ361/BN361,0))</f>
        <v/>
      </c>
      <c r="AS361" s="64">
        <f>IF(BO361=1,IF(AQ361&lt;=0,0,BP361*MAX(1,IF(G361&gt;0,AQ361/G361,1))),AR361*Q361)</f>
        <v/>
      </c>
      <c r="AT361" s="55">
        <f>AQ361*F361</f>
        <v/>
      </c>
      <c r="AU361" s="55">
        <f>ROUNDUP(MAX(I361/IF(BS361&gt;0,BS361,MAX(0.1,N(Cockpit!$O$6))),BV361)/BN361,0)*BN361</f>
        <v/>
      </c>
      <c r="AV361" s="56">
        <f>IF(AS361&gt;0,I361/AS361,-1)</f>
        <v/>
      </c>
      <c r="AW361" s="56">
        <f>IF(AND(OR(BR361="L1",BR361="L23"),AS361&gt;0),SUMIFS($AS$7:$AS$1570,$BR$7:$BR$1570,BR361,$AV$7:$AV$1570,"&gt;"&amp;AV361)+SUMIFS($AS$7:$AS$1570,$BR$7:$BR$1570,BR361,$AV$7:$AV$1570,AV361,$BL$7:$BL$1570,"&lt;="&amp;BL361),"")</f>
        <v/>
      </c>
      <c r="AX361" s="65">
        <f>IF(AW361="",0,MAX(0,MIN(1,(IF(BR361="L1",Parameter!$K$5,Parameter!$K$6+Parameter!$K$7)-(AW361-AS361))/AS361)))</f>
        <v/>
      </c>
      <c r="AY361" s="53">
        <f>IF(AC361&lt;=0,"",IF(BR361="Aussen","Aussenlager",IF(BR361="-","Nicht im Lift",IF(AH361&gt;=1,"Lift",IF(AH361&lt;=0,"Aussenlager","teilweise")))))</f>
        <v/>
      </c>
      <c r="AZ361" s="53">
        <f>IF(AK361&lt;=0,"",IF(BR361="Aussen","Aussenlager",IF(BR361="-","Nicht im Lift",IF(AP361&gt;=1,"Lift",IF(AP361&lt;=0,"Aussenlager","teilweise")))))</f>
        <v/>
      </c>
      <c r="BA361" s="53">
        <f>IF(AS361&lt;=0,"",IF(BR361="Aussen","Aussenlager",IF(BR361="-","Nicht im Lift",IF(AX361&gt;=1,"Lift",IF(AX361&lt;=0,"Aussenlager","teilweise")))))</f>
        <v/>
      </c>
      <c r="BB361" s="53">
        <f>IF(A361="","",IF(BK361=1,"Neu; ","")&amp;IF(AND(BK361=0,BF361&lt;0),"negativer Bestand (Export "&amp;BF361&amp;"); ","")&amp;IF(I361&lt;=0,"Kein Verbrauch; ","")&amp;IF(BO361=1,"Lose – Fläche geschätzt; ","")&amp;IF(G361&gt;AM361,"Überbestand "&amp;ROUND(G361-AM361,0)&amp;" Stk / CHF "&amp;ROUND((G361-AM361)*F361,0)&amp;"; ","")&amp;IF(AND(BT361=1,BU361&lt;BV361),"MAX &lt; MB+LG; ","")&amp;IF(AND(BZ361&gt;0,BY361*10&gt;BZ361),"zu hoch für Tablar; ","")&amp;IF(AND(BK361=0,OR(BT361=1,V361&lt;&gt;"",S361&lt;&gt;"",T361&lt;&gt;"",W361&lt;&gt;"")),"manuell übersteuert; ","")&amp;IF(AND(BO361=0,Q361=0),"Gebinde unbekannt; ","")&amp;IF(AND(BO361=0,N(T361)&lt;=0,N(P361)&lt;=0),"Menge pro Gebinde fehlt (Ist = 1 Gebinde); ","")&amp;BJ361)</f>
        <v/>
      </c>
      <c r="BC361" s="53" t="n"/>
      <c r="BD361" s="53" t="n"/>
      <c r="BE361" s="61" t="n"/>
      <c r="BF361" s="55" t="n">
        <v>25</v>
      </c>
      <c r="BG361" s="55" t="n">
        <v>0</v>
      </c>
      <c r="BH361" s="54" t="n">
        <v>167.5</v>
      </c>
      <c r="BI361" s="55" t="n">
        <v>0</v>
      </c>
      <c r="BJ361" s="53" t="inlineStr"/>
      <c r="BK361" s="58" t="n">
        <v>0</v>
      </c>
      <c r="BL361" s="58" t="n">
        <v>361</v>
      </c>
      <c r="BM361" s="53">
        <f>IF(S361&lt;&gt;"",UPPER(TRIM(S361)),IF(O361="","LOSE",O361))</f>
        <v/>
      </c>
      <c r="BN361" s="55">
        <f>IF(BM361="LOSE",1,IF(N(T361)&gt;0,T361,IF(N(P361)&gt;0,P361,MAX(1,G361))))</f>
        <v/>
      </c>
      <c r="BO361" s="58">
        <f>IF(BM361="LOSE",1,0)</f>
        <v/>
      </c>
      <c r="BP361" s="64">
        <f>IF(BO361=0,0,IF(N(R361)&gt;0,R361,IFERROR(VLOOKUP(D361,Parameter!$A$35:$C$64,3,0)+0,0)))</f>
        <v/>
      </c>
      <c r="BQ361" s="53">
        <f>IF(V361&lt;&gt;"",V361,U361)</f>
        <v/>
      </c>
      <c r="BR361" s="53">
        <f>IF(BQ361=1,"L1",IF(OR(BQ361=2,BQ361=3),"L23",IF(BQ361="Aussen","Aussen","-")))</f>
        <v/>
      </c>
      <c r="BS361" s="66">
        <f>IF(N(W361)&gt;0,W361,0)</f>
        <v/>
      </c>
      <c r="BT361" s="58">
        <f>IF(ISNUMBER(Z361),1,0)</f>
        <v/>
      </c>
      <c r="BU361" s="55">
        <f>N(Z361)</f>
        <v/>
      </c>
      <c r="BV361" s="55">
        <f>N(L361)+N(M361)</f>
        <v/>
      </c>
      <c r="BW361" s="55">
        <f>ROUNDUP(G361/BN361,0)</f>
        <v/>
      </c>
      <c r="BX361" s="55">
        <f>ROUNDUP(BU361/BN361,0)</f>
        <v/>
      </c>
      <c r="BY361" s="58">
        <f>IF(BO361=1,0,IFERROR(VLOOKUP(BM361,'Gebinde-Kategorie'!$A$5:$G$45,5,0)+0,0))</f>
        <v/>
      </c>
      <c r="BZ361" s="58">
        <f>IFERROR(IF(OR(BQ361=1,BQ361=2,BQ361=3),N(INDEX(Parameter!$I$5:$I$7,BQ361)),0),0)</f>
        <v/>
      </c>
    </row>
    <row r="362">
      <c r="A362" s="53" t="inlineStr">
        <is>
          <t>109282</t>
        </is>
      </c>
      <c r="B362" s="53" t="inlineStr">
        <is>
          <t>Verpackung Servicepaket LKE SVC11</t>
        </is>
      </c>
      <c r="C362" s="53" t="inlineStr">
        <is>
          <t>F</t>
        </is>
      </c>
      <c r="D362" s="53" t="inlineStr">
        <is>
          <t>PAL</t>
        </is>
      </c>
      <c r="E362" s="53" t="inlineStr">
        <is>
          <t>C</t>
        </is>
      </c>
      <c r="F362" s="54" t="n">
        <v>33.5</v>
      </c>
      <c r="G362" s="55">
        <f>MAX(0,IF(Parameter!$B$20="Jahresanfang 2025 + Export",BG362+BF362,BF362))</f>
        <v/>
      </c>
      <c r="H362" s="55">
        <f>G362*F362</f>
        <v/>
      </c>
      <c r="I362" s="55">
        <f>BI362*Parameter!$B$18</f>
        <v/>
      </c>
      <c r="J362" s="56" t="n">
        <v>9.5</v>
      </c>
      <c r="K362" s="57" t="n">
        <v>2.210526315789474</v>
      </c>
      <c r="L362" s="55" t="n">
        <v>3</v>
      </c>
      <c r="M362" s="55" t="n">
        <v>20</v>
      </c>
      <c r="N362" s="58" t="n">
        <v>56</v>
      </c>
      <c r="O362" s="53" t="inlineStr">
        <is>
          <t>S81</t>
        </is>
      </c>
      <c r="P362" s="55" t="n">
        <v>24</v>
      </c>
      <c r="Q362" s="59">
        <f>IF(BO362=1,0,IFERROR(VLOOKUP(BM362,'Gebinde-Kategorie'!$A$5:$G$45,6,0)+0,0))</f>
        <v/>
      </c>
      <c r="R362" s="60" t="n"/>
      <c r="S362" s="61" t="n"/>
      <c r="T362" s="61" t="n"/>
      <c r="U362" s="53">
        <f>IF(A362="","",IF(IFERROR(VLOOKUP(D362,Parameter!$A$35:$C$64,2,0),"Nein")="2+3",IF(ISNUMBER(SEARCH("grosser Artikel",BJ362)),2,IFERROR(VLOOKUP(BM362,Parameter!$F$35:$G$64,2,0),2)),IF(OR(IFERROR(VLOOKUP(D362,Parameter!$A$35:$C$64,2,0),"Nein")="Nein",IFERROR(VLOOKUP(D362,Parameter!$A$35:$C$64,2,0),"Nein")=""),"-",VLOOKUP(D362,Parameter!$A$35:$C$64,2,0))))</f>
        <v/>
      </c>
      <c r="V362" s="61" t="n"/>
      <c r="W362" s="62" t="n"/>
      <c r="X362" s="55">
        <f>AM362</f>
        <v/>
      </c>
      <c r="Y362" s="55">
        <f>MAX(AM362,G362)</f>
        <v/>
      </c>
      <c r="Z362" s="63" t="n"/>
      <c r="AA362" s="55">
        <f>IF(LEFT(Cockpit!$C$5,1)="A",G362,IF(BT362=1,BU362,IF(LEFT(Cockpit!$C$5,1)="B",AE362,MAX(AE362,G362))))</f>
        <v/>
      </c>
      <c r="AB362" s="55">
        <f>IF(BO362=1,0,ROUNDUP(AA362/BN362,0))</f>
        <v/>
      </c>
      <c r="AC362" s="64">
        <f>IF(BO362=1,IF(AA362&lt;=0,0,BP362*MAX(1,IF(G362&gt;0,AA362/G362,1))),AB362*Q362)</f>
        <v/>
      </c>
      <c r="AD362" s="55">
        <f>AA362*F362</f>
        <v/>
      </c>
      <c r="AE362" s="55">
        <f>ROUNDUP(MAX(I362/IF(BS362&gt;0,BS362,MAX(0.1,N(Cockpit!$C$6))),BV362)/BN362,0)*BN362</f>
        <v/>
      </c>
      <c r="AF362" s="56">
        <f>IF(AC362&gt;0,I362/AC362,-1)</f>
        <v/>
      </c>
      <c r="AG362" s="56">
        <f>IF(AND(OR(BR362="L1",BR362="L23"),AC362&gt;0),SUMIFS($AC$7:$AC$1570,$BR$7:$BR$1570,BR362,$AF$7:$AF$1570,"&gt;"&amp;AF362)+SUMIFS($AC$7:$AC$1570,$BR$7:$BR$1570,BR362,$AF$7:$AF$1570,AF362,$BL$7:$BL$1570,"&lt;="&amp;BL362),"")</f>
        <v/>
      </c>
      <c r="AH362" s="65">
        <f>IF(AG362="",0,MAX(0,MIN(1,(IF(BR362="L1",Parameter!$K$5,Parameter!$K$6+Parameter!$K$7)-(AG362-AC362))/AC362)))</f>
        <v/>
      </c>
      <c r="AI362" s="55">
        <f>IF(LEFT(Cockpit!$I$5,1)="A",G362,IF(BT362=1,BU362,IF(LEFT(Cockpit!$I$5,1)="B",AM362,MAX(AM362,G362))))</f>
        <v/>
      </c>
      <c r="AJ362" s="55">
        <f>IF(BO362=1,0,ROUNDUP(AI362/BN362,0))</f>
        <v/>
      </c>
      <c r="AK362" s="64">
        <f>IF(BO362=1,IF(AI362&lt;=0,0,BP362*MAX(1,IF(G362&gt;0,AI362/G362,1))),AJ362*Q362)</f>
        <v/>
      </c>
      <c r="AL362" s="55">
        <f>AI362*F362</f>
        <v/>
      </c>
      <c r="AM362" s="55">
        <f>ROUNDUP(MAX(I362/IF(BS362&gt;0,BS362,MAX(0.1,N(Cockpit!$I$6))),BV362)/BN362,0)*BN362</f>
        <v/>
      </c>
      <c r="AN362" s="56">
        <f>IF(AK362&gt;0,I362/AK362,-1)</f>
        <v/>
      </c>
      <c r="AO362" s="56">
        <f>IF(AND(OR(BR362="L1",BR362="L23"),AK362&gt;0),SUMIFS($AK$7:$AK$1570,$BR$7:$BR$1570,BR362,$AN$7:$AN$1570,"&gt;"&amp;AN362)+SUMIFS($AK$7:$AK$1570,$BR$7:$BR$1570,BR362,$AN$7:$AN$1570,AN362,$BL$7:$BL$1570,"&lt;="&amp;BL362),"")</f>
        <v/>
      </c>
      <c r="AP362" s="65">
        <f>IF(AO362="",0,MAX(0,MIN(1,(IF(BR362="L1",Parameter!$K$5,Parameter!$K$6+Parameter!$K$7)-(AO362-AK362))/AK362)))</f>
        <v/>
      </c>
      <c r="AQ362" s="55">
        <f>IF(LEFT(Cockpit!$O$5,1)="A",G362,IF(BT362=1,BU362,IF(LEFT(Cockpit!$O$5,1)="B",AU362,MAX(AU362,G362))))</f>
        <v/>
      </c>
      <c r="AR362" s="55">
        <f>IF(BO362=1,0,ROUNDUP(AQ362/BN362,0))</f>
        <v/>
      </c>
      <c r="AS362" s="64">
        <f>IF(BO362=1,IF(AQ362&lt;=0,0,BP362*MAX(1,IF(G362&gt;0,AQ362/G362,1))),AR362*Q362)</f>
        <v/>
      </c>
      <c r="AT362" s="55">
        <f>AQ362*F362</f>
        <v/>
      </c>
      <c r="AU362" s="55">
        <f>ROUNDUP(MAX(I362/IF(BS362&gt;0,BS362,MAX(0.1,N(Cockpit!$O$6))),BV362)/BN362,0)*BN362</f>
        <v/>
      </c>
      <c r="AV362" s="56">
        <f>IF(AS362&gt;0,I362/AS362,-1)</f>
        <v/>
      </c>
      <c r="AW362" s="56">
        <f>IF(AND(OR(BR362="L1",BR362="L23"),AS362&gt;0),SUMIFS($AS$7:$AS$1570,$BR$7:$BR$1570,BR362,$AV$7:$AV$1570,"&gt;"&amp;AV362)+SUMIFS($AS$7:$AS$1570,$BR$7:$BR$1570,BR362,$AV$7:$AV$1570,AV362,$BL$7:$BL$1570,"&lt;="&amp;BL362),"")</f>
        <v/>
      </c>
      <c r="AX362" s="65">
        <f>IF(AW362="",0,MAX(0,MIN(1,(IF(BR362="L1",Parameter!$K$5,Parameter!$K$6+Parameter!$K$7)-(AW362-AS362))/AS362)))</f>
        <v/>
      </c>
      <c r="AY362" s="53">
        <f>IF(AC362&lt;=0,"",IF(BR362="Aussen","Aussenlager",IF(BR362="-","Nicht im Lift",IF(AH362&gt;=1,"Lift",IF(AH362&lt;=0,"Aussenlager","teilweise")))))</f>
        <v/>
      </c>
      <c r="AZ362" s="53">
        <f>IF(AK362&lt;=0,"",IF(BR362="Aussen","Aussenlager",IF(BR362="-","Nicht im Lift",IF(AP362&gt;=1,"Lift",IF(AP362&lt;=0,"Aussenlager","teilweise")))))</f>
        <v/>
      </c>
      <c r="BA362" s="53">
        <f>IF(AS362&lt;=0,"",IF(BR362="Aussen","Aussenlager",IF(BR362="-","Nicht im Lift",IF(AX362&gt;=1,"Lift",IF(AX362&lt;=0,"Aussenlager","teilweise")))))</f>
        <v/>
      </c>
      <c r="BB362" s="53">
        <f>IF(A362="","",IF(BK362=1,"Neu; ","")&amp;IF(AND(BK362=0,BF362&lt;0),"negativer Bestand (Export "&amp;BF362&amp;"); ","")&amp;IF(I362&lt;=0,"Kein Verbrauch; ","")&amp;IF(BO362=1,"Lose – Fläche geschätzt; ","")&amp;IF(G362&gt;AM362,"Überbestand "&amp;ROUND(G362-AM362,0)&amp;" Stk / CHF "&amp;ROUND((G362-AM362)*F362,0)&amp;"; ","")&amp;IF(AND(BT362=1,BU362&lt;BV362),"MAX &lt; MB+LG; ","")&amp;IF(AND(BZ362&gt;0,BY362*10&gt;BZ362),"zu hoch für Tablar; ","")&amp;IF(AND(BK362=0,OR(BT362=1,V362&lt;&gt;"",S362&lt;&gt;"",T362&lt;&gt;"",W362&lt;&gt;"")),"manuell übersteuert; ","")&amp;IF(AND(BO362=0,Q362=0),"Gebinde unbekannt; ","")&amp;IF(AND(BO362=0,N(T362)&lt;=0,N(P362)&lt;=0),"Menge pro Gebinde fehlt (Ist = 1 Gebinde); ","")&amp;BJ362)</f>
        <v/>
      </c>
      <c r="BC362" s="53" t="n"/>
      <c r="BD362" s="53" t="n"/>
      <c r="BE362" s="61" t="n"/>
      <c r="BF362" s="55" t="n">
        <v>5</v>
      </c>
      <c r="BG362" s="55" t="n">
        <v>9</v>
      </c>
      <c r="BH362" s="54" t="n">
        <v>167.5</v>
      </c>
      <c r="BI362" s="55" t="n">
        <v>21</v>
      </c>
      <c r="BJ362" s="53" t="inlineStr"/>
      <c r="BK362" s="58" t="n">
        <v>0</v>
      </c>
      <c r="BL362" s="58" t="n">
        <v>362</v>
      </c>
      <c r="BM362" s="53">
        <f>IF(S362&lt;&gt;"",UPPER(TRIM(S362)),IF(O362="","LOSE",O362))</f>
        <v/>
      </c>
      <c r="BN362" s="55">
        <f>IF(BM362="LOSE",1,IF(N(T362)&gt;0,T362,IF(N(P362)&gt;0,P362,MAX(1,G362))))</f>
        <v/>
      </c>
      <c r="BO362" s="58">
        <f>IF(BM362="LOSE",1,0)</f>
        <v/>
      </c>
      <c r="BP362" s="64">
        <f>IF(BO362=0,0,IF(N(R362)&gt;0,R362,IFERROR(VLOOKUP(D362,Parameter!$A$35:$C$64,3,0)+0,0)))</f>
        <v/>
      </c>
      <c r="BQ362" s="53">
        <f>IF(V362&lt;&gt;"",V362,U362)</f>
        <v/>
      </c>
      <c r="BR362" s="53">
        <f>IF(BQ362=1,"L1",IF(OR(BQ362=2,BQ362=3),"L23",IF(BQ362="Aussen","Aussen","-")))</f>
        <v/>
      </c>
      <c r="BS362" s="66">
        <f>IF(N(W362)&gt;0,W362,0)</f>
        <v/>
      </c>
      <c r="BT362" s="58">
        <f>IF(ISNUMBER(Z362),1,0)</f>
        <v/>
      </c>
      <c r="BU362" s="55">
        <f>N(Z362)</f>
        <v/>
      </c>
      <c r="BV362" s="55">
        <f>N(L362)+N(M362)</f>
        <v/>
      </c>
      <c r="BW362" s="55">
        <f>ROUNDUP(G362/BN362,0)</f>
        <v/>
      </c>
      <c r="BX362" s="55">
        <f>ROUNDUP(BU362/BN362,0)</f>
        <v/>
      </c>
      <c r="BY362" s="58">
        <f>IF(BO362=1,0,IFERROR(VLOOKUP(BM362,'Gebinde-Kategorie'!$A$5:$G$45,5,0)+0,0))</f>
        <v/>
      </c>
      <c r="BZ362" s="58">
        <f>IFERROR(IF(OR(BQ362=1,BQ362=2,BQ362=3),N(INDEX(Parameter!$I$5:$I$7,BQ362)),0),0)</f>
        <v/>
      </c>
    </row>
    <row r="363">
      <c r="A363" s="53" t="inlineStr">
        <is>
          <t>109178</t>
        </is>
      </c>
      <c r="B363" s="53" t="inlineStr">
        <is>
          <t>Adapter Bündelanschluss Stickstoff</t>
        </is>
      </c>
      <c r="C363" s="53" t="inlineStr">
        <is>
          <t>F</t>
        </is>
      </c>
      <c r="D363" s="53" t="inlineStr">
        <is>
          <t>KTL</t>
        </is>
      </c>
      <c r="E363" s="53" t="inlineStr">
        <is>
          <t>C</t>
        </is>
      </c>
      <c r="F363" s="54" t="n">
        <v>138.25</v>
      </c>
      <c r="G363" s="55">
        <f>MAX(0,IF(Parameter!$B$20="Jahresanfang 2025 + Export",BG363+BF363,BF363))</f>
        <v/>
      </c>
      <c r="H363" s="55">
        <f>G363*F363</f>
        <v/>
      </c>
      <c r="I363" s="55">
        <f>BI363*Parameter!$B$18</f>
        <v/>
      </c>
      <c r="J363" s="56" t="n">
        <v>5</v>
      </c>
      <c r="K363" s="57" t="n">
        <v>0.4</v>
      </c>
      <c r="L363" s="55" t="n">
        <v>0</v>
      </c>
      <c r="M363" s="55" t="n">
        <v>1</v>
      </c>
      <c r="N363" s="58" t="n">
        <v>35</v>
      </c>
      <c r="O363" s="53" t="inlineStr">
        <is>
          <t>S22</t>
        </is>
      </c>
      <c r="P363" s="55" t="n">
        <v>5</v>
      </c>
      <c r="Q363" s="59">
        <f>IF(BO363=1,0,IFERROR(VLOOKUP(BM363,'Gebinde-Kategorie'!$A$5:$G$45,6,0)+0,0))</f>
        <v/>
      </c>
      <c r="R363" s="60" t="n"/>
      <c r="S363" s="61" t="n"/>
      <c r="T363" s="61" t="n"/>
      <c r="U363" s="53">
        <f>IF(A363="","",IF(IFERROR(VLOOKUP(D363,Parameter!$A$35:$C$64,2,0),"Nein")="2+3",IF(ISNUMBER(SEARCH("grosser Artikel",BJ363)),2,IFERROR(VLOOKUP(BM363,Parameter!$F$35:$G$64,2,0),2)),IF(OR(IFERROR(VLOOKUP(D363,Parameter!$A$35:$C$64,2,0),"Nein")="Nein",IFERROR(VLOOKUP(D363,Parameter!$A$35:$C$64,2,0),"Nein")=""),"-",VLOOKUP(D363,Parameter!$A$35:$C$64,2,0))))</f>
        <v/>
      </c>
      <c r="V363" s="61" t="n"/>
      <c r="W363" s="62" t="n"/>
      <c r="X363" s="55">
        <f>AM363</f>
        <v/>
      </c>
      <c r="Y363" s="55">
        <f>MAX(AM363,G363)</f>
        <v/>
      </c>
      <c r="Z363" s="63" t="n"/>
      <c r="AA363" s="55">
        <f>IF(LEFT(Cockpit!$C$5,1)="A",G363,IF(BT363=1,BU363,IF(LEFT(Cockpit!$C$5,1)="B",AE363,MAX(AE363,G363))))</f>
        <v/>
      </c>
      <c r="AB363" s="55">
        <f>IF(BO363=1,0,ROUNDUP(AA363/BN363,0))</f>
        <v/>
      </c>
      <c r="AC363" s="64">
        <f>IF(BO363=1,IF(AA363&lt;=0,0,BP363*MAX(1,IF(G363&gt;0,AA363/G363,1))),AB363*Q363)</f>
        <v/>
      </c>
      <c r="AD363" s="55">
        <f>AA363*F363</f>
        <v/>
      </c>
      <c r="AE363" s="55">
        <f>ROUNDUP(MAX(I363/IF(BS363&gt;0,BS363,MAX(0.1,N(Cockpit!$C$6))),BV363)/BN363,0)*BN363</f>
        <v/>
      </c>
      <c r="AF363" s="56">
        <f>IF(AC363&gt;0,I363/AC363,-1)</f>
        <v/>
      </c>
      <c r="AG363" s="56">
        <f>IF(AND(OR(BR363="L1",BR363="L23"),AC363&gt;0),SUMIFS($AC$7:$AC$1570,$BR$7:$BR$1570,BR363,$AF$7:$AF$1570,"&gt;"&amp;AF363)+SUMIFS($AC$7:$AC$1570,$BR$7:$BR$1570,BR363,$AF$7:$AF$1570,AF363,$BL$7:$BL$1570,"&lt;="&amp;BL363),"")</f>
        <v/>
      </c>
      <c r="AH363" s="65">
        <f>IF(AG363="",0,MAX(0,MIN(1,(IF(BR363="L1",Parameter!$K$5,Parameter!$K$6+Parameter!$K$7)-(AG363-AC363))/AC363)))</f>
        <v/>
      </c>
      <c r="AI363" s="55">
        <f>IF(LEFT(Cockpit!$I$5,1)="A",G363,IF(BT363=1,BU363,IF(LEFT(Cockpit!$I$5,1)="B",AM363,MAX(AM363,G363))))</f>
        <v/>
      </c>
      <c r="AJ363" s="55">
        <f>IF(BO363=1,0,ROUNDUP(AI363/BN363,0))</f>
        <v/>
      </c>
      <c r="AK363" s="64">
        <f>IF(BO363=1,IF(AI363&lt;=0,0,BP363*MAX(1,IF(G363&gt;0,AI363/G363,1))),AJ363*Q363)</f>
        <v/>
      </c>
      <c r="AL363" s="55">
        <f>AI363*F363</f>
        <v/>
      </c>
      <c r="AM363" s="55">
        <f>ROUNDUP(MAX(I363/IF(BS363&gt;0,BS363,MAX(0.1,N(Cockpit!$I$6))),BV363)/BN363,0)*BN363</f>
        <v/>
      </c>
      <c r="AN363" s="56">
        <f>IF(AK363&gt;0,I363/AK363,-1)</f>
        <v/>
      </c>
      <c r="AO363" s="56">
        <f>IF(AND(OR(BR363="L1",BR363="L23"),AK363&gt;0),SUMIFS($AK$7:$AK$1570,$BR$7:$BR$1570,BR363,$AN$7:$AN$1570,"&gt;"&amp;AN363)+SUMIFS($AK$7:$AK$1570,$BR$7:$BR$1570,BR363,$AN$7:$AN$1570,AN363,$BL$7:$BL$1570,"&lt;="&amp;BL363),"")</f>
        <v/>
      </c>
      <c r="AP363" s="65">
        <f>IF(AO363="",0,MAX(0,MIN(1,(IF(BR363="L1",Parameter!$K$5,Parameter!$K$6+Parameter!$K$7)-(AO363-AK363))/AK363)))</f>
        <v/>
      </c>
      <c r="AQ363" s="55">
        <f>IF(LEFT(Cockpit!$O$5,1)="A",G363,IF(BT363=1,BU363,IF(LEFT(Cockpit!$O$5,1)="B",AU363,MAX(AU363,G363))))</f>
        <v/>
      </c>
      <c r="AR363" s="55">
        <f>IF(BO363=1,0,ROUNDUP(AQ363/BN363,0))</f>
        <v/>
      </c>
      <c r="AS363" s="64">
        <f>IF(BO363=1,IF(AQ363&lt;=0,0,BP363*MAX(1,IF(G363&gt;0,AQ363/G363,1))),AR363*Q363)</f>
        <v/>
      </c>
      <c r="AT363" s="55">
        <f>AQ363*F363</f>
        <v/>
      </c>
      <c r="AU363" s="55">
        <f>ROUNDUP(MAX(I363/IF(BS363&gt;0,BS363,MAX(0.1,N(Cockpit!$O$6))),BV363)/BN363,0)*BN363</f>
        <v/>
      </c>
      <c r="AV363" s="56">
        <f>IF(AS363&gt;0,I363/AS363,-1)</f>
        <v/>
      </c>
      <c r="AW363" s="56">
        <f>IF(AND(OR(BR363="L1",BR363="L23"),AS363&gt;0),SUMIFS($AS$7:$AS$1570,$BR$7:$BR$1570,BR363,$AV$7:$AV$1570,"&gt;"&amp;AV363)+SUMIFS($AS$7:$AS$1570,$BR$7:$BR$1570,BR363,$AV$7:$AV$1570,AV363,$BL$7:$BL$1570,"&lt;="&amp;BL363),"")</f>
        <v/>
      </c>
      <c r="AX363" s="65">
        <f>IF(AW363="",0,MAX(0,MIN(1,(IF(BR363="L1",Parameter!$K$5,Parameter!$K$6+Parameter!$K$7)-(AW363-AS363))/AS363)))</f>
        <v/>
      </c>
      <c r="AY363" s="53">
        <f>IF(AC363&lt;=0,"",IF(BR363="Aussen","Aussenlager",IF(BR363="-","Nicht im Lift",IF(AH363&gt;=1,"Lift",IF(AH363&lt;=0,"Aussenlager","teilweise")))))</f>
        <v/>
      </c>
      <c r="AZ363" s="53">
        <f>IF(AK363&lt;=0,"",IF(BR363="Aussen","Aussenlager",IF(BR363="-","Nicht im Lift",IF(AP363&gt;=1,"Lift",IF(AP363&lt;=0,"Aussenlager","teilweise")))))</f>
        <v/>
      </c>
      <c r="BA363" s="53">
        <f>IF(AS363&lt;=0,"",IF(BR363="Aussen","Aussenlager",IF(BR363="-","Nicht im Lift",IF(AX363&gt;=1,"Lift",IF(AX363&lt;=0,"Aussenlager","teilweise")))))</f>
        <v/>
      </c>
      <c r="BB363" s="53">
        <f>IF(A363="","",IF(BK363=1,"Neu; ","")&amp;IF(AND(BK363=0,BF363&lt;0),"negativer Bestand (Export "&amp;BF363&amp;"); ","")&amp;IF(I363&lt;=0,"Kein Verbrauch; ","")&amp;IF(BO363=1,"Lose – Fläche geschätzt; ","")&amp;IF(G363&gt;AM363,"Überbestand "&amp;ROUND(G363-AM363,0)&amp;" Stk / CHF "&amp;ROUND((G363-AM363)*F363,0)&amp;"; ","")&amp;IF(AND(BT363=1,BU363&lt;BV363),"MAX &lt; MB+LG; ","")&amp;IF(AND(BZ363&gt;0,BY363*10&gt;BZ363),"zu hoch für Tablar; ","")&amp;IF(AND(BK363=0,OR(BT363=1,V363&lt;&gt;"",S363&lt;&gt;"",T363&lt;&gt;"",W363&lt;&gt;"")),"manuell übersteuert; ","")&amp;IF(AND(BO363=0,Q363=0),"Gebinde unbekannt; ","")&amp;IF(AND(BO363=0,N(T363)&lt;=0,N(P363)&lt;=0),"Menge pro Gebinde fehlt (Ist = 1 Gebinde); ","")&amp;BJ363)</f>
        <v/>
      </c>
      <c r="BC363" s="53" t="n"/>
      <c r="BD363" s="53" t="n"/>
      <c r="BE363" s="61" t="n"/>
      <c r="BF363" s="55" t="n">
        <v>1</v>
      </c>
      <c r="BG363" s="55" t="n">
        <v>4</v>
      </c>
      <c r="BH363" s="54" t="n">
        <v>160.9299999999999</v>
      </c>
      <c r="BI363" s="55" t="n">
        <v>2</v>
      </c>
      <c r="BJ363" s="53" t="inlineStr"/>
      <c r="BK363" s="58" t="n">
        <v>0</v>
      </c>
      <c r="BL363" s="58" t="n">
        <v>363</v>
      </c>
      <c r="BM363" s="53">
        <f>IF(S363&lt;&gt;"",UPPER(TRIM(S363)),IF(O363="","LOSE",O363))</f>
        <v/>
      </c>
      <c r="BN363" s="55">
        <f>IF(BM363="LOSE",1,IF(N(T363)&gt;0,T363,IF(N(P363)&gt;0,P363,MAX(1,G363))))</f>
        <v/>
      </c>
      <c r="BO363" s="58">
        <f>IF(BM363="LOSE",1,0)</f>
        <v/>
      </c>
      <c r="BP363" s="64">
        <f>IF(BO363=0,0,IF(N(R363)&gt;0,R363,IFERROR(VLOOKUP(D363,Parameter!$A$35:$C$64,3,0)+0,0)))</f>
        <v/>
      </c>
      <c r="BQ363" s="53">
        <f>IF(V363&lt;&gt;"",V363,U363)</f>
        <v/>
      </c>
      <c r="BR363" s="53">
        <f>IF(BQ363=1,"L1",IF(OR(BQ363=2,BQ363=3),"L23",IF(BQ363="Aussen","Aussen","-")))</f>
        <v/>
      </c>
      <c r="BS363" s="66">
        <f>IF(N(W363)&gt;0,W363,0)</f>
        <v/>
      </c>
      <c r="BT363" s="58">
        <f>IF(ISNUMBER(Z363),1,0)</f>
        <v/>
      </c>
      <c r="BU363" s="55">
        <f>N(Z363)</f>
        <v/>
      </c>
      <c r="BV363" s="55">
        <f>N(L363)+N(M363)</f>
        <v/>
      </c>
      <c r="BW363" s="55">
        <f>ROUNDUP(G363/BN363,0)</f>
        <v/>
      </c>
      <c r="BX363" s="55">
        <f>ROUNDUP(BU363/BN363,0)</f>
        <v/>
      </c>
      <c r="BY363" s="58">
        <f>IF(BO363=1,0,IFERROR(VLOOKUP(BM363,'Gebinde-Kategorie'!$A$5:$G$45,5,0)+0,0))</f>
        <v/>
      </c>
      <c r="BZ363" s="58">
        <f>IFERROR(IF(OR(BQ363=1,BQ363=2,BQ363=3),N(INDEX(Parameter!$I$5:$I$7,BQ363)),0),0)</f>
        <v/>
      </c>
    </row>
    <row r="364">
      <c r="A364" s="53" t="inlineStr">
        <is>
          <t>111903</t>
        </is>
      </c>
      <c r="B364" s="53" t="inlineStr">
        <is>
          <t>Einschraub-Schaft Adapter</t>
        </is>
      </c>
      <c r="C364" s="53" t="inlineStr">
        <is>
          <t>F</t>
        </is>
      </c>
      <c r="D364" s="53" t="inlineStr">
        <is>
          <t>KTL</t>
        </is>
      </c>
      <c r="E364" s="53" t="inlineStr">
        <is>
          <t>C</t>
        </is>
      </c>
      <c r="F364" s="54" t="n">
        <v>6.23</v>
      </c>
      <c r="G364" s="55">
        <f>MAX(0,IF(Parameter!$B$20="Jahresanfang 2025 + Export",BG364+BF364,BF364))</f>
        <v/>
      </c>
      <c r="H364" s="55">
        <f>G364*F364</f>
        <v/>
      </c>
      <c r="I364" s="55">
        <f>BI364*Parameter!$B$18</f>
        <v/>
      </c>
      <c r="J364" s="56" t="n">
        <v>0</v>
      </c>
      <c r="K364" s="57" t="n">
        <v>0</v>
      </c>
      <c r="L364" s="55" t="n">
        <v>0</v>
      </c>
      <c r="M364" s="55" t="n">
        <v>1</v>
      </c>
      <c r="N364" s="58" t="n">
        <v>9999</v>
      </c>
      <c r="O364" s="53" t="inlineStr">
        <is>
          <t>LOSE</t>
        </is>
      </c>
      <c r="P364" s="55" t="n"/>
      <c r="Q364" s="59">
        <f>IF(BO364=1,0,IFERROR(VLOOKUP(BM364,'Gebinde-Kategorie'!$A$5:$G$45,6,0)+0,0))</f>
        <v/>
      </c>
      <c r="R364" s="60" t="n"/>
      <c r="S364" s="61" t="n"/>
      <c r="T364" s="61" t="n"/>
      <c r="U364" s="53">
        <f>IF(A364="","",IF(IFERROR(VLOOKUP(D364,Parameter!$A$35:$C$64,2,0),"Nein")="2+3",IF(ISNUMBER(SEARCH("grosser Artikel",BJ364)),2,IFERROR(VLOOKUP(BM364,Parameter!$F$35:$G$64,2,0),2)),IF(OR(IFERROR(VLOOKUP(D364,Parameter!$A$35:$C$64,2,0),"Nein")="Nein",IFERROR(VLOOKUP(D364,Parameter!$A$35:$C$64,2,0),"Nein")=""),"-",VLOOKUP(D364,Parameter!$A$35:$C$64,2,0))))</f>
        <v/>
      </c>
      <c r="V364" s="61" t="n"/>
      <c r="W364" s="62" t="n"/>
      <c r="X364" s="55">
        <f>AM364</f>
        <v/>
      </c>
      <c r="Y364" s="55">
        <f>MAX(AM364,G364)</f>
        <v/>
      </c>
      <c r="Z364" s="63" t="n"/>
      <c r="AA364" s="55">
        <f>IF(LEFT(Cockpit!$C$5,1)="A",G364,IF(BT364=1,BU364,IF(LEFT(Cockpit!$C$5,1)="B",AE364,MAX(AE364,G364))))</f>
        <v/>
      </c>
      <c r="AB364" s="55">
        <f>IF(BO364=1,0,ROUNDUP(AA364/BN364,0))</f>
        <v/>
      </c>
      <c r="AC364" s="64">
        <f>IF(BO364=1,IF(AA364&lt;=0,0,BP364*MAX(1,IF(G364&gt;0,AA364/G364,1))),AB364*Q364)</f>
        <v/>
      </c>
      <c r="AD364" s="55">
        <f>AA364*F364</f>
        <v/>
      </c>
      <c r="AE364" s="55">
        <f>ROUNDUP(MAX(I364/IF(BS364&gt;0,BS364,MAX(0.1,N(Cockpit!$C$6))),BV364)/BN364,0)*BN364</f>
        <v/>
      </c>
      <c r="AF364" s="56">
        <f>IF(AC364&gt;0,I364/AC364,-1)</f>
        <v/>
      </c>
      <c r="AG364" s="56">
        <f>IF(AND(OR(BR364="L1",BR364="L23"),AC364&gt;0),SUMIFS($AC$7:$AC$1570,$BR$7:$BR$1570,BR364,$AF$7:$AF$1570,"&gt;"&amp;AF364)+SUMIFS($AC$7:$AC$1570,$BR$7:$BR$1570,BR364,$AF$7:$AF$1570,AF364,$BL$7:$BL$1570,"&lt;="&amp;BL364),"")</f>
        <v/>
      </c>
      <c r="AH364" s="65">
        <f>IF(AG364="",0,MAX(0,MIN(1,(IF(BR364="L1",Parameter!$K$5,Parameter!$K$6+Parameter!$K$7)-(AG364-AC364))/AC364)))</f>
        <v/>
      </c>
      <c r="AI364" s="55">
        <f>IF(LEFT(Cockpit!$I$5,1)="A",G364,IF(BT364=1,BU364,IF(LEFT(Cockpit!$I$5,1)="B",AM364,MAX(AM364,G364))))</f>
        <v/>
      </c>
      <c r="AJ364" s="55">
        <f>IF(BO364=1,0,ROUNDUP(AI364/BN364,0))</f>
        <v/>
      </c>
      <c r="AK364" s="64">
        <f>IF(BO364=1,IF(AI364&lt;=0,0,BP364*MAX(1,IF(G364&gt;0,AI364/G364,1))),AJ364*Q364)</f>
        <v/>
      </c>
      <c r="AL364" s="55">
        <f>AI364*F364</f>
        <v/>
      </c>
      <c r="AM364" s="55">
        <f>ROUNDUP(MAX(I364/IF(BS364&gt;0,BS364,MAX(0.1,N(Cockpit!$I$6))),BV364)/BN364,0)*BN364</f>
        <v/>
      </c>
      <c r="AN364" s="56">
        <f>IF(AK364&gt;0,I364/AK364,-1)</f>
        <v/>
      </c>
      <c r="AO364" s="56">
        <f>IF(AND(OR(BR364="L1",BR364="L23"),AK364&gt;0),SUMIFS($AK$7:$AK$1570,$BR$7:$BR$1570,BR364,$AN$7:$AN$1570,"&gt;"&amp;AN364)+SUMIFS($AK$7:$AK$1570,$BR$7:$BR$1570,BR364,$AN$7:$AN$1570,AN364,$BL$7:$BL$1570,"&lt;="&amp;BL364),"")</f>
        <v/>
      </c>
      <c r="AP364" s="65">
        <f>IF(AO364="",0,MAX(0,MIN(1,(IF(BR364="L1",Parameter!$K$5,Parameter!$K$6+Parameter!$K$7)-(AO364-AK364))/AK364)))</f>
        <v/>
      </c>
      <c r="AQ364" s="55">
        <f>IF(LEFT(Cockpit!$O$5,1)="A",G364,IF(BT364=1,BU364,IF(LEFT(Cockpit!$O$5,1)="B",AU364,MAX(AU364,G364))))</f>
        <v/>
      </c>
      <c r="AR364" s="55">
        <f>IF(BO364=1,0,ROUNDUP(AQ364/BN364,0))</f>
        <v/>
      </c>
      <c r="AS364" s="64">
        <f>IF(BO364=1,IF(AQ364&lt;=0,0,BP364*MAX(1,IF(G364&gt;0,AQ364/G364,1))),AR364*Q364)</f>
        <v/>
      </c>
      <c r="AT364" s="55">
        <f>AQ364*F364</f>
        <v/>
      </c>
      <c r="AU364" s="55">
        <f>ROUNDUP(MAX(I364/IF(BS364&gt;0,BS364,MAX(0.1,N(Cockpit!$O$6))),BV364)/BN364,0)*BN364</f>
        <v/>
      </c>
      <c r="AV364" s="56">
        <f>IF(AS364&gt;0,I364/AS364,-1)</f>
        <v/>
      </c>
      <c r="AW364" s="56">
        <f>IF(AND(OR(BR364="L1",BR364="L23"),AS364&gt;0),SUMIFS($AS$7:$AS$1570,$BR$7:$BR$1570,BR364,$AV$7:$AV$1570,"&gt;"&amp;AV364)+SUMIFS($AS$7:$AS$1570,$BR$7:$BR$1570,BR364,$AV$7:$AV$1570,AV364,$BL$7:$BL$1570,"&lt;="&amp;BL364),"")</f>
        <v/>
      </c>
      <c r="AX364" s="65">
        <f>IF(AW364="",0,MAX(0,MIN(1,(IF(BR364="L1",Parameter!$K$5,Parameter!$K$6+Parameter!$K$7)-(AW364-AS364))/AS364)))</f>
        <v/>
      </c>
      <c r="AY364" s="53">
        <f>IF(AC364&lt;=0,"",IF(BR364="Aussen","Aussenlager",IF(BR364="-","Nicht im Lift",IF(AH364&gt;=1,"Lift",IF(AH364&lt;=0,"Aussenlager","teilweise")))))</f>
        <v/>
      </c>
      <c r="AZ364" s="53">
        <f>IF(AK364&lt;=0,"",IF(BR364="Aussen","Aussenlager",IF(BR364="-","Nicht im Lift",IF(AP364&gt;=1,"Lift",IF(AP364&lt;=0,"Aussenlager","teilweise")))))</f>
        <v/>
      </c>
      <c r="BA364" s="53">
        <f>IF(AS364&lt;=0,"",IF(BR364="Aussen","Aussenlager",IF(BR364="-","Nicht im Lift",IF(AX364&gt;=1,"Lift",IF(AX364&lt;=0,"Aussenlager","teilweise")))))</f>
        <v/>
      </c>
      <c r="BB364" s="53">
        <f>IF(A364="","",IF(BK364=1,"Neu; ","")&amp;IF(AND(BK364=0,BF364&lt;0),"negativer Bestand (Export "&amp;BF364&amp;"); ","")&amp;IF(I364&lt;=0,"Kein Verbrauch; ","")&amp;IF(BO364=1,"Lose – Fläche geschätzt; ","")&amp;IF(G364&gt;AM364,"Überbestand "&amp;ROUND(G364-AM364,0)&amp;" Stk / CHF "&amp;ROUND((G364-AM364)*F364,0)&amp;"; ","")&amp;IF(AND(BT364=1,BU364&lt;BV364),"MAX &lt; MB+LG; ","")&amp;IF(AND(BZ364&gt;0,BY364*10&gt;BZ364),"zu hoch für Tablar; ","")&amp;IF(AND(BK364=0,OR(BT364=1,V364&lt;&gt;"",S364&lt;&gt;"",T364&lt;&gt;"",W364&lt;&gt;"")),"manuell übersteuert; ","")&amp;IF(AND(BO364=0,Q364=0),"Gebinde unbekannt; ","")&amp;IF(AND(BO364=0,N(T364)&lt;=0,N(P364)&lt;=0),"Menge pro Gebinde fehlt (Ist = 1 Gebinde); ","")&amp;BJ364)</f>
        <v/>
      </c>
      <c r="BC364" s="53" t="n"/>
      <c r="BD364" s="53" t="n"/>
      <c r="BE364" s="61" t="n"/>
      <c r="BF364" s="55" t="n">
        <v>25</v>
      </c>
      <c r="BG364" s="55" t="n">
        <v>0</v>
      </c>
      <c r="BH364" s="54" t="n">
        <v>155.75</v>
      </c>
      <c r="BI364" s="55" t="n">
        <v>0</v>
      </c>
      <c r="BJ364" s="53" t="inlineStr"/>
      <c r="BK364" s="58" t="n">
        <v>0</v>
      </c>
      <c r="BL364" s="58" t="n">
        <v>364</v>
      </c>
      <c r="BM364" s="53">
        <f>IF(S364&lt;&gt;"",UPPER(TRIM(S364)),IF(O364="","LOSE",O364))</f>
        <v/>
      </c>
      <c r="BN364" s="55">
        <f>IF(BM364="LOSE",1,IF(N(T364)&gt;0,T364,IF(N(P364)&gt;0,P364,MAX(1,G364))))</f>
        <v/>
      </c>
      <c r="BO364" s="58">
        <f>IF(BM364="LOSE",1,0)</f>
        <v/>
      </c>
      <c r="BP364" s="64">
        <f>IF(BO364=0,0,IF(N(R364)&gt;0,R364,IFERROR(VLOOKUP(D364,Parameter!$A$35:$C$64,3,0)+0,0)))</f>
        <v/>
      </c>
      <c r="BQ364" s="53">
        <f>IF(V364&lt;&gt;"",V364,U364)</f>
        <v/>
      </c>
      <c r="BR364" s="53">
        <f>IF(BQ364=1,"L1",IF(OR(BQ364=2,BQ364=3),"L23",IF(BQ364="Aussen","Aussen","-")))</f>
        <v/>
      </c>
      <c r="BS364" s="66">
        <f>IF(N(W364)&gt;0,W364,0)</f>
        <v/>
      </c>
      <c r="BT364" s="58">
        <f>IF(ISNUMBER(Z364),1,0)</f>
        <v/>
      </c>
      <c r="BU364" s="55">
        <f>N(Z364)</f>
        <v/>
      </c>
      <c r="BV364" s="55">
        <f>N(L364)+N(M364)</f>
        <v/>
      </c>
      <c r="BW364" s="55">
        <f>ROUNDUP(G364/BN364,0)</f>
        <v/>
      </c>
      <c r="BX364" s="55">
        <f>ROUNDUP(BU364/BN364,0)</f>
        <v/>
      </c>
      <c r="BY364" s="58">
        <f>IF(BO364=1,0,IFERROR(VLOOKUP(BM364,'Gebinde-Kategorie'!$A$5:$G$45,5,0)+0,0))</f>
        <v/>
      </c>
      <c r="BZ364" s="58">
        <f>IFERROR(IF(OR(BQ364=1,BQ364=2,BQ364=3),N(INDEX(Parameter!$I$5:$I$7,BQ364)),0),0)</f>
        <v/>
      </c>
    </row>
    <row r="365">
      <c r="A365" s="53" t="inlineStr">
        <is>
          <t>107957</t>
        </is>
      </c>
      <c r="B365" s="53" t="inlineStr">
        <is>
          <t>Hakenschlüssel Spezial</t>
        </is>
      </c>
      <c r="C365" s="53" t="inlineStr">
        <is>
          <t>F</t>
        </is>
      </c>
      <c r="D365" s="53" t="inlineStr">
        <is>
          <t>KTL</t>
        </is>
      </c>
      <c r="E365" s="53" t="inlineStr">
        <is>
          <t>C</t>
        </is>
      </c>
      <c r="F365" s="54" t="n">
        <v>15.5</v>
      </c>
      <c r="G365" s="55">
        <f>MAX(0,IF(Parameter!$B$20="Jahresanfang 2025 + Export",BG365+BF365,BF365))</f>
        <v/>
      </c>
      <c r="H365" s="55">
        <f>G365*F365</f>
        <v/>
      </c>
      <c r="I365" s="55">
        <f>BI365*Parameter!$B$18</f>
        <v/>
      </c>
      <c r="J365" s="56" t="n">
        <v>15.5</v>
      </c>
      <c r="K365" s="57" t="n">
        <v>0.5806451612903226</v>
      </c>
      <c r="L365" s="55" t="n">
        <v>0</v>
      </c>
      <c r="M365" s="55" t="n">
        <v>10</v>
      </c>
      <c r="N365" s="58" t="n">
        <v>28</v>
      </c>
      <c r="O365" s="53" t="inlineStr">
        <is>
          <t>S41</t>
        </is>
      </c>
      <c r="P365" s="55" t="n">
        <v>24</v>
      </c>
      <c r="Q365" s="59">
        <f>IF(BO365=1,0,IFERROR(VLOOKUP(BM365,'Gebinde-Kategorie'!$A$5:$G$45,6,0)+0,0))</f>
        <v/>
      </c>
      <c r="R365" s="60" t="n"/>
      <c r="S365" s="61" t="n"/>
      <c r="T365" s="61" t="n"/>
      <c r="U365" s="53">
        <f>IF(A365="","",IF(IFERROR(VLOOKUP(D365,Parameter!$A$35:$C$64,2,0),"Nein")="2+3",IF(ISNUMBER(SEARCH("grosser Artikel",BJ365)),2,IFERROR(VLOOKUP(BM365,Parameter!$F$35:$G$64,2,0),2)),IF(OR(IFERROR(VLOOKUP(D365,Parameter!$A$35:$C$64,2,0),"Nein")="Nein",IFERROR(VLOOKUP(D365,Parameter!$A$35:$C$64,2,0),"Nein")=""),"-",VLOOKUP(D365,Parameter!$A$35:$C$64,2,0))))</f>
        <v/>
      </c>
      <c r="V365" s="61" t="n"/>
      <c r="W365" s="62" t="n"/>
      <c r="X365" s="55">
        <f>AM365</f>
        <v/>
      </c>
      <c r="Y365" s="55">
        <f>MAX(AM365,G365)</f>
        <v/>
      </c>
      <c r="Z365" s="63" t="n"/>
      <c r="AA365" s="55">
        <f>IF(LEFT(Cockpit!$C$5,1)="A",G365,IF(BT365=1,BU365,IF(LEFT(Cockpit!$C$5,1)="B",AE365,MAX(AE365,G365))))</f>
        <v/>
      </c>
      <c r="AB365" s="55">
        <f>IF(BO365=1,0,ROUNDUP(AA365/BN365,0))</f>
        <v/>
      </c>
      <c r="AC365" s="64">
        <f>IF(BO365=1,IF(AA365&lt;=0,0,BP365*MAX(1,IF(G365&gt;0,AA365/G365,1))),AB365*Q365)</f>
        <v/>
      </c>
      <c r="AD365" s="55">
        <f>AA365*F365</f>
        <v/>
      </c>
      <c r="AE365" s="55">
        <f>ROUNDUP(MAX(I365/IF(BS365&gt;0,BS365,MAX(0.1,N(Cockpit!$C$6))),BV365)/BN365,0)*BN365</f>
        <v/>
      </c>
      <c r="AF365" s="56">
        <f>IF(AC365&gt;0,I365/AC365,-1)</f>
        <v/>
      </c>
      <c r="AG365" s="56">
        <f>IF(AND(OR(BR365="L1",BR365="L23"),AC365&gt;0),SUMIFS($AC$7:$AC$1570,$BR$7:$BR$1570,BR365,$AF$7:$AF$1570,"&gt;"&amp;AF365)+SUMIFS($AC$7:$AC$1570,$BR$7:$BR$1570,BR365,$AF$7:$AF$1570,AF365,$BL$7:$BL$1570,"&lt;="&amp;BL365),"")</f>
        <v/>
      </c>
      <c r="AH365" s="65">
        <f>IF(AG365="",0,MAX(0,MIN(1,(IF(BR365="L1",Parameter!$K$5,Parameter!$K$6+Parameter!$K$7)-(AG365-AC365))/AC365)))</f>
        <v/>
      </c>
      <c r="AI365" s="55">
        <f>IF(LEFT(Cockpit!$I$5,1)="A",G365,IF(BT365=1,BU365,IF(LEFT(Cockpit!$I$5,1)="B",AM365,MAX(AM365,G365))))</f>
        <v/>
      </c>
      <c r="AJ365" s="55">
        <f>IF(BO365=1,0,ROUNDUP(AI365/BN365,0))</f>
        <v/>
      </c>
      <c r="AK365" s="64">
        <f>IF(BO365=1,IF(AI365&lt;=0,0,BP365*MAX(1,IF(G365&gt;0,AI365/G365,1))),AJ365*Q365)</f>
        <v/>
      </c>
      <c r="AL365" s="55">
        <f>AI365*F365</f>
        <v/>
      </c>
      <c r="AM365" s="55">
        <f>ROUNDUP(MAX(I365/IF(BS365&gt;0,BS365,MAX(0.1,N(Cockpit!$I$6))),BV365)/BN365,0)*BN365</f>
        <v/>
      </c>
      <c r="AN365" s="56">
        <f>IF(AK365&gt;0,I365/AK365,-1)</f>
        <v/>
      </c>
      <c r="AO365" s="56">
        <f>IF(AND(OR(BR365="L1",BR365="L23"),AK365&gt;0),SUMIFS($AK$7:$AK$1570,$BR$7:$BR$1570,BR365,$AN$7:$AN$1570,"&gt;"&amp;AN365)+SUMIFS($AK$7:$AK$1570,$BR$7:$BR$1570,BR365,$AN$7:$AN$1570,AN365,$BL$7:$BL$1570,"&lt;="&amp;BL365),"")</f>
        <v/>
      </c>
      <c r="AP365" s="65">
        <f>IF(AO365="",0,MAX(0,MIN(1,(IF(BR365="L1",Parameter!$K$5,Parameter!$K$6+Parameter!$K$7)-(AO365-AK365))/AK365)))</f>
        <v/>
      </c>
      <c r="AQ365" s="55">
        <f>IF(LEFT(Cockpit!$O$5,1)="A",G365,IF(BT365=1,BU365,IF(LEFT(Cockpit!$O$5,1)="B",AU365,MAX(AU365,G365))))</f>
        <v/>
      </c>
      <c r="AR365" s="55">
        <f>IF(BO365=1,0,ROUNDUP(AQ365/BN365,0))</f>
        <v/>
      </c>
      <c r="AS365" s="64">
        <f>IF(BO365=1,IF(AQ365&lt;=0,0,BP365*MAX(1,IF(G365&gt;0,AQ365/G365,1))),AR365*Q365)</f>
        <v/>
      </c>
      <c r="AT365" s="55">
        <f>AQ365*F365</f>
        <v/>
      </c>
      <c r="AU365" s="55">
        <f>ROUNDUP(MAX(I365/IF(BS365&gt;0,BS365,MAX(0.1,N(Cockpit!$O$6))),BV365)/BN365,0)*BN365</f>
        <v/>
      </c>
      <c r="AV365" s="56">
        <f>IF(AS365&gt;0,I365/AS365,-1)</f>
        <v/>
      </c>
      <c r="AW365" s="56">
        <f>IF(AND(OR(BR365="L1",BR365="L23"),AS365&gt;0),SUMIFS($AS$7:$AS$1570,$BR$7:$BR$1570,BR365,$AV$7:$AV$1570,"&gt;"&amp;AV365)+SUMIFS($AS$7:$AS$1570,$BR$7:$BR$1570,BR365,$AV$7:$AV$1570,AV365,$BL$7:$BL$1570,"&lt;="&amp;BL365),"")</f>
        <v/>
      </c>
      <c r="AX365" s="65">
        <f>IF(AW365="",0,MAX(0,MIN(1,(IF(BR365="L1",Parameter!$K$5,Parameter!$K$6+Parameter!$K$7)-(AW365-AS365))/AS365)))</f>
        <v/>
      </c>
      <c r="AY365" s="53">
        <f>IF(AC365&lt;=0,"",IF(BR365="Aussen","Aussenlager",IF(BR365="-","Nicht im Lift",IF(AH365&gt;=1,"Lift",IF(AH365&lt;=0,"Aussenlager","teilweise")))))</f>
        <v/>
      </c>
      <c r="AZ365" s="53">
        <f>IF(AK365&lt;=0,"",IF(BR365="Aussen","Aussenlager",IF(BR365="-","Nicht im Lift",IF(AP365&gt;=1,"Lift",IF(AP365&lt;=0,"Aussenlager","teilweise")))))</f>
        <v/>
      </c>
      <c r="BA365" s="53">
        <f>IF(AS365&lt;=0,"",IF(BR365="Aussen","Aussenlager",IF(BR365="-","Nicht im Lift",IF(AX365&gt;=1,"Lift",IF(AX365&lt;=0,"Aussenlager","teilweise")))))</f>
        <v/>
      </c>
      <c r="BB365" s="53">
        <f>IF(A365="","",IF(BK365=1,"Neu; ","")&amp;IF(AND(BK365=0,BF365&lt;0),"negativer Bestand (Export "&amp;BF365&amp;"); ","")&amp;IF(I365&lt;=0,"Kein Verbrauch; ","")&amp;IF(BO365=1,"Lose – Fläche geschätzt; ","")&amp;IF(G365&gt;AM365,"Überbestand "&amp;ROUND(G365-AM365,0)&amp;" Stk / CHF "&amp;ROUND((G365-AM365)*F365,0)&amp;"; ","")&amp;IF(AND(BT365=1,BU365&lt;BV365),"MAX &lt; MB+LG; ","")&amp;IF(AND(BZ365&gt;0,BY365*10&gt;BZ365),"zu hoch für Tablar; ","")&amp;IF(AND(BK365=0,OR(BT365=1,V365&lt;&gt;"",S365&lt;&gt;"",T365&lt;&gt;"",W365&lt;&gt;"")),"manuell übersteuert; ","")&amp;IF(AND(BO365=0,Q365=0),"Gebinde unbekannt; ","")&amp;IF(AND(BO365=0,N(T365)&lt;=0,N(P365)&lt;=0),"Menge pro Gebinde fehlt (Ist = 1 Gebinde); ","")&amp;BJ365)</f>
        <v/>
      </c>
      <c r="BC365" s="53" t="n"/>
      <c r="BD365" s="53" t="n"/>
      <c r="BE365" s="61" t="n"/>
      <c r="BF365" s="55" t="n">
        <v>10</v>
      </c>
      <c r="BG365" s="55" t="n">
        <v>10</v>
      </c>
      <c r="BH365" s="54" t="n">
        <v>155</v>
      </c>
      <c r="BI365" s="55" t="n">
        <v>9</v>
      </c>
      <c r="BJ365" s="53" t="inlineStr"/>
      <c r="BK365" s="58" t="n">
        <v>0</v>
      </c>
      <c r="BL365" s="58" t="n">
        <v>365</v>
      </c>
      <c r="BM365" s="53">
        <f>IF(S365&lt;&gt;"",UPPER(TRIM(S365)),IF(O365="","LOSE",O365))</f>
        <v/>
      </c>
      <c r="BN365" s="55">
        <f>IF(BM365="LOSE",1,IF(N(T365)&gt;0,T365,IF(N(P365)&gt;0,P365,MAX(1,G365))))</f>
        <v/>
      </c>
      <c r="BO365" s="58">
        <f>IF(BM365="LOSE",1,0)</f>
        <v/>
      </c>
      <c r="BP365" s="64">
        <f>IF(BO365=0,0,IF(N(R365)&gt;0,R365,IFERROR(VLOOKUP(D365,Parameter!$A$35:$C$64,3,0)+0,0)))</f>
        <v/>
      </c>
      <c r="BQ365" s="53">
        <f>IF(V365&lt;&gt;"",V365,U365)</f>
        <v/>
      </c>
      <c r="BR365" s="53">
        <f>IF(BQ365=1,"L1",IF(OR(BQ365=2,BQ365=3),"L23",IF(BQ365="Aussen","Aussen","-")))</f>
        <v/>
      </c>
      <c r="BS365" s="66">
        <f>IF(N(W365)&gt;0,W365,0)</f>
        <v/>
      </c>
      <c r="BT365" s="58">
        <f>IF(ISNUMBER(Z365),1,0)</f>
        <v/>
      </c>
      <c r="BU365" s="55">
        <f>N(Z365)</f>
        <v/>
      </c>
      <c r="BV365" s="55">
        <f>N(L365)+N(M365)</f>
        <v/>
      </c>
      <c r="BW365" s="55">
        <f>ROUNDUP(G365/BN365,0)</f>
        <v/>
      </c>
      <c r="BX365" s="55">
        <f>ROUNDUP(BU365/BN365,0)</f>
        <v/>
      </c>
      <c r="BY365" s="58">
        <f>IF(BO365=1,0,IFERROR(VLOOKUP(BM365,'Gebinde-Kategorie'!$A$5:$G$45,5,0)+0,0))</f>
        <v/>
      </c>
      <c r="BZ365" s="58">
        <f>IFERROR(IF(OR(BQ365=1,BQ365=2,BQ365=3),N(INDEX(Parameter!$I$5:$I$7,BQ365)),0),0)</f>
        <v/>
      </c>
    </row>
    <row r="366">
      <c r="A366" s="53" t="inlineStr">
        <is>
          <t>110876</t>
        </is>
      </c>
      <c r="B366" s="53" t="inlineStr">
        <is>
          <t>Muffe</t>
        </is>
      </c>
      <c r="C366" s="53" t="inlineStr">
        <is>
          <t>F</t>
        </is>
      </c>
      <c r="D366" s="53" t="inlineStr">
        <is>
          <t>KTL</t>
        </is>
      </c>
      <c r="E366" s="53" t="inlineStr">
        <is>
          <t>C</t>
        </is>
      </c>
      <c r="F366" s="54" t="n">
        <v>38</v>
      </c>
      <c r="G366" s="55">
        <f>MAX(0,IF(Parameter!$B$20="Jahresanfang 2025 + Export",BG366+BF366,BF366))</f>
        <v/>
      </c>
      <c r="H366" s="55">
        <f>G366*F366</f>
        <v/>
      </c>
      <c r="I366" s="55">
        <f>BI366*Parameter!$B$18</f>
        <v/>
      </c>
      <c r="J366" s="56" t="n">
        <v>3</v>
      </c>
      <c r="K366" s="57" t="n">
        <v>0.6666666666666666</v>
      </c>
      <c r="L366" s="55" t="n">
        <v>0</v>
      </c>
      <c r="M366" s="55" t="n">
        <v>1</v>
      </c>
      <c r="N366" s="58" t="n">
        <v>31</v>
      </c>
      <c r="O366" s="53" t="inlineStr">
        <is>
          <t>S21</t>
        </is>
      </c>
      <c r="P366" s="55" t="n">
        <v>4</v>
      </c>
      <c r="Q366" s="59">
        <f>IF(BO366=1,0,IFERROR(VLOOKUP(BM366,'Gebinde-Kategorie'!$A$5:$G$45,6,0)+0,0))</f>
        <v/>
      </c>
      <c r="R366" s="60" t="n"/>
      <c r="S366" s="61" t="n"/>
      <c r="T366" s="61" t="n"/>
      <c r="U366" s="53">
        <f>IF(A366="","",IF(IFERROR(VLOOKUP(D366,Parameter!$A$35:$C$64,2,0),"Nein")="2+3",IF(ISNUMBER(SEARCH("grosser Artikel",BJ366)),2,IFERROR(VLOOKUP(BM366,Parameter!$F$35:$G$64,2,0),2)),IF(OR(IFERROR(VLOOKUP(D366,Parameter!$A$35:$C$64,2,0),"Nein")="Nein",IFERROR(VLOOKUP(D366,Parameter!$A$35:$C$64,2,0),"Nein")=""),"-",VLOOKUP(D366,Parameter!$A$35:$C$64,2,0))))</f>
        <v/>
      </c>
      <c r="V366" s="61" t="n"/>
      <c r="W366" s="62" t="n"/>
      <c r="X366" s="55">
        <f>AM366</f>
        <v/>
      </c>
      <c r="Y366" s="55">
        <f>MAX(AM366,G366)</f>
        <v/>
      </c>
      <c r="Z366" s="63" t="n"/>
      <c r="AA366" s="55">
        <f>IF(LEFT(Cockpit!$C$5,1)="A",G366,IF(BT366=1,BU366,IF(LEFT(Cockpit!$C$5,1)="B",AE366,MAX(AE366,G366))))</f>
        <v/>
      </c>
      <c r="AB366" s="55">
        <f>IF(BO366=1,0,ROUNDUP(AA366/BN366,0))</f>
        <v/>
      </c>
      <c r="AC366" s="64">
        <f>IF(BO366=1,IF(AA366&lt;=0,0,BP366*MAX(1,IF(G366&gt;0,AA366/G366,1))),AB366*Q366)</f>
        <v/>
      </c>
      <c r="AD366" s="55">
        <f>AA366*F366</f>
        <v/>
      </c>
      <c r="AE366" s="55">
        <f>ROUNDUP(MAX(I366/IF(BS366&gt;0,BS366,MAX(0.1,N(Cockpit!$C$6))),BV366)/BN366,0)*BN366</f>
        <v/>
      </c>
      <c r="AF366" s="56">
        <f>IF(AC366&gt;0,I366/AC366,-1)</f>
        <v/>
      </c>
      <c r="AG366" s="56">
        <f>IF(AND(OR(BR366="L1",BR366="L23"),AC366&gt;0),SUMIFS($AC$7:$AC$1570,$BR$7:$BR$1570,BR366,$AF$7:$AF$1570,"&gt;"&amp;AF366)+SUMIFS($AC$7:$AC$1570,$BR$7:$BR$1570,BR366,$AF$7:$AF$1570,AF366,$BL$7:$BL$1570,"&lt;="&amp;BL366),"")</f>
        <v/>
      </c>
      <c r="AH366" s="65">
        <f>IF(AG366="",0,MAX(0,MIN(1,(IF(BR366="L1",Parameter!$K$5,Parameter!$K$6+Parameter!$K$7)-(AG366-AC366))/AC366)))</f>
        <v/>
      </c>
      <c r="AI366" s="55">
        <f>IF(LEFT(Cockpit!$I$5,1)="A",G366,IF(BT366=1,BU366,IF(LEFT(Cockpit!$I$5,1)="B",AM366,MAX(AM366,G366))))</f>
        <v/>
      </c>
      <c r="AJ366" s="55">
        <f>IF(BO366=1,0,ROUNDUP(AI366/BN366,0))</f>
        <v/>
      </c>
      <c r="AK366" s="64">
        <f>IF(BO366=1,IF(AI366&lt;=0,0,BP366*MAX(1,IF(G366&gt;0,AI366/G366,1))),AJ366*Q366)</f>
        <v/>
      </c>
      <c r="AL366" s="55">
        <f>AI366*F366</f>
        <v/>
      </c>
      <c r="AM366" s="55">
        <f>ROUNDUP(MAX(I366/IF(BS366&gt;0,BS366,MAX(0.1,N(Cockpit!$I$6))),BV366)/BN366,0)*BN366</f>
        <v/>
      </c>
      <c r="AN366" s="56">
        <f>IF(AK366&gt;0,I366/AK366,-1)</f>
        <v/>
      </c>
      <c r="AO366" s="56">
        <f>IF(AND(OR(BR366="L1",BR366="L23"),AK366&gt;0),SUMIFS($AK$7:$AK$1570,$BR$7:$BR$1570,BR366,$AN$7:$AN$1570,"&gt;"&amp;AN366)+SUMIFS($AK$7:$AK$1570,$BR$7:$BR$1570,BR366,$AN$7:$AN$1570,AN366,$BL$7:$BL$1570,"&lt;="&amp;BL366),"")</f>
        <v/>
      </c>
      <c r="AP366" s="65">
        <f>IF(AO366="",0,MAX(0,MIN(1,(IF(BR366="L1",Parameter!$K$5,Parameter!$K$6+Parameter!$K$7)-(AO366-AK366))/AK366)))</f>
        <v/>
      </c>
      <c r="AQ366" s="55">
        <f>IF(LEFT(Cockpit!$O$5,1)="A",G366,IF(BT366=1,BU366,IF(LEFT(Cockpit!$O$5,1)="B",AU366,MAX(AU366,G366))))</f>
        <v/>
      </c>
      <c r="AR366" s="55">
        <f>IF(BO366=1,0,ROUNDUP(AQ366/BN366,0))</f>
        <v/>
      </c>
      <c r="AS366" s="64">
        <f>IF(BO366=1,IF(AQ366&lt;=0,0,BP366*MAX(1,IF(G366&gt;0,AQ366/G366,1))),AR366*Q366)</f>
        <v/>
      </c>
      <c r="AT366" s="55">
        <f>AQ366*F366</f>
        <v/>
      </c>
      <c r="AU366" s="55">
        <f>ROUNDUP(MAX(I366/IF(BS366&gt;0,BS366,MAX(0.1,N(Cockpit!$O$6))),BV366)/BN366,0)*BN366</f>
        <v/>
      </c>
      <c r="AV366" s="56">
        <f>IF(AS366&gt;0,I366/AS366,-1)</f>
        <v/>
      </c>
      <c r="AW366" s="56">
        <f>IF(AND(OR(BR366="L1",BR366="L23"),AS366&gt;0),SUMIFS($AS$7:$AS$1570,$BR$7:$BR$1570,BR366,$AV$7:$AV$1570,"&gt;"&amp;AV366)+SUMIFS($AS$7:$AS$1570,$BR$7:$BR$1570,BR366,$AV$7:$AV$1570,AV366,$BL$7:$BL$1570,"&lt;="&amp;BL366),"")</f>
        <v/>
      </c>
      <c r="AX366" s="65">
        <f>IF(AW366="",0,MAX(0,MIN(1,(IF(BR366="L1",Parameter!$K$5,Parameter!$K$6+Parameter!$K$7)-(AW366-AS366))/AS366)))</f>
        <v/>
      </c>
      <c r="AY366" s="53">
        <f>IF(AC366&lt;=0,"",IF(BR366="Aussen","Aussenlager",IF(BR366="-","Nicht im Lift",IF(AH366&gt;=1,"Lift",IF(AH366&lt;=0,"Aussenlager","teilweise")))))</f>
        <v/>
      </c>
      <c r="AZ366" s="53">
        <f>IF(AK366&lt;=0,"",IF(BR366="Aussen","Aussenlager",IF(BR366="-","Nicht im Lift",IF(AP366&gt;=1,"Lift",IF(AP366&lt;=0,"Aussenlager","teilweise")))))</f>
        <v/>
      </c>
      <c r="BA366" s="53">
        <f>IF(AS366&lt;=0,"",IF(BR366="Aussen","Aussenlager",IF(BR366="-","Nicht im Lift",IF(AX366&gt;=1,"Lift",IF(AX366&lt;=0,"Aussenlager","teilweise")))))</f>
        <v/>
      </c>
      <c r="BB366" s="53">
        <f>IF(A366="","",IF(BK366=1,"Neu; ","")&amp;IF(AND(BK366=0,BF366&lt;0),"negativer Bestand (Export "&amp;BF366&amp;"); ","")&amp;IF(I366&lt;=0,"Kein Verbrauch; ","")&amp;IF(BO366=1,"Lose – Fläche geschätzt; ","")&amp;IF(G366&gt;AM366,"Überbestand "&amp;ROUND(G366-AM366,0)&amp;" Stk / CHF "&amp;ROUND((G366-AM366)*F366,0)&amp;"; ","")&amp;IF(AND(BT366=1,BU366&lt;BV366),"MAX &lt; MB+LG; ","")&amp;IF(AND(BZ366&gt;0,BY366*10&gt;BZ366),"zu hoch für Tablar; ","")&amp;IF(AND(BK366=0,OR(BT366=1,V366&lt;&gt;"",S366&lt;&gt;"",T366&lt;&gt;"",W366&lt;&gt;"")),"manuell übersteuert; ","")&amp;IF(AND(BO366=0,Q366=0),"Gebinde unbekannt; ","")&amp;IF(AND(BO366=0,N(T366)&lt;=0,N(P366)&lt;=0),"Menge pro Gebinde fehlt (Ist = 1 Gebinde); ","")&amp;BJ366)</f>
        <v/>
      </c>
      <c r="BC366" s="53" t="n"/>
      <c r="BD366" s="53" t="n"/>
      <c r="BE366" s="61" t="n"/>
      <c r="BF366" s="55" t="n">
        <v>4</v>
      </c>
      <c r="BG366" s="55" t="n">
        <v>0</v>
      </c>
      <c r="BH366" s="54" t="n">
        <v>152</v>
      </c>
      <c r="BI366" s="55" t="n">
        <v>2</v>
      </c>
      <c r="BJ366" s="53" t="inlineStr"/>
      <c r="BK366" s="58" t="n">
        <v>0</v>
      </c>
      <c r="BL366" s="58" t="n">
        <v>366</v>
      </c>
      <c r="BM366" s="53">
        <f>IF(S366&lt;&gt;"",UPPER(TRIM(S366)),IF(O366="","LOSE",O366))</f>
        <v/>
      </c>
      <c r="BN366" s="55">
        <f>IF(BM366="LOSE",1,IF(N(T366)&gt;0,T366,IF(N(P366)&gt;0,P366,MAX(1,G366))))</f>
        <v/>
      </c>
      <c r="BO366" s="58">
        <f>IF(BM366="LOSE",1,0)</f>
        <v/>
      </c>
      <c r="BP366" s="64">
        <f>IF(BO366=0,0,IF(N(R366)&gt;0,R366,IFERROR(VLOOKUP(D366,Parameter!$A$35:$C$64,3,0)+0,0)))</f>
        <v/>
      </c>
      <c r="BQ366" s="53">
        <f>IF(V366&lt;&gt;"",V366,U366)</f>
        <v/>
      </c>
      <c r="BR366" s="53">
        <f>IF(BQ366=1,"L1",IF(OR(BQ366=2,BQ366=3),"L23",IF(BQ366="Aussen","Aussen","-")))</f>
        <v/>
      </c>
      <c r="BS366" s="66">
        <f>IF(N(W366)&gt;0,W366,0)</f>
        <v/>
      </c>
      <c r="BT366" s="58">
        <f>IF(ISNUMBER(Z366),1,0)</f>
        <v/>
      </c>
      <c r="BU366" s="55">
        <f>N(Z366)</f>
        <v/>
      </c>
      <c r="BV366" s="55">
        <f>N(L366)+N(M366)</f>
        <v/>
      </c>
      <c r="BW366" s="55">
        <f>ROUNDUP(G366/BN366,0)</f>
        <v/>
      </c>
      <c r="BX366" s="55">
        <f>ROUNDUP(BU366/BN366,0)</f>
        <v/>
      </c>
      <c r="BY366" s="58">
        <f>IF(BO366=1,0,IFERROR(VLOOKUP(BM366,'Gebinde-Kategorie'!$A$5:$G$45,5,0)+0,0))</f>
        <v/>
      </c>
      <c r="BZ366" s="58">
        <f>IFERROR(IF(OR(BQ366=1,BQ366=2,BQ366=3),N(INDEX(Parameter!$I$5:$I$7,BQ366)),0),0)</f>
        <v/>
      </c>
    </row>
    <row r="367">
      <c r="A367" s="53" t="inlineStr">
        <is>
          <t>107232</t>
        </is>
      </c>
      <c r="B367" s="53" t="inlineStr">
        <is>
          <t>Schraubenzieher-Satz</t>
        </is>
      </c>
      <c r="C367" s="53" t="inlineStr">
        <is>
          <t>F</t>
        </is>
      </c>
      <c r="D367" s="53" t="inlineStr">
        <is>
          <t>KTL</t>
        </is>
      </c>
      <c r="E367" s="53" t="inlineStr">
        <is>
          <t>C</t>
        </is>
      </c>
      <c r="F367" s="54" t="n">
        <v>49.23</v>
      </c>
      <c r="G367" s="55">
        <f>MAX(0,IF(Parameter!$B$20="Jahresanfang 2025 + Export",BG367+BF367,BF367))</f>
        <v/>
      </c>
      <c r="H367" s="55">
        <f>G367*F367</f>
        <v/>
      </c>
      <c r="I367" s="55">
        <f>BI367*Parameter!$B$18</f>
        <v/>
      </c>
      <c r="J367" s="56" t="n">
        <v>5</v>
      </c>
      <c r="K367" s="57" t="n">
        <v>0.2</v>
      </c>
      <c r="L367" s="55" t="n">
        <v>0</v>
      </c>
      <c r="M367" s="55" t="n">
        <v>1</v>
      </c>
      <c r="N367" s="58" t="n">
        <v>14</v>
      </c>
      <c r="O367" s="53" t="inlineStr">
        <is>
          <t>S52</t>
        </is>
      </c>
      <c r="P367" s="55" t="n">
        <v>10</v>
      </c>
      <c r="Q367" s="59">
        <f>IF(BO367=1,0,IFERROR(VLOOKUP(BM367,'Gebinde-Kategorie'!$A$5:$G$45,6,0)+0,0))</f>
        <v/>
      </c>
      <c r="R367" s="60" t="n"/>
      <c r="S367" s="61" t="n"/>
      <c r="T367" s="61" t="n"/>
      <c r="U367" s="53">
        <f>IF(A367="","",IF(IFERROR(VLOOKUP(D367,Parameter!$A$35:$C$64,2,0),"Nein")="2+3",IF(ISNUMBER(SEARCH("grosser Artikel",BJ367)),2,IFERROR(VLOOKUP(BM367,Parameter!$F$35:$G$64,2,0),2)),IF(OR(IFERROR(VLOOKUP(D367,Parameter!$A$35:$C$64,2,0),"Nein")="Nein",IFERROR(VLOOKUP(D367,Parameter!$A$35:$C$64,2,0),"Nein")=""),"-",VLOOKUP(D367,Parameter!$A$35:$C$64,2,0))))</f>
        <v/>
      </c>
      <c r="V367" s="61" t="n"/>
      <c r="W367" s="62" t="n"/>
      <c r="X367" s="55">
        <f>AM367</f>
        <v/>
      </c>
      <c r="Y367" s="55">
        <f>MAX(AM367,G367)</f>
        <v/>
      </c>
      <c r="Z367" s="63" t="n"/>
      <c r="AA367" s="55">
        <f>IF(LEFT(Cockpit!$C$5,1)="A",G367,IF(BT367=1,BU367,IF(LEFT(Cockpit!$C$5,1)="B",AE367,MAX(AE367,G367))))</f>
        <v/>
      </c>
      <c r="AB367" s="55">
        <f>IF(BO367=1,0,ROUNDUP(AA367/BN367,0))</f>
        <v/>
      </c>
      <c r="AC367" s="64">
        <f>IF(BO367=1,IF(AA367&lt;=0,0,BP367*MAX(1,IF(G367&gt;0,AA367/G367,1))),AB367*Q367)</f>
        <v/>
      </c>
      <c r="AD367" s="55">
        <f>AA367*F367</f>
        <v/>
      </c>
      <c r="AE367" s="55">
        <f>ROUNDUP(MAX(I367/IF(BS367&gt;0,BS367,MAX(0.1,N(Cockpit!$C$6))),BV367)/BN367,0)*BN367</f>
        <v/>
      </c>
      <c r="AF367" s="56">
        <f>IF(AC367&gt;0,I367/AC367,-1)</f>
        <v/>
      </c>
      <c r="AG367" s="56">
        <f>IF(AND(OR(BR367="L1",BR367="L23"),AC367&gt;0),SUMIFS($AC$7:$AC$1570,$BR$7:$BR$1570,BR367,$AF$7:$AF$1570,"&gt;"&amp;AF367)+SUMIFS($AC$7:$AC$1570,$BR$7:$BR$1570,BR367,$AF$7:$AF$1570,AF367,$BL$7:$BL$1570,"&lt;="&amp;BL367),"")</f>
        <v/>
      </c>
      <c r="AH367" s="65">
        <f>IF(AG367="",0,MAX(0,MIN(1,(IF(BR367="L1",Parameter!$K$5,Parameter!$K$6+Parameter!$K$7)-(AG367-AC367))/AC367)))</f>
        <v/>
      </c>
      <c r="AI367" s="55">
        <f>IF(LEFT(Cockpit!$I$5,1)="A",G367,IF(BT367=1,BU367,IF(LEFT(Cockpit!$I$5,1)="B",AM367,MAX(AM367,G367))))</f>
        <v/>
      </c>
      <c r="AJ367" s="55">
        <f>IF(BO367=1,0,ROUNDUP(AI367/BN367,0))</f>
        <v/>
      </c>
      <c r="AK367" s="64">
        <f>IF(BO367=1,IF(AI367&lt;=0,0,BP367*MAX(1,IF(G367&gt;0,AI367/G367,1))),AJ367*Q367)</f>
        <v/>
      </c>
      <c r="AL367" s="55">
        <f>AI367*F367</f>
        <v/>
      </c>
      <c r="AM367" s="55">
        <f>ROUNDUP(MAX(I367/IF(BS367&gt;0,BS367,MAX(0.1,N(Cockpit!$I$6))),BV367)/BN367,0)*BN367</f>
        <v/>
      </c>
      <c r="AN367" s="56">
        <f>IF(AK367&gt;0,I367/AK367,-1)</f>
        <v/>
      </c>
      <c r="AO367" s="56">
        <f>IF(AND(OR(BR367="L1",BR367="L23"),AK367&gt;0),SUMIFS($AK$7:$AK$1570,$BR$7:$BR$1570,BR367,$AN$7:$AN$1570,"&gt;"&amp;AN367)+SUMIFS($AK$7:$AK$1570,$BR$7:$BR$1570,BR367,$AN$7:$AN$1570,AN367,$BL$7:$BL$1570,"&lt;="&amp;BL367),"")</f>
        <v/>
      </c>
      <c r="AP367" s="65">
        <f>IF(AO367="",0,MAX(0,MIN(1,(IF(BR367="L1",Parameter!$K$5,Parameter!$K$6+Parameter!$K$7)-(AO367-AK367))/AK367)))</f>
        <v/>
      </c>
      <c r="AQ367" s="55">
        <f>IF(LEFT(Cockpit!$O$5,1)="A",G367,IF(BT367=1,BU367,IF(LEFT(Cockpit!$O$5,1)="B",AU367,MAX(AU367,G367))))</f>
        <v/>
      </c>
      <c r="AR367" s="55">
        <f>IF(BO367=1,0,ROUNDUP(AQ367/BN367,0))</f>
        <v/>
      </c>
      <c r="AS367" s="64">
        <f>IF(BO367=1,IF(AQ367&lt;=0,0,BP367*MAX(1,IF(G367&gt;0,AQ367/G367,1))),AR367*Q367)</f>
        <v/>
      </c>
      <c r="AT367" s="55">
        <f>AQ367*F367</f>
        <v/>
      </c>
      <c r="AU367" s="55">
        <f>ROUNDUP(MAX(I367/IF(BS367&gt;0,BS367,MAX(0.1,N(Cockpit!$O$6))),BV367)/BN367,0)*BN367</f>
        <v/>
      </c>
      <c r="AV367" s="56">
        <f>IF(AS367&gt;0,I367/AS367,-1)</f>
        <v/>
      </c>
      <c r="AW367" s="56">
        <f>IF(AND(OR(BR367="L1",BR367="L23"),AS367&gt;0),SUMIFS($AS$7:$AS$1570,$BR$7:$BR$1570,BR367,$AV$7:$AV$1570,"&gt;"&amp;AV367)+SUMIFS($AS$7:$AS$1570,$BR$7:$BR$1570,BR367,$AV$7:$AV$1570,AV367,$BL$7:$BL$1570,"&lt;="&amp;BL367),"")</f>
        <v/>
      </c>
      <c r="AX367" s="65">
        <f>IF(AW367="",0,MAX(0,MIN(1,(IF(BR367="L1",Parameter!$K$5,Parameter!$K$6+Parameter!$K$7)-(AW367-AS367))/AS367)))</f>
        <v/>
      </c>
      <c r="AY367" s="53">
        <f>IF(AC367&lt;=0,"",IF(BR367="Aussen","Aussenlager",IF(BR367="-","Nicht im Lift",IF(AH367&gt;=1,"Lift",IF(AH367&lt;=0,"Aussenlager","teilweise")))))</f>
        <v/>
      </c>
      <c r="AZ367" s="53">
        <f>IF(AK367&lt;=0,"",IF(BR367="Aussen","Aussenlager",IF(BR367="-","Nicht im Lift",IF(AP367&gt;=1,"Lift",IF(AP367&lt;=0,"Aussenlager","teilweise")))))</f>
        <v/>
      </c>
      <c r="BA367" s="53">
        <f>IF(AS367&lt;=0,"",IF(BR367="Aussen","Aussenlager",IF(BR367="-","Nicht im Lift",IF(AX367&gt;=1,"Lift",IF(AX367&lt;=0,"Aussenlager","teilweise")))))</f>
        <v/>
      </c>
      <c r="BB367" s="53">
        <f>IF(A367="","",IF(BK367=1,"Neu; ","")&amp;IF(AND(BK367=0,BF367&lt;0),"negativer Bestand (Export "&amp;BF367&amp;"); ","")&amp;IF(I367&lt;=0,"Kein Verbrauch; ","")&amp;IF(BO367=1,"Lose – Fläche geschätzt; ","")&amp;IF(G367&gt;AM367,"Überbestand "&amp;ROUND(G367-AM367,0)&amp;" Stk / CHF "&amp;ROUND((G367-AM367)*F367,0)&amp;"; ","")&amp;IF(AND(BT367=1,BU367&lt;BV367),"MAX &lt; MB+LG; ","")&amp;IF(AND(BZ367&gt;0,BY367*10&gt;BZ367),"zu hoch für Tablar; ","")&amp;IF(AND(BK367=0,OR(BT367=1,V367&lt;&gt;"",S367&lt;&gt;"",T367&lt;&gt;"",W367&lt;&gt;"")),"manuell übersteuert; ","")&amp;IF(AND(BO367=0,Q367=0),"Gebinde unbekannt; ","")&amp;IF(AND(BO367=0,N(T367)&lt;=0,N(P367)&lt;=0),"Menge pro Gebinde fehlt (Ist = 1 Gebinde); ","")&amp;BJ367)</f>
        <v/>
      </c>
      <c r="BC367" s="53" t="n"/>
      <c r="BD367" s="53" t="n"/>
      <c r="BE367" s="61" t="n"/>
      <c r="BF367" s="55" t="n">
        <v>3</v>
      </c>
      <c r="BG367" s="55" t="n">
        <v>4</v>
      </c>
      <c r="BH367" s="54" t="n">
        <v>151.81</v>
      </c>
      <c r="BI367" s="55" t="n">
        <v>1</v>
      </c>
      <c r="BJ367" s="53" t="inlineStr"/>
      <c r="BK367" s="58" t="n">
        <v>0</v>
      </c>
      <c r="BL367" s="58" t="n">
        <v>367</v>
      </c>
      <c r="BM367" s="53">
        <f>IF(S367&lt;&gt;"",UPPER(TRIM(S367)),IF(O367="","LOSE",O367))</f>
        <v/>
      </c>
      <c r="BN367" s="55">
        <f>IF(BM367="LOSE",1,IF(N(T367)&gt;0,T367,IF(N(P367)&gt;0,P367,MAX(1,G367))))</f>
        <v/>
      </c>
      <c r="BO367" s="58">
        <f>IF(BM367="LOSE",1,0)</f>
        <v/>
      </c>
      <c r="BP367" s="64">
        <f>IF(BO367=0,0,IF(N(R367)&gt;0,R367,IFERROR(VLOOKUP(D367,Parameter!$A$35:$C$64,3,0)+0,0)))</f>
        <v/>
      </c>
      <c r="BQ367" s="53">
        <f>IF(V367&lt;&gt;"",V367,U367)</f>
        <v/>
      </c>
      <c r="BR367" s="53">
        <f>IF(BQ367=1,"L1",IF(OR(BQ367=2,BQ367=3),"L23",IF(BQ367="Aussen","Aussen","-")))</f>
        <v/>
      </c>
      <c r="BS367" s="66">
        <f>IF(N(W367)&gt;0,W367,0)</f>
        <v/>
      </c>
      <c r="BT367" s="58">
        <f>IF(ISNUMBER(Z367),1,0)</f>
        <v/>
      </c>
      <c r="BU367" s="55">
        <f>N(Z367)</f>
        <v/>
      </c>
      <c r="BV367" s="55">
        <f>N(L367)+N(M367)</f>
        <v/>
      </c>
      <c r="BW367" s="55">
        <f>ROUNDUP(G367/BN367,0)</f>
        <v/>
      </c>
      <c r="BX367" s="55">
        <f>ROUNDUP(BU367/BN367,0)</f>
        <v/>
      </c>
      <c r="BY367" s="58">
        <f>IF(BO367=1,0,IFERROR(VLOOKUP(BM367,'Gebinde-Kategorie'!$A$5:$G$45,5,0)+0,0))</f>
        <v/>
      </c>
      <c r="BZ367" s="58">
        <f>IFERROR(IF(OR(BQ367=1,BQ367=2,BQ367=3),N(INDEX(Parameter!$I$5:$I$7,BQ367)),0),0)</f>
        <v/>
      </c>
    </row>
    <row r="368">
      <c r="A368" s="53" t="inlineStr">
        <is>
          <t>101121</t>
        </is>
      </c>
      <c r="B368" s="53" t="inlineStr">
        <is>
          <t>Quetschring</t>
        </is>
      </c>
      <c r="C368" s="53" t="inlineStr">
        <is>
          <t>F</t>
        </is>
      </c>
      <c r="D368" s="53" t="inlineStr">
        <is>
          <t>KTL</t>
        </is>
      </c>
      <c r="E368" s="53" t="inlineStr">
        <is>
          <t>C</t>
        </is>
      </c>
      <c r="F368" s="54" t="n">
        <v>3.89</v>
      </c>
      <c r="G368" s="55">
        <f>MAX(0,IF(Parameter!$B$20="Jahresanfang 2025 + Export",BG368+BF368,BF368))</f>
        <v/>
      </c>
      <c r="H368" s="55">
        <f>G368*F368</f>
        <v/>
      </c>
      <c r="I368" s="55">
        <f>BI368*Parameter!$B$18</f>
        <v/>
      </c>
      <c r="J368" s="56" t="n">
        <v>70.5</v>
      </c>
      <c r="K368" s="57" t="n">
        <v>0.2978723404255319</v>
      </c>
      <c r="L368" s="55" t="n">
        <v>3</v>
      </c>
      <c r="M368" s="55" t="n">
        <v>20</v>
      </c>
      <c r="N368" s="58" t="n">
        <v>56</v>
      </c>
      <c r="O368" s="53" t="inlineStr">
        <is>
          <t>S21</t>
        </is>
      </c>
      <c r="P368" s="55" t="n">
        <v>69</v>
      </c>
      <c r="Q368" s="59">
        <f>IF(BO368=1,0,IFERROR(VLOOKUP(BM368,'Gebinde-Kategorie'!$A$5:$G$45,6,0)+0,0))</f>
        <v/>
      </c>
      <c r="R368" s="60" t="n"/>
      <c r="S368" s="61" t="n"/>
      <c r="T368" s="61" t="n"/>
      <c r="U368" s="53">
        <f>IF(A368="","",IF(IFERROR(VLOOKUP(D368,Parameter!$A$35:$C$64,2,0),"Nein")="2+3",IF(ISNUMBER(SEARCH("grosser Artikel",BJ368)),2,IFERROR(VLOOKUP(BM368,Parameter!$F$35:$G$64,2,0),2)),IF(OR(IFERROR(VLOOKUP(D368,Parameter!$A$35:$C$64,2,0),"Nein")="Nein",IFERROR(VLOOKUP(D368,Parameter!$A$35:$C$64,2,0),"Nein")=""),"-",VLOOKUP(D368,Parameter!$A$35:$C$64,2,0))))</f>
        <v/>
      </c>
      <c r="V368" s="61" t="n"/>
      <c r="W368" s="62" t="n"/>
      <c r="X368" s="55">
        <f>AM368</f>
        <v/>
      </c>
      <c r="Y368" s="55">
        <f>MAX(AM368,G368)</f>
        <v/>
      </c>
      <c r="Z368" s="63" t="n"/>
      <c r="AA368" s="55">
        <f>IF(LEFT(Cockpit!$C$5,1)="A",G368,IF(BT368=1,BU368,IF(LEFT(Cockpit!$C$5,1)="B",AE368,MAX(AE368,G368))))</f>
        <v/>
      </c>
      <c r="AB368" s="55">
        <f>IF(BO368=1,0,ROUNDUP(AA368/BN368,0))</f>
        <v/>
      </c>
      <c r="AC368" s="64">
        <f>IF(BO368=1,IF(AA368&lt;=0,0,BP368*MAX(1,IF(G368&gt;0,AA368/G368,1))),AB368*Q368)</f>
        <v/>
      </c>
      <c r="AD368" s="55">
        <f>AA368*F368</f>
        <v/>
      </c>
      <c r="AE368" s="55">
        <f>ROUNDUP(MAX(I368/IF(BS368&gt;0,BS368,MAX(0.1,N(Cockpit!$C$6))),BV368)/BN368,0)*BN368</f>
        <v/>
      </c>
      <c r="AF368" s="56">
        <f>IF(AC368&gt;0,I368/AC368,-1)</f>
        <v/>
      </c>
      <c r="AG368" s="56">
        <f>IF(AND(OR(BR368="L1",BR368="L23"),AC368&gt;0),SUMIFS($AC$7:$AC$1570,$BR$7:$BR$1570,BR368,$AF$7:$AF$1570,"&gt;"&amp;AF368)+SUMIFS($AC$7:$AC$1570,$BR$7:$BR$1570,BR368,$AF$7:$AF$1570,AF368,$BL$7:$BL$1570,"&lt;="&amp;BL368),"")</f>
        <v/>
      </c>
      <c r="AH368" s="65">
        <f>IF(AG368="",0,MAX(0,MIN(1,(IF(BR368="L1",Parameter!$K$5,Parameter!$K$6+Parameter!$K$7)-(AG368-AC368))/AC368)))</f>
        <v/>
      </c>
      <c r="AI368" s="55">
        <f>IF(LEFT(Cockpit!$I$5,1)="A",G368,IF(BT368=1,BU368,IF(LEFT(Cockpit!$I$5,1)="B",AM368,MAX(AM368,G368))))</f>
        <v/>
      </c>
      <c r="AJ368" s="55">
        <f>IF(BO368=1,0,ROUNDUP(AI368/BN368,0))</f>
        <v/>
      </c>
      <c r="AK368" s="64">
        <f>IF(BO368=1,IF(AI368&lt;=0,0,BP368*MAX(1,IF(G368&gt;0,AI368/G368,1))),AJ368*Q368)</f>
        <v/>
      </c>
      <c r="AL368" s="55">
        <f>AI368*F368</f>
        <v/>
      </c>
      <c r="AM368" s="55">
        <f>ROUNDUP(MAX(I368/IF(BS368&gt;0,BS368,MAX(0.1,N(Cockpit!$I$6))),BV368)/BN368,0)*BN368</f>
        <v/>
      </c>
      <c r="AN368" s="56">
        <f>IF(AK368&gt;0,I368/AK368,-1)</f>
        <v/>
      </c>
      <c r="AO368" s="56">
        <f>IF(AND(OR(BR368="L1",BR368="L23"),AK368&gt;0),SUMIFS($AK$7:$AK$1570,$BR$7:$BR$1570,BR368,$AN$7:$AN$1570,"&gt;"&amp;AN368)+SUMIFS($AK$7:$AK$1570,$BR$7:$BR$1570,BR368,$AN$7:$AN$1570,AN368,$BL$7:$BL$1570,"&lt;="&amp;BL368),"")</f>
        <v/>
      </c>
      <c r="AP368" s="65">
        <f>IF(AO368="",0,MAX(0,MIN(1,(IF(BR368="L1",Parameter!$K$5,Parameter!$K$6+Parameter!$K$7)-(AO368-AK368))/AK368)))</f>
        <v/>
      </c>
      <c r="AQ368" s="55">
        <f>IF(LEFT(Cockpit!$O$5,1)="A",G368,IF(BT368=1,BU368,IF(LEFT(Cockpit!$O$5,1)="B",AU368,MAX(AU368,G368))))</f>
        <v/>
      </c>
      <c r="AR368" s="55">
        <f>IF(BO368=1,0,ROUNDUP(AQ368/BN368,0))</f>
        <v/>
      </c>
      <c r="AS368" s="64">
        <f>IF(BO368=1,IF(AQ368&lt;=0,0,BP368*MAX(1,IF(G368&gt;0,AQ368/G368,1))),AR368*Q368)</f>
        <v/>
      </c>
      <c r="AT368" s="55">
        <f>AQ368*F368</f>
        <v/>
      </c>
      <c r="AU368" s="55">
        <f>ROUNDUP(MAX(I368/IF(BS368&gt;0,BS368,MAX(0.1,N(Cockpit!$O$6))),BV368)/BN368,0)*BN368</f>
        <v/>
      </c>
      <c r="AV368" s="56">
        <f>IF(AS368&gt;0,I368/AS368,-1)</f>
        <v/>
      </c>
      <c r="AW368" s="56">
        <f>IF(AND(OR(BR368="L1",BR368="L23"),AS368&gt;0),SUMIFS($AS$7:$AS$1570,$BR$7:$BR$1570,BR368,$AV$7:$AV$1570,"&gt;"&amp;AV368)+SUMIFS($AS$7:$AS$1570,$BR$7:$BR$1570,BR368,$AV$7:$AV$1570,AV368,$BL$7:$BL$1570,"&lt;="&amp;BL368),"")</f>
        <v/>
      </c>
      <c r="AX368" s="65">
        <f>IF(AW368="",0,MAX(0,MIN(1,(IF(BR368="L1",Parameter!$K$5,Parameter!$K$6+Parameter!$K$7)-(AW368-AS368))/AS368)))</f>
        <v/>
      </c>
      <c r="AY368" s="53">
        <f>IF(AC368&lt;=0,"",IF(BR368="Aussen","Aussenlager",IF(BR368="-","Nicht im Lift",IF(AH368&gt;=1,"Lift",IF(AH368&lt;=0,"Aussenlager","teilweise")))))</f>
        <v/>
      </c>
      <c r="AZ368" s="53">
        <f>IF(AK368&lt;=0,"",IF(BR368="Aussen","Aussenlager",IF(BR368="-","Nicht im Lift",IF(AP368&gt;=1,"Lift",IF(AP368&lt;=0,"Aussenlager","teilweise")))))</f>
        <v/>
      </c>
      <c r="BA368" s="53">
        <f>IF(AS368&lt;=0,"",IF(BR368="Aussen","Aussenlager",IF(BR368="-","Nicht im Lift",IF(AX368&gt;=1,"Lift",IF(AX368&lt;=0,"Aussenlager","teilweise")))))</f>
        <v/>
      </c>
      <c r="BB368" s="53">
        <f>IF(A368="","",IF(BK368=1,"Neu; ","")&amp;IF(AND(BK368=0,BF368&lt;0),"negativer Bestand (Export "&amp;BF368&amp;"); ","")&amp;IF(I368&lt;=0,"Kein Verbrauch; ","")&amp;IF(BO368=1,"Lose – Fläche geschätzt; ","")&amp;IF(G368&gt;AM368,"Überbestand "&amp;ROUND(G368-AM368,0)&amp;" Stk / CHF "&amp;ROUND((G368-AM368)*F368,0)&amp;"; ","")&amp;IF(AND(BT368=1,BU368&lt;BV368),"MAX &lt; MB+LG; ","")&amp;IF(AND(BZ368&gt;0,BY368*10&gt;BZ368),"zu hoch für Tablar; ","")&amp;IF(AND(BK368=0,OR(BT368=1,V368&lt;&gt;"",S368&lt;&gt;"",T368&lt;&gt;"",W368&lt;&gt;"")),"manuell übersteuert; ","")&amp;IF(AND(BO368=0,Q368=0),"Gebinde unbekannt; ","")&amp;IF(AND(BO368=0,N(T368)&lt;=0,N(P368)&lt;=0),"Menge pro Gebinde fehlt (Ist = 1 Gebinde); ","")&amp;BJ368)</f>
        <v/>
      </c>
      <c r="BC368" s="53" t="n"/>
      <c r="BD368" s="53" t="n"/>
      <c r="BE368" s="61" t="n"/>
      <c r="BF368" s="55" t="n">
        <v>37</v>
      </c>
      <c r="BG368" s="55" t="n">
        <v>38</v>
      </c>
      <c r="BH368" s="54" t="n">
        <v>151.28</v>
      </c>
      <c r="BI368" s="55" t="n">
        <v>21</v>
      </c>
      <c r="BJ368" s="53" t="inlineStr"/>
      <c r="BK368" s="58" t="n">
        <v>0</v>
      </c>
      <c r="BL368" s="58" t="n">
        <v>368</v>
      </c>
      <c r="BM368" s="53">
        <f>IF(S368&lt;&gt;"",UPPER(TRIM(S368)),IF(O368="","LOSE",O368))</f>
        <v/>
      </c>
      <c r="BN368" s="55">
        <f>IF(BM368="LOSE",1,IF(N(T368)&gt;0,T368,IF(N(P368)&gt;0,P368,MAX(1,G368))))</f>
        <v/>
      </c>
      <c r="BO368" s="58">
        <f>IF(BM368="LOSE",1,0)</f>
        <v/>
      </c>
      <c r="BP368" s="64">
        <f>IF(BO368=0,0,IF(N(R368)&gt;0,R368,IFERROR(VLOOKUP(D368,Parameter!$A$35:$C$64,3,0)+0,0)))</f>
        <v/>
      </c>
      <c r="BQ368" s="53">
        <f>IF(V368&lt;&gt;"",V368,U368)</f>
        <v/>
      </c>
      <c r="BR368" s="53">
        <f>IF(BQ368=1,"L1",IF(OR(BQ368=2,BQ368=3),"L23",IF(BQ368="Aussen","Aussen","-")))</f>
        <v/>
      </c>
      <c r="BS368" s="66">
        <f>IF(N(W368)&gt;0,W368,0)</f>
        <v/>
      </c>
      <c r="BT368" s="58">
        <f>IF(ISNUMBER(Z368),1,0)</f>
        <v/>
      </c>
      <c r="BU368" s="55">
        <f>N(Z368)</f>
        <v/>
      </c>
      <c r="BV368" s="55">
        <f>N(L368)+N(M368)</f>
        <v/>
      </c>
      <c r="BW368" s="55">
        <f>ROUNDUP(G368/BN368,0)</f>
        <v/>
      </c>
      <c r="BX368" s="55">
        <f>ROUNDUP(BU368/BN368,0)</f>
        <v/>
      </c>
      <c r="BY368" s="58">
        <f>IF(BO368=1,0,IFERROR(VLOOKUP(BM368,'Gebinde-Kategorie'!$A$5:$G$45,5,0)+0,0))</f>
        <v/>
      </c>
      <c r="BZ368" s="58">
        <f>IFERROR(IF(OR(BQ368=1,BQ368=2,BQ368=3),N(INDEX(Parameter!$I$5:$I$7,BQ368)),0),0)</f>
        <v/>
      </c>
    </row>
    <row r="369">
      <c r="A369" s="53" t="inlineStr">
        <is>
          <t>005387</t>
        </is>
      </c>
      <c r="B369" s="53" t="inlineStr">
        <is>
          <t>Übergangsteil</t>
        </is>
      </c>
      <c r="C369" s="53" t="inlineStr">
        <is>
          <t>F</t>
        </is>
      </c>
      <c r="D369" s="53" t="inlineStr">
        <is>
          <t>KTL</t>
        </is>
      </c>
      <c r="E369" s="53" t="inlineStr">
        <is>
          <t>C</t>
        </is>
      </c>
      <c r="F369" s="54" t="n">
        <v>12.66</v>
      </c>
      <c r="G369" s="55">
        <f>MAX(0,IF(Parameter!$B$20="Jahresanfang 2025 + Export",BG369+BF369,BF369))</f>
        <v/>
      </c>
      <c r="H369" s="55">
        <f>G369*F369</f>
        <v/>
      </c>
      <c r="I369" s="55">
        <f>BI369*Parameter!$B$18</f>
        <v/>
      </c>
      <c r="J369" s="56" t="n">
        <v>3.5</v>
      </c>
      <c r="K369" s="57" t="n">
        <v>2</v>
      </c>
      <c r="L369" s="55" t="n">
        <v>0</v>
      </c>
      <c r="M369" s="55" t="n">
        <v>5</v>
      </c>
      <c r="N369" s="58" t="n">
        <v>18</v>
      </c>
      <c r="O369" s="53" t="inlineStr">
        <is>
          <t>S32</t>
        </is>
      </c>
      <c r="P369" s="55" t="n">
        <v>10</v>
      </c>
      <c r="Q369" s="59">
        <f>IF(BO369=1,0,IFERROR(VLOOKUP(BM369,'Gebinde-Kategorie'!$A$5:$G$45,6,0)+0,0))</f>
        <v/>
      </c>
      <c r="R369" s="60" t="n"/>
      <c r="S369" s="61" t="n"/>
      <c r="T369" s="61" t="n"/>
      <c r="U369" s="53">
        <f>IF(A369="","",IF(IFERROR(VLOOKUP(D369,Parameter!$A$35:$C$64,2,0),"Nein")="2+3",IF(ISNUMBER(SEARCH("grosser Artikel",BJ369)),2,IFERROR(VLOOKUP(BM369,Parameter!$F$35:$G$64,2,0),2)),IF(OR(IFERROR(VLOOKUP(D369,Parameter!$A$35:$C$64,2,0),"Nein")="Nein",IFERROR(VLOOKUP(D369,Parameter!$A$35:$C$64,2,0),"Nein")=""),"-",VLOOKUP(D369,Parameter!$A$35:$C$64,2,0))))</f>
        <v/>
      </c>
      <c r="V369" s="61" t="n"/>
      <c r="W369" s="62" t="n"/>
      <c r="X369" s="55">
        <f>AM369</f>
        <v/>
      </c>
      <c r="Y369" s="55">
        <f>MAX(AM369,G369)</f>
        <v/>
      </c>
      <c r="Z369" s="63" t="n"/>
      <c r="AA369" s="55">
        <f>IF(LEFT(Cockpit!$C$5,1)="A",G369,IF(BT369=1,BU369,IF(LEFT(Cockpit!$C$5,1)="B",AE369,MAX(AE369,G369))))</f>
        <v/>
      </c>
      <c r="AB369" s="55">
        <f>IF(BO369=1,0,ROUNDUP(AA369/BN369,0))</f>
        <v/>
      </c>
      <c r="AC369" s="64">
        <f>IF(BO369=1,IF(AA369&lt;=0,0,BP369*MAX(1,IF(G369&gt;0,AA369/G369,1))),AB369*Q369)</f>
        <v/>
      </c>
      <c r="AD369" s="55">
        <f>AA369*F369</f>
        <v/>
      </c>
      <c r="AE369" s="55">
        <f>ROUNDUP(MAX(I369/IF(BS369&gt;0,BS369,MAX(0.1,N(Cockpit!$C$6))),BV369)/BN369,0)*BN369</f>
        <v/>
      </c>
      <c r="AF369" s="56">
        <f>IF(AC369&gt;0,I369/AC369,-1)</f>
        <v/>
      </c>
      <c r="AG369" s="56">
        <f>IF(AND(OR(BR369="L1",BR369="L23"),AC369&gt;0),SUMIFS($AC$7:$AC$1570,$BR$7:$BR$1570,BR369,$AF$7:$AF$1570,"&gt;"&amp;AF369)+SUMIFS($AC$7:$AC$1570,$BR$7:$BR$1570,BR369,$AF$7:$AF$1570,AF369,$BL$7:$BL$1570,"&lt;="&amp;BL369),"")</f>
        <v/>
      </c>
      <c r="AH369" s="65">
        <f>IF(AG369="",0,MAX(0,MIN(1,(IF(BR369="L1",Parameter!$K$5,Parameter!$K$6+Parameter!$K$7)-(AG369-AC369))/AC369)))</f>
        <v/>
      </c>
      <c r="AI369" s="55">
        <f>IF(LEFT(Cockpit!$I$5,1)="A",G369,IF(BT369=1,BU369,IF(LEFT(Cockpit!$I$5,1)="B",AM369,MAX(AM369,G369))))</f>
        <v/>
      </c>
      <c r="AJ369" s="55">
        <f>IF(BO369=1,0,ROUNDUP(AI369/BN369,0))</f>
        <v/>
      </c>
      <c r="AK369" s="64">
        <f>IF(BO369=1,IF(AI369&lt;=0,0,BP369*MAX(1,IF(G369&gt;0,AI369/G369,1))),AJ369*Q369)</f>
        <v/>
      </c>
      <c r="AL369" s="55">
        <f>AI369*F369</f>
        <v/>
      </c>
      <c r="AM369" s="55">
        <f>ROUNDUP(MAX(I369/IF(BS369&gt;0,BS369,MAX(0.1,N(Cockpit!$I$6))),BV369)/BN369,0)*BN369</f>
        <v/>
      </c>
      <c r="AN369" s="56">
        <f>IF(AK369&gt;0,I369/AK369,-1)</f>
        <v/>
      </c>
      <c r="AO369" s="56">
        <f>IF(AND(OR(BR369="L1",BR369="L23"),AK369&gt;0),SUMIFS($AK$7:$AK$1570,$BR$7:$BR$1570,BR369,$AN$7:$AN$1570,"&gt;"&amp;AN369)+SUMIFS($AK$7:$AK$1570,$BR$7:$BR$1570,BR369,$AN$7:$AN$1570,AN369,$BL$7:$BL$1570,"&lt;="&amp;BL369),"")</f>
        <v/>
      </c>
      <c r="AP369" s="65">
        <f>IF(AO369="",0,MAX(0,MIN(1,(IF(BR369="L1",Parameter!$K$5,Parameter!$K$6+Parameter!$K$7)-(AO369-AK369))/AK369)))</f>
        <v/>
      </c>
      <c r="AQ369" s="55">
        <f>IF(LEFT(Cockpit!$O$5,1)="A",G369,IF(BT369=1,BU369,IF(LEFT(Cockpit!$O$5,1)="B",AU369,MAX(AU369,G369))))</f>
        <v/>
      </c>
      <c r="AR369" s="55">
        <f>IF(BO369=1,0,ROUNDUP(AQ369/BN369,0))</f>
        <v/>
      </c>
      <c r="AS369" s="64">
        <f>IF(BO369=1,IF(AQ369&lt;=0,0,BP369*MAX(1,IF(G369&gt;0,AQ369/G369,1))),AR369*Q369)</f>
        <v/>
      </c>
      <c r="AT369" s="55">
        <f>AQ369*F369</f>
        <v/>
      </c>
      <c r="AU369" s="55">
        <f>ROUNDUP(MAX(I369/IF(BS369&gt;0,BS369,MAX(0.1,N(Cockpit!$O$6))),BV369)/BN369,0)*BN369</f>
        <v/>
      </c>
      <c r="AV369" s="56">
        <f>IF(AS369&gt;0,I369/AS369,-1)</f>
        <v/>
      </c>
      <c r="AW369" s="56">
        <f>IF(AND(OR(BR369="L1",BR369="L23"),AS369&gt;0),SUMIFS($AS$7:$AS$1570,$BR$7:$BR$1570,BR369,$AV$7:$AV$1570,"&gt;"&amp;AV369)+SUMIFS($AS$7:$AS$1570,$BR$7:$BR$1570,BR369,$AV$7:$AV$1570,AV369,$BL$7:$BL$1570,"&lt;="&amp;BL369),"")</f>
        <v/>
      </c>
      <c r="AX369" s="65">
        <f>IF(AW369="",0,MAX(0,MIN(1,(IF(BR369="L1",Parameter!$K$5,Parameter!$K$6+Parameter!$K$7)-(AW369-AS369))/AS369)))</f>
        <v/>
      </c>
      <c r="AY369" s="53">
        <f>IF(AC369&lt;=0,"",IF(BR369="Aussen","Aussenlager",IF(BR369="-","Nicht im Lift",IF(AH369&gt;=1,"Lift",IF(AH369&lt;=0,"Aussenlager","teilweise")))))</f>
        <v/>
      </c>
      <c r="AZ369" s="53">
        <f>IF(AK369&lt;=0,"",IF(BR369="Aussen","Aussenlager",IF(BR369="-","Nicht im Lift",IF(AP369&gt;=1,"Lift",IF(AP369&lt;=0,"Aussenlager","teilweise")))))</f>
        <v/>
      </c>
      <c r="BA369" s="53">
        <f>IF(AS369&lt;=0,"",IF(BR369="Aussen","Aussenlager",IF(BR369="-","Nicht im Lift",IF(AX369&gt;=1,"Lift",IF(AX369&lt;=0,"Aussenlager","teilweise")))))</f>
        <v/>
      </c>
      <c r="BB369" s="53">
        <f>IF(A369="","",IF(BK369=1,"Neu; ","")&amp;IF(AND(BK369=0,BF369&lt;0),"negativer Bestand (Export "&amp;BF369&amp;"); ","")&amp;IF(I369&lt;=0,"Kein Verbrauch; ","")&amp;IF(BO369=1,"Lose – Fläche geschätzt; ","")&amp;IF(G369&gt;AM369,"Überbestand "&amp;ROUND(G369-AM369,0)&amp;" Stk / CHF "&amp;ROUND((G369-AM369)*F369,0)&amp;"; ","")&amp;IF(AND(BT369=1,BU369&lt;BV369),"MAX &lt; MB+LG; ","")&amp;IF(AND(BZ369&gt;0,BY369*10&gt;BZ369),"zu hoch für Tablar; ","")&amp;IF(AND(BK369=0,OR(BT369=1,V369&lt;&gt;"",S369&lt;&gt;"",T369&lt;&gt;"",W369&lt;&gt;"")),"manuell übersteuert; ","")&amp;IF(AND(BO369=0,Q369=0),"Gebinde unbekannt; ","")&amp;IF(AND(BO369=0,N(T369)&lt;=0,N(P369)&lt;=0),"Menge pro Gebinde fehlt (Ist = 1 Gebinde); ","")&amp;BJ369)</f>
        <v/>
      </c>
      <c r="BC369" s="53" t="n"/>
      <c r="BD369" s="53" t="n"/>
      <c r="BE369" s="61" t="n"/>
      <c r="BF369" s="55" t="n">
        <v>12</v>
      </c>
      <c r="BG369" s="55" t="n">
        <v>2</v>
      </c>
      <c r="BH369" s="54" t="n">
        <v>151.28</v>
      </c>
      <c r="BI369" s="55" t="n">
        <v>7</v>
      </c>
      <c r="BJ369" s="53" t="inlineStr"/>
      <c r="BK369" s="58" t="n">
        <v>0</v>
      </c>
      <c r="BL369" s="58" t="n">
        <v>369</v>
      </c>
      <c r="BM369" s="53">
        <f>IF(S369&lt;&gt;"",UPPER(TRIM(S369)),IF(O369="","LOSE",O369))</f>
        <v/>
      </c>
      <c r="BN369" s="55">
        <f>IF(BM369="LOSE",1,IF(N(T369)&gt;0,T369,IF(N(P369)&gt;0,P369,MAX(1,G369))))</f>
        <v/>
      </c>
      <c r="BO369" s="58">
        <f>IF(BM369="LOSE",1,0)</f>
        <v/>
      </c>
      <c r="BP369" s="64">
        <f>IF(BO369=0,0,IF(N(R369)&gt;0,R369,IFERROR(VLOOKUP(D369,Parameter!$A$35:$C$64,3,0)+0,0)))</f>
        <v/>
      </c>
      <c r="BQ369" s="53">
        <f>IF(V369&lt;&gt;"",V369,U369)</f>
        <v/>
      </c>
      <c r="BR369" s="53">
        <f>IF(BQ369=1,"L1",IF(OR(BQ369=2,BQ369=3),"L23",IF(BQ369="Aussen","Aussen","-")))</f>
        <v/>
      </c>
      <c r="BS369" s="66">
        <f>IF(N(W369)&gt;0,W369,0)</f>
        <v/>
      </c>
      <c r="BT369" s="58">
        <f>IF(ISNUMBER(Z369),1,0)</f>
        <v/>
      </c>
      <c r="BU369" s="55">
        <f>N(Z369)</f>
        <v/>
      </c>
      <c r="BV369" s="55">
        <f>N(L369)+N(M369)</f>
        <v/>
      </c>
      <c r="BW369" s="55">
        <f>ROUNDUP(G369/BN369,0)</f>
        <v/>
      </c>
      <c r="BX369" s="55">
        <f>ROUNDUP(BU369/BN369,0)</f>
        <v/>
      </c>
      <c r="BY369" s="58">
        <f>IF(BO369=1,0,IFERROR(VLOOKUP(BM369,'Gebinde-Kategorie'!$A$5:$G$45,5,0)+0,0))</f>
        <v/>
      </c>
      <c r="BZ369" s="58">
        <f>IFERROR(IF(OR(BQ369=1,BQ369=2,BQ369=3),N(INDEX(Parameter!$I$5:$I$7,BQ369)),0),0)</f>
        <v/>
      </c>
    </row>
    <row r="370">
      <c r="A370" s="53" t="inlineStr">
        <is>
          <t>108366</t>
        </is>
      </c>
      <c r="B370" s="53" t="inlineStr">
        <is>
          <t>Stellfuss mit Dämpfer</t>
        </is>
      </c>
      <c r="C370" s="53" t="inlineStr">
        <is>
          <t>F</t>
        </is>
      </c>
      <c r="D370" s="53" t="inlineStr">
        <is>
          <t>KTL</t>
        </is>
      </c>
      <c r="E370" s="53" t="inlineStr">
        <is>
          <t>C</t>
        </is>
      </c>
      <c r="F370" s="54" t="n">
        <v>7.44</v>
      </c>
      <c r="G370" s="55">
        <f>MAX(0,IF(Parameter!$B$20="Jahresanfang 2025 + Export",BG370+BF370,BF370))</f>
        <v/>
      </c>
      <c r="H370" s="55">
        <f>G370*F370</f>
        <v/>
      </c>
      <c r="I370" s="55">
        <f>BI370*Parameter!$B$18</f>
        <v/>
      </c>
      <c r="J370" s="56" t="n">
        <v>12</v>
      </c>
      <c r="K370" s="57" t="n">
        <v>0</v>
      </c>
      <c r="L370" s="55" t="n">
        <v>0</v>
      </c>
      <c r="M370" s="55" t="n">
        <v>1</v>
      </c>
      <c r="N370" s="58" t="n">
        <v>28</v>
      </c>
      <c r="O370" s="53" t="inlineStr">
        <is>
          <t>LOSE</t>
        </is>
      </c>
      <c r="P370" s="55" t="n"/>
      <c r="Q370" s="59">
        <f>IF(BO370=1,0,IFERROR(VLOOKUP(BM370,'Gebinde-Kategorie'!$A$5:$G$45,6,0)+0,0))</f>
        <v/>
      </c>
      <c r="R370" s="60" t="n"/>
      <c r="S370" s="61" t="n"/>
      <c r="T370" s="61" t="n"/>
      <c r="U370" s="53">
        <f>IF(A370="","",IF(IFERROR(VLOOKUP(D370,Parameter!$A$35:$C$64,2,0),"Nein")="2+3",IF(ISNUMBER(SEARCH("grosser Artikel",BJ370)),2,IFERROR(VLOOKUP(BM370,Parameter!$F$35:$G$64,2,0),2)),IF(OR(IFERROR(VLOOKUP(D370,Parameter!$A$35:$C$64,2,0),"Nein")="Nein",IFERROR(VLOOKUP(D370,Parameter!$A$35:$C$64,2,0),"Nein")=""),"-",VLOOKUP(D370,Parameter!$A$35:$C$64,2,0))))</f>
        <v/>
      </c>
      <c r="V370" s="61" t="n"/>
      <c r="W370" s="62" t="n"/>
      <c r="X370" s="55">
        <f>AM370</f>
        <v/>
      </c>
      <c r="Y370" s="55">
        <f>MAX(AM370,G370)</f>
        <v/>
      </c>
      <c r="Z370" s="63" t="n"/>
      <c r="AA370" s="55">
        <f>IF(LEFT(Cockpit!$C$5,1)="A",G370,IF(BT370=1,BU370,IF(LEFT(Cockpit!$C$5,1)="B",AE370,MAX(AE370,G370))))</f>
        <v/>
      </c>
      <c r="AB370" s="55">
        <f>IF(BO370=1,0,ROUNDUP(AA370/BN370,0))</f>
        <v/>
      </c>
      <c r="AC370" s="64">
        <f>IF(BO370=1,IF(AA370&lt;=0,0,BP370*MAX(1,IF(G370&gt;0,AA370/G370,1))),AB370*Q370)</f>
        <v/>
      </c>
      <c r="AD370" s="55">
        <f>AA370*F370</f>
        <v/>
      </c>
      <c r="AE370" s="55">
        <f>ROUNDUP(MAX(I370/IF(BS370&gt;0,BS370,MAX(0.1,N(Cockpit!$C$6))),BV370)/BN370,0)*BN370</f>
        <v/>
      </c>
      <c r="AF370" s="56">
        <f>IF(AC370&gt;0,I370/AC370,-1)</f>
        <v/>
      </c>
      <c r="AG370" s="56">
        <f>IF(AND(OR(BR370="L1",BR370="L23"),AC370&gt;0),SUMIFS($AC$7:$AC$1570,$BR$7:$BR$1570,BR370,$AF$7:$AF$1570,"&gt;"&amp;AF370)+SUMIFS($AC$7:$AC$1570,$BR$7:$BR$1570,BR370,$AF$7:$AF$1570,AF370,$BL$7:$BL$1570,"&lt;="&amp;BL370),"")</f>
        <v/>
      </c>
      <c r="AH370" s="65">
        <f>IF(AG370="",0,MAX(0,MIN(1,(IF(BR370="L1",Parameter!$K$5,Parameter!$K$6+Parameter!$K$7)-(AG370-AC370))/AC370)))</f>
        <v/>
      </c>
      <c r="AI370" s="55">
        <f>IF(LEFT(Cockpit!$I$5,1)="A",G370,IF(BT370=1,BU370,IF(LEFT(Cockpit!$I$5,1)="B",AM370,MAX(AM370,G370))))</f>
        <v/>
      </c>
      <c r="AJ370" s="55">
        <f>IF(BO370=1,0,ROUNDUP(AI370/BN370,0))</f>
        <v/>
      </c>
      <c r="AK370" s="64">
        <f>IF(BO370=1,IF(AI370&lt;=0,0,BP370*MAX(1,IF(G370&gt;0,AI370/G370,1))),AJ370*Q370)</f>
        <v/>
      </c>
      <c r="AL370" s="55">
        <f>AI370*F370</f>
        <v/>
      </c>
      <c r="AM370" s="55">
        <f>ROUNDUP(MAX(I370/IF(BS370&gt;0,BS370,MAX(0.1,N(Cockpit!$I$6))),BV370)/BN370,0)*BN370</f>
        <v/>
      </c>
      <c r="AN370" s="56">
        <f>IF(AK370&gt;0,I370/AK370,-1)</f>
        <v/>
      </c>
      <c r="AO370" s="56">
        <f>IF(AND(OR(BR370="L1",BR370="L23"),AK370&gt;0),SUMIFS($AK$7:$AK$1570,$BR$7:$BR$1570,BR370,$AN$7:$AN$1570,"&gt;"&amp;AN370)+SUMIFS($AK$7:$AK$1570,$BR$7:$BR$1570,BR370,$AN$7:$AN$1570,AN370,$BL$7:$BL$1570,"&lt;="&amp;BL370),"")</f>
        <v/>
      </c>
      <c r="AP370" s="65">
        <f>IF(AO370="",0,MAX(0,MIN(1,(IF(BR370="L1",Parameter!$K$5,Parameter!$K$6+Parameter!$K$7)-(AO370-AK370))/AK370)))</f>
        <v/>
      </c>
      <c r="AQ370" s="55">
        <f>IF(LEFT(Cockpit!$O$5,1)="A",G370,IF(BT370=1,BU370,IF(LEFT(Cockpit!$O$5,1)="B",AU370,MAX(AU370,G370))))</f>
        <v/>
      </c>
      <c r="AR370" s="55">
        <f>IF(BO370=1,0,ROUNDUP(AQ370/BN370,0))</f>
        <v/>
      </c>
      <c r="AS370" s="64">
        <f>IF(BO370=1,IF(AQ370&lt;=0,0,BP370*MAX(1,IF(G370&gt;0,AQ370/G370,1))),AR370*Q370)</f>
        <v/>
      </c>
      <c r="AT370" s="55">
        <f>AQ370*F370</f>
        <v/>
      </c>
      <c r="AU370" s="55">
        <f>ROUNDUP(MAX(I370/IF(BS370&gt;0,BS370,MAX(0.1,N(Cockpit!$O$6))),BV370)/BN370,0)*BN370</f>
        <v/>
      </c>
      <c r="AV370" s="56">
        <f>IF(AS370&gt;0,I370/AS370,-1)</f>
        <v/>
      </c>
      <c r="AW370" s="56">
        <f>IF(AND(OR(BR370="L1",BR370="L23"),AS370&gt;0),SUMIFS($AS$7:$AS$1570,$BR$7:$BR$1570,BR370,$AV$7:$AV$1570,"&gt;"&amp;AV370)+SUMIFS($AS$7:$AS$1570,$BR$7:$BR$1570,BR370,$AV$7:$AV$1570,AV370,$BL$7:$BL$1570,"&lt;="&amp;BL370),"")</f>
        <v/>
      </c>
      <c r="AX370" s="65">
        <f>IF(AW370="",0,MAX(0,MIN(1,(IF(BR370="L1",Parameter!$K$5,Parameter!$K$6+Parameter!$K$7)-(AW370-AS370))/AS370)))</f>
        <v/>
      </c>
      <c r="AY370" s="53">
        <f>IF(AC370&lt;=0,"",IF(BR370="Aussen","Aussenlager",IF(BR370="-","Nicht im Lift",IF(AH370&gt;=1,"Lift",IF(AH370&lt;=0,"Aussenlager","teilweise")))))</f>
        <v/>
      </c>
      <c r="AZ370" s="53">
        <f>IF(AK370&lt;=0,"",IF(BR370="Aussen","Aussenlager",IF(BR370="-","Nicht im Lift",IF(AP370&gt;=1,"Lift",IF(AP370&lt;=0,"Aussenlager","teilweise")))))</f>
        <v/>
      </c>
      <c r="BA370" s="53">
        <f>IF(AS370&lt;=0,"",IF(BR370="Aussen","Aussenlager",IF(BR370="-","Nicht im Lift",IF(AX370&gt;=1,"Lift",IF(AX370&lt;=0,"Aussenlager","teilweise")))))</f>
        <v/>
      </c>
      <c r="BB370" s="53">
        <f>IF(A370="","",IF(BK370=1,"Neu; ","")&amp;IF(AND(BK370=0,BF370&lt;0),"negativer Bestand (Export "&amp;BF370&amp;"); ","")&amp;IF(I370&lt;=0,"Kein Verbrauch; ","")&amp;IF(BO370=1,"Lose – Fläche geschätzt; ","")&amp;IF(G370&gt;AM370,"Überbestand "&amp;ROUND(G370-AM370,0)&amp;" Stk / CHF "&amp;ROUND((G370-AM370)*F370,0)&amp;"; ","")&amp;IF(AND(BT370=1,BU370&lt;BV370),"MAX &lt; MB+LG; ","")&amp;IF(AND(BZ370&gt;0,BY370*10&gt;BZ370),"zu hoch für Tablar; ","")&amp;IF(AND(BK370=0,OR(BT370=1,V370&lt;&gt;"",S370&lt;&gt;"",T370&lt;&gt;"",W370&lt;&gt;"")),"manuell übersteuert; ","")&amp;IF(AND(BO370=0,Q370=0),"Gebinde unbekannt; ","")&amp;IF(AND(BO370=0,N(T370)&lt;=0,N(P370)&lt;=0),"Menge pro Gebinde fehlt (Ist = 1 Gebinde); ","")&amp;BJ370)</f>
        <v/>
      </c>
      <c r="BC370" s="53" t="n"/>
      <c r="BD370" s="53" t="n"/>
      <c r="BE370" s="61" t="n"/>
      <c r="BF370" s="55" t="n">
        <v>20</v>
      </c>
      <c r="BG370" s="55" t="n">
        <v>12</v>
      </c>
      <c r="BH370" s="54" t="n">
        <v>148.8</v>
      </c>
      <c r="BI370" s="55" t="n">
        <v>0</v>
      </c>
      <c r="BJ370" s="53" t="inlineStr"/>
      <c r="BK370" s="58" t="n">
        <v>0</v>
      </c>
      <c r="BL370" s="58" t="n">
        <v>370</v>
      </c>
      <c r="BM370" s="53">
        <f>IF(S370&lt;&gt;"",UPPER(TRIM(S370)),IF(O370="","LOSE",O370))</f>
        <v/>
      </c>
      <c r="BN370" s="55">
        <f>IF(BM370="LOSE",1,IF(N(T370)&gt;0,T370,IF(N(P370)&gt;0,P370,MAX(1,G370))))</f>
        <v/>
      </c>
      <c r="BO370" s="58">
        <f>IF(BM370="LOSE",1,0)</f>
        <v/>
      </c>
      <c r="BP370" s="64">
        <f>IF(BO370=0,0,IF(N(R370)&gt;0,R370,IFERROR(VLOOKUP(D370,Parameter!$A$35:$C$64,3,0)+0,0)))</f>
        <v/>
      </c>
      <c r="BQ370" s="53">
        <f>IF(V370&lt;&gt;"",V370,U370)</f>
        <v/>
      </c>
      <c r="BR370" s="53">
        <f>IF(BQ370=1,"L1",IF(OR(BQ370=2,BQ370=3),"L23",IF(BQ370="Aussen","Aussen","-")))</f>
        <v/>
      </c>
      <c r="BS370" s="66">
        <f>IF(N(W370)&gt;0,W370,0)</f>
        <v/>
      </c>
      <c r="BT370" s="58">
        <f>IF(ISNUMBER(Z370),1,0)</f>
        <v/>
      </c>
      <c r="BU370" s="55">
        <f>N(Z370)</f>
        <v/>
      </c>
      <c r="BV370" s="55">
        <f>N(L370)+N(M370)</f>
        <v/>
      </c>
      <c r="BW370" s="55">
        <f>ROUNDUP(G370/BN370,0)</f>
        <v/>
      </c>
      <c r="BX370" s="55">
        <f>ROUNDUP(BU370/BN370,0)</f>
        <v/>
      </c>
      <c r="BY370" s="58">
        <f>IF(BO370=1,0,IFERROR(VLOOKUP(BM370,'Gebinde-Kategorie'!$A$5:$G$45,5,0)+0,0))</f>
        <v/>
      </c>
      <c r="BZ370" s="58">
        <f>IFERROR(IF(OR(BQ370=1,BQ370=2,BQ370=3),N(INDEX(Parameter!$I$5:$I$7,BQ370)),0),0)</f>
        <v/>
      </c>
    </row>
    <row r="371">
      <c r="A371" s="53" t="inlineStr">
        <is>
          <t>103375</t>
        </is>
      </c>
      <c r="B371" s="53" t="inlineStr">
        <is>
          <t>Glühkerzenhalter</t>
        </is>
      </c>
      <c r="C371" s="53" t="inlineStr">
        <is>
          <t>F</t>
        </is>
      </c>
      <c r="D371" s="53" t="inlineStr">
        <is>
          <t>KTL</t>
        </is>
      </c>
      <c r="E371" s="53" t="inlineStr">
        <is>
          <t>C</t>
        </is>
      </c>
      <c r="F371" s="54" t="n">
        <v>28.04</v>
      </c>
      <c r="G371" s="55">
        <f>MAX(0,IF(Parameter!$B$20="Jahresanfang 2025 + Export",BG371+BF371,BF371))</f>
        <v/>
      </c>
      <c r="H371" s="55">
        <f>G371*F371</f>
        <v/>
      </c>
      <c r="I371" s="55">
        <f>BI371*Parameter!$B$18</f>
        <v/>
      </c>
      <c r="J371" s="56" t="n">
        <v>130.5</v>
      </c>
      <c r="K371" s="57" t="n">
        <v>1.670498084291188</v>
      </c>
      <c r="L371" s="55" t="n">
        <v>55</v>
      </c>
      <c r="M371" s="55" t="n">
        <v>130</v>
      </c>
      <c r="N371" s="58" t="n">
        <v>84</v>
      </c>
      <c r="O371" s="53" t="inlineStr">
        <is>
          <t>S32</t>
        </is>
      </c>
      <c r="P371" s="55" t="n">
        <v>189</v>
      </c>
      <c r="Q371" s="59">
        <f>IF(BO371=1,0,IFERROR(VLOOKUP(BM371,'Gebinde-Kategorie'!$A$5:$G$45,6,0)+0,0))</f>
        <v/>
      </c>
      <c r="R371" s="60" t="n"/>
      <c r="S371" s="61" t="n"/>
      <c r="T371" s="61" t="n"/>
      <c r="U371" s="53">
        <f>IF(A371="","",IF(IFERROR(VLOOKUP(D371,Parameter!$A$35:$C$64,2,0),"Nein")="2+3",IF(ISNUMBER(SEARCH("grosser Artikel",BJ371)),2,IFERROR(VLOOKUP(BM371,Parameter!$F$35:$G$64,2,0),2)),IF(OR(IFERROR(VLOOKUP(D371,Parameter!$A$35:$C$64,2,0),"Nein")="Nein",IFERROR(VLOOKUP(D371,Parameter!$A$35:$C$64,2,0),"Nein")=""),"-",VLOOKUP(D371,Parameter!$A$35:$C$64,2,0))))</f>
        <v/>
      </c>
      <c r="V371" s="61" t="n"/>
      <c r="W371" s="62" t="n"/>
      <c r="X371" s="55">
        <f>AM371</f>
        <v/>
      </c>
      <c r="Y371" s="55">
        <f>MAX(AM371,G371)</f>
        <v/>
      </c>
      <c r="Z371" s="63" t="n"/>
      <c r="AA371" s="55">
        <f>IF(LEFT(Cockpit!$C$5,1)="A",G371,IF(BT371=1,BU371,IF(LEFT(Cockpit!$C$5,1)="B",AE371,MAX(AE371,G371))))</f>
        <v/>
      </c>
      <c r="AB371" s="55">
        <f>IF(BO371=1,0,ROUNDUP(AA371/BN371,0))</f>
        <v/>
      </c>
      <c r="AC371" s="64">
        <f>IF(BO371=1,IF(AA371&lt;=0,0,BP371*MAX(1,IF(G371&gt;0,AA371/G371,1))),AB371*Q371)</f>
        <v/>
      </c>
      <c r="AD371" s="55">
        <f>AA371*F371</f>
        <v/>
      </c>
      <c r="AE371" s="55">
        <f>ROUNDUP(MAX(I371/IF(BS371&gt;0,BS371,MAX(0.1,N(Cockpit!$C$6))),BV371)/BN371,0)*BN371</f>
        <v/>
      </c>
      <c r="AF371" s="56">
        <f>IF(AC371&gt;0,I371/AC371,-1)</f>
        <v/>
      </c>
      <c r="AG371" s="56">
        <f>IF(AND(OR(BR371="L1",BR371="L23"),AC371&gt;0),SUMIFS($AC$7:$AC$1570,$BR$7:$BR$1570,BR371,$AF$7:$AF$1570,"&gt;"&amp;AF371)+SUMIFS($AC$7:$AC$1570,$BR$7:$BR$1570,BR371,$AF$7:$AF$1570,AF371,$BL$7:$BL$1570,"&lt;="&amp;BL371),"")</f>
        <v/>
      </c>
      <c r="AH371" s="65">
        <f>IF(AG371="",0,MAX(0,MIN(1,(IF(BR371="L1",Parameter!$K$5,Parameter!$K$6+Parameter!$K$7)-(AG371-AC371))/AC371)))</f>
        <v/>
      </c>
      <c r="AI371" s="55">
        <f>IF(LEFT(Cockpit!$I$5,1)="A",G371,IF(BT371=1,BU371,IF(LEFT(Cockpit!$I$5,1)="B",AM371,MAX(AM371,G371))))</f>
        <v/>
      </c>
      <c r="AJ371" s="55">
        <f>IF(BO371=1,0,ROUNDUP(AI371/BN371,0))</f>
        <v/>
      </c>
      <c r="AK371" s="64">
        <f>IF(BO371=1,IF(AI371&lt;=0,0,BP371*MAX(1,IF(G371&gt;0,AI371/G371,1))),AJ371*Q371)</f>
        <v/>
      </c>
      <c r="AL371" s="55">
        <f>AI371*F371</f>
        <v/>
      </c>
      <c r="AM371" s="55">
        <f>ROUNDUP(MAX(I371/IF(BS371&gt;0,BS371,MAX(0.1,N(Cockpit!$I$6))),BV371)/BN371,0)*BN371</f>
        <v/>
      </c>
      <c r="AN371" s="56">
        <f>IF(AK371&gt;0,I371/AK371,-1)</f>
        <v/>
      </c>
      <c r="AO371" s="56">
        <f>IF(AND(OR(BR371="L1",BR371="L23"),AK371&gt;0),SUMIFS($AK$7:$AK$1570,$BR$7:$BR$1570,BR371,$AN$7:$AN$1570,"&gt;"&amp;AN371)+SUMIFS($AK$7:$AK$1570,$BR$7:$BR$1570,BR371,$AN$7:$AN$1570,AN371,$BL$7:$BL$1570,"&lt;="&amp;BL371),"")</f>
        <v/>
      </c>
      <c r="AP371" s="65">
        <f>IF(AO371="",0,MAX(0,MIN(1,(IF(BR371="L1",Parameter!$K$5,Parameter!$K$6+Parameter!$K$7)-(AO371-AK371))/AK371)))</f>
        <v/>
      </c>
      <c r="AQ371" s="55">
        <f>IF(LEFT(Cockpit!$O$5,1)="A",G371,IF(BT371=1,BU371,IF(LEFT(Cockpit!$O$5,1)="B",AU371,MAX(AU371,G371))))</f>
        <v/>
      </c>
      <c r="AR371" s="55">
        <f>IF(BO371=1,0,ROUNDUP(AQ371/BN371,0))</f>
        <v/>
      </c>
      <c r="AS371" s="64">
        <f>IF(BO371=1,IF(AQ371&lt;=0,0,BP371*MAX(1,IF(G371&gt;0,AQ371/G371,1))),AR371*Q371)</f>
        <v/>
      </c>
      <c r="AT371" s="55">
        <f>AQ371*F371</f>
        <v/>
      </c>
      <c r="AU371" s="55">
        <f>ROUNDUP(MAX(I371/IF(BS371&gt;0,BS371,MAX(0.1,N(Cockpit!$O$6))),BV371)/BN371,0)*BN371</f>
        <v/>
      </c>
      <c r="AV371" s="56">
        <f>IF(AS371&gt;0,I371/AS371,-1)</f>
        <v/>
      </c>
      <c r="AW371" s="56">
        <f>IF(AND(OR(BR371="L1",BR371="L23"),AS371&gt;0),SUMIFS($AS$7:$AS$1570,$BR$7:$BR$1570,BR371,$AV$7:$AV$1570,"&gt;"&amp;AV371)+SUMIFS($AS$7:$AS$1570,$BR$7:$BR$1570,BR371,$AV$7:$AV$1570,AV371,$BL$7:$BL$1570,"&lt;="&amp;BL371),"")</f>
        <v/>
      </c>
      <c r="AX371" s="65">
        <f>IF(AW371="",0,MAX(0,MIN(1,(IF(BR371="L1",Parameter!$K$5,Parameter!$K$6+Parameter!$K$7)-(AW371-AS371))/AS371)))</f>
        <v/>
      </c>
      <c r="AY371" s="53">
        <f>IF(AC371&lt;=0,"",IF(BR371="Aussen","Aussenlager",IF(BR371="-","Nicht im Lift",IF(AH371&gt;=1,"Lift",IF(AH371&lt;=0,"Aussenlager","teilweise")))))</f>
        <v/>
      </c>
      <c r="AZ371" s="53">
        <f>IF(AK371&lt;=0,"",IF(BR371="Aussen","Aussenlager",IF(BR371="-","Nicht im Lift",IF(AP371&gt;=1,"Lift",IF(AP371&lt;=0,"Aussenlager","teilweise")))))</f>
        <v/>
      </c>
      <c r="BA371" s="53">
        <f>IF(AS371&lt;=0,"",IF(BR371="Aussen","Aussenlager",IF(BR371="-","Nicht im Lift",IF(AX371&gt;=1,"Lift",IF(AX371&lt;=0,"Aussenlager","teilweise")))))</f>
        <v/>
      </c>
      <c r="BB371" s="53">
        <f>IF(A371="","",IF(BK371=1,"Neu; ","")&amp;IF(AND(BK371=0,BF371&lt;0),"negativer Bestand (Export "&amp;BF371&amp;"); ","")&amp;IF(I371&lt;=0,"Kein Verbrauch; ","")&amp;IF(BO371=1,"Lose – Fläche geschätzt; ","")&amp;IF(G371&gt;AM371,"Überbestand "&amp;ROUND(G371-AM371,0)&amp;" Stk / CHF "&amp;ROUND((G371-AM371)*F371,0)&amp;"; ","")&amp;IF(AND(BT371=1,BU371&lt;BV371),"MAX &lt; MB+LG; ","")&amp;IF(AND(BZ371&gt;0,BY371*10&gt;BZ371),"zu hoch für Tablar; ","")&amp;IF(AND(BK371=0,OR(BT371=1,V371&lt;&gt;"",S371&lt;&gt;"",T371&lt;&gt;"",W371&lt;&gt;"")),"manuell übersteuert; ","")&amp;IF(AND(BO371=0,Q371=0),"Gebinde unbekannt; ","")&amp;IF(AND(BO371=0,N(T371)&lt;=0,N(P371)&lt;=0),"Menge pro Gebinde fehlt (Ist = 1 Gebinde); ","")&amp;BJ371)</f>
        <v/>
      </c>
      <c r="BC371" s="53" t="n"/>
      <c r="BD371" s="53" t="n"/>
      <c r="BE371" s="61" t="n"/>
      <c r="BF371" s="55" t="n">
        <v>-20</v>
      </c>
      <c r="BG371" s="55" t="n">
        <v>179</v>
      </c>
      <c r="BH371" s="54" t="n">
        <v>148.4799999999991</v>
      </c>
      <c r="BI371" s="55" t="n">
        <v>218</v>
      </c>
      <c r="BJ371" s="53" t="inlineStr"/>
      <c r="BK371" s="58" t="n">
        <v>0</v>
      </c>
      <c r="BL371" s="58" t="n">
        <v>371</v>
      </c>
      <c r="BM371" s="53">
        <f>IF(S371&lt;&gt;"",UPPER(TRIM(S371)),IF(O371="","LOSE",O371))</f>
        <v/>
      </c>
      <c r="BN371" s="55">
        <f>IF(BM371="LOSE",1,IF(N(T371)&gt;0,T371,IF(N(P371)&gt;0,P371,MAX(1,G371))))</f>
        <v/>
      </c>
      <c r="BO371" s="58">
        <f>IF(BM371="LOSE",1,0)</f>
        <v/>
      </c>
      <c r="BP371" s="64">
        <f>IF(BO371=0,0,IF(N(R371)&gt;0,R371,IFERROR(VLOOKUP(D371,Parameter!$A$35:$C$64,3,0)+0,0)))</f>
        <v/>
      </c>
      <c r="BQ371" s="53">
        <f>IF(V371&lt;&gt;"",V371,U371)</f>
        <v/>
      </c>
      <c r="BR371" s="53">
        <f>IF(BQ371=1,"L1",IF(OR(BQ371=2,BQ371=3),"L23",IF(BQ371="Aussen","Aussen","-")))</f>
        <v/>
      </c>
      <c r="BS371" s="66">
        <f>IF(N(W371)&gt;0,W371,0)</f>
        <v/>
      </c>
      <c r="BT371" s="58">
        <f>IF(ISNUMBER(Z371),1,0)</f>
        <v/>
      </c>
      <c r="BU371" s="55">
        <f>N(Z371)</f>
        <v/>
      </c>
      <c r="BV371" s="55">
        <f>N(L371)+N(M371)</f>
        <v/>
      </c>
      <c r="BW371" s="55">
        <f>ROUNDUP(G371/BN371,0)</f>
        <v/>
      </c>
      <c r="BX371" s="55">
        <f>ROUNDUP(BU371/BN371,0)</f>
        <v/>
      </c>
      <c r="BY371" s="58">
        <f>IF(BO371=1,0,IFERROR(VLOOKUP(BM371,'Gebinde-Kategorie'!$A$5:$G$45,5,0)+0,0))</f>
        <v/>
      </c>
      <c r="BZ371" s="58">
        <f>IFERROR(IF(OR(BQ371=1,BQ371=2,BQ371=3),N(INDEX(Parameter!$I$5:$I$7,BQ371)),0),0)</f>
        <v/>
      </c>
    </row>
    <row r="372">
      <c r="A372" s="53" t="inlineStr">
        <is>
          <t>103103</t>
        </is>
      </c>
      <c r="B372" s="53" t="inlineStr">
        <is>
          <t>Zylinderschraube mit Innensechskant</t>
        </is>
      </c>
      <c r="C372" s="53" t="inlineStr">
        <is>
          <t>F</t>
        </is>
      </c>
      <c r="D372" s="53" t="inlineStr">
        <is>
          <t>KTL</t>
        </is>
      </c>
      <c r="E372" s="53" t="inlineStr">
        <is>
          <t>C</t>
        </is>
      </c>
      <c r="F372" s="54" t="n">
        <v>0.22</v>
      </c>
      <c r="G372" s="55">
        <f>MAX(0,IF(Parameter!$B$20="Jahresanfang 2025 + Export",BG372+BF372,BF372))</f>
        <v/>
      </c>
      <c r="H372" s="55">
        <f>G372*F372</f>
        <v/>
      </c>
      <c r="I372" s="55">
        <f>BI372*Parameter!$B$18</f>
        <v/>
      </c>
      <c r="J372" s="56" t="n">
        <v>405</v>
      </c>
      <c r="K372" s="57" t="n">
        <v>3.081481481481481</v>
      </c>
      <c r="L372" s="55" t="n">
        <v>72</v>
      </c>
      <c r="M372" s="55" t="n">
        <v>1300</v>
      </c>
      <c r="N372" s="58" t="n">
        <v>21</v>
      </c>
      <c r="O372" s="53" t="inlineStr">
        <is>
          <t>S51</t>
        </is>
      </c>
      <c r="P372" s="55" t="n">
        <v>496</v>
      </c>
      <c r="Q372" s="59">
        <f>IF(BO372=1,0,IFERROR(VLOOKUP(BM372,'Gebinde-Kategorie'!$A$5:$G$45,6,0)+0,0))</f>
        <v/>
      </c>
      <c r="R372" s="60" t="n"/>
      <c r="S372" s="61" t="n"/>
      <c r="T372" s="61" t="n"/>
      <c r="U372" s="53">
        <f>IF(A372="","",IF(IFERROR(VLOOKUP(D372,Parameter!$A$35:$C$64,2,0),"Nein")="2+3",IF(ISNUMBER(SEARCH("grosser Artikel",BJ372)),2,IFERROR(VLOOKUP(BM372,Parameter!$F$35:$G$64,2,0),2)),IF(OR(IFERROR(VLOOKUP(D372,Parameter!$A$35:$C$64,2,0),"Nein")="Nein",IFERROR(VLOOKUP(D372,Parameter!$A$35:$C$64,2,0),"Nein")=""),"-",VLOOKUP(D372,Parameter!$A$35:$C$64,2,0))))</f>
        <v/>
      </c>
      <c r="V372" s="61" t="n"/>
      <c r="W372" s="62" t="n"/>
      <c r="X372" s="55">
        <f>AM372</f>
        <v/>
      </c>
      <c r="Y372" s="55">
        <f>MAX(AM372,G372)</f>
        <v/>
      </c>
      <c r="Z372" s="63" t="n"/>
      <c r="AA372" s="55">
        <f>IF(LEFT(Cockpit!$C$5,1)="A",G372,IF(BT372=1,BU372,IF(LEFT(Cockpit!$C$5,1)="B",AE372,MAX(AE372,G372))))</f>
        <v/>
      </c>
      <c r="AB372" s="55">
        <f>IF(BO372=1,0,ROUNDUP(AA372/BN372,0))</f>
        <v/>
      </c>
      <c r="AC372" s="64">
        <f>IF(BO372=1,IF(AA372&lt;=0,0,BP372*MAX(1,IF(G372&gt;0,AA372/G372,1))),AB372*Q372)</f>
        <v/>
      </c>
      <c r="AD372" s="55">
        <f>AA372*F372</f>
        <v/>
      </c>
      <c r="AE372" s="55">
        <f>ROUNDUP(MAX(I372/IF(BS372&gt;0,BS372,MAX(0.1,N(Cockpit!$C$6))),BV372)/BN372,0)*BN372</f>
        <v/>
      </c>
      <c r="AF372" s="56">
        <f>IF(AC372&gt;0,I372/AC372,-1)</f>
        <v/>
      </c>
      <c r="AG372" s="56">
        <f>IF(AND(OR(BR372="L1",BR372="L23"),AC372&gt;0),SUMIFS($AC$7:$AC$1570,$BR$7:$BR$1570,BR372,$AF$7:$AF$1570,"&gt;"&amp;AF372)+SUMIFS($AC$7:$AC$1570,$BR$7:$BR$1570,BR372,$AF$7:$AF$1570,AF372,$BL$7:$BL$1570,"&lt;="&amp;BL372),"")</f>
        <v/>
      </c>
      <c r="AH372" s="65">
        <f>IF(AG372="",0,MAX(0,MIN(1,(IF(BR372="L1",Parameter!$K$5,Parameter!$K$6+Parameter!$K$7)-(AG372-AC372))/AC372)))</f>
        <v/>
      </c>
      <c r="AI372" s="55">
        <f>IF(LEFT(Cockpit!$I$5,1)="A",G372,IF(BT372=1,BU372,IF(LEFT(Cockpit!$I$5,1)="B",AM372,MAX(AM372,G372))))</f>
        <v/>
      </c>
      <c r="AJ372" s="55">
        <f>IF(BO372=1,0,ROUNDUP(AI372/BN372,0))</f>
        <v/>
      </c>
      <c r="AK372" s="64">
        <f>IF(BO372=1,IF(AI372&lt;=0,0,BP372*MAX(1,IF(G372&gt;0,AI372/G372,1))),AJ372*Q372)</f>
        <v/>
      </c>
      <c r="AL372" s="55">
        <f>AI372*F372</f>
        <v/>
      </c>
      <c r="AM372" s="55">
        <f>ROUNDUP(MAX(I372/IF(BS372&gt;0,BS372,MAX(0.1,N(Cockpit!$I$6))),BV372)/BN372,0)*BN372</f>
        <v/>
      </c>
      <c r="AN372" s="56">
        <f>IF(AK372&gt;0,I372/AK372,-1)</f>
        <v/>
      </c>
      <c r="AO372" s="56">
        <f>IF(AND(OR(BR372="L1",BR372="L23"),AK372&gt;0),SUMIFS($AK$7:$AK$1570,$BR$7:$BR$1570,BR372,$AN$7:$AN$1570,"&gt;"&amp;AN372)+SUMIFS($AK$7:$AK$1570,$BR$7:$BR$1570,BR372,$AN$7:$AN$1570,AN372,$BL$7:$BL$1570,"&lt;="&amp;BL372),"")</f>
        <v/>
      </c>
      <c r="AP372" s="65">
        <f>IF(AO372="",0,MAX(0,MIN(1,(IF(BR372="L1",Parameter!$K$5,Parameter!$K$6+Parameter!$K$7)-(AO372-AK372))/AK372)))</f>
        <v/>
      </c>
      <c r="AQ372" s="55">
        <f>IF(LEFT(Cockpit!$O$5,1)="A",G372,IF(BT372=1,BU372,IF(LEFT(Cockpit!$O$5,1)="B",AU372,MAX(AU372,G372))))</f>
        <v/>
      </c>
      <c r="AR372" s="55">
        <f>IF(BO372=1,0,ROUNDUP(AQ372/BN372,0))</f>
        <v/>
      </c>
      <c r="AS372" s="64">
        <f>IF(BO372=1,IF(AQ372&lt;=0,0,BP372*MAX(1,IF(G372&gt;0,AQ372/G372,1))),AR372*Q372)</f>
        <v/>
      </c>
      <c r="AT372" s="55">
        <f>AQ372*F372</f>
        <v/>
      </c>
      <c r="AU372" s="55">
        <f>ROUNDUP(MAX(I372/IF(BS372&gt;0,BS372,MAX(0.1,N(Cockpit!$O$6))),BV372)/BN372,0)*BN372</f>
        <v/>
      </c>
      <c r="AV372" s="56">
        <f>IF(AS372&gt;0,I372/AS372,-1)</f>
        <v/>
      </c>
      <c r="AW372" s="56">
        <f>IF(AND(OR(BR372="L1",BR372="L23"),AS372&gt;0),SUMIFS($AS$7:$AS$1570,$BR$7:$BR$1570,BR372,$AV$7:$AV$1570,"&gt;"&amp;AV372)+SUMIFS($AS$7:$AS$1570,$BR$7:$BR$1570,BR372,$AV$7:$AV$1570,AV372,$BL$7:$BL$1570,"&lt;="&amp;BL372),"")</f>
        <v/>
      </c>
      <c r="AX372" s="65">
        <f>IF(AW372="",0,MAX(0,MIN(1,(IF(BR372="L1",Parameter!$K$5,Parameter!$K$6+Parameter!$K$7)-(AW372-AS372))/AS372)))</f>
        <v/>
      </c>
      <c r="AY372" s="53">
        <f>IF(AC372&lt;=0,"",IF(BR372="Aussen","Aussenlager",IF(BR372="-","Nicht im Lift",IF(AH372&gt;=1,"Lift",IF(AH372&lt;=0,"Aussenlager","teilweise")))))</f>
        <v/>
      </c>
      <c r="AZ372" s="53">
        <f>IF(AK372&lt;=0,"",IF(BR372="Aussen","Aussenlager",IF(BR372="-","Nicht im Lift",IF(AP372&gt;=1,"Lift",IF(AP372&lt;=0,"Aussenlager","teilweise")))))</f>
        <v/>
      </c>
      <c r="BA372" s="53">
        <f>IF(AS372&lt;=0,"",IF(BR372="Aussen","Aussenlager",IF(BR372="-","Nicht im Lift",IF(AX372&gt;=1,"Lift",IF(AX372&lt;=0,"Aussenlager","teilweise")))))</f>
        <v/>
      </c>
      <c r="BB372" s="53">
        <f>IF(A372="","",IF(BK372=1,"Neu; ","")&amp;IF(AND(BK372=0,BF372&lt;0),"negativer Bestand (Export "&amp;BF372&amp;"); ","")&amp;IF(I372&lt;=0,"Kein Verbrauch; ","")&amp;IF(BO372=1,"Lose – Fläche geschätzt; ","")&amp;IF(G372&gt;AM372,"Überbestand "&amp;ROUND(G372-AM372,0)&amp;" Stk / CHF "&amp;ROUND((G372-AM372)*F372,0)&amp;"; ","")&amp;IF(AND(BT372=1,BU372&lt;BV372),"MAX &lt; MB+LG; ","")&amp;IF(AND(BZ372&gt;0,BY372*10&gt;BZ372),"zu hoch für Tablar; ","")&amp;IF(AND(BK372=0,OR(BT372=1,V372&lt;&gt;"",S372&lt;&gt;"",T372&lt;&gt;"",W372&lt;&gt;"")),"manuell übersteuert; ","")&amp;IF(AND(BO372=0,Q372=0),"Gebinde unbekannt; ","")&amp;IF(AND(BO372=0,N(T372)&lt;=0,N(P372)&lt;=0),"Menge pro Gebinde fehlt (Ist = 1 Gebinde); ","")&amp;BJ372)</f>
        <v/>
      </c>
      <c r="BC372" s="53" t="n"/>
      <c r="BD372" s="53" t="n"/>
      <c r="BE372" s="61" t="n"/>
      <c r="BF372" s="55" t="n">
        <v>671</v>
      </c>
      <c r="BG372" s="55" t="n">
        <v>478</v>
      </c>
      <c r="BH372" s="54" t="n">
        <v>147.62</v>
      </c>
      <c r="BI372" s="55" t="n">
        <v>1248</v>
      </c>
      <c r="BJ372" s="53" t="inlineStr"/>
      <c r="BK372" s="58" t="n">
        <v>0</v>
      </c>
      <c r="BL372" s="58" t="n">
        <v>372</v>
      </c>
      <c r="BM372" s="53">
        <f>IF(S372&lt;&gt;"",UPPER(TRIM(S372)),IF(O372="","LOSE",O372))</f>
        <v/>
      </c>
      <c r="BN372" s="55">
        <f>IF(BM372="LOSE",1,IF(N(T372)&gt;0,T372,IF(N(P372)&gt;0,P372,MAX(1,G372))))</f>
        <v/>
      </c>
      <c r="BO372" s="58">
        <f>IF(BM372="LOSE",1,0)</f>
        <v/>
      </c>
      <c r="BP372" s="64">
        <f>IF(BO372=0,0,IF(N(R372)&gt;0,R372,IFERROR(VLOOKUP(D372,Parameter!$A$35:$C$64,3,0)+0,0)))</f>
        <v/>
      </c>
      <c r="BQ372" s="53">
        <f>IF(V372&lt;&gt;"",V372,U372)</f>
        <v/>
      </c>
      <c r="BR372" s="53">
        <f>IF(BQ372=1,"L1",IF(OR(BQ372=2,BQ372=3),"L23",IF(BQ372="Aussen","Aussen","-")))</f>
        <v/>
      </c>
      <c r="BS372" s="66">
        <f>IF(N(W372)&gt;0,W372,0)</f>
        <v/>
      </c>
      <c r="BT372" s="58">
        <f>IF(ISNUMBER(Z372),1,0)</f>
        <v/>
      </c>
      <c r="BU372" s="55">
        <f>N(Z372)</f>
        <v/>
      </c>
      <c r="BV372" s="55">
        <f>N(L372)+N(M372)</f>
        <v/>
      </c>
      <c r="BW372" s="55">
        <f>ROUNDUP(G372/BN372,0)</f>
        <v/>
      </c>
      <c r="BX372" s="55">
        <f>ROUNDUP(BU372/BN372,0)</f>
        <v/>
      </c>
      <c r="BY372" s="58">
        <f>IF(BO372=1,0,IFERROR(VLOOKUP(BM372,'Gebinde-Kategorie'!$A$5:$G$45,5,0)+0,0))</f>
        <v/>
      </c>
      <c r="BZ372" s="58">
        <f>IFERROR(IF(OR(BQ372=1,BQ372=2,BQ372=3),N(INDEX(Parameter!$I$5:$I$7,BQ372)),0),0)</f>
        <v/>
      </c>
    </row>
    <row r="373">
      <c r="A373" s="53" t="inlineStr">
        <is>
          <t>107052</t>
        </is>
      </c>
      <c r="B373" s="53" t="inlineStr">
        <is>
          <t>Steckschlüsseleinsatz</t>
        </is>
      </c>
      <c r="C373" s="53" t="inlineStr">
        <is>
          <t>F</t>
        </is>
      </c>
      <c r="D373" s="53" t="inlineStr">
        <is>
          <t>KTL</t>
        </is>
      </c>
      <c r="E373" s="53" t="inlineStr">
        <is>
          <t>C</t>
        </is>
      </c>
      <c r="F373" s="54" t="n">
        <v>16.45</v>
      </c>
      <c r="G373" s="55">
        <f>MAX(0,IF(Parameter!$B$20="Jahresanfang 2025 + Export",BG373+BF373,BF373))</f>
        <v/>
      </c>
      <c r="H373" s="55">
        <f>G373*F373</f>
        <v/>
      </c>
      <c r="I373" s="55">
        <f>BI373*Parameter!$B$18</f>
        <v/>
      </c>
      <c r="J373" s="56" t="n">
        <v>8.5</v>
      </c>
      <c r="K373" s="57" t="n">
        <v>2.352941176470588</v>
      </c>
      <c r="L373" s="55" t="n">
        <v>0</v>
      </c>
      <c r="M373" s="55" t="n">
        <v>20</v>
      </c>
      <c r="N373" s="58" t="n">
        <v>14</v>
      </c>
      <c r="O373" s="53" t="inlineStr">
        <is>
          <t>S41</t>
        </is>
      </c>
      <c r="P373" s="55" t="n">
        <v>16</v>
      </c>
      <c r="Q373" s="59">
        <f>IF(BO373=1,0,IFERROR(VLOOKUP(BM373,'Gebinde-Kategorie'!$A$5:$G$45,6,0)+0,0))</f>
        <v/>
      </c>
      <c r="R373" s="60" t="n"/>
      <c r="S373" s="61" t="n"/>
      <c r="T373" s="61" t="n"/>
      <c r="U373" s="53">
        <f>IF(A373="","",IF(IFERROR(VLOOKUP(D373,Parameter!$A$35:$C$64,2,0),"Nein")="2+3",IF(ISNUMBER(SEARCH("grosser Artikel",BJ373)),2,IFERROR(VLOOKUP(BM373,Parameter!$F$35:$G$64,2,0),2)),IF(OR(IFERROR(VLOOKUP(D373,Parameter!$A$35:$C$64,2,0),"Nein")="Nein",IFERROR(VLOOKUP(D373,Parameter!$A$35:$C$64,2,0),"Nein")=""),"-",VLOOKUP(D373,Parameter!$A$35:$C$64,2,0))))</f>
        <v/>
      </c>
      <c r="V373" s="61" t="n"/>
      <c r="W373" s="62" t="n"/>
      <c r="X373" s="55">
        <f>AM373</f>
        <v/>
      </c>
      <c r="Y373" s="55">
        <f>MAX(AM373,G373)</f>
        <v/>
      </c>
      <c r="Z373" s="63" t="n"/>
      <c r="AA373" s="55">
        <f>IF(LEFT(Cockpit!$C$5,1)="A",G373,IF(BT373=1,BU373,IF(LEFT(Cockpit!$C$5,1)="B",AE373,MAX(AE373,G373))))</f>
        <v/>
      </c>
      <c r="AB373" s="55">
        <f>IF(BO373=1,0,ROUNDUP(AA373/BN373,0))</f>
        <v/>
      </c>
      <c r="AC373" s="64">
        <f>IF(BO373=1,IF(AA373&lt;=0,0,BP373*MAX(1,IF(G373&gt;0,AA373/G373,1))),AB373*Q373)</f>
        <v/>
      </c>
      <c r="AD373" s="55">
        <f>AA373*F373</f>
        <v/>
      </c>
      <c r="AE373" s="55">
        <f>ROUNDUP(MAX(I373/IF(BS373&gt;0,BS373,MAX(0.1,N(Cockpit!$C$6))),BV373)/BN373,0)*BN373</f>
        <v/>
      </c>
      <c r="AF373" s="56">
        <f>IF(AC373&gt;0,I373/AC373,-1)</f>
        <v/>
      </c>
      <c r="AG373" s="56">
        <f>IF(AND(OR(BR373="L1",BR373="L23"),AC373&gt;0),SUMIFS($AC$7:$AC$1570,$BR$7:$BR$1570,BR373,$AF$7:$AF$1570,"&gt;"&amp;AF373)+SUMIFS($AC$7:$AC$1570,$BR$7:$BR$1570,BR373,$AF$7:$AF$1570,AF373,$BL$7:$BL$1570,"&lt;="&amp;BL373),"")</f>
        <v/>
      </c>
      <c r="AH373" s="65">
        <f>IF(AG373="",0,MAX(0,MIN(1,(IF(BR373="L1",Parameter!$K$5,Parameter!$K$6+Parameter!$K$7)-(AG373-AC373))/AC373)))</f>
        <v/>
      </c>
      <c r="AI373" s="55">
        <f>IF(LEFT(Cockpit!$I$5,1)="A",G373,IF(BT373=1,BU373,IF(LEFT(Cockpit!$I$5,1)="B",AM373,MAX(AM373,G373))))</f>
        <v/>
      </c>
      <c r="AJ373" s="55">
        <f>IF(BO373=1,0,ROUNDUP(AI373/BN373,0))</f>
        <v/>
      </c>
      <c r="AK373" s="64">
        <f>IF(BO373=1,IF(AI373&lt;=0,0,BP373*MAX(1,IF(G373&gt;0,AI373/G373,1))),AJ373*Q373)</f>
        <v/>
      </c>
      <c r="AL373" s="55">
        <f>AI373*F373</f>
        <v/>
      </c>
      <c r="AM373" s="55">
        <f>ROUNDUP(MAX(I373/IF(BS373&gt;0,BS373,MAX(0.1,N(Cockpit!$I$6))),BV373)/BN373,0)*BN373</f>
        <v/>
      </c>
      <c r="AN373" s="56">
        <f>IF(AK373&gt;0,I373/AK373,-1)</f>
        <v/>
      </c>
      <c r="AO373" s="56">
        <f>IF(AND(OR(BR373="L1",BR373="L23"),AK373&gt;0),SUMIFS($AK$7:$AK$1570,$BR$7:$BR$1570,BR373,$AN$7:$AN$1570,"&gt;"&amp;AN373)+SUMIFS($AK$7:$AK$1570,$BR$7:$BR$1570,BR373,$AN$7:$AN$1570,AN373,$BL$7:$BL$1570,"&lt;="&amp;BL373),"")</f>
        <v/>
      </c>
      <c r="AP373" s="65">
        <f>IF(AO373="",0,MAX(0,MIN(1,(IF(BR373="L1",Parameter!$K$5,Parameter!$K$6+Parameter!$K$7)-(AO373-AK373))/AK373)))</f>
        <v/>
      </c>
      <c r="AQ373" s="55">
        <f>IF(LEFT(Cockpit!$O$5,1)="A",G373,IF(BT373=1,BU373,IF(LEFT(Cockpit!$O$5,1)="B",AU373,MAX(AU373,G373))))</f>
        <v/>
      </c>
      <c r="AR373" s="55">
        <f>IF(BO373=1,0,ROUNDUP(AQ373/BN373,0))</f>
        <v/>
      </c>
      <c r="AS373" s="64">
        <f>IF(BO373=1,IF(AQ373&lt;=0,0,BP373*MAX(1,IF(G373&gt;0,AQ373/G373,1))),AR373*Q373)</f>
        <v/>
      </c>
      <c r="AT373" s="55">
        <f>AQ373*F373</f>
        <v/>
      </c>
      <c r="AU373" s="55">
        <f>ROUNDUP(MAX(I373/IF(BS373&gt;0,BS373,MAX(0.1,N(Cockpit!$O$6))),BV373)/BN373,0)*BN373</f>
        <v/>
      </c>
      <c r="AV373" s="56">
        <f>IF(AS373&gt;0,I373/AS373,-1)</f>
        <v/>
      </c>
      <c r="AW373" s="56">
        <f>IF(AND(OR(BR373="L1",BR373="L23"),AS373&gt;0),SUMIFS($AS$7:$AS$1570,$BR$7:$BR$1570,BR373,$AV$7:$AV$1570,"&gt;"&amp;AV373)+SUMIFS($AS$7:$AS$1570,$BR$7:$BR$1570,BR373,$AV$7:$AV$1570,AV373,$BL$7:$BL$1570,"&lt;="&amp;BL373),"")</f>
        <v/>
      </c>
      <c r="AX373" s="65">
        <f>IF(AW373="",0,MAX(0,MIN(1,(IF(BR373="L1",Parameter!$K$5,Parameter!$K$6+Parameter!$K$7)-(AW373-AS373))/AS373)))</f>
        <v/>
      </c>
      <c r="AY373" s="53">
        <f>IF(AC373&lt;=0,"",IF(BR373="Aussen","Aussenlager",IF(BR373="-","Nicht im Lift",IF(AH373&gt;=1,"Lift",IF(AH373&lt;=0,"Aussenlager","teilweise")))))</f>
        <v/>
      </c>
      <c r="AZ373" s="53">
        <f>IF(AK373&lt;=0,"",IF(BR373="Aussen","Aussenlager",IF(BR373="-","Nicht im Lift",IF(AP373&gt;=1,"Lift",IF(AP373&lt;=0,"Aussenlager","teilweise")))))</f>
        <v/>
      </c>
      <c r="BA373" s="53">
        <f>IF(AS373&lt;=0,"",IF(BR373="Aussen","Aussenlager",IF(BR373="-","Nicht im Lift",IF(AX373&gt;=1,"Lift",IF(AX373&lt;=0,"Aussenlager","teilweise")))))</f>
        <v/>
      </c>
      <c r="BB373" s="53">
        <f>IF(A373="","",IF(BK373=1,"Neu; ","")&amp;IF(AND(BK373=0,BF373&lt;0),"negativer Bestand (Export "&amp;BF373&amp;"); ","")&amp;IF(I373&lt;=0,"Kein Verbrauch; ","")&amp;IF(BO373=1,"Lose – Fläche geschätzt; ","")&amp;IF(G373&gt;AM373,"Überbestand "&amp;ROUND(G373-AM373,0)&amp;" Stk / CHF "&amp;ROUND((G373-AM373)*F373,0)&amp;"; ","")&amp;IF(AND(BT373=1,BU373&lt;BV373),"MAX &lt; MB+LG; ","")&amp;IF(AND(BZ373&gt;0,BY373*10&gt;BZ373),"zu hoch für Tablar; ","")&amp;IF(AND(BK373=0,OR(BT373=1,V373&lt;&gt;"",S373&lt;&gt;"",T373&lt;&gt;"",W373&lt;&gt;"")),"manuell übersteuert; ","")&amp;IF(AND(BO373=0,Q373=0),"Gebinde unbekannt; ","")&amp;IF(AND(BO373=0,N(T373)&lt;=0,N(P373)&lt;=0),"Menge pro Gebinde fehlt (Ist = 1 Gebinde); ","")&amp;BJ373)</f>
        <v/>
      </c>
      <c r="BC373" s="53" t="n"/>
      <c r="BD373" s="53" t="n"/>
      <c r="BE373" s="61" t="n"/>
      <c r="BF373" s="55" t="n">
        <v>9</v>
      </c>
      <c r="BG373" s="55" t="n">
        <v>6</v>
      </c>
      <c r="BH373" s="54" t="n">
        <v>146.07</v>
      </c>
      <c r="BI373" s="55" t="n">
        <v>20</v>
      </c>
      <c r="BJ373" s="53" t="inlineStr"/>
      <c r="BK373" s="58" t="n">
        <v>0</v>
      </c>
      <c r="BL373" s="58" t="n">
        <v>373</v>
      </c>
      <c r="BM373" s="53">
        <f>IF(S373&lt;&gt;"",UPPER(TRIM(S373)),IF(O373="","LOSE",O373))</f>
        <v/>
      </c>
      <c r="BN373" s="55">
        <f>IF(BM373="LOSE",1,IF(N(T373)&gt;0,T373,IF(N(P373)&gt;0,P373,MAX(1,G373))))</f>
        <v/>
      </c>
      <c r="BO373" s="58">
        <f>IF(BM373="LOSE",1,0)</f>
        <v/>
      </c>
      <c r="BP373" s="64">
        <f>IF(BO373=0,0,IF(N(R373)&gt;0,R373,IFERROR(VLOOKUP(D373,Parameter!$A$35:$C$64,3,0)+0,0)))</f>
        <v/>
      </c>
      <c r="BQ373" s="53">
        <f>IF(V373&lt;&gt;"",V373,U373)</f>
        <v/>
      </c>
      <c r="BR373" s="53">
        <f>IF(BQ373=1,"L1",IF(OR(BQ373=2,BQ373=3),"L23",IF(BQ373="Aussen","Aussen","-")))</f>
        <v/>
      </c>
      <c r="BS373" s="66">
        <f>IF(N(W373)&gt;0,W373,0)</f>
        <v/>
      </c>
      <c r="BT373" s="58">
        <f>IF(ISNUMBER(Z373),1,0)</f>
        <v/>
      </c>
      <c r="BU373" s="55">
        <f>N(Z373)</f>
        <v/>
      </c>
      <c r="BV373" s="55">
        <f>N(L373)+N(M373)</f>
        <v/>
      </c>
      <c r="BW373" s="55">
        <f>ROUNDUP(G373/BN373,0)</f>
        <v/>
      </c>
      <c r="BX373" s="55">
        <f>ROUNDUP(BU373/BN373,0)</f>
        <v/>
      </c>
      <c r="BY373" s="58">
        <f>IF(BO373=1,0,IFERROR(VLOOKUP(BM373,'Gebinde-Kategorie'!$A$5:$G$45,5,0)+0,0))</f>
        <v/>
      </c>
      <c r="BZ373" s="58">
        <f>IFERROR(IF(OR(BQ373=1,BQ373=2,BQ373=3),N(INDEX(Parameter!$I$5:$I$7,BQ373)),0),0)</f>
        <v/>
      </c>
    </row>
    <row r="374">
      <c r="A374" s="53" t="inlineStr">
        <is>
          <t>005227</t>
        </is>
      </c>
      <c r="B374" s="53" t="inlineStr">
        <is>
          <t>Pressverbinder isoliert blau</t>
        </is>
      </c>
      <c r="C374" s="53" t="inlineStr">
        <is>
          <t>F</t>
        </is>
      </c>
      <c r="D374" s="53" t="inlineStr">
        <is>
          <t>KTL</t>
        </is>
      </c>
      <c r="E374" s="53" t="inlineStr">
        <is>
          <t>C</t>
        </is>
      </c>
      <c r="F374" s="54" t="n">
        <v>1.38</v>
      </c>
      <c r="G374" s="55">
        <f>MAX(0,IF(Parameter!$B$20="Jahresanfang 2025 + Export",BG374+BF374,BF374))</f>
        <v/>
      </c>
      <c r="H374" s="55">
        <f>G374*F374</f>
        <v/>
      </c>
      <c r="I374" s="55">
        <f>BI374*Parameter!$B$18</f>
        <v/>
      </c>
      <c r="J374" s="56" t="n">
        <v>296.5</v>
      </c>
      <c r="K374" s="57" t="n">
        <v>0.006745362563237774</v>
      </c>
      <c r="L374" s="55" t="n">
        <v>0</v>
      </c>
      <c r="M374" s="55" t="n">
        <v>1</v>
      </c>
      <c r="N374" s="58" t="n">
        <v>21</v>
      </c>
      <c r="O374" s="53" t="inlineStr">
        <is>
          <t>S32</t>
        </is>
      </c>
      <c r="P374" s="55" t="n">
        <v>169</v>
      </c>
      <c r="Q374" s="59">
        <f>IF(BO374=1,0,IFERROR(VLOOKUP(BM374,'Gebinde-Kategorie'!$A$5:$G$45,6,0)+0,0))</f>
        <v/>
      </c>
      <c r="R374" s="60" t="n"/>
      <c r="S374" s="61" t="n"/>
      <c r="T374" s="61" t="n"/>
      <c r="U374" s="53">
        <f>IF(A374="","",IF(IFERROR(VLOOKUP(D374,Parameter!$A$35:$C$64,2,0),"Nein")="2+3",IF(ISNUMBER(SEARCH("grosser Artikel",BJ374)),2,IFERROR(VLOOKUP(BM374,Parameter!$F$35:$G$64,2,0),2)),IF(OR(IFERROR(VLOOKUP(D374,Parameter!$A$35:$C$64,2,0),"Nein")="Nein",IFERROR(VLOOKUP(D374,Parameter!$A$35:$C$64,2,0),"Nein")=""),"-",VLOOKUP(D374,Parameter!$A$35:$C$64,2,0))))</f>
        <v/>
      </c>
      <c r="V374" s="61" t="n"/>
      <c r="W374" s="62" t="n"/>
      <c r="X374" s="55">
        <f>AM374</f>
        <v/>
      </c>
      <c r="Y374" s="55">
        <f>MAX(AM374,G374)</f>
        <v/>
      </c>
      <c r="Z374" s="63" t="n"/>
      <c r="AA374" s="55">
        <f>IF(LEFT(Cockpit!$C$5,1)="A",G374,IF(BT374=1,BU374,IF(LEFT(Cockpit!$C$5,1)="B",AE374,MAX(AE374,G374))))</f>
        <v/>
      </c>
      <c r="AB374" s="55">
        <f>IF(BO374=1,0,ROUNDUP(AA374/BN374,0))</f>
        <v/>
      </c>
      <c r="AC374" s="64">
        <f>IF(BO374=1,IF(AA374&lt;=0,0,BP374*MAX(1,IF(G374&gt;0,AA374/G374,1))),AB374*Q374)</f>
        <v/>
      </c>
      <c r="AD374" s="55">
        <f>AA374*F374</f>
        <v/>
      </c>
      <c r="AE374" s="55">
        <f>ROUNDUP(MAX(I374/IF(BS374&gt;0,BS374,MAX(0.1,N(Cockpit!$C$6))),BV374)/BN374,0)*BN374</f>
        <v/>
      </c>
      <c r="AF374" s="56">
        <f>IF(AC374&gt;0,I374/AC374,-1)</f>
        <v/>
      </c>
      <c r="AG374" s="56">
        <f>IF(AND(OR(BR374="L1",BR374="L23"),AC374&gt;0),SUMIFS($AC$7:$AC$1570,$BR$7:$BR$1570,BR374,$AF$7:$AF$1570,"&gt;"&amp;AF374)+SUMIFS($AC$7:$AC$1570,$BR$7:$BR$1570,BR374,$AF$7:$AF$1570,AF374,$BL$7:$BL$1570,"&lt;="&amp;BL374),"")</f>
        <v/>
      </c>
      <c r="AH374" s="65">
        <f>IF(AG374="",0,MAX(0,MIN(1,(IF(BR374="L1",Parameter!$K$5,Parameter!$K$6+Parameter!$K$7)-(AG374-AC374))/AC374)))</f>
        <v/>
      </c>
      <c r="AI374" s="55">
        <f>IF(LEFT(Cockpit!$I$5,1)="A",G374,IF(BT374=1,BU374,IF(LEFT(Cockpit!$I$5,1)="B",AM374,MAX(AM374,G374))))</f>
        <v/>
      </c>
      <c r="AJ374" s="55">
        <f>IF(BO374=1,0,ROUNDUP(AI374/BN374,0))</f>
        <v/>
      </c>
      <c r="AK374" s="64">
        <f>IF(BO374=1,IF(AI374&lt;=0,0,BP374*MAX(1,IF(G374&gt;0,AI374/G374,1))),AJ374*Q374)</f>
        <v/>
      </c>
      <c r="AL374" s="55">
        <f>AI374*F374</f>
        <v/>
      </c>
      <c r="AM374" s="55">
        <f>ROUNDUP(MAX(I374/IF(BS374&gt;0,BS374,MAX(0.1,N(Cockpit!$I$6))),BV374)/BN374,0)*BN374</f>
        <v/>
      </c>
      <c r="AN374" s="56">
        <f>IF(AK374&gt;0,I374/AK374,-1)</f>
        <v/>
      </c>
      <c r="AO374" s="56">
        <f>IF(AND(OR(BR374="L1",BR374="L23"),AK374&gt;0),SUMIFS($AK$7:$AK$1570,$BR$7:$BR$1570,BR374,$AN$7:$AN$1570,"&gt;"&amp;AN374)+SUMIFS($AK$7:$AK$1570,$BR$7:$BR$1570,BR374,$AN$7:$AN$1570,AN374,$BL$7:$BL$1570,"&lt;="&amp;BL374),"")</f>
        <v/>
      </c>
      <c r="AP374" s="65">
        <f>IF(AO374="",0,MAX(0,MIN(1,(IF(BR374="L1",Parameter!$K$5,Parameter!$K$6+Parameter!$K$7)-(AO374-AK374))/AK374)))</f>
        <v/>
      </c>
      <c r="AQ374" s="55">
        <f>IF(LEFT(Cockpit!$O$5,1)="A",G374,IF(BT374=1,BU374,IF(LEFT(Cockpit!$O$5,1)="B",AU374,MAX(AU374,G374))))</f>
        <v/>
      </c>
      <c r="AR374" s="55">
        <f>IF(BO374=1,0,ROUNDUP(AQ374/BN374,0))</f>
        <v/>
      </c>
      <c r="AS374" s="64">
        <f>IF(BO374=1,IF(AQ374&lt;=0,0,BP374*MAX(1,IF(G374&gt;0,AQ374/G374,1))),AR374*Q374)</f>
        <v/>
      </c>
      <c r="AT374" s="55">
        <f>AQ374*F374</f>
        <v/>
      </c>
      <c r="AU374" s="55">
        <f>ROUNDUP(MAX(I374/IF(BS374&gt;0,BS374,MAX(0.1,N(Cockpit!$O$6))),BV374)/BN374,0)*BN374</f>
        <v/>
      </c>
      <c r="AV374" s="56">
        <f>IF(AS374&gt;0,I374/AS374,-1)</f>
        <v/>
      </c>
      <c r="AW374" s="56">
        <f>IF(AND(OR(BR374="L1",BR374="L23"),AS374&gt;0),SUMIFS($AS$7:$AS$1570,$BR$7:$BR$1570,BR374,$AV$7:$AV$1570,"&gt;"&amp;AV374)+SUMIFS($AS$7:$AS$1570,$BR$7:$BR$1570,BR374,$AV$7:$AV$1570,AV374,$BL$7:$BL$1570,"&lt;="&amp;BL374),"")</f>
        <v/>
      </c>
      <c r="AX374" s="65">
        <f>IF(AW374="",0,MAX(0,MIN(1,(IF(BR374="L1",Parameter!$K$5,Parameter!$K$6+Parameter!$K$7)-(AW374-AS374))/AS374)))</f>
        <v/>
      </c>
      <c r="AY374" s="53">
        <f>IF(AC374&lt;=0,"",IF(BR374="Aussen","Aussenlager",IF(BR374="-","Nicht im Lift",IF(AH374&gt;=1,"Lift",IF(AH374&lt;=0,"Aussenlager","teilweise")))))</f>
        <v/>
      </c>
      <c r="AZ374" s="53">
        <f>IF(AK374&lt;=0,"",IF(BR374="Aussen","Aussenlager",IF(BR374="-","Nicht im Lift",IF(AP374&gt;=1,"Lift",IF(AP374&lt;=0,"Aussenlager","teilweise")))))</f>
        <v/>
      </c>
      <c r="BA374" s="53">
        <f>IF(AS374&lt;=0,"",IF(BR374="Aussen","Aussenlager",IF(BR374="-","Nicht im Lift",IF(AX374&gt;=1,"Lift",IF(AX374&lt;=0,"Aussenlager","teilweise")))))</f>
        <v/>
      </c>
      <c r="BB374" s="53">
        <f>IF(A374="","",IF(BK374=1,"Neu; ","")&amp;IF(AND(BK374=0,BF374&lt;0),"negativer Bestand (Export "&amp;BF374&amp;"); ","")&amp;IF(I374&lt;=0,"Kein Verbrauch; ","")&amp;IF(BO374=1,"Lose – Fläche geschätzt; ","")&amp;IF(G374&gt;AM374,"Überbestand "&amp;ROUND(G374-AM374,0)&amp;" Stk / CHF "&amp;ROUND((G374-AM374)*F374,0)&amp;"; ","")&amp;IF(AND(BT374=1,BU374&lt;BV374),"MAX &lt; MB+LG; ","")&amp;IF(AND(BZ374&gt;0,BY374*10&gt;BZ374),"zu hoch für Tablar; ","")&amp;IF(AND(BK374=0,OR(BT374=1,V374&lt;&gt;"",S374&lt;&gt;"",T374&lt;&gt;"",W374&lt;&gt;"")),"manuell übersteuert; ","")&amp;IF(AND(BO374=0,Q374=0),"Gebinde unbekannt; ","")&amp;IF(AND(BO374=0,N(T374)&lt;=0,N(P374)&lt;=0),"Menge pro Gebinde fehlt (Ist = 1 Gebinde); ","")&amp;BJ374)</f>
        <v/>
      </c>
      <c r="BC374" s="53" t="n"/>
      <c r="BD374" s="53" t="n"/>
      <c r="BE374" s="61" t="n"/>
      <c r="BF374" s="55" t="n">
        <v>102</v>
      </c>
      <c r="BG374" s="55" t="n">
        <v>264</v>
      </c>
      <c r="BH374" s="54" t="n">
        <v>140.76</v>
      </c>
      <c r="BI374" s="55" t="n">
        <v>2</v>
      </c>
      <c r="BJ374" s="53" t="inlineStr">
        <is>
          <t>Handlager</t>
        </is>
      </c>
      <c r="BK374" s="58" t="n">
        <v>0</v>
      </c>
      <c r="BL374" s="58" t="n">
        <v>374</v>
      </c>
      <c r="BM374" s="53">
        <f>IF(S374&lt;&gt;"",UPPER(TRIM(S374)),IF(O374="","LOSE",O374))</f>
        <v/>
      </c>
      <c r="BN374" s="55">
        <f>IF(BM374="LOSE",1,IF(N(T374)&gt;0,T374,IF(N(P374)&gt;0,P374,MAX(1,G374))))</f>
        <v/>
      </c>
      <c r="BO374" s="58">
        <f>IF(BM374="LOSE",1,0)</f>
        <v/>
      </c>
      <c r="BP374" s="64">
        <f>IF(BO374=0,0,IF(N(R374)&gt;0,R374,IFERROR(VLOOKUP(D374,Parameter!$A$35:$C$64,3,0)+0,0)))</f>
        <v/>
      </c>
      <c r="BQ374" s="53">
        <f>IF(V374&lt;&gt;"",V374,U374)</f>
        <v/>
      </c>
      <c r="BR374" s="53">
        <f>IF(BQ374=1,"L1",IF(OR(BQ374=2,BQ374=3),"L23",IF(BQ374="Aussen","Aussen","-")))</f>
        <v/>
      </c>
      <c r="BS374" s="66">
        <f>IF(N(W374)&gt;0,W374,0)</f>
        <v/>
      </c>
      <c r="BT374" s="58">
        <f>IF(ISNUMBER(Z374),1,0)</f>
        <v/>
      </c>
      <c r="BU374" s="55">
        <f>N(Z374)</f>
        <v/>
      </c>
      <c r="BV374" s="55">
        <f>N(L374)+N(M374)</f>
        <v/>
      </c>
      <c r="BW374" s="55">
        <f>ROUNDUP(G374/BN374,0)</f>
        <v/>
      </c>
      <c r="BX374" s="55">
        <f>ROUNDUP(BU374/BN374,0)</f>
        <v/>
      </c>
      <c r="BY374" s="58">
        <f>IF(BO374=1,0,IFERROR(VLOOKUP(BM374,'Gebinde-Kategorie'!$A$5:$G$45,5,0)+0,0))</f>
        <v/>
      </c>
      <c r="BZ374" s="58">
        <f>IFERROR(IF(OR(BQ374=1,BQ374=2,BQ374=3),N(INDEX(Parameter!$I$5:$I$7,BQ374)),0),0)</f>
        <v/>
      </c>
    </row>
    <row r="375">
      <c r="A375" s="53" t="inlineStr">
        <is>
          <t>105773</t>
        </is>
      </c>
      <c r="B375" s="53" t="inlineStr">
        <is>
          <t>Sechskantschraube</t>
        </is>
      </c>
      <c r="C375" s="53" t="inlineStr">
        <is>
          <t>F</t>
        </is>
      </c>
      <c r="D375" s="53" t="inlineStr">
        <is>
          <t>KTL</t>
        </is>
      </c>
      <c r="E375" s="53" t="inlineStr">
        <is>
          <t>C</t>
        </is>
      </c>
      <c r="F375" s="54" t="n">
        <v>0.6</v>
      </c>
      <c r="G375" s="55">
        <f>MAX(0,IF(Parameter!$B$20="Jahresanfang 2025 + Export",BG375+BF375,BF375))</f>
        <v/>
      </c>
      <c r="H375" s="55">
        <f>G375*F375</f>
        <v/>
      </c>
      <c r="I375" s="55">
        <f>BI375*Parameter!$B$18</f>
        <v/>
      </c>
      <c r="J375" s="56" t="n">
        <v>360</v>
      </c>
      <c r="K375" s="57" t="n">
        <v>1.558333333333333</v>
      </c>
      <c r="L375" s="55" t="n">
        <v>33</v>
      </c>
      <c r="M375" s="55" t="n">
        <v>600</v>
      </c>
      <c r="N375" s="58" t="n">
        <v>21</v>
      </c>
      <c r="O375" s="53" t="inlineStr">
        <is>
          <t>S62</t>
        </is>
      </c>
      <c r="P375" s="55" t="n">
        <v>449</v>
      </c>
      <c r="Q375" s="59">
        <f>IF(BO375=1,0,IFERROR(VLOOKUP(BM375,'Gebinde-Kategorie'!$A$5:$G$45,6,0)+0,0))</f>
        <v/>
      </c>
      <c r="R375" s="60" t="n"/>
      <c r="S375" s="61" t="n"/>
      <c r="T375" s="61" t="n"/>
      <c r="U375" s="53">
        <f>IF(A375="","",IF(IFERROR(VLOOKUP(D375,Parameter!$A$35:$C$64,2,0),"Nein")="2+3",IF(ISNUMBER(SEARCH("grosser Artikel",BJ375)),2,IFERROR(VLOOKUP(BM375,Parameter!$F$35:$G$64,2,0),2)),IF(OR(IFERROR(VLOOKUP(D375,Parameter!$A$35:$C$64,2,0),"Nein")="Nein",IFERROR(VLOOKUP(D375,Parameter!$A$35:$C$64,2,0),"Nein")=""),"-",VLOOKUP(D375,Parameter!$A$35:$C$64,2,0))))</f>
        <v/>
      </c>
      <c r="V375" s="61" t="n"/>
      <c r="W375" s="62" t="n"/>
      <c r="X375" s="55">
        <f>AM375</f>
        <v/>
      </c>
      <c r="Y375" s="55">
        <f>MAX(AM375,G375)</f>
        <v/>
      </c>
      <c r="Z375" s="63" t="n"/>
      <c r="AA375" s="55">
        <f>IF(LEFT(Cockpit!$C$5,1)="A",G375,IF(BT375=1,BU375,IF(LEFT(Cockpit!$C$5,1)="B",AE375,MAX(AE375,G375))))</f>
        <v/>
      </c>
      <c r="AB375" s="55">
        <f>IF(BO375=1,0,ROUNDUP(AA375/BN375,0))</f>
        <v/>
      </c>
      <c r="AC375" s="64">
        <f>IF(BO375=1,IF(AA375&lt;=0,0,BP375*MAX(1,IF(G375&gt;0,AA375/G375,1))),AB375*Q375)</f>
        <v/>
      </c>
      <c r="AD375" s="55">
        <f>AA375*F375</f>
        <v/>
      </c>
      <c r="AE375" s="55">
        <f>ROUNDUP(MAX(I375/IF(BS375&gt;0,BS375,MAX(0.1,N(Cockpit!$C$6))),BV375)/BN375,0)*BN375</f>
        <v/>
      </c>
      <c r="AF375" s="56">
        <f>IF(AC375&gt;0,I375/AC375,-1)</f>
        <v/>
      </c>
      <c r="AG375" s="56">
        <f>IF(AND(OR(BR375="L1",BR375="L23"),AC375&gt;0),SUMIFS($AC$7:$AC$1570,$BR$7:$BR$1570,BR375,$AF$7:$AF$1570,"&gt;"&amp;AF375)+SUMIFS($AC$7:$AC$1570,$BR$7:$BR$1570,BR375,$AF$7:$AF$1570,AF375,$BL$7:$BL$1570,"&lt;="&amp;BL375),"")</f>
        <v/>
      </c>
      <c r="AH375" s="65">
        <f>IF(AG375="",0,MAX(0,MIN(1,(IF(BR375="L1",Parameter!$K$5,Parameter!$K$6+Parameter!$K$7)-(AG375-AC375))/AC375)))</f>
        <v/>
      </c>
      <c r="AI375" s="55">
        <f>IF(LEFT(Cockpit!$I$5,1)="A",G375,IF(BT375=1,BU375,IF(LEFT(Cockpit!$I$5,1)="B",AM375,MAX(AM375,G375))))</f>
        <v/>
      </c>
      <c r="AJ375" s="55">
        <f>IF(BO375=1,0,ROUNDUP(AI375/BN375,0))</f>
        <v/>
      </c>
      <c r="AK375" s="64">
        <f>IF(BO375=1,IF(AI375&lt;=0,0,BP375*MAX(1,IF(G375&gt;0,AI375/G375,1))),AJ375*Q375)</f>
        <v/>
      </c>
      <c r="AL375" s="55">
        <f>AI375*F375</f>
        <v/>
      </c>
      <c r="AM375" s="55">
        <f>ROUNDUP(MAX(I375/IF(BS375&gt;0,BS375,MAX(0.1,N(Cockpit!$I$6))),BV375)/BN375,0)*BN375</f>
        <v/>
      </c>
      <c r="AN375" s="56">
        <f>IF(AK375&gt;0,I375/AK375,-1)</f>
        <v/>
      </c>
      <c r="AO375" s="56">
        <f>IF(AND(OR(BR375="L1",BR375="L23"),AK375&gt;0),SUMIFS($AK$7:$AK$1570,$BR$7:$BR$1570,BR375,$AN$7:$AN$1570,"&gt;"&amp;AN375)+SUMIFS($AK$7:$AK$1570,$BR$7:$BR$1570,BR375,$AN$7:$AN$1570,AN375,$BL$7:$BL$1570,"&lt;="&amp;BL375),"")</f>
        <v/>
      </c>
      <c r="AP375" s="65">
        <f>IF(AO375="",0,MAX(0,MIN(1,(IF(BR375="L1",Parameter!$K$5,Parameter!$K$6+Parameter!$K$7)-(AO375-AK375))/AK375)))</f>
        <v/>
      </c>
      <c r="AQ375" s="55">
        <f>IF(LEFT(Cockpit!$O$5,1)="A",G375,IF(BT375=1,BU375,IF(LEFT(Cockpit!$O$5,1)="B",AU375,MAX(AU375,G375))))</f>
        <v/>
      </c>
      <c r="AR375" s="55">
        <f>IF(BO375=1,0,ROUNDUP(AQ375/BN375,0))</f>
        <v/>
      </c>
      <c r="AS375" s="64">
        <f>IF(BO375=1,IF(AQ375&lt;=0,0,BP375*MAX(1,IF(G375&gt;0,AQ375/G375,1))),AR375*Q375)</f>
        <v/>
      </c>
      <c r="AT375" s="55">
        <f>AQ375*F375</f>
        <v/>
      </c>
      <c r="AU375" s="55">
        <f>ROUNDUP(MAX(I375/IF(BS375&gt;0,BS375,MAX(0.1,N(Cockpit!$O$6))),BV375)/BN375,0)*BN375</f>
        <v/>
      </c>
      <c r="AV375" s="56">
        <f>IF(AS375&gt;0,I375/AS375,-1)</f>
        <v/>
      </c>
      <c r="AW375" s="56">
        <f>IF(AND(OR(BR375="L1",BR375="L23"),AS375&gt;0),SUMIFS($AS$7:$AS$1570,$BR$7:$BR$1570,BR375,$AV$7:$AV$1570,"&gt;"&amp;AV375)+SUMIFS($AS$7:$AS$1570,$BR$7:$BR$1570,BR375,$AV$7:$AV$1570,AV375,$BL$7:$BL$1570,"&lt;="&amp;BL375),"")</f>
        <v/>
      </c>
      <c r="AX375" s="65">
        <f>IF(AW375="",0,MAX(0,MIN(1,(IF(BR375="L1",Parameter!$K$5,Parameter!$K$6+Parameter!$K$7)-(AW375-AS375))/AS375)))</f>
        <v/>
      </c>
      <c r="AY375" s="53">
        <f>IF(AC375&lt;=0,"",IF(BR375="Aussen","Aussenlager",IF(BR375="-","Nicht im Lift",IF(AH375&gt;=1,"Lift",IF(AH375&lt;=0,"Aussenlager","teilweise")))))</f>
        <v/>
      </c>
      <c r="AZ375" s="53">
        <f>IF(AK375&lt;=0,"",IF(BR375="Aussen","Aussenlager",IF(BR375="-","Nicht im Lift",IF(AP375&gt;=1,"Lift",IF(AP375&lt;=0,"Aussenlager","teilweise")))))</f>
        <v/>
      </c>
      <c r="BA375" s="53">
        <f>IF(AS375&lt;=0,"",IF(BR375="Aussen","Aussenlager",IF(BR375="-","Nicht im Lift",IF(AX375&gt;=1,"Lift",IF(AX375&lt;=0,"Aussenlager","teilweise")))))</f>
        <v/>
      </c>
      <c r="BB375" s="53">
        <f>IF(A375="","",IF(BK375=1,"Neu; ","")&amp;IF(AND(BK375=0,BF375&lt;0),"negativer Bestand (Export "&amp;BF375&amp;"); ","")&amp;IF(I375&lt;=0,"Kein Verbrauch; ","")&amp;IF(BO375=1,"Lose – Fläche geschätzt; ","")&amp;IF(G375&gt;AM375,"Überbestand "&amp;ROUND(G375-AM375,0)&amp;" Stk / CHF "&amp;ROUND((G375-AM375)*F375,0)&amp;"; ","")&amp;IF(AND(BT375=1,BU375&lt;BV375),"MAX &lt; MB+LG; ","")&amp;IF(AND(BZ375&gt;0,BY375*10&gt;BZ375),"zu hoch für Tablar; ","")&amp;IF(AND(BK375=0,OR(BT375=1,V375&lt;&gt;"",S375&lt;&gt;"",T375&lt;&gt;"",W375&lt;&gt;"")),"manuell übersteuert; ","")&amp;IF(AND(BO375=0,Q375=0),"Gebinde unbekannt; ","")&amp;IF(AND(BO375=0,N(T375)&lt;=0,N(P375)&lt;=0),"Menge pro Gebinde fehlt (Ist = 1 Gebinde); ","")&amp;BJ375)</f>
        <v/>
      </c>
      <c r="BC375" s="53" t="n"/>
      <c r="BD375" s="53" t="n"/>
      <c r="BE375" s="61" t="n"/>
      <c r="BF375" s="55" t="n">
        <v>229</v>
      </c>
      <c r="BG375" s="55" t="n">
        <v>221</v>
      </c>
      <c r="BH375" s="54" t="n">
        <v>139.6099999999998</v>
      </c>
      <c r="BI375" s="55" t="n">
        <v>561</v>
      </c>
      <c r="BJ375" s="53" t="inlineStr"/>
      <c r="BK375" s="58" t="n">
        <v>0</v>
      </c>
      <c r="BL375" s="58" t="n">
        <v>375</v>
      </c>
      <c r="BM375" s="53">
        <f>IF(S375&lt;&gt;"",UPPER(TRIM(S375)),IF(O375="","LOSE",O375))</f>
        <v/>
      </c>
      <c r="BN375" s="55">
        <f>IF(BM375="LOSE",1,IF(N(T375)&gt;0,T375,IF(N(P375)&gt;0,P375,MAX(1,G375))))</f>
        <v/>
      </c>
      <c r="BO375" s="58">
        <f>IF(BM375="LOSE",1,0)</f>
        <v/>
      </c>
      <c r="BP375" s="64">
        <f>IF(BO375=0,0,IF(N(R375)&gt;0,R375,IFERROR(VLOOKUP(D375,Parameter!$A$35:$C$64,3,0)+0,0)))</f>
        <v/>
      </c>
      <c r="BQ375" s="53">
        <f>IF(V375&lt;&gt;"",V375,U375)</f>
        <v/>
      </c>
      <c r="BR375" s="53">
        <f>IF(BQ375=1,"L1",IF(OR(BQ375=2,BQ375=3),"L23",IF(BQ375="Aussen","Aussen","-")))</f>
        <v/>
      </c>
      <c r="BS375" s="66">
        <f>IF(N(W375)&gt;0,W375,0)</f>
        <v/>
      </c>
      <c r="BT375" s="58">
        <f>IF(ISNUMBER(Z375),1,0)</f>
        <v/>
      </c>
      <c r="BU375" s="55">
        <f>N(Z375)</f>
        <v/>
      </c>
      <c r="BV375" s="55">
        <f>N(L375)+N(M375)</f>
        <v/>
      </c>
      <c r="BW375" s="55">
        <f>ROUNDUP(G375/BN375,0)</f>
        <v/>
      </c>
      <c r="BX375" s="55">
        <f>ROUNDUP(BU375/BN375,0)</f>
        <v/>
      </c>
      <c r="BY375" s="58">
        <f>IF(BO375=1,0,IFERROR(VLOOKUP(BM375,'Gebinde-Kategorie'!$A$5:$G$45,5,0)+0,0))</f>
        <v/>
      </c>
      <c r="BZ375" s="58">
        <f>IFERROR(IF(OR(BQ375=1,BQ375=2,BQ375=3),N(INDEX(Parameter!$I$5:$I$7,BQ375)),0),0)</f>
        <v/>
      </c>
    </row>
    <row r="376">
      <c r="A376" s="53" t="inlineStr">
        <is>
          <t>109097</t>
        </is>
      </c>
      <c r="B376" s="53" t="inlineStr">
        <is>
          <t>Kleber A-Mass</t>
        </is>
      </c>
      <c r="C376" s="53" t="inlineStr">
        <is>
          <t>F</t>
        </is>
      </c>
      <c r="D376" s="53" t="inlineStr">
        <is>
          <t>KTL</t>
        </is>
      </c>
      <c r="E376" s="53" t="inlineStr">
        <is>
          <t>C</t>
        </is>
      </c>
      <c r="F376" s="54" t="n">
        <v>2.5</v>
      </c>
      <c r="G376" s="55">
        <f>MAX(0,IF(Parameter!$B$20="Jahresanfang 2025 + Export",BG376+BF376,BF376))</f>
        <v/>
      </c>
      <c r="H376" s="55">
        <f>G376*F376</f>
        <v/>
      </c>
      <c r="I376" s="55">
        <f>BI376*Parameter!$B$18</f>
        <v/>
      </c>
      <c r="J376" s="56" t="n">
        <v>61.5</v>
      </c>
      <c r="K376" s="57" t="n">
        <v>1.121951219512195</v>
      </c>
      <c r="L376" s="55" t="n">
        <v>4</v>
      </c>
      <c r="M376" s="55" t="n">
        <v>100</v>
      </c>
      <c r="N376" s="58" t="n">
        <v>21</v>
      </c>
      <c r="O376" s="53" t="inlineStr">
        <is>
          <t>S32</t>
        </is>
      </c>
      <c r="P376" s="55" t="n">
        <v>102</v>
      </c>
      <c r="Q376" s="59">
        <f>IF(BO376=1,0,IFERROR(VLOOKUP(BM376,'Gebinde-Kategorie'!$A$5:$G$45,6,0)+0,0))</f>
        <v/>
      </c>
      <c r="R376" s="60" t="n"/>
      <c r="S376" s="61" t="n"/>
      <c r="T376" s="61" t="n"/>
      <c r="U376" s="53">
        <f>IF(A376="","",IF(IFERROR(VLOOKUP(D376,Parameter!$A$35:$C$64,2,0),"Nein")="2+3",IF(ISNUMBER(SEARCH("grosser Artikel",BJ376)),2,IFERROR(VLOOKUP(BM376,Parameter!$F$35:$G$64,2,0),2)),IF(OR(IFERROR(VLOOKUP(D376,Parameter!$A$35:$C$64,2,0),"Nein")="Nein",IFERROR(VLOOKUP(D376,Parameter!$A$35:$C$64,2,0),"Nein")=""),"-",VLOOKUP(D376,Parameter!$A$35:$C$64,2,0))))</f>
        <v/>
      </c>
      <c r="V376" s="61" t="n"/>
      <c r="W376" s="62" t="n"/>
      <c r="X376" s="55">
        <f>AM376</f>
        <v/>
      </c>
      <c r="Y376" s="55">
        <f>MAX(AM376,G376)</f>
        <v/>
      </c>
      <c r="Z376" s="63" t="n"/>
      <c r="AA376" s="55">
        <f>IF(LEFT(Cockpit!$C$5,1)="A",G376,IF(BT376=1,BU376,IF(LEFT(Cockpit!$C$5,1)="B",AE376,MAX(AE376,G376))))</f>
        <v/>
      </c>
      <c r="AB376" s="55">
        <f>IF(BO376=1,0,ROUNDUP(AA376/BN376,0))</f>
        <v/>
      </c>
      <c r="AC376" s="64">
        <f>IF(BO376=1,IF(AA376&lt;=0,0,BP376*MAX(1,IF(G376&gt;0,AA376/G376,1))),AB376*Q376)</f>
        <v/>
      </c>
      <c r="AD376" s="55">
        <f>AA376*F376</f>
        <v/>
      </c>
      <c r="AE376" s="55">
        <f>ROUNDUP(MAX(I376/IF(BS376&gt;0,BS376,MAX(0.1,N(Cockpit!$C$6))),BV376)/BN376,0)*BN376</f>
        <v/>
      </c>
      <c r="AF376" s="56">
        <f>IF(AC376&gt;0,I376/AC376,-1)</f>
        <v/>
      </c>
      <c r="AG376" s="56">
        <f>IF(AND(OR(BR376="L1",BR376="L23"),AC376&gt;0),SUMIFS($AC$7:$AC$1570,$BR$7:$BR$1570,BR376,$AF$7:$AF$1570,"&gt;"&amp;AF376)+SUMIFS($AC$7:$AC$1570,$BR$7:$BR$1570,BR376,$AF$7:$AF$1570,AF376,$BL$7:$BL$1570,"&lt;="&amp;BL376),"")</f>
        <v/>
      </c>
      <c r="AH376" s="65">
        <f>IF(AG376="",0,MAX(0,MIN(1,(IF(BR376="L1",Parameter!$K$5,Parameter!$K$6+Parameter!$K$7)-(AG376-AC376))/AC376)))</f>
        <v/>
      </c>
      <c r="AI376" s="55">
        <f>IF(LEFT(Cockpit!$I$5,1)="A",G376,IF(BT376=1,BU376,IF(LEFT(Cockpit!$I$5,1)="B",AM376,MAX(AM376,G376))))</f>
        <v/>
      </c>
      <c r="AJ376" s="55">
        <f>IF(BO376=1,0,ROUNDUP(AI376/BN376,0))</f>
        <v/>
      </c>
      <c r="AK376" s="64">
        <f>IF(BO376=1,IF(AI376&lt;=0,0,BP376*MAX(1,IF(G376&gt;0,AI376/G376,1))),AJ376*Q376)</f>
        <v/>
      </c>
      <c r="AL376" s="55">
        <f>AI376*F376</f>
        <v/>
      </c>
      <c r="AM376" s="55">
        <f>ROUNDUP(MAX(I376/IF(BS376&gt;0,BS376,MAX(0.1,N(Cockpit!$I$6))),BV376)/BN376,0)*BN376</f>
        <v/>
      </c>
      <c r="AN376" s="56">
        <f>IF(AK376&gt;0,I376/AK376,-1)</f>
        <v/>
      </c>
      <c r="AO376" s="56">
        <f>IF(AND(OR(BR376="L1",BR376="L23"),AK376&gt;0),SUMIFS($AK$7:$AK$1570,$BR$7:$BR$1570,BR376,$AN$7:$AN$1570,"&gt;"&amp;AN376)+SUMIFS($AK$7:$AK$1570,$BR$7:$BR$1570,BR376,$AN$7:$AN$1570,AN376,$BL$7:$BL$1570,"&lt;="&amp;BL376),"")</f>
        <v/>
      </c>
      <c r="AP376" s="65">
        <f>IF(AO376="",0,MAX(0,MIN(1,(IF(BR376="L1",Parameter!$K$5,Parameter!$K$6+Parameter!$K$7)-(AO376-AK376))/AK376)))</f>
        <v/>
      </c>
      <c r="AQ376" s="55">
        <f>IF(LEFT(Cockpit!$O$5,1)="A",G376,IF(BT376=1,BU376,IF(LEFT(Cockpit!$O$5,1)="B",AU376,MAX(AU376,G376))))</f>
        <v/>
      </c>
      <c r="AR376" s="55">
        <f>IF(BO376=1,0,ROUNDUP(AQ376/BN376,0))</f>
        <v/>
      </c>
      <c r="AS376" s="64">
        <f>IF(BO376=1,IF(AQ376&lt;=0,0,BP376*MAX(1,IF(G376&gt;0,AQ376/G376,1))),AR376*Q376)</f>
        <v/>
      </c>
      <c r="AT376" s="55">
        <f>AQ376*F376</f>
        <v/>
      </c>
      <c r="AU376" s="55">
        <f>ROUNDUP(MAX(I376/IF(BS376&gt;0,BS376,MAX(0.1,N(Cockpit!$O$6))),BV376)/BN376,0)*BN376</f>
        <v/>
      </c>
      <c r="AV376" s="56">
        <f>IF(AS376&gt;0,I376/AS376,-1)</f>
        <v/>
      </c>
      <c r="AW376" s="56">
        <f>IF(AND(OR(BR376="L1",BR376="L23"),AS376&gt;0),SUMIFS($AS$7:$AS$1570,$BR$7:$BR$1570,BR376,$AV$7:$AV$1570,"&gt;"&amp;AV376)+SUMIFS($AS$7:$AS$1570,$BR$7:$BR$1570,BR376,$AV$7:$AV$1570,AV376,$BL$7:$BL$1570,"&lt;="&amp;BL376),"")</f>
        <v/>
      </c>
      <c r="AX376" s="65">
        <f>IF(AW376="",0,MAX(0,MIN(1,(IF(BR376="L1",Parameter!$K$5,Parameter!$K$6+Parameter!$K$7)-(AW376-AS376))/AS376)))</f>
        <v/>
      </c>
      <c r="AY376" s="53">
        <f>IF(AC376&lt;=0,"",IF(BR376="Aussen","Aussenlager",IF(BR376="-","Nicht im Lift",IF(AH376&gt;=1,"Lift",IF(AH376&lt;=0,"Aussenlager","teilweise")))))</f>
        <v/>
      </c>
      <c r="AZ376" s="53">
        <f>IF(AK376&lt;=0,"",IF(BR376="Aussen","Aussenlager",IF(BR376="-","Nicht im Lift",IF(AP376&gt;=1,"Lift",IF(AP376&lt;=0,"Aussenlager","teilweise")))))</f>
        <v/>
      </c>
      <c r="BA376" s="53">
        <f>IF(AS376&lt;=0,"",IF(BR376="Aussen","Aussenlager",IF(BR376="-","Nicht im Lift",IF(AX376&gt;=1,"Lift",IF(AX376&lt;=0,"Aussenlager","teilweise")))))</f>
        <v/>
      </c>
      <c r="BB376" s="53">
        <f>IF(A376="","",IF(BK376=1,"Neu; ","")&amp;IF(AND(BK376=0,BF376&lt;0),"negativer Bestand (Export "&amp;BF376&amp;"); ","")&amp;IF(I376&lt;=0,"Kein Verbrauch; ","")&amp;IF(BO376=1,"Lose – Fläche geschätzt; ","")&amp;IF(G376&gt;AM376,"Überbestand "&amp;ROUND(G376-AM376,0)&amp;" Stk / CHF "&amp;ROUND((G376-AM376)*F376,0)&amp;"; ","")&amp;IF(AND(BT376=1,BU376&lt;BV376),"MAX &lt; MB+LG; ","")&amp;IF(AND(BZ376&gt;0,BY376*10&gt;BZ376),"zu hoch für Tablar; ","")&amp;IF(AND(BK376=0,OR(BT376=1,V376&lt;&gt;"",S376&lt;&gt;"",T376&lt;&gt;"",W376&lt;&gt;"")),"manuell übersteuert; ","")&amp;IF(AND(BO376=0,Q376=0),"Gebinde unbekannt; ","")&amp;IF(AND(BO376=0,N(T376)&lt;=0,N(P376)&lt;=0),"Menge pro Gebinde fehlt (Ist = 1 Gebinde); ","")&amp;BJ376)</f>
        <v/>
      </c>
      <c r="BC376" s="53" t="n"/>
      <c r="BD376" s="53" t="n"/>
      <c r="BE376" s="61" t="n"/>
      <c r="BF376" s="55" t="n">
        <v>56</v>
      </c>
      <c r="BG376" s="55" t="n">
        <v>42</v>
      </c>
      <c r="BH376" s="54" t="n">
        <v>137.9000000000002</v>
      </c>
      <c r="BI376" s="55" t="n">
        <v>69</v>
      </c>
      <c r="BJ376" s="53" t="inlineStr">
        <is>
          <t>Neu</t>
        </is>
      </c>
      <c r="BK376" s="58" t="n">
        <v>0</v>
      </c>
      <c r="BL376" s="58" t="n">
        <v>376</v>
      </c>
      <c r="BM376" s="53">
        <f>IF(S376&lt;&gt;"",UPPER(TRIM(S376)),IF(O376="","LOSE",O376))</f>
        <v/>
      </c>
      <c r="BN376" s="55">
        <f>IF(BM376="LOSE",1,IF(N(T376)&gt;0,T376,IF(N(P376)&gt;0,P376,MAX(1,G376))))</f>
        <v/>
      </c>
      <c r="BO376" s="58">
        <f>IF(BM376="LOSE",1,0)</f>
        <v/>
      </c>
      <c r="BP376" s="64">
        <f>IF(BO376=0,0,IF(N(R376)&gt;0,R376,IFERROR(VLOOKUP(D376,Parameter!$A$35:$C$64,3,0)+0,0)))</f>
        <v/>
      </c>
      <c r="BQ376" s="53">
        <f>IF(V376&lt;&gt;"",V376,U376)</f>
        <v/>
      </c>
      <c r="BR376" s="53">
        <f>IF(BQ376=1,"L1",IF(OR(BQ376=2,BQ376=3),"L23",IF(BQ376="Aussen","Aussen","-")))</f>
        <v/>
      </c>
      <c r="BS376" s="66">
        <f>IF(N(W376)&gt;0,W376,0)</f>
        <v/>
      </c>
      <c r="BT376" s="58">
        <f>IF(ISNUMBER(Z376),1,0)</f>
        <v/>
      </c>
      <c r="BU376" s="55">
        <f>N(Z376)</f>
        <v/>
      </c>
      <c r="BV376" s="55">
        <f>N(L376)+N(M376)</f>
        <v/>
      </c>
      <c r="BW376" s="55">
        <f>ROUNDUP(G376/BN376,0)</f>
        <v/>
      </c>
      <c r="BX376" s="55">
        <f>ROUNDUP(BU376/BN376,0)</f>
        <v/>
      </c>
      <c r="BY376" s="58">
        <f>IF(BO376=1,0,IFERROR(VLOOKUP(BM376,'Gebinde-Kategorie'!$A$5:$G$45,5,0)+0,0))</f>
        <v/>
      </c>
      <c r="BZ376" s="58">
        <f>IFERROR(IF(OR(BQ376=1,BQ376=2,BQ376=3),N(INDEX(Parameter!$I$5:$I$7,BQ376)),0),0)</f>
        <v/>
      </c>
    </row>
    <row r="377">
      <c r="A377" s="53" t="inlineStr">
        <is>
          <t>107302</t>
        </is>
      </c>
      <c r="B377" s="53" t="inlineStr">
        <is>
          <t>Ringschlüssel</t>
        </is>
      </c>
      <c r="C377" s="53" t="inlineStr">
        <is>
          <t>F</t>
        </is>
      </c>
      <c r="D377" s="53" t="inlineStr">
        <is>
          <t>KTL</t>
        </is>
      </c>
      <c r="E377" s="53" t="inlineStr">
        <is>
          <t>C</t>
        </is>
      </c>
      <c r="F377" s="54" t="n">
        <v>56.62</v>
      </c>
      <c r="G377" s="55">
        <f>MAX(0,IF(Parameter!$B$20="Jahresanfang 2025 + Export",BG377+BF377,BF377))</f>
        <v/>
      </c>
      <c r="H377" s="55">
        <f>G377*F377</f>
        <v/>
      </c>
      <c r="I377" s="55">
        <f>BI377*Parameter!$B$18</f>
        <v/>
      </c>
      <c r="J377" s="56" t="n">
        <v>4.5</v>
      </c>
      <c r="K377" s="57" t="n">
        <v>1.111111111111111</v>
      </c>
      <c r="L377" s="55" t="n">
        <v>0</v>
      </c>
      <c r="M377" s="55" t="n">
        <v>5</v>
      </c>
      <c r="N377" s="58" t="n">
        <v>21</v>
      </c>
      <c r="O377" s="53" t="inlineStr">
        <is>
          <t>S32</t>
        </is>
      </c>
      <c r="P377" s="55" t="n">
        <v>9</v>
      </c>
      <c r="Q377" s="59">
        <f>IF(BO377=1,0,IFERROR(VLOOKUP(BM377,'Gebinde-Kategorie'!$A$5:$G$45,6,0)+0,0))</f>
        <v/>
      </c>
      <c r="R377" s="60" t="n"/>
      <c r="S377" s="61" t="n"/>
      <c r="T377" s="61" t="n"/>
      <c r="U377" s="53">
        <f>IF(A377="","",IF(IFERROR(VLOOKUP(D377,Parameter!$A$35:$C$64,2,0),"Nein")="2+3",IF(ISNUMBER(SEARCH("grosser Artikel",BJ377)),2,IFERROR(VLOOKUP(BM377,Parameter!$F$35:$G$64,2,0),2)),IF(OR(IFERROR(VLOOKUP(D377,Parameter!$A$35:$C$64,2,0),"Nein")="Nein",IFERROR(VLOOKUP(D377,Parameter!$A$35:$C$64,2,0),"Nein")=""),"-",VLOOKUP(D377,Parameter!$A$35:$C$64,2,0))))</f>
        <v/>
      </c>
      <c r="V377" s="61" t="n"/>
      <c r="W377" s="62" t="n"/>
      <c r="X377" s="55">
        <f>AM377</f>
        <v/>
      </c>
      <c r="Y377" s="55">
        <f>MAX(AM377,G377)</f>
        <v/>
      </c>
      <c r="Z377" s="63" t="n"/>
      <c r="AA377" s="55">
        <f>IF(LEFT(Cockpit!$C$5,1)="A",G377,IF(BT377=1,BU377,IF(LEFT(Cockpit!$C$5,1)="B",AE377,MAX(AE377,G377))))</f>
        <v/>
      </c>
      <c r="AB377" s="55">
        <f>IF(BO377=1,0,ROUNDUP(AA377/BN377,0))</f>
        <v/>
      </c>
      <c r="AC377" s="64">
        <f>IF(BO377=1,IF(AA377&lt;=0,0,BP377*MAX(1,IF(G377&gt;0,AA377/G377,1))),AB377*Q377)</f>
        <v/>
      </c>
      <c r="AD377" s="55">
        <f>AA377*F377</f>
        <v/>
      </c>
      <c r="AE377" s="55">
        <f>ROUNDUP(MAX(I377/IF(BS377&gt;0,BS377,MAX(0.1,N(Cockpit!$C$6))),BV377)/BN377,0)*BN377</f>
        <v/>
      </c>
      <c r="AF377" s="56">
        <f>IF(AC377&gt;0,I377/AC377,-1)</f>
        <v/>
      </c>
      <c r="AG377" s="56">
        <f>IF(AND(OR(BR377="L1",BR377="L23"),AC377&gt;0),SUMIFS($AC$7:$AC$1570,$BR$7:$BR$1570,BR377,$AF$7:$AF$1570,"&gt;"&amp;AF377)+SUMIFS($AC$7:$AC$1570,$BR$7:$BR$1570,BR377,$AF$7:$AF$1570,AF377,$BL$7:$BL$1570,"&lt;="&amp;BL377),"")</f>
        <v/>
      </c>
      <c r="AH377" s="65">
        <f>IF(AG377="",0,MAX(0,MIN(1,(IF(BR377="L1",Parameter!$K$5,Parameter!$K$6+Parameter!$K$7)-(AG377-AC377))/AC377)))</f>
        <v/>
      </c>
      <c r="AI377" s="55">
        <f>IF(LEFT(Cockpit!$I$5,1)="A",G377,IF(BT377=1,BU377,IF(LEFT(Cockpit!$I$5,1)="B",AM377,MAX(AM377,G377))))</f>
        <v/>
      </c>
      <c r="AJ377" s="55">
        <f>IF(BO377=1,0,ROUNDUP(AI377/BN377,0))</f>
        <v/>
      </c>
      <c r="AK377" s="64">
        <f>IF(BO377=1,IF(AI377&lt;=0,0,BP377*MAX(1,IF(G377&gt;0,AI377/G377,1))),AJ377*Q377)</f>
        <v/>
      </c>
      <c r="AL377" s="55">
        <f>AI377*F377</f>
        <v/>
      </c>
      <c r="AM377" s="55">
        <f>ROUNDUP(MAX(I377/IF(BS377&gt;0,BS377,MAX(0.1,N(Cockpit!$I$6))),BV377)/BN377,0)*BN377</f>
        <v/>
      </c>
      <c r="AN377" s="56">
        <f>IF(AK377&gt;0,I377/AK377,-1)</f>
        <v/>
      </c>
      <c r="AO377" s="56">
        <f>IF(AND(OR(BR377="L1",BR377="L23"),AK377&gt;0),SUMIFS($AK$7:$AK$1570,$BR$7:$BR$1570,BR377,$AN$7:$AN$1570,"&gt;"&amp;AN377)+SUMIFS($AK$7:$AK$1570,$BR$7:$BR$1570,BR377,$AN$7:$AN$1570,AN377,$BL$7:$BL$1570,"&lt;="&amp;BL377),"")</f>
        <v/>
      </c>
      <c r="AP377" s="65">
        <f>IF(AO377="",0,MAX(0,MIN(1,(IF(BR377="L1",Parameter!$K$5,Parameter!$K$6+Parameter!$K$7)-(AO377-AK377))/AK377)))</f>
        <v/>
      </c>
      <c r="AQ377" s="55">
        <f>IF(LEFT(Cockpit!$O$5,1)="A",G377,IF(BT377=1,BU377,IF(LEFT(Cockpit!$O$5,1)="B",AU377,MAX(AU377,G377))))</f>
        <v/>
      </c>
      <c r="AR377" s="55">
        <f>IF(BO377=1,0,ROUNDUP(AQ377/BN377,0))</f>
        <v/>
      </c>
      <c r="AS377" s="64">
        <f>IF(BO377=1,IF(AQ377&lt;=0,0,BP377*MAX(1,IF(G377&gt;0,AQ377/G377,1))),AR377*Q377)</f>
        <v/>
      </c>
      <c r="AT377" s="55">
        <f>AQ377*F377</f>
        <v/>
      </c>
      <c r="AU377" s="55">
        <f>ROUNDUP(MAX(I377/IF(BS377&gt;0,BS377,MAX(0.1,N(Cockpit!$O$6))),BV377)/BN377,0)*BN377</f>
        <v/>
      </c>
      <c r="AV377" s="56">
        <f>IF(AS377&gt;0,I377/AS377,-1)</f>
        <v/>
      </c>
      <c r="AW377" s="56">
        <f>IF(AND(OR(BR377="L1",BR377="L23"),AS377&gt;0),SUMIFS($AS$7:$AS$1570,$BR$7:$BR$1570,BR377,$AV$7:$AV$1570,"&gt;"&amp;AV377)+SUMIFS($AS$7:$AS$1570,$BR$7:$BR$1570,BR377,$AV$7:$AV$1570,AV377,$BL$7:$BL$1570,"&lt;="&amp;BL377),"")</f>
        <v/>
      </c>
      <c r="AX377" s="65">
        <f>IF(AW377="",0,MAX(0,MIN(1,(IF(BR377="L1",Parameter!$K$5,Parameter!$K$6+Parameter!$K$7)-(AW377-AS377))/AS377)))</f>
        <v/>
      </c>
      <c r="AY377" s="53">
        <f>IF(AC377&lt;=0,"",IF(BR377="Aussen","Aussenlager",IF(BR377="-","Nicht im Lift",IF(AH377&gt;=1,"Lift",IF(AH377&lt;=0,"Aussenlager","teilweise")))))</f>
        <v/>
      </c>
      <c r="AZ377" s="53">
        <f>IF(AK377&lt;=0,"",IF(BR377="Aussen","Aussenlager",IF(BR377="-","Nicht im Lift",IF(AP377&gt;=1,"Lift",IF(AP377&lt;=0,"Aussenlager","teilweise")))))</f>
        <v/>
      </c>
      <c r="BA377" s="53">
        <f>IF(AS377&lt;=0,"",IF(BR377="Aussen","Aussenlager",IF(BR377="-","Nicht im Lift",IF(AX377&gt;=1,"Lift",IF(AX377&lt;=0,"Aussenlager","teilweise")))))</f>
        <v/>
      </c>
      <c r="BB377" s="53">
        <f>IF(A377="","",IF(BK377=1,"Neu; ","")&amp;IF(AND(BK377=0,BF377&lt;0),"negativer Bestand (Export "&amp;BF377&amp;"); ","")&amp;IF(I377&lt;=0,"Kein Verbrauch; ","")&amp;IF(BO377=1,"Lose – Fläche geschätzt; ","")&amp;IF(G377&gt;AM377,"Überbestand "&amp;ROUND(G377-AM377,0)&amp;" Stk / CHF "&amp;ROUND((G377-AM377)*F377,0)&amp;"; ","")&amp;IF(AND(BT377=1,BU377&lt;BV377),"MAX &lt; MB+LG; ","")&amp;IF(AND(BZ377&gt;0,BY377*10&gt;BZ377),"zu hoch für Tablar; ","")&amp;IF(AND(BK377=0,OR(BT377=1,V377&lt;&gt;"",S377&lt;&gt;"",T377&lt;&gt;"",W377&lt;&gt;"")),"manuell übersteuert; ","")&amp;IF(AND(BO377=0,Q377=0),"Gebinde unbekannt; ","")&amp;IF(AND(BO377=0,N(T377)&lt;=0,N(P377)&lt;=0),"Menge pro Gebinde fehlt (Ist = 1 Gebinde); ","")&amp;BJ377)</f>
        <v/>
      </c>
      <c r="BC377" s="53" t="n"/>
      <c r="BD377" s="53" t="n"/>
      <c r="BE377" s="61" t="n"/>
      <c r="BF377" s="55" t="n">
        <v>2</v>
      </c>
      <c r="BG377" s="55" t="n">
        <v>3</v>
      </c>
      <c r="BH377" s="54" t="n">
        <v>136.3399999999999</v>
      </c>
      <c r="BI377" s="55" t="n">
        <v>5</v>
      </c>
      <c r="BJ377" s="53" t="inlineStr"/>
      <c r="BK377" s="58" t="n">
        <v>0</v>
      </c>
      <c r="BL377" s="58" t="n">
        <v>377</v>
      </c>
      <c r="BM377" s="53">
        <f>IF(S377&lt;&gt;"",UPPER(TRIM(S377)),IF(O377="","LOSE",O377))</f>
        <v/>
      </c>
      <c r="BN377" s="55">
        <f>IF(BM377="LOSE",1,IF(N(T377)&gt;0,T377,IF(N(P377)&gt;0,P377,MAX(1,G377))))</f>
        <v/>
      </c>
      <c r="BO377" s="58">
        <f>IF(BM377="LOSE",1,0)</f>
        <v/>
      </c>
      <c r="BP377" s="64">
        <f>IF(BO377=0,0,IF(N(R377)&gt;0,R377,IFERROR(VLOOKUP(D377,Parameter!$A$35:$C$64,3,0)+0,0)))</f>
        <v/>
      </c>
      <c r="BQ377" s="53">
        <f>IF(V377&lt;&gt;"",V377,U377)</f>
        <v/>
      </c>
      <c r="BR377" s="53">
        <f>IF(BQ377=1,"L1",IF(OR(BQ377=2,BQ377=3),"L23",IF(BQ377="Aussen","Aussen","-")))</f>
        <v/>
      </c>
      <c r="BS377" s="66">
        <f>IF(N(W377)&gt;0,W377,0)</f>
        <v/>
      </c>
      <c r="BT377" s="58">
        <f>IF(ISNUMBER(Z377),1,0)</f>
        <v/>
      </c>
      <c r="BU377" s="55">
        <f>N(Z377)</f>
        <v/>
      </c>
      <c r="BV377" s="55">
        <f>N(L377)+N(M377)</f>
        <v/>
      </c>
      <c r="BW377" s="55">
        <f>ROUNDUP(G377/BN377,0)</f>
        <v/>
      </c>
      <c r="BX377" s="55">
        <f>ROUNDUP(BU377/BN377,0)</f>
        <v/>
      </c>
      <c r="BY377" s="58">
        <f>IF(BO377=1,0,IFERROR(VLOOKUP(BM377,'Gebinde-Kategorie'!$A$5:$G$45,5,0)+0,0))</f>
        <v/>
      </c>
      <c r="BZ377" s="58">
        <f>IFERROR(IF(OR(BQ377=1,BQ377=2,BQ377=3),N(INDEX(Parameter!$I$5:$I$7,BQ377)),0),0)</f>
        <v/>
      </c>
    </row>
    <row r="378">
      <c r="A378" s="53" t="inlineStr">
        <is>
          <t>002041</t>
        </is>
      </c>
      <c r="B378" s="53" t="inlineStr">
        <is>
          <t>Kunststoff-Schutznetze orange</t>
        </is>
      </c>
      <c r="C378" s="53" t="inlineStr">
        <is>
          <t>F</t>
        </is>
      </c>
      <c r="D378" s="53" t="inlineStr">
        <is>
          <t>PAL</t>
        </is>
      </c>
      <c r="E378" s="53" t="inlineStr">
        <is>
          <t>C</t>
        </is>
      </c>
      <c r="F378" s="54" t="n">
        <v>136</v>
      </c>
      <c r="G378" s="55">
        <f>MAX(0,IF(Parameter!$B$20="Jahresanfang 2025 + Export",BG378+BF378,BF378))</f>
        <v/>
      </c>
      <c r="H378" s="55">
        <f>G378*F378</f>
        <v/>
      </c>
      <c r="I378" s="55">
        <f>BI378*Parameter!$B$18</f>
        <v/>
      </c>
      <c r="J378" s="56" t="n">
        <v>0</v>
      </c>
      <c r="K378" s="57" t="n">
        <v>0</v>
      </c>
      <c r="L378" s="55" t="n">
        <v>0</v>
      </c>
      <c r="M378" s="55" t="n">
        <v>1</v>
      </c>
      <c r="N378" s="58" t="n">
        <v>28</v>
      </c>
      <c r="O378" s="53" t="inlineStr">
        <is>
          <t>LOSE</t>
        </is>
      </c>
      <c r="P378" s="55" t="n"/>
      <c r="Q378" s="59">
        <f>IF(BO378=1,0,IFERROR(VLOOKUP(BM378,'Gebinde-Kategorie'!$A$5:$G$45,6,0)+0,0))</f>
        <v/>
      </c>
      <c r="R378" s="60" t="n"/>
      <c r="S378" s="61" t="n"/>
      <c r="T378" s="61" t="n"/>
      <c r="U378" s="53">
        <f>IF(A378="","",IF(IFERROR(VLOOKUP(D378,Parameter!$A$35:$C$64,2,0),"Nein")="2+3",IF(ISNUMBER(SEARCH("grosser Artikel",BJ378)),2,IFERROR(VLOOKUP(BM378,Parameter!$F$35:$G$64,2,0),2)),IF(OR(IFERROR(VLOOKUP(D378,Parameter!$A$35:$C$64,2,0),"Nein")="Nein",IFERROR(VLOOKUP(D378,Parameter!$A$35:$C$64,2,0),"Nein")=""),"-",VLOOKUP(D378,Parameter!$A$35:$C$64,2,0))))</f>
        <v/>
      </c>
      <c r="V378" s="61" t="n"/>
      <c r="W378" s="62" t="n"/>
      <c r="X378" s="55">
        <f>AM378</f>
        <v/>
      </c>
      <c r="Y378" s="55">
        <f>MAX(AM378,G378)</f>
        <v/>
      </c>
      <c r="Z378" s="63" t="n"/>
      <c r="AA378" s="55">
        <f>IF(LEFT(Cockpit!$C$5,1)="A",G378,IF(BT378=1,BU378,IF(LEFT(Cockpit!$C$5,1)="B",AE378,MAX(AE378,G378))))</f>
        <v/>
      </c>
      <c r="AB378" s="55">
        <f>IF(BO378=1,0,ROUNDUP(AA378/BN378,0))</f>
        <v/>
      </c>
      <c r="AC378" s="64">
        <f>IF(BO378=1,IF(AA378&lt;=0,0,BP378*MAX(1,IF(G378&gt;0,AA378/G378,1))),AB378*Q378)</f>
        <v/>
      </c>
      <c r="AD378" s="55">
        <f>AA378*F378</f>
        <v/>
      </c>
      <c r="AE378" s="55">
        <f>ROUNDUP(MAX(I378/IF(BS378&gt;0,BS378,MAX(0.1,N(Cockpit!$C$6))),BV378)/BN378,0)*BN378</f>
        <v/>
      </c>
      <c r="AF378" s="56">
        <f>IF(AC378&gt;0,I378/AC378,-1)</f>
        <v/>
      </c>
      <c r="AG378" s="56">
        <f>IF(AND(OR(BR378="L1",BR378="L23"),AC378&gt;0),SUMIFS($AC$7:$AC$1570,$BR$7:$BR$1570,BR378,$AF$7:$AF$1570,"&gt;"&amp;AF378)+SUMIFS($AC$7:$AC$1570,$BR$7:$BR$1570,BR378,$AF$7:$AF$1570,AF378,$BL$7:$BL$1570,"&lt;="&amp;BL378),"")</f>
        <v/>
      </c>
      <c r="AH378" s="65">
        <f>IF(AG378="",0,MAX(0,MIN(1,(IF(BR378="L1",Parameter!$K$5,Parameter!$K$6+Parameter!$K$7)-(AG378-AC378))/AC378)))</f>
        <v/>
      </c>
      <c r="AI378" s="55">
        <f>IF(LEFT(Cockpit!$I$5,1)="A",G378,IF(BT378=1,BU378,IF(LEFT(Cockpit!$I$5,1)="B",AM378,MAX(AM378,G378))))</f>
        <v/>
      </c>
      <c r="AJ378" s="55">
        <f>IF(BO378=1,0,ROUNDUP(AI378/BN378,0))</f>
        <v/>
      </c>
      <c r="AK378" s="64">
        <f>IF(BO378=1,IF(AI378&lt;=0,0,BP378*MAX(1,IF(G378&gt;0,AI378/G378,1))),AJ378*Q378)</f>
        <v/>
      </c>
      <c r="AL378" s="55">
        <f>AI378*F378</f>
        <v/>
      </c>
      <c r="AM378" s="55">
        <f>ROUNDUP(MAX(I378/IF(BS378&gt;0,BS378,MAX(0.1,N(Cockpit!$I$6))),BV378)/BN378,0)*BN378</f>
        <v/>
      </c>
      <c r="AN378" s="56">
        <f>IF(AK378&gt;0,I378/AK378,-1)</f>
        <v/>
      </c>
      <c r="AO378" s="56">
        <f>IF(AND(OR(BR378="L1",BR378="L23"),AK378&gt;0),SUMIFS($AK$7:$AK$1570,$BR$7:$BR$1570,BR378,$AN$7:$AN$1570,"&gt;"&amp;AN378)+SUMIFS($AK$7:$AK$1570,$BR$7:$BR$1570,BR378,$AN$7:$AN$1570,AN378,$BL$7:$BL$1570,"&lt;="&amp;BL378),"")</f>
        <v/>
      </c>
      <c r="AP378" s="65">
        <f>IF(AO378="",0,MAX(0,MIN(1,(IF(BR378="L1",Parameter!$K$5,Parameter!$K$6+Parameter!$K$7)-(AO378-AK378))/AK378)))</f>
        <v/>
      </c>
      <c r="AQ378" s="55">
        <f>IF(LEFT(Cockpit!$O$5,1)="A",G378,IF(BT378=1,BU378,IF(LEFT(Cockpit!$O$5,1)="B",AU378,MAX(AU378,G378))))</f>
        <v/>
      </c>
      <c r="AR378" s="55">
        <f>IF(BO378=1,0,ROUNDUP(AQ378/BN378,0))</f>
        <v/>
      </c>
      <c r="AS378" s="64">
        <f>IF(BO378=1,IF(AQ378&lt;=0,0,BP378*MAX(1,IF(G378&gt;0,AQ378/G378,1))),AR378*Q378)</f>
        <v/>
      </c>
      <c r="AT378" s="55">
        <f>AQ378*F378</f>
        <v/>
      </c>
      <c r="AU378" s="55">
        <f>ROUNDUP(MAX(I378/IF(BS378&gt;0,BS378,MAX(0.1,N(Cockpit!$O$6))),BV378)/BN378,0)*BN378</f>
        <v/>
      </c>
      <c r="AV378" s="56">
        <f>IF(AS378&gt;0,I378/AS378,-1)</f>
        <v/>
      </c>
      <c r="AW378" s="56">
        <f>IF(AND(OR(BR378="L1",BR378="L23"),AS378&gt;0),SUMIFS($AS$7:$AS$1570,$BR$7:$BR$1570,BR378,$AV$7:$AV$1570,"&gt;"&amp;AV378)+SUMIFS($AS$7:$AS$1570,$BR$7:$BR$1570,BR378,$AV$7:$AV$1570,AV378,$BL$7:$BL$1570,"&lt;="&amp;BL378),"")</f>
        <v/>
      </c>
      <c r="AX378" s="65">
        <f>IF(AW378="",0,MAX(0,MIN(1,(IF(BR378="L1",Parameter!$K$5,Parameter!$K$6+Parameter!$K$7)-(AW378-AS378))/AS378)))</f>
        <v/>
      </c>
      <c r="AY378" s="53">
        <f>IF(AC378&lt;=0,"",IF(BR378="Aussen","Aussenlager",IF(BR378="-","Nicht im Lift",IF(AH378&gt;=1,"Lift",IF(AH378&lt;=0,"Aussenlager","teilweise")))))</f>
        <v/>
      </c>
      <c r="AZ378" s="53">
        <f>IF(AK378&lt;=0,"",IF(BR378="Aussen","Aussenlager",IF(BR378="-","Nicht im Lift",IF(AP378&gt;=1,"Lift",IF(AP378&lt;=0,"Aussenlager","teilweise")))))</f>
        <v/>
      </c>
      <c r="BA378" s="53">
        <f>IF(AS378&lt;=0,"",IF(BR378="Aussen","Aussenlager",IF(BR378="-","Nicht im Lift",IF(AX378&gt;=1,"Lift",IF(AX378&lt;=0,"Aussenlager","teilweise")))))</f>
        <v/>
      </c>
      <c r="BB378" s="53">
        <f>IF(A378="","",IF(BK378=1,"Neu; ","")&amp;IF(AND(BK378=0,BF378&lt;0),"negativer Bestand (Export "&amp;BF378&amp;"); ","")&amp;IF(I378&lt;=0,"Kein Verbrauch; ","")&amp;IF(BO378=1,"Lose – Fläche geschätzt; ","")&amp;IF(G378&gt;AM378,"Überbestand "&amp;ROUND(G378-AM378,0)&amp;" Stk / CHF "&amp;ROUND((G378-AM378)*F378,0)&amp;"; ","")&amp;IF(AND(BT378=1,BU378&lt;BV378),"MAX &lt; MB+LG; ","")&amp;IF(AND(BZ378&gt;0,BY378*10&gt;BZ378),"zu hoch für Tablar; ","")&amp;IF(AND(BK378=0,OR(BT378=1,V378&lt;&gt;"",S378&lt;&gt;"",T378&lt;&gt;"",W378&lt;&gt;"")),"manuell übersteuert; ","")&amp;IF(AND(BO378=0,Q378=0),"Gebinde unbekannt; ","")&amp;IF(AND(BO378=0,N(T378)&lt;=0,N(P378)&lt;=0),"Menge pro Gebinde fehlt (Ist = 1 Gebinde); ","")&amp;BJ378)</f>
        <v/>
      </c>
      <c r="BC378" s="53" t="n"/>
      <c r="BD378" s="53" t="n"/>
      <c r="BE378" s="61" t="n"/>
      <c r="BF378" s="55" t="n">
        <v>1</v>
      </c>
      <c r="BG378" s="55" t="n">
        <v>0</v>
      </c>
      <c r="BH378" s="54" t="n">
        <v>136</v>
      </c>
      <c r="BI378" s="55" t="n">
        <v>0</v>
      </c>
      <c r="BJ378" s="53" t="inlineStr"/>
      <c r="BK378" s="58" t="n">
        <v>0</v>
      </c>
      <c r="BL378" s="58" t="n">
        <v>378</v>
      </c>
      <c r="BM378" s="53">
        <f>IF(S378&lt;&gt;"",UPPER(TRIM(S378)),IF(O378="","LOSE",O378))</f>
        <v/>
      </c>
      <c r="BN378" s="55">
        <f>IF(BM378="LOSE",1,IF(N(T378)&gt;0,T378,IF(N(P378)&gt;0,P378,MAX(1,G378))))</f>
        <v/>
      </c>
      <c r="BO378" s="58">
        <f>IF(BM378="LOSE",1,0)</f>
        <v/>
      </c>
      <c r="BP378" s="64">
        <f>IF(BO378=0,0,IF(N(R378)&gt;0,R378,IFERROR(VLOOKUP(D378,Parameter!$A$35:$C$64,3,0)+0,0)))</f>
        <v/>
      </c>
      <c r="BQ378" s="53">
        <f>IF(V378&lt;&gt;"",V378,U378)</f>
        <v/>
      </c>
      <c r="BR378" s="53">
        <f>IF(BQ378=1,"L1",IF(OR(BQ378=2,BQ378=3),"L23",IF(BQ378="Aussen","Aussen","-")))</f>
        <v/>
      </c>
      <c r="BS378" s="66">
        <f>IF(N(W378)&gt;0,W378,0)</f>
        <v/>
      </c>
      <c r="BT378" s="58">
        <f>IF(ISNUMBER(Z378),1,0)</f>
        <v/>
      </c>
      <c r="BU378" s="55">
        <f>N(Z378)</f>
        <v/>
      </c>
      <c r="BV378" s="55">
        <f>N(L378)+N(M378)</f>
        <v/>
      </c>
      <c r="BW378" s="55">
        <f>ROUNDUP(G378/BN378,0)</f>
        <v/>
      </c>
      <c r="BX378" s="55">
        <f>ROUNDUP(BU378/BN378,0)</f>
        <v/>
      </c>
      <c r="BY378" s="58">
        <f>IF(BO378=1,0,IFERROR(VLOOKUP(BM378,'Gebinde-Kategorie'!$A$5:$G$45,5,0)+0,0))</f>
        <v/>
      </c>
      <c r="BZ378" s="58">
        <f>IFERROR(IF(OR(BQ378=1,BQ378=2,BQ378=3),N(INDEX(Parameter!$I$5:$I$7,BQ378)),0),0)</f>
        <v/>
      </c>
    </row>
    <row r="379">
      <c r="A379" s="53" t="inlineStr">
        <is>
          <t>105861</t>
        </is>
      </c>
      <c r="B379" s="53" t="inlineStr">
        <is>
          <t>Blende</t>
        </is>
      </c>
      <c r="C379" s="53" t="inlineStr">
        <is>
          <t>F</t>
        </is>
      </c>
      <c r="D379" s="53" t="inlineStr">
        <is>
          <t>KTL</t>
        </is>
      </c>
      <c r="E379" s="53" t="inlineStr">
        <is>
          <t>C</t>
        </is>
      </c>
      <c r="F379" s="54" t="n">
        <v>21.9</v>
      </c>
      <c r="G379" s="55">
        <f>MAX(0,IF(Parameter!$B$20="Jahresanfang 2025 + Export",BG379+BF379,BF379))</f>
        <v/>
      </c>
      <c r="H379" s="55">
        <f>G379*F379</f>
        <v/>
      </c>
      <c r="I379" s="55">
        <f>BI379*Parameter!$B$18</f>
        <v/>
      </c>
      <c r="J379" s="56" t="n">
        <v>48</v>
      </c>
      <c r="K379" s="57" t="n">
        <v>0.5208333333333334</v>
      </c>
      <c r="L379" s="55" t="n">
        <v>3</v>
      </c>
      <c r="M379" s="55" t="n">
        <v>25</v>
      </c>
      <c r="N379" s="58" t="n">
        <v>56</v>
      </c>
      <c r="O379" s="53" t="inlineStr">
        <is>
          <t>S21</t>
        </is>
      </c>
      <c r="P379" s="55" t="n">
        <v>65</v>
      </c>
      <c r="Q379" s="59">
        <f>IF(BO379=1,0,IFERROR(VLOOKUP(BM379,'Gebinde-Kategorie'!$A$5:$G$45,6,0)+0,0))</f>
        <v/>
      </c>
      <c r="R379" s="60" t="n"/>
      <c r="S379" s="61" t="n"/>
      <c r="T379" s="61" t="n"/>
      <c r="U379" s="53">
        <f>IF(A379="","",IF(IFERROR(VLOOKUP(D379,Parameter!$A$35:$C$64,2,0),"Nein")="2+3",IF(ISNUMBER(SEARCH("grosser Artikel",BJ379)),2,IFERROR(VLOOKUP(BM379,Parameter!$F$35:$G$64,2,0),2)),IF(OR(IFERROR(VLOOKUP(D379,Parameter!$A$35:$C$64,2,0),"Nein")="Nein",IFERROR(VLOOKUP(D379,Parameter!$A$35:$C$64,2,0),"Nein")=""),"-",VLOOKUP(D379,Parameter!$A$35:$C$64,2,0))))</f>
        <v/>
      </c>
      <c r="V379" s="61" t="n"/>
      <c r="W379" s="62" t="n"/>
      <c r="X379" s="55">
        <f>AM379</f>
        <v/>
      </c>
      <c r="Y379" s="55">
        <f>MAX(AM379,G379)</f>
        <v/>
      </c>
      <c r="Z379" s="63" t="n"/>
      <c r="AA379" s="55">
        <f>IF(LEFT(Cockpit!$C$5,1)="A",G379,IF(BT379=1,BU379,IF(LEFT(Cockpit!$C$5,1)="B",AE379,MAX(AE379,G379))))</f>
        <v/>
      </c>
      <c r="AB379" s="55">
        <f>IF(BO379=1,0,ROUNDUP(AA379/BN379,0))</f>
        <v/>
      </c>
      <c r="AC379" s="64">
        <f>IF(BO379=1,IF(AA379&lt;=0,0,BP379*MAX(1,IF(G379&gt;0,AA379/G379,1))),AB379*Q379)</f>
        <v/>
      </c>
      <c r="AD379" s="55">
        <f>AA379*F379</f>
        <v/>
      </c>
      <c r="AE379" s="55">
        <f>ROUNDUP(MAX(I379/IF(BS379&gt;0,BS379,MAX(0.1,N(Cockpit!$C$6))),BV379)/BN379,0)*BN379</f>
        <v/>
      </c>
      <c r="AF379" s="56">
        <f>IF(AC379&gt;0,I379/AC379,-1)</f>
        <v/>
      </c>
      <c r="AG379" s="56">
        <f>IF(AND(OR(BR379="L1",BR379="L23"),AC379&gt;0),SUMIFS($AC$7:$AC$1570,$BR$7:$BR$1570,BR379,$AF$7:$AF$1570,"&gt;"&amp;AF379)+SUMIFS($AC$7:$AC$1570,$BR$7:$BR$1570,BR379,$AF$7:$AF$1570,AF379,$BL$7:$BL$1570,"&lt;="&amp;BL379),"")</f>
        <v/>
      </c>
      <c r="AH379" s="65">
        <f>IF(AG379="",0,MAX(0,MIN(1,(IF(BR379="L1",Parameter!$K$5,Parameter!$K$6+Parameter!$K$7)-(AG379-AC379))/AC379)))</f>
        <v/>
      </c>
      <c r="AI379" s="55">
        <f>IF(LEFT(Cockpit!$I$5,1)="A",G379,IF(BT379=1,BU379,IF(LEFT(Cockpit!$I$5,1)="B",AM379,MAX(AM379,G379))))</f>
        <v/>
      </c>
      <c r="AJ379" s="55">
        <f>IF(BO379=1,0,ROUNDUP(AI379/BN379,0))</f>
        <v/>
      </c>
      <c r="AK379" s="64">
        <f>IF(BO379=1,IF(AI379&lt;=0,0,BP379*MAX(1,IF(G379&gt;0,AI379/G379,1))),AJ379*Q379)</f>
        <v/>
      </c>
      <c r="AL379" s="55">
        <f>AI379*F379</f>
        <v/>
      </c>
      <c r="AM379" s="55">
        <f>ROUNDUP(MAX(I379/IF(BS379&gt;0,BS379,MAX(0.1,N(Cockpit!$I$6))),BV379)/BN379,0)*BN379</f>
        <v/>
      </c>
      <c r="AN379" s="56">
        <f>IF(AK379&gt;0,I379/AK379,-1)</f>
        <v/>
      </c>
      <c r="AO379" s="56">
        <f>IF(AND(OR(BR379="L1",BR379="L23"),AK379&gt;0),SUMIFS($AK$7:$AK$1570,$BR$7:$BR$1570,BR379,$AN$7:$AN$1570,"&gt;"&amp;AN379)+SUMIFS($AK$7:$AK$1570,$BR$7:$BR$1570,BR379,$AN$7:$AN$1570,AN379,$BL$7:$BL$1570,"&lt;="&amp;BL379),"")</f>
        <v/>
      </c>
      <c r="AP379" s="65">
        <f>IF(AO379="",0,MAX(0,MIN(1,(IF(BR379="L1",Parameter!$K$5,Parameter!$K$6+Parameter!$K$7)-(AO379-AK379))/AK379)))</f>
        <v/>
      </c>
      <c r="AQ379" s="55">
        <f>IF(LEFT(Cockpit!$O$5,1)="A",G379,IF(BT379=1,BU379,IF(LEFT(Cockpit!$O$5,1)="B",AU379,MAX(AU379,G379))))</f>
        <v/>
      </c>
      <c r="AR379" s="55">
        <f>IF(BO379=1,0,ROUNDUP(AQ379/BN379,0))</f>
        <v/>
      </c>
      <c r="AS379" s="64">
        <f>IF(BO379=1,IF(AQ379&lt;=0,0,BP379*MAX(1,IF(G379&gt;0,AQ379/G379,1))),AR379*Q379)</f>
        <v/>
      </c>
      <c r="AT379" s="55">
        <f>AQ379*F379</f>
        <v/>
      </c>
      <c r="AU379" s="55">
        <f>ROUNDUP(MAX(I379/IF(BS379&gt;0,BS379,MAX(0.1,N(Cockpit!$O$6))),BV379)/BN379,0)*BN379</f>
        <v/>
      </c>
      <c r="AV379" s="56">
        <f>IF(AS379&gt;0,I379/AS379,-1)</f>
        <v/>
      </c>
      <c r="AW379" s="56">
        <f>IF(AND(OR(BR379="L1",BR379="L23"),AS379&gt;0),SUMIFS($AS$7:$AS$1570,$BR$7:$BR$1570,BR379,$AV$7:$AV$1570,"&gt;"&amp;AV379)+SUMIFS($AS$7:$AS$1570,$BR$7:$BR$1570,BR379,$AV$7:$AV$1570,AV379,$BL$7:$BL$1570,"&lt;="&amp;BL379),"")</f>
        <v/>
      </c>
      <c r="AX379" s="65">
        <f>IF(AW379="",0,MAX(0,MIN(1,(IF(BR379="L1",Parameter!$K$5,Parameter!$K$6+Parameter!$K$7)-(AW379-AS379))/AS379)))</f>
        <v/>
      </c>
      <c r="AY379" s="53">
        <f>IF(AC379&lt;=0,"",IF(BR379="Aussen","Aussenlager",IF(BR379="-","Nicht im Lift",IF(AH379&gt;=1,"Lift",IF(AH379&lt;=0,"Aussenlager","teilweise")))))</f>
        <v/>
      </c>
      <c r="AZ379" s="53">
        <f>IF(AK379&lt;=0,"",IF(BR379="Aussen","Aussenlager",IF(BR379="-","Nicht im Lift",IF(AP379&gt;=1,"Lift",IF(AP379&lt;=0,"Aussenlager","teilweise")))))</f>
        <v/>
      </c>
      <c r="BA379" s="53">
        <f>IF(AS379&lt;=0,"",IF(BR379="Aussen","Aussenlager",IF(BR379="-","Nicht im Lift",IF(AX379&gt;=1,"Lift",IF(AX379&lt;=0,"Aussenlager","teilweise")))))</f>
        <v/>
      </c>
      <c r="BB379" s="53">
        <f>IF(A379="","",IF(BK379=1,"Neu; ","")&amp;IF(AND(BK379=0,BF379&lt;0),"negativer Bestand (Export "&amp;BF379&amp;"); ","")&amp;IF(I379&lt;=0,"Kein Verbrauch; ","")&amp;IF(BO379=1,"Lose – Fläche geschätzt; ","")&amp;IF(G379&gt;AM379,"Überbestand "&amp;ROUND(G379-AM379,0)&amp;" Stk / CHF "&amp;ROUND((G379-AM379)*F379,0)&amp;"; ","")&amp;IF(AND(BT379=1,BU379&lt;BV379),"MAX &lt; MB+LG; ","")&amp;IF(AND(BZ379&gt;0,BY379*10&gt;BZ379),"zu hoch für Tablar; ","")&amp;IF(AND(BK379=0,OR(BT379=1,V379&lt;&gt;"",S379&lt;&gt;"",T379&lt;&gt;"",W379&lt;&gt;"")),"manuell übersteuert; ","")&amp;IF(AND(BO379=0,Q379=0),"Gebinde unbekannt; ","")&amp;IF(AND(BO379=0,N(T379)&lt;=0,N(P379)&lt;=0),"Menge pro Gebinde fehlt (Ist = 1 Gebinde); ","")&amp;BJ379)</f>
        <v/>
      </c>
      <c r="BC379" s="53" t="n"/>
      <c r="BD379" s="53" t="n"/>
      <c r="BE379" s="61" t="n"/>
      <c r="BF379" s="55" t="n">
        <v>1</v>
      </c>
      <c r="BG379" s="55" t="n">
        <v>33</v>
      </c>
      <c r="BH379" s="54" t="n">
        <v>135.7500000000002</v>
      </c>
      <c r="BI379" s="55" t="n">
        <v>25</v>
      </c>
      <c r="BJ379" s="53" t="inlineStr"/>
      <c r="BK379" s="58" t="n">
        <v>0</v>
      </c>
      <c r="BL379" s="58" t="n">
        <v>379</v>
      </c>
      <c r="BM379" s="53">
        <f>IF(S379&lt;&gt;"",UPPER(TRIM(S379)),IF(O379="","LOSE",O379))</f>
        <v/>
      </c>
      <c r="BN379" s="55">
        <f>IF(BM379="LOSE",1,IF(N(T379)&gt;0,T379,IF(N(P379)&gt;0,P379,MAX(1,G379))))</f>
        <v/>
      </c>
      <c r="BO379" s="58">
        <f>IF(BM379="LOSE",1,0)</f>
        <v/>
      </c>
      <c r="BP379" s="64">
        <f>IF(BO379=0,0,IF(N(R379)&gt;0,R379,IFERROR(VLOOKUP(D379,Parameter!$A$35:$C$64,3,0)+0,0)))</f>
        <v/>
      </c>
      <c r="BQ379" s="53">
        <f>IF(V379&lt;&gt;"",V379,U379)</f>
        <v/>
      </c>
      <c r="BR379" s="53">
        <f>IF(BQ379=1,"L1",IF(OR(BQ379=2,BQ379=3),"L23",IF(BQ379="Aussen","Aussen","-")))</f>
        <v/>
      </c>
      <c r="BS379" s="66">
        <f>IF(N(W379)&gt;0,W379,0)</f>
        <v/>
      </c>
      <c r="BT379" s="58">
        <f>IF(ISNUMBER(Z379),1,0)</f>
        <v/>
      </c>
      <c r="BU379" s="55">
        <f>N(Z379)</f>
        <v/>
      </c>
      <c r="BV379" s="55">
        <f>N(L379)+N(M379)</f>
        <v/>
      </c>
      <c r="BW379" s="55">
        <f>ROUNDUP(G379/BN379,0)</f>
        <v/>
      </c>
      <c r="BX379" s="55">
        <f>ROUNDUP(BU379/BN379,0)</f>
        <v/>
      </c>
      <c r="BY379" s="58">
        <f>IF(BO379=1,0,IFERROR(VLOOKUP(BM379,'Gebinde-Kategorie'!$A$5:$G$45,5,0)+0,0))</f>
        <v/>
      </c>
      <c r="BZ379" s="58">
        <f>IFERROR(IF(OR(BQ379=1,BQ379=2,BQ379=3),N(INDEX(Parameter!$I$5:$I$7,BQ379)),0),0)</f>
        <v/>
      </c>
    </row>
    <row r="380">
      <c r="A380" s="53" t="inlineStr">
        <is>
          <t>111914</t>
        </is>
      </c>
      <c r="B380" s="53" t="inlineStr">
        <is>
          <t>Kupplungsgehäuse</t>
        </is>
      </c>
      <c r="C380" s="53" t="inlineStr">
        <is>
          <t>F</t>
        </is>
      </c>
      <c r="D380" s="53" t="inlineStr">
        <is>
          <t>KTL</t>
        </is>
      </c>
      <c r="E380" s="53" t="inlineStr">
        <is>
          <t>C</t>
        </is>
      </c>
      <c r="F380" s="54" t="n">
        <v>5.43</v>
      </c>
      <c r="G380" s="55">
        <f>MAX(0,IF(Parameter!$B$20="Jahresanfang 2025 + Export",BG380+BF380,BF380))</f>
        <v/>
      </c>
      <c r="H380" s="55">
        <f>G380*F380</f>
        <v/>
      </c>
      <c r="I380" s="55">
        <f>BI380*Parameter!$B$18</f>
        <v/>
      </c>
      <c r="J380" s="56" t="n">
        <v>0</v>
      </c>
      <c r="K380" s="57" t="n">
        <v>0</v>
      </c>
      <c r="L380" s="55" t="n">
        <v>0</v>
      </c>
      <c r="M380" s="55" t="n">
        <v>1</v>
      </c>
      <c r="N380" s="58" t="n">
        <v>9999</v>
      </c>
      <c r="O380" s="53" t="inlineStr">
        <is>
          <t>LOSE</t>
        </is>
      </c>
      <c r="P380" s="55" t="n"/>
      <c r="Q380" s="59">
        <f>IF(BO380=1,0,IFERROR(VLOOKUP(BM380,'Gebinde-Kategorie'!$A$5:$G$45,6,0)+0,0))</f>
        <v/>
      </c>
      <c r="R380" s="60" t="n"/>
      <c r="S380" s="61" t="n"/>
      <c r="T380" s="61" t="n"/>
      <c r="U380" s="53">
        <f>IF(A380="","",IF(IFERROR(VLOOKUP(D380,Parameter!$A$35:$C$64,2,0),"Nein")="2+3",IF(ISNUMBER(SEARCH("grosser Artikel",BJ380)),2,IFERROR(VLOOKUP(BM380,Parameter!$F$35:$G$64,2,0),2)),IF(OR(IFERROR(VLOOKUP(D380,Parameter!$A$35:$C$64,2,0),"Nein")="Nein",IFERROR(VLOOKUP(D380,Parameter!$A$35:$C$64,2,0),"Nein")=""),"-",VLOOKUP(D380,Parameter!$A$35:$C$64,2,0))))</f>
        <v/>
      </c>
      <c r="V380" s="61" t="n"/>
      <c r="W380" s="62" t="n"/>
      <c r="X380" s="55">
        <f>AM380</f>
        <v/>
      </c>
      <c r="Y380" s="55">
        <f>MAX(AM380,G380)</f>
        <v/>
      </c>
      <c r="Z380" s="63" t="n"/>
      <c r="AA380" s="55">
        <f>IF(LEFT(Cockpit!$C$5,1)="A",G380,IF(BT380=1,BU380,IF(LEFT(Cockpit!$C$5,1)="B",AE380,MAX(AE380,G380))))</f>
        <v/>
      </c>
      <c r="AB380" s="55">
        <f>IF(BO380=1,0,ROUNDUP(AA380/BN380,0))</f>
        <v/>
      </c>
      <c r="AC380" s="64">
        <f>IF(BO380=1,IF(AA380&lt;=0,0,BP380*MAX(1,IF(G380&gt;0,AA380/G380,1))),AB380*Q380)</f>
        <v/>
      </c>
      <c r="AD380" s="55">
        <f>AA380*F380</f>
        <v/>
      </c>
      <c r="AE380" s="55">
        <f>ROUNDUP(MAX(I380/IF(BS380&gt;0,BS380,MAX(0.1,N(Cockpit!$C$6))),BV380)/BN380,0)*BN380</f>
        <v/>
      </c>
      <c r="AF380" s="56">
        <f>IF(AC380&gt;0,I380/AC380,-1)</f>
        <v/>
      </c>
      <c r="AG380" s="56">
        <f>IF(AND(OR(BR380="L1",BR380="L23"),AC380&gt;0),SUMIFS($AC$7:$AC$1570,$BR$7:$BR$1570,BR380,$AF$7:$AF$1570,"&gt;"&amp;AF380)+SUMIFS($AC$7:$AC$1570,$BR$7:$BR$1570,BR380,$AF$7:$AF$1570,AF380,$BL$7:$BL$1570,"&lt;="&amp;BL380),"")</f>
        <v/>
      </c>
      <c r="AH380" s="65">
        <f>IF(AG380="",0,MAX(0,MIN(1,(IF(BR380="L1",Parameter!$K$5,Parameter!$K$6+Parameter!$K$7)-(AG380-AC380))/AC380)))</f>
        <v/>
      </c>
      <c r="AI380" s="55">
        <f>IF(LEFT(Cockpit!$I$5,1)="A",G380,IF(BT380=1,BU380,IF(LEFT(Cockpit!$I$5,1)="B",AM380,MAX(AM380,G380))))</f>
        <v/>
      </c>
      <c r="AJ380" s="55">
        <f>IF(BO380=1,0,ROUNDUP(AI380/BN380,0))</f>
        <v/>
      </c>
      <c r="AK380" s="64">
        <f>IF(BO380=1,IF(AI380&lt;=0,0,BP380*MAX(1,IF(G380&gt;0,AI380/G380,1))),AJ380*Q380)</f>
        <v/>
      </c>
      <c r="AL380" s="55">
        <f>AI380*F380</f>
        <v/>
      </c>
      <c r="AM380" s="55">
        <f>ROUNDUP(MAX(I380/IF(BS380&gt;0,BS380,MAX(0.1,N(Cockpit!$I$6))),BV380)/BN380,0)*BN380</f>
        <v/>
      </c>
      <c r="AN380" s="56">
        <f>IF(AK380&gt;0,I380/AK380,-1)</f>
        <v/>
      </c>
      <c r="AO380" s="56">
        <f>IF(AND(OR(BR380="L1",BR380="L23"),AK380&gt;0),SUMIFS($AK$7:$AK$1570,$BR$7:$BR$1570,BR380,$AN$7:$AN$1570,"&gt;"&amp;AN380)+SUMIFS($AK$7:$AK$1570,$BR$7:$BR$1570,BR380,$AN$7:$AN$1570,AN380,$BL$7:$BL$1570,"&lt;="&amp;BL380),"")</f>
        <v/>
      </c>
      <c r="AP380" s="65">
        <f>IF(AO380="",0,MAX(0,MIN(1,(IF(BR380="L1",Parameter!$K$5,Parameter!$K$6+Parameter!$K$7)-(AO380-AK380))/AK380)))</f>
        <v/>
      </c>
      <c r="AQ380" s="55">
        <f>IF(LEFT(Cockpit!$O$5,1)="A",G380,IF(BT380=1,BU380,IF(LEFT(Cockpit!$O$5,1)="B",AU380,MAX(AU380,G380))))</f>
        <v/>
      </c>
      <c r="AR380" s="55">
        <f>IF(BO380=1,0,ROUNDUP(AQ380/BN380,0))</f>
        <v/>
      </c>
      <c r="AS380" s="64">
        <f>IF(BO380=1,IF(AQ380&lt;=0,0,BP380*MAX(1,IF(G380&gt;0,AQ380/G380,1))),AR380*Q380)</f>
        <v/>
      </c>
      <c r="AT380" s="55">
        <f>AQ380*F380</f>
        <v/>
      </c>
      <c r="AU380" s="55">
        <f>ROUNDUP(MAX(I380/IF(BS380&gt;0,BS380,MAX(0.1,N(Cockpit!$O$6))),BV380)/BN380,0)*BN380</f>
        <v/>
      </c>
      <c r="AV380" s="56">
        <f>IF(AS380&gt;0,I380/AS380,-1)</f>
        <v/>
      </c>
      <c r="AW380" s="56">
        <f>IF(AND(OR(BR380="L1",BR380="L23"),AS380&gt;0),SUMIFS($AS$7:$AS$1570,$BR$7:$BR$1570,BR380,$AV$7:$AV$1570,"&gt;"&amp;AV380)+SUMIFS($AS$7:$AS$1570,$BR$7:$BR$1570,BR380,$AV$7:$AV$1570,AV380,$BL$7:$BL$1570,"&lt;="&amp;BL380),"")</f>
        <v/>
      </c>
      <c r="AX380" s="65">
        <f>IF(AW380="",0,MAX(0,MIN(1,(IF(BR380="L1",Parameter!$K$5,Parameter!$K$6+Parameter!$K$7)-(AW380-AS380))/AS380)))</f>
        <v/>
      </c>
      <c r="AY380" s="53">
        <f>IF(AC380&lt;=0,"",IF(BR380="Aussen","Aussenlager",IF(BR380="-","Nicht im Lift",IF(AH380&gt;=1,"Lift",IF(AH380&lt;=0,"Aussenlager","teilweise")))))</f>
        <v/>
      </c>
      <c r="AZ380" s="53">
        <f>IF(AK380&lt;=0,"",IF(BR380="Aussen","Aussenlager",IF(BR380="-","Nicht im Lift",IF(AP380&gt;=1,"Lift",IF(AP380&lt;=0,"Aussenlager","teilweise")))))</f>
        <v/>
      </c>
      <c r="BA380" s="53">
        <f>IF(AS380&lt;=0,"",IF(BR380="Aussen","Aussenlager",IF(BR380="-","Nicht im Lift",IF(AX380&gt;=1,"Lift",IF(AX380&lt;=0,"Aussenlager","teilweise")))))</f>
        <v/>
      </c>
      <c r="BB380" s="53">
        <f>IF(A380="","",IF(BK380=1,"Neu; ","")&amp;IF(AND(BK380=0,BF380&lt;0),"negativer Bestand (Export "&amp;BF380&amp;"); ","")&amp;IF(I380&lt;=0,"Kein Verbrauch; ","")&amp;IF(BO380=1,"Lose – Fläche geschätzt; ","")&amp;IF(G380&gt;AM380,"Überbestand "&amp;ROUND(G380-AM380,0)&amp;" Stk / CHF "&amp;ROUND((G380-AM380)*F380,0)&amp;"; ","")&amp;IF(AND(BT380=1,BU380&lt;BV380),"MAX &lt; MB+LG; ","")&amp;IF(AND(BZ380&gt;0,BY380*10&gt;BZ380),"zu hoch für Tablar; ","")&amp;IF(AND(BK380=0,OR(BT380=1,V380&lt;&gt;"",S380&lt;&gt;"",T380&lt;&gt;"",W380&lt;&gt;"")),"manuell übersteuert; ","")&amp;IF(AND(BO380=0,Q380=0),"Gebinde unbekannt; ","")&amp;IF(AND(BO380=0,N(T380)&lt;=0,N(P380)&lt;=0),"Menge pro Gebinde fehlt (Ist = 1 Gebinde); ","")&amp;BJ380)</f>
        <v/>
      </c>
      <c r="BC380" s="53" t="n"/>
      <c r="BD380" s="53" t="n"/>
      <c r="BE380" s="61" t="n"/>
      <c r="BF380" s="55" t="n">
        <v>25</v>
      </c>
      <c r="BG380" s="55" t="n">
        <v>0</v>
      </c>
      <c r="BH380" s="54" t="n">
        <v>135.75</v>
      </c>
      <c r="BI380" s="55" t="n">
        <v>0</v>
      </c>
      <c r="BJ380" s="53" t="inlineStr"/>
      <c r="BK380" s="58" t="n">
        <v>0</v>
      </c>
      <c r="BL380" s="58" t="n">
        <v>380</v>
      </c>
      <c r="BM380" s="53">
        <f>IF(S380&lt;&gt;"",UPPER(TRIM(S380)),IF(O380="","LOSE",O380))</f>
        <v/>
      </c>
      <c r="BN380" s="55">
        <f>IF(BM380="LOSE",1,IF(N(T380)&gt;0,T380,IF(N(P380)&gt;0,P380,MAX(1,G380))))</f>
        <v/>
      </c>
      <c r="BO380" s="58">
        <f>IF(BM380="LOSE",1,0)</f>
        <v/>
      </c>
      <c r="BP380" s="64">
        <f>IF(BO380=0,0,IF(N(R380)&gt;0,R380,IFERROR(VLOOKUP(D380,Parameter!$A$35:$C$64,3,0)+0,0)))</f>
        <v/>
      </c>
      <c r="BQ380" s="53">
        <f>IF(V380&lt;&gt;"",V380,U380)</f>
        <v/>
      </c>
      <c r="BR380" s="53">
        <f>IF(BQ380=1,"L1",IF(OR(BQ380=2,BQ380=3),"L23",IF(BQ380="Aussen","Aussen","-")))</f>
        <v/>
      </c>
      <c r="BS380" s="66">
        <f>IF(N(W380)&gt;0,W380,0)</f>
        <v/>
      </c>
      <c r="BT380" s="58">
        <f>IF(ISNUMBER(Z380),1,0)</f>
        <v/>
      </c>
      <c r="BU380" s="55">
        <f>N(Z380)</f>
        <v/>
      </c>
      <c r="BV380" s="55">
        <f>N(L380)+N(M380)</f>
        <v/>
      </c>
      <c r="BW380" s="55">
        <f>ROUNDUP(G380/BN380,0)</f>
        <v/>
      </c>
      <c r="BX380" s="55">
        <f>ROUNDUP(BU380/BN380,0)</f>
        <v/>
      </c>
      <c r="BY380" s="58">
        <f>IF(BO380=1,0,IFERROR(VLOOKUP(BM380,'Gebinde-Kategorie'!$A$5:$G$45,5,0)+0,0))</f>
        <v/>
      </c>
      <c r="BZ380" s="58">
        <f>IFERROR(IF(OR(BQ380=1,BQ380=2,BQ380=3),N(INDEX(Parameter!$I$5:$I$7,BQ380)),0),0)</f>
        <v/>
      </c>
    </row>
    <row r="381">
      <c r="A381" s="53" t="inlineStr">
        <is>
          <t>109327</t>
        </is>
      </c>
      <c r="B381" s="53" t="inlineStr">
        <is>
          <t>Kegelpfanne</t>
        </is>
      </c>
      <c r="C381" s="53" t="inlineStr">
        <is>
          <t>F</t>
        </is>
      </c>
      <c r="D381" s="53" t="inlineStr">
        <is>
          <t>KTL</t>
        </is>
      </c>
      <c r="E381" s="53" t="inlineStr">
        <is>
          <t>C</t>
        </is>
      </c>
      <c r="F381" s="54" t="n">
        <v>0.8</v>
      </c>
      <c r="G381" s="55">
        <f>MAX(0,IF(Parameter!$B$20="Jahresanfang 2025 + Export",BG381+BF381,BF381))</f>
        <v/>
      </c>
      <c r="H381" s="55">
        <f>G381*F381</f>
        <v/>
      </c>
      <c r="I381" s="55">
        <f>BI381*Parameter!$B$18</f>
        <v/>
      </c>
      <c r="J381" s="56" t="n">
        <v>264.5</v>
      </c>
      <c r="K381" s="57" t="n">
        <v>0.77882797731569</v>
      </c>
      <c r="L381" s="55" t="n">
        <v>12</v>
      </c>
      <c r="M381" s="55" t="n">
        <v>250</v>
      </c>
      <c r="N381" s="58" t="n">
        <v>21</v>
      </c>
      <c r="O381" s="53" t="inlineStr">
        <is>
          <t>LOSE</t>
        </is>
      </c>
      <c r="P381" s="55" t="n"/>
      <c r="Q381" s="59">
        <f>IF(BO381=1,0,IFERROR(VLOOKUP(BM381,'Gebinde-Kategorie'!$A$5:$G$45,6,0)+0,0))</f>
        <v/>
      </c>
      <c r="R381" s="60" t="n"/>
      <c r="S381" s="61" t="n"/>
      <c r="T381" s="61" t="n"/>
      <c r="U381" s="53">
        <f>IF(A381="","",IF(IFERROR(VLOOKUP(D381,Parameter!$A$35:$C$64,2,0),"Nein")="2+3",IF(ISNUMBER(SEARCH("grosser Artikel",BJ381)),2,IFERROR(VLOOKUP(BM381,Parameter!$F$35:$G$64,2,0),2)),IF(OR(IFERROR(VLOOKUP(D381,Parameter!$A$35:$C$64,2,0),"Nein")="Nein",IFERROR(VLOOKUP(D381,Parameter!$A$35:$C$64,2,0),"Nein")=""),"-",VLOOKUP(D381,Parameter!$A$35:$C$64,2,0))))</f>
        <v/>
      </c>
      <c r="V381" s="61" t="n"/>
      <c r="W381" s="62" t="n"/>
      <c r="X381" s="55">
        <f>AM381</f>
        <v/>
      </c>
      <c r="Y381" s="55">
        <f>MAX(AM381,G381)</f>
        <v/>
      </c>
      <c r="Z381" s="63" t="n"/>
      <c r="AA381" s="55">
        <f>IF(LEFT(Cockpit!$C$5,1)="A",G381,IF(BT381=1,BU381,IF(LEFT(Cockpit!$C$5,1)="B",AE381,MAX(AE381,G381))))</f>
        <v/>
      </c>
      <c r="AB381" s="55">
        <f>IF(BO381=1,0,ROUNDUP(AA381/BN381,0))</f>
        <v/>
      </c>
      <c r="AC381" s="64">
        <f>IF(BO381=1,IF(AA381&lt;=0,0,BP381*MAX(1,IF(G381&gt;0,AA381/G381,1))),AB381*Q381)</f>
        <v/>
      </c>
      <c r="AD381" s="55">
        <f>AA381*F381</f>
        <v/>
      </c>
      <c r="AE381" s="55">
        <f>ROUNDUP(MAX(I381/IF(BS381&gt;0,BS381,MAX(0.1,N(Cockpit!$C$6))),BV381)/BN381,0)*BN381</f>
        <v/>
      </c>
      <c r="AF381" s="56">
        <f>IF(AC381&gt;0,I381/AC381,-1)</f>
        <v/>
      </c>
      <c r="AG381" s="56">
        <f>IF(AND(OR(BR381="L1",BR381="L23"),AC381&gt;0),SUMIFS($AC$7:$AC$1570,$BR$7:$BR$1570,BR381,$AF$7:$AF$1570,"&gt;"&amp;AF381)+SUMIFS($AC$7:$AC$1570,$BR$7:$BR$1570,BR381,$AF$7:$AF$1570,AF381,$BL$7:$BL$1570,"&lt;="&amp;BL381),"")</f>
        <v/>
      </c>
      <c r="AH381" s="65">
        <f>IF(AG381="",0,MAX(0,MIN(1,(IF(BR381="L1",Parameter!$K$5,Parameter!$K$6+Parameter!$K$7)-(AG381-AC381))/AC381)))</f>
        <v/>
      </c>
      <c r="AI381" s="55">
        <f>IF(LEFT(Cockpit!$I$5,1)="A",G381,IF(BT381=1,BU381,IF(LEFT(Cockpit!$I$5,1)="B",AM381,MAX(AM381,G381))))</f>
        <v/>
      </c>
      <c r="AJ381" s="55">
        <f>IF(BO381=1,0,ROUNDUP(AI381/BN381,0))</f>
        <v/>
      </c>
      <c r="AK381" s="64">
        <f>IF(BO381=1,IF(AI381&lt;=0,0,BP381*MAX(1,IF(G381&gt;0,AI381/G381,1))),AJ381*Q381)</f>
        <v/>
      </c>
      <c r="AL381" s="55">
        <f>AI381*F381</f>
        <v/>
      </c>
      <c r="AM381" s="55">
        <f>ROUNDUP(MAX(I381/IF(BS381&gt;0,BS381,MAX(0.1,N(Cockpit!$I$6))),BV381)/BN381,0)*BN381</f>
        <v/>
      </c>
      <c r="AN381" s="56">
        <f>IF(AK381&gt;0,I381/AK381,-1)</f>
        <v/>
      </c>
      <c r="AO381" s="56">
        <f>IF(AND(OR(BR381="L1",BR381="L23"),AK381&gt;0),SUMIFS($AK$7:$AK$1570,$BR$7:$BR$1570,BR381,$AN$7:$AN$1570,"&gt;"&amp;AN381)+SUMIFS($AK$7:$AK$1570,$BR$7:$BR$1570,BR381,$AN$7:$AN$1570,AN381,$BL$7:$BL$1570,"&lt;="&amp;BL381),"")</f>
        <v/>
      </c>
      <c r="AP381" s="65">
        <f>IF(AO381="",0,MAX(0,MIN(1,(IF(BR381="L1",Parameter!$K$5,Parameter!$K$6+Parameter!$K$7)-(AO381-AK381))/AK381)))</f>
        <v/>
      </c>
      <c r="AQ381" s="55">
        <f>IF(LEFT(Cockpit!$O$5,1)="A",G381,IF(BT381=1,BU381,IF(LEFT(Cockpit!$O$5,1)="B",AU381,MAX(AU381,G381))))</f>
        <v/>
      </c>
      <c r="AR381" s="55">
        <f>IF(BO381=1,0,ROUNDUP(AQ381/BN381,0))</f>
        <v/>
      </c>
      <c r="AS381" s="64">
        <f>IF(BO381=1,IF(AQ381&lt;=0,0,BP381*MAX(1,IF(G381&gt;0,AQ381/G381,1))),AR381*Q381)</f>
        <v/>
      </c>
      <c r="AT381" s="55">
        <f>AQ381*F381</f>
        <v/>
      </c>
      <c r="AU381" s="55">
        <f>ROUNDUP(MAX(I381/IF(BS381&gt;0,BS381,MAX(0.1,N(Cockpit!$O$6))),BV381)/BN381,0)*BN381</f>
        <v/>
      </c>
      <c r="AV381" s="56">
        <f>IF(AS381&gt;0,I381/AS381,-1)</f>
        <v/>
      </c>
      <c r="AW381" s="56">
        <f>IF(AND(OR(BR381="L1",BR381="L23"),AS381&gt;0),SUMIFS($AS$7:$AS$1570,$BR$7:$BR$1570,BR381,$AV$7:$AV$1570,"&gt;"&amp;AV381)+SUMIFS($AS$7:$AS$1570,$BR$7:$BR$1570,BR381,$AV$7:$AV$1570,AV381,$BL$7:$BL$1570,"&lt;="&amp;BL381),"")</f>
        <v/>
      </c>
      <c r="AX381" s="65">
        <f>IF(AW381="",0,MAX(0,MIN(1,(IF(BR381="L1",Parameter!$K$5,Parameter!$K$6+Parameter!$K$7)-(AW381-AS381))/AS381)))</f>
        <v/>
      </c>
      <c r="AY381" s="53">
        <f>IF(AC381&lt;=0,"",IF(BR381="Aussen","Aussenlager",IF(BR381="-","Nicht im Lift",IF(AH381&gt;=1,"Lift",IF(AH381&lt;=0,"Aussenlager","teilweise")))))</f>
        <v/>
      </c>
      <c r="AZ381" s="53">
        <f>IF(AK381&lt;=0,"",IF(BR381="Aussen","Aussenlager",IF(BR381="-","Nicht im Lift",IF(AP381&gt;=1,"Lift",IF(AP381&lt;=0,"Aussenlager","teilweise")))))</f>
        <v/>
      </c>
      <c r="BA381" s="53">
        <f>IF(AS381&lt;=0,"",IF(BR381="Aussen","Aussenlager",IF(BR381="-","Nicht im Lift",IF(AX381&gt;=1,"Lift",IF(AX381&lt;=0,"Aussenlager","teilweise")))))</f>
        <v/>
      </c>
      <c r="BB381" s="53">
        <f>IF(A381="","",IF(BK381=1,"Neu; ","")&amp;IF(AND(BK381=0,BF381&lt;0),"negativer Bestand (Export "&amp;BF381&amp;"); ","")&amp;IF(I381&lt;=0,"Kein Verbrauch; ","")&amp;IF(BO381=1,"Lose – Fläche geschätzt; ","")&amp;IF(G381&gt;AM381,"Überbestand "&amp;ROUND(G381-AM381,0)&amp;" Stk / CHF "&amp;ROUND((G381-AM381)*F381,0)&amp;"; ","")&amp;IF(AND(BT381=1,BU381&lt;BV381),"MAX &lt; MB+LG; ","")&amp;IF(AND(BZ381&gt;0,BY381*10&gt;BZ381),"zu hoch für Tablar; ","")&amp;IF(AND(BK381=0,OR(BT381=1,V381&lt;&gt;"",S381&lt;&gt;"",T381&lt;&gt;"",W381&lt;&gt;"")),"manuell übersteuert; ","")&amp;IF(AND(BO381=0,Q381=0),"Gebinde unbekannt; ","")&amp;IF(AND(BO381=0,N(T381)&lt;=0,N(P381)&lt;=0),"Menge pro Gebinde fehlt (Ist = 1 Gebinde); ","")&amp;BJ381)</f>
        <v/>
      </c>
      <c r="BC381" s="53" t="n"/>
      <c r="BD381" s="53" t="n"/>
      <c r="BE381" s="61" t="n"/>
      <c r="BF381" s="55" t="n">
        <v>216</v>
      </c>
      <c r="BG381" s="55" t="n">
        <v>233</v>
      </c>
      <c r="BH381" s="54" t="n">
        <v>133.1899999999995</v>
      </c>
      <c r="BI381" s="55" t="n">
        <v>206</v>
      </c>
      <c r="BJ381" s="53" t="inlineStr"/>
      <c r="BK381" s="58" t="n">
        <v>0</v>
      </c>
      <c r="BL381" s="58" t="n">
        <v>381</v>
      </c>
      <c r="BM381" s="53">
        <f>IF(S381&lt;&gt;"",UPPER(TRIM(S381)),IF(O381="","LOSE",O381))</f>
        <v/>
      </c>
      <c r="BN381" s="55">
        <f>IF(BM381="LOSE",1,IF(N(T381)&gt;0,T381,IF(N(P381)&gt;0,P381,MAX(1,G381))))</f>
        <v/>
      </c>
      <c r="BO381" s="58">
        <f>IF(BM381="LOSE",1,0)</f>
        <v/>
      </c>
      <c r="BP381" s="64">
        <f>IF(BO381=0,0,IF(N(R381)&gt;0,R381,IFERROR(VLOOKUP(D381,Parameter!$A$35:$C$64,3,0)+0,0)))</f>
        <v/>
      </c>
      <c r="BQ381" s="53">
        <f>IF(V381&lt;&gt;"",V381,U381)</f>
        <v/>
      </c>
      <c r="BR381" s="53">
        <f>IF(BQ381=1,"L1",IF(OR(BQ381=2,BQ381=3),"L23",IF(BQ381="Aussen","Aussen","-")))</f>
        <v/>
      </c>
      <c r="BS381" s="66">
        <f>IF(N(W381)&gt;0,W381,0)</f>
        <v/>
      </c>
      <c r="BT381" s="58">
        <f>IF(ISNUMBER(Z381),1,0)</f>
        <v/>
      </c>
      <c r="BU381" s="55">
        <f>N(Z381)</f>
        <v/>
      </c>
      <c r="BV381" s="55">
        <f>N(L381)+N(M381)</f>
        <v/>
      </c>
      <c r="BW381" s="55">
        <f>ROUNDUP(G381/BN381,0)</f>
        <v/>
      </c>
      <c r="BX381" s="55">
        <f>ROUNDUP(BU381/BN381,0)</f>
        <v/>
      </c>
      <c r="BY381" s="58">
        <f>IF(BO381=1,0,IFERROR(VLOOKUP(BM381,'Gebinde-Kategorie'!$A$5:$G$45,5,0)+0,0))</f>
        <v/>
      </c>
      <c r="BZ381" s="58">
        <f>IFERROR(IF(OR(BQ381=1,BQ381=2,BQ381=3),N(INDEX(Parameter!$I$5:$I$7,BQ381)),0),0)</f>
        <v/>
      </c>
    </row>
    <row r="382">
      <c r="A382" s="53" t="inlineStr">
        <is>
          <t>108032</t>
        </is>
      </c>
      <c r="B382" s="53" t="inlineStr">
        <is>
          <t>Anbauflansch - HC-B-AF</t>
        </is>
      </c>
      <c r="C382" s="53" t="inlineStr">
        <is>
          <t>F</t>
        </is>
      </c>
      <c r="D382" s="53" t="inlineStr">
        <is>
          <t>KTL</t>
        </is>
      </c>
      <c r="E382" s="53" t="inlineStr">
        <is>
          <t>C</t>
        </is>
      </c>
      <c r="F382" s="54" t="n">
        <v>0.99</v>
      </c>
      <c r="G382" s="55">
        <f>MAX(0,IF(Parameter!$B$20="Jahresanfang 2025 + Export",BG382+BF382,BF382))</f>
        <v/>
      </c>
      <c r="H382" s="55">
        <f>G382*F382</f>
        <v/>
      </c>
      <c r="I382" s="55">
        <f>BI382*Parameter!$B$18</f>
        <v/>
      </c>
      <c r="J382" s="56" t="n">
        <v>86</v>
      </c>
      <c r="K382" s="57" t="n">
        <v>3.511627906976744</v>
      </c>
      <c r="L382" s="55" t="n">
        <v>23</v>
      </c>
      <c r="M382" s="55" t="n">
        <v>300</v>
      </c>
      <c r="N382" s="58" t="n">
        <v>28</v>
      </c>
      <c r="O382" s="53" t="inlineStr">
        <is>
          <t>S33</t>
        </is>
      </c>
      <c r="P382" s="55" t="n">
        <v>176</v>
      </c>
      <c r="Q382" s="59">
        <f>IF(BO382=1,0,IFERROR(VLOOKUP(BM382,'Gebinde-Kategorie'!$A$5:$G$45,6,0)+0,0))</f>
        <v/>
      </c>
      <c r="R382" s="60" t="n"/>
      <c r="S382" s="61" t="n"/>
      <c r="T382" s="61" t="n"/>
      <c r="U382" s="53">
        <f>IF(A382="","",IF(IFERROR(VLOOKUP(D382,Parameter!$A$35:$C$64,2,0),"Nein")="2+3",IF(ISNUMBER(SEARCH("grosser Artikel",BJ382)),2,IFERROR(VLOOKUP(BM382,Parameter!$F$35:$G$64,2,0),2)),IF(OR(IFERROR(VLOOKUP(D382,Parameter!$A$35:$C$64,2,0),"Nein")="Nein",IFERROR(VLOOKUP(D382,Parameter!$A$35:$C$64,2,0),"Nein")=""),"-",VLOOKUP(D382,Parameter!$A$35:$C$64,2,0))))</f>
        <v/>
      </c>
      <c r="V382" s="61" t="n"/>
      <c r="W382" s="62" t="n"/>
      <c r="X382" s="55">
        <f>AM382</f>
        <v/>
      </c>
      <c r="Y382" s="55">
        <f>MAX(AM382,G382)</f>
        <v/>
      </c>
      <c r="Z382" s="63" t="n"/>
      <c r="AA382" s="55">
        <f>IF(LEFT(Cockpit!$C$5,1)="A",G382,IF(BT382=1,BU382,IF(LEFT(Cockpit!$C$5,1)="B",AE382,MAX(AE382,G382))))</f>
        <v/>
      </c>
      <c r="AB382" s="55">
        <f>IF(BO382=1,0,ROUNDUP(AA382/BN382,0))</f>
        <v/>
      </c>
      <c r="AC382" s="64">
        <f>IF(BO382=1,IF(AA382&lt;=0,0,BP382*MAX(1,IF(G382&gt;0,AA382/G382,1))),AB382*Q382)</f>
        <v/>
      </c>
      <c r="AD382" s="55">
        <f>AA382*F382</f>
        <v/>
      </c>
      <c r="AE382" s="55">
        <f>ROUNDUP(MAX(I382/IF(BS382&gt;0,BS382,MAX(0.1,N(Cockpit!$C$6))),BV382)/BN382,0)*BN382</f>
        <v/>
      </c>
      <c r="AF382" s="56">
        <f>IF(AC382&gt;0,I382/AC382,-1)</f>
        <v/>
      </c>
      <c r="AG382" s="56">
        <f>IF(AND(OR(BR382="L1",BR382="L23"),AC382&gt;0),SUMIFS($AC$7:$AC$1570,$BR$7:$BR$1570,BR382,$AF$7:$AF$1570,"&gt;"&amp;AF382)+SUMIFS($AC$7:$AC$1570,$BR$7:$BR$1570,BR382,$AF$7:$AF$1570,AF382,$BL$7:$BL$1570,"&lt;="&amp;BL382),"")</f>
        <v/>
      </c>
      <c r="AH382" s="65">
        <f>IF(AG382="",0,MAX(0,MIN(1,(IF(BR382="L1",Parameter!$K$5,Parameter!$K$6+Parameter!$K$7)-(AG382-AC382))/AC382)))</f>
        <v/>
      </c>
      <c r="AI382" s="55">
        <f>IF(LEFT(Cockpit!$I$5,1)="A",G382,IF(BT382=1,BU382,IF(LEFT(Cockpit!$I$5,1)="B",AM382,MAX(AM382,G382))))</f>
        <v/>
      </c>
      <c r="AJ382" s="55">
        <f>IF(BO382=1,0,ROUNDUP(AI382/BN382,0))</f>
        <v/>
      </c>
      <c r="AK382" s="64">
        <f>IF(BO382=1,IF(AI382&lt;=0,0,BP382*MAX(1,IF(G382&gt;0,AI382/G382,1))),AJ382*Q382)</f>
        <v/>
      </c>
      <c r="AL382" s="55">
        <f>AI382*F382</f>
        <v/>
      </c>
      <c r="AM382" s="55">
        <f>ROUNDUP(MAX(I382/IF(BS382&gt;0,BS382,MAX(0.1,N(Cockpit!$I$6))),BV382)/BN382,0)*BN382</f>
        <v/>
      </c>
      <c r="AN382" s="56">
        <f>IF(AK382&gt;0,I382/AK382,-1)</f>
        <v/>
      </c>
      <c r="AO382" s="56">
        <f>IF(AND(OR(BR382="L1",BR382="L23"),AK382&gt;0),SUMIFS($AK$7:$AK$1570,$BR$7:$BR$1570,BR382,$AN$7:$AN$1570,"&gt;"&amp;AN382)+SUMIFS($AK$7:$AK$1570,$BR$7:$BR$1570,BR382,$AN$7:$AN$1570,AN382,$BL$7:$BL$1570,"&lt;="&amp;BL382),"")</f>
        <v/>
      </c>
      <c r="AP382" s="65">
        <f>IF(AO382="",0,MAX(0,MIN(1,(IF(BR382="L1",Parameter!$K$5,Parameter!$K$6+Parameter!$K$7)-(AO382-AK382))/AK382)))</f>
        <v/>
      </c>
      <c r="AQ382" s="55">
        <f>IF(LEFT(Cockpit!$O$5,1)="A",G382,IF(BT382=1,BU382,IF(LEFT(Cockpit!$O$5,1)="B",AU382,MAX(AU382,G382))))</f>
        <v/>
      </c>
      <c r="AR382" s="55">
        <f>IF(BO382=1,0,ROUNDUP(AQ382/BN382,0))</f>
        <v/>
      </c>
      <c r="AS382" s="64">
        <f>IF(BO382=1,IF(AQ382&lt;=0,0,BP382*MAX(1,IF(G382&gt;0,AQ382/G382,1))),AR382*Q382)</f>
        <v/>
      </c>
      <c r="AT382" s="55">
        <f>AQ382*F382</f>
        <v/>
      </c>
      <c r="AU382" s="55">
        <f>ROUNDUP(MAX(I382/IF(BS382&gt;0,BS382,MAX(0.1,N(Cockpit!$O$6))),BV382)/BN382,0)*BN382</f>
        <v/>
      </c>
      <c r="AV382" s="56">
        <f>IF(AS382&gt;0,I382/AS382,-1)</f>
        <v/>
      </c>
      <c r="AW382" s="56">
        <f>IF(AND(OR(BR382="L1",BR382="L23"),AS382&gt;0),SUMIFS($AS$7:$AS$1570,$BR$7:$BR$1570,BR382,$AV$7:$AV$1570,"&gt;"&amp;AV382)+SUMIFS($AS$7:$AS$1570,$BR$7:$BR$1570,BR382,$AV$7:$AV$1570,AV382,$BL$7:$BL$1570,"&lt;="&amp;BL382),"")</f>
        <v/>
      </c>
      <c r="AX382" s="65">
        <f>IF(AW382="",0,MAX(0,MIN(1,(IF(BR382="L1",Parameter!$K$5,Parameter!$K$6+Parameter!$K$7)-(AW382-AS382))/AS382)))</f>
        <v/>
      </c>
      <c r="AY382" s="53">
        <f>IF(AC382&lt;=0,"",IF(BR382="Aussen","Aussenlager",IF(BR382="-","Nicht im Lift",IF(AH382&gt;=1,"Lift",IF(AH382&lt;=0,"Aussenlager","teilweise")))))</f>
        <v/>
      </c>
      <c r="AZ382" s="53">
        <f>IF(AK382&lt;=0,"",IF(BR382="Aussen","Aussenlager",IF(BR382="-","Nicht im Lift",IF(AP382&gt;=1,"Lift",IF(AP382&lt;=0,"Aussenlager","teilweise")))))</f>
        <v/>
      </c>
      <c r="BA382" s="53">
        <f>IF(AS382&lt;=0,"",IF(BR382="Aussen","Aussenlager",IF(BR382="-","Nicht im Lift",IF(AX382&gt;=1,"Lift",IF(AX382&lt;=0,"Aussenlager","teilweise")))))</f>
        <v/>
      </c>
      <c r="BB382" s="53">
        <f>IF(A382="","",IF(BK382=1,"Neu; ","")&amp;IF(AND(BK382=0,BF382&lt;0),"negativer Bestand (Export "&amp;BF382&amp;"); ","")&amp;IF(I382&lt;=0,"Kein Verbrauch; ","")&amp;IF(BO382=1,"Lose – Fläche geschätzt; ","")&amp;IF(G382&gt;AM382,"Überbestand "&amp;ROUND(G382-AM382,0)&amp;" Stk / CHF "&amp;ROUND((G382-AM382)*F382,0)&amp;"; ","")&amp;IF(AND(BT382=1,BU382&lt;BV382),"MAX &lt; MB+LG; ","")&amp;IF(AND(BZ382&gt;0,BY382*10&gt;BZ382),"zu hoch für Tablar; ","")&amp;IF(AND(BK382=0,OR(BT382=1,V382&lt;&gt;"",S382&lt;&gt;"",T382&lt;&gt;"",W382&lt;&gt;"")),"manuell übersteuert; ","")&amp;IF(AND(BO382=0,Q382=0),"Gebinde unbekannt; ","")&amp;IF(AND(BO382=0,N(T382)&lt;=0,N(P382)&lt;=0),"Menge pro Gebinde fehlt (Ist = 1 Gebinde); ","")&amp;BJ382)</f>
        <v/>
      </c>
      <c r="BC382" s="53" t="n"/>
      <c r="BD382" s="53" t="n"/>
      <c r="BE382" s="61" t="n"/>
      <c r="BF382" s="55" t="n">
        <v>134</v>
      </c>
      <c r="BG382" s="55" t="n">
        <v>89</v>
      </c>
      <c r="BH382" s="54" t="n">
        <v>132.6599999999999</v>
      </c>
      <c r="BI382" s="55" t="n">
        <v>302</v>
      </c>
      <c r="BJ382" s="53" t="inlineStr"/>
      <c r="BK382" s="58" t="n">
        <v>0</v>
      </c>
      <c r="BL382" s="58" t="n">
        <v>382</v>
      </c>
      <c r="BM382" s="53">
        <f>IF(S382&lt;&gt;"",UPPER(TRIM(S382)),IF(O382="","LOSE",O382))</f>
        <v/>
      </c>
      <c r="BN382" s="55">
        <f>IF(BM382="LOSE",1,IF(N(T382)&gt;0,T382,IF(N(P382)&gt;0,P382,MAX(1,G382))))</f>
        <v/>
      </c>
      <c r="BO382" s="58">
        <f>IF(BM382="LOSE",1,0)</f>
        <v/>
      </c>
      <c r="BP382" s="64">
        <f>IF(BO382=0,0,IF(N(R382)&gt;0,R382,IFERROR(VLOOKUP(D382,Parameter!$A$35:$C$64,3,0)+0,0)))</f>
        <v/>
      </c>
      <c r="BQ382" s="53">
        <f>IF(V382&lt;&gt;"",V382,U382)</f>
        <v/>
      </c>
      <c r="BR382" s="53">
        <f>IF(BQ382=1,"L1",IF(OR(BQ382=2,BQ382=3),"L23",IF(BQ382="Aussen","Aussen","-")))</f>
        <v/>
      </c>
      <c r="BS382" s="66">
        <f>IF(N(W382)&gt;0,W382,0)</f>
        <v/>
      </c>
      <c r="BT382" s="58">
        <f>IF(ISNUMBER(Z382),1,0)</f>
        <v/>
      </c>
      <c r="BU382" s="55">
        <f>N(Z382)</f>
        <v/>
      </c>
      <c r="BV382" s="55">
        <f>N(L382)+N(M382)</f>
        <v/>
      </c>
      <c r="BW382" s="55">
        <f>ROUNDUP(G382/BN382,0)</f>
        <v/>
      </c>
      <c r="BX382" s="55">
        <f>ROUNDUP(BU382/BN382,0)</f>
        <v/>
      </c>
      <c r="BY382" s="58">
        <f>IF(BO382=1,0,IFERROR(VLOOKUP(BM382,'Gebinde-Kategorie'!$A$5:$G$45,5,0)+0,0))</f>
        <v/>
      </c>
      <c r="BZ382" s="58">
        <f>IFERROR(IF(OR(BQ382=1,BQ382=2,BQ382=3),N(INDEX(Parameter!$I$5:$I$7,BQ382)),0),0)</f>
        <v/>
      </c>
    </row>
    <row r="383">
      <c r="A383" s="53" t="inlineStr">
        <is>
          <t>005705</t>
        </is>
      </c>
      <c r="B383" s="53" t="inlineStr">
        <is>
          <t>Not-Halt-Pilzdrucktaster</t>
        </is>
      </c>
      <c r="C383" s="53" t="inlineStr">
        <is>
          <t>F</t>
        </is>
      </c>
      <c r="D383" s="53" t="inlineStr">
        <is>
          <t>KTL</t>
        </is>
      </c>
      <c r="E383" s="53" t="inlineStr">
        <is>
          <t>C</t>
        </is>
      </c>
      <c r="F383" s="54" t="n">
        <v>64.76000000000001</v>
      </c>
      <c r="G383" s="55">
        <f>MAX(0,IF(Parameter!$B$20="Jahresanfang 2025 + Export",BG383+BF383,BF383))</f>
        <v/>
      </c>
      <c r="H383" s="55">
        <f>G383*F383</f>
        <v/>
      </c>
      <c r="I383" s="55">
        <f>BI383*Parameter!$B$18</f>
        <v/>
      </c>
      <c r="J383" s="56" t="n">
        <v>11.5</v>
      </c>
      <c r="K383" s="57" t="n">
        <v>1.91304347826087</v>
      </c>
      <c r="L383" s="55" t="n">
        <v>1</v>
      </c>
      <c r="M383" s="55" t="n">
        <v>20</v>
      </c>
      <c r="N383" s="58" t="n">
        <v>28</v>
      </c>
      <c r="O383" s="53" t="inlineStr">
        <is>
          <t>S41</t>
        </is>
      </c>
      <c r="P383" s="55" t="n">
        <v>27</v>
      </c>
      <c r="Q383" s="59">
        <f>IF(BO383=1,0,IFERROR(VLOOKUP(BM383,'Gebinde-Kategorie'!$A$5:$G$45,6,0)+0,0))</f>
        <v/>
      </c>
      <c r="R383" s="60" t="n"/>
      <c r="S383" s="61" t="n"/>
      <c r="T383" s="61" t="n"/>
      <c r="U383" s="53">
        <f>IF(A383="","",IF(IFERROR(VLOOKUP(D383,Parameter!$A$35:$C$64,2,0),"Nein")="2+3",IF(ISNUMBER(SEARCH("grosser Artikel",BJ383)),2,IFERROR(VLOOKUP(BM383,Parameter!$F$35:$G$64,2,0),2)),IF(OR(IFERROR(VLOOKUP(D383,Parameter!$A$35:$C$64,2,0),"Nein")="Nein",IFERROR(VLOOKUP(D383,Parameter!$A$35:$C$64,2,0),"Nein")=""),"-",VLOOKUP(D383,Parameter!$A$35:$C$64,2,0))))</f>
        <v/>
      </c>
      <c r="V383" s="61" t="n"/>
      <c r="W383" s="62" t="n"/>
      <c r="X383" s="55">
        <f>AM383</f>
        <v/>
      </c>
      <c r="Y383" s="55">
        <f>MAX(AM383,G383)</f>
        <v/>
      </c>
      <c r="Z383" s="63" t="n"/>
      <c r="AA383" s="55">
        <f>IF(LEFT(Cockpit!$C$5,1)="A",G383,IF(BT383=1,BU383,IF(LEFT(Cockpit!$C$5,1)="B",AE383,MAX(AE383,G383))))</f>
        <v/>
      </c>
      <c r="AB383" s="55">
        <f>IF(BO383=1,0,ROUNDUP(AA383/BN383,0))</f>
        <v/>
      </c>
      <c r="AC383" s="64">
        <f>IF(BO383=1,IF(AA383&lt;=0,0,BP383*MAX(1,IF(G383&gt;0,AA383/G383,1))),AB383*Q383)</f>
        <v/>
      </c>
      <c r="AD383" s="55">
        <f>AA383*F383</f>
        <v/>
      </c>
      <c r="AE383" s="55">
        <f>ROUNDUP(MAX(I383/IF(BS383&gt;0,BS383,MAX(0.1,N(Cockpit!$C$6))),BV383)/BN383,0)*BN383</f>
        <v/>
      </c>
      <c r="AF383" s="56">
        <f>IF(AC383&gt;0,I383/AC383,-1)</f>
        <v/>
      </c>
      <c r="AG383" s="56">
        <f>IF(AND(OR(BR383="L1",BR383="L23"),AC383&gt;0),SUMIFS($AC$7:$AC$1570,$BR$7:$BR$1570,BR383,$AF$7:$AF$1570,"&gt;"&amp;AF383)+SUMIFS($AC$7:$AC$1570,$BR$7:$BR$1570,BR383,$AF$7:$AF$1570,AF383,$BL$7:$BL$1570,"&lt;="&amp;BL383),"")</f>
        <v/>
      </c>
      <c r="AH383" s="65">
        <f>IF(AG383="",0,MAX(0,MIN(1,(IF(BR383="L1",Parameter!$K$5,Parameter!$K$6+Parameter!$K$7)-(AG383-AC383))/AC383)))</f>
        <v/>
      </c>
      <c r="AI383" s="55">
        <f>IF(LEFT(Cockpit!$I$5,1)="A",G383,IF(BT383=1,BU383,IF(LEFT(Cockpit!$I$5,1)="B",AM383,MAX(AM383,G383))))</f>
        <v/>
      </c>
      <c r="AJ383" s="55">
        <f>IF(BO383=1,0,ROUNDUP(AI383/BN383,0))</f>
        <v/>
      </c>
      <c r="AK383" s="64">
        <f>IF(BO383=1,IF(AI383&lt;=0,0,BP383*MAX(1,IF(G383&gt;0,AI383/G383,1))),AJ383*Q383)</f>
        <v/>
      </c>
      <c r="AL383" s="55">
        <f>AI383*F383</f>
        <v/>
      </c>
      <c r="AM383" s="55">
        <f>ROUNDUP(MAX(I383/IF(BS383&gt;0,BS383,MAX(0.1,N(Cockpit!$I$6))),BV383)/BN383,0)*BN383</f>
        <v/>
      </c>
      <c r="AN383" s="56">
        <f>IF(AK383&gt;0,I383/AK383,-1)</f>
        <v/>
      </c>
      <c r="AO383" s="56">
        <f>IF(AND(OR(BR383="L1",BR383="L23"),AK383&gt;0),SUMIFS($AK$7:$AK$1570,$BR$7:$BR$1570,BR383,$AN$7:$AN$1570,"&gt;"&amp;AN383)+SUMIFS($AK$7:$AK$1570,$BR$7:$BR$1570,BR383,$AN$7:$AN$1570,AN383,$BL$7:$BL$1570,"&lt;="&amp;BL383),"")</f>
        <v/>
      </c>
      <c r="AP383" s="65">
        <f>IF(AO383="",0,MAX(0,MIN(1,(IF(BR383="L1",Parameter!$K$5,Parameter!$K$6+Parameter!$K$7)-(AO383-AK383))/AK383)))</f>
        <v/>
      </c>
      <c r="AQ383" s="55">
        <f>IF(LEFT(Cockpit!$O$5,1)="A",G383,IF(BT383=1,BU383,IF(LEFT(Cockpit!$O$5,1)="B",AU383,MAX(AU383,G383))))</f>
        <v/>
      </c>
      <c r="AR383" s="55">
        <f>IF(BO383=1,0,ROUNDUP(AQ383/BN383,0))</f>
        <v/>
      </c>
      <c r="AS383" s="64">
        <f>IF(BO383=1,IF(AQ383&lt;=0,0,BP383*MAX(1,IF(G383&gt;0,AQ383/G383,1))),AR383*Q383)</f>
        <v/>
      </c>
      <c r="AT383" s="55">
        <f>AQ383*F383</f>
        <v/>
      </c>
      <c r="AU383" s="55">
        <f>ROUNDUP(MAX(I383/IF(BS383&gt;0,BS383,MAX(0.1,N(Cockpit!$O$6))),BV383)/BN383,0)*BN383</f>
        <v/>
      </c>
      <c r="AV383" s="56">
        <f>IF(AS383&gt;0,I383/AS383,-1)</f>
        <v/>
      </c>
      <c r="AW383" s="56">
        <f>IF(AND(OR(BR383="L1",BR383="L23"),AS383&gt;0),SUMIFS($AS$7:$AS$1570,$BR$7:$BR$1570,BR383,$AV$7:$AV$1570,"&gt;"&amp;AV383)+SUMIFS($AS$7:$AS$1570,$BR$7:$BR$1570,BR383,$AV$7:$AV$1570,AV383,$BL$7:$BL$1570,"&lt;="&amp;BL383),"")</f>
        <v/>
      </c>
      <c r="AX383" s="65">
        <f>IF(AW383="",0,MAX(0,MIN(1,(IF(BR383="L1",Parameter!$K$5,Parameter!$K$6+Parameter!$K$7)-(AW383-AS383))/AS383)))</f>
        <v/>
      </c>
      <c r="AY383" s="53">
        <f>IF(AC383&lt;=0,"",IF(BR383="Aussen","Aussenlager",IF(BR383="-","Nicht im Lift",IF(AH383&gt;=1,"Lift",IF(AH383&lt;=0,"Aussenlager","teilweise")))))</f>
        <v/>
      </c>
      <c r="AZ383" s="53">
        <f>IF(AK383&lt;=0,"",IF(BR383="Aussen","Aussenlager",IF(BR383="-","Nicht im Lift",IF(AP383&gt;=1,"Lift",IF(AP383&lt;=0,"Aussenlager","teilweise")))))</f>
        <v/>
      </c>
      <c r="BA383" s="53">
        <f>IF(AS383&lt;=0,"",IF(BR383="Aussen","Aussenlager",IF(BR383="-","Nicht im Lift",IF(AX383&gt;=1,"Lift",IF(AX383&lt;=0,"Aussenlager","teilweise")))))</f>
        <v/>
      </c>
      <c r="BB383" s="53">
        <f>IF(A383="","",IF(BK383=1,"Neu; ","")&amp;IF(AND(BK383=0,BF383&lt;0),"negativer Bestand (Export "&amp;BF383&amp;"); ","")&amp;IF(I383&lt;=0,"Kein Verbrauch; ","")&amp;IF(BO383=1,"Lose – Fläche geschätzt; ","")&amp;IF(G383&gt;AM383,"Überbestand "&amp;ROUND(G383-AM383,0)&amp;" Stk / CHF "&amp;ROUND((G383-AM383)*F383,0)&amp;"; ","")&amp;IF(AND(BT383=1,BU383&lt;BV383),"MAX &lt; MB+LG; ","")&amp;IF(AND(BZ383&gt;0,BY383*10&gt;BZ383),"zu hoch für Tablar; ","")&amp;IF(AND(BK383=0,OR(BT383=1,V383&lt;&gt;"",S383&lt;&gt;"",T383&lt;&gt;"",W383&lt;&gt;"")),"manuell übersteuert; ","")&amp;IF(AND(BO383=0,Q383=0),"Gebinde unbekannt; ","")&amp;IF(AND(BO383=0,N(T383)&lt;=0,N(P383)&lt;=0),"Menge pro Gebinde fehlt (Ist = 1 Gebinde); ","")&amp;BJ383)</f>
        <v/>
      </c>
      <c r="BC383" s="53" t="n"/>
      <c r="BD383" s="53" t="n"/>
      <c r="BE383" s="61" t="n"/>
      <c r="BF383" s="55" t="n">
        <v>1</v>
      </c>
      <c r="BG383" s="55" t="n">
        <v>8</v>
      </c>
      <c r="BH383" s="54" t="n">
        <v>132.5999999999997</v>
      </c>
      <c r="BI383" s="55" t="n">
        <v>22</v>
      </c>
      <c r="BJ383" s="53" t="inlineStr"/>
      <c r="BK383" s="58" t="n">
        <v>0</v>
      </c>
      <c r="BL383" s="58" t="n">
        <v>383</v>
      </c>
      <c r="BM383" s="53">
        <f>IF(S383&lt;&gt;"",UPPER(TRIM(S383)),IF(O383="","LOSE",O383))</f>
        <v/>
      </c>
      <c r="BN383" s="55">
        <f>IF(BM383="LOSE",1,IF(N(T383)&gt;0,T383,IF(N(P383)&gt;0,P383,MAX(1,G383))))</f>
        <v/>
      </c>
      <c r="BO383" s="58">
        <f>IF(BM383="LOSE",1,0)</f>
        <v/>
      </c>
      <c r="BP383" s="64">
        <f>IF(BO383=0,0,IF(N(R383)&gt;0,R383,IFERROR(VLOOKUP(D383,Parameter!$A$35:$C$64,3,0)+0,0)))</f>
        <v/>
      </c>
      <c r="BQ383" s="53">
        <f>IF(V383&lt;&gt;"",V383,U383)</f>
        <v/>
      </c>
      <c r="BR383" s="53">
        <f>IF(BQ383=1,"L1",IF(OR(BQ383=2,BQ383=3),"L23",IF(BQ383="Aussen","Aussen","-")))</f>
        <v/>
      </c>
      <c r="BS383" s="66">
        <f>IF(N(W383)&gt;0,W383,0)</f>
        <v/>
      </c>
      <c r="BT383" s="58">
        <f>IF(ISNUMBER(Z383),1,0)</f>
        <v/>
      </c>
      <c r="BU383" s="55">
        <f>N(Z383)</f>
        <v/>
      </c>
      <c r="BV383" s="55">
        <f>N(L383)+N(M383)</f>
        <v/>
      </c>
      <c r="BW383" s="55">
        <f>ROUNDUP(G383/BN383,0)</f>
        <v/>
      </c>
      <c r="BX383" s="55">
        <f>ROUNDUP(BU383/BN383,0)</f>
        <v/>
      </c>
      <c r="BY383" s="58">
        <f>IF(BO383=1,0,IFERROR(VLOOKUP(BM383,'Gebinde-Kategorie'!$A$5:$G$45,5,0)+0,0))</f>
        <v/>
      </c>
      <c r="BZ383" s="58">
        <f>IFERROR(IF(OR(BQ383=1,BQ383=2,BQ383=3),N(INDEX(Parameter!$I$5:$I$7,BQ383)),0),0)</f>
        <v/>
      </c>
    </row>
    <row r="384">
      <c r="A384" s="53" t="inlineStr">
        <is>
          <t>107306</t>
        </is>
      </c>
      <c r="B384" s="53" t="inlineStr">
        <is>
          <t>Montagepaste</t>
        </is>
      </c>
      <c r="C384" s="53" t="inlineStr">
        <is>
          <t>F</t>
        </is>
      </c>
      <c r="D384" s="53" t="inlineStr">
        <is>
          <t>KTL</t>
        </is>
      </c>
      <c r="E384" s="53" t="inlineStr">
        <is>
          <t>C</t>
        </is>
      </c>
      <c r="F384" s="54" t="n">
        <v>22.61</v>
      </c>
      <c r="G384" s="55">
        <f>MAX(0,IF(Parameter!$B$20="Jahresanfang 2025 + Export",BG384+BF384,BF384))</f>
        <v/>
      </c>
      <c r="H384" s="55">
        <f>G384*F384</f>
        <v/>
      </c>
      <c r="I384" s="55">
        <f>BI384*Parameter!$B$18</f>
        <v/>
      </c>
      <c r="J384" s="56" t="n">
        <v>3.5</v>
      </c>
      <c r="K384" s="57" t="n">
        <v>1.714285714285714</v>
      </c>
      <c r="L384" s="55" t="n">
        <v>0</v>
      </c>
      <c r="M384" s="55" t="n">
        <v>5</v>
      </c>
      <c r="N384" s="58" t="n">
        <v>21</v>
      </c>
      <c r="O384" s="53" t="inlineStr">
        <is>
          <t>S33</t>
        </is>
      </c>
      <c r="P384" s="55" t="n">
        <v>10</v>
      </c>
      <c r="Q384" s="59">
        <f>IF(BO384=1,0,IFERROR(VLOOKUP(BM384,'Gebinde-Kategorie'!$A$5:$G$45,6,0)+0,0))</f>
        <v/>
      </c>
      <c r="R384" s="60" t="n"/>
      <c r="S384" s="61" t="n"/>
      <c r="T384" s="61" t="n"/>
      <c r="U384" s="53">
        <f>IF(A384="","",IF(IFERROR(VLOOKUP(D384,Parameter!$A$35:$C$64,2,0),"Nein")="2+3",IF(ISNUMBER(SEARCH("grosser Artikel",BJ384)),2,IFERROR(VLOOKUP(BM384,Parameter!$F$35:$G$64,2,0),2)),IF(OR(IFERROR(VLOOKUP(D384,Parameter!$A$35:$C$64,2,0),"Nein")="Nein",IFERROR(VLOOKUP(D384,Parameter!$A$35:$C$64,2,0),"Nein")=""),"-",VLOOKUP(D384,Parameter!$A$35:$C$64,2,0))))</f>
        <v/>
      </c>
      <c r="V384" s="61" t="n"/>
      <c r="W384" s="62" t="n"/>
      <c r="X384" s="55">
        <f>AM384</f>
        <v/>
      </c>
      <c r="Y384" s="55">
        <f>MAX(AM384,G384)</f>
        <v/>
      </c>
      <c r="Z384" s="63" t="n"/>
      <c r="AA384" s="55">
        <f>IF(LEFT(Cockpit!$C$5,1)="A",G384,IF(BT384=1,BU384,IF(LEFT(Cockpit!$C$5,1)="B",AE384,MAX(AE384,G384))))</f>
        <v/>
      </c>
      <c r="AB384" s="55">
        <f>IF(BO384=1,0,ROUNDUP(AA384/BN384,0))</f>
        <v/>
      </c>
      <c r="AC384" s="64">
        <f>IF(BO384=1,IF(AA384&lt;=0,0,BP384*MAX(1,IF(G384&gt;0,AA384/G384,1))),AB384*Q384)</f>
        <v/>
      </c>
      <c r="AD384" s="55">
        <f>AA384*F384</f>
        <v/>
      </c>
      <c r="AE384" s="55">
        <f>ROUNDUP(MAX(I384/IF(BS384&gt;0,BS384,MAX(0.1,N(Cockpit!$C$6))),BV384)/BN384,0)*BN384</f>
        <v/>
      </c>
      <c r="AF384" s="56">
        <f>IF(AC384&gt;0,I384/AC384,-1)</f>
        <v/>
      </c>
      <c r="AG384" s="56">
        <f>IF(AND(OR(BR384="L1",BR384="L23"),AC384&gt;0),SUMIFS($AC$7:$AC$1570,$BR$7:$BR$1570,BR384,$AF$7:$AF$1570,"&gt;"&amp;AF384)+SUMIFS($AC$7:$AC$1570,$BR$7:$BR$1570,BR384,$AF$7:$AF$1570,AF384,$BL$7:$BL$1570,"&lt;="&amp;BL384),"")</f>
        <v/>
      </c>
      <c r="AH384" s="65">
        <f>IF(AG384="",0,MAX(0,MIN(1,(IF(BR384="L1",Parameter!$K$5,Parameter!$K$6+Parameter!$K$7)-(AG384-AC384))/AC384)))</f>
        <v/>
      </c>
      <c r="AI384" s="55">
        <f>IF(LEFT(Cockpit!$I$5,1)="A",G384,IF(BT384=1,BU384,IF(LEFT(Cockpit!$I$5,1)="B",AM384,MAX(AM384,G384))))</f>
        <v/>
      </c>
      <c r="AJ384" s="55">
        <f>IF(BO384=1,0,ROUNDUP(AI384/BN384,0))</f>
        <v/>
      </c>
      <c r="AK384" s="64">
        <f>IF(BO384=1,IF(AI384&lt;=0,0,BP384*MAX(1,IF(G384&gt;0,AI384/G384,1))),AJ384*Q384)</f>
        <v/>
      </c>
      <c r="AL384" s="55">
        <f>AI384*F384</f>
        <v/>
      </c>
      <c r="AM384" s="55">
        <f>ROUNDUP(MAX(I384/IF(BS384&gt;0,BS384,MAX(0.1,N(Cockpit!$I$6))),BV384)/BN384,0)*BN384</f>
        <v/>
      </c>
      <c r="AN384" s="56">
        <f>IF(AK384&gt;0,I384/AK384,-1)</f>
        <v/>
      </c>
      <c r="AO384" s="56">
        <f>IF(AND(OR(BR384="L1",BR384="L23"),AK384&gt;0),SUMIFS($AK$7:$AK$1570,$BR$7:$BR$1570,BR384,$AN$7:$AN$1570,"&gt;"&amp;AN384)+SUMIFS($AK$7:$AK$1570,$BR$7:$BR$1570,BR384,$AN$7:$AN$1570,AN384,$BL$7:$BL$1570,"&lt;="&amp;BL384),"")</f>
        <v/>
      </c>
      <c r="AP384" s="65">
        <f>IF(AO384="",0,MAX(0,MIN(1,(IF(BR384="L1",Parameter!$K$5,Parameter!$K$6+Parameter!$K$7)-(AO384-AK384))/AK384)))</f>
        <v/>
      </c>
      <c r="AQ384" s="55">
        <f>IF(LEFT(Cockpit!$O$5,1)="A",G384,IF(BT384=1,BU384,IF(LEFT(Cockpit!$O$5,1)="B",AU384,MAX(AU384,G384))))</f>
        <v/>
      </c>
      <c r="AR384" s="55">
        <f>IF(BO384=1,0,ROUNDUP(AQ384/BN384,0))</f>
        <v/>
      </c>
      <c r="AS384" s="64">
        <f>IF(BO384=1,IF(AQ384&lt;=0,0,BP384*MAX(1,IF(G384&gt;0,AQ384/G384,1))),AR384*Q384)</f>
        <v/>
      </c>
      <c r="AT384" s="55">
        <f>AQ384*F384</f>
        <v/>
      </c>
      <c r="AU384" s="55">
        <f>ROUNDUP(MAX(I384/IF(BS384&gt;0,BS384,MAX(0.1,N(Cockpit!$O$6))),BV384)/BN384,0)*BN384</f>
        <v/>
      </c>
      <c r="AV384" s="56">
        <f>IF(AS384&gt;0,I384/AS384,-1)</f>
        <v/>
      </c>
      <c r="AW384" s="56">
        <f>IF(AND(OR(BR384="L1",BR384="L23"),AS384&gt;0),SUMIFS($AS$7:$AS$1570,$BR$7:$BR$1570,BR384,$AV$7:$AV$1570,"&gt;"&amp;AV384)+SUMIFS($AS$7:$AS$1570,$BR$7:$BR$1570,BR384,$AV$7:$AV$1570,AV384,$BL$7:$BL$1570,"&lt;="&amp;BL384),"")</f>
        <v/>
      </c>
      <c r="AX384" s="65">
        <f>IF(AW384="",0,MAX(0,MIN(1,(IF(BR384="L1",Parameter!$K$5,Parameter!$K$6+Parameter!$K$7)-(AW384-AS384))/AS384)))</f>
        <v/>
      </c>
      <c r="AY384" s="53">
        <f>IF(AC384&lt;=0,"",IF(BR384="Aussen","Aussenlager",IF(BR384="-","Nicht im Lift",IF(AH384&gt;=1,"Lift",IF(AH384&lt;=0,"Aussenlager","teilweise")))))</f>
        <v/>
      </c>
      <c r="AZ384" s="53">
        <f>IF(AK384&lt;=0,"",IF(BR384="Aussen","Aussenlager",IF(BR384="-","Nicht im Lift",IF(AP384&gt;=1,"Lift",IF(AP384&lt;=0,"Aussenlager","teilweise")))))</f>
        <v/>
      </c>
      <c r="BA384" s="53">
        <f>IF(AS384&lt;=0,"",IF(BR384="Aussen","Aussenlager",IF(BR384="-","Nicht im Lift",IF(AX384&gt;=1,"Lift",IF(AX384&lt;=0,"Aussenlager","teilweise")))))</f>
        <v/>
      </c>
      <c r="BB384" s="53">
        <f>IF(A384="","",IF(BK384=1,"Neu; ","")&amp;IF(AND(BK384=0,BF384&lt;0),"negativer Bestand (Export "&amp;BF384&amp;"); ","")&amp;IF(I384&lt;=0,"Kein Verbrauch; ","")&amp;IF(BO384=1,"Lose – Fläche geschätzt; ","")&amp;IF(G384&gt;AM384,"Überbestand "&amp;ROUND(G384-AM384,0)&amp;" Stk / CHF "&amp;ROUND((G384-AM384)*F384,0)&amp;"; ","")&amp;IF(AND(BT384=1,BU384&lt;BV384),"MAX &lt; MB+LG; ","")&amp;IF(AND(BZ384&gt;0,BY384*10&gt;BZ384),"zu hoch für Tablar; ","")&amp;IF(AND(BK384=0,OR(BT384=1,V384&lt;&gt;"",S384&lt;&gt;"",T384&lt;&gt;"",W384&lt;&gt;"")),"manuell übersteuert; ","")&amp;IF(AND(BO384=0,Q384=0),"Gebinde unbekannt; ","")&amp;IF(AND(BO384=0,N(T384)&lt;=0,N(P384)&lt;=0),"Menge pro Gebinde fehlt (Ist = 1 Gebinde); ","")&amp;BJ384)</f>
        <v/>
      </c>
      <c r="BC384" s="53" t="n"/>
      <c r="BD384" s="53" t="n"/>
      <c r="BE384" s="61" t="n"/>
      <c r="BF384" s="55" t="n">
        <v>5</v>
      </c>
      <c r="BG384" s="55" t="n">
        <v>4</v>
      </c>
      <c r="BH384" s="54" t="n">
        <v>130.89</v>
      </c>
      <c r="BI384" s="55" t="n">
        <v>6</v>
      </c>
      <c r="BJ384" s="53" t="inlineStr"/>
      <c r="BK384" s="58" t="n">
        <v>0</v>
      </c>
      <c r="BL384" s="58" t="n">
        <v>384</v>
      </c>
      <c r="BM384" s="53">
        <f>IF(S384&lt;&gt;"",UPPER(TRIM(S384)),IF(O384="","LOSE",O384))</f>
        <v/>
      </c>
      <c r="BN384" s="55">
        <f>IF(BM384="LOSE",1,IF(N(T384)&gt;0,T384,IF(N(P384)&gt;0,P384,MAX(1,G384))))</f>
        <v/>
      </c>
      <c r="BO384" s="58">
        <f>IF(BM384="LOSE",1,0)</f>
        <v/>
      </c>
      <c r="BP384" s="64">
        <f>IF(BO384=0,0,IF(N(R384)&gt;0,R384,IFERROR(VLOOKUP(D384,Parameter!$A$35:$C$64,3,0)+0,0)))</f>
        <v/>
      </c>
      <c r="BQ384" s="53">
        <f>IF(V384&lt;&gt;"",V384,U384)</f>
        <v/>
      </c>
      <c r="BR384" s="53">
        <f>IF(BQ384=1,"L1",IF(OR(BQ384=2,BQ384=3),"L23",IF(BQ384="Aussen","Aussen","-")))</f>
        <v/>
      </c>
      <c r="BS384" s="66">
        <f>IF(N(W384)&gt;0,W384,0)</f>
        <v/>
      </c>
      <c r="BT384" s="58">
        <f>IF(ISNUMBER(Z384),1,0)</f>
        <v/>
      </c>
      <c r="BU384" s="55">
        <f>N(Z384)</f>
        <v/>
      </c>
      <c r="BV384" s="55">
        <f>N(L384)+N(M384)</f>
        <v/>
      </c>
      <c r="BW384" s="55">
        <f>ROUNDUP(G384/BN384,0)</f>
        <v/>
      </c>
      <c r="BX384" s="55">
        <f>ROUNDUP(BU384/BN384,0)</f>
        <v/>
      </c>
      <c r="BY384" s="58">
        <f>IF(BO384=1,0,IFERROR(VLOOKUP(BM384,'Gebinde-Kategorie'!$A$5:$G$45,5,0)+0,0))</f>
        <v/>
      </c>
      <c r="BZ384" s="58">
        <f>IFERROR(IF(OR(BQ384=1,BQ384=2,BQ384=3),N(INDEX(Parameter!$I$5:$I$7,BQ384)),0),0)</f>
        <v/>
      </c>
    </row>
    <row r="385">
      <c r="A385" s="53" t="inlineStr">
        <is>
          <t>106276</t>
        </is>
      </c>
      <c r="B385" s="53" t="inlineStr">
        <is>
          <t>Sicherungsscheibe</t>
        </is>
      </c>
      <c r="C385" s="53" t="inlineStr">
        <is>
          <t>F</t>
        </is>
      </c>
      <c r="D385" s="53" t="inlineStr">
        <is>
          <t>KTL</t>
        </is>
      </c>
      <c r="E385" s="53" t="inlineStr">
        <is>
          <t>C</t>
        </is>
      </c>
      <c r="F385" s="54" t="n">
        <v>0.51</v>
      </c>
      <c r="G385" s="55">
        <f>MAX(0,IF(Parameter!$B$20="Jahresanfang 2025 + Export",BG385+BF385,BF385))</f>
        <v/>
      </c>
      <c r="H385" s="55">
        <f>G385*F385</f>
        <v/>
      </c>
      <c r="I385" s="55">
        <f>BI385*Parameter!$B$18</f>
        <v/>
      </c>
      <c r="J385" s="56" t="n">
        <v>146</v>
      </c>
      <c r="K385" s="57" t="n">
        <v>2.116438356164383</v>
      </c>
      <c r="L385" s="55" t="n">
        <v>18</v>
      </c>
      <c r="M385" s="55" t="n">
        <v>400</v>
      </c>
      <c r="N385" s="58" t="n">
        <v>21</v>
      </c>
      <c r="O385" s="53" t="inlineStr">
        <is>
          <t>S22</t>
        </is>
      </c>
      <c r="P385" s="55" t="n">
        <v>118</v>
      </c>
      <c r="Q385" s="59">
        <f>IF(BO385=1,0,IFERROR(VLOOKUP(BM385,'Gebinde-Kategorie'!$A$5:$G$45,6,0)+0,0))</f>
        <v/>
      </c>
      <c r="R385" s="60" t="n"/>
      <c r="S385" s="61" t="n"/>
      <c r="T385" s="61" t="n"/>
      <c r="U385" s="53">
        <f>IF(A385="","",IF(IFERROR(VLOOKUP(D385,Parameter!$A$35:$C$64,2,0),"Nein")="2+3",IF(ISNUMBER(SEARCH("grosser Artikel",BJ385)),2,IFERROR(VLOOKUP(BM385,Parameter!$F$35:$G$64,2,0),2)),IF(OR(IFERROR(VLOOKUP(D385,Parameter!$A$35:$C$64,2,0),"Nein")="Nein",IFERROR(VLOOKUP(D385,Parameter!$A$35:$C$64,2,0),"Nein")=""),"-",VLOOKUP(D385,Parameter!$A$35:$C$64,2,0))))</f>
        <v/>
      </c>
      <c r="V385" s="61" t="n"/>
      <c r="W385" s="62" t="n"/>
      <c r="X385" s="55">
        <f>AM385</f>
        <v/>
      </c>
      <c r="Y385" s="55">
        <f>MAX(AM385,G385)</f>
        <v/>
      </c>
      <c r="Z385" s="63" t="n"/>
      <c r="AA385" s="55">
        <f>IF(LEFT(Cockpit!$C$5,1)="A",G385,IF(BT385=1,BU385,IF(LEFT(Cockpit!$C$5,1)="B",AE385,MAX(AE385,G385))))</f>
        <v/>
      </c>
      <c r="AB385" s="55">
        <f>IF(BO385=1,0,ROUNDUP(AA385/BN385,0))</f>
        <v/>
      </c>
      <c r="AC385" s="64">
        <f>IF(BO385=1,IF(AA385&lt;=0,0,BP385*MAX(1,IF(G385&gt;0,AA385/G385,1))),AB385*Q385)</f>
        <v/>
      </c>
      <c r="AD385" s="55">
        <f>AA385*F385</f>
        <v/>
      </c>
      <c r="AE385" s="55">
        <f>ROUNDUP(MAX(I385/IF(BS385&gt;0,BS385,MAX(0.1,N(Cockpit!$C$6))),BV385)/BN385,0)*BN385</f>
        <v/>
      </c>
      <c r="AF385" s="56">
        <f>IF(AC385&gt;0,I385/AC385,-1)</f>
        <v/>
      </c>
      <c r="AG385" s="56">
        <f>IF(AND(OR(BR385="L1",BR385="L23"),AC385&gt;0),SUMIFS($AC$7:$AC$1570,$BR$7:$BR$1570,BR385,$AF$7:$AF$1570,"&gt;"&amp;AF385)+SUMIFS($AC$7:$AC$1570,$BR$7:$BR$1570,BR385,$AF$7:$AF$1570,AF385,$BL$7:$BL$1570,"&lt;="&amp;BL385),"")</f>
        <v/>
      </c>
      <c r="AH385" s="65">
        <f>IF(AG385="",0,MAX(0,MIN(1,(IF(BR385="L1",Parameter!$K$5,Parameter!$K$6+Parameter!$K$7)-(AG385-AC385))/AC385)))</f>
        <v/>
      </c>
      <c r="AI385" s="55">
        <f>IF(LEFT(Cockpit!$I$5,1)="A",G385,IF(BT385=1,BU385,IF(LEFT(Cockpit!$I$5,1)="B",AM385,MAX(AM385,G385))))</f>
        <v/>
      </c>
      <c r="AJ385" s="55">
        <f>IF(BO385=1,0,ROUNDUP(AI385/BN385,0))</f>
        <v/>
      </c>
      <c r="AK385" s="64">
        <f>IF(BO385=1,IF(AI385&lt;=0,0,BP385*MAX(1,IF(G385&gt;0,AI385/G385,1))),AJ385*Q385)</f>
        <v/>
      </c>
      <c r="AL385" s="55">
        <f>AI385*F385</f>
        <v/>
      </c>
      <c r="AM385" s="55">
        <f>ROUNDUP(MAX(I385/IF(BS385&gt;0,BS385,MAX(0.1,N(Cockpit!$I$6))),BV385)/BN385,0)*BN385</f>
        <v/>
      </c>
      <c r="AN385" s="56">
        <f>IF(AK385&gt;0,I385/AK385,-1)</f>
        <v/>
      </c>
      <c r="AO385" s="56">
        <f>IF(AND(OR(BR385="L1",BR385="L23"),AK385&gt;0),SUMIFS($AK$7:$AK$1570,$BR$7:$BR$1570,BR385,$AN$7:$AN$1570,"&gt;"&amp;AN385)+SUMIFS($AK$7:$AK$1570,$BR$7:$BR$1570,BR385,$AN$7:$AN$1570,AN385,$BL$7:$BL$1570,"&lt;="&amp;BL385),"")</f>
        <v/>
      </c>
      <c r="AP385" s="65">
        <f>IF(AO385="",0,MAX(0,MIN(1,(IF(BR385="L1",Parameter!$K$5,Parameter!$K$6+Parameter!$K$7)-(AO385-AK385))/AK385)))</f>
        <v/>
      </c>
      <c r="AQ385" s="55">
        <f>IF(LEFT(Cockpit!$O$5,1)="A",G385,IF(BT385=1,BU385,IF(LEFT(Cockpit!$O$5,1)="B",AU385,MAX(AU385,G385))))</f>
        <v/>
      </c>
      <c r="AR385" s="55">
        <f>IF(BO385=1,0,ROUNDUP(AQ385/BN385,0))</f>
        <v/>
      </c>
      <c r="AS385" s="64">
        <f>IF(BO385=1,IF(AQ385&lt;=0,0,BP385*MAX(1,IF(G385&gt;0,AQ385/G385,1))),AR385*Q385)</f>
        <v/>
      </c>
      <c r="AT385" s="55">
        <f>AQ385*F385</f>
        <v/>
      </c>
      <c r="AU385" s="55">
        <f>ROUNDUP(MAX(I385/IF(BS385&gt;0,BS385,MAX(0.1,N(Cockpit!$O$6))),BV385)/BN385,0)*BN385</f>
        <v/>
      </c>
      <c r="AV385" s="56">
        <f>IF(AS385&gt;0,I385/AS385,-1)</f>
        <v/>
      </c>
      <c r="AW385" s="56">
        <f>IF(AND(OR(BR385="L1",BR385="L23"),AS385&gt;0),SUMIFS($AS$7:$AS$1570,$BR$7:$BR$1570,BR385,$AV$7:$AV$1570,"&gt;"&amp;AV385)+SUMIFS($AS$7:$AS$1570,$BR$7:$BR$1570,BR385,$AV$7:$AV$1570,AV385,$BL$7:$BL$1570,"&lt;="&amp;BL385),"")</f>
        <v/>
      </c>
      <c r="AX385" s="65">
        <f>IF(AW385="",0,MAX(0,MIN(1,(IF(BR385="L1",Parameter!$K$5,Parameter!$K$6+Parameter!$K$7)-(AW385-AS385))/AS385)))</f>
        <v/>
      </c>
      <c r="AY385" s="53">
        <f>IF(AC385&lt;=0,"",IF(BR385="Aussen","Aussenlager",IF(BR385="-","Nicht im Lift",IF(AH385&gt;=1,"Lift",IF(AH385&lt;=0,"Aussenlager","teilweise")))))</f>
        <v/>
      </c>
      <c r="AZ385" s="53">
        <f>IF(AK385&lt;=0,"",IF(BR385="Aussen","Aussenlager",IF(BR385="-","Nicht im Lift",IF(AP385&gt;=1,"Lift",IF(AP385&lt;=0,"Aussenlager","teilweise")))))</f>
        <v/>
      </c>
      <c r="BA385" s="53">
        <f>IF(AS385&lt;=0,"",IF(BR385="Aussen","Aussenlager",IF(BR385="-","Nicht im Lift",IF(AX385&gt;=1,"Lift",IF(AX385&lt;=0,"Aussenlager","teilweise")))))</f>
        <v/>
      </c>
      <c r="BB385" s="53">
        <f>IF(A385="","",IF(BK385=1,"Neu; ","")&amp;IF(AND(BK385=0,BF385&lt;0),"negativer Bestand (Export "&amp;BF385&amp;"); ","")&amp;IF(I385&lt;=0,"Kein Verbrauch; ","")&amp;IF(BO385=1,"Lose – Fläche geschätzt; ","")&amp;IF(G385&gt;AM385,"Überbestand "&amp;ROUND(G385-AM385,0)&amp;" Stk / CHF "&amp;ROUND((G385-AM385)*F385,0)&amp;"; ","")&amp;IF(AND(BT385=1,BU385&lt;BV385),"MAX &lt; MB+LG; ","")&amp;IF(AND(BZ385&gt;0,BY385*10&gt;BZ385),"zu hoch für Tablar; ","")&amp;IF(AND(BK385=0,OR(BT385=1,V385&lt;&gt;"",S385&lt;&gt;"",T385&lt;&gt;"",W385&lt;&gt;"")),"manuell übersteuert; ","")&amp;IF(AND(BO385=0,Q385=0),"Gebinde unbekannt; ","")&amp;IF(AND(BO385=0,N(T385)&lt;=0,N(P385)&lt;=0),"Menge pro Gebinde fehlt (Ist = 1 Gebinde); ","")&amp;BJ385)</f>
        <v/>
      </c>
      <c r="BC385" s="53" t="n"/>
      <c r="BD385" s="53" t="n"/>
      <c r="BE385" s="61" t="n"/>
      <c r="BF385" s="55" t="n">
        <v>257</v>
      </c>
      <c r="BG385" s="55" t="n">
        <v>150</v>
      </c>
      <c r="BH385" s="54" t="n">
        <v>129.57</v>
      </c>
      <c r="BI385" s="55" t="n">
        <v>309</v>
      </c>
      <c r="BJ385" s="53" t="inlineStr"/>
      <c r="BK385" s="58" t="n">
        <v>0</v>
      </c>
      <c r="BL385" s="58" t="n">
        <v>385</v>
      </c>
      <c r="BM385" s="53">
        <f>IF(S385&lt;&gt;"",UPPER(TRIM(S385)),IF(O385="","LOSE",O385))</f>
        <v/>
      </c>
      <c r="BN385" s="55">
        <f>IF(BM385="LOSE",1,IF(N(T385)&gt;0,T385,IF(N(P385)&gt;0,P385,MAX(1,G385))))</f>
        <v/>
      </c>
      <c r="BO385" s="58">
        <f>IF(BM385="LOSE",1,0)</f>
        <v/>
      </c>
      <c r="BP385" s="64">
        <f>IF(BO385=0,0,IF(N(R385)&gt;0,R385,IFERROR(VLOOKUP(D385,Parameter!$A$35:$C$64,3,0)+0,0)))</f>
        <v/>
      </c>
      <c r="BQ385" s="53">
        <f>IF(V385&lt;&gt;"",V385,U385)</f>
        <v/>
      </c>
      <c r="BR385" s="53">
        <f>IF(BQ385=1,"L1",IF(OR(BQ385=2,BQ385=3),"L23",IF(BQ385="Aussen","Aussen","-")))</f>
        <v/>
      </c>
      <c r="BS385" s="66">
        <f>IF(N(W385)&gt;0,W385,0)</f>
        <v/>
      </c>
      <c r="BT385" s="58">
        <f>IF(ISNUMBER(Z385),1,0)</f>
        <v/>
      </c>
      <c r="BU385" s="55">
        <f>N(Z385)</f>
        <v/>
      </c>
      <c r="BV385" s="55">
        <f>N(L385)+N(M385)</f>
        <v/>
      </c>
      <c r="BW385" s="55">
        <f>ROUNDUP(G385/BN385,0)</f>
        <v/>
      </c>
      <c r="BX385" s="55">
        <f>ROUNDUP(BU385/BN385,0)</f>
        <v/>
      </c>
      <c r="BY385" s="58">
        <f>IF(BO385=1,0,IFERROR(VLOOKUP(BM385,'Gebinde-Kategorie'!$A$5:$G$45,5,0)+0,0))</f>
        <v/>
      </c>
      <c r="BZ385" s="58">
        <f>IFERROR(IF(OR(BQ385=1,BQ385=2,BQ385=3),N(INDEX(Parameter!$I$5:$I$7,BQ385)),0),0)</f>
        <v/>
      </c>
    </row>
    <row r="386">
      <c r="A386" s="53" t="inlineStr">
        <is>
          <t>109160</t>
        </is>
      </c>
      <c r="B386" s="53" t="inlineStr">
        <is>
          <t>Magnetventil</t>
        </is>
      </c>
      <c r="C386" s="53" t="inlineStr">
        <is>
          <t>F</t>
        </is>
      </c>
      <c r="D386" s="53" t="inlineStr">
        <is>
          <t>KTL</t>
        </is>
      </c>
      <c r="E386" s="53" t="inlineStr">
        <is>
          <t>C</t>
        </is>
      </c>
      <c r="F386" s="54" t="n">
        <v>512.66</v>
      </c>
      <c r="G386" s="55">
        <f>MAX(0,IF(Parameter!$B$20="Jahresanfang 2025 + Export",BG386+BF386,BF386))</f>
        <v/>
      </c>
      <c r="H386" s="55">
        <f>G386*F386</f>
        <v/>
      </c>
      <c r="I386" s="55">
        <f>BI386*Parameter!$B$18</f>
        <v/>
      </c>
      <c r="J386" s="56" t="n">
        <v>4.5</v>
      </c>
      <c r="K386" s="57" t="n">
        <v>2</v>
      </c>
      <c r="L386" s="55" t="n">
        <v>0</v>
      </c>
      <c r="M386" s="55" t="n">
        <v>5</v>
      </c>
      <c r="N386" s="58" t="n">
        <v>35</v>
      </c>
      <c r="O386" s="53" t="inlineStr">
        <is>
          <t>LOSE</t>
        </is>
      </c>
      <c r="P386" s="55" t="n"/>
      <c r="Q386" s="59">
        <f>IF(BO386=1,0,IFERROR(VLOOKUP(BM386,'Gebinde-Kategorie'!$A$5:$G$45,6,0)+0,0))</f>
        <v/>
      </c>
      <c r="R386" s="60" t="n"/>
      <c r="S386" s="61" t="n"/>
      <c r="T386" s="61" t="n"/>
      <c r="U386" s="53">
        <f>IF(A386="","",IF(IFERROR(VLOOKUP(D386,Parameter!$A$35:$C$64,2,0),"Nein")="2+3",IF(ISNUMBER(SEARCH("grosser Artikel",BJ386)),2,IFERROR(VLOOKUP(BM386,Parameter!$F$35:$G$64,2,0),2)),IF(OR(IFERROR(VLOOKUP(D386,Parameter!$A$35:$C$64,2,0),"Nein")="Nein",IFERROR(VLOOKUP(D386,Parameter!$A$35:$C$64,2,0),"Nein")=""),"-",VLOOKUP(D386,Parameter!$A$35:$C$64,2,0))))</f>
        <v/>
      </c>
      <c r="V386" s="61" t="n"/>
      <c r="W386" s="62" t="n"/>
      <c r="X386" s="55">
        <f>AM386</f>
        <v/>
      </c>
      <c r="Y386" s="55">
        <f>MAX(AM386,G386)</f>
        <v/>
      </c>
      <c r="Z386" s="63" t="n"/>
      <c r="AA386" s="55">
        <f>IF(LEFT(Cockpit!$C$5,1)="A",G386,IF(BT386=1,BU386,IF(LEFT(Cockpit!$C$5,1)="B",AE386,MAX(AE386,G386))))</f>
        <v/>
      </c>
      <c r="AB386" s="55">
        <f>IF(BO386=1,0,ROUNDUP(AA386/BN386,0))</f>
        <v/>
      </c>
      <c r="AC386" s="64">
        <f>IF(BO386=1,IF(AA386&lt;=0,0,BP386*MAX(1,IF(G386&gt;0,AA386/G386,1))),AB386*Q386)</f>
        <v/>
      </c>
      <c r="AD386" s="55">
        <f>AA386*F386</f>
        <v/>
      </c>
      <c r="AE386" s="55">
        <f>ROUNDUP(MAX(I386/IF(BS386&gt;0,BS386,MAX(0.1,N(Cockpit!$C$6))),BV386)/BN386,0)*BN386</f>
        <v/>
      </c>
      <c r="AF386" s="56">
        <f>IF(AC386&gt;0,I386/AC386,-1)</f>
        <v/>
      </c>
      <c r="AG386" s="56">
        <f>IF(AND(OR(BR386="L1",BR386="L23"),AC386&gt;0),SUMIFS($AC$7:$AC$1570,$BR$7:$BR$1570,BR386,$AF$7:$AF$1570,"&gt;"&amp;AF386)+SUMIFS($AC$7:$AC$1570,$BR$7:$BR$1570,BR386,$AF$7:$AF$1570,AF386,$BL$7:$BL$1570,"&lt;="&amp;BL386),"")</f>
        <v/>
      </c>
      <c r="AH386" s="65">
        <f>IF(AG386="",0,MAX(0,MIN(1,(IF(BR386="L1",Parameter!$K$5,Parameter!$K$6+Parameter!$K$7)-(AG386-AC386))/AC386)))</f>
        <v/>
      </c>
      <c r="AI386" s="55">
        <f>IF(LEFT(Cockpit!$I$5,1)="A",G386,IF(BT386=1,BU386,IF(LEFT(Cockpit!$I$5,1)="B",AM386,MAX(AM386,G386))))</f>
        <v/>
      </c>
      <c r="AJ386" s="55">
        <f>IF(BO386=1,0,ROUNDUP(AI386/BN386,0))</f>
        <v/>
      </c>
      <c r="AK386" s="64">
        <f>IF(BO386=1,IF(AI386&lt;=0,0,BP386*MAX(1,IF(G386&gt;0,AI386/G386,1))),AJ386*Q386)</f>
        <v/>
      </c>
      <c r="AL386" s="55">
        <f>AI386*F386</f>
        <v/>
      </c>
      <c r="AM386" s="55">
        <f>ROUNDUP(MAX(I386/IF(BS386&gt;0,BS386,MAX(0.1,N(Cockpit!$I$6))),BV386)/BN386,0)*BN386</f>
        <v/>
      </c>
      <c r="AN386" s="56">
        <f>IF(AK386&gt;0,I386/AK386,-1)</f>
        <v/>
      </c>
      <c r="AO386" s="56">
        <f>IF(AND(OR(BR386="L1",BR386="L23"),AK386&gt;0),SUMIFS($AK$7:$AK$1570,$BR$7:$BR$1570,BR386,$AN$7:$AN$1570,"&gt;"&amp;AN386)+SUMIFS($AK$7:$AK$1570,$BR$7:$BR$1570,BR386,$AN$7:$AN$1570,AN386,$BL$7:$BL$1570,"&lt;="&amp;BL386),"")</f>
        <v/>
      </c>
      <c r="AP386" s="65">
        <f>IF(AO386="",0,MAX(0,MIN(1,(IF(BR386="L1",Parameter!$K$5,Parameter!$K$6+Parameter!$K$7)-(AO386-AK386))/AK386)))</f>
        <v/>
      </c>
      <c r="AQ386" s="55">
        <f>IF(LEFT(Cockpit!$O$5,1)="A",G386,IF(BT386=1,BU386,IF(LEFT(Cockpit!$O$5,1)="B",AU386,MAX(AU386,G386))))</f>
        <v/>
      </c>
      <c r="AR386" s="55">
        <f>IF(BO386=1,0,ROUNDUP(AQ386/BN386,0))</f>
        <v/>
      </c>
      <c r="AS386" s="64">
        <f>IF(BO386=1,IF(AQ386&lt;=0,0,BP386*MAX(1,IF(G386&gt;0,AQ386/G386,1))),AR386*Q386)</f>
        <v/>
      </c>
      <c r="AT386" s="55">
        <f>AQ386*F386</f>
        <v/>
      </c>
      <c r="AU386" s="55">
        <f>ROUNDUP(MAX(I386/IF(BS386&gt;0,BS386,MAX(0.1,N(Cockpit!$O$6))),BV386)/BN386,0)*BN386</f>
        <v/>
      </c>
      <c r="AV386" s="56">
        <f>IF(AS386&gt;0,I386/AS386,-1)</f>
        <v/>
      </c>
      <c r="AW386" s="56">
        <f>IF(AND(OR(BR386="L1",BR386="L23"),AS386&gt;0),SUMIFS($AS$7:$AS$1570,$BR$7:$BR$1570,BR386,$AV$7:$AV$1570,"&gt;"&amp;AV386)+SUMIFS($AS$7:$AS$1570,$BR$7:$BR$1570,BR386,$AV$7:$AV$1570,AV386,$BL$7:$BL$1570,"&lt;="&amp;BL386),"")</f>
        <v/>
      </c>
      <c r="AX386" s="65">
        <f>IF(AW386="",0,MAX(0,MIN(1,(IF(BR386="L1",Parameter!$K$5,Parameter!$K$6+Parameter!$K$7)-(AW386-AS386))/AS386)))</f>
        <v/>
      </c>
      <c r="AY386" s="53">
        <f>IF(AC386&lt;=0,"",IF(BR386="Aussen","Aussenlager",IF(BR386="-","Nicht im Lift",IF(AH386&gt;=1,"Lift",IF(AH386&lt;=0,"Aussenlager","teilweise")))))</f>
        <v/>
      </c>
      <c r="AZ386" s="53">
        <f>IF(AK386&lt;=0,"",IF(BR386="Aussen","Aussenlager",IF(BR386="-","Nicht im Lift",IF(AP386&gt;=1,"Lift",IF(AP386&lt;=0,"Aussenlager","teilweise")))))</f>
        <v/>
      </c>
      <c r="BA386" s="53">
        <f>IF(AS386&lt;=0,"",IF(BR386="Aussen","Aussenlager",IF(BR386="-","Nicht im Lift",IF(AX386&gt;=1,"Lift",IF(AX386&lt;=0,"Aussenlager","teilweise")))))</f>
        <v/>
      </c>
      <c r="BB386" s="53">
        <f>IF(A386="","",IF(BK386=1,"Neu; ","")&amp;IF(AND(BK386=0,BF386&lt;0),"negativer Bestand (Export "&amp;BF386&amp;"); ","")&amp;IF(I386&lt;=0,"Kein Verbrauch; ","")&amp;IF(BO386=1,"Lose – Fläche geschätzt; ","")&amp;IF(G386&gt;AM386,"Überbestand "&amp;ROUND(G386-AM386,0)&amp;" Stk / CHF "&amp;ROUND((G386-AM386)*F386,0)&amp;"; ","")&amp;IF(AND(BT386=1,BU386&lt;BV386),"MAX &lt; MB+LG; ","")&amp;IF(AND(BZ386&gt;0,BY386*10&gt;BZ386),"zu hoch für Tablar; ","")&amp;IF(AND(BK386=0,OR(BT386=1,V386&lt;&gt;"",S386&lt;&gt;"",T386&lt;&gt;"",W386&lt;&gt;"")),"manuell übersteuert; ","")&amp;IF(AND(BO386=0,Q386=0),"Gebinde unbekannt; ","")&amp;IF(AND(BO386=0,N(T386)&lt;=0,N(P386)&lt;=0),"Menge pro Gebinde fehlt (Ist = 1 Gebinde); ","")&amp;BJ386)</f>
        <v/>
      </c>
      <c r="BC386" s="53" t="n"/>
      <c r="BD386" s="53" t="n"/>
      <c r="BE386" s="61" t="n"/>
      <c r="BF386" s="55" t="n">
        <v>0</v>
      </c>
      <c r="BG386" s="55" t="n">
        <v>4</v>
      </c>
      <c r="BH386" s="54" t="n">
        <v>129.3600000000005</v>
      </c>
      <c r="BI386" s="55" t="n">
        <v>9</v>
      </c>
      <c r="BJ386" s="53" t="inlineStr"/>
      <c r="BK386" s="58" t="n">
        <v>0</v>
      </c>
      <c r="BL386" s="58" t="n">
        <v>386</v>
      </c>
      <c r="BM386" s="53">
        <f>IF(S386&lt;&gt;"",UPPER(TRIM(S386)),IF(O386="","LOSE",O386))</f>
        <v/>
      </c>
      <c r="BN386" s="55">
        <f>IF(BM386="LOSE",1,IF(N(T386)&gt;0,T386,IF(N(P386)&gt;0,P386,MAX(1,G386))))</f>
        <v/>
      </c>
      <c r="BO386" s="58">
        <f>IF(BM386="LOSE",1,0)</f>
        <v/>
      </c>
      <c r="BP386" s="64">
        <f>IF(BO386=0,0,IF(N(R386)&gt;0,R386,IFERROR(VLOOKUP(D386,Parameter!$A$35:$C$64,3,0)+0,0)))</f>
        <v/>
      </c>
      <c r="BQ386" s="53">
        <f>IF(V386&lt;&gt;"",V386,U386)</f>
        <v/>
      </c>
      <c r="BR386" s="53">
        <f>IF(BQ386=1,"L1",IF(OR(BQ386=2,BQ386=3),"L23",IF(BQ386="Aussen","Aussen","-")))</f>
        <v/>
      </c>
      <c r="BS386" s="66">
        <f>IF(N(W386)&gt;0,W386,0)</f>
        <v/>
      </c>
      <c r="BT386" s="58">
        <f>IF(ISNUMBER(Z386),1,0)</f>
        <v/>
      </c>
      <c r="BU386" s="55">
        <f>N(Z386)</f>
        <v/>
      </c>
      <c r="BV386" s="55">
        <f>N(L386)+N(M386)</f>
        <v/>
      </c>
      <c r="BW386" s="55">
        <f>ROUNDUP(G386/BN386,0)</f>
        <v/>
      </c>
      <c r="BX386" s="55">
        <f>ROUNDUP(BU386/BN386,0)</f>
        <v/>
      </c>
      <c r="BY386" s="58">
        <f>IF(BO386=1,0,IFERROR(VLOOKUP(BM386,'Gebinde-Kategorie'!$A$5:$G$45,5,0)+0,0))</f>
        <v/>
      </c>
      <c r="BZ386" s="58">
        <f>IFERROR(IF(OR(BQ386=1,BQ386=2,BQ386=3),N(INDEX(Parameter!$I$5:$I$7,BQ386)),0),0)</f>
        <v/>
      </c>
    </row>
    <row r="387">
      <c r="A387" s="53" t="inlineStr">
        <is>
          <t>107721</t>
        </is>
      </c>
      <c r="B387" s="53" t="inlineStr">
        <is>
          <t>Karabiner</t>
        </is>
      </c>
      <c r="C387" s="53" t="inlineStr">
        <is>
          <t>F</t>
        </is>
      </c>
      <c r="D387" s="53" t="inlineStr">
        <is>
          <t>KTL</t>
        </is>
      </c>
      <c r="E387" s="53" t="inlineStr">
        <is>
          <t>C</t>
        </is>
      </c>
      <c r="F387" s="54" t="n">
        <v>1.54</v>
      </c>
      <c r="G387" s="55">
        <f>MAX(0,IF(Parameter!$B$20="Jahresanfang 2025 + Export",BG387+BF387,BF387))</f>
        <v/>
      </c>
      <c r="H387" s="55">
        <f>G387*F387</f>
        <v/>
      </c>
      <c r="I387" s="55">
        <f>BI387*Parameter!$B$18</f>
        <v/>
      </c>
      <c r="J387" s="56" t="n">
        <v>42</v>
      </c>
      <c r="K387" s="57" t="n">
        <v>3.071428571428572</v>
      </c>
      <c r="L387" s="55" t="n">
        <v>7</v>
      </c>
      <c r="M387" s="55" t="n">
        <v>130</v>
      </c>
      <c r="N387" s="58" t="n">
        <v>21</v>
      </c>
      <c r="O387" s="53" t="inlineStr">
        <is>
          <t>S32</t>
        </is>
      </c>
      <c r="P387" s="55" t="n">
        <v>131</v>
      </c>
      <c r="Q387" s="59">
        <f>IF(BO387=1,0,IFERROR(VLOOKUP(BM387,'Gebinde-Kategorie'!$A$5:$G$45,6,0)+0,0))</f>
        <v/>
      </c>
      <c r="R387" s="60" t="n"/>
      <c r="S387" s="61" t="n"/>
      <c r="T387" s="61" t="n"/>
      <c r="U387" s="53">
        <f>IF(A387="","",IF(IFERROR(VLOOKUP(D387,Parameter!$A$35:$C$64,2,0),"Nein")="2+3",IF(ISNUMBER(SEARCH("grosser Artikel",BJ387)),2,IFERROR(VLOOKUP(BM387,Parameter!$F$35:$G$64,2,0),2)),IF(OR(IFERROR(VLOOKUP(D387,Parameter!$A$35:$C$64,2,0),"Nein")="Nein",IFERROR(VLOOKUP(D387,Parameter!$A$35:$C$64,2,0),"Nein")=""),"-",VLOOKUP(D387,Parameter!$A$35:$C$64,2,0))))</f>
        <v/>
      </c>
      <c r="V387" s="61" t="n"/>
      <c r="W387" s="62" t="n"/>
      <c r="X387" s="55">
        <f>AM387</f>
        <v/>
      </c>
      <c r="Y387" s="55">
        <f>MAX(AM387,G387)</f>
        <v/>
      </c>
      <c r="Z387" s="63" t="n"/>
      <c r="AA387" s="55">
        <f>IF(LEFT(Cockpit!$C$5,1)="A",G387,IF(BT387=1,BU387,IF(LEFT(Cockpit!$C$5,1)="B",AE387,MAX(AE387,G387))))</f>
        <v/>
      </c>
      <c r="AB387" s="55">
        <f>IF(BO387=1,0,ROUNDUP(AA387/BN387,0))</f>
        <v/>
      </c>
      <c r="AC387" s="64">
        <f>IF(BO387=1,IF(AA387&lt;=0,0,BP387*MAX(1,IF(G387&gt;0,AA387/G387,1))),AB387*Q387)</f>
        <v/>
      </c>
      <c r="AD387" s="55">
        <f>AA387*F387</f>
        <v/>
      </c>
      <c r="AE387" s="55">
        <f>ROUNDUP(MAX(I387/IF(BS387&gt;0,BS387,MAX(0.1,N(Cockpit!$C$6))),BV387)/BN387,0)*BN387</f>
        <v/>
      </c>
      <c r="AF387" s="56">
        <f>IF(AC387&gt;0,I387/AC387,-1)</f>
        <v/>
      </c>
      <c r="AG387" s="56">
        <f>IF(AND(OR(BR387="L1",BR387="L23"),AC387&gt;0),SUMIFS($AC$7:$AC$1570,$BR$7:$BR$1570,BR387,$AF$7:$AF$1570,"&gt;"&amp;AF387)+SUMIFS($AC$7:$AC$1570,$BR$7:$BR$1570,BR387,$AF$7:$AF$1570,AF387,$BL$7:$BL$1570,"&lt;="&amp;BL387),"")</f>
        <v/>
      </c>
      <c r="AH387" s="65">
        <f>IF(AG387="",0,MAX(0,MIN(1,(IF(BR387="L1",Parameter!$K$5,Parameter!$K$6+Parameter!$K$7)-(AG387-AC387))/AC387)))</f>
        <v/>
      </c>
      <c r="AI387" s="55">
        <f>IF(LEFT(Cockpit!$I$5,1)="A",G387,IF(BT387=1,BU387,IF(LEFT(Cockpit!$I$5,1)="B",AM387,MAX(AM387,G387))))</f>
        <v/>
      </c>
      <c r="AJ387" s="55">
        <f>IF(BO387=1,0,ROUNDUP(AI387/BN387,0))</f>
        <v/>
      </c>
      <c r="AK387" s="64">
        <f>IF(BO387=1,IF(AI387&lt;=0,0,BP387*MAX(1,IF(G387&gt;0,AI387/G387,1))),AJ387*Q387)</f>
        <v/>
      </c>
      <c r="AL387" s="55">
        <f>AI387*F387</f>
        <v/>
      </c>
      <c r="AM387" s="55">
        <f>ROUNDUP(MAX(I387/IF(BS387&gt;0,BS387,MAX(0.1,N(Cockpit!$I$6))),BV387)/BN387,0)*BN387</f>
        <v/>
      </c>
      <c r="AN387" s="56">
        <f>IF(AK387&gt;0,I387/AK387,-1)</f>
        <v/>
      </c>
      <c r="AO387" s="56">
        <f>IF(AND(OR(BR387="L1",BR387="L23"),AK387&gt;0),SUMIFS($AK$7:$AK$1570,$BR$7:$BR$1570,BR387,$AN$7:$AN$1570,"&gt;"&amp;AN387)+SUMIFS($AK$7:$AK$1570,$BR$7:$BR$1570,BR387,$AN$7:$AN$1570,AN387,$BL$7:$BL$1570,"&lt;="&amp;BL387),"")</f>
        <v/>
      </c>
      <c r="AP387" s="65">
        <f>IF(AO387="",0,MAX(0,MIN(1,(IF(BR387="L1",Parameter!$K$5,Parameter!$K$6+Parameter!$K$7)-(AO387-AK387))/AK387)))</f>
        <v/>
      </c>
      <c r="AQ387" s="55">
        <f>IF(LEFT(Cockpit!$O$5,1)="A",G387,IF(BT387=1,BU387,IF(LEFT(Cockpit!$O$5,1)="B",AU387,MAX(AU387,G387))))</f>
        <v/>
      </c>
      <c r="AR387" s="55">
        <f>IF(BO387=1,0,ROUNDUP(AQ387/BN387,0))</f>
        <v/>
      </c>
      <c r="AS387" s="64">
        <f>IF(BO387=1,IF(AQ387&lt;=0,0,BP387*MAX(1,IF(G387&gt;0,AQ387/G387,1))),AR387*Q387)</f>
        <v/>
      </c>
      <c r="AT387" s="55">
        <f>AQ387*F387</f>
        <v/>
      </c>
      <c r="AU387" s="55">
        <f>ROUNDUP(MAX(I387/IF(BS387&gt;0,BS387,MAX(0.1,N(Cockpit!$O$6))),BV387)/BN387,0)*BN387</f>
        <v/>
      </c>
      <c r="AV387" s="56">
        <f>IF(AS387&gt;0,I387/AS387,-1)</f>
        <v/>
      </c>
      <c r="AW387" s="56">
        <f>IF(AND(OR(BR387="L1",BR387="L23"),AS387&gt;0),SUMIFS($AS$7:$AS$1570,$BR$7:$BR$1570,BR387,$AV$7:$AV$1570,"&gt;"&amp;AV387)+SUMIFS($AS$7:$AS$1570,$BR$7:$BR$1570,BR387,$AV$7:$AV$1570,AV387,$BL$7:$BL$1570,"&lt;="&amp;BL387),"")</f>
        <v/>
      </c>
      <c r="AX387" s="65">
        <f>IF(AW387="",0,MAX(0,MIN(1,(IF(BR387="L1",Parameter!$K$5,Parameter!$K$6+Parameter!$K$7)-(AW387-AS387))/AS387)))</f>
        <v/>
      </c>
      <c r="AY387" s="53">
        <f>IF(AC387&lt;=0,"",IF(BR387="Aussen","Aussenlager",IF(BR387="-","Nicht im Lift",IF(AH387&gt;=1,"Lift",IF(AH387&lt;=0,"Aussenlager","teilweise")))))</f>
        <v/>
      </c>
      <c r="AZ387" s="53">
        <f>IF(AK387&lt;=0,"",IF(BR387="Aussen","Aussenlager",IF(BR387="-","Nicht im Lift",IF(AP387&gt;=1,"Lift",IF(AP387&lt;=0,"Aussenlager","teilweise")))))</f>
        <v/>
      </c>
      <c r="BA387" s="53">
        <f>IF(AS387&lt;=0,"",IF(BR387="Aussen","Aussenlager",IF(BR387="-","Nicht im Lift",IF(AX387&gt;=1,"Lift",IF(AX387&lt;=0,"Aussenlager","teilweise")))))</f>
        <v/>
      </c>
      <c r="BB387" s="53">
        <f>IF(A387="","",IF(BK387=1,"Neu; ","")&amp;IF(AND(BK387=0,BF387&lt;0),"negativer Bestand (Export "&amp;BF387&amp;"); ","")&amp;IF(I387&lt;=0,"Kein Verbrauch; ","")&amp;IF(BO387=1,"Lose – Fläche geschätzt; ","")&amp;IF(G387&gt;AM387,"Überbestand "&amp;ROUND(G387-AM387,0)&amp;" Stk / CHF "&amp;ROUND((G387-AM387)*F387,0)&amp;"; ","")&amp;IF(AND(BT387=1,BU387&lt;BV387),"MAX &lt; MB+LG; ","")&amp;IF(AND(BZ387&gt;0,BY387*10&gt;BZ387),"zu hoch für Tablar; ","")&amp;IF(AND(BK387=0,OR(BT387=1,V387&lt;&gt;"",S387&lt;&gt;"",T387&lt;&gt;"",W387&lt;&gt;"")),"manuell übersteuert; ","")&amp;IF(AND(BO387=0,Q387=0),"Gebinde unbekannt; ","")&amp;IF(AND(BO387=0,N(T387)&lt;=0,N(P387)&lt;=0),"Menge pro Gebinde fehlt (Ist = 1 Gebinde); ","")&amp;BJ387)</f>
        <v/>
      </c>
      <c r="BC387" s="53" t="n"/>
      <c r="BD387" s="53" t="n"/>
      <c r="BE387" s="61" t="n"/>
      <c r="BF387" s="55" t="n">
        <v>84</v>
      </c>
      <c r="BG387" s="55" t="n">
        <v>46</v>
      </c>
      <c r="BH387" s="54" t="n">
        <v>129.3600000000002</v>
      </c>
      <c r="BI387" s="55" t="n">
        <v>129</v>
      </c>
      <c r="BJ387" s="53" t="inlineStr"/>
      <c r="BK387" s="58" t="n">
        <v>0</v>
      </c>
      <c r="BL387" s="58" t="n">
        <v>387</v>
      </c>
      <c r="BM387" s="53">
        <f>IF(S387&lt;&gt;"",UPPER(TRIM(S387)),IF(O387="","LOSE",O387))</f>
        <v/>
      </c>
      <c r="BN387" s="55">
        <f>IF(BM387="LOSE",1,IF(N(T387)&gt;0,T387,IF(N(P387)&gt;0,P387,MAX(1,G387))))</f>
        <v/>
      </c>
      <c r="BO387" s="58">
        <f>IF(BM387="LOSE",1,0)</f>
        <v/>
      </c>
      <c r="BP387" s="64">
        <f>IF(BO387=0,0,IF(N(R387)&gt;0,R387,IFERROR(VLOOKUP(D387,Parameter!$A$35:$C$64,3,0)+0,0)))</f>
        <v/>
      </c>
      <c r="BQ387" s="53">
        <f>IF(V387&lt;&gt;"",V387,U387)</f>
        <v/>
      </c>
      <c r="BR387" s="53">
        <f>IF(BQ387=1,"L1",IF(OR(BQ387=2,BQ387=3),"L23",IF(BQ387="Aussen","Aussen","-")))</f>
        <v/>
      </c>
      <c r="BS387" s="66">
        <f>IF(N(W387)&gt;0,W387,0)</f>
        <v/>
      </c>
      <c r="BT387" s="58">
        <f>IF(ISNUMBER(Z387),1,0)</f>
        <v/>
      </c>
      <c r="BU387" s="55">
        <f>N(Z387)</f>
        <v/>
      </c>
      <c r="BV387" s="55">
        <f>N(L387)+N(M387)</f>
        <v/>
      </c>
      <c r="BW387" s="55">
        <f>ROUNDUP(G387/BN387,0)</f>
        <v/>
      </c>
      <c r="BX387" s="55">
        <f>ROUNDUP(BU387/BN387,0)</f>
        <v/>
      </c>
      <c r="BY387" s="58">
        <f>IF(BO387=1,0,IFERROR(VLOOKUP(BM387,'Gebinde-Kategorie'!$A$5:$G$45,5,0)+0,0))</f>
        <v/>
      </c>
      <c r="BZ387" s="58">
        <f>IFERROR(IF(OR(BQ387=1,BQ387=2,BQ387=3),N(INDEX(Parameter!$I$5:$I$7,BQ387)),0),0)</f>
        <v/>
      </c>
    </row>
    <row r="388">
      <c r="A388" s="53" t="inlineStr">
        <is>
          <t>109437</t>
        </is>
      </c>
      <c r="B388" s="53" t="inlineStr">
        <is>
          <t>Zylinderschraube mit Innensechskant</t>
        </is>
      </c>
      <c r="C388" s="53" t="inlineStr">
        <is>
          <t>F</t>
        </is>
      </c>
      <c r="D388" s="53" t="inlineStr">
        <is>
          <t>KTL</t>
        </is>
      </c>
      <c r="E388" s="53" t="inlineStr">
        <is>
          <t>C</t>
        </is>
      </c>
      <c r="F388" s="54" t="n">
        <v>0.6</v>
      </c>
      <c r="G388" s="55">
        <f>MAX(0,IF(Parameter!$B$20="Jahresanfang 2025 + Export",BG388+BF388,BF388))</f>
        <v/>
      </c>
      <c r="H388" s="55">
        <f>G388*F388</f>
        <v/>
      </c>
      <c r="I388" s="55">
        <f>BI388*Parameter!$B$18</f>
        <v/>
      </c>
      <c r="J388" s="56" t="n">
        <v>279</v>
      </c>
      <c r="K388" s="57" t="n">
        <v>2.168458781362007</v>
      </c>
      <c r="L388" s="55" t="n">
        <v>35</v>
      </c>
      <c r="M388" s="55" t="n">
        <v>500</v>
      </c>
      <c r="N388" s="58" t="n">
        <v>21</v>
      </c>
      <c r="O388" s="53" t="inlineStr">
        <is>
          <t>S41</t>
        </is>
      </c>
      <c r="P388" s="55" t="n">
        <v>620</v>
      </c>
      <c r="Q388" s="59">
        <f>IF(BO388=1,0,IFERROR(VLOOKUP(BM388,'Gebinde-Kategorie'!$A$5:$G$45,6,0)+0,0))</f>
        <v/>
      </c>
      <c r="R388" s="60" t="n"/>
      <c r="S388" s="61" t="n"/>
      <c r="T388" s="61" t="n"/>
      <c r="U388" s="53">
        <f>IF(A388="","",IF(IFERROR(VLOOKUP(D388,Parameter!$A$35:$C$64,2,0),"Nein")="2+3",IF(ISNUMBER(SEARCH("grosser Artikel",BJ388)),2,IFERROR(VLOOKUP(BM388,Parameter!$F$35:$G$64,2,0),2)),IF(OR(IFERROR(VLOOKUP(D388,Parameter!$A$35:$C$64,2,0),"Nein")="Nein",IFERROR(VLOOKUP(D388,Parameter!$A$35:$C$64,2,0),"Nein")=""),"-",VLOOKUP(D388,Parameter!$A$35:$C$64,2,0))))</f>
        <v/>
      </c>
      <c r="V388" s="61" t="n"/>
      <c r="W388" s="62" t="n"/>
      <c r="X388" s="55">
        <f>AM388</f>
        <v/>
      </c>
      <c r="Y388" s="55">
        <f>MAX(AM388,G388)</f>
        <v/>
      </c>
      <c r="Z388" s="63" t="n"/>
      <c r="AA388" s="55">
        <f>IF(LEFT(Cockpit!$C$5,1)="A",G388,IF(BT388=1,BU388,IF(LEFT(Cockpit!$C$5,1)="B",AE388,MAX(AE388,G388))))</f>
        <v/>
      </c>
      <c r="AB388" s="55">
        <f>IF(BO388=1,0,ROUNDUP(AA388/BN388,0))</f>
        <v/>
      </c>
      <c r="AC388" s="64">
        <f>IF(BO388=1,IF(AA388&lt;=0,0,BP388*MAX(1,IF(G388&gt;0,AA388/G388,1))),AB388*Q388)</f>
        <v/>
      </c>
      <c r="AD388" s="55">
        <f>AA388*F388</f>
        <v/>
      </c>
      <c r="AE388" s="55">
        <f>ROUNDUP(MAX(I388/IF(BS388&gt;0,BS388,MAX(0.1,N(Cockpit!$C$6))),BV388)/BN388,0)*BN388</f>
        <v/>
      </c>
      <c r="AF388" s="56">
        <f>IF(AC388&gt;0,I388/AC388,-1)</f>
        <v/>
      </c>
      <c r="AG388" s="56">
        <f>IF(AND(OR(BR388="L1",BR388="L23"),AC388&gt;0),SUMIFS($AC$7:$AC$1570,$BR$7:$BR$1570,BR388,$AF$7:$AF$1570,"&gt;"&amp;AF388)+SUMIFS($AC$7:$AC$1570,$BR$7:$BR$1570,BR388,$AF$7:$AF$1570,AF388,$BL$7:$BL$1570,"&lt;="&amp;BL388),"")</f>
        <v/>
      </c>
      <c r="AH388" s="65">
        <f>IF(AG388="",0,MAX(0,MIN(1,(IF(BR388="L1",Parameter!$K$5,Parameter!$K$6+Parameter!$K$7)-(AG388-AC388))/AC388)))</f>
        <v/>
      </c>
      <c r="AI388" s="55">
        <f>IF(LEFT(Cockpit!$I$5,1)="A",G388,IF(BT388=1,BU388,IF(LEFT(Cockpit!$I$5,1)="B",AM388,MAX(AM388,G388))))</f>
        <v/>
      </c>
      <c r="AJ388" s="55">
        <f>IF(BO388=1,0,ROUNDUP(AI388/BN388,0))</f>
        <v/>
      </c>
      <c r="AK388" s="64">
        <f>IF(BO388=1,IF(AI388&lt;=0,0,BP388*MAX(1,IF(G388&gt;0,AI388/G388,1))),AJ388*Q388)</f>
        <v/>
      </c>
      <c r="AL388" s="55">
        <f>AI388*F388</f>
        <v/>
      </c>
      <c r="AM388" s="55">
        <f>ROUNDUP(MAX(I388/IF(BS388&gt;0,BS388,MAX(0.1,N(Cockpit!$I$6))),BV388)/BN388,0)*BN388</f>
        <v/>
      </c>
      <c r="AN388" s="56">
        <f>IF(AK388&gt;0,I388/AK388,-1)</f>
        <v/>
      </c>
      <c r="AO388" s="56">
        <f>IF(AND(OR(BR388="L1",BR388="L23"),AK388&gt;0),SUMIFS($AK$7:$AK$1570,$BR$7:$BR$1570,BR388,$AN$7:$AN$1570,"&gt;"&amp;AN388)+SUMIFS($AK$7:$AK$1570,$BR$7:$BR$1570,BR388,$AN$7:$AN$1570,AN388,$BL$7:$BL$1570,"&lt;="&amp;BL388),"")</f>
        <v/>
      </c>
      <c r="AP388" s="65">
        <f>IF(AO388="",0,MAX(0,MIN(1,(IF(BR388="L1",Parameter!$K$5,Parameter!$K$6+Parameter!$K$7)-(AO388-AK388))/AK388)))</f>
        <v/>
      </c>
      <c r="AQ388" s="55">
        <f>IF(LEFT(Cockpit!$O$5,1)="A",G388,IF(BT388=1,BU388,IF(LEFT(Cockpit!$O$5,1)="B",AU388,MAX(AU388,G388))))</f>
        <v/>
      </c>
      <c r="AR388" s="55">
        <f>IF(BO388=1,0,ROUNDUP(AQ388/BN388,0))</f>
        <v/>
      </c>
      <c r="AS388" s="64">
        <f>IF(BO388=1,IF(AQ388&lt;=0,0,BP388*MAX(1,IF(G388&gt;0,AQ388/G388,1))),AR388*Q388)</f>
        <v/>
      </c>
      <c r="AT388" s="55">
        <f>AQ388*F388</f>
        <v/>
      </c>
      <c r="AU388" s="55">
        <f>ROUNDUP(MAX(I388/IF(BS388&gt;0,BS388,MAX(0.1,N(Cockpit!$O$6))),BV388)/BN388,0)*BN388</f>
        <v/>
      </c>
      <c r="AV388" s="56">
        <f>IF(AS388&gt;0,I388/AS388,-1)</f>
        <v/>
      </c>
      <c r="AW388" s="56">
        <f>IF(AND(OR(BR388="L1",BR388="L23"),AS388&gt;0),SUMIFS($AS$7:$AS$1570,$BR$7:$BR$1570,BR388,$AV$7:$AV$1570,"&gt;"&amp;AV388)+SUMIFS($AS$7:$AS$1570,$BR$7:$BR$1570,BR388,$AV$7:$AV$1570,AV388,$BL$7:$BL$1570,"&lt;="&amp;BL388),"")</f>
        <v/>
      </c>
      <c r="AX388" s="65">
        <f>IF(AW388="",0,MAX(0,MIN(1,(IF(BR388="L1",Parameter!$K$5,Parameter!$K$6+Parameter!$K$7)-(AW388-AS388))/AS388)))</f>
        <v/>
      </c>
      <c r="AY388" s="53">
        <f>IF(AC388&lt;=0,"",IF(BR388="Aussen","Aussenlager",IF(BR388="-","Nicht im Lift",IF(AH388&gt;=1,"Lift",IF(AH388&lt;=0,"Aussenlager","teilweise")))))</f>
        <v/>
      </c>
      <c r="AZ388" s="53">
        <f>IF(AK388&lt;=0,"",IF(BR388="Aussen","Aussenlager",IF(BR388="-","Nicht im Lift",IF(AP388&gt;=1,"Lift",IF(AP388&lt;=0,"Aussenlager","teilweise")))))</f>
        <v/>
      </c>
      <c r="BA388" s="53">
        <f>IF(AS388&lt;=0,"",IF(BR388="Aussen","Aussenlager",IF(BR388="-","Nicht im Lift",IF(AX388&gt;=1,"Lift",IF(AX388&lt;=0,"Aussenlager","teilweise")))))</f>
        <v/>
      </c>
      <c r="BB388" s="53">
        <f>IF(A388="","",IF(BK388=1,"Neu; ","")&amp;IF(AND(BK388=0,BF388&lt;0),"negativer Bestand (Export "&amp;BF388&amp;"); ","")&amp;IF(I388&lt;=0,"Kein Verbrauch; ","")&amp;IF(BO388=1,"Lose – Fläche geschätzt; ","")&amp;IF(G388&gt;AM388,"Überbestand "&amp;ROUND(G388-AM388,0)&amp;" Stk / CHF "&amp;ROUND((G388-AM388)*F388,0)&amp;"; ","")&amp;IF(AND(BT388=1,BU388&lt;BV388),"MAX &lt; MB+LG; ","")&amp;IF(AND(BZ388&gt;0,BY388*10&gt;BZ388),"zu hoch für Tablar; ","")&amp;IF(AND(BK388=0,OR(BT388=1,V388&lt;&gt;"",S388&lt;&gt;"",T388&lt;&gt;"",W388&lt;&gt;"")),"manuell übersteuert; ","")&amp;IF(AND(BO388=0,Q388=0),"Gebinde unbekannt; ","")&amp;IF(AND(BO388=0,N(T388)&lt;=0,N(P388)&lt;=0),"Menge pro Gebinde fehlt (Ist = 1 Gebinde); ","")&amp;BJ388)</f>
        <v/>
      </c>
      <c r="BC388" s="53" t="n"/>
      <c r="BD388" s="53" t="n"/>
      <c r="BE388" s="61" t="n"/>
      <c r="BF388" s="55" t="n">
        <v>210</v>
      </c>
      <c r="BG388" s="55" t="n">
        <v>204</v>
      </c>
      <c r="BH388" s="54" t="n">
        <v>128.04</v>
      </c>
      <c r="BI388" s="55" t="n">
        <v>605</v>
      </c>
      <c r="BJ388" s="53" t="inlineStr"/>
      <c r="BK388" s="58" t="n">
        <v>0</v>
      </c>
      <c r="BL388" s="58" t="n">
        <v>388</v>
      </c>
      <c r="BM388" s="53">
        <f>IF(S388&lt;&gt;"",UPPER(TRIM(S388)),IF(O388="","LOSE",O388))</f>
        <v/>
      </c>
      <c r="BN388" s="55">
        <f>IF(BM388="LOSE",1,IF(N(T388)&gt;0,T388,IF(N(P388)&gt;0,P388,MAX(1,G388))))</f>
        <v/>
      </c>
      <c r="BO388" s="58">
        <f>IF(BM388="LOSE",1,0)</f>
        <v/>
      </c>
      <c r="BP388" s="64">
        <f>IF(BO388=0,0,IF(N(R388)&gt;0,R388,IFERROR(VLOOKUP(D388,Parameter!$A$35:$C$64,3,0)+0,0)))</f>
        <v/>
      </c>
      <c r="BQ388" s="53">
        <f>IF(V388&lt;&gt;"",V388,U388)</f>
        <v/>
      </c>
      <c r="BR388" s="53">
        <f>IF(BQ388=1,"L1",IF(OR(BQ388=2,BQ388=3),"L23",IF(BQ388="Aussen","Aussen","-")))</f>
        <v/>
      </c>
      <c r="BS388" s="66">
        <f>IF(N(W388)&gt;0,W388,0)</f>
        <v/>
      </c>
      <c r="BT388" s="58">
        <f>IF(ISNUMBER(Z388),1,0)</f>
        <v/>
      </c>
      <c r="BU388" s="55">
        <f>N(Z388)</f>
        <v/>
      </c>
      <c r="BV388" s="55">
        <f>N(L388)+N(M388)</f>
        <v/>
      </c>
      <c r="BW388" s="55">
        <f>ROUNDUP(G388/BN388,0)</f>
        <v/>
      </c>
      <c r="BX388" s="55">
        <f>ROUNDUP(BU388/BN388,0)</f>
        <v/>
      </c>
      <c r="BY388" s="58">
        <f>IF(BO388=1,0,IFERROR(VLOOKUP(BM388,'Gebinde-Kategorie'!$A$5:$G$45,5,0)+0,0))</f>
        <v/>
      </c>
      <c r="BZ388" s="58">
        <f>IFERROR(IF(OR(BQ388=1,BQ388=2,BQ388=3),N(INDEX(Parameter!$I$5:$I$7,BQ388)),0),0)</f>
        <v/>
      </c>
    </row>
    <row r="389">
      <c r="A389" s="53" t="inlineStr">
        <is>
          <t>107359</t>
        </is>
      </c>
      <c r="B389" s="53" t="inlineStr">
        <is>
          <t>Distanzhülse</t>
        </is>
      </c>
      <c r="C389" s="53" t="inlineStr">
        <is>
          <t>F</t>
        </is>
      </c>
      <c r="D389" s="53" t="inlineStr">
        <is>
          <t>KTL</t>
        </is>
      </c>
      <c r="E389" s="53" t="inlineStr">
        <is>
          <t>C</t>
        </is>
      </c>
      <c r="F389" s="54" t="n">
        <v>8.300000000000001</v>
      </c>
      <c r="G389" s="55">
        <f>MAX(0,IF(Parameter!$B$20="Jahresanfang 2025 + Export",BG389+BF389,BF389))</f>
        <v/>
      </c>
      <c r="H389" s="55">
        <f>G389*F389</f>
        <v/>
      </c>
      <c r="I389" s="55">
        <f>BI389*Parameter!$B$18</f>
        <v/>
      </c>
      <c r="J389" s="56" t="n">
        <v>14</v>
      </c>
      <c r="K389" s="57" t="n">
        <v>3.285714285714286</v>
      </c>
      <c r="L389" s="55" t="n">
        <v>3</v>
      </c>
      <c r="M389" s="55" t="n">
        <v>50</v>
      </c>
      <c r="N389" s="58" t="n">
        <v>28</v>
      </c>
      <c r="O389" s="53" t="inlineStr">
        <is>
          <t>S41</t>
        </is>
      </c>
      <c r="P389" s="55" t="n">
        <v>27</v>
      </c>
      <c r="Q389" s="59">
        <f>IF(BO389=1,0,IFERROR(VLOOKUP(BM389,'Gebinde-Kategorie'!$A$5:$G$45,6,0)+0,0))</f>
        <v/>
      </c>
      <c r="R389" s="60" t="n"/>
      <c r="S389" s="61" t="n"/>
      <c r="T389" s="61" t="n"/>
      <c r="U389" s="53">
        <f>IF(A389="","",IF(IFERROR(VLOOKUP(D389,Parameter!$A$35:$C$64,2,0),"Nein")="2+3",IF(ISNUMBER(SEARCH("grosser Artikel",BJ389)),2,IFERROR(VLOOKUP(BM389,Parameter!$F$35:$G$64,2,0),2)),IF(OR(IFERROR(VLOOKUP(D389,Parameter!$A$35:$C$64,2,0),"Nein")="Nein",IFERROR(VLOOKUP(D389,Parameter!$A$35:$C$64,2,0),"Nein")=""),"-",VLOOKUP(D389,Parameter!$A$35:$C$64,2,0))))</f>
        <v/>
      </c>
      <c r="V389" s="61" t="n"/>
      <c r="W389" s="62" t="n"/>
      <c r="X389" s="55">
        <f>AM389</f>
        <v/>
      </c>
      <c r="Y389" s="55">
        <f>MAX(AM389,G389)</f>
        <v/>
      </c>
      <c r="Z389" s="63" t="n"/>
      <c r="AA389" s="55">
        <f>IF(LEFT(Cockpit!$C$5,1)="A",G389,IF(BT389=1,BU389,IF(LEFT(Cockpit!$C$5,1)="B",AE389,MAX(AE389,G389))))</f>
        <v/>
      </c>
      <c r="AB389" s="55">
        <f>IF(BO389=1,0,ROUNDUP(AA389/BN389,0))</f>
        <v/>
      </c>
      <c r="AC389" s="64">
        <f>IF(BO389=1,IF(AA389&lt;=0,0,BP389*MAX(1,IF(G389&gt;0,AA389/G389,1))),AB389*Q389)</f>
        <v/>
      </c>
      <c r="AD389" s="55">
        <f>AA389*F389</f>
        <v/>
      </c>
      <c r="AE389" s="55">
        <f>ROUNDUP(MAX(I389/IF(BS389&gt;0,BS389,MAX(0.1,N(Cockpit!$C$6))),BV389)/BN389,0)*BN389</f>
        <v/>
      </c>
      <c r="AF389" s="56">
        <f>IF(AC389&gt;0,I389/AC389,-1)</f>
        <v/>
      </c>
      <c r="AG389" s="56">
        <f>IF(AND(OR(BR389="L1",BR389="L23"),AC389&gt;0),SUMIFS($AC$7:$AC$1570,$BR$7:$BR$1570,BR389,$AF$7:$AF$1570,"&gt;"&amp;AF389)+SUMIFS($AC$7:$AC$1570,$BR$7:$BR$1570,BR389,$AF$7:$AF$1570,AF389,$BL$7:$BL$1570,"&lt;="&amp;BL389),"")</f>
        <v/>
      </c>
      <c r="AH389" s="65">
        <f>IF(AG389="",0,MAX(0,MIN(1,(IF(BR389="L1",Parameter!$K$5,Parameter!$K$6+Parameter!$K$7)-(AG389-AC389))/AC389)))</f>
        <v/>
      </c>
      <c r="AI389" s="55">
        <f>IF(LEFT(Cockpit!$I$5,1)="A",G389,IF(BT389=1,BU389,IF(LEFT(Cockpit!$I$5,1)="B",AM389,MAX(AM389,G389))))</f>
        <v/>
      </c>
      <c r="AJ389" s="55">
        <f>IF(BO389=1,0,ROUNDUP(AI389/BN389,0))</f>
        <v/>
      </c>
      <c r="AK389" s="64">
        <f>IF(BO389=1,IF(AI389&lt;=0,0,BP389*MAX(1,IF(G389&gt;0,AI389/G389,1))),AJ389*Q389)</f>
        <v/>
      </c>
      <c r="AL389" s="55">
        <f>AI389*F389</f>
        <v/>
      </c>
      <c r="AM389" s="55">
        <f>ROUNDUP(MAX(I389/IF(BS389&gt;0,BS389,MAX(0.1,N(Cockpit!$I$6))),BV389)/BN389,0)*BN389</f>
        <v/>
      </c>
      <c r="AN389" s="56">
        <f>IF(AK389&gt;0,I389/AK389,-1)</f>
        <v/>
      </c>
      <c r="AO389" s="56">
        <f>IF(AND(OR(BR389="L1",BR389="L23"),AK389&gt;0),SUMIFS($AK$7:$AK$1570,$BR$7:$BR$1570,BR389,$AN$7:$AN$1570,"&gt;"&amp;AN389)+SUMIFS($AK$7:$AK$1570,$BR$7:$BR$1570,BR389,$AN$7:$AN$1570,AN389,$BL$7:$BL$1570,"&lt;="&amp;BL389),"")</f>
        <v/>
      </c>
      <c r="AP389" s="65">
        <f>IF(AO389="",0,MAX(0,MIN(1,(IF(BR389="L1",Parameter!$K$5,Parameter!$K$6+Parameter!$K$7)-(AO389-AK389))/AK389)))</f>
        <v/>
      </c>
      <c r="AQ389" s="55">
        <f>IF(LEFT(Cockpit!$O$5,1)="A",G389,IF(BT389=1,BU389,IF(LEFT(Cockpit!$O$5,1)="B",AU389,MAX(AU389,G389))))</f>
        <v/>
      </c>
      <c r="AR389" s="55">
        <f>IF(BO389=1,0,ROUNDUP(AQ389/BN389,0))</f>
        <v/>
      </c>
      <c r="AS389" s="64">
        <f>IF(BO389=1,IF(AQ389&lt;=0,0,BP389*MAX(1,IF(G389&gt;0,AQ389/G389,1))),AR389*Q389)</f>
        <v/>
      </c>
      <c r="AT389" s="55">
        <f>AQ389*F389</f>
        <v/>
      </c>
      <c r="AU389" s="55">
        <f>ROUNDUP(MAX(I389/IF(BS389&gt;0,BS389,MAX(0.1,N(Cockpit!$O$6))),BV389)/BN389,0)*BN389</f>
        <v/>
      </c>
      <c r="AV389" s="56">
        <f>IF(AS389&gt;0,I389/AS389,-1)</f>
        <v/>
      </c>
      <c r="AW389" s="56">
        <f>IF(AND(OR(BR389="L1",BR389="L23"),AS389&gt;0),SUMIFS($AS$7:$AS$1570,$BR$7:$BR$1570,BR389,$AV$7:$AV$1570,"&gt;"&amp;AV389)+SUMIFS($AS$7:$AS$1570,$BR$7:$BR$1570,BR389,$AV$7:$AV$1570,AV389,$BL$7:$BL$1570,"&lt;="&amp;BL389),"")</f>
        <v/>
      </c>
      <c r="AX389" s="65">
        <f>IF(AW389="",0,MAX(0,MIN(1,(IF(BR389="L1",Parameter!$K$5,Parameter!$K$6+Parameter!$K$7)-(AW389-AS389))/AS389)))</f>
        <v/>
      </c>
      <c r="AY389" s="53">
        <f>IF(AC389&lt;=0,"",IF(BR389="Aussen","Aussenlager",IF(BR389="-","Nicht im Lift",IF(AH389&gt;=1,"Lift",IF(AH389&lt;=0,"Aussenlager","teilweise")))))</f>
        <v/>
      </c>
      <c r="AZ389" s="53">
        <f>IF(AK389&lt;=0,"",IF(BR389="Aussen","Aussenlager",IF(BR389="-","Nicht im Lift",IF(AP389&gt;=1,"Lift",IF(AP389&lt;=0,"Aussenlager","teilweise")))))</f>
        <v/>
      </c>
      <c r="BA389" s="53">
        <f>IF(AS389&lt;=0,"",IF(BR389="Aussen","Aussenlager",IF(BR389="-","Nicht im Lift",IF(AX389&gt;=1,"Lift",IF(AX389&lt;=0,"Aussenlager","teilweise")))))</f>
        <v/>
      </c>
      <c r="BB389" s="53">
        <f>IF(A389="","",IF(BK389=1,"Neu; ","")&amp;IF(AND(BK389=0,BF389&lt;0),"negativer Bestand (Export "&amp;BF389&amp;"); ","")&amp;IF(I389&lt;=0,"Kein Verbrauch; ","")&amp;IF(BO389=1,"Lose – Fläche geschätzt; ","")&amp;IF(G389&gt;AM389,"Überbestand "&amp;ROUND(G389-AM389,0)&amp;" Stk / CHF "&amp;ROUND((G389-AM389)*F389,0)&amp;"; ","")&amp;IF(AND(BT389=1,BU389&lt;BV389),"MAX &lt; MB+LG; ","")&amp;IF(AND(BZ389&gt;0,BY389*10&gt;BZ389),"zu hoch für Tablar; ","")&amp;IF(AND(BK389=0,OR(BT389=1,V389&lt;&gt;"",S389&lt;&gt;"",T389&lt;&gt;"",W389&lt;&gt;"")),"manuell übersteuert; ","")&amp;IF(AND(BO389=0,Q389=0),"Gebinde unbekannt; ","")&amp;IF(AND(BO389=0,N(T389)&lt;=0,N(P389)&lt;=0),"Menge pro Gebinde fehlt (Ist = 1 Gebinde); ","")&amp;BJ389)</f>
        <v/>
      </c>
      <c r="BC389" s="53" t="n"/>
      <c r="BD389" s="53" t="n"/>
      <c r="BE389" s="61" t="n"/>
      <c r="BF389" s="55" t="n">
        <v>22</v>
      </c>
      <c r="BG389" s="55" t="n">
        <v>12</v>
      </c>
      <c r="BH389" s="54" t="n">
        <v>127.2799999999999</v>
      </c>
      <c r="BI389" s="55" t="n">
        <v>46</v>
      </c>
      <c r="BJ389" s="53" t="inlineStr"/>
      <c r="BK389" s="58" t="n">
        <v>0</v>
      </c>
      <c r="BL389" s="58" t="n">
        <v>389</v>
      </c>
      <c r="BM389" s="53">
        <f>IF(S389&lt;&gt;"",UPPER(TRIM(S389)),IF(O389="","LOSE",O389))</f>
        <v/>
      </c>
      <c r="BN389" s="55">
        <f>IF(BM389="LOSE",1,IF(N(T389)&gt;0,T389,IF(N(P389)&gt;0,P389,MAX(1,G389))))</f>
        <v/>
      </c>
      <c r="BO389" s="58">
        <f>IF(BM389="LOSE",1,0)</f>
        <v/>
      </c>
      <c r="BP389" s="64">
        <f>IF(BO389=0,0,IF(N(R389)&gt;0,R389,IFERROR(VLOOKUP(D389,Parameter!$A$35:$C$64,3,0)+0,0)))</f>
        <v/>
      </c>
      <c r="BQ389" s="53">
        <f>IF(V389&lt;&gt;"",V389,U389)</f>
        <v/>
      </c>
      <c r="BR389" s="53">
        <f>IF(BQ389=1,"L1",IF(OR(BQ389=2,BQ389=3),"L23",IF(BQ389="Aussen","Aussen","-")))</f>
        <v/>
      </c>
      <c r="BS389" s="66">
        <f>IF(N(W389)&gt;0,W389,0)</f>
        <v/>
      </c>
      <c r="BT389" s="58">
        <f>IF(ISNUMBER(Z389),1,0)</f>
        <v/>
      </c>
      <c r="BU389" s="55">
        <f>N(Z389)</f>
        <v/>
      </c>
      <c r="BV389" s="55">
        <f>N(L389)+N(M389)</f>
        <v/>
      </c>
      <c r="BW389" s="55">
        <f>ROUNDUP(G389/BN389,0)</f>
        <v/>
      </c>
      <c r="BX389" s="55">
        <f>ROUNDUP(BU389/BN389,0)</f>
        <v/>
      </c>
      <c r="BY389" s="58">
        <f>IF(BO389=1,0,IFERROR(VLOOKUP(BM389,'Gebinde-Kategorie'!$A$5:$G$45,5,0)+0,0))</f>
        <v/>
      </c>
      <c r="BZ389" s="58">
        <f>IFERROR(IF(OR(BQ389=1,BQ389=2,BQ389=3),N(INDEX(Parameter!$I$5:$I$7,BQ389)),0),0)</f>
        <v/>
      </c>
    </row>
    <row r="390">
      <c r="A390" s="53" t="inlineStr">
        <is>
          <t>107540</t>
        </is>
      </c>
      <c r="B390" s="53" t="inlineStr">
        <is>
          <t>Begleitschreiben, SPGr10</t>
        </is>
      </c>
      <c r="C390" s="53" t="inlineStr">
        <is>
          <t>F</t>
        </is>
      </c>
      <c r="D390" s="53" t="inlineStr">
        <is>
          <t>KTL</t>
        </is>
      </c>
      <c r="E390" s="53" t="inlineStr">
        <is>
          <t>C</t>
        </is>
      </c>
      <c r="F390" s="54" t="n">
        <v>3.81</v>
      </c>
      <c r="G390" s="55">
        <f>MAX(0,IF(Parameter!$B$20="Jahresanfang 2025 + Export",BG390+BF390,BF390))</f>
        <v/>
      </c>
      <c r="H390" s="55">
        <f>G390*F390</f>
        <v/>
      </c>
      <c r="I390" s="55">
        <f>BI390*Parameter!$B$18</f>
        <v/>
      </c>
      <c r="J390" s="56" t="n">
        <v>74.5</v>
      </c>
      <c r="K390" s="57" t="n">
        <v>0.3892617449664429</v>
      </c>
      <c r="L390" s="55" t="n">
        <v>2</v>
      </c>
      <c r="M390" s="55" t="n">
        <v>100</v>
      </c>
      <c r="N390" s="58" t="n">
        <v>28</v>
      </c>
      <c r="O390" s="53" t="inlineStr">
        <is>
          <t>S41</t>
        </is>
      </c>
      <c r="P390" s="55" t="n">
        <v>128</v>
      </c>
      <c r="Q390" s="59">
        <f>IF(BO390=1,0,IFERROR(VLOOKUP(BM390,'Gebinde-Kategorie'!$A$5:$G$45,6,0)+0,0))</f>
        <v/>
      </c>
      <c r="R390" s="60" t="n"/>
      <c r="S390" s="61" t="n"/>
      <c r="T390" s="61" t="n"/>
      <c r="U390" s="53">
        <f>IF(A390="","",IF(IFERROR(VLOOKUP(D390,Parameter!$A$35:$C$64,2,0),"Nein")="2+3",IF(ISNUMBER(SEARCH("grosser Artikel",BJ390)),2,IFERROR(VLOOKUP(BM390,Parameter!$F$35:$G$64,2,0),2)),IF(OR(IFERROR(VLOOKUP(D390,Parameter!$A$35:$C$64,2,0),"Nein")="Nein",IFERROR(VLOOKUP(D390,Parameter!$A$35:$C$64,2,0),"Nein")=""),"-",VLOOKUP(D390,Parameter!$A$35:$C$64,2,0))))</f>
        <v/>
      </c>
      <c r="V390" s="61" t="n"/>
      <c r="W390" s="62" t="n"/>
      <c r="X390" s="55">
        <f>AM390</f>
        <v/>
      </c>
      <c r="Y390" s="55">
        <f>MAX(AM390,G390)</f>
        <v/>
      </c>
      <c r="Z390" s="63" t="n"/>
      <c r="AA390" s="55">
        <f>IF(LEFT(Cockpit!$C$5,1)="A",G390,IF(BT390=1,BU390,IF(LEFT(Cockpit!$C$5,1)="B",AE390,MAX(AE390,G390))))</f>
        <v/>
      </c>
      <c r="AB390" s="55">
        <f>IF(BO390=1,0,ROUNDUP(AA390/BN390,0))</f>
        <v/>
      </c>
      <c r="AC390" s="64">
        <f>IF(BO390=1,IF(AA390&lt;=0,0,BP390*MAX(1,IF(G390&gt;0,AA390/G390,1))),AB390*Q390)</f>
        <v/>
      </c>
      <c r="AD390" s="55">
        <f>AA390*F390</f>
        <v/>
      </c>
      <c r="AE390" s="55">
        <f>ROUNDUP(MAX(I390/IF(BS390&gt;0,BS390,MAX(0.1,N(Cockpit!$C$6))),BV390)/BN390,0)*BN390</f>
        <v/>
      </c>
      <c r="AF390" s="56">
        <f>IF(AC390&gt;0,I390/AC390,-1)</f>
        <v/>
      </c>
      <c r="AG390" s="56">
        <f>IF(AND(OR(BR390="L1",BR390="L23"),AC390&gt;0),SUMIFS($AC$7:$AC$1570,$BR$7:$BR$1570,BR390,$AF$7:$AF$1570,"&gt;"&amp;AF390)+SUMIFS($AC$7:$AC$1570,$BR$7:$BR$1570,BR390,$AF$7:$AF$1570,AF390,$BL$7:$BL$1570,"&lt;="&amp;BL390),"")</f>
        <v/>
      </c>
      <c r="AH390" s="65">
        <f>IF(AG390="",0,MAX(0,MIN(1,(IF(BR390="L1",Parameter!$K$5,Parameter!$K$6+Parameter!$K$7)-(AG390-AC390))/AC390)))</f>
        <v/>
      </c>
      <c r="AI390" s="55">
        <f>IF(LEFT(Cockpit!$I$5,1)="A",G390,IF(BT390=1,BU390,IF(LEFT(Cockpit!$I$5,1)="B",AM390,MAX(AM390,G390))))</f>
        <v/>
      </c>
      <c r="AJ390" s="55">
        <f>IF(BO390=1,0,ROUNDUP(AI390/BN390,0))</f>
        <v/>
      </c>
      <c r="AK390" s="64">
        <f>IF(BO390=1,IF(AI390&lt;=0,0,BP390*MAX(1,IF(G390&gt;0,AI390/G390,1))),AJ390*Q390)</f>
        <v/>
      </c>
      <c r="AL390" s="55">
        <f>AI390*F390</f>
        <v/>
      </c>
      <c r="AM390" s="55">
        <f>ROUNDUP(MAX(I390/IF(BS390&gt;0,BS390,MAX(0.1,N(Cockpit!$I$6))),BV390)/BN390,0)*BN390</f>
        <v/>
      </c>
      <c r="AN390" s="56">
        <f>IF(AK390&gt;0,I390/AK390,-1)</f>
        <v/>
      </c>
      <c r="AO390" s="56">
        <f>IF(AND(OR(BR390="L1",BR390="L23"),AK390&gt;0),SUMIFS($AK$7:$AK$1570,$BR$7:$BR$1570,BR390,$AN$7:$AN$1570,"&gt;"&amp;AN390)+SUMIFS($AK$7:$AK$1570,$BR$7:$BR$1570,BR390,$AN$7:$AN$1570,AN390,$BL$7:$BL$1570,"&lt;="&amp;BL390),"")</f>
        <v/>
      </c>
      <c r="AP390" s="65">
        <f>IF(AO390="",0,MAX(0,MIN(1,(IF(BR390="L1",Parameter!$K$5,Parameter!$K$6+Parameter!$K$7)-(AO390-AK390))/AK390)))</f>
        <v/>
      </c>
      <c r="AQ390" s="55">
        <f>IF(LEFT(Cockpit!$O$5,1)="A",G390,IF(BT390=1,BU390,IF(LEFT(Cockpit!$O$5,1)="B",AU390,MAX(AU390,G390))))</f>
        <v/>
      </c>
      <c r="AR390" s="55">
        <f>IF(BO390=1,0,ROUNDUP(AQ390/BN390,0))</f>
        <v/>
      </c>
      <c r="AS390" s="64">
        <f>IF(BO390=1,IF(AQ390&lt;=0,0,BP390*MAX(1,IF(G390&gt;0,AQ390/G390,1))),AR390*Q390)</f>
        <v/>
      </c>
      <c r="AT390" s="55">
        <f>AQ390*F390</f>
        <v/>
      </c>
      <c r="AU390" s="55">
        <f>ROUNDUP(MAX(I390/IF(BS390&gt;0,BS390,MAX(0.1,N(Cockpit!$O$6))),BV390)/BN390,0)*BN390</f>
        <v/>
      </c>
      <c r="AV390" s="56">
        <f>IF(AS390&gt;0,I390/AS390,-1)</f>
        <v/>
      </c>
      <c r="AW390" s="56">
        <f>IF(AND(OR(BR390="L1",BR390="L23"),AS390&gt;0),SUMIFS($AS$7:$AS$1570,$BR$7:$BR$1570,BR390,$AV$7:$AV$1570,"&gt;"&amp;AV390)+SUMIFS($AS$7:$AS$1570,$BR$7:$BR$1570,BR390,$AV$7:$AV$1570,AV390,$BL$7:$BL$1570,"&lt;="&amp;BL390),"")</f>
        <v/>
      </c>
      <c r="AX390" s="65">
        <f>IF(AW390="",0,MAX(0,MIN(1,(IF(BR390="L1",Parameter!$K$5,Parameter!$K$6+Parameter!$K$7)-(AW390-AS390))/AS390)))</f>
        <v/>
      </c>
      <c r="AY390" s="53">
        <f>IF(AC390&lt;=0,"",IF(BR390="Aussen","Aussenlager",IF(BR390="-","Nicht im Lift",IF(AH390&gt;=1,"Lift",IF(AH390&lt;=0,"Aussenlager","teilweise")))))</f>
        <v/>
      </c>
      <c r="AZ390" s="53">
        <f>IF(AK390&lt;=0,"",IF(BR390="Aussen","Aussenlager",IF(BR390="-","Nicht im Lift",IF(AP390&gt;=1,"Lift",IF(AP390&lt;=0,"Aussenlager","teilweise")))))</f>
        <v/>
      </c>
      <c r="BA390" s="53">
        <f>IF(AS390&lt;=0,"",IF(BR390="Aussen","Aussenlager",IF(BR390="-","Nicht im Lift",IF(AX390&gt;=1,"Lift",IF(AX390&lt;=0,"Aussenlager","teilweise")))))</f>
        <v/>
      </c>
      <c r="BB390" s="53">
        <f>IF(A390="","",IF(BK390=1,"Neu; ","")&amp;IF(AND(BK390=0,BF390&lt;0),"negativer Bestand (Export "&amp;BF390&amp;"); ","")&amp;IF(I390&lt;=0,"Kein Verbrauch; ","")&amp;IF(BO390=1,"Lose – Fläche geschätzt; ","")&amp;IF(G390&gt;AM390,"Überbestand "&amp;ROUND(G390-AM390,0)&amp;" Stk / CHF "&amp;ROUND((G390-AM390)*F390,0)&amp;"; ","")&amp;IF(AND(BT390=1,BU390&lt;BV390),"MAX &lt; MB+LG; ","")&amp;IF(AND(BZ390&gt;0,BY390*10&gt;BZ390),"zu hoch für Tablar; ","")&amp;IF(AND(BK390=0,OR(BT390=1,V390&lt;&gt;"",S390&lt;&gt;"",T390&lt;&gt;"",W390&lt;&gt;"")),"manuell übersteuert; ","")&amp;IF(AND(BO390=0,Q390=0),"Gebinde unbekannt; ","")&amp;IF(AND(BO390=0,N(T390)&lt;=0,N(P390)&lt;=0),"Menge pro Gebinde fehlt (Ist = 1 Gebinde); ","")&amp;BJ390)</f>
        <v/>
      </c>
      <c r="BC390" s="53" t="n"/>
      <c r="BD390" s="53" t="n"/>
      <c r="BE390" s="61" t="n"/>
      <c r="BF390" s="55" t="n">
        <v>32</v>
      </c>
      <c r="BG390" s="55" t="n">
        <v>34</v>
      </c>
      <c r="BH390" s="54" t="n">
        <v>122.94</v>
      </c>
      <c r="BI390" s="55" t="n">
        <v>29</v>
      </c>
      <c r="BJ390" s="53" t="inlineStr"/>
      <c r="BK390" s="58" t="n">
        <v>0</v>
      </c>
      <c r="BL390" s="58" t="n">
        <v>390</v>
      </c>
      <c r="BM390" s="53">
        <f>IF(S390&lt;&gt;"",UPPER(TRIM(S390)),IF(O390="","LOSE",O390))</f>
        <v/>
      </c>
      <c r="BN390" s="55">
        <f>IF(BM390="LOSE",1,IF(N(T390)&gt;0,T390,IF(N(P390)&gt;0,P390,MAX(1,G390))))</f>
        <v/>
      </c>
      <c r="BO390" s="58">
        <f>IF(BM390="LOSE",1,0)</f>
        <v/>
      </c>
      <c r="BP390" s="64">
        <f>IF(BO390=0,0,IF(N(R390)&gt;0,R390,IFERROR(VLOOKUP(D390,Parameter!$A$35:$C$64,3,0)+0,0)))</f>
        <v/>
      </c>
      <c r="BQ390" s="53">
        <f>IF(V390&lt;&gt;"",V390,U390)</f>
        <v/>
      </c>
      <c r="BR390" s="53">
        <f>IF(BQ390=1,"L1",IF(OR(BQ390=2,BQ390=3),"L23",IF(BQ390="Aussen","Aussen","-")))</f>
        <v/>
      </c>
      <c r="BS390" s="66">
        <f>IF(N(W390)&gt;0,W390,0)</f>
        <v/>
      </c>
      <c r="BT390" s="58">
        <f>IF(ISNUMBER(Z390),1,0)</f>
        <v/>
      </c>
      <c r="BU390" s="55">
        <f>N(Z390)</f>
        <v/>
      </c>
      <c r="BV390" s="55">
        <f>N(L390)+N(M390)</f>
        <v/>
      </c>
      <c r="BW390" s="55">
        <f>ROUNDUP(G390/BN390,0)</f>
        <v/>
      </c>
      <c r="BX390" s="55">
        <f>ROUNDUP(BU390/BN390,0)</f>
        <v/>
      </c>
      <c r="BY390" s="58">
        <f>IF(BO390=1,0,IFERROR(VLOOKUP(BM390,'Gebinde-Kategorie'!$A$5:$G$45,5,0)+0,0))</f>
        <v/>
      </c>
      <c r="BZ390" s="58">
        <f>IFERROR(IF(OR(BQ390=1,BQ390=2,BQ390=3),N(INDEX(Parameter!$I$5:$I$7,BQ390)),0),0)</f>
        <v/>
      </c>
    </row>
    <row r="391">
      <c r="A391" s="53" t="inlineStr">
        <is>
          <t>005242</t>
        </is>
      </c>
      <c r="B391" s="53" t="inlineStr">
        <is>
          <t>SPS Analog-Eingangsmodul</t>
        </is>
      </c>
      <c r="C391" s="53" t="inlineStr">
        <is>
          <t>F</t>
        </is>
      </c>
      <c r="D391" s="53" t="inlineStr">
        <is>
          <t>KTL</t>
        </is>
      </c>
      <c r="E391" s="53" t="inlineStr">
        <is>
          <t>C</t>
        </is>
      </c>
      <c r="F391" s="54" t="n">
        <v>203.54</v>
      </c>
      <c r="G391" s="55">
        <f>MAX(0,IF(Parameter!$B$20="Jahresanfang 2025 + Export",BG391+BF391,BF391))</f>
        <v/>
      </c>
      <c r="H391" s="55">
        <f>G391*F391</f>
        <v/>
      </c>
      <c r="I391" s="55">
        <f>BI391*Parameter!$B$18</f>
        <v/>
      </c>
      <c r="J391" s="56" t="n">
        <v>8</v>
      </c>
      <c r="K391" s="57" t="n">
        <v>0.25</v>
      </c>
      <c r="L391" s="55" t="n">
        <v>0</v>
      </c>
      <c r="M391" s="55" t="n">
        <v>1</v>
      </c>
      <c r="N391" s="58" t="n">
        <v>14</v>
      </c>
      <c r="O391" s="53" t="inlineStr">
        <is>
          <t>S52</t>
        </is>
      </c>
      <c r="P391" s="55" t="n">
        <v>14</v>
      </c>
      <c r="Q391" s="59">
        <f>IF(BO391=1,0,IFERROR(VLOOKUP(BM391,'Gebinde-Kategorie'!$A$5:$G$45,6,0)+0,0))</f>
        <v/>
      </c>
      <c r="R391" s="60" t="n"/>
      <c r="S391" s="61" t="n"/>
      <c r="T391" s="61" t="n"/>
      <c r="U391" s="53">
        <f>IF(A391="","",IF(IFERROR(VLOOKUP(D391,Parameter!$A$35:$C$64,2,0),"Nein")="2+3",IF(ISNUMBER(SEARCH("grosser Artikel",BJ391)),2,IFERROR(VLOOKUP(BM391,Parameter!$F$35:$G$64,2,0),2)),IF(OR(IFERROR(VLOOKUP(D391,Parameter!$A$35:$C$64,2,0),"Nein")="Nein",IFERROR(VLOOKUP(D391,Parameter!$A$35:$C$64,2,0),"Nein")=""),"-",VLOOKUP(D391,Parameter!$A$35:$C$64,2,0))))</f>
        <v/>
      </c>
      <c r="V391" s="61" t="n"/>
      <c r="W391" s="62" t="n"/>
      <c r="X391" s="55">
        <f>AM391</f>
        <v/>
      </c>
      <c r="Y391" s="55">
        <f>MAX(AM391,G391)</f>
        <v/>
      </c>
      <c r="Z391" s="63" t="n"/>
      <c r="AA391" s="55">
        <f>IF(LEFT(Cockpit!$C$5,1)="A",G391,IF(BT391=1,BU391,IF(LEFT(Cockpit!$C$5,1)="B",AE391,MAX(AE391,G391))))</f>
        <v/>
      </c>
      <c r="AB391" s="55">
        <f>IF(BO391=1,0,ROUNDUP(AA391/BN391,0))</f>
        <v/>
      </c>
      <c r="AC391" s="64">
        <f>IF(BO391=1,IF(AA391&lt;=0,0,BP391*MAX(1,IF(G391&gt;0,AA391/G391,1))),AB391*Q391)</f>
        <v/>
      </c>
      <c r="AD391" s="55">
        <f>AA391*F391</f>
        <v/>
      </c>
      <c r="AE391" s="55">
        <f>ROUNDUP(MAX(I391/IF(BS391&gt;0,BS391,MAX(0.1,N(Cockpit!$C$6))),BV391)/BN391,0)*BN391</f>
        <v/>
      </c>
      <c r="AF391" s="56">
        <f>IF(AC391&gt;0,I391/AC391,-1)</f>
        <v/>
      </c>
      <c r="AG391" s="56">
        <f>IF(AND(OR(BR391="L1",BR391="L23"),AC391&gt;0),SUMIFS($AC$7:$AC$1570,$BR$7:$BR$1570,BR391,$AF$7:$AF$1570,"&gt;"&amp;AF391)+SUMIFS($AC$7:$AC$1570,$BR$7:$BR$1570,BR391,$AF$7:$AF$1570,AF391,$BL$7:$BL$1570,"&lt;="&amp;BL391),"")</f>
        <v/>
      </c>
      <c r="AH391" s="65">
        <f>IF(AG391="",0,MAX(0,MIN(1,(IF(BR391="L1",Parameter!$K$5,Parameter!$K$6+Parameter!$K$7)-(AG391-AC391))/AC391)))</f>
        <v/>
      </c>
      <c r="AI391" s="55">
        <f>IF(LEFT(Cockpit!$I$5,1)="A",G391,IF(BT391=1,BU391,IF(LEFT(Cockpit!$I$5,1)="B",AM391,MAX(AM391,G391))))</f>
        <v/>
      </c>
      <c r="AJ391" s="55">
        <f>IF(BO391=1,0,ROUNDUP(AI391/BN391,0))</f>
        <v/>
      </c>
      <c r="AK391" s="64">
        <f>IF(BO391=1,IF(AI391&lt;=0,0,BP391*MAX(1,IF(G391&gt;0,AI391/G391,1))),AJ391*Q391)</f>
        <v/>
      </c>
      <c r="AL391" s="55">
        <f>AI391*F391</f>
        <v/>
      </c>
      <c r="AM391" s="55">
        <f>ROUNDUP(MAX(I391/IF(BS391&gt;0,BS391,MAX(0.1,N(Cockpit!$I$6))),BV391)/BN391,0)*BN391</f>
        <v/>
      </c>
      <c r="AN391" s="56">
        <f>IF(AK391&gt;0,I391/AK391,-1)</f>
        <v/>
      </c>
      <c r="AO391" s="56">
        <f>IF(AND(OR(BR391="L1",BR391="L23"),AK391&gt;0),SUMIFS($AK$7:$AK$1570,$BR$7:$BR$1570,BR391,$AN$7:$AN$1570,"&gt;"&amp;AN391)+SUMIFS($AK$7:$AK$1570,$BR$7:$BR$1570,BR391,$AN$7:$AN$1570,AN391,$BL$7:$BL$1570,"&lt;="&amp;BL391),"")</f>
        <v/>
      </c>
      <c r="AP391" s="65">
        <f>IF(AO391="",0,MAX(0,MIN(1,(IF(BR391="L1",Parameter!$K$5,Parameter!$K$6+Parameter!$K$7)-(AO391-AK391))/AK391)))</f>
        <v/>
      </c>
      <c r="AQ391" s="55">
        <f>IF(LEFT(Cockpit!$O$5,1)="A",G391,IF(BT391=1,BU391,IF(LEFT(Cockpit!$O$5,1)="B",AU391,MAX(AU391,G391))))</f>
        <v/>
      </c>
      <c r="AR391" s="55">
        <f>IF(BO391=1,0,ROUNDUP(AQ391/BN391,0))</f>
        <v/>
      </c>
      <c r="AS391" s="64">
        <f>IF(BO391=1,IF(AQ391&lt;=0,0,BP391*MAX(1,IF(G391&gt;0,AQ391/G391,1))),AR391*Q391)</f>
        <v/>
      </c>
      <c r="AT391" s="55">
        <f>AQ391*F391</f>
        <v/>
      </c>
      <c r="AU391" s="55">
        <f>ROUNDUP(MAX(I391/IF(BS391&gt;0,BS391,MAX(0.1,N(Cockpit!$O$6))),BV391)/BN391,0)*BN391</f>
        <v/>
      </c>
      <c r="AV391" s="56">
        <f>IF(AS391&gt;0,I391/AS391,-1)</f>
        <v/>
      </c>
      <c r="AW391" s="56">
        <f>IF(AND(OR(BR391="L1",BR391="L23"),AS391&gt;0),SUMIFS($AS$7:$AS$1570,$BR$7:$BR$1570,BR391,$AV$7:$AV$1570,"&gt;"&amp;AV391)+SUMIFS($AS$7:$AS$1570,$BR$7:$BR$1570,BR391,$AV$7:$AV$1570,AV391,$BL$7:$BL$1570,"&lt;="&amp;BL391),"")</f>
        <v/>
      </c>
      <c r="AX391" s="65">
        <f>IF(AW391="",0,MAX(0,MIN(1,(IF(BR391="L1",Parameter!$K$5,Parameter!$K$6+Parameter!$K$7)-(AW391-AS391))/AS391)))</f>
        <v/>
      </c>
      <c r="AY391" s="53">
        <f>IF(AC391&lt;=0,"",IF(BR391="Aussen","Aussenlager",IF(BR391="-","Nicht im Lift",IF(AH391&gt;=1,"Lift",IF(AH391&lt;=0,"Aussenlager","teilweise")))))</f>
        <v/>
      </c>
      <c r="AZ391" s="53">
        <f>IF(AK391&lt;=0,"",IF(BR391="Aussen","Aussenlager",IF(BR391="-","Nicht im Lift",IF(AP391&gt;=1,"Lift",IF(AP391&lt;=0,"Aussenlager","teilweise")))))</f>
        <v/>
      </c>
      <c r="BA391" s="53">
        <f>IF(AS391&lt;=0,"",IF(BR391="Aussen","Aussenlager",IF(BR391="-","Nicht im Lift",IF(AX391&gt;=1,"Lift",IF(AX391&lt;=0,"Aussenlager","teilweise")))))</f>
        <v/>
      </c>
      <c r="BB391" s="53">
        <f>IF(A391="","",IF(BK391=1,"Neu; ","")&amp;IF(AND(BK391=0,BF391&lt;0),"negativer Bestand (Export "&amp;BF391&amp;"); ","")&amp;IF(I391&lt;=0,"Kein Verbrauch; ","")&amp;IF(BO391=1,"Lose – Fläche geschätzt; ","")&amp;IF(G391&gt;AM391,"Überbestand "&amp;ROUND(G391-AM391,0)&amp;" Stk / CHF "&amp;ROUND((G391-AM391)*F391,0)&amp;"; ","")&amp;IF(AND(BT391=1,BU391&lt;BV391),"MAX &lt; MB+LG; ","")&amp;IF(AND(BZ391&gt;0,BY391*10&gt;BZ391),"zu hoch für Tablar; ","")&amp;IF(AND(BK391=0,OR(BT391=1,V391&lt;&gt;"",S391&lt;&gt;"",T391&lt;&gt;"",W391&lt;&gt;"")),"manuell übersteuert; ","")&amp;IF(AND(BO391=0,Q391=0),"Gebinde unbekannt; ","")&amp;IF(AND(BO391=0,N(T391)&lt;=0,N(P391)&lt;=0),"Menge pro Gebinde fehlt (Ist = 1 Gebinde); ","")&amp;BJ391)</f>
        <v/>
      </c>
      <c r="BC391" s="53" t="n"/>
      <c r="BD391" s="53" t="n"/>
      <c r="BE391" s="61" t="n"/>
      <c r="BF391" s="55" t="n">
        <v>0</v>
      </c>
      <c r="BG391" s="55" t="n">
        <v>8</v>
      </c>
      <c r="BH391" s="54" t="n">
        <v>122.72</v>
      </c>
      <c r="BI391" s="55" t="n">
        <v>2</v>
      </c>
      <c r="BJ391" s="53" t="inlineStr"/>
      <c r="BK391" s="58" t="n">
        <v>0</v>
      </c>
      <c r="BL391" s="58" t="n">
        <v>391</v>
      </c>
      <c r="BM391" s="53">
        <f>IF(S391&lt;&gt;"",UPPER(TRIM(S391)),IF(O391="","LOSE",O391))</f>
        <v/>
      </c>
      <c r="BN391" s="55">
        <f>IF(BM391="LOSE",1,IF(N(T391)&gt;0,T391,IF(N(P391)&gt;0,P391,MAX(1,G391))))</f>
        <v/>
      </c>
      <c r="BO391" s="58">
        <f>IF(BM391="LOSE",1,0)</f>
        <v/>
      </c>
      <c r="BP391" s="64">
        <f>IF(BO391=0,0,IF(N(R391)&gt;0,R391,IFERROR(VLOOKUP(D391,Parameter!$A$35:$C$64,3,0)+0,0)))</f>
        <v/>
      </c>
      <c r="BQ391" s="53">
        <f>IF(V391&lt;&gt;"",V391,U391)</f>
        <v/>
      </c>
      <c r="BR391" s="53">
        <f>IF(BQ391=1,"L1",IF(OR(BQ391=2,BQ391=3),"L23",IF(BQ391="Aussen","Aussen","-")))</f>
        <v/>
      </c>
      <c r="BS391" s="66">
        <f>IF(N(W391)&gt;0,W391,0)</f>
        <v/>
      </c>
      <c r="BT391" s="58">
        <f>IF(ISNUMBER(Z391),1,0)</f>
        <v/>
      </c>
      <c r="BU391" s="55">
        <f>N(Z391)</f>
        <v/>
      </c>
      <c r="BV391" s="55">
        <f>N(L391)+N(M391)</f>
        <v/>
      </c>
      <c r="BW391" s="55">
        <f>ROUNDUP(G391/BN391,0)</f>
        <v/>
      </c>
      <c r="BX391" s="55">
        <f>ROUNDUP(BU391/BN391,0)</f>
        <v/>
      </c>
      <c r="BY391" s="58">
        <f>IF(BO391=1,0,IFERROR(VLOOKUP(BM391,'Gebinde-Kategorie'!$A$5:$G$45,5,0)+0,0))</f>
        <v/>
      </c>
      <c r="BZ391" s="58">
        <f>IFERROR(IF(OR(BQ391=1,BQ391=2,BQ391=3),N(INDEX(Parameter!$I$5:$I$7,BQ391)),0),0)</f>
        <v/>
      </c>
    </row>
    <row r="392">
      <c r="A392" s="53" t="inlineStr">
        <is>
          <t>102012</t>
        </is>
      </c>
      <c r="B392" s="53" t="inlineStr">
        <is>
          <t>Stopfen</t>
        </is>
      </c>
      <c r="C392" s="53" t="inlineStr">
        <is>
          <t>F</t>
        </is>
      </c>
      <c r="D392" s="53" t="inlineStr">
        <is>
          <t>KTL</t>
        </is>
      </c>
      <c r="E392" s="53" t="inlineStr">
        <is>
          <t>C</t>
        </is>
      </c>
      <c r="F392" s="54" t="n">
        <v>5.28</v>
      </c>
      <c r="G392" s="55">
        <f>MAX(0,IF(Parameter!$B$20="Jahresanfang 2025 + Export",BG392+BF392,BF392))</f>
        <v/>
      </c>
      <c r="H392" s="55">
        <f>G392*F392</f>
        <v/>
      </c>
      <c r="I392" s="55">
        <f>BI392*Parameter!$B$18</f>
        <v/>
      </c>
      <c r="J392" s="56" t="n">
        <v>130.5</v>
      </c>
      <c r="K392" s="57" t="n">
        <v>4.482758620689655</v>
      </c>
      <c r="L392" s="55" t="n">
        <v>15</v>
      </c>
      <c r="M392" s="55" t="n">
        <v>200</v>
      </c>
      <c r="N392" s="58" t="n">
        <v>7</v>
      </c>
      <c r="O392" s="53" t="inlineStr">
        <is>
          <t>S32</t>
        </is>
      </c>
      <c r="P392" s="55" t="n">
        <v>231</v>
      </c>
      <c r="Q392" s="59">
        <f>IF(BO392=1,0,IFERROR(VLOOKUP(BM392,'Gebinde-Kategorie'!$A$5:$G$45,6,0)+0,0))</f>
        <v/>
      </c>
      <c r="R392" s="60" t="n"/>
      <c r="S392" s="61" t="n"/>
      <c r="T392" s="61" t="n"/>
      <c r="U392" s="53">
        <f>IF(A392="","",IF(IFERROR(VLOOKUP(D392,Parameter!$A$35:$C$64,2,0),"Nein")="2+3",IF(ISNUMBER(SEARCH("grosser Artikel",BJ392)),2,IFERROR(VLOOKUP(BM392,Parameter!$F$35:$G$64,2,0),2)),IF(OR(IFERROR(VLOOKUP(D392,Parameter!$A$35:$C$64,2,0),"Nein")="Nein",IFERROR(VLOOKUP(D392,Parameter!$A$35:$C$64,2,0),"Nein")=""),"-",VLOOKUP(D392,Parameter!$A$35:$C$64,2,0))))</f>
        <v/>
      </c>
      <c r="V392" s="61" t="n"/>
      <c r="W392" s="62" t="n"/>
      <c r="X392" s="55">
        <f>AM392</f>
        <v/>
      </c>
      <c r="Y392" s="55">
        <f>MAX(AM392,G392)</f>
        <v/>
      </c>
      <c r="Z392" s="63" t="n"/>
      <c r="AA392" s="55">
        <f>IF(LEFT(Cockpit!$C$5,1)="A",G392,IF(BT392=1,BU392,IF(LEFT(Cockpit!$C$5,1)="B",AE392,MAX(AE392,G392))))</f>
        <v/>
      </c>
      <c r="AB392" s="55">
        <f>IF(BO392=1,0,ROUNDUP(AA392/BN392,0))</f>
        <v/>
      </c>
      <c r="AC392" s="64">
        <f>IF(BO392=1,IF(AA392&lt;=0,0,BP392*MAX(1,IF(G392&gt;0,AA392/G392,1))),AB392*Q392)</f>
        <v/>
      </c>
      <c r="AD392" s="55">
        <f>AA392*F392</f>
        <v/>
      </c>
      <c r="AE392" s="55">
        <f>ROUNDUP(MAX(I392/IF(BS392&gt;0,BS392,MAX(0.1,N(Cockpit!$C$6))),BV392)/BN392,0)*BN392</f>
        <v/>
      </c>
      <c r="AF392" s="56">
        <f>IF(AC392&gt;0,I392/AC392,-1)</f>
        <v/>
      </c>
      <c r="AG392" s="56">
        <f>IF(AND(OR(BR392="L1",BR392="L23"),AC392&gt;0),SUMIFS($AC$7:$AC$1570,$BR$7:$BR$1570,BR392,$AF$7:$AF$1570,"&gt;"&amp;AF392)+SUMIFS($AC$7:$AC$1570,$BR$7:$BR$1570,BR392,$AF$7:$AF$1570,AF392,$BL$7:$BL$1570,"&lt;="&amp;BL392),"")</f>
        <v/>
      </c>
      <c r="AH392" s="65">
        <f>IF(AG392="",0,MAX(0,MIN(1,(IF(BR392="L1",Parameter!$K$5,Parameter!$K$6+Parameter!$K$7)-(AG392-AC392))/AC392)))</f>
        <v/>
      </c>
      <c r="AI392" s="55">
        <f>IF(LEFT(Cockpit!$I$5,1)="A",G392,IF(BT392=1,BU392,IF(LEFT(Cockpit!$I$5,1)="B",AM392,MAX(AM392,G392))))</f>
        <v/>
      </c>
      <c r="AJ392" s="55">
        <f>IF(BO392=1,0,ROUNDUP(AI392/BN392,0))</f>
        <v/>
      </c>
      <c r="AK392" s="64">
        <f>IF(BO392=1,IF(AI392&lt;=0,0,BP392*MAX(1,IF(G392&gt;0,AI392/G392,1))),AJ392*Q392)</f>
        <v/>
      </c>
      <c r="AL392" s="55">
        <f>AI392*F392</f>
        <v/>
      </c>
      <c r="AM392" s="55">
        <f>ROUNDUP(MAX(I392/IF(BS392&gt;0,BS392,MAX(0.1,N(Cockpit!$I$6))),BV392)/BN392,0)*BN392</f>
        <v/>
      </c>
      <c r="AN392" s="56">
        <f>IF(AK392&gt;0,I392/AK392,-1)</f>
        <v/>
      </c>
      <c r="AO392" s="56">
        <f>IF(AND(OR(BR392="L1",BR392="L23"),AK392&gt;0),SUMIFS($AK$7:$AK$1570,$BR$7:$BR$1570,BR392,$AN$7:$AN$1570,"&gt;"&amp;AN392)+SUMIFS($AK$7:$AK$1570,$BR$7:$BR$1570,BR392,$AN$7:$AN$1570,AN392,$BL$7:$BL$1570,"&lt;="&amp;BL392),"")</f>
        <v/>
      </c>
      <c r="AP392" s="65">
        <f>IF(AO392="",0,MAX(0,MIN(1,(IF(BR392="L1",Parameter!$K$5,Parameter!$K$6+Parameter!$K$7)-(AO392-AK392))/AK392)))</f>
        <v/>
      </c>
      <c r="AQ392" s="55">
        <f>IF(LEFT(Cockpit!$O$5,1)="A",G392,IF(BT392=1,BU392,IF(LEFT(Cockpit!$O$5,1)="B",AU392,MAX(AU392,G392))))</f>
        <v/>
      </c>
      <c r="AR392" s="55">
        <f>IF(BO392=1,0,ROUNDUP(AQ392/BN392,0))</f>
        <v/>
      </c>
      <c r="AS392" s="64">
        <f>IF(BO392=1,IF(AQ392&lt;=0,0,BP392*MAX(1,IF(G392&gt;0,AQ392/G392,1))),AR392*Q392)</f>
        <v/>
      </c>
      <c r="AT392" s="55">
        <f>AQ392*F392</f>
        <v/>
      </c>
      <c r="AU392" s="55">
        <f>ROUNDUP(MAX(I392/IF(BS392&gt;0,BS392,MAX(0.1,N(Cockpit!$O$6))),BV392)/BN392,0)*BN392</f>
        <v/>
      </c>
      <c r="AV392" s="56">
        <f>IF(AS392&gt;0,I392/AS392,-1)</f>
        <v/>
      </c>
      <c r="AW392" s="56">
        <f>IF(AND(OR(BR392="L1",BR392="L23"),AS392&gt;0),SUMIFS($AS$7:$AS$1570,$BR$7:$BR$1570,BR392,$AV$7:$AV$1570,"&gt;"&amp;AV392)+SUMIFS($AS$7:$AS$1570,$BR$7:$BR$1570,BR392,$AV$7:$AV$1570,AV392,$BL$7:$BL$1570,"&lt;="&amp;BL392),"")</f>
        <v/>
      </c>
      <c r="AX392" s="65">
        <f>IF(AW392="",0,MAX(0,MIN(1,(IF(BR392="L1",Parameter!$K$5,Parameter!$K$6+Parameter!$K$7)-(AW392-AS392))/AS392)))</f>
        <v/>
      </c>
      <c r="AY392" s="53">
        <f>IF(AC392&lt;=0,"",IF(BR392="Aussen","Aussenlager",IF(BR392="-","Nicht im Lift",IF(AH392&gt;=1,"Lift",IF(AH392&lt;=0,"Aussenlager","teilweise")))))</f>
        <v/>
      </c>
      <c r="AZ392" s="53">
        <f>IF(AK392&lt;=0,"",IF(BR392="Aussen","Aussenlager",IF(BR392="-","Nicht im Lift",IF(AP392&gt;=1,"Lift",IF(AP392&lt;=0,"Aussenlager","teilweise")))))</f>
        <v/>
      </c>
      <c r="BA392" s="53">
        <f>IF(AS392&lt;=0,"",IF(BR392="Aussen","Aussenlager",IF(BR392="-","Nicht im Lift",IF(AX392&gt;=1,"Lift",IF(AX392&lt;=0,"Aussenlager","teilweise")))))</f>
        <v/>
      </c>
      <c r="BB392" s="53">
        <f>IF(A392="","",IF(BK392=1,"Neu; ","")&amp;IF(AND(BK392=0,BF392&lt;0),"negativer Bestand (Export "&amp;BF392&amp;"); ","")&amp;IF(I392&lt;=0,"Kein Verbrauch; ","")&amp;IF(BO392=1,"Lose – Fläche geschätzt; ","")&amp;IF(G392&gt;AM392,"Überbestand "&amp;ROUND(G392-AM392,0)&amp;" Stk / CHF "&amp;ROUND((G392-AM392)*F392,0)&amp;"; ","")&amp;IF(AND(BT392=1,BU392&lt;BV392),"MAX &lt; MB+LG; ","")&amp;IF(AND(BZ392&gt;0,BY392*10&gt;BZ392),"zu hoch für Tablar; ","")&amp;IF(AND(BK392=0,OR(BT392=1,V392&lt;&gt;"",S392&lt;&gt;"",T392&lt;&gt;"",W392&lt;&gt;"")),"manuell übersteuert; ","")&amp;IF(AND(BO392=0,Q392=0),"Gebinde unbekannt; ","")&amp;IF(AND(BO392=0,N(T392)&lt;=0,N(P392)&lt;=0),"Menge pro Gebinde fehlt (Ist = 1 Gebinde); ","")&amp;BJ392)</f>
        <v/>
      </c>
      <c r="BC392" s="53" t="n"/>
      <c r="BD392" s="53" t="n"/>
      <c r="BE392" s="61" t="n"/>
      <c r="BF392" s="55" t="n">
        <v>23</v>
      </c>
      <c r="BG392" s="55" t="n">
        <v>127</v>
      </c>
      <c r="BH392" s="54" t="n">
        <v>120.28</v>
      </c>
      <c r="BI392" s="55" t="n">
        <v>585</v>
      </c>
      <c r="BJ392" s="53" t="inlineStr"/>
      <c r="BK392" s="58" t="n">
        <v>0</v>
      </c>
      <c r="BL392" s="58" t="n">
        <v>392</v>
      </c>
      <c r="BM392" s="53">
        <f>IF(S392&lt;&gt;"",UPPER(TRIM(S392)),IF(O392="","LOSE",O392))</f>
        <v/>
      </c>
      <c r="BN392" s="55">
        <f>IF(BM392="LOSE",1,IF(N(T392)&gt;0,T392,IF(N(P392)&gt;0,P392,MAX(1,G392))))</f>
        <v/>
      </c>
      <c r="BO392" s="58">
        <f>IF(BM392="LOSE",1,0)</f>
        <v/>
      </c>
      <c r="BP392" s="64">
        <f>IF(BO392=0,0,IF(N(R392)&gt;0,R392,IFERROR(VLOOKUP(D392,Parameter!$A$35:$C$64,3,0)+0,0)))</f>
        <v/>
      </c>
      <c r="BQ392" s="53">
        <f>IF(V392&lt;&gt;"",V392,U392)</f>
        <v/>
      </c>
      <c r="BR392" s="53">
        <f>IF(BQ392=1,"L1",IF(OR(BQ392=2,BQ392=3),"L23",IF(BQ392="Aussen","Aussen","-")))</f>
        <v/>
      </c>
      <c r="BS392" s="66">
        <f>IF(N(W392)&gt;0,W392,0)</f>
        <v/>
      </c>
      <c r="BT392" s="58">
        <f>IF(ISNUMBER(Z392),1,0)</f>
        <v/>
      </c>
      <c r="BU392" s="55">
        <f>N(Z392)</f>
        <v/>
      </c>
      <c r="BV392" s="55">
        <f>N(L392)+N(M392)</f>
        <v/>
      </c>
      <c r="BW392" s="55">
        <f>ROUNDUP(G392/BN392,0)</f>
        <v/>
      </c>
      <c r="BX392" s="55">
        <f>ROUNDUP(BU392/BN392,0)</f>
        <v/>
      </c>
      <c r="BY392" s="58">
        <f>IF(BO392=1,0,IFERROR(VLOOKUP(BM392,'Gebinde-Kategorie'!$A$5:$G$45,5,0)+0,0))</f>
        <v/>
      </c>
      <c r="BZ392" s="58">
        <f>IFERROR(IF(OR(BQ392=1,BQ392=2,BQ392=3),N(INDEX(Parameter!$I$5:$I$7,BQ392)),0),0)</f>
        <v/>
      </c>
    </row>
    <row r="393">
      <c r="A393" s="53" t="inlineStr">
        <is>
          <t>105575</t>
        </is>
      </c>
      <c r="B393" s="53" t="inlineStr">
        <is>
          <t>Wasserfester Filzstift</t>
        </is>
      </c>
      <c r="C393" s="53" t="inlineStr">
        <is>
          <t>F</t>
        </is>
      </c>
      <c r="D393" s="53" t="inlineStr">
        <is>
          <t>KTL</t>
        </is>
      </c>
      <c r="E393" s="53" t="inlineStr">
        <is>
          <t>C</t>
        </is>
      </c>
      <c r="F393" s="54" t="n">
        <v>3.4</v>
      </c>
      <c r="G393" s="55">
        <f>MAX(0,IF(Parameter!$B$20="Jahresanfang 2025 + Export",BG393+BF393,BF393))</f>
        <v/>
      </c>
      <c r="H393" s="55">
        <f>G393*F393</f>
        <v/>
      </c>
      <c r="I393" s="55">
        <f>BI393*Parameter!$B$18</f>
        <v/>
      </c>
      <c r="J393" s="56" t="n">
        <v>11</v>
      </c>
      <c r="K393" s="57" t="n">
        <v>4</v>
      </c>
      <c r="L393" s="55" t="n">
        <v>2</v>
      </c>
      <c r="M393" s="55" t="n">
        <v>45</v>
      </c>
      <c r="N393" s="58" t="n">
        <v>20</v>
      </c>
      <c r="O393" s="53" t="inlineStr">
        <is>
          <t>S41</t>
        </is>
      </c>
      <c r="P393" s="55" t="n">
        <v>42</v>
      </c>
      <c r="Q393" s="59">
        <f>IF(BO393=1,0,IFERROR(VLOOKUP(BM393,'Gebinde-Kategorie'!$A$5:$G$45,6,0)+0,0))</f>
        <v/>
      </c>
      <c r="R393" s="60" t="n"/>
      <c r="S393" s="61" t="n"/>
      <c r="T393" s="61" t="n"/>
      <c r="U393" s="53">
        <f>IF(A393="","",IF(IFERROR(VLOOKUP(D393,Parameter!$A$35:$C$64,2,0),"Nein")="2+3",IF(ISNUMBER(SEARCH("grosser Artikel",BJ393)),2,IFERROR(VLOOKUP(BM393,Parameter!$F$35:$G$64,2,0),2)),IF(OR(IFERROR(VLOOKUP(D393,Parameter!$A$35:$C$64,2,0),"Nein")="Nein",IFERROR(VLOOKUP(D393,Parameter!$A$35:$C$64,2,0),"Nein")=""),"-",VLOOKUP(D393,Parameter!$A$35:$C$64,2,0))))</f>
        <v/>
      </c>
      <c r="V393" s="61" t="n"/>
      <c r="W393" s="62" t="n"/>
      <c r="X393" s="55">
        <f>AM393</f>
        <v/>
      </c>
      <c r="Y393" s="55">
        <f>MAX(AM393,G393)</f>
        <v/>
      </c>
      <c r="Z393" s="63" t="n"/>
      <c r="AA393" s="55">
        <f>IF(LEFT(Cockpit!$C$5,1)="A",G393,IF(BT393=1,BU393,IF(LEFT(Cockpit!$C$5,1)="B",AE393,MAX(AE393,G393))))</f>
        <v/>
      </c>
      <c r="AB393" s="55">
        <f>IF(BO393=1,0,ROUNDUP(AA393/BN393,0))</f>
        <v/>
      </c>
      <c r="AC393" s="64">
        <f>IF(BO393=1,IF(AA393&lt;=0,0,BP393*MAX(1,IF(G393&gt;0,AA393/G393,1))),AB393*Q393)</f>
        <v/>
      </c>
      <c r="AD393" s="55">
        <f>AA393*F393</f>
        <v/>
      </c>
      <c r="AE393" s="55">
        <f>ROUNDUP(MAX(I393/IF(BS393&gt;0,BS393,MAX(0.1,N(Cockpit!$C$6))),BV393)/BN393,0)*BN393</f>
        <v/>
      </c>
      <c r="AF393" s="56">
        <f>IF(AC393&gt;0,I393/AC393,-1)</f>
        <v/>
      </c>
      <c r="AG393" s="56">
        <f>IF(AND(OR(BR393="L1",BR393="L23"),AC393&gt;0),SUMIFS($AC$7:$AC$1570,$BR$7:$BR$1570,BR393,$AF$7:$AF$1570,"&gt;"&amp;AF393)+SUMIFS($AC$7:$AC$1570,$BR$7:$BR$1570,BR393,$AF$7:$AF$1570,AF393,$BL$7:$BL$1570,"&lt;="&amp;BL393),"")</f>
        <v/>
      </c>
      <c r="AH393" s="65">
        <f>IF(AG393="",0,MAX(0,MIN(1,(IF(BR393="L1",Parameter!$K$5,Parameter!$K$6+Parameter!$K$7)-(AG393-AC393))/AC393)))</f>
        <v/>
      </c>
      <c r="AI393" s="55">
        <f>IF(LEFT(Cockpit!$I$5,1)="A",G393,IF(BT393=1,BU393,IF(LEFT(Cockpit!$I$5,1)="B",AM393,MAX(AM393,G393))))</f>
        <v/>
      </c>
      <c r="AJ393" s="55">
        <f>IF(BO393=1,0,ROUNDUP(AI393/BN393,0))</f>
        <v/>
      </c>
      <c r="AK393" s="64">
        <f>IF(BO393=1,IF(AI393&lt;=0,0,BP393*MAX(1,IF(G393&gt;0,AI393/G393,1))),AJ393*Q393)</f>
        <v/>
      </c>
      <c r="AL393" s="55">
        <f>AI393*F393</f>
        <v/>
      </c>
      <c r="AM393" s="55">
        <f>ROUNDUP(MAX(I393/IF(BS393&gt;0,BS393,MAX(0.1,N(Cockpit!$I$6))),BV393)/BN393,0)*BN393</f>
        <v/>
      </c>
      <c r="AN393" s="56">
        <f>IF(AK393&gt;0,I393/AK393,-1)</f>
        <v/>
      </c>
      <c r="AO393" s="56">
        <f>IF(AND(OR(BR393="L1",BR393="L23"),AK393&gt;0),SUMIFS($AK$7:$AK$1570,$BR$7:$BR$1570,BR393,$AN$7:$AN$1570,"&gt;"&amp;AN393)+SUMIFS($AK$7:$AK$1570,$BR$7:$BR$1570,BR393,$AN$7:$AN$1570,AN393,$BL$7:$BL$1570,"&lt;="&amp;BL393),"")</f>
        <v/>
      </c>
      <c r="AP393" s="65">
        <f>IF(AO393="",0,MAX(0,MIN(1,(IF(BR393="L1",Parameter!$K$5,Parameter!$K$6+Parameter!$K$7)-(AO393-AK393))/AK393)))</f>
        <v/>
      </c>
      <c r="AQ393" s="55">
        <f>IF(LEFT(Cockpit!$O$5,1)="A",G393,IF(BT393=1,BU393,IF(LEFT(Cockpit!$O$5,1)="B",AU393,MAX(AU393,G393))))</f>
        <v/>
      </c>
      <c r="AR393" s="55">
        <f>IF(BO393=1,0,ROUNDUP(AQ393/BN393,0))</f>
        <v/>
      </c>
      <c r="AS393" s="64">
        <f>IF(BO393=1,IF(AQ393&lt;=0,0,BP393*MAX(1,IF(G393&gt;0,AQ393/G393,1))),AR393*Q393)</f>
        <v/>
      </c>
      <c r="AT393" s="55">
        <f>AQ393*F393</f>
        <v/>
      </c>
      <c r="AU393" s="55">
        <f>ROUNDUP(MAX(I393/IF(BS393&gt;0,BS393,MAX(0.1,N(Cockpit!$O$6))),BV393)/BN393,0)*BN393</f>
        <v/>
      </c>
      <c r="AV393" s="56">
        <f>IF(AS393&gt;0,I393/AS393,-1)</f>
        <v/>
      </c>
      <c r="AW393" s="56">
        <f>IF(AND(OR(BR393="L1",BR393="L23"),AS393&gt;0),SUMIFS($AS$7:$AS$1570,$BR$7:$BR$1570,BR393,$AV$7:$AV$1570,"&gt;"&amp;AV393)+SUMIFS($AS$7:$AS$1570,$BR$7:$BR$1570,BR393,$AV$7:$AV$1570,AV393,$BL$7:$BL$1570,"&lt;="&amp;BL393),"")</f>
        <v/>
      </c>
      <c r="AX393" s="65">
        <f>IF(AW393="",0,MAX(0,MIN(1,(IF(BR393="L1",Parameter!$K$5,Parameter!$K$6+Parameter!$K$7)-(AW393-AS393))/AS393)))</f>
        <v/>
      </c>
      <c r="AY393" s="53">
        <f>IF(AC393&lt;=0,"",IF(BR393="Aussen","Aussenlager",IF(BR393="-","Nicht im Lift",IF(AH393&gt;=1,"Lift",IF(AH393&lt;=0,"Aussenlager","teilweise")))))</f>
        <v/>
      </c>
      <c r="AZ393" s="53">
        <f>IF(AK393&lt;=0,"",IF(BR393="Aussen","Aussenlager",IF(BR393="-","Nicht im Lift",IF(AP393&gt;=1,"Lift",IF(AP393&lt;=0,"Aussenlager","teilweise")))))</f>
        <v/>
      </c>
      <c r="BA393" s="53">
        <f>IF(AS393&lt;=0,"",IF(BR393="Aussen","Aussenlager",IF(BR393="-","Nicht im Lift",IF(AX393&gt;=1,"Lift",IF(AX393&lt;=0,"Aussenlager","teilweise")))))</f>
        <v/>
      </c>
      <c r="BB393" s="53">
        <f>IF(A393="","",IF(BK393=1,"Neu; ","")&amp;IF(AND(BK393=0,BF393&lt;0),"negativer Bestand (Export "&amp;BF393&amp;"); ","")&amp;IF(I393&lt;=0,"Kein Verbrauch; ","")&amp;IF(BO393=1,"Lose – Fläche geschätzt; ","")&amp;IF(G393&gt;AM393,"Überbestand "&amp;ROUND(G393-AM393,0)&amp;" Stk / CHF "&amp;ROUND((G393-AM393)*F393,0)&amp;"; ","")&amp;IF(AND(BT393=1,BU393&lt;BV393),"MAX &lt; MB+LG; ","")&amp;IF(AND(BZ393&gt;0,BY393*10&gt;BZ393),"zu hoch für Tablar; ","")&amp;IF(AND(BK393=0,OR(BT393=1,V393&lt;&gt;"",S393&lt;&gt;"",T393&lt;&gt;"",W393&lt;&gt;"")),"manuell übersteuert; ","")&amp;IF(AND(BO393=0,Q393=0),"Gebinde unbekannt; ","")&amp;IF(AND(BO393=0,N(T393)&lt;=0,N(P393)&lt;=0),"Menge pro Gebinde fehlt (Ist = 1 Gebinde); ","")&amp;BJ393)</f>
        <v/>
      </c>
      <c r="BC393" s="53" t="n"/>
      <c r="BD393" s="53" t="n"/>
      <c r="BE393" s="61" t="n"/>
      <c r="BF393" s="55" t="n">
        <v>34</v>
      </c>
      <c r="BG393" s="55" t="n">
        <v>6</v>
      </c>
      <c r="BH393" s="54" t="n">
        <v>116.32</v>
      </c>
      <c r="BI393" s="55" t="n">
        <v>44</v>
      </c>
      <c r="BJ393" s="53" t="inlineStr"/>
      <c r="BK393" s="58" t="n">
        <v>0</v>
      </c>
      <c r="BL393" s="58" t="n">
        <v>393</v>
      </c>
      <c r="BM393" s="53">
        <f>IF(S393&lt;&gt;"",UPPER(TRIM(S393)),IF(O393="","LOSE",O393))</f>
        <v/>
      </c>
      <c r="BN393" s="55">
        <f>IF(BM393="LOSE",1,IF(N(T393)&gt;0,T393,IF(N(P393)&gt;0,P393,MAX(1,G393))))</f>
        <v/>
      </c>
      <c r="BO393" s="58">
        <f>IF(BM393="LOSE",1,0)</f>
        <v/>
      </c>
      <c r="BP393" s="64">
        <f>IF(BO393=0,0,IF(N(R393)&gt;0,R393,IFERROR(VLOOKUP(D393,Parameter!$A$35:$C$64,3,0)+0,0)))</f>
        <v/>
      </c>
      <c r="BQ393" s="53">
        <f>IF(V393&lt;&gt;"",V393,U393)</f>
        <v/>
      </c>
      <c r="BR393" s="53">
        <f>IF(BQ393=1,"L1",IF(OR(BQ393=2,BQ393=3),"L23",IF(BQ393="Aussen","Aussen","-")))</f>
        <v/>
      </c>
      <c r="BS393" s="66">
        <f>IF(N(W393)&gt;0,W393,0)</f>
        <v/>
      </c>
      <c r="BT393" s="58">
        <f>IF(ISNUMBER(Z393),1,0)</f>
        <v/>
      </c>
      <c r="BU393" s="55">
        <f>N(Z393)</f>
        <v/>
      </c>
      <c r="BV393" s="55">
        <f>N(L393)+N(M393)</f>
        <v/>
      </c>
      <c r="BW393" s="55">
        <f>ROUNDUP(G393/BN393,0)</f>
        <v/>
      </c>
      <c r="BX393" s="55">
        <f>ROUNDUP(BU393/BN393,0)</f>
        <v/>
      </c>
      <c r="BY393" s="58">
        <f>IF(BO393=1,0,IFERROR(VLOOKUP(BM393,'Gebinde-Kategorie'!$A$5:$G$45,5,0)+0,0))</f>
        <v/>
      </c>
      <c r="BZ393" s="58">
        <f>IFERROR(IF(OR(BQ393=1,BQ393=2,BQ393=3),N(INDEX(Parameter!$I$5:$I$7,BQ393)),0),0)</f>
        <v/>
      </c>
    </row>
    <row r="394">
      <c r="A394" s="53" t="inlineStr">
        <is>
          <t>107060</t>
        </is>
      </c>
      <c r="B394" s="53" t="inlineStr">
        <is>
          <t>Ringmagnet</t>
        </is>
      </c>
      <c r="C394" s="53" t="inlineStr">
        <is>
          <t>F</t>
        </is>
      </c>
      <c r="D394" s="53" t="inlineStr">
        <is>
          <t>KTL</t>
        </is>
      </c>
      <c r="E394" s="53" t="inlineStr">
        <is>
          <t>C</t>
        </is>
      </c>
      <c r="F394" s="54" t="n">
        <v>2.18</v>
      </c>
      <c r="G394" s="55">
        <f>MAX(0,IF(Parameter!$B$20="Jahresanfang 2025 + Export",BG394+BF394,BF394))</f>
        <v/>
      </c>
      <c r="H394" s="55">
        <f>G394*F394</f>
        <v/>
      </c>
      <c r="I394" s="55">
        <f>BI394*Parameter!$B$18</f>
        <v/>
      </c>
      <c r="J394" s="56" t="n">
        <v>41.5</v>
      </c>
      <c r="K394" s="57" t="n">
        <v>3.036144578313253</v>
      </c>
      <c r="L394" s="55" t="n">
        <v>4</v>
      </c>
      <c r="M394" s="55" t="n">
        <v>125</v>
      </c>
      <c r="N394" s="58" t="n">
        <v>14</v>
      </c>
      <c r="O394" s="53" t="inlineStr">
        <is>
          <t>S33</t>
        </is>
      </c>
      <c r="P394" s="55" t="n">
        <v>79</v>
      </c>
      <c r="Q394" s="59">
        <f>IF(BO394=1,0,IFERROR(VLOOKUP(BM394,'Gebinde-Kategorie'!$A$5:$G$45,6,0)+0,0))</f>
        <v/>
      </c>
      <c r="R394" s="60" t="n"/>
      <c r="S394" s="61" t="n"/>
      <c r="T394" s="61" t="n"/>
      <c r="U394" s="53">
        <f>IF(A394="","",IF(IFERROR(VLOOKUP(D394,Parameter!$A$35:$C$64,2,0),"Nein")="2+3",IF(ISNUMBER(SEARCH("grosser Artikel",BJ394)),2,IFERROR(VLOOKUP(BM394,Parameter!$F$35:$G$64,2,0),2)),IF(OR(IFERROR(VLOOKUP(D394,Parameter!$A$35:$C$64,2,0),"Nein")="Nein",IFERROR(VLOOKUP(D394,Parameter!$A$35:$C$64,2,0),"Nein")=""),"-",VLOOKUP(D394,Parameter!$A$35:$C$64,2,0))))</f>
        <v/>
      </c>
      <c r="V394" s="61" t="n"/>
      <c r="W394" s="62" t="n"/>
      <c r="X394" s="55">
        <f>AM394</f>
        <v/>
      </c>
      <c r="Y394" s="55">
        <f>MAX(AM394,G394)</f>
        <v/>
      </c>
      <c r="Z394" s="63" t="n"/>
      <c r="AA394" s="55">
        <f>IF(LEFT(Cockpit!$C$5,1)="A",G394,IF(BT394=1,BU394,IF(LEFT(Cockpit!$C$5,1)="B",AE394,MAX(AE394,G394))))</f>
        <v/>
      </c>
      <c r="AB394" s="55">
        <f>IF(BO394=1,0,ROUNDUP(AA394/BN394,0))</f>
        <v/>
      </c>
      <c r="AC394" s="64">
        <f>IF(BO394=1,IF(AA394&lt;=0,0,BP394*MAX(1,IF(G394&gt;0,AA394/G394,1))),AB394*Q394)</f>
        <v/>
      </c>
      <c r="AD394" s="55">
        <f>AA394*F394</f>
        <v/>
      </c>
      <c r="AE394" s="55">
        <f>ROUNDUP(MAX(I394/IF(BS394&gt;0,BS394,MAX(0.1,N(Cockpit!$C$6))),BV394)/BN394,0)*BN394</f>
        <v/>
      </c>
      <c r="AF394" s="56">
        <f>IF(AC394&gt;0,I394/AC394,-1)</f>
        <v/>
      </c>
      <c r="AG394" s="56">
        <f>IF(AND(OR(BR394="L1",BR394="L23"),AC394&gt;0),SUMIFS($AC$7:$AC$1570,$BR$7:$BR$1570,BR394,$AF$7:$AF$1570,"&gt;"&amp;AF394)+SUMIFS($AC$7:$AC$1570,$BR$7:$BR$1570,BR394,$AF$7:$AF$1570,AF394,$BL$7:$BL$1570,"&lt;="&amp;BL394),"")</f>
        <v/>
      </c>
      <c r="AH394" s="65">
        <f>IF(AG394="",0,MAX(0,MIN(1,(IF(BR394="L1",Parameter!$K$5,Parameter!$K$6+Parameter!$K$7)-(AG394-AC394))/AC394)))</f>
        <v/>
      </c>
      <c r="AI394" s="55">
        <f>IF(LEFT(Cockpit!$I$5,1)="A",G394,IF(BT394=1,BU394,IF(LEFT(Cockpit!$I$5,1)="B",AM394,MAX(AM394,G394))))</f>
        <v/>
      </c>
      <c r="AJ394" s="55">
        <f>IF(BO394=1,0,ROUNDUP(AI394/BN394,0))</f>
        <v/>
      </c>
      <c r="AK394" s="64">
        <f>IF(BO394=1,IF(AI394&lt;=0,0,BP394*MAX(1,IF(G394&gt;0,AI394/G394,1))),AJ394*Q394)</f>
        <v/>
      </c>
      <c r="AL394" s="55">
        <f>AI394*F394</f>
        <v/>
      </c>
      <c r="AM394" s="55">
        <f>ROUNDUP(MAX(I394/IF(BS394&gt;0,BS394,MAX(0.1,N(Cockpit!$I$6))),BV394)/BN394,0)*BN394</f>
        <v/>
      </c>
      <c r="AN394" s="56">
        <f>IF(AK394&gt;0,I394/AK394,-1)</f>
        <v/>
      </c>
      <c r="AO394" s="56">
        <f>IF(AND(OR(BR394="L1",BR394="L23"),AK394&gt;0),SUMIFS($AK$7:$AK$1570,$BR$7:$BR$1570,BR394,$AN$7:$AN$1570,"&gt;"&amp;AN394)+SUMIFS($AK$7:$AK$1570,$BR$7:$BR$1570,BR394,$AN$7:$AN$1570,AN394,$BL$7:$BL$1570,"&lt;="&amp;BL394),"")</f>
        <v/>
      </c>
      <c r="AP394" s="65">
        <f>IF(AO394="",0,MAX(0,MIN(1,(IF(BR394="L1",Parameter!$K$5,Parameter!$K$6+Parameter!$K$7)-(AO394-AK394))/AK394)))</f>
        <v/>
      </c>
      <c r="AQ394" s="55">
        <f>IF(LEFT(Cockpit!$O$5,1)="A",G394,IF(BT394=1,BU394,IF(LEFT(Cockpit!$O$5,1)="B",AU394,MAX(AU394,G394))))</f>
        <v/>
      </c>
      <c r="AR394" s="55">
        <f>IF(BO394=1,0,ROUNDUP(AQ394/BN394,0))</f>
        <v/>
      </c>
      <c r="AS394" s="64">
        <f>IF(BO394=1,IF(AQ394&lt;=0,0,BP394*MAX(1,IF(G394&gt;0,AQ394/G394,1))),AR394*Q394)</f>
        <v/>
      </c>
      <c r="AT394" s="55">
        <f>AQ394*F394</f>
        <v/>
      </c>
      <c r="AU394" s="55">
        <f>ROUNDUP(MAX(I394/IF(BS394&gt;0,BS394,MAX(0.1,N(Cockpit!$O$6))),BV394)/BN394,0)*BN394</f>
        <v/>
      </c>
      <c r="AV394" s="56">
        <f>IF(AS394&gt;0,I394/AS394,-1)</f>
        <v/>
      </c>
      <c r="AW394" s="56">
        <f>IF(AND(OR(BR394="L1",BR394="L23"),AS394&gt;0),SUMIFS($AS$7:$AS$1570,$BR$7:$BR$1570,BR394,$AV$7:$AV$1570,"&gt;"&amp;AV394)+SUMIFS($AS$7:$AS$1570,$BR$7:$BR$1570,BR394,$AV$7:$AV$1570,AV394,$BL$7:$BL$1570,"&lt;="&amp;BL394),"")</f>
        <v/>
      </c>
      <c r="AX394" s="65">
        <f>IF(AW394="",0,MAX(0,MIN(1,(IF(BR394="L1",Parameter!$K$5,Parameter!$K$6+Parameter!$K$7)-(AW394-AS394))/AS394)))</f>
        <v/>
      </c>
      <c r="AY394" s="53">
        <f>IF(AC394&lt;=0,"",IF(BR394="Aussen","Aussenlager",IF(BR394="-","Nicht im Lift",IF(AH394&gt;=1,"Lift",IF(AH394&lt;=0,"Aussenlager","teilweise")))))</f>
        <v/>
      </c>
      <c r="AZ394" s="53">
        <f>IF(AK394&lt;=0,"",IF(BR394="Aussen","Aussenlager",IF(BR394="-","Nicht im Lift",IF(AP394&gt;=1,"Lift",IF(AP394&lt;=0,"Aussenlager","teilweise")))))</f>
        <v/>
      </c>
      <c r="BA394" s="53">
        <f>IF(AS394&lt;=0,"",IF(BR394="Aussen","Aussenlager",IF(BR394="-","Nicht im Lift",IF(AX394&gt;=1,"Lift",IF(AX394&lt;=0,"Aussenlager","teilweise")))))</f>
        <v/>
      </c>
      <c r="BB394" s="53">
        <f>IF(A394="","",IF(BK394=1,"Neu; ","")&amp;IF(AND(BK394=0,BF394&lt;0),"negativer Bestand (Export "&amp;BF394&amp;"); ","")&amp;IF(I394&lt;=0,"Kein Verbrauch; ","")&amp;IF(BO394=1,"Lose – Fläche geschätzt; ","")&amp;IF(G394&gt;AM394,"Überbestand "&amp;ROUND(G394-AM394,0)&amp;" Stk / CHF "&amp;ROUND((G394-AM394)*F394,0)&amp;"; ","")&amp;IF(AND(BT394=1,BU394&lt;BV394),"MAX &lt; MB+LG; ","")&amp;IF(AND(BZ394&gt;0,BY394*10&gt;BZ394),"zu hoch für Tablar; ","")&amp;IF(AND(BK394=0,OR(BT394=1,V394&lt;&gt;"",S394&lt;&gt;"",T394&lt;&gt;"",W394&lt;&gt;"")),"manuell übersteuert; ","")&amp;IF(AND(BO394=0,Q394=0),"Gebinde unbekannt; ","")&amp;IF(AND(BO394=0,N(T394)&lt;=0,N(P394)&lt;=0),"Menge pro Gebinde fehlt (Ist = 1 Gebinde); ","")&amp;BJ394)</f>
        <v/>
      </c>
      <c r="BC394" s="53" t="n"/>
      <c r="BD394" s="53" t="n"/>
      <c r="BE394" s="61" t="n"/>
      <c r="BF394" s="55" t="n">
        <v>54</v>
      </c>
      <c r="BG394" s="55" t="n">
        <v>57</v>
      </c>
      <c r="BH394" s="54" t="n">
        <v>115.44</v>
      </c>
      <c r="BI394" s="55" t="n">
        <v>126</v>
      </c>
      <c r="BJ394" s="53" t="inlineStr"/>
      <c r="BK394" s="58" t="n">
        <v>0</v>
      </c>
      <c r="BL394" s="58" t="n">
        <v>394</v>
      </c>
      <c r="BM394" s="53">
        <f>IF(S394&lt;&gt;"",UPPER(TRIM(S394)),IF(O394="","LOSE",O394))</f>
        <v/>
      </c>
      <c r="BN394" s="55">
        <f>IF(BM394="LOSE",1,IF(N(T394)&gt;0,T394,IF(N(P394)&gt;0,P394,MAX(1,G394))))</f>
        <v/>
      </c>
      <c r="BO394" s="58">
        <f>IF(BM394="LOSE",1,0)</f>
        <v/>
      </c>
      <c r="BP394" s="64">
        <f>IF(BO394=0,0,IF(N(R394)&gt;0,R394,IFERROR(VLOOKUP(D394,Parameter!$A$35:$C$64,3,0)+0,0)))</f>
        <v/>
      </c>
      <c r="BQ394" s="53">
        <f>IF(V394&lt;&gt;"",V394,U394)</f>
        <v/>
      </c>
      <c r="BR394" s="53">
        <f>IF(BQ394=1,"L1",IF(OR(BQ394=2,BQ394=3),"L23",IF(BQ394="Aussen","Aussen","-")))</f>
        <v/>
      </c>
      <c r="BS394" s="66">
        <f>IF(N(W394)&gt;0,W394,0)</f>
        <v/>
      </c>
      <c r="BT394" s="58">
        <f>IF(ISNUMBER(Z394),1,0)</f>
        <v/>
      </c>
      <c r="BU394" s="55">
        <f>N(Z394)</f>
        <v/>
      </c>
      <c r="BV394" s="55">
        <f>N(L394)+N(M394)</f>
        <v/>
      </c>
      <c r="BW394" s="55">
        <f>ROUNDUP(G394/BN394,0)</f>
        <v/>
      </c>
      <c r="BX394" s="55">
        <f>ROUNDUP(BU394/BN394,0)</f>
        <v/>
      </c>
      <c r="BY394" s="58">
        <f>IF(BO394=1,0,IFERROR(VLOOKUP(BM394,'Gebinde-Kategorie'!$A$5:$G$45,5,0)+0,0))</f>
        <v/>
      </c>
      <c r="BZ394" s="58">
        <f>IFERROR(IF(OR(BQ394=1,BQ394=2,BQ394=3),N(INDEX(Parameter!$I$5:$I$7,BQ394)),0),0)</f>
        <v/>
      </c>
    </row>
    <row r="395">
      <c r="A395" s="53" t="inlineStr">
        <is>
          <t>110683</t>
        </is>
      </c>
      <c r="B395" s="53" t="inlineStr">
        <is>
          <t>Adapter</t>
        </is>
      </c>
      <c r="C395" s="53" t="inlineStr">
        <is>
          <t>F</t>
        </is>
      </c>
      <c r="D395" s="53" t="inlineStr">
        <is>
          <t>PAL</t>
        </is>
      </c>
      <c r="E395" s="53" t="inlineStr">
        <is>
          <t>C</t>
        </is>
      </c>
      <c r="F395" s="54" t="n">
        <v>12.74</v>
      </c>
      <c r="G395" s="55">
        <f>MAX(0,IF(Parameter!$B$20="Jahresanfang 2025 + Export",BG395+BF395,BF395))</f>
        <v/>
      </c>
      <c r="H395" s="55">
        <f>G395*F395</f>
        <v/>
      </c>
      <c r="I395" s="55">
        <f>BI395*Parameter!$B$18</f>
        <v/>
      </c>
      <c r="J395" s="56" t="n">
        <v>0</v>
      </c>
      <c r="K395" s="57" t="n">
        <v>0</v>
      </c>
      <c r="L395" s="55" t="n">
        <v>0</v>
      </c>
      <c r="M395" s="55" t="n">
        <v>10</v>
      </c>
      <c r="N395" s="58" t="n">
        <v>14</v>
      </c>
      <c r="O395" s="53" t="inlineStr">
        <is>
          <t>LOSE</t>
        </is>
      </c>
      <c r="P395" s="55" t="n"/>
      <c r="Q395" s="59">
        <f>IF(BO395=1,0,IFERROR(VLOOKUP(BM395,'Gebinde-Kategorie'!$A$5:$G$45,6,0)+0,0))</f>
        <v/>
      </c>
      <c r="R395" s="60" t="n"/>
      <c r="S395" s="61" t="n"/>
      <c r="T395" s="61" t="n"/>
      <c r="U395" s="53">
        <f>IF(A395="","",IF(IFERROR(VLOOKUP(D395,Parameter!$A$35:$C$64,2,0),"Nein")="2+3",IF(ISNUMBER(SEARCH("grosser Artikel",BJ395)),2,IFERROR(VLOOKUP(BM395,Parameter!$F$35:$G$64,2,0),2)),IF(OR(IFERROR(VLOOKUP(D395,Parameter!$A$35:$C$64,2,0),"Nein")="Nein",IFERROR(VLOOKUP(D395,Parameter!$A$35:$C$64,2,0),"Nein")=""),"-",VLOOKUP(D395,Parameter!$A$35:$C$64,2,0))))</f>
        <v/>
      </c>
      <c r="V395" s="61" t="n"/>
      <c r="W395" s="62" t="n"/>
      <c r="X395" s="55">
        <f>AM395</f>
        <v/>
      </c>
      <c r="Y395" s="55">
        <f>MAX(AM395,G395)</f>
        <v/>
      </c>
      <c r="Z395" s="63" t="n"/>
      <c r="AA395" s="55">
        <f>IF(LEFT(Cockpit!$C$5,1)="A",G395,IF(BT395=1,BU395,IF(LEFT(Cockpit!$C$5,1)="B",AE395,MAX(AE395,G395))))</f>
        <v/>
      </c>
      <c r="AB395" s="55">
        <f>IF(BO395=1,0,ROUNDUP(AA395/BN395,0))</f>
        <v/>
      </c>
      <c r="AC395" s="64">
        <f>IF(BO395=1,IF(AA395&lt;=0,0,BP395*MAX(1,IF(G395&gt;0,AA395/G395,1))),AB395*Q395)</f>
        <v/>
      </c>
      <c r="AD395" s="55">
        <f>AA395*F395</f>
        <v/>
      </c>
      <c r="AE395" s="55">
        <f>ROUNDUP(MAX(I395/IF(BS395&gt;0,BS395,MAX(0.1,N(Cockpit!$C$6))),BV395)/BN395,0)*BN395</f>
        <v/>
      </c>
      <c r="AF395" s="56">
        <f>IF(AC395&gt;0,I395/AC395,-1)</f>
        <v/>
      </c>
      <c r="AG395" s="56">
        <f>IF(AND(OR(BR395="L1",BR395="L23"),AC395&gt;0),SUMIFS($AC$7:$AC$1570,$BR$7:$BR$1570,BR395,$AF$7:$AF$1570,"&gt;"&amp;AF395)+SUMIFS($AC$7:$AC$1570,$BR$7:$BR$1570,BR395,$AF$7:$AF$1570,AF395,$BL$7:$BL$1570,"&lt;="&amp;BL395),"")</f>
        <v/>
      </c>
      <c r="AH395" s="65">
        <f>IF(AG395="",0,MAX(0,MIN(1,(IF(BR395="L1",Parameter!$K$5,Parameter!$K$6+Parameter!$K$7)-(AG395-AC395))/AC395)))</f>
        <v/>
      </c>
      <c r="AI395" s="55">
        <f>IF(LEFT(Cockpit!$I$5,1)="A",G395,IF(BT395=1,BU395,IF(LEFT(Cockpit!$I$5,1)="B",AM395,MAX(AM395,G395))))</f>
        <v/>
      </c>
      <c r="AJ395" s="55">
        <f>IF(BO395=1,0,ROUNDUP(AI395/BN395,0))</f>
        <v/>
      </c>
      <c r="AK395" s="64">
        <f>IF(BO395=1,IF(AI395&lt;=0,0,BP395*MAX(1,IF(G395&gt;0,AI395/G395,1))),AJ395*Q395)</f>
        <v/>
      </c>
      <c r="AL395" s="55">
        <f>AI395*F395</f>
        <v/>
      </c>
      <c r="AM395" s="55">
        <f>ROUNDUP(MAX(I395/IF(BS395&gt;0,BS395,MAX(0.1,N(Cockpit!$I$6))),BV395)/BN395,0)*BN395</f>
        <v/>
      </c>
      <c r="AN395" s="56">
        <f>IF(AK395&gt;0,I395/AK395,-1)</f>
        <v/>
      </c>
      <c r="AO395" s="56">
        <f>IF(AND(OR(BR395="L1",BR395="L23"),AK395&gt;0),SUMIFS($AK$7:$AK$1570,$BR$7:$BR$1570,BR395,$AN$7:$AN$1570,"&gt;"&amp;AN395)+SUMIFS($AK$7:$AK$1570,$BR$7:$BR$1570,BR395,$AN$7:$AN$1570,AN395,$BL$7:$BL$1570,"&lt;="&amp;BL395),"")</f>
        <v/>
      </c>
      <c r="AP395" s="65">
        <f>IF(AO395="",0,MAX(0,MIN(1,(IF(BR395="L1",Parameter!$K$5,Parameter!$K$6+Parameter!$K$7)-(AO395-AK395))/AK395)))</f>
        <v/>
      </c>
      <c r="AQ395" s="55">
        <f>IF(LEFT(Cockpit!$O$5,1)="A",G395,IF(BT395=1,BU395,IF(LEFT(Cockpit!$O$5,1)="B",AU395,MAX(AU395,G395))))</f>
        <v/>
      </c>
      <c r="AR395" s="55">
        <f>IF(BO395=1,0,ROUNDUP(AQ395/BN395,0))</f>
        <v/>
      </c>
      <c r="AS395" s="64">
        <f>IF(BO395=1,IF(AQ395&lt;=0,0,BP395*MAX(1,IF(G395&gt;0,AQ395/G395,1))),AR395*Q395)</f>
        <v/>
      </c>
      <c r="AT395" s="55">
        <f>AQ395*F395</f>
        <v/>
      </c>
      <c r="AU395" s="55">
        <f>ROUNDUP(MAX(I395/IF(BS395&gt;0,BS395,MAX(0.1,N(Cockpit!$O$6))),BV395)/BN395,0)*BN395</f>
        <v/>
      </c>
      <c r="AV395" s="56">
        <f>IF(AS395&gt;0,I395/AS395,-1)</f>
        <v/>
      </c>
      <c r="AW395" s="56">
        <f>IF(AND(OR(BR395="L1",BR395="L23"),AS395&gt;0),SUMIFS($AS$7:$AS$1570,$BR$7:$BR$1570,BR395,$AV$7:$AV$1570,"&gt;"&amp;AV395)+SUMIFS($AS$7:$AS$1570,$BR$7:$BR$1570,BR395,$AV$7:$AV$1570,AV395,$BL$7:$BL$1570,"&lt;="&amp;BL395),"")</f>
        <v/>
      </c>
      <c r="AX395" s="65">
        <f>IF(AW395="",0,MAX(0,MIN(1,(IF(BR395="L1",Parameter!$K$5,Parameter!$K$6+Parameter!$K$7)-(AW395-AS395))/AS395)))</f>
        <v/>
      </c>
      <c r="AY395" s="53">
        <f>IF(AC395&lt;=0,"",IF(BR395="Aussen","Aussenlager",IF(BR395="-","Nicht im Lift",IF(AH395&gt;=1,"Lift",IF(AH395&lt;=0,"Aussenlager","teilweise")))))</f>
        <v/>
      </c>
      <c r="AZ395" s="53">
        <f>IF(AK395&lt;=0,"",IF(BR395="Aussen","Aussenlager",IF(BR395="-","Nicht im Lift",IF(AP395&gt;=1,"Lift",IF(AP395&lt;=0,"Aussenlager","teilweise")))))</f>
        <v/>
      </c>
      <c r="BA395" s="53">
        <f>IF(AS395&lt;=0,"",IF(BR395="Aussen","Aussenlager",IF(BR395="-","Nicht im Lift",IF(AX395&gt;=1,"Lift",IF(AX395&lt;=0,"Aussenlager","teilweise")))))</f>
        <v/>
      </c>
      <c r="BB395" s="53">
        <f>IF(A395="","",IF(BK395=1,"Neu; ","")&amp;IF(AND(BK395=0,BF395&lt;0),"negativer Bestand (Export "&amp;BF395&amp;"); ","")&amp;IF(I395&lt;=0,"Kein Verbrauch; ","")&amp;IF(BO395=1,"Lose – Fläche geschätzt; ","")&amp;IF(G395&gt;AM395,"Überbestand "&amp;ROUND(G395-AM395,0)&amp;" Stk / CHF "&amp;ROUND((G395-AM395)*F395,0)&amp;"; ","")&amp;IF(AND(BT395=1,BU395&lt;BV395),"MAX &lt; MB+LG; ","")&amp;IF(AND(BZ395&gt;0,BY395*10&gt;BZ395),"zu hoch für Tablar; ","")&amp;IF(AND(BK395=0,OR(BT395=1,V395&lt;&gt;"",S395&lt;&gt;"",T395&lt;&gt;"",W395&lt;&gt;"")),"manuell übersteuert; ","")&amp;IF(AND(BO395=0,Q395=0),"Gebinde unbekannt; ","")&amp;IF(AND(BO395=0,N(T395)&lt;=0,N(P395)&lt;=0),"Menge pro Gebinde fehlt (Ist = 1 Gebinde); ","")&amp;BJ395)</f>
        <v/>
      </c>
      <c r="BC395" s="53" t="n"/>
      <c r="BD395" s="53" t="n"/>
      <c r="BE395" s="61" t="n"/>
      <c r="BF395" s="55" t="n">
        <v>9</v>
      </c>
      <c r="BG395" s="55" t="n">
        <v>0</v>
      </c>
      <c r="BH395" s="54" t="n">
        <v>114.66</v>
      </c>
      <c r="BI395" s="55" t="n">
        <v>10</v>
      </c>
      <c r="BJ395" s="53" t="inlineStr"/>
      <c r="BK395" s="58" t="n">
        <v>0</v>
      </c>
      <c r="BL395" s="58" t="n">
        <v>395</v>
      </c>
      <c r="BM395" s="53">
        <f>IF(S395&lt;&gt;"",UPPER(TRIM(S395)),IF(O395="","LOSE",O395))</f>
        <v/>
      </c>
      <c r="BN395" s="55">
        <f>IF(BM395="LOSE",1,IF(N(T395)&gt;0,T395,IF(N(P395)&gt;0,P395,MAX(1,G395))))</f>
        <v/>
      </c>
      <c r="BO395" s="58">
        <f>IF(BM395="LOSE",1,0)</f>
        <v/>
      </c>
      <c r="BP395" s="64">
        <f>IF(BO395=0,0,IF(N(R395)&gt;0,R395,IFERROR(VLOOKUP(D395,Parameter!$A$35:$C$64,3,0)+0,0)))</f>
        <v/>
      </c>
      <c r="BQ395" s="53">
        <f>IF(V395&lt;&gt;"",V395,U395)</f>
        <v/>
      </c>
      <c r="BR395" s="53">
        <f>IF(BQ395=1,"L1",IF(OR(BQ395=2,BQ395=3),"L23",IF(BQ395="Aussen","Aussen","-")))</f>
        <v/>
      </c>
      <c r="BS395" s="66">
        <f>IF(N(W395)&gt;0,W395,0)</f>
        <v/>
      </c>
      <c r="BT395" s="58">
        <f>IF(ISNUMBER(Z395),1,0)</f>
        <v/>
      </c>
      <c r="BU395" s="55">
        <f>N(Z395)</f>
        <v/>
      </c>
      <c r="BV395" s="55">
        <f>N(L395)+N(M395)</f>
        <v/>
      </c>
      <c r="BW395" s="55">
        <f>ROUNDUP(G395/BN395,0)</f>
        <v/>
      </c>
      <c r="BX395" s="55">
        <f>ROUNDUP(BU395/BN395,0)</f>
        <v/>
      </c>
      <c r="BY395" s="58">
        <f>IF(BO395=1,0,IFERROR(VLOOKUP(BM395,'Gebinde-Kategorie'!$A$5:$G$45,5,0)+0,0))</f>
        <v/>
      </c>
      <c r="BZ395" s="58">
        <f>IFERROR(IF(OR(BQ395=1,BQ395=2,BQ395=3),N(INDEX(Parameter!$I$5:$I$7,BQ395)),0),0)</f>
        <v/>
      </c>
    </row>
    <row r="396">
      <c r="A396" s="53" t="inlineStr">
        <is>
          <t>105862</t>
        </is>
      </c>
      <c r="B396" s="53" t="inlineStr">
        <is>
          <t>Blende</t>
        </is>
      </c>
      <c r="C396" s="53" t="inlineStr">
        <is>
          <t>F</t>
        </is>
      </c>
      <c r="D396" s="53" t="inlineStr">
        <is>
          <t>KTL</t>
        </is>
      </c>
      <c r="E396" s="53" t="inlineStr">
        <is>
          <t>C</t>
        </is>
      </c>
      <c r="F396" s="54" t="n">
        <v>18.24</v>
      </c>
      <c r="G396" s="55">
        <f>MAX(0,IF(Parameter!$B$20="Jahresanfang 2025 + Export",BG396+BF396,BF396))</f>
        <v/>
      </c>
      <c r="H396" s="55">
        <f>G396*F396</f>
        <v/>
      </c>
      <c r="I396" s="55">
        <f>BI396*Parameter!$B$18</f>
        <v/>
      </c>
      <c r="J396" s="56" t="n">
        <v>39</v>
      </c>
      <c r="K396" s="57" t="n">
        <v>1.025641025641026</v>
      </c>
      <c r="L396" s="55" t="n">
        <v>3</v>
      </c>
      <c r="M396" s="55" t="n">
        <v>40</v>
      </c>
      <c r="N396" s="58" t="n">
        <v>35</v>
      </c>
      <c r="O396" s="53" t="inlineStr">
        <is>
          <t>S21</t>
        </is>
      </c>
      <c r="P396" s="55" t="n">
        <v>52</v>
      </c>
      <c r="Q396" s="59">
        <f>IF(BO396=1,0,IFERROR(VLOOKUP(BM396,'Gebinde-Kategorie'!$A$5:$G$45,6,0)+0,0))</f>
        <v/>
      </c>
      <c r="R396" s="60" t="n"/>
      <c r="S396" s="61" t="n"/>
      <c r="T396" s="61" t="n"/>
      <c r="U396" s="53">
        <f>IF(A396="","",IF(IFERROR(VLOOKUP(D396,Parameter!$A$35:$C$64,2,0),"Nein")="2+3",IF(ISNUMBER(SEARCH("grosser Artikel",BJ396)),2,IFERROR(VLOOKUP(BM396,Parameter!$F$35:$G$64,2,0),2)),IF(OR(IFERROR(VLOOKUP(D396,Parameter!$A$35:$C$64,2,0),"Nein")="Nein",IFERROR(VLOOKUP(D396,Parameter!$A$35:$C$64,2,0),"Nein")=""),"-",VLOOKUP(D396,Parameter!$A$35:$C$64,2,0))))</f>
        <v/>
      </c>
      <c r="V396" s="61" t="n"/>
      <c r="W396" s="62" t="n"/>
      <c r="X396" s="55">
        <f>AM396</f>
        <v/>
      </c>
      <c r="Y396" s="55">
        <f>MAX(AM396,G396)</f>
        <v/>
      </c>
      <c r="Z396" s="63" t="n"/>
      <c r="AA396" s="55">
        <f>IF(LEFT(Cockpit!$C$5,1)="A",G396,IF(BT396=1,BU396,IF(LEFT(Cockpit!$C$5,1)="B",AE396,MAX(AE396,G396))))</f>
        <v/>
      </c>
      <c r="AB396" s="55">
        <f>IF(BO396=1,0,ROUNDUP(AA396/BN396,0))</f>
        <v/>
      </c>
      <c r="AC396" s="64">
        <f>IF(BO396=1,IF(AA396&lt;=0,0,BP396*MAX(1,IF(G396&gt;0,AA396/G396,1))),AB396*Q396)</f>
        <v/>
      </c>
      <c r="AD396" s="55">
        <f>AA396*F396</f>
        <v/>
      </c>
      <c r="AE396" s="55">
        <f>ROUNDUP(MAX(I396/IF(BS396&gt;0,BS396,MAX(0.1,N(Cockpit!$C$6))),BV396)/BN396,0)*BN396</f>
        <v/>
      </c>
      <c r="AF396" s="56">
        <f>IF(AC396&gt;0,I396/AC396,-1)</f>
        <v/>
      </c>
      <c r="AG396" s="56">
        <f>IF(AND(OR(BR396="L1",BR396="L23"),AC396&gt;0),SUMIFS($AC$7:$AC$1570,$BR$7:$BR$1570,BR396,$AF$7:$AF$1570,"&gt;"&amp;AF396)+SUMIFS($AC$7:$AC$1570,$BR$7:$BR$1570,BR396,$AF$7:$AF$1570,AF396,$BL$7:$BL$1570,"&lt;="&amp;BL396),"")</f>
        <v/>
      </c>
      <c r="AH396" s="65">
        <f>IF(AG396="",0,MAX(0,MIN(1,(IF(BR396="L1",Parameter!$K$5,Parameter!$K$6+Parameter!$K$7)-(AG396-AC396))/AC396)))</f>
        <v/>
      </c>
      <c r="AI396" s="55">
        <f>IF(LEFT(Cockpit!$I$5,1)="A",G396,IF(BT396=1,BU396,IF(LEFT(Cockpit!$I$5,1)="B",AM396,MAX(AM396,G396))))</f>
        <v/>
      </c>
      <c r="AJ396" s="55">
        <f>IF(BO396=1,0,ROUNDUP(AI396/BN396,0))</f>
        <v/>
      </c>
      <c r="AK396" s="64">
        <f>IF(BO396=1,IF(AI396&lt;=0,0,BP396*MAX(1,IF(G396&gt;0,AI396/G396,1))),AJ396*Q396)</f>
        <v/>
      </c>
      <c r="AL396" s="55">
        <f>AI396*F396</f>
        <v/>
      </c>
      <c r="AM396" s="55">
        <f>ROUNDUP(MAX(I396/IF(BS396&gt;0,BS396,MAX(0.1,N(Cockpit!$I$6))),BV396)/BN396,0)*BN396</f>
        <v/>
      </c>
      <c r="AN396" s="56">
        <f>IF(AK396&gt;0,I396/AK396,-1)</f>
        <v/>
      </c>
      <c r="AO396" s="56">
        <f>IF(AND(OR(BR396="L1",BR396="L23"),AK396&gt;0),SUMIFS($AK$7:$AK$1570,$BR$7:$BR$1570,BR396,$AN$7:$AN$1570,"&gt;"&amp;AN396)+SUMIFS($AK$7:$AK$1570,$BR$7:$BR$1570,BR396,$AN$7:$AN$1570,AN396,$BL$7:$BL$1570,"&lt;="&amp;BL396),"")</f>
        <v/>
      </c>
      <c r="AP396" s="65">
        <f>IF(AO396="",0,MAX(0,MIN(1,(IF(BR396="L1",Parameter!$K$5,Parameter!$K$6+Parameter!$K$7)-(AO396-AK396))/AK396)))</f>
        <v/>
      </c>
      <c r="AQ396" s="55">
        <f>IF(LEFT(Cockpit!$O$5,1)="A",G396,IF(BT396=1,BU396,IF(LEFT(Cockpit!$O$5,1)="B",AU396,MAX(AU396,G396))))</f>
        <v/>
      </c>
      <c r="AR396" s="55">
        <f>IF(BO396=1,0,ROUNDUP(AQ396/BN396,0))</f>
        <v/>
      </c>
      <c r="AS396" s="64">
        <f>IF(BO396=1,IF(AQ396&lt;=0,0,BP396*MAX(1,IF(G396&gt;0,AQ396/G396,1))),AR396*Q396)</f>
        <v/>
      </c>
      <c r="AT396" s="55">
        <f>AQ396*F396</f>
        <v/>
      </c>
      <c r="AU396" s="55">
        <f>ROUNDUP(MAX(I396/IF(BS396&gt;0,BS396,MAX(0.1,N(Cockpit!$O$6))),BV396)/BN396,0)*BN396</f>
        <v/>
      </c>
      <c r="AV396" s="56">
        <f>IF(AS396&gt;0,I396/AS396,-1)</f>
        <v/>
      </c>
      <c r="AW396" s="56">
        <f>IF(AND(OR(BR396="L1",BR396="L23"),AS396&gt;0),SUMIFS($AS$7:$AS$1570,$BR$7:$BR$1570,BR396,$AV$7:$AV$1570,"&gt;"&amp;AV396)+SUMIFS($AS$7:$AS$1570,$BR$7:$BR$1570,BR396,$AV$7:$AV$1570,AV396,$BL$7:$BL$1570,"&lt;="&amp;BL396),"")</f>
        <v/>
      </c>
      <c r="AX396" s="65">
        <f>IF(AW396="",0,MAX(0,MIN(1,(IF(BR396="L1",Parameter!$K$5,Parameter!$K$6+Parameter!$K$7)-(AW396-AS396))/AS396)))</f>
        <v/>
      </c>
      <c r="AY396" s="53">
        <f>IF(AC396&lt;=0,"",IF(BR396="Aussen","Aussenlager",IF(BR396="-","Nicht im Lift",IF(AH396&gt;=1,"Lift",IF(AH396&lt;=0,"Aussenlager","teilweise")))))</f>
        <v/>
      </c>
      <c r="AZ396" s="53">
        <f>IF(AK396&lt;=0,"",IF(BR396="Aussen","Aussenlager",IF(BR396="-","Nicht im Lift",IF(AP396&gt;=1,"Lift",IF(AP396&lt;=0,"Aussenlager","teilweise")))))</f>
        <v/>
      </c>
      <c r="BA396" s="53">
        <f>IF(AS396&lt;=0,"",IF(BR396="Aussen","Aussenlager",IF(BR396="-","Nicht im Lift",IF(AX396&gt;=1,"Lift",IF(AX396&lt;=0,"Aussenlager","teilweise")))))</f>
        <v/>
      </c>
      <c r="BB396" s="53">
        <f>IF(A396="","",IF(BK396=1,"Neu; ","")&amp;IF(AND(BK396=0,BF396&lt;0),"negativer Bestand (Export "&amp;BF396&amp;"); ","")&amp;IF(I396&lt;=0,"Kein Verbrauch; ","")&amp;IF(BO396=1,"Lose – Fläche geschätzt; ","")&amp;IF(G396&gt;AM396,"Überbestand "&amp;ROUND(G396-AM396,0)&amp;" Stk / CHF "&amp;ROUND((G396-AM396)*F396,0)&amp;"; ","")&amp;IF(AND(BT396=1,BU396&lt;BV396),"MAX &lt; MB+LG; ","")&amp;IF(AND(BZ396&gt;0,BY396*10&gt;BZ396),"zu hoch für Tablar; ","")&amp;IF(AND(BK396=0,OR(BT396=1,V396&lt;&gt;"",S396&lt;&gt;"",T396&lt;&gt;"",W396&lt;&gt;"")),"manuell übersteuert; ","")&amp;IF(AND(BO396=0,Q396=0),"Gebinde unbekannt; ","")&amp;IF(AND(BO396=0,N(T396)&lt;=0,N(P396)&lt;=0),"Menge pro Gebinde fehlt (Ist = 1 Gebinde); ","")&amp;BJ396)</f>
        <v/>
      </c>
      <c r="BC396" s="53" t="n"/>
      <c r="BD396" s="53" t="n"/>
      <c r="BE396" s="61" t="n"/>
      <c r="BF396" s="55" t="n">
        <v>4</v>
      </c>
      <c r="BG396" s="55" t="n">
        <v>52</v>
      </c>
      <c r="BH396" s="54" t="n">
        <v>114.0400000000001</v>
      </c>
      <c r="BI396" s="55" t="n">
        <v>40</v>
      </c>
      <c r="BJ396" s="53" t="inlineStr"/>
      <c r="BK396" s="58" t="n">
        <v>0</v>
      </c>
      <c r="BL396" s="58" t="n">
        <v>396</v>
      </c>
      <c r="BM396" s="53">
        <f>IF(S396&lt;&gt;"",UPPER(TRIM(S396)),IF(O396="","LOSE",O396))</f>
        <v/>
      </c>
      <c r="BN396" s="55">
        <f>IF(BM396="LOSE",1,IF(N(T396)&gt;0,T396,IF(N(P396)&gt;0,P396,MAX(1,G396))))</f>
        <v/>
      </c>
      <c r="BO396" s="58">
        <f>IF(BM396="LOSE",1,0)</f>
        <v/>
      </c>
      <c r="BP396" s="64">
        <f>IF(BO396=0,0,IF(N(R396)&gt;0,R396,IFERROR(VLOOKUP(D396,Parameter!$A$35:$C$64,3,0)+0,0)))</f>
        <v/>
      </c>
      <c r="BQ396" s="53">
        <f>IF(V396&lt;&gt;"",V396,U396)</f>
        <v/>
      </c>
      <c r="BR396" s="53">
        <f>IF(BQ396=1,"L1",IF(OR(BQ396=2,BQ396=3),"L23",IF(BQ396="Aussen","Aussen","-")))</f>
        <v/>
      </c>
      <c r="BS396" s="66">
        <f>IF(N(W396)&gt;0,W396,0)</f>
        <v/>
      </c>
      <c r="BT396" s="58">
        <f>IF(ISNUMBER(Z396),1,0)</f>
        <v/>
      </c>
      <c r="BU396" s="55">
        <f>N(Z396)</f>
        <v/>
      </c>
      <c r="BV396" s="55">
        <f>N(L396)+N(M396)</f>
        <v/>
      </c>
      <c r="BW396" s="55">
        <f>ROUNDUP(G396/BN396,0)</f>
        <v/>
      </c>
      <c r="BX396" s="55">
        <f>ROUNDUP(BU396/BN396,0)</f>
        <v/>
      </c>
      <c r="BY396" s="58">
        <f>IF(BO396=1,0,IFERROR(VLOOKUP(BM396,'Gebinde-Kategorie'!$A$5:$G$45,5,0)+0,0))</f>
        <v/>
      </c>
      <c r="BZ396" s="58">
        <f>IFERROR(IF(OR(BQ396=1,BQ396=2,BQ396=3),N(INDEX(Parameter!$I$5:$I$7,BQ396)),0),0)</f>
        <v/>
      </c>
    </row>
    <row r="397">
      <c r="A397" s="53" t="inlineStr">
        <is>
          <t>106244</t>
        </is>
      </c>
      <c r="B397" s="53" t="inlineStr">
        <is>
          <t>Sicherungsscheibe</t>
        </is>
      </c>
      <c r="C397" s="53" t="inlineStr">
        <is>
          <t>F</t>
        </is>
      </c>
      <c r="D397" s="53" t="inlineStr">
        <is>
          <t>KTL</t>
        </is>
      </c>
      <c r="E397" s="53" t="inlineStr">
        <is>
          <t>C</t>
        </is>
      </c>
      <c r="F397" s="54" t="n">
        <v>0.15</v>
      </c>
      <c r="G397" s="55">
        <f>MAX(0,IF(Parameter!$B$20="Jahresanfang 2025 + Export",BG397+BF397,BF397))</f>
        <v/>
      </c>
      <c r="H397" s="55">
        <f>G397*F397</f>
        <v/>
      </c>
      <c r="I397" s="55">
        <f>BI397*Parameter!$B$18</f>
        <v/>
      </c>
      <c r="J397" s="56" t="n">
        <v>656</v>
      </c>
      <c r="K397" s="57" t="n">
        <v>4.125</v>
      </c>
      <c r="L397" s="55" t="n">
        <v>157</v>
      </c>
      <c r="M397" s="55" t="n">
        <v>1000</v>
      </c>
      <c r="N397" s="58" t="n">
        <v>21</v>
      </c>
      <c r="O397" s="53" t="inlineStr">
        <is>
          <t>S32</t>
        </is>
      </c>
      <c r="P397" s="55" t="n">
        <v>783</v>
      </c>
      <c r="Q397" s="59">
        <f>IF(BO397=1,0,IFERROR(VLOOKUP(BM397,'Gebinde-Kategorie'!$A$5:$G$45,6,0)+0,0))</f>
        <v/>
      </c>
      <c r="R397" s="60" t="n"/>
      <c r="S397" s="61" t="n"/>
      <c r="T397" s="61" t="n"/>
      <c r="U397" s="53">
        <f>IF(A397="","",IF(IFERROR(VLOOKUP(D397,Parameter!$A$35:$C$64,2,0),"Nein")="2+3",IF(ISNUMBER(SEARCH("grosser Artikel",BJ397)),2,IFERROR(VLOOKUP(BM397,Parameter!$F$35:$G$64,2,0),2)),IF(OR(IFERROR(VLOOKUP(D397,Parameter!$A$35:$C$64,2,0),"Nein")="Nein",IFERROR(VLOOKUP(D397,Parameter!$A$35:$C$64,2,0),"Nein")=""),"-",VLOOKUP(D397,Parameter!$A$35:$C$64,2,0))))</f>
        <v/>
      </c>
      <c r="V397" s="61" t="n"/>
      <c r="W397" s="62" t="n"/>
      <c r="X397" s="55">
        <f>AM397</f>
        <v/>
      </c>
      <c r="Y397" s="55">
        <f>MAX(AM397,G397)</f>
        <v/>
      </c>
      <c r="Z397" s="63" t="n"/>
      <c r="AA397" s="55">
        <f>IF(LEFT(Cockpit!$C$5,1)="A",G397,IF(BT397=1,BU397,IF(LEFT(Cockpit!$C$5,1)="B",AE397,MAX(AE397,G397))))</f>
        <v/>
      </c>
      <c r="AB397" s="55">
        <f>IF(BO397=1,0,ROUNDUP(AA397/BN397,0))</f>
        <v/>
      </c>
      <c r="AC397" s="64">
        <f>IF(BO397=1,IF(AA397&lt;=0,0,BP397*MAX(1,IF(G397&gt;0,AA397/G397,1))),AB397*Q397)</f>
        <v/>
      </c>
      <c r="AD397" s="55">
        <f>AA397*F397</f>
        <v/>
      </c>
      <c r="AE397" s="55">
        <f>ROUNDUP(MAX(I397/IF(BS397&gt;0,BS397,MAX(0.1,N(Cockpit!$C$6))),BV397)/BN397,0)*BN397</f>
        <v/>
      </c>
      <c r="AF397" s="56">
        <f>IF(AC397&gt;0,I397/AC397,-1)</f>
        <v/>
      </c>
      <c r="AG397" s="56">
        <f>IF(AND(OR(BR397="L1",BR397="L23"),AC397&gt;0),SUMIFS($AC$7:$AC$1570,$BR$7:$BR$1570,BR397,$AF$7:$AF$1570,"&gt;"&amp;AF397)+SUMIFS($AC$7:$AC$1570,$BR$7:$BR$1570,BR397,$AF$7:$AF$1570,AF397,$BL$7:$BL$1570,"&lt;="&amp;BL397),"")</f>
        <v/>
      </c>
      <c r="AH397" s="65">
        <f>IF(AG397="",0,MAX(0,MIN(1,(IF(BR397="L1",Parameter!$K$5,Parameter!$K$6+Parameter!$K$7)-(AG397-AC397))/AC397)))</f>
        <v/>
      </c>
      <c r="AI397" s="55">
        <f>IF(LEFT(Cockpit!$I$5,1)="A",G397,IF(BT397=1,BU397,IF(LEFT(Cockpit!$I$5,1)="B",AM397,MAX(AM397,G397))))</f>
        <v/>
      </c>
      <c r="AJ397" s="55">
        <f>IF(BO397=1,0,ROUNDUP(AI397/BN397,0))</f>
        <v/>
      </c>
      <c r="AK397" s="64">
        <f>IF(BO397=1,IF(AI397&lt;=0,0,BP397*MAX(1,IF(G397&gt;0,AI397/G397,1))),AJ397*Q397)</f>
        <v/>
      </c>
      <c r="AL397" s="55">
        <f>AI397*F397</f>
        <v/>
      </c>
      <c r="AM397" s="55">
        <f>ROUNDUP(MAX(I397/IF(BS397&gt;0,BS397,MAX(0.1,N(Cockpit!$I$6))),BV397)/BN397,0)*BN397</f>
        <v/>
      </c>
      <c r="AN397" s="56">
        <f>IF(AK397&gt;0,I397/AK397,-1)</f>
        <v/>
      </c>
      <c r="AO397" s="56">
        <f>IF(AND(OR(BR397="L1",BR397="L23"),AK397&gt;0),SUMIFS($AK$7:$AK$1570,$BR$7:$BR$1570,BR397,$AN$7:$AN$1570,"&gt;"&amp;AN397)+SUMIFS($AK$7:$AK$1570,$BR$7:$BR$1570,BR397,$AN$7:$AN$1570,AN397,$BL$7:$BL$1570,"&lt;="&amp;BL397),"")</f>
        <v/>
      </c>
      <c r="AP397" s="65">
        <f>IF(AO397="",0,MAX(0,MIN(1,(IF(BR397="L1",Parameter!$K$5,Parameter!$K$6+Parameter!$K$7)-(AO397-AK397))/AK397)))</f>
        <v/>
      </c>
      <c r="AQ397" s="55">
        <f>IF(LEFT(Cockpit!$O$5,1)="A",G397,IF(BT397=1,BU397,IF(LEFT(Cockpit!$O$5,1)="B",AU397,MAX(AU397,G397))))</f>
        <v/>
      </c>
      <c r="AR397" s="55">
        <f>IF(BO397=1,0,ROUNDUP(AQ397/BN397,0))</f>
        <v/>
      </c>
      <c r="AS397" s="64">
        <f>IF(BO397=1,IF(AQ397&lt;=0,0,BP397*MAX(1,IF(G397&gt;0,AQ397/G397,1))),AR397*Q397)</f>
        <v/>
      </c>
      <c r="AT397" s="55">
        <f>AQ397*F397</f>
        <v/>
      </c>
      <c r="AU397" s="55">
        <f>ROUNDUP(MAX(I397/IF(BS397&gt;0,BS397,MAX(0.1,N(Cockpit!$O$6))),BV397)/BN397,0)*BN397</f>
        <v/>
      </c>
      <c r="AV397" s="56">
        <f>IF(AS397&gt;0,I397/AS397,-1)</f>
        <v/>
      </c>
      <c r="AW397" s="56">
        <f>IF(AND(OR(BR397="L1",BR397="L23"),AS397&gt;0),SUMIFS($AS$7:$AS$1570,$BR$7:$BR$1570,BR397,$AV$7:$AV$1570,"&gt;"&amp;AV397)+SUMIFS($AS$7:$AS$1570,$BR$7:$BR$1570,BR397,$AV$7:$AV$1570,AV397,$BL$7:$BL$1570,"&lt;="&amp;BL397),"")</f>
        <v/>
      </c>
      <c r="AX397" s="65">
        <f>IF(AW397="",0,MAX(0,MIN(1,(IF(BR397="L1",Parameter!$K$5,Parameter!$K$6+Parameter!$K$7)-(AW397-AS397))/AS397)))</f>
        <v/>
      </c>
      <c r="AY397" s="53">
        <f>IF(AC397&lt;=0,"",IF(BR397="Aussen","Aussenlager",IF(BR397="-","Nicht im Lift",IF(AH397&gt;=1,"Lift",IF(AH397&lt;=0,"Aussenlager","teilweise")))))</f>
        <v/>
      </c>
      <c r="AZ397" s="53">
        <f>IF(AK397&lt;=0,"",IF(BR397="Aussen","Aussenlager",IF(BR397="-","Nicht im Lift",IF(AP397&gt;=1,"Lift",IF(AP397&lt;=0,"Aussenlager","teilweise")))))</f>
        <v/>
      </c>
      <c r="BA397" s="53">
        <f>IF(AS397&lt;=0,"",IF(BR397="Aussen","Aussenlager",IF(BR397="-","Nicht im Lift",IF(AX397&gt;=1,"Lift",IF(AX397&lt;=0,"Aussenlager","teilweise")))))</f>
        <v/>
      </c>
      <c r="BB397" s="53">
        <f>IF(A397="","",IF(BK397=1,"Neu; ","")&amp;IF(AND(BK397=0,BF397&lt;0),"negativer Bestand (Export "&amp;BF397&amp;"); ","")&amp;IF(I397&lt;=0,"Kein Verbrauch; ","")&amp;IF(BO397=1,"Lose – Fläche geschätzt; ","")&amp;IF(G397&gt;AM397,"Überbestand "&amp;ROUND(G397-AM397,0)&amp;" Stk / CHF "&amp;ROUND((G397-AM397)*F397,0)&amp;"; ","")&amp;IF(AND(BT397=1,BU397&lt;BV397),"MAX &lt; MB+LG; ","")&amp;IF(AND(BZ397&gt;0,BY397*10&gt;BZ397),"zu hoch für Tablar; ","")&amp;IF(AND(BK397=0,OR(BT397=1,V397&lt;&gt;"",S397&lt;&gt;"",T397&lt;&gt;"",W397&lt;&gt;"")),"manuell übersteuert; ","")&amp;IF(AND(BO397=0,Q397=0),"Gebinde unbekannt; ","")&amp;IF(AND(BO397=0,N(T397)&lt;=0,N(P397)&lt;=0),"Menge pro Gebinde fehlt (Ist = 1 Gebinde); ","")&amp;BJ397)</f>
        <v/>
      </c>
      <c r="BC397" s="53" t="n"/>
      <c r="BD397" s="53" t="n"/>
      <c r="BE397" s="61" t="n"/>
      <c r="BF397" s="55" t="n">
        <v>708</v>
      </c>
      <c r="BG397" s="55" t="n">
        <v>695</v>
      </c>
      <c r="BH397" s="54" t="n">
        <v>113.07</v>
      </c>
      <c r="BI397" s="55" t="n">
        <v>2706</v>
      </c>
      <c r="BJ397" s="53" t="inlineStr"/>
      <c r="BK397" s="58" t="n">
        <v>0</v>
      </c>
      <c r="BL397" s="58" t="n">
        <v>397</v>
      </c>
      <c r="BM397" s="53">
        <f>IF(S397&lt;&gt;"",UPPER(TRIM(S397)),IF(O397="","LOSE",O397))</f>
        <v/>
      </c>
      <c r="BN397" s="55">
        <f>IF(BM397="LOSE",1,IF(N(T397)&gt;0,T397,IF(N(P397)&gt;0,P397,MAX(1,G397))))</f>
        <v/>
      </c>
      <c r="BO397" s="58">
        <f>IF(BM397="LOSE",1,0)</f>
        <v/>
      </c>
      <c r="BP397" s="64">
        <f>IF(BO397=0,0,IF(N(R397)&gt;0,R397,IFERROR(VLOOKUP(D397,Parameter!$A$35:$C$64,3,0)+0,0)))</f>
        <v/>
      </c>
      <c r="BQ397" s="53">
        <f>IF(V397&lt;&gt;"",V397,U397)</f>
        <v/>
      </c>
      <c r="BR397" s="53">
        <f>IF(BQ397=1,"L1",IF(OR(BQ397=2,BQ397=3),"L23",IF(BQ397="Aussen","Aussen","-")))</f>
        <v/>
      </c>
      <c r="BS397" s="66">
        <f>IF(N(W397)&gt;0,W397,0)</f>
        <v/>
      </c>
      <c r="BT397" s="58">
        <f>IF(ISNUMBER(Z397),1,0)</f>
        <v/>
      </c>
      <c r="BU397" s="55">
        <f>N(Z397)</f>
        <v/>
      </c>
      <c r="BV397" s="55">
        <f>N(L397)+N(M397)</f>
        <v/>
      </c>
      <c r="BW397" s="55">
        <f>ROUNDUP(G397/BN397,0)</f>
        <v/>
      </c>
      <c r="BX397" s="55">
        <f>ROUNDUP(BU397/BN397,0)</f>
        <v/>
      </c>
      <c r="BY397" s="58">
        <f>IF(BO397=1,0,IFERROR(VLOOKUP(BM397,'Gebinde-Kategorie'!$A$5:$G$45,5,0)+0,0))</f>
        <v/>
      </c>
      <c r="BZ397" s="58">
        <f>IFERROR(IF(OR(BQ397=1,BQ397=2,BQ397=3),N(INDEX(Parameter!$I$5:$I$7,BQ397)),0),0)</f>
        <v/>
      </c>
    </row>
    <row r="398">
      <c r="A398" s="53" t="inlineStr">
        <is>
          <t>005397</t>
        </is>
      </c>
      <c r="B398" s="53" t="inlineStr">
        <is>
          <t>Putzlappen</t>
        </is>
      </c>
      <c r="C398" s="53" t="inlineStr">
        <is>
          <t>F</t>
        </is>
      </c>
      <c r="D398" s="53" t="inlineStr">
        <is>
          <t>KTL</t>
        </is>
      </c>
      <c r="E398" s="53" t="inlineStr">
        <is>
          <t>C</t>
        </is>
      </c>
      <c r="F398" s="54" t="n">
        <v>28.08</v>
      </c>
      <c r="G398" s="55">
        <f>MAX(0,IF(Parameter!$B$20="Jahresanfang 2025 + Export",BG398+BF398,BF398))</f>
        <v/>
      </c>
      <c r="H398" s="55">
        <f>G398*F398</f>
        <v/>
      </c>
      <c r="I398" s="55">
        <f>BI398*Parameter!$B$18</f>
        <v/>
      </c>
      <c r="J398" s="56" t="n">
        <v>2</v>
      </c>
      <c r="K398" s="57" t="n">
        <v>0</v>
      </c>
      <c r="L398" s="55" t="n">
        <v>1</v>
      </c>
      <c r="M398" s="55" t="n">
        <v>4</v>
      </c>
      <c r="N398" s="58" t="n">
        <v>14</v>
      </c>
      <c r="O398" s="53" t="inlineStr">
        <is>
          <t>LOSE</t>
        </is>
      </c>
      <c r="P398" s="55" t="n"/>
      <c r="Q398" s="59">
        <f>IF(BO398=1,0,IFERROR(VLOOKUP(BM398,'Gebinde-Kategorie'!$A$5:$G$45,6,0)+0,0))</f>
        <v/>
      </c>
      <c r="R398" s="60" t="n"/>
      <c r="S398" s="61" t="n"/>
      <c r="T398" s="61" t="n"/>
      <c r="U398" s="53">
        <f>IF(A398="","",IF(IFERROR(VLOOKUP(D398,Parameter!$A$35:$C$64,2,0),"Nein")="2+3",IF(ISNUMBER(SEARCH("grosser Artikel",BJ398)),2,IFERROR(VLOOKUP(BM398,Parameter!$F$35:$G$64,2,0),2)),IF(OR(IFERROR(VLOOKUP(D398,Parameter!$A$35:$C$64,2,0),"Nein")="Nein",IFERROR(VLOOKUP(D398,Parameter!$A$35:$C$64,2,0),"Nein")=""),"-",VLOOKUP(D398,Parameter!$A$35:$C$64,2,0))))</f>
        <v/>
      </c>
      <c r="V398" s="61" t="n"/>
      <c r="W398" s="62" t="n"/>
      <c r="X398" s="55">
        <f>AM398</f>
        <v/>
      </c>
      <c r="Y398" s="55">
        <f>MAX(AM398,G398)</f>
        <v/>
      </c>
      <c r="Z398" s="63" t="n"/>
      <c r="AA398" s="55">
        <f>IF(LEFT(Cockpit!$C$5,1)="A",G398,IF(BT398=1,BU398,IF(LEFT(Cockpit!$C$5,1)="B",AE398,MAX(AE398,G398))))</f>
        <v/>
      </c>
      <c r="AB398" s="55">
        <f>IF(BO398=1,0,ROUNDUP(AA398/BN398,0))</f>
        <v/>
      </c>
      <c r="AC398" s="64">
        <f>IF(BO398=1,IF(AA398&lt;=0,0,BP398*MAX(1,IF(G398&gt;0,AA398/G398,1))),AB398*Q398)</f>
        <v/>
      </c>
      <c r="AD398" s="55">
        <f>AA398*F398</f>
        <v/>
      </c>
      <c r="AE398" s="55">
        <f>ROUNDUP(MAX(I398/IF(BS398&gt;0,BS398,MAX(0.1,N(Cockpit!$C$6))),BV398)/BN398,0)*BN398</f>
        <v/>
      </c>
      <c r="AF398" s="56">
        <f>IF(AC398&gt;0,I398/AC398,-1)</f>
        <v/>
      </c>
      <c r="AG398" s="56">
        <f>IF(AND(OR(BR398="L1",BR398="L23"),AC398&gt;0),SUMIFS($AC$7:$AC$1570,$BR$7:$BR$1570,BR398,$AF$7:$AF$1570,"&gt;"&amp;AF398)+SUMIFS($AC$7:$AC$1570,$BR$7:$BR$1570,BR398,$AF$7:$AF$1570,AF398,$BL$7:$BL$1570,"&lt;="&amp;BL398),"")</f>
        <v/>
      </c>
      <c r="AH398" s="65">
        <f>IF(AG398="",0,MAX(0,MIN(1,(IF(BR398="L1",Parameter!$K$5,Parameter!$K$6+Parameter!$K$7)-(AG398-AC398))/AC398)))</f>
        <v/>
      </c>
      <c r="AI398" s="55">
        <f>IF(LEFT(Cockpit!$I$5,1)="A",G398,IF(BT398=1,BU398,IF(LEFT(Cockpit!$I$5,1)="B",AM398,MAX(AM398,G398))))</f>
        <v/>
      </c>
      <c r="AJ398" s="55">
        <f>IF(BO398=1,0,ROUNDUP(AI398/BN398,0))</f>
        <v/>
      </c>
      <c r="AK398" s="64">
        <f>IF(BO398=1,IF(AI398&lt;=0,0,BP398*MAX(1,IF(G398&gt;0,AI398/G398,1))),AJ398*Q398)</f>
        <v/>
      </c>
      <c r="AL398" s="55">
        <f>AI398*F398</f>
        <v/>
      </c>
      <c r="AM398" s="55">
        <f>ROUNDUP(MAX(I398/IF(BS398&gt;0,BS398,MAX(0.1,N(Cockpit!$I$6))),BV398)/BN398,0)*BN398</f>
        <v/>
      </c>
      <c r="AN398" s="56">
        <f>IF(AK398&gt;0,I398/AK398,-1)</f>
        <v/>
      </c>
      <c r="AO398" s="56">
        <f>IF(AND(OR(BR398="L1",BR398="L23"),AK398&gt;0),SUMIFS($AK$7:$AK$1570,$BR$7:$BR$1570,BR398,$AN$7:$AN$1570,"&gt;"&amp;AN398)+SUMIFS($AK$7:$AK$1570,$BR$7:$BR$1570,BR398,$AN$7:$AN$1570,AN398,$BL$7:$BL$1570,"&lt;="&amp;BL398),"")</f>
        <v/>
      </c>
      <c r="AP398" s="65">
        <f>IF(AO398="",0,MAX(0,MIN(1,(IF(BR398="L1",Parameter!$K$5,Parameter!$K$6+Parameter!$K$7)-(AO398-AK398))/AK398)))</f>
        <v/>
      </c>
      <c r="AQ398" s="55">
        <f>IF(LEFT(Cockpit!$O$5,1)="A",G398,IF(BT398=1,BU398,IF(LEFT(Cockpit!$O$5,1)="B",AU398,MAX(AU398,G398))))</f>
        <v/>
      </c>
      <c r="AR398" s="55">
        <f>IF(BO398=1,0,ROUNDUP(AQ398/BN398,0))</f>
        <v/>
      </c>
      <c r="AS398" s="64">
        <f>IF(BO398=1,IF(AQ398&lt;=0,0,BP398*MAX(1,IF(G398&gt;0,AQ398/G398,1))),AR398*Q398)</f>
        <v/>
      </c>
      <c r="AT398" s="55">
        <f>AQ398*F398</f>
        <v/>
      </c>
      <c r="AU398" s="55">
        <f>ROUNDUP(MAX(I398/IF(BS398&gt;0,BS398,MAX(0.1,N(Cockpit!$O$6))),BV398)/BN398,0)*BN398</f>
        <v/>
      </c>
      <c r="AV398" s="56">
        <f>IF(AS398&gt;0,I398/AS398,-1)</f>
        <v/>
      </c>
      <c r="AW398" s="56">
        <f>IF(AND(OR(BR398="L1",BR398="L23"),AS398&gt;0),SUMIFS($AS$7:$AS$1570,$BR$7:$BR$1570,BR398,$AV$7:$AV$1570,"&gt;"&amp;AV398)+SUMIFS($AS$7:$AS$1570,$BR$7:$BR$1570,BR398,$AV$7:$AV$1570,AV398,$BL$7:$BL$1570,"&lt;="&amp;BL398),"")</f>
        <v/>
      </c>
      <c r="AX398" s="65">
        <f>IF(AW398="",0,MAX(0,MIN(1,(IF(BR398="L1",Parameter!$K$5,Parameter!$K$6+Parameter!$K$7)-(AW398-AS398))/AS398)))</f>
        <v/>
      </c>
      <c r="AY398" s="53">
        <f>IF(AC398&lt;=0,"",IF(BR398="Aussen","Aussenlager",IF(BR398="-","Nicht im Lift",IF(AH398&gt;=1,"Lift",IF(AH398&lt;=0,"Aussenlager","teilweise")))))</f>
        <v/>
      </c>
      <c r="AZ398" s="53">
        <f>IF(AK398&lt;=0,"",IF(BR398="Aussen","Aussenlager",IF(BR398="-","Nicht im Lift",IF(AP398&gt;=1,"Lift",IF(AP398&lt;=0,"Aussenlager","teilweise")))))</f>
        <v/>
      </c>
      <c r="BA398" s="53">
        <f>IF(AS398&lt;=0,"",IF(BR398="Aussen","Aussenlager",IF(BR398="-","Nicht im Lift",IF(AX398&gt;=1,"Lift",IF(AX398&lt;=0,"Aussenlager","teilweise")))))</f>
        <v/>
      </c>
      <c r="BB398" s="53">
        <f>IF(A398="","",IF(BK398=1,"Neu; ","")&amp;IF(AND(BK398=0,BF398&lt;0),"negativer Bestand (Export "&amp;BF398&amp;"); ","")&amp;IF(I398&lt;=0,"Kein Verbrauch; ","")&amp;IF(BO398=1,"Lose – Fläche geschätzt; ","")&amp;IF(G398&gt;AM398,"Überbestand "&amp;ROUND(G398-AM398,0)&amp;" Stk / CHF "&amp;ROUND((G398-AM398)*F398,0)&amp;"; ","")&amp;IF(AND(BT398=1,BU398&lt;BV398),"MAX &lt; MB+LG; ","")&amp;IF(AND(BZ398&gt;0,BY398*10&gt;BZ398),"zu hoch für Tablar; ","")&amp;IF(AND(BK398=0,OR(BT398=1,V398&lt;&gt;"",S398&lt;&gt;"",T398&lt;&gt;"",W398&lt;&gt;"")),"manuell übersteuert; ","")&amp;IF(AND(BO398=0,Q398=0),"Gebinde unbekannt; ","")&amp;IF(AND(BO398=0,N(T398)&lt;=0,N(P398)&lt;=0),"Menge pro Gebinde fehlt (Ist = 1 Gebinde); ","")&amp;BJ398)</f>
        <v/>
      </c>
      <c r="BC398" s="53" t="n"/>
      <c r="BD398" s="53" t="n"/>
      <c r="BE398" s="61" t="n"/>
      <c r="BF398" s="55" t="n">
        <v>4</v>
      </c>
      <c r="BG398" s="55" t="n">
        <v>0</v>
      </c>
      <c r="BH398" s="54" t="n">
        <v>112.32</v>
      </c>
      <c r="BI398" s="55" t="n">
        <v>0</v>
      </c>
      <c r="BJ398" s="53" t="inlineStr"/>
      <c r="BK398" s="58" t="n">
        <v>0</v>
      </c>
      <c r="BL398" s="58" t="n">
        <v>398</v>
      </c>
      <c r="BM398" s="53">
        <f>IF(S398&lt;&gt;"",UPPER(TRIM(S398)),IF(O398="","LOSE",O398))</f>
        <v/>
      </c>
      <c r="BN398" s="55">
        <f>IF(BM398="LOSE",1,IF(N(T398)&gt;0,T398,IF(N(P398)&gt;0,P398,MAX(1,G398))))</f>
        <v/>
      </c>
      <c r="BO398" s="58">
        <f>IF(BM398="LOSE",1,0)</f>
        <v/>
      </c>
      <c r="BP398" s="64">
        <f>IF(BO398=0,0,IF(N(R398)&gt;0,R398,IFERROR(VLOOKUP(D398,Parameter!$A$35:$C$64,3,0)+0,0)))</f>
        <v/>
      </c>
      <c r="BQ398" s="53">
        <f>IF(V398&lt;&gt;"",V398,U398)</f>
        <v/>
      </c>
      <c r="BR398" s="53">
        <f>IF(BQ398=1,"L1",IF(OR(BQ398=2,BQ398=3),"L23",IF(BQ398="Aussen","Aussen","-")))</f>
        <v/>
      </c>
      <c r="BS398" s="66">
        <f>IF(N(W398)&gt;0,W398,0)</f>
        <v/>
      </c>
      <c r="BT398" s="58">
        <f>IF(ISNUMBER(Z398),1,0)</f>
        <v/>
      </c>
      <c r="BU398" s="55">
        <f>N(Z398)</f>
        <v/>
      </c>
      <c r="BV398" s="55">
        <f>N(L398)+N(M398)</f>
        <v/>
      </c>
      <c r="BW398" s="55">
        <f>ROUNDUP(G398/BN398,0)</f>
        <v/>
      </c>
      <c r="BX398" s="55">
        <f>ROUNDUP(BU398/BN398,0)</f>
        <v/>
      </c>
      <c r="BY398" s="58">
        <f>IF(BO398=1,0,IFERROR(VLOOKUP(BM398,'Gebinde-Kategorie'!$A$5:$G$45,5,0)+0,0))</f>
        <v/>
      </c>
      <c r="BZ398" s="58">
        <f>IFERROR(IF(OR(BQ398=1,BQ398=2,BQ398=3),N(INDEX(Parameter!$I$5:$I$7,BQ398)),0),0)</f>
        <v/>
      </c>
    </row>
    <row r="399">
      <c r="A399" s="53" t="inlineStr">
        <is>
          <t>110096</t>
        </is>
      </c>
      <c r="B399" s="53" t="inlineStr">
        <is>
          <t>Sensor-/Aktor-Kabel</t>
        </is>
      </c>
      <c r="C399" s="53" t="inlineStr">
        <is>
          <t>F</t>
        </is>
      </c>
      <c r="D399" s="53" t="inlineStr">
        <is>
          <t>PAL</t>
        </is>
      </c>
      <c r="E399" s="53" t="inlineStr">
        <is>
          <t>C</t>
        </is>
      </c>
      <c r="F399" s="54" t="n">
        <v>37.2</v>
      </c>
      <c r="G399" s="55">
        <f>MAX(0,IF(Parameter!$B$20="Jahresanfang 2025 + Export",BG399+BF399,BF399))</f>
        <v/>
      </c>
      <c r="H399" s="55">
        <f>G399*F399</f>
        <v/>
      </c>
      <c r="I399" s="55">
        <f>BI399*Parameter!$B$18</f>
        <v/>
      </c>
      <c r="J399" s="56" t="n">
        <v>5.5</v>
      </c>
      <c r="K399" s="57" t="n">
        <v>0</v>
      </c>
      <c r="L399" s="55" t="n">
        <v>4</v>
      </c>
      <c r="M399" s="55" t="n">
        <v>1</v>
      </c>
      <c r="N399" s="58" t="n">
        <v>35</v>
      </c>
      <c r="O399" s="53" t="inlineStr">
        <is>
          <t>LOSE</t>
        </is>
      </c>
      <c r="P399" s="55" t="n"/>
      <c r="Q399" s="59">
        <f>IF(BO399=1,0,IFERROR(VLOOKUP(BM399,'Gebinde-Kategorie'!$A$5:$G$45,6,0)+0,0))</f>
        <v/>
      </c>
      <c r="R399" s="60" t="n"/>
      <c r="S399" s="61" t="n"/>
      <c r="T399" s="61" t="n"/>
      <c r="U399" s="53">
        <f>IF(A399="","",IF(IFERROR(VLOOKUP(D399,Parameter!$A$35:$C$64,2,0),"Nein")="2+3",IF(ISNUMBER(SEARCH("grosser Artikel",BJ399)),2,IFERROR(VLOOKUP(BM399,Parameter!$F$35:$G$64,2,0),2)),IF(OR(IFERROR(VLOOKUP(D399,Parameter!$A$35:$C$64,2,0),"Nein")="Nein",IFERROR(VLOOKUP(D399,Parameter!$A$35:$C$64,2,0),"Nein")=""),"-",VLOOKUP(D399,Parameter!$A$35:$C$64,2,0))))</f>
        <v/>
      </c>
      <c r="V399" s="61" t="n"/>
      <c r="W399" s="62" t="n"/>
      <c r="X399" s="55">
        <f>AM399</f>
        <v/>
      </c>
      <c r="Y399" s="55">
        <f>MAX(AM399,G399)</f>
        <v/>
      </c>
      <c r="Z399" s="63" t="n"/>
      <c r="AA399" s="55">
        <f>IF(LEFT(Cockpit!$C$5,1)="A",G399,IF(BT399=1,BU399,IF(LEFT(Cockpit!$C$5,1)="B",AE399,MAX(AE399,G399))))</f>
        <v/>
      </c>
      <c r="AB399" s="55">
        <f>IF(BO399=1,0,ROUNDUP(AA399/BN399,0))</f>
        <v/>
      </c>
      <c r="AC399" s="64">
        <f>IF(BO399=1,IF(AA399&lt;=0,0,BP399*MAX(1,IF(G399&gt;0,AA399/G399,1))),AB399*Q399)</f>
        <v/>
      </c>
      <c r="AD399" s="55">
        <f>AA399*F399</f>
        <v/>
      </c>
      <c r="AE399" s="55">
        <f>ROUNDUP(MAX(I399/IF(BS399&gt;0,BS399,MAX(0.1,N(Cockpit!$C$6))),BV399)/BN399,0)*BN399</f>
        <v/>
      </c>
      <c r="AF399" s="56">
        <f>IF(AC399&gt;0,I399/AC399,-1)</f>
        <v/>
      </c>
      <c r="AG399" s="56">
        <f>IF(AND(OR(BR399="L1",BR399="L23"),AC399&gt;0),SUMIFS($AC$7:$AC$1570,$BR$7:$BR$1570,BR399,$AF$7:$AF$1570,"&gt;"&amp;AF399)+SUMIFS($AC$7:$AC$1570,$BR$7:$BR$1570,BR399,$AF$7:$AF$1570,AF399,$BL$7:$BL$1570,"&lt;="&amp;BL399),"")</f>
        <v/>
      </c>
      <c r="AH399" s="65">
        <f>IF(AG399="",0,MAX(0,MIN(1,(IF(BR399="L1",Parameter!$K$5,Parameter!$K$6+Parameter!$K$7)-(AG399-AC399))/AC399)))</f>
        <v/>
      </c>
      <c r="AI399" s="55">
        <f>IF(LEFT(Cockpit!$I$5,1)="A",G399,IF(BT399=1,BU399,IF(LEFT(Cockpit!$I$5,1)="B",AM399,MAX(AM399,G399))))</f>
        <v/>
      </c>
      <c r="AJ399" s="55">
        <f>IF(BO399=1,0,ROUNDUP(AI399/BN399,0))</f>
        <v/>
      </c>
      <c r="AK399" s="64">
        <f>IF(BO399=1,IF(AI399&lt;=0,0,BP399*MAX(1,IF(G399&gt;0,AI399/G399,1))),AJ399*Q399)</f>
        <v/>
      </c>
      <c r="AL399" s="55">
        <f>AI399*F399</f>
        <v/>
      </c>
      <c r="AM399" s="55">
        <f>ROUNDUP(MAX(I399/IF(BS399&gt;0,BS399,MAX(0.1,N(Cockpit!$I$6))),BV399)/BN399,0)*BN399</f>
        <v/>
      </c>
      <c r="AN399" s="56">
        <f>IF(AK399&gt;0,I399/AK399,-1)</f>
        <v/>
      </c>
      <c r="AO399" s="56">
        <f>IF(AND(OR(BR399="L1",BR399="L23"),AK399&gt;0),SUMIFS($AK$7:$AK$1570,$BR$7:$BR$1570,BR399,$AN$7:$AN$1570,"&gt;"&amp;AN399)+SUMIFS($AK$7:$AK$1570,$BR$7:$BR$1570,BR399,$AN$7:$AN$1570,AN399,$BL$7:$BL$1570,"&lt;="&amp;BL399),"")</f>
        <v/>
      </c>
      <c r="AP399" s="65">
        <f>IF(AO399="",0,MAX(0,MIN(1,(IF(BR399="L1",Parameter!$K$5,Parameter!$K$6+Parameter!$K$7)-(AO399-AK399))/AK399)))</f>
        <v/>
      </c>
      <c r="AQ399" s="55">
        <f>IF(LEFT(Cockpit!$O$5,1)="A",G399,IF(BT399=1,BU399,IF(LEFT(Cockpit!$O$5,1)="B",AU399,MAX(AU399,G399))))</f>
        <v/>
      </c>
      <c r="AR399" s="55">
        <f>IF(BO399=1,0,ROUNDUP(AQ399/BN399,0))</f>
        <v/>
      </c>
      <c r="AS399" s="64">
        <f>IF(BO399=1,IF(AQ399&lt;=0,0,BP399*MAX(1,IF(G399&gt;0,AQ399/G399,1))),AR399*Q399)</f>
        <v/>
      </c>
      <c r="AT399" s="55">
        <f>AQ399*F399</f>
        <v/>
      </c>
      <c r="AU399" s="55">
        <f>ROUNDUP(MAX(I399/IF(BS399&gt;0,BS399,MAX(0.1,N(Cockpit!$O$6))),BV399)/BN399,0)*BN399</f>
        <v/>
      </c>
      <c r="AV399" s="56">
        <f>IF(AS399&gt;0,I399/AS399,-1)</f>
        <v/>
      </c>
      <c r="AW399" s="56">
        <f>IF(AND(OR(BR399="L1",BR399="L23"),AS399&gt;0),SUMIFS($AS$7:$AS$1570,$BR$7:$BR$1570,BR399,$AV$7:$AV$1570,"&gt;"&amp;AV399)+SUMIFS($AS$7:$AS$1570,$BR$7:$BR$1570,BR399,$AV$7:$AV$1570,AV399,$BL$7:$BL$1570,"&lt;="&amp;BL399),"")</f>
        <v/>
      </c>
      <c r="AX399" s="65">
        <f>IF(AW399="",0,MAX(0,MIN(1,(IF(BR399="L1",Parameter!$K$5,Parameter!$K$6+Parameter!$K$7)-(AW399-AS399))/AS399)))</f>
        <v/>
      </c>
      <c r="AY399" s="53">
        <f>IF(AC399&lt;=0,"",IF(BR399="Aussen","Aussenlager",IF(BR399="-","Nicht im Lift",IF(AH399&gt;=1,"Lift",IF(AH399&lt;=0,"Aussenlager","teilweise")))))</f>
        <v/>
      </c>
      <c r="AZ399" s="53">
        <f>IF(AK399&lt;=0,"",IF(BR399="Aussen","Aussenlager",IF(BR399="-","Nicht im Lift",IF(AP399&gt;=1,"Lift",IF(AP399&lt;=0,"Aussenlager","teilweise")))))</f>
        <v/>
      </c>
      <c r="BA399" s="53">
        <f>IF(AS399&lt;=0,"",IF(BR399="Aussen","Aussenlager",IF(BR399="-","Nicht im Lift",IF(AX399&gt;=1,"Lift",IF(AX399&lt;=0,"Aussenlager","teilweise")))))</f>
        <v/>
      </c>
      <c r="BB399" s="53">
        <f>IF(A399="","",IF(BK399=1,"Neu; ","")&amp;IF(AND(BK399=0,BF399&lt;0),"negativer Bestand (Export "&amp;BF399&amp;"); ","")&amp;IF(I399&lt;=0,"Kein Verbrauch; ","")&amp;IF(BO399=1,"Lose – Fläche geschätzt; ","")&amp;IF(G399&gt;AM399,"Überbestand "&amp;ROUND(G399-AM399,0)&amp;" Stk / CHF "&amp;ROUND((G399-AM399)*F399,0)&amp;"; ","")&amp;IF(AND(BT399=1,BU399&lt;BV399),"MAX &lt; MB+LG; ","")&amp;IF(AND(BZ399&gt;0,BY399*10&gt;BZ399),"zu hoch für Tablar; ","")&amp;IF(AND(BK399=0,OR(BT399=1,V399&lt;&gt;"",S399&lt;&gt;"",T399&lt;&gt;"",W399&lt;&gt;"")),"manuell übersteuert; ","")&amp;IF(AND(BO399=0,Q399=0),"Gebinde unbekannt; ","")&amp;IF(AND(BO399=0,N(T399)&lt;=0,N(P399)&lt;=0),"Menge pro Gebinde fehlt (Ist = 1 Gebinde); ","")&amp;BJ399)</f>
        <v/>
      </c>
      <c r="BC399" s="53" t="n"/>
      <c r="BD399" s="53" t="n"/>
      <c r="BE399" s="61" t="n"/>
      <c r="BF399" s="55" t="n">
        <v>3</v>
      </c>
      <c r="BG399" s="55" t="n">
        <v>4</v>
      </c>
      <c r="BH399" s="54" t="n">
        <v>111.6</v>
      </c>
      <c r="BI399" s="55" t="n">
        <v>0</v>
      </c>
      <c r="BJ399" s="53" t="inlineStr"/>
      <c r="BK399" s="58" t="n">
        <v>0</v>
      </c>
      <c r="BL399" s="58" t="n">
        <v>399</v>
      </c>
      <c r="BM399" s="53">
        <f>IF(S399&lt;&gt;"",UPPER(TRIM(S399)),IF(O399="","LOSE",O399))</f>
        <v/>
      </c>
      <c r="BN399" s="55">
        <f>IF(BM399="LOSE",1,IF(N(T399)&gt;0,T399,IF(N(P399)&gt;0,P399,MAX(1,G399))))</f>
        <v/>
      </c>
      <c r="BO399" s="58">
        <f>IF(BM399="LOSE",1,0)</f>
        <v/>
      </c>
      <c r="BP399" s="64">
        <f>IF(BO399=0,0,IF(N(R399)&gt;0,R399,IFERROR(VLOOKUP(D399,Parameter!$A$35:$C$64,3,0)+0,0)))</f>
        <v/>
      </c>
      <c r="BQ399" s="53">
        <f>IF(V399&lt;&gt;"",V399,U399)</f>
        <v/>
      </c>
      <c r="BR399" s="53">
        <f>IF(BQ399=1,"L1",IF(OR(BQ399=2,BQ399=3),"L23",IF(BQ399="Aussen","Aussen","-")))</f>
        <v/>
      </c>
      <c r="BS399" s="66">
        <f>IF(N(W399)&gt;0,W399,0)</f>
        <v/>
      </c>
      <c r="BT399" s="58">
        <f>IF(ISNUMBER(Z399),1,0)</f>
        <v/>
      </c>
      <c r="BU399" s="55">
        <f>N(Z399)</f>
        <v/>
      </c>
      <c r="BV399" s="55">
        <f>N(L399)+N(M399)</f>
        <v/>
      </c>
      <c r="BW399" s="55">
        <f>ROUNDUP(G399/BN399,0)</f>
        <v/>
      </c>
      <c r="BX399" s="55">
        <f>ROUNDUP(BU399/BN399,0)</f>
        <v/>
      </c>
      <c r="BY399" s="58">
        <f>IF(BO399=1,0,IFERROR(VLOOKUP(BM399,'Gebinde-Kategorie'!$A$5:$G$45,5,0)+0,0))</f>
        <v/>
      </c>
      <c r="BZ399" s="58">
        <f>IFERROR(IF(OR(BQ399=1,BQ399=2,BQ399=3),N(INDEX(Parameter!$I$5:$I$7,BQ399)),0),0)</f>
        <v/>
      </c>
    </row>
    <row r="400">
      <c r="A400" s="53" t="inlineStr">
        <is>
          <t>107104</t>
        </is>
      </c>
      <c r="B400" s="53" t="inlineStr">
        <is>
          <t>Sechskant Stifteinsatz</t>
        </is>
      </c>
      <c r="C400" s="53" t="inlineStr">
        <is>
          <t>F</t>
        </is>
      </c>
      <c r="D400" s="53" t="inlineStr">
        <is>
          <t>KTL</t>
        </is>
      </c>
      <c r="E400" s="53" t="inlineStr">
        <is>
          <t>C</t>
        </is>
      </c>
      <c r="F400" s="54" t="n">
        <v>10.97</v>
      </c>
      <c r="G400" s="55">
        <f>MAX(0,IF(Parameter!$B$20="Jahresanfang 2025 + Export",BG400+BF400,BF400))</f>
        <v/>
      </c>
      <c r="H400" s="55">
        <f>G400*F400</f>
        <v/>
      </c>
      <c r="I400" s="55">
        <f>BI400*Parameter!$B$18</f>
        <v/>
      </c>
      <c r="J400" s="56" t="n">
        <v>2.5</v>
      </c>
      <c r="K400" s="57" t="n">
        <v>3.2</v>
      </c>
      <c r="L400" s="55" t="n">
        <v>0</v>
      </c>
      <c r="M400" s="55" t="n">
        <v>10</v>
      </c>
      <c r="N400" s="58" t="n">
        <v>14</v>
      </c>
      <c r="O400" s="53" t="inlineStr">
        <is>
          <t>S22</t>
        </is>
      </c>
      <c r="P400" s="55" t="n">
        <v>12</v>
      </c>
      <c r="Q400" s="59">
        <f>IF(BO400=1,0,IFERROR(VLOOKUP(BM400,'Gebinde-Kategorie'!$A$5:$G$45,6,0)+0,0))</f>
        <v/>
      </c>
      <c r="R400" s="60" t="n"/>
      <c r="S400" s="61" t="n"/>
      <c r="T400" s="61" t="n"/>
      <c r="U400" s="53">
        <f>IF(A400="","",IF(IFERROR(VLOOKUP(D400,Parameter!$A$35:$C$64,2,0),"Nein")="2+3",IF(ISNUMBER(SEARCH("grosser Artikel",BJ400)),2,IFERROR(VLOOKUP(BM400,Parameter!$F$35:$G$64,2,0),2)),IF(OR(IFERROR(VLOOKUP(D400,Parameter!$A$35:$C$64,2,0),"Nein")="Nein",IFERROR(VLOOKUP(D400,Parameter!$A$35:$C$64,2,0),"Nein")=""),"-",VLOOKUP(D400,Parameter!$A$35:$C$64,2,0))))</f>
        <v/>
      </c>
      <c r="V400" s="61" t="n"/>
      <c r="W400" s="62" t="n"/>
      <c r="X400" s="55">
        <f>AM400</f>
        <v/>
      </c>
      <c r="Y400" s="55">
        <f>MAX(AM400,G400)</f>
        <v/>
      </c>
      <c r="Z400" s="63" t="n"/>
      <c r="AA400" s="55">
        <f>IF(LEFT(Cockpit!$C$5,1)="A",G400,IF(BT400=1,BU400,IF(LEFT(Cockpit!$C$5,1)="B",AE400,MAX(AE400,G400))))</f>
        <v/>
      </c>
      <c r="AB400" s="55">
        <f>IF(BO400=1,0,ROUNDUP(AA400/BN400,0))</f>
        <v/>
      </c>
      <c r="AC400" s="64">
        <f>IF(BO400=1,IF(AA400&lt;=0,0,BP400*MAX(1,IF(G400&gt;0,AA400/G400,1))),AB400*Q400)</f>
        <v/>
      </c>
      <c r="AD400" s="55">
        <f>AA400*F400</f>
        <v/>
      </c>
      <c r="AE400" s="55">
        <f>ROUNDUP(MAX(I400/IF(BS400&gt;0,BS400,MAX(0.1,N(Cockpit!$C$6))),BV400)/BN400,0)*BN400</f>
        <v/>
      </c>
      <c r="AF400" s="56">
        <f>IF(AC400&gt;0,I400/AC400,-1)</f>
        <v/>
      </c>
      <c r="AG400" s="56">
        <f>IF(AND(OR(BR400="L1",BR400="L23"),AC400&gt;0),SUMIFS($AC$7:$AC$1570,$BR$7:$BR$1570,BR400,$AF$7:$AF$1570,"&gt;"&amp;AF400)+SUMIFS($AC$7:$AC$1570,$BR$7:$BR$1570,BR400,$AF$7:$AF$1570,AF400,$BL$7:$BL$1570,"&lt;="&amp;BL400),"")</f>
        <v/>
      </c>
      <c r="AH400" s="65">
        <f>IF(AG400="",0,MAX(0,MIN(1,(IF(BR400="L1",Parameter!$K$5,Parameter!$K$6+Parameter!$K$7)-(AG400-AC400))/AC400)))</f>
        <v/>
      </c>
      <c r="AI400" s="55">
        <f>IF(LEFT(Cockpit!$I$5,1)="A",G400,IF(BT400=1,BU400,IF(LEFT(Cockpit!$I$5,1)="B",AM400,MAX(AM400,G400))))</f>
        <v/>
      </c>
      <c r="AJ400" s="55">
        <f>IF(BO400=1,0,ROUNDUP(AI400/BN400,0))</f>
        <v/>
      </c>
      <c r="AK400" s="64">
        <f>IF(BO400=1,IF(AI400&lt;=0,0,BP400*MAX(1,IF(G400&gt;0,AI400/G400,1))),AJ400*Q400)</f>
        <v/>
      </c>
      <c r="AL400" s="55">
        <f>AI400*F400</f>
        <v/>
      </c>
      <c r="AM400" s="55">
        <f>ROUNDUP(MAX(I400/IF(BS400&gt;0,BS400,MAX(0.1,N(Cockpit!$I$6))),BV400)/BN400,0)*BN400</f>
        <v/>
      </c>
      <c r="AN400" s="56">
        <f>IF(AK400&gt;0,I400/AK400,-1)</f>
        <v/>
      </c>
      <c r="AO400" s="56">
        <f>IF(AND(OR(BR400="L1",BR400="L23"),AK400&gt;0),SUMIFS($AK$7:$AK$1570,$BR$7:$BR$1570,BR400,$AN$7:$AN$1570,"&gt;"&amp;AN400)+SUMIFS($AK$7:$AK$1570,$BR$7:$BR$1570,BR400,$AN$7:$AN$1570,AN400,$BL$7:$BL$1570,"&lt;="&amp;BL400),"")</f>
        <v/>
      </c>
      <c r="AP400" s="65">
        <f>IF(AO400="",0,MAX(0,MIN(1,(IF(BR400="L1",Parameter!$K$5,Parameter!$K$6+Parameter!$K$7)-(AO400-AK400))/AK400)))</f>
        <v/>
      </c>
      <c r="AQ400" s="55">
        <f>IF(LEFT(Cockpit!$O$5,1)="A",G400,IF(BT400=1,BU400,IF(LEFT(Cockpit!$O$5,1)="B",AU400,MAX(AU400,G400))))</f>
        <v/>
      </c>
      <c r="AR400" s="55">
        <f>IF(BO400=1,0,ROUNDUP(AQ400/BN400,0))</f>
        <v/>
      </c>
      <c r="AS400" s="64">
        <f>IF(BO400=1,IF(AQ400&lt;=0,0,BP400*MAX(1,IF(G400&gt;0,AQ400/G400,1))),AR400*Q400)</f>
        <v/>
      </c>
      <c r="AT400" s="55">
        <f>AQ400*F400</f>
        <v/>
      </c>
      <c r="AU400" s="55">
        <f>ROUNDUP(MAX(I400/IF(BS400&gt;0,BS400,MAX(0.1,N(Cockpit!$O$6))),BV400)/BN400,0)*BN400</f>
        <v/>
      </c>
      <c r="AV400" s="56">
        <f>IF(AS400&gt;0,I400/AS400,-1)</f>
        <v/>
      </c>
      <c r="AW400" s="56">
        <f>IF(AND(OR(BR400="L1",BR400="L23"),AS400&gt;0),SUMIFS($AS$7:$AS$1570,$BR$7:$BR$1570,BR400,$AV$7:$AV$1570,"&gt;"&amp;AV400)+SUMIFS($AS$7:$AS$1570,$BR$7:$BR$1570,BR400,$AV$7:$AV$1570,AV400,$BL$7:$BL$1570,"&lt;="&amp;BL400),"")</f>
        <v/>
      </c>
      <c r="AX400" s="65">
        <f>IF(AW400="",0,MAX(0,MIN(1,(IF(BR400="L1",Parameter!$K$5,Parameter!$K$6+Parameter!$K$7)-(AW400-AS400))/AS400)))</f>
        <v/>
      </c>
      <c r="AY400" s="53">
        <f>IF(AC400&lt;=0,"",IF(BR400="Aussen","Aussenlager",IF(BR400="-","Nicht im Lift",IF(AH400&gt;=1,"Lift",IF(AH400&lt;=0,"Aussenlager","teilweise")))))</f>
        <v/>
      </c>
      <c r="AZ400" s="53">
        <f>IF(AK400&lt;=0,"",IF(BR400="Aussen","Aussenlager",IF(BR400="-","Nicht im Lift",IF(AP400&gt;=1,"Lift",IF(AP400&lt;=0,"Aussenlager","teilweise")))))</f>
        <v/>
      </c>
      <c r="BA400" s="53">
        <f>IF(AS400&lt;=0,"",IF(BR400="Aussen","Aussenlager",IF(BR400="-","Nicht im Lift",IF(AX400&gt;=1,"Lift",IF(AX400&lt;=0,"Aussenlager","teilweise")))))</f>
        <v/>
      </c>
      <c r="BB400" s="53">
        <f>IF(A400="","",IF(BK400=1,"Neu; ","")&amp;IF(AND(BK400=0,BF400&lt;0),"negativer Bestand (Export "&amp;BF400&amp;"); ","")&amp;IF(I400&lt;=0,"Kein Verbrauch; ","")&amp;IF(BO400=1,"Lose – Fläche geschätzt; ","")&amp;IF(G400&gt;AM400,"Überbestand "&amp;ROUND(G400-AM400,0)&amp;" Stk / CHF "&amp;ROUND((G400-AM400)*F400,0)&amp;"; ","")&amp;IF(AND(BT400=1,BU400&lt;BV400),"MAX &lt; MB+LG; ","")&amp;IF(AND(BZ400&gt;0,BY400*10&gt;BZ400),"zu hoch für Tablar; ","")&amp;IF(AND(BK400=0,OR(BT400=1,V400&lt;&gt;"",S400&lt;&gt;"",T400&lt;&gt;"",W400&lt;&gt;"")),"manuell übersteuert; ","")&amp;IF(AND(BO400=0,Q400=0),"Gebinde unbekannt; ","")&amp;IF(AND(BO400=0,N(T400)&lt;=0,N(P400)&lt;=0),"Menge pro Gebinde fehlt (Ist = 1 Gebinde); ","")&amp;BJ400)</f>
        <v/>
      </c>
      <c r="BC400" s="53" t="n"/>
      <c r="BD400" s="53" t="n"/>
      <c r="BE400" s="61" t="n"/>
      <c r="BF400" s="55" t="n">
        <v>10</v>
      </c>
      <c r="BG400" s="55" t="n">
        <v>3</v>
      </c>
      <c r="BH400" s="54" t="n">
        <v>110.9</v>
      </c>
      <c r="BI400" s="55" t="n">
        <v>8</v>
      </c>
      <c r="BJ400" s="53" t="inlineStr"/>
      <c r="BK400" s="58" t="n">
        <v>0</v>
      </c>
      <c r="BL400" s="58" t="n">
        <v>400</v>
      </c>
      <c r="BM400" s="53">
        <f>IF(S400&lt;&gt;"",UPPER(TRIM(S400)),IF(O400="","LOSE",O400))</f>
        <v/>
      </c>
      <c r="BN400" s="55">
        <f>IF(BM400="LOSE",1,IF(N(T400)&gt;0,T400,IF(N(P400)&gt;0,P400,MAX(1,G400))))</f>
        <v/>
      </c>
      <c r="BO400" s="58">
        <f>IF(BM400="LOSE",1,0)</f>
        <v/>
      </c>
      <c r="BP400" s="64">
        <f>IF(BO400=0,0,IF(N(R400)&gt;0,R400,IFERROR(VLOOKUP(D400,Parameter!$A$35:$C$64,3,0)+0,0)))</f>
        <v/>
      </c>
      <c r="BQ400" s="53">
        <f>IF(V400&lt;&gt;"",V400,U400)</f>
        <v/>
      </c>
      <c r="BR400" s="53">
        <f>IF(BQ400=1,"L1",IF(OR(BQ400=2,BQ400=3),"L23",IF(BQ400="Aussen","Aussen","-")))</f>
        <v/>
      </c>
      <c r="BS400" s="66">
        <f>IF(N(W400)&gt;0,W400,0)</f>
        <v/>
      </c>
      <c r="BT400" s="58">
        <f>IF(ISNUMBER(Z400),1,0)</f>
        <v/>
      </c>
      <c r="BU400" s="55">
        <f>N(Z400)</f>
        <v/>
      </c>
      <c r="BV400" s="55">
        <f>N(L400)+N(M400)</f>
        <v/>
      </c>
      <c r="BW400" s="55">
        <f>ROUNDUP(G400/BN400,0)</f>
        <v/>
      </c>
      <c r="BX400" s="55">
        <f>ROUNDUP(BU400/BN400,0)</f>
        <v/>
      </c>
      <c r="BY400" s="58">
        <f>IF(BO400=1,0,IFERROR(VLOOKUP(BM400,'Gebinde-Kategorie'!$A$5:$G$45,5,0)+0,0))</f>
        <v/>
      </c>
      <c r="BZ400" s="58">
        <f>IFERROR(IF(OR(BQ400=1,BQ400=2,BQ400=3),N(INDEX(Parameter!$I$5:$I$7,BQ400)),0),0)</f>
        <v/>
      </c>
    </row>
    <row r="401">
      <c r="A401" s="53" t="inlineStr">
        <is>
          <t>001043</t>
        </is>
      </c>
      <c r="B401" s="53" t="inlineStr">
        <is>
          <t>Verschlussbeutel klein</t>
        </is>
      </c>
      <c r="C401" s="53" t="inlineStr">
        <is>
          <t>F</t>
        </is>
      </c>
      <c r="D401" s="53" t="inlineStr">
        <is>
          <t>KTL</t>
        </is>
      </c>
      <c r="E401" s="53" t="inlineStr">
        <is>
          <t>C</t>
        </is>
      </c>
      <c r="F401" s="54" t="n">
        <v>0.08</v>
      </c>
      <c r="G401" s="55">
        <f>MAX(0,IF(Parameter!$B$20="Jahresanfang 2025 + Export",BG401+BF401,BF401))</f>
        <v/>
      </c>
      <c r="H401" s="55">
        <f>G401*F401</f>
        <v/>
      </c>
      <c r="I401" s="55">
        <f>BI401*Parameter!$B$18</f>
        <v/>
      </c>
      <c r="J401" s="56" t="n">
        <v>1000</v>
      </c>
      <c r="K401" s="57" t="n">
        <v>2.732</v>
      </c>
      <c r="L401" s="55" t="n">
        <v>159</v>
      </c>
      <c r="M401" s="55" t="n">
        <v>3000</v>
      </c>
      <c r="N401" s="58" t="n">
        <v>21</v>
      </c>
      <c r="O401" s="53" t="inlineStr">
        <is>
          <t>S51</t>
        </is>
      </c>
      <c r="P401" s="55" t="n">
        <v>2000</v>
      </c>
      <c r="Q401" s="59">
        <f>IF(BO401=1,0,IFERROR(VLOOKUP(BM401,'Gebinde-Kategorie'!$A$5:$G$45,6,0)+0,0))</f>
        <v/>
      </c>
      <c r="R401" s="60" t="n"/>
      <c r="S401" s="61" t="n"/>
      <c r="T401" s="61" t="n"/>
      <c r="U401" s="53">
        <f>IF(A401="","",IF(IFERROR(VLOOKUP(D401,Parameter!$A$35:$C$64,2,0),"Nein")="2+3",IF(ISNUMBER(SEARCH("grosser Artikel",BJ401)),2,IFERROR(VLOOKUP(BM401,Parameter!$F$35:$G$64,2,0),2)),IF(OR(IFERROR(VLOOKUP(D401,Parameter!$A$35:$C$64,2,0),"Nein")="Nein",IFERROR(VLOOKUP(D401,Parameter!$A$35:$C$64,2,0),"Nein")=""),"-",VLOOKUP(D401,Parameter!$A$35:$C$64,2,0))))</f>
        <v/>
      </c>
      <c r="V401" s="61" t="n"/>
      <c r="W401" s="62" t="n"/>
      <c r="X401" s="55">
        <f>AM401</f>
        <v/>
      </c>
      <c r="Y401" s="55">
        <f>MAX(AM401,G401)</f>
        <v/>
      </c>
      <c r="Z401" s="63" t="n"/>
      <c r="AA401" s="55">
        <f>IF(LEFT(Cockpit!$C$5,1)="A",G401,IF(BT401=1,BU401,IF(LEFT(Cockpit!$C$5,1)="B",AE401,MAX(AE401,G401))))</f>
        <v/>
      </c>
      <c r="AB401" s="55">
        <f>IF(BO401=1,0,ROUNDUP(AA401/BN401,0))</f>
        <v/>
      </c>
      <c r="AC401" s="64">
        <f>IF(BO401=1,IF(AA401&lt;=0,0,BP401*MAX(1,IF(G401&gt;0,AA401/G401,1))),AB401*Q401)</f>
        <v/>
      </c>
      <c r="AD401" s="55">
        <f>AA401*F401</f>
        <v/>
      </c>
      <c r="AE401" s="55">
        <f>ROUNDUP(MAX(I401/IF(BS401&gt;0,BS401,MAX(0.1,N(Cockpit!$C$6))),BV401)/BN401,0)*BN401</f>
        <v/>
      </c>
      <c r="AF401" s="56">
        <f>IF(AC401&gt;0,I401/AC401,-1)</f>
        <v/>
      </c>
      <c r="AG401" s="56">
        <f>IF(AND(OR(BR401="L1",BR401="L23"),AC401&gt;0),SUMIFS($AC$7:$AC$1570,$BR$7:$BR$1570,BR401,$AF$7:$AF$1570,"&gt;"&amp;AF401)+SUMIFS($AC$7:$AC$1570,$BR$7:$BR$1570,BR401,$AF$7:$AF$1570,AF401,$BL$7:$BL$1570,"&lt;="&amp;BL401),"")</f>
        <v/>
      </c>
      <c r="AH401" s="65">
        <f>IF(AG401="",0,MAX(0,MIN(1,(IF(BR401="L1",Parameter!$K$5,Parameter!$K$6+Parameter!$K$7)-(AG401-AC401))/AC401)))</f>
        <v/>
      </c>
      <c r="AI401" s="55">
        <f>IF(LEFT(Cockpit!$I$5,1)="A",G401,IF(BT401=1,BU401,IF(LEFT(Cockpit!$I$5,1)="B",AM401,MAX(AM401,G401))))</f>
        <v/>
      </c>
      <c r="AJ401" s="55">
        <f>IF(BO401=1,0,ROUNDUP(AI401/BN401,0))</f>
        <v/>
      </c>
      <c r="AK401" s="64">
        <f>IF(BO401=1,IF(AI401&lt;=0,0,BP401*MAX(1,IF(G401&gt;0,AI401/G401,1))),AJ401*Q401)</f>
        <v/>
      </c>
      <c r="AL401" s="55">
        <f>AI401*F401</f>
        <v/>
      </c>
      <c r="AM401" s="55">
        <f>ROUNDUP(MAX(I401/IF(BS401&gt;0,BS401,MAX(0.1,N(Cockpit!$I$6))),BV401)/BN401,0)*BN401</f>
        <v/>
      </c>
      <c r="AN401" s="56">
        <f>IF(AK401&gt;0,I401/AK401,-1)</f>
        <v/>
      </c>
      <c r="AO401" s="56">
        <f>IF(AND(OR(BR401="L1",BR401="L23"),AK401&gt;0),SUMIFS($AK$7:$AK$1570,$BR$7:$BR$1570,BR401,$AN$7:$AN$1570,"&gt;"&amp;AN401)+SUMIFS($AK$7:$AK$1570,$BR$7:$BR$1570,BR401,$AN$7:$AN$1570,AN401,$BL$7:$BL$1570,"&lt;="&amp;BL401),"")</f>
        <v/>
      </c>
      <c r="AP401" s="65">
        <f>IF(AO401="",0,MAX(0,MIN(1,(IF(BR401="L1",Parameter!$K$5,Parameter!$K$6+Parameter!$K$7)-(AO401-AK401))/AK401)))</f>
        <v/>
      </c>
      <c r="AQ401" s="55">
        <f>IF(LEFT(Cockpit!$O$5,1)="A",G401,IF(BT401=1,BU401,IF(LEFT(Cockpit!$O$5,1)="B",AU401,MAX(AU401,G401))))</f>
        <v/>
      </c>
      <c r="AR401" s="55">
        <f>IF(BO401=1,0,ROUNDUP(AQ401/BN401,0))</f>
        <v/>
      </c>
      <c r="AS401" s="64">
        <f>IF(BO401=1,IF(AQ401&lt;=0,0,BP401*MAX(1,IF(G401&gt;0,AQ401/G401,1))),AR401*Q401)</f>
        <v/>
      </c>
      <c r="AT401" s="55">
        <f>AQ401*F401</f>
        <v/>
      </c>
      <c r="AU401" s="55">
        <f>ROUNDUP(MAX(I401/IF(BS401&gt;0,BS401,MAX(0.1,N(Cockpit!$O$6))),BV401)/BN401,0)*BN401</f>
        <v/>
      </c>
      <c r="AV401" s="56">
        <f>IF(AS401&gt;0,I401/AS401,-1)</f>
        <v/>
      </c>
      <c r="AW401" s="56">
        <f>IF(AND(OR(BR401="L1",BR401="L23"),AS401&gt;0),SUMIFS($AS$7:$AS$1570,$BR$7:$BR$1570,BR401,$AV$7:$AV$1570,"&gt;"&amp;AV401)+SUMIFS($AS$7:$AS$1570,$BR$7:$BR$1570,BR401,$AV$7:$AV$1570,AV401,$BL$7:$BL$1570,"&lt;="&amp;BL401),"")</f>
        <v/>
      </c>
      <c r="AX401" s="65">
        <f>IF(AW401="",0,MAX(0,MIN(1,(IF(BR401="L1",Parameter!$K$5,Parameter!$K$6+Parameter!$K$7)-(AW401-AS401))/AS401)))</f>
        <v/>
      </c>
      <c r="AY401" s="53">
        <f>IF(AC401&lt;=0,"",IF(BR401="Aussen","Aussenlager",IF(BR401="-","Nicht im Lift",IF(AH401&gt;=1,"Lift",IF(AH401&lt;=0,"Aussenlager","teilweise")))))</f>
        <v/>
      </c>
      <c r="AZ401" s="53">
        <f>IF(AK401&lt;=0,"",IF(BR401="Aussen","Aussenlager",IF(BR401="-","Nicht im Lift",IF(AP401&gt;=1,"Lift",IF(AP401&lt;=0,"Aussenlager","teilweise")))))</f>
        <v/>
      </c>
      <c r="BA401" s="53">
        <f>IF(AS401&lt;=0,"",IF(BR401="Aussen","Aussenlager",IF(BR401="-","Nicht im Lift",IF(AX401&gt;=1,"Lift",IF(AX401&lt;=0,"Aussenlager","teilweise")))))</f>
        <v/>
      </c>
      <c r="BB401" s="53">
        <f>IF(A401="","",IF(BK401=1,"Neu; ","")&amp;IF(AND(BK401=0,BF401&lt;0),"negativer Bestand (Export "&amp;BF401&amp;"); ","")&amp;IF(I401&lt;=0,"Kein Verbrauch; ","")&amp;IF(BO401=1,"Lose – Fläche geschätzt; ","")&amp;IF(G401&gt;AM401,"Überbestand "&amp;ROUND(G401-AM401,0)&amp;" Stk / CHF "&amp;ROUND((G401-AM401)*F401,0)&amp;"; ","")&amp;IF(AND(BT401=1,BU401&lt;BV401),"MAX &lt; MB+LG; ","")&amp;IF(AND(BZ401&gt;0,BY401*10&gt;BZ401),"zu hoch für Tablar; ","")&amp;IF(AND(BK401=0,OR(BT401=1,V401&lt;&gt;"",S401&lt;&gt;"",T401&lt;&gt;"",W401&lt;&gt;"")),"manuell übersteuert; ","")&amp;IF(AND(BO401=0,Q401=0),"Gebinde unbekannt; ","")&amp;IF(AND(BO401=0,N(T401)&lt;=0,N(P401)&lt;=0),"Menge pro Gebinde fehlt (Ist = 1 Gebinde); ","")&amp;BJ401)</f>
        <v/>
      </c>
      <c r="BC401" s="53" t="n"/>
      <c r="BD401" s="53" t="n"/>
      <c r="BE401" s="61" t="n"/>
      <c r="BF401" s="55" t="n">
        <v>1384</v>
      </c>
      <c r="BG401" s="55" t="n">
        <v>400</v>
      </c>
      <c r="BH401" s="54" t="n">
        <v>110.72</v>
      </c>
      <c r="BI401" s="55" t="n">
        <v>2732</v>
      </c>
      <c r="BJ401" s="53" t="inlineStr"/>
      <c r="BK401" s="58" t="n">
        <v>0</v>
      </c>
      <c r="BL401" s="58" t="n">
        <v>401</v>
      </c>
      <c r="BM401" s="53">
        <f>IF(S401&lt;&gt;"",UPPER(TRIM(S401)),IF(O401="","LOSE",O401))</f>
        <v/>
      </c>
      <c r="BN401" s="55">
        <f>IF(BM401="LOSE",1,IF(N(T401)&gt;0,T401,IF(N(P401)&gt;0,P401,MAX(1,G401))))</f>
        <v/>
      </c>
      <c r="BO401" s="58">
        <f>IF(BM401="LOSE",1,0)</f>
        <v/>
      </c>
      <c r="BP401" s="64">
        <f>IF(BO401=0,0,IF(N(R401)&gt;0,R401,IFERROR(VLOOKUP(D401,Parameter!$A$35:$C$64,3,0)+0,0)))</f>
        <v/>
      </c>
      <c r="BQ401" s="53">
        <f>IF(V401&lt;&gt;"",V401,U401)</f>
        <v/>
      </c>
      <c r="BR401" s="53">
        <f>IF(BQ401=1,"L1",IF(OR(BQ401=2,BQ401=3),"L23",IF(BQ401="Aussen","Aussen","-")))</f>
        <v/>
      </c>
      <c r="BS401" s="66">
        <f>IF(N(W401)&gt;0,W401,0)</f>
        <v/>
      </c>
      <c r="BT401" s="58">
        <f>IF(ISNUMBER(Z401),1,0)</f>
        <v/>
      </c>
      <c r="BU401" s="55">
        <f>N(Z401)</f>
        <v/>
      </c>
      <c r="BV401" s="55">
        <f>N(L401)+N(M401)</f>
        <v/>
      </c>
      <c r="BW401" s="55">
        <f>ROUNDUP(G401/BN401,0)</f>
        <v/>
      </c>
      <c r="BX401" s="55">
        <f>ROUNDUP(BU401/BN401,0)</f>
        <v/>
      </c>
      <c r="BY401" s="58">
        <f>IF(BO401=1,0,IFERROR(VLOOKUP(BM401,'Gebinde-Kategorie'!$A$5:$G$45,5,0)+0,0))</f>
        <v/>
      </c>
      <c r="BZ401" s="58">
        <f>IFERROR(IF(OR(BQ401=1,BQ401=2,BQ401=3),N(INDEX(Parameter!$I$5:$I$7,BQ401)),0),0)</f>
        <v/>
      </c>
    </row>
    <row r="402">
      <c r="A402" s="53" t="inlineStr">
        <is>
          <t>103253</t>
        </is>
      </c>
      <c r="B402" s="53" t="inlineStr">
        <is>
          <t>Abpresszapfen</t>
        </is>
      </c>
      <c r="C402" s="53" t="inlineStr">
        <is>
          <t>F</t>
        </is>
      </c>
      <c r="D402" s="53" t="inlineStr">
        <is>
          <t>PAL</t>
        </is>
      </c>
      <c r="E402" s="53" t="inlineStr">
        <is>
          <t>C</t>
        </is>
      </c>
      <c r="F402" s="54" t="n">
        <v>43</v>
      </c>
      <c r="G402" s="55">
        <f>MAX(0,IF(Parameter!$B$20="Jahresanfang 2025 + Export",BG402+BF402,BF402))</f>
        <v/>
      </c>
      <c r="H402" s="55">
        <f>G402*F402</f>
        <v/>
      </c>
      <c r="I402" s="55">
        <f>BI402*Parameter!$B$18</f>
        <v/>
      </c>
      <c r="J402" s="56" t="n">
        <v>2</v>
      </c>
      <c r="K402" s="57" t="n">
        <v>6</v>
      </c>
      <c r="L402" s="55" t="n">
        <v>1</v>
      </c>
      <c r="M402" s="55" t="n">
        <v>10</v>
      </c>
      <c r="N402" s="58" t="n">
        <v>42</v>
      </c>
      <c r="O402" s="53" t="inlineStr">
        <is>
          <t>LOSE</t>
        </is>
      </c>
      <c r="P402" s="55" t="n"/>
      <c r="Q402" s="59">
        <f>IF(BO402=1,0,IFERROR(VLOOKUP(BM402,'Gebinde-Kategorie'!$A$5:$G$45,6,0)+0,0))</f>
        <v/>
      </c>
      <c r="R402" s="60" t="n"/>
      <c r="S402" s="61" t="n"/>
      <c r="T402" s="61" t="n"/>
      <c r="U402" s="53">
        <f>IF(A402="","",IF(IFERROR(VLOOKUP(D402,Parameter!$A$35:$C$64,2,0),"Nein")="2+3",IF(ISNUMBER(SEARCH("grosser Artikel",BJ402)),2,IFERROR(VLOOKUP(BM402,Parameter!$F$35:$G$64,2,0),2)),IF(OR(IFERROR(VLOOKUP(D402,Parameter!$A$35:$C$64,2,0),"Nein")="Nein",IFERROR(VLOOKUP(D402,Parameter!$A$35:$C$64,2,0),"Nein")=""),"-",VLOOKUP(D402,Parameter!$A$35:$C$64,2,0))))</f>
        <v/>
      </c>
      <c r="V402" s="61" t="n"/>
      <c r="W402" s="62" t="n"/>
      <c r="X402" s="55">
        <f>AM402</f>
        <v/>
      </c>
      <c r="Y402" s="55">
        <f>MAX(AM402,G402)</f>
        <v/>
      </c>
      <c r="Z402" s="63" t="n"/>
      <c r="AA402" s="55">
        <f>IF(LEFT(Cockpit!$C$5,1)="A",G402,IF(BT402=1,BU402,IF(LEFT(Cockpit!$C$5,1)="B",AE402,MAX(AE402,G402))))</f>
        <v/>
      </c>
      <c r="AB402" s="55">
        <f>IF(BO402=1,0,ROUNDUP(AA402/BN402,0))</f>
        <v/>
      </c>
      <c r="AC402" s="64">
        <f>IF(BO402=1,IF(AA402&lt;=0,0,BP402*MAX(1,IF(G402&gt;0,AA402/G402,1))),AB402*Q402)</f>
        <v/>
      </c>
      <c r="AD402" s="55">
        <f>AA402*F402</f>
        <v/>
      </c>
      <c r="AE402" s="55">
        <f>ROUNDUP(MAX(I402/IF(BS402&gt;0,BS402,MAX(0.1,N(Cockpit!$C$6))),BV402)/BN402,0)*BN402</f>
        <v/>
      </c>
      <c r="AF402" s="56">
        <f>IF(AC402&gt;0,I402/AC402,-1)</f>
        <v/>
      </c>
      <c r="AG402" s="56">
        <f>IF(AND(OR(BR402="L1",BR402="L23"),AC402&gt;0),SUMIFS($AC$7:$AC$1570,$BR$7:$BR$1570,BR402,$AF$7:$AF$1570,"&gt;"&amp;AF402)+SUMIFS($AC$7:$AC$1570,$BR$7:$BR$1570,BR402,$AF$7:$AF$1570,AF402,$BL$7:$BL$1570,"&lt;="&amp;BL402),"")</f>
        <v/>
      </c>
      <c r="AH402" s="65">
        <f>IF(AG402="",0,MAX(0,MIN(1,(IF(BR402="L1",Parameter!$K$5,Parameter!$K$6+Parameter!$K$7)-(AG402-AC402))/AC402)))</f>
        <v/>
      </c>
      <c r="AI402" s="55">
        <f>IF(LEFT(Cockpit!$I$5,1)="A",G402,IF(BT402=1,BU402,IF(LEFT(Cockpit!$I$5,1)="B",AM402,MAX(AM402,G402))))</f>
        <v/>
      </c>
      <c r="AJ402" s="55">
        <f>IF(BO402=1,0,ROUNDUP(AI402/BN402,0))</f>
        <v/>
      </c>
      <c r="AK402" s="64">
        <f>IF(BO402=1,IF(AI402&lt;=0,0,BP402*MAX(1,IF(G402&gt;0,AI402/G402,1))),AJ402*Q402)</f>
        <v/>
      </c>
      <c r="AL402" s="55">
        <f>AI402*F402</f>
        <v/>
      </c>
      <c r="AM402" s="55">
        <f>ROUNDUP(MAX(I402/IF(BS402&gt;0,BS402,MAX(0.1,N(Cockpit!$I$6))),BV402)/BN402,0)*BN402</f>
        <v/>
      </c>
      <c r="AN402" s="56">
        <f>IF(AK402&gt;0,I402/AK402,-1)</f>
        <v/>
      </c>
      <c r="AO402" s="56">
        <f>IF(AND(OR(BR402="L1",BR402="L23"),AK402&gt;0),SUMIFS($AK$7:$AK$1570,$BR$7:$BR$1570,BR402,$AN$7:$AN$1570,"&gt;"&amp;AN402)+SUMIFS($AK$7:$AK$1570,$BR$7:$BR$1570,BR402,$AN$7:$AN$1570,AN402,$BL$7:$BL$1570,"&lt;="&amp;BL402),"")</f>
        <v/>
      </c>
      <c r="AP402" s="65">
        <f>IF(AO402="",0,MAX(0,MIN(1,(IF(BR402="L1",Parameter!$K$5,Parameter!$K$6+Parameter!$K$7)-(AO402-AK402))/AK402)))</f>
        <v/>
      </c>
      <c r="AQ402" s="55">
        <f>IF(LEFT(Cockpit!$O$5,1)="A",G402,IF(BT402=1,BU402,IF(LEFT(Cockpit!$O$5,1)="B",AU402,MAX(AU402,G402))))</f>
        <v/>
      </c>
      <c r="AR402" s="55">
        <f>IF(BO402=1,0,ROUNDUP(AQ402/BN402,0))</f>
        <v/>
      </c>
      <c r="AS402" s="64">
        <f>IF(BO402=1,IF(AQ402&lt;=0,0,BP402*MAX(1,IF(G402&gt;0,AQ402/G402,1))),AR402*Q402)</f>
        <v/>
      </c>
      <c r="AT402" s="55">
        <f>AQ402*F402</f>
        <v/>
      </c>
      <c r="AU402" s="55">
        <f>ROUNDUP(MAX(I402/IF(BS402&gt;0,BS402,MAX(0.1,N(Cockpit!$O$6))),BV402)/BN402,0)*BN402</f>
        <v/>
      </c>
      <c r="AV402" s="56">
        <f>IF(AS402&gt;0,I402/AS402,-1)</f>
        <v/>
      </c>
      <c r="AW402" s="56">
        <f>IF(AND(OR(BR402="L1",BR402="L23"),AS402&gt;0),SUMIFS($AS$7:$AS$1570,$BR$7:$BR$1570,BR402,$AV$7:$AV$1570,"&gt;"&amp;AV402)+SUMIFS($AS$7:$AS$1570,$BR$7:$BR$1570,BR402,$AV$7:$AV$1570,AV402,$BL$7:$BL$1570,"&lt;="&amp;BL402),"")</f>
        <v/>
      </c>
      <c r="AX402" s="65">
        <f>IF(AW402="",0,MAX(0,MIN(1,(IF(BR402="L1",Parameter!$K$5,Parameter!$K$6+Parameter!$K$7)-(AW402-AS402))/AS402)))</f>
        <v/>
      </c>
      <c r="AY402" s="53">
        <f>IF(AC402&lt;=0,"",IF(BR402="Aussen","Aussenlager",IF(BR402="-","Nicht im Lift",IF(AH402&gt;=1,"Lift",IF(AH402&lt;=0,"Aussenlager","teilweise")))))</f>
        <v/>
      </c>
      <c r="AZ402" s="53">
        <f>IF(AK402&lt;=0,"",IF(BR402="Aussen","Aussenlager",IF(BR402="-","Nicht im Lift",IF(AP402&gt;=1,"Lift",IF(AP402&lt;=0,"Aussenlager","teilweise")))))</f>
        <v/>
      </c>
      <c r="BA402" s="53">
        <f>IF(AS402&lt;=0,"",IF(BR402="Aussen","Aussenlager",IF(BR402="-","Nicht im Lift",IF(AX402&gt;=1,"Lift",IF(AX402&lt;=0,"Aussenlager","teilweise")))))</f>
        <v/>
      </c>
      <c r="BB402" s="53">
        <f>IF(A402="","",IF(BK402=1,"Neu; ","")&amp;IF(AND(BK402=0,BF402&lt;0),"negativer Bestand (Export "&amp;BF402&amp;"); ","")&amp;IF(I402&lt;=0,"Kein Verbrauch; ","")&amp;IF(BO402=1,"Lose – Fläche geschätzt; ","")&amp;IF(G402&gt;AM402,"Überbestand "&amp;ROUND(G402-AM402,0)&amp;" Stk / CHF "&amp;ROUND((G402-AM402)*F402,0)&amp;"; ","")&amp;IF(AND(BT402=1,BU402&lt;BV402),"MAX &lt; MB+LG; ","")&amp;IF(AND(BZ402&gt;0,BY402*10&gt;BZ402),"zu hoch für Tablar; ","")&amp;IF(AND(BK402=0,OR(BT402=1,V402&lt;&gt;"",S402&lt;&gt;"",T402&lt;&gt;"",W402&lt;&gt;"")),"manuell übersteuert; ","")&amp;IF(AND(BO402=0,Q402=0),"Gebinde unbekannt; ","")&amp;IF(AND(BO402=0,N(T402)&lt;=0,N(P402)&lt;=0),"Menge pro Gebinde fehlt (Ist = 1 Gebinde); ","")&amp;BJ402)</f>
        <v/>
      </c>
      <c r="BC402" s="53" t="n"/>
      <c r="BD402" s="53" t="n"/>
      <c r="BE402" s="61" t="n"/>
      <c r="BF402" s="55" t="n">
        <v>6</v>
      </c>
      <c r="BG402" s="55" t="n">
        <v>4</v>
      </c>
      <c r="BH402" s="54" t="n">
        <v>110.0000000000001</v>
      </c>
      <c r="BI402" s="55" t="n">
        <v>12</v>
      </c>
      <c r="BJ402" s="53" t="inlineStr"/>
      <c r="BK402" s="58" t="n">
        <v>0</v>
      </c>
      <c r="BL402" s="58" t="n">
        <v>402</v>
      </c>
      <c r="BM402" s="53">
        <f>IF(S402&lt;&gt;"",UPPER(TRIM(S402)),IF(O402="","LOSE",O402))</f>
        <v/>
      </c>
      <c r="BN402" s="55">
        <f>IF(BM402="LOSE",1,IF(N(T402)&gt;0,T402,IF(N(P402)&gt;0,P402,MAX(1,G402))))</f>
        <v/>
      </c>
      <c r="BO402" s="58">
        <f>IF(BM402="LOSE",1,0)</f>
        <v/>
      </c>
      <c r="BP402" s="64">
        <f>IF(BO402=0,0,IF(N(R402)&gt;0,R402,IFERROR(VLOOKUP(D402,Parameter!$A$35:$C$64,3,0)+0,0)))</f>
        <v/>
      </c>
      <c r="BQ402" s="53">
        <f>IF(V402&lt;&gt;"",V402,U402)</f>
        <v/>
      </c>
      <c r="BR402" s="53">
        <f>IF(BQ402=1,"L1",IF(OR(BQ402=2,BQ402=3),"L23",IF(BQ402="Aussen","Aussen","-")))</f>
        <v/>
      </c>
      <c r="BS402" s="66">
        <f>IF(N(W402)&gt;0,W402,0)</f>
        <v/>
      </c>
      <c r="BT402" s="58">
        <f>IF(ISNUMBER(Z402),1,0)</f>
        <v/>
      </c>
      <c r="BU402" s="55">
        <f>N(Z402)</f>
        <v/>
      </c>
      <c r="BV402" s="55">
        <f>N(L402)+N(M402)</f>
        <v/>
      </c>
      <c r="BW402" s="55">
        <f>ROUNDUP(G402/BN402,0)</f>
        <v/>
      </c>
      <c r="BX402" s="55">
        <f>ROUNDUP(BU402/BN402,0)</f>
        <v/>
      </c>
      <c r="BY402" s="58">
        <f>IF(BO402=1,0,IFERROR(VLOOKUP(BM402,'Gebinde-Kategorie'!$A$5:$G$45,5,0)+0,0))</f>
        <v/>
      </c>
      <c r="BZ402" s="58">
        <f>IFERROR(IF(OR(BQ402=1,BQ402=2,BQ402=3),N(INDEX(Parameter!$I$5:$I$7,BQ402)),0),0)</f>
        <v/>
      </c>
    </row>
    <row r="403">
      <c r="A403" s="53" t="inlineStr">
        <is>
          <t>001125</t>
        </is>
      </c>
      <c r="B403" s="53" t="inlineStr">
        <is>
          <t>Holzkiste Steuerschrank klein / Gestell</t>
        </is>
      </c>
      <c r="C403" s="53" t="inlineStr">
        <is>
          <t>F</t>
        </is>
      </c>
      <c r="D403" s="53" t="inlineStr">
        <is>
          <t>PAL</t>
        </is>
      </c>
      <c r="E403" s="53" t="inlineStr">
        <is>
          <t>C</t>
        </is>
      </c>
      <c r="F403" s="54" t="n">
        <v>406.5</v>
      </c>
      <c r="G403" s="55">
        <f>MAX(0,IF(Parameter!$B$20="Jahresanfang 2025 + Export",BG403+BF403,BF403))</f>
        <v/>
      </c>
      <c r="H403" s="55">
        <f>G403*F403</f>
        <v/>
      </c>
      <c r="I403" s="55">
        <f>BI403*Parameter!$B$18</f>
        <v/>
      </c>
      <c r="J403" s="56" t="n">
        <v>0.5</v>
      </c>
      <c r="K403" s="57" t="n">
        <v>24</v>
      </c>
      <c r="L403" s="55" t="n">
        <v>0</v>
      </c>
      <c r="M403" s="55" t="n">
        <v>1</v>
      </c>
      <c r="N403" s="58" t="n">
        <v>14</v>
      </c>
      <c r="O403" s="53" t="inlineStr">
        <is>
          <t>LOSE</t>
        </is>
      </c>
      <c r="P403" s="55" t="n"/>
      <c r="Q403" s="59">
        <f>IF(BO403=1,0,IFERROR(VLOOKUP(BM403,'Gebinde-Kategorie'!$A$5:$G$45,6,0)+0,0))</f>
        <v/>
      </c>
      <c r="R403" s="60" t="n"/>
      <c r="S403" s="61" t="n"/>
      <c r="T403" s="61" t="n"/>
      <c r="U403" s="53">
        <f>IF(A403="","",IF(IFERROR(VLOOKUP(D403,Parameter!$A$35:$C$64,2,0),"Nein")="2+3",IF(ISNUMBER(SEARCH("grosser Artikel",BJ403)),2,IFERROR(VLOOKUP(BM403,Parameter!$F$35:$G$64,2,0),2)),IF(OR(IFERROR(VLOOKUP(D403,Parameter!$A$35:$C$64,2,0),"Nein")="Nein",IFERROR(VLOOKUP(D403,Parameter!$A$35:$C$64,2,0),"Nein")=""),"-",VLOOKUP(D403,Parameter!$A$35:$C$64,2,0))))</f>
        <v/>
      </c>
      <c r="V403" s="61" t="n"/>
      <c r="W403" s="62" t="n"/>
      <c r="X403" s="55">
        <f>AM403</f>
        <v/>
      </c>
      <c r="Y403" s="55">
        <f>MAX(AM403,G403)</f>
        <v/>
      </c>
      <c r="Z403" s="63" t="n"/>
      <c r="AA403" s="55">
        <f>IF(LEFT(Cockpit!$C$5,1)="A",G403,IF(BT403=1,BU403,IF(LEFT(Cockpit!$C$5,1)="B",AE403,MAX(AE403,G403))))</f>
        <v/>
      </c>
      <c r="AB403" s="55">
        <f>IF(BO403=1,0,ROUNDUP(AA403/BN403,0))</f>
        <v/>
      </c>
      <c r="AC403" s="64">
        <f>IF(BO403=1,IF(AA403&lt;=0,0,BP403*MAX(1,IF(G403&gt;0,AA403/G403,1))),AB403*Q403)</f>
        <v/>
      </c>
      <c r="AD403" s="55">
        <f>AA403*F403</f>
        <v/>
      </c>
      <c r="AE403" s="55">
        <f>ROUNDUP(MAX(I403/IF(BS403&gt;0,BS403,MAX(0.1,N(Cockpit!$C$6))),BV403)/BN403,0)*BN403</f>
        <v/>
      </c>
      <c r="AF403" s="56">
        <f>IF(AC403&gt;0,I403/AC403,-1)</f>
        <v/>
      </c>
      <c r="AG403" s="56">
        <f>IF(AND(OR(BR403="L1",BR403="L23"),AC403&gt;0),SUMIFS($AC$7:$AC$1570,$BR$7:$BR$1570,BR403,$AF$7:$AF$1570,"&gt;"&amp;AF403)+SUMIFS($AC$7:$AC$1570,$BR$7:$BR$1570,BR403,$AF$7:$AF$1570,AF403,$BL$7:$BL$1570,"&lt;="&amp;BL403),"")</f>
        <v/>
      </c>
      <c r="AH403" s="65">
        <f>IF(AG403="",0,MAX(0,MIN(1,(IF(BR403="L1",Parameter!$K$5,Parameter!$K$6+Parameter!$K$7)-(AG403-AC403))/AC403)))</f>
        <v/>
      </c>
      <c r="AI403" s="55">
        <f>IF(LEFT(Cockpit!$I$5,1)="A",G403,IF(BT403=1,BU403,IF(LEFT(Cockpit!$I$5,1)="B",AM403,MAX(AM403,G403))))</f>
        <v/>
      </c>
      <c r="AJ403" s="55">
        <f>IF(BO403=1,0,ROUNDUP(AI403/BN403,0))</f>
        <v/>
      </c>
      <c r="AK403" s="64">
        <f>IF(BO403=1,IF(AI403&lt;=0,0,BP403*MAX(1,IF(G403&gt;0,AI403/G403,1))),AJ403*Q403)</f>
        <v/>
      </c>
      <c r="AL403" s="55">
        <f>AI403*F403</f>
        <v/>
      </c>
      <c r="AM403" s="55">
        <f>ROUNDUP(MAX(I403/IF(BS403&gt;0,BS403,MAX(0.1,N(Cockpit!$I$6))),BV403)/BN403,0)*BN403</f>
        <v/>
      </c>
      <c r="AN403" s="56">
        <f>IF(AK403&gt;0,I403/AK403,-1)</f>
        <v/>
      </c>
      <c r="AO403" s="56">
        <f>IF(AND(OR(BR403="L1",BR403="L23"),AK403&gt;0),SUMIFS($AK$7:$AK$1570,$BR$7:$BR$1570,BR403,$AN$7:$AN$1570,"&gt;"&amp;AN403)+SUMIFS($AK$7:$AK$1570,$BR$7:$BR$1570,BR403,$AN$7:$AN$1570,AN403,$BL$7:$BL$1570,"&lt;="&amp;BL403),"")</f>
        <v/>
      </c>
      <c r="AP403" s="65">
        <f>IF(AO403="",0,MAX(0,MIN(1,(IF(BR403="L1",Parameter!$K$5,Parameter!$K$6+Parameter!$K$7)-(AO403-AK403))/AK403)))</f>
        <v/>
      </c>
      <c r="AQ403" s="55">
        <f>IF(LEFT(Cockpit!$O$5,1)="A",G403,IF(BT403=1,BU403,IF(LEFT(Cockpit!$O$5,1)="B",AU403,MAX(AU403,G403))))</f>
        <v/>
      </c>
      <c r="AR403" s="55">
        <f>IF(BO403=1,0,ROUNDUP(AQ403/BN403,0))</f>
        <v/>
      </c>
      <c r="AS403" s="64">
        <f>IF(BO403=1,IF(AQ403&lt;=0,0,BP403*MAX(1,IF(G403&gt;0,AQ403/G403,1))),AR403*Q403)</f>
        <v/>
      </c>
      <c r="AT403" s="55">
        <f>AQ403*F403</f>
        <v/>
      </c>
      <c r="AU403" s="55">
        <f>ROUNDUP(MAX(I403/IF(BS403&gt;0,BS403,MAX(0.1,N(Cockpit!$O$6))),BV403)/BN403,0)*BN403</f>
        <v/>
      </c>
      <c r="AV403" s="56">
        <f>IF(AS403&gt;0,I403/AS403,-1)</f>
        <v/>
      </c>
      <c r="AW403" s="56">
        <f>IF(AND(OR(BR403="L1",BR403="L23"),AS403&gt;0),SUMIFS($AS$7:$AS$1570,$BR$7:$BR$1570,BR403,$AV$7:$AV$1570,"&gt;"&amp;AV403)+SUMIFS($AS$7:$AS$1570,$BR$7:$BR$1570,BR403,$AV$7:$AV$1570,AV403,$BL$7:$BL$1570,"&lt;="&amp;BL403),"")</f>
        <v/>
      </c>
      <c r="AX403" s="65">
        <f>IF(AW403="",0,MAX(0,MIN(1,(IF(BR403="L1",Parameter!$K$5,Parameter!$K$6+Parameter!$K$7)-(AW403-AS403))/AS403)))</f>
        <v/>
      </c>
      <c r="AY403" s="53">
        <f>IF(AC403&lt;=0,"",IF(BR403="Aussen","Aussenlager",IF(BR403="-","Nicht im Lift",IF(AH403&gt;=1,"Lift",IF(AH403&lt;=0,"Aussenlager","teilweise")))))</f>
        <v/>
      </c>
      <c r="AZ403" s="53">
        <f>IF(AK403&lt;=0,"",IF(BR403="Aussen","Aussenlager",IF(BR403="-","Nicht im Lift",IF(AP403&gt;=1,"Lift",IF(AP403&lt;=0,"Aussenlager","teilweise")))))</f>
        <v/>
      </c>
      <c r="BA403" s="53">
        <f>IF(AS403&lt;=0,"",IF(BR403="Aussen","Aussenlager",IF(BR403="-","Nicht im Lift",IF(AX403&gt;=1,"Lift",IF(AX403&lt;=0,"Aussenlager","teilweise")))))</f>
        <v/>
      </c>
      <c r="BB403" s="53">
        <f>IF(A403="","",IF(BK403=1,"Neu; ","")&amp;IF(AND(BK403=0,BF403&lt;0),"negativer Bestand (Export "&amp;BF403&amp;"); ","")&amp;IF(I403&lt;=0,"Kein Verbrauch; ","")&amp;IF(BO403=1,"Lose – Fläche geschätzt; ","")&amp;IF(G403&gt;AM403,"Überbestand "&amp;ROUND(G403-AM403,0)&amp;" Stk / CHF "&amp;ROUND((G403-AM403)*F403,0)&amp;"; ","")&amp;IF(AND(BT403=1,BU403&lt;BV403),"MAX &lt; MB+LG; ","")&amp;IF(AND(BZ403&gt;0,BY403*10&gt;BZ403),"zu hoch für Tablar; ","")&amp;IF(AND(BK403=0,OR(BT403=1,V403&lt;&gt;"",S403&lt;&gt;"",T403&lt;&gt;"",W403&lt;&gt;"")),"manuell übersteuert; ","")&amp;IF(AND(BO403=0,Q403=0),"Gebinde unbekannt; ","")&amp;IF(AND(BO403=0,N(T403)&lt;=0,N(P403)&lt;=0),"Menge pro Gebinde fehlt (Ist = 1 Gebinde); ","")&amp;BJ403)</f>
        <v/>
      </c>
      <c r="BC403" s="53" t="n"/>
      <c r="BD403" s="53" t="n"/>
      <c r="BE403" s="61" t="n"/>
      <c r="BF403" s="55" t="n">
        <v>0</v>
      </c>
      <c r="BG403" s="55" t="n">
        <v>1</v>
      </c>
      <c r="BH403" s="54" t="n">
        <v>108.2999999999995</v>
      </c>
      <c r="BI403" s="55" t="n">
        <v>12</v>
      </c>
      <c r="BJ403" s="53" t="inlineStr"/>
      <c r="BK403" s="58" t="n">
        <v>0</v>
      </c>
      <c r="BL403" s="58" t="n">
        <v>403</v>
      </c>
      <c r="BM403" s="53">
        <f>IF(S403&lt;&gt;"",UPPER(TRIM(S403)),IF(O403="","LOSE",O403))</f>
        <v/>
      </c>
      <c r="BN403" s="55">
        <f>IF(BM403="LOSE",1,IF(N(T403)&gt;0,T403,IF(N(P403)&gt;0,P403,MAX(1,G403))))</f>
        <v/>
      </c>
      <c r="BO403" s="58">
        <f>IF(BM403="LOSE",1,0)</f>
        <v/>
      </c>
      <c r="BP403" s="64">
        <f>IF(BO403=0,0,IF(N(R403)&gt;0,R403,IFERROR(VLOOKUP(D403,Parameter!$A$35:$C$64,3,0)+0,0)))</f>
        <v/>
      </c>
      <c r="BQ403" s="53">
        <f>IF(V403&lt;&gt;"",V403,U403)</f>
        <v/>
      </c>
      <c r="BR403" s="53">
        <f>IF(BQ403=1,"L1",IF(OR(BQ403=2,BQ403=3),"L23",IF(BQ403="Aussen","Aussen","-")))</f>
        <v/>
      </c>
      <c r="BS403" s="66">
        <f>IF(N(W403)&gt;0,W403,0)</f>
        <v/>
      </c>
      <c r="BT403" s="58">
        <f>IF(ISNUMBER(Z403),1,0)</f>
        <v/>
      </c>
      <c r="BU403" s="55">
        <f>N(Z403)</f>
        <v/>
      </c>
      <c r="BV403" s="55">
        <f>N(L403)+N(M403)</f>
        <v/>
      </c>
      <c r="BW403" s="55">
        <f>ROUNDUP(G403/BN403,0)</f>
        <v/>
      </c>
      <c r="BX403" s="55">
        <f>ROUNDUP(BU403/BN403,0)</f>
        <v/>
      </c>
      <c r="BY403" s="58">
        <f>IF(BO403=1,0,IFERROR(VLOOKUP(BM403,'Gebinde-Kategorie'!$A$5:$G$45,5,0)+0,0))</f>
        <v/>
      </c>
      <c r="BZ403" s="58">
        <f>IFERROR(IF(OR(BQ403=1,BQ403=2,BQ403=3),N(INDEX(Parameter!$I$5:$I$7,BQ403)),0),0)</f>
        <v/>
      </c>
    </row>
    <row r="404">
      <c r="A404" s="53" t="inlineStr">
        <is>
          <t>002022</t>
        </is>
      </c>
      <c r="B404" s="53" t="inlineStr">
        <is>
          <t>Schlosserhammer</t>
        </is>
      </c>
      <c r="C404" s="53" t="inlineStr">
        <is>
          <t>F</t>
        </is>
      </c>
      <c r="D404" s="53" t="inlineStr">
        <is>
          <t>KTL</t>
        </is>
      </c>
      <c r="E404" s="53" t="inlineStr">
        <is>
          <t>C</t>
        </is>
      </c>
      <c r="F404" s="54" t="n">
        <v>10.8</v>
      </c>
      <c r="G404" s="55">
        <f>MAX(0,IF(Parameter!$B$20="Jahresanfang 2025 + Export",BG404+BF404,BF404))</f>
        <v/>
      </c>
      <c r="H404" s="55">
        <f>G404*F404</f>
        <v/>
      </c>
      <c r="I404" s="55">
        <f>BI404*Parameter!$B$18</f>
        <v/>
      </c>
      <c r="J404" s="56" t="n">
        <v>2</v>
      </c>
      <c r="K404" s="57" t="n">
        <v>3.5</v>
      </c>
      <c r="L404" s="55" t="n">
        <v>0</v>
      </c>
      <c r="M404" s="55" t="n">
        <v>5</v>
      </c>
      <c r="N404" s="58" t="n">
        <v>28</v>
      </c>
      <c r="O404" s="53" t="inlineStr">
        <is>
          <t>S33</t>
        </is>
      </c>
      <c r="P404" s="55" t="n">
        <v>5</v>
      </c>
      <c r="Q404" s="59">
        <f>IF(BO404=1,0,IFERROR(VLOOKUP(BM404,'Gebinde-Kategorie'!$A$5:$G$45,6,0)+0,0))</f>
        <v/>
      </c>
      <c r="R404" s="60" t="n"/>
      <c r="S404" s="61" t="n"/>
      <c r="T404" s="61" t="n"/>
      <c r="U404" s="53">
        <f>IF(A404="","",IF(IFERROR(VLOOKUP(D404,Parameter!$A$35:$C$64,2,0),"Nein")="2+3",IF(ISNUMBER(SEARCH("grosser Artikel",BJ404)),2,IFERROR(VLOOKUP(BM404,Parameter!$F$35:$G$64,2,0),2)),IF(OR(IFERROR(VLOOKUP(D404,Parameter!$A$35:$C$64,2,0),"Nein")="Nein",IFERROR(VLOOKUP(D404,Parameter!$A$35:$C$64,2,0),"Nein")=""),"-",VLOOKUP(D404,Parameter!$A$35:$C$64,2,0))))</f>
        <v/>
      </c>
      <c r="V404" s="61" t="n"/>
      <c r="W404" s="62" t="n"/>
      <c r="X404" s="55">
        <f>AM404</f>
        <v/>
      </c>
      <c r="Y404" s="55">
        <f>MAX(AM404,G404)</f>
        <v/>
      </c>
      <c r="Z404" s="63" t="n"/>
      <c r="AA404" s="55">
        <f>IF(LEFT(Cockpit!$C$5,1)="A",G404,IF(BT404=1,BU404,IF(LEFT(Cockpit!$C$5,1)="B",AE404,MAX(AE404,G404))))</f>
        <v/>
      </c>
      <c r="AB404" s="55">
        <f>IF(BO404=1,0,ROUNDUP(AA404/BN404,0))</f>
        <v/>
      </c>
      <c r="AC404" s="64">
        <f>IF(BO404=1,IF(AA404&lt;=0,0,BP404*MAX(1,IF(G404&gt;0,AA404/G404,1))),AB404*Q404)</f>
        <v/>
      </c>
      <c r="AD404" s="55">
        <f>AA404*F404</f>
        <v/>
      </c>
      <c r="AE404" s="55">
        <f>ROUNDUP(MAX(I404/IF(BS404&gt;0,BS404,MAX(0.1,N(Cockpit!$C$6))),BV404)/BN404,0)*BN404</f>
        <v/>
      </c>
      <c r="AF404" s="56">
        <f>IF(AC404&gt;0,I404/AC404,-1)</f>
        <v/>
      </c>
      <c r="AG404" s="56">
        <f>IF(AND(OR(BR404="L1",BR404="L23"),AC404&gt;0),SUMIFS($AC$7:$AC$1570,$BR$7:$BR$1570,BR404,$AF$7:$AF$1570,"&gt;"&amp;AF404)+SUMIFS($AC$7:$AC$1570,$BR$7:$BR$1570,BR404,$AF$7:$AF$1570,AF404,$BL$7:$BL$1570,"&lt;="&amp;BL404),"")</f>
        <v/>
      </c>
      <c r="AH404" s="65">
        <f>IF(AG404="",0,MAX(0,MIN(1,(IF(BR404="L1",Parameter!$K$5,Parameter!$K$6+Parameter!$K$7)-(AG404-AC404))/AC404)))</f>
        <v/>
      </c>
      <c r="AI404" s="55">
        <f>IF(LEFT(Cockpit!$I$5,1)="A",G404,IF(BT404=1,BU404,IF(LEFT(Cockpit!$I$5,1)="B",AM404,MAX(AM404,G404))))</f>
        <v/>
      </c>
      <c r="AJ404" s="55">
        <f>IF(BO404=1,0,ROUNDUP(AI404/BN404,0))</f>
        <v/>
      </c>
      <c r="AK404" s="64">
        <f>IF(BO404=1,IF(AI404&lt;=0,0,BP404*MAX(1,IF(G404&gt;0,AI404/G404,1))),AJ404*Q404)</f>
        <v/>
      </c>
      <c r="AL404" s="55">
        <f>AI404*F404</f>
        <v/>
      </c>
      <c r="AM404" s="55">
        <f>ROUNDUP(MAX(I404/IF(BS404&gt;0,BS404,MAX(0.1,N(Cockpit!$I$6))),BV404)/BN404,0)*BN404</f>
        <v/>
      </c>
      <c r="AN404" s="56">
        <f>IF(AK404&gt;0,I404/AK404,-1)</f>
        <v/>
      </c>
      <c r="AO404" s="56">
        <f>IF(AND(OR(BR404="L1",BR404="L23"),AK404&gt;0),SUMIFS($AK$7:$AK$1570,$BR$7:$BR$1570,BR404,$AN$7:$AN$1570,"&gt;"&amp;AN404)+SUMIFS($AK$7:$AK$1570,$BR$7:$BR$1570,BR404,$AN$7:$AN$1570,AN404,$BL$7:$BL$1570,"&lt;="&amp;BL404),"")</f>
        <v/>
      </c>
      <c r="AP404" s="65">
        <f>IF(AO404="",0,MAX(0,MIN(1,(IF(BR404="L1",Parameter!$K$5,Parameter!$K$6+Parameter!$K$7)-(AO404-AK404))/AK404)))</f>
        <v/>
      </c>
      <c r="AQ404" s="55">
        <f>IF(LEFT(Cockpit!$O$5,1)="A",G404,IF(BT404=1,BU404,IF(LEFT(Cockpit!$O$5,1)="B",AU404,MAX(AU404,G404))))</f>
        <v/>
      </c>
      <c r="AR404" s="55">
        <f>IF(BO404=1,0,ROUNDUP(AQ404/BN404,0))</f>
        <v/>
      </c>
      <c r="AS404" s="64">
        <f>IF(BO404=1,IF(AQ404&lt;=0,0,BP404*MAX(1,IF(G404&gt;0,AQ404/G404,1))),AR404*Q404)</f>
        <v/>
      </c>
      <c r="AT404" s="55">
        <f>AQ404*F404</f>
        <v/>
      </c>
      <c r="AU404" s="55">
        <f>ROUNDUP(MAX(I404/IF(BS404&gt;0,BS404,MAX(0.1,N(Cockpit!$O$6))),BV404)/BN404,0)*BN404</f>
        <v/>
      </c>
      <c r="AV404" s="56">
        <f>IF(AS404&gt;0,I404/AS404,-1)</f>
        <v/>
      </c>
      <c r="AW404" s="56">
        <f>IF(AND(OR(BR404="L1",BR404="L23"),AS404&gt;0),SUMIFS($AS$7:$AS$1570,$BR$7:$BR$1570,BR404,$AV$7:$AV$1570,"&gt;"&amp;AV404)+SUMIFS($AS$7:$AS$1570,$BR$7:$BR$1570,BR404,$AV$7:$AV$1570,AV404,$BL$7:$BL$1570,"&lt;="&amp;BL404),"")</f>
        <v/>
      </c>
      <c r="AX404" s="65">
        <f>IF(AW404="",0,MAX(0,MIN(1,(IF(BR404="L1",Parameter!$K$5,Parameter!$K$6+Parameter!$K$7)-(AW404-AS404))/AS404)))</f>
        <v/>
      </c>
      <c r="AY404" s="53">
        <f>IF(AC404&lt;=0,"",IF(BR404="Aussen","Aussenlager",IF(BR404="-","Nicht im Lift",IF(AH404&gt;=1,"Lift",IF(AH404&lt;=0,"Aussenlager","teilweise")))))</f>
        <v/>
      </c>
      <c r="AZ404" s="53">
        <f>IF(AK404&lt;=0,"",IF(BR404="Aussen","Aussenlager",IF(BR404="-","Nicht im Lift",IF(AP404&gt;=1,"Lift",IF(AP404&lt;=0,"Aussenlager","teilweise")))))</f>
        <v/>
      </c>
      <c r="BA404" s="53">
        <f>IF(AS404&lt;=0,"",IF(BR404="Aussen","Aussenlager",IF(BR404="-","Nicht im Lift",IF(AX404&gt;=1,"Lift",IF(AX404&lt;=0,"Aussenlager","teilweise")))))</f>
        <v/>
      </c>
      <c r="BB404" s="53">
        <f>IF(A404="","",IF(BK404=1,"Neu; ","")&amp;IF(AND(BK404=0,BF404&lt;0),"negativer Bestand (Export "&amp;BF404&amp;"); ","")&amp;IF(I404&lt;=0,"Kein Verbrauch; ","")&amp;IF(BO404=1,"Lose – Fläche geschätzt; ","")&amp;IF(G404&gt;AM404,"Überbestand "&amp;ROUND(G404-AM404,0)&amp;" Stk / CHF "&amp;ROUND((G404-AM404)*F404,0)&amp;"; ","")&amp;IF(AND(BT404=1,BU404&lt;BV404),"MAX &lt; MB+LG; ","")&amp;IF(AND(BZ404&gt;0,BY404*10&gt;BZ404),"zu hoch für Tablar; ","")&amp;IF(AND(BK404=0,OR(BT404=1,V404&lt;&gt;"",S404&lt;&gt;"",T404&lt;&gt;"",W404&lt;&gt;"")),"manuell übersteuert; ","")&amp;IF(AND(BO404=0,Q404=0),"Gebinde unbekannt; ","")&amp;IF(AND(BO404=0,N(T404)&lt;=0,N(P404)&lt;=0),"Menge pro Gebinde fehlt (Ist = 1 Gebinde); ","")&amp;BJ404)</f>
        <v/>
      </c>
      <c r="BC404" s="53" t="n"/>
      <c r="BD404" s="53" t="n"/>
      <c r="BE404" s="61" t="n"/>
      <c r="BF404" s="55" t="n">
        <v>10</v>
      </c>
      <c r="BG404" s="55" t="n">
        <v>2</v>
      </c>
      <c r="BH404" s="54" t="n">
        <v>108</v>
      </c>
      <c r="BI404" s="55" t="n">
        <v>7</v>
      </c>
      <c r="BJ404" s="53" t="inlineStr"/>
      <c r="BK404" s="58" t="n">
        <v>0</v>
      </c>
      <c r="BL404" s="58" t="n">
        <v>404</v>
      </c>
      <c r="BM404" s="53">
        <f>IF(S404&lt;&gt;"",UPPER(TRIM(S404)),IF(O404="","LOSE",O404))</f>
        <v/>
      </c>
      <c r="BN404" s="55">
        <f>IF(BM404="LOSE",1,IF(N(T404)&gt;0,T404,IF(N(P404)&gt;0,P404,MAX(1,G404))))</f>
        <v/>
      </c>
      <c r="BO404" s="58">
        <f>IF(BM404="LOSE",1,0)</f>
        <v/>
      </c>
      <c r="BP404" s="64">
        <f>IF(BO404=0,0,IF(N(R404)&gt;0,R404,IFERROR(VLOOKUP(D404,Parameter!$A$35:$C$64,3,0)+0,0)))</f>
        <v/>
      </c>
      <c r="BQ404" s="53">
        <f>IF(V404&lt;&gt;"",V404,U404)</f>
        <v/>
      </c>
      <c r="BR404" s="53">
        <f>IF(BQ404=1,"L1",IF(OR(BQ404=2,BQ404=3),"L23",IF(BQ404="Aussen","Aussen","-")))</f>
        <v/>
      </c>
      <c r="BS404" s="66">
        <f>IF(N(W404)&gt;0,W404,0)</f>
        <v/>
      </c>
      <c r="BT404" s="58">
        <f>IF(ISNUMBER(Z404),1,0)</f>
        <v/>
      </c>
      <c r="BU404" s="55">
        <f>N(Z404)</f>
        <v/>
      </c>
      <c r="BV404" s="55">
        <f>N(L404)+N(M404)</f>
        <v/>
      </c>
      <c r="BW404" s="55">
        <f>ROUNDUP(G404/BN404,0)</f>
        <v/>
      </c>
      <c r="BX404" s="55">
        <f>ROUNDUP(BU404/BN404,0)</f>
        <v/>
      </c>
      <c r="BY404" s="58">
        <f>IF(BO404=1,0,IFERROR(VLOOKUP(BM404,'Gebinde-Kategorie'!$A$5:$G$45,5,0)+0,0))</f>
        <v/>
      </c>
      <c r="BZ404" s="58">
        <f>IFERROR(IF(OR(BQ404=1,BQ404=2,BQ404=3),N(INDEX(Parameter!$I$5:$I$7,BQ404)),0),0)</f>
        <v/>
      </c>
    </row>
    <row r="405">
      <c r="A405" s="53" t="inlineStr">
        <is>
          <t>VM00013</t>
        </is>
      </c>
      <c r="B405" s="53" t="inlineStr">
        <is>
          <t>P-touch Beschriftungsband TZE-641</t>
        </is>
      </c>
      <c r="C405" s="53" t="inlineStr">
        <is>
          <t>F</t>
        </is>
      </c>
      <c r="D405" s="53" t="inlineStr">
        <is>
          <t>KTL</t>
        </is>
      </c>
      <c r="E405" s="53" t="inlineStr">
        <is>
          <t>C</t>
        </is>
      </c>
      <c r="F405" s="54" t="n">
        <v>22.9</v>
      </c>
      <c r="G405" s="55">
        <f>MAX(0,IF(Parameter!$B$20="Jahresanfang 2025 + Export",BG405+BF405,BF405))</f>
        <v/>
      </c>
      <c r="H405" s="55">
        <f>G405*F405</f>
        <v/>
      </c>
      <c r="I405" s="55">
        <f>BI405*Parameter!$B$18</f>
        <v/>
      </c>
      <c r="J405" s="56" t="n">
        <v>0</v>
      </c>
      <c r="K405" s="57" t="n">
        <v>0</v>
      </c>
      <c r="L405" s="55" t="n">
        <v>1</v>
      </c>
      <c r="M405" s="55" t="n">
        <v>5</v>
      </c>
      <c r="N405" s="58" t="n">
        <v>0</v>
      </c>
      <c r="O405" s="53" t="inlineStr">
        <is>
          <t>LOSE</t>
        </is>
      </c>
      <c r="P405" s="55" t="n"/>
      <c r="Q405" s="59">
        <f>IF(BO405=1,0,IFERROR(VLOOKUP(BM405,'Gebinde-Kategorie'!$A$5:$G$45,6,0)+0,0))</f>
        <v/>
      </c>
      <c r="R405" s="60" t="n"/>
      <c r="S405" s="61" t="n"/>
      <c r="T405" s="61" t="n"/>
      <c r="U405" s="53">
        <f>IF(A405="","",IF(IFERROR(VLOOKUP(D405,Parameter!$A$35:$C$64,2,0),"Nein")="2+3",IF(ISNUMBER(SEARCH("grosser Artikel",BJ405)),2,IFERROR(VLOOKUP(BM405,Parameter!$F$35:$G$64,2,0),2)),IF(OR(IFERROR(VLOOKUP(D405,Parameter!$A$35:$C$64,2,0),"Nein")="Nein",IFERROR(VLOOKUP(D405,Parameter!$A$35:$C$64,2,0),"Nein")=""),"-",VLOOKUP(D405,Parameter!$A$35:$C$64,2,0))))</f>
        <v/>
      </c>
      <c r="V405" s="61" t="n"/>
      <c r="W405" s="62" t="n"/>
      <c r="X405" s="55">
        <f>AM405</f>
        <v/>
      </c>
      <c r="Y405" s="55">
        <f>MAX(AM405,G405)</f>
        <v/>
      </c>
      <c r="Z405" s="63" t="n"/>
      <c r="AA405" s="55">
        <f>IF(LEFT(Cockpit!$C$5,1)="A",G405,IF(BT405=1,BU405,IF(LEFT(Cockpit!$C$5,1)="B",AE405,MAX(AE405,G405))))</f>
        <v/>
      </c>
      <c r="AB405" s="55">
        <f>IF(BO405=1,0,ROUNDUP(AA405/BN405,0))</f>
        <v/>
      </c>
      <c r="AC405" s="64">
        <f>IF(BO405=1,IF(AA405&lt;=0,0,BP405*MAX(1,IF(G405&gt;0,AA405/G405,1))),AB405*Q405)</f>
        <v/>
      </c>
      <c r="AD405" s="55">
        <f>AA405*F405</f>
        <v/>
      </c>
      <c r="AE405" s="55">
        <f>ROUNDUP(MAX(I405/IF(BS405&gt;0,BS405,MAX(0.1,N(Cockpit!$C$6))),BV405)/BN405,0)*BN405</f>
        <v/>
      </c>
      <c r="AF405" s="56">
        <f>IF(AC405&gt;0,I405/AC405,-1)</f>
        <v/>
      </c>
      <c r="AG405" s="56">
        <f>IF(AND(OR(BR405="L1",BR405="L23"),AC405&gt;0),SUMIFS($AC$7:$AC$1570,$BR$7:$BR$1570,BR405,$AF$7:$AF$1570,"&gt;"&amp;AF405)+SUMIFS($AC$7:$AC$1570,$BR$7:$BR$1570,BR405,$AF$7:$AF$1570,AF405,$BL$7:$BL$1570,"&lt;="&amp;BL405),"")</f>
        <v/>
      </c>
      <c r="AH405" s="65">
        <f>IF(AG405="",0,MAX(0,MIN(1,(IF(BR405="L1",Parameter!$K$5,Parameter!$K$6+Parameter!$K$7)-(AG405-AC405))/AC405)))</f>
        <v/>
      </c>
      <c r="AI405" s="55">
        <f>IF(LEFT(Cockpit!$I$5,1)="A",G405,IF(BT405=1,BU405,IF(LEFT(Cockpit!$I$5,1)="B",AM405,MAX(AM405,G405))))</f>
        <v/>
      </c>
      <c r="AJ405" s="55">
        <f>IF(BO405=1,0,ROUNDUP(AI405/BN405,0))</f>
        <v/>
      </c>
      <c r="AK405" s="64">
        <f>IF(BO405=1,IF(AI405&lt;=0,0,BP405*MAX(1,IF(G405&gt;0,AI405/G405,1))),AJ405*Q405)</f>
        <v/>
      </c>
      <c r="AL405" s="55">
        <f>AI405*F405</f>
        <v/>
      </c>
      <c r="AM405" s="55">
        <f>ROUNDUP(MAX(I405/IF(BS405&gt;0,BS405,MAX(0.1,N(Cockpit!$I$6))),BV405)/BN405,0)*BN405</f>
        <v/>
      </c>
      <c r="AN405" s="56">
        <f>IF(AK405&gt;0,I405/AK405,-1)</f>
        <v/>
      </c>
      <c r="AO405" s="56">
        <f>IF(AND(OR(BR405="L1",BR405="L23"),AK405&gt;0),SUMIFS($AK$7:$AK$1570,$BR$7:$BR$1570,BR405,$AN$7:$AN$1570,"&gt;"&amp;AN405)+SUMIFS($AK$7:$AK$1570,$BR$7:$BR$1570,BR405,$AN$7:$AN$1570,AN405,$BL$7:$BL$1570,"&lt;="&amp;BL405),"")</f>
        <v/>
      </c>
      <c r="AP405" s="65">
        <f>IF(AO405="",0,MAX(0,MIN(1,(IF(BR405="L1",Parameter!$K$5,Parameter!$K$6+Parameter!$K$7)-(AO405-AK405))/AK405)))</f>
        <v/>
      </c>
      <c r="AQ405" s="55">
        <f>IF(LEFT(Cockpit!$O$5,1)="A",G405,IF(BT405=1,BU405,IF(LEFT(Cockpit!$O$5,1)="B",AU405,MAX(AU405,G405))))</f>
        <v/>
      </c>
      <c r="AR405" s="55">
        <f>IF(BO405=1,0,ROUNDUP(AQ405/BN405,0))</f>
        <v/>
      </c>
      <c r="AS405" s="64">
        <f>IF(BO405=1,IF(AQ405&lt;=0,0,BP405*MAX(1,IF(G405&gt;0,AQ405/G405,1))),AR405*Q405)</f>
        <v/>
      </c>
      <c r="AT405" s="55">
        <f>AQ405*F405</f>
        <v/>
      </c>
      <c r="AU405" s="55">
        <f>ROUNDUP(MAX(I405/IF(BS405&gt;0,BS405,MAX(0.1,N(Cockpit!$O$6))),BV405)/BN405,0)*BN405</f>
        <v/>
      </c>
      <c r="AV405" s="56">
        <f>IF(AS405&gt;0,I405/AS405,-1)</f>
        <v/>
      </c>
      <c r="AW405" s="56">
        <f>IF(AND(OR(BR405="L1",BR405="L23"),AS405&gt;0),SUMIFS($AS$7:$AS$1570,$BR$7:$BR$1570,BR405,$AV$7:$AV$1570,"&gt;"&amp;AV405)+SUMIFS($AS$7:$AS$1570,$BR$7:$BR$1570,BR405,$AV$7:$AV$1570,AV405,$BL$7:$BL$1570,"&lt;="&amp;BL405),"")</f>
        <v/>
      </c>
      <c r="AX405" s="65">
        <f>IF(AW405="",0,MAX(0,MIN(1,(IF(BR405="L1",Parameter!$K$5,Parameter!$K$6+Parameter!$K$7)-(AW405-AS405))/AS405)))</f>
        <v/>
      </c>
      <c r="AY405" s="53">
        <f>IF(AC405&lt;=0,"",IF(BR405="Aussen","Aussenlager",IF(BR405="-","Nicht im Lift",IF(AH405&gt;=1,"Lift",IF(AH405&lt;=0,"Aussenlager","teilweise")))))</f>
        <v/>
      </c>
      <c r="AZ405" s="53">
        <f>IF(AK405&lt;=0,"",IF(BR405="Aussen","Aussenlager",IF(BR405="-","Nicht im Lift",IF(AP405&gt;=1,"Lift",IF(AP405&lt;=0,"Aussenlager","teilweise")))))</f>
        <v/>
      </c>
      <c r="BA405" s="53">
        <f>IF(AS405&lt;=0,"",IF(BR405="Aussen","Aussenlager",IF(BR405="-","Nicht im Lift",IF(AX405&gt;=1,"Lift",IF(AX405&lt;=0,"Aussenlager","teilweise")))))</f>
        <v/>
      </c>
      <c r="BB405" s="53">
        <f>IF(A405="","",IF(BK405=1,"Neu; ","")&amp;IF(AND(BK405=0,BF405&lt;0),"negativer Bestand (Export "&amp;BF405&amp;"); ","")&amp;IF(I405&lt;=0,"Kein Verbrauch; ","")&amp;IF(BO405=1,"Lose – Fläche geschätzt; ","")&amp;IF(G405&gt;AM405,"Überbestand "&amp;ROUND(G405-AM405,0)&amp;" Stk / CHF "&amp;ROUND((G405-AM405)*F405,0)&amp;"; ","")&amp;IF(AND(BT405=1,BU405&lt;BV405),"MAX &lt; MB+LG; ","")&amp;IF(AND(BZ405&gt;0,BY405*10&gt;BZ405),"zu hoch für Tablar; ","")&amp;IF(AND(BK405=0,OR(BT405=1,V405&lt;&gt;"",S405&lt;&gt;"",T405&lt;&gt;"",W405&lt;&gt;"")),"manuell übersteuert; ","")&amp;IF(AND(BO405=0,Q405=0),"Gebinde unbekannt; ","")&amp;IF(AND(BO405=0,N(T405)&lt;=0,N(P405)&lt;=0),"Menge pro Gebinde fehlt (Ist = 1 Gebinde); ","")&amp;BJ405)</f>
        <v/>
      </c>
      <c r="BC405" s="53" t="n"/>
      <c r="BD405" s="53" t="n"/>
      <c r="BE405" s="61" t="n"/>
      <c r="BF405" s="55" t="n">
        <v>4.685</v>
      </c>
      <c r="BG405" s="55" t="n">
        <v>0</v>
      </c>
      <c r="BH405" s="54" t="n">
        <v>107.29</v>
      </c>
      <c r="BI405" s="55" t="n">
        <v>0</v>
      </c>
      <c r="BJ405" s="53" t="inlineStr"/>
      <c r="BK405" s="58" t="n">
        <v>0</v>
      </c>
      <c r="BL405" s="58" t="n">
        <v>405</v>
      </c>
      <c r="BM405" s="53">
        <f>IF(S405&lt;&gt;"",UPPER(TRIM(S405)),IF(O405="","LOSE",O405))</f>
        <v/>
      </c>
      <c r="BN405" s="55">
        <f>IF(BM405="LOSE",1,IF(N(T405)&gt;0,T405,IF(N(P405)&gt;0,P405,MAX(1,G405))))</f>
        <v/>
      </c>
      <c r="BO405" s="58">
        <f>IF(BM405="LOSE",1,0)</f>
        <v/>
      </c>
      <c r="BP405" s="64">
        <f>IF(BO405=0,0,IF(N(R405)&gt;0,R405,IFERROR(VLOOKUP(D405,Parameter!$A$35:$C$64,3,0)+0,0)))</f>
        <v/>
      </c>
      <c r="BQ405" s="53">
        <f>IF(V405&lt;&gt;"",V405,U405)</f>
        <v/>
      </c>
      <c r="BR405" s="53">
        <f>IF(BQ405=1,"L1",IF(OR(BQ405=2,BQ405=3),"L23",IF(BQ405="Aussen","Aussen","-")))</f>
        <v/>
      </c>
      <c r="BS405" s="66">
        <f>IF(N(W405)&gt;0,W405,0)</f>
        <v/>
      </c>
      <c r="BT405" s="58">
        <f>IF(ISNUMBER(Z405),1,0)</f>
        <v/>
      </c>
      <c r="BU405" s="55">
        <f>N(Z405)</f>
        <v/>
      </c>
      <c r="BV405" s="55">
        <f>N(L405)+N(M405)</f>
        <v/>
      </c>
      <c r="BW405" s="55">
        <f>ROUNDUP(G405/BN405,0)</f>
        <v/>
      </c>
      <c r="BX405" s="55">
        <f>ROUNDUP(BU405/BN405,0)</f>
        <v/>
      </c>
      <c r="BY405" s="58">
        <f>IF(BO405=1,0,IFERROR(VLOOKUP(BM405,'Gebinde-Kategorie'!$A$5:$G$45,5,0)+0,0))</f>
        <v/>
      </c>
      <c r="BZ405" s="58">
        <f>IFERROR(IF(OR(BQ405=1,BQ405=2,BQ405=3),N(INDEX(Parameter!$I$5:$I$7,BQ405)),0),0)</f>
        <v/>
      </c>
    </row>
    <row r="406">
      <c r="A406" s="53" t="inlineStr">
        <is>
          <t>111912</t>
        </is>
      </c>
      <c r="B406" s="53" t="inlineStr">
        <is>
          <t>Kabelverschraubung</t>
        </is>
      </c>
      <c r="C406" s="53" t="inlineStr">
        <is>
          <t>F</t>
        </is>
      </c>
      <c r="D406" s="53" t="inlineStr">
        <is>
          <t>KTL</t>
        </is>
      </c>
      <c r="E406" s="53" t="inlineStr">
        <is>
          <t>C</t>
        </is>
      </c>
      <c r="F406" s="54" t="n">
        <v>4.65</v>
      </c>
      <c r="G406" s="55">
        <f>MAX(0,IF(Parameter!$B$20="Jahresanfang 2025 + Export",BG406+BF406,BF406))</f>
        <v/>
      </c>
      <c r="H406" s="55">
        <f>G406*F406</f>
        <v/>
      </c>
      <c r="I406" s="55">
        <f>BI406*Parameter!$B$18</f>
        <v/>
      </c>
      <c r="J406" s="56" t="n">
        <v>0</v>
      </c>
      <c r="K406" s="57" t="n">
        <v>0</v>
      </c>
      <c r="L406" s="55" t="n">
        <v>0</v>
      </c>
      <c r="M406" s="55" t="n">
        <v>5</v>
      </c>
      <c r="N406" s="58" t="n">
        <v>9999</v>
      </c>
      <c r="O406" s="53" t="inlineStr">
        <is>
          <t>LOSE</t>
        </is>
      </c>
      <c r="P406" s="55" t="n"/>
      <c r="Q406" s="59">
        <f>IF(BO406=1,0,IFERROR(VLOOKUP(BM406,'Gebinde-Kategorie'!$A$5:$G$45,6,0)+0,0))</f>
        <v/>
      </c>
      <c r="R406" s="60" t="n"/>
      <c r="S406" s="61" t="n"/>
      <c r="T406" s="61" t="n"/>
      <c r="U406" s="53">
        <f>IF(A406="","",IF(IFERROR(VLOOKUP(D406,Parameter!$A$35:$C$64,2,0),"Nein")="2+3",IF(ISNUMBER(SEARCH("grosser Artikel",BJ406)),2,IFERROR(VLOOKUP(BM406,Parameter!$F$35:$G$64,2,0),2)),IF(OR(IFERROR(VLOOKUP(D406,Parameter!$A$35:$C$64,2,0),"Nein")="Nein",IFERROR(VLOOKUP(D406,Parameter!$A$35:$C$64,2,0),"Nein")=""),"-",VLOOKUP(D406,Parameter!$A$35:$C$64,2,0))))</f>
        <v/>
      </c>
      <c r="V406" s="61" t="n"/>
      <c r="W406" s="62" t="n"/>
      <c r="X406" s="55">
        <f>AM406</f>
        <v/>
      </c>
      <c r="Y406" s="55">
        <f>MAX(AM406,G406)</f>
        <v/>
      </c>
      <c r="Z406" s="63" t="n"/>
      <c r="AA406" s="55">
        <f>IF(LEFT(Cockpit!$C$5,1)="A",G406,IF(BT406=1,BU406,IF(LEFT(Cockpit!$C$5,1)="B",AE406,MAX(AE406,G406))))</f>
        <v/>
      </c>
      <c r="AB406" s="55">
        <f>IF(BO406=1,0,ROUNDUP(AA406/BN406,0))</f>
        <v/>
      </c>
      <c r="AC406" s="64">
        <f>IF(BO406=1,IF(AA406&lt;=0,0,BP406*MAX(1,IF(G406&gt;0,AA406/G406,1))),AB406*Q406)</f>
        <v/>
      </c>
      <c r="AD406" s="55">
        <f>AA406*F406</f>
        <v/>
      </c>
      <c r="AE406" s="55">
        <f>ROUNDUP(MAX(I406/IF(BS406&gt;0,BS406,MAX(0.1,N(Cockpit!$C$6))),BV406)/BN406,0)*BN406</f>
        <v/>
      </c>
      <c r="AF406" s="56">
        <f>IF(AC406&gt;0,I406/AC406,-1)</f>
        <v/>
      </c>
      <c r="AG406" s="56">
        <f>IF(AND(OR(BR406="L1",BR406="L23"),AC406&gt;0),SUMIFS($AC$7:$AC$1570,$BR$7:$BR$1570,BR406,$AF$7:$AF$1570,"&gt;"&amp;AF406)+SUMIFS($AC$7:$AC$1570,$BR$7:$BR$1570,BR406,$AF$7:$AF$1570,AF406,$BL$7:$BL$1570,"&lt;="&amp;BL406),"")</f>
        <v/>
      </c>
      <c r="AH406" s="65">
        <f>IF(AG406="",0,MAX(0,MIN(1,(IF(BR406="L1",Parameter!$K$5,Parameter!$K$6+Parameter!$K$7)-(AG406-AC406))/AC406)))</f>
        <v/>
      </c>
      <c r="AI406" s="55">
        <f>IF(LEFT(Cockpit!$I$5,1)="A",G406,IF(BT406=1,BU406,IF(LEFT(Cockpit!$I$5,1)="B",AM406,MAX(AM406,G406))))</f>
        <v/>
      </c>
      <c r="AJ406" s="55">
        <f>IF(BO406=1,0,ROUNDUP(AI406/BN406,0))</f>
        <v/>
      </c>
      <c r="AK406" s="64">
        <f>IF(BO406=1,IF(AI406&lt;=0,0,BP406*MAX(1,IF(G406&gt;0,AI406/G406,1))),AJ406*Q406)</f>
        <v/>
      </c>
      <c r="AL406" s="55">
        <f>AI406*F406</f>
        <v/>
      </c>
      <c r="AM406" s="55">
        <f>ROUNDUP(MAX(I406/IF(BS406&gt;0,BS406,MAX(0.1,N(Cockpit!$I$6))),BV406)/BN406,0)*BN406</f>
        <v/>
      </c>
      <c r="AN406" s="56">
        <f>IF(AK406&gt;0,I406/AK406,-1)</f>
        <v/>
      </c>
      <c r="AO406" s="56">
        <f>IF(AND(OR(BR406="L1",BR406="L23"),AK406&gt;0),SUMIFS($AK$7:$AK$1570,$BR$7:$BR$1570,BR406,$AN$7:$AN$1570,"&gt;"&amp;AN406)+SUMIFS($AK$7:$AK$1570,$BR$7:$BR$1570,BR406,$AN$7:$AN$1570,AN406,$BL$7:$BL$1570,"&lt;="&amp;BL406),"")</f>
        <v/>
      </c>
      <c r="AP406" s="65">
        <f>IF(AO406="",0,MAX(0,MIN(1,(IF(BR406="L1",Parameter!$K$5,Parameter!$K$6+Parameter!$K$7)-(AO406-AK406))/AK406)))</f>
        <v/>
      </c>
      <c r="AQ406" s="55">
        <f>IF(LEFT(Cockpit!$O$5,1)="A",G406,IF(BT406=1,BU406,IF(LEFT(Cockpit!$O$5,1)="B",AU406,MAX(AU406,G406))))</f>
        <v/>
      </c>
      <c r="AR406" s="55">
        <f>IF(BO406=1,0,ROUNDUP(AQ406/BN406,0))</f>
        <v/>
      </c>
      <c r="AS406" s="64">
        <f>IF(BO406=1,IF(AQ406&lt;=0,0,BP406*MAX(1,IF(G406&gt;0,AQ406/G406,1))),AR406*Q406)</f>
        <v/>
      </c>
      <c r="AT406" s="55">
        <f>AQ406*F406</f>
        <v/>
      </c>
      <c r="AU406" s="55">
        <f>ROUNDUP(MAX(I406/IF(BS406&gt;0,BS406,MAX(0.1,N(Cockpit!$O$6))),BV406)/BN406,0)*BN406</f>
        <v/>
      </c>
      <c r="AV406" s="56">
        <f>IF(AS406&gt;0,I406/AS406,-1)</f>
        <v/>
      </c>
      <c r="AW406" s="56">
        <f>IF(AND(OR(BR406="L1",BR406="L23"),AS406&gt;0),SUMIFS($AS$7:$AS$1570,$BR$7:$BR$1570,BR406,$AV$7:$AV$1570,"&gt;"&amp;AV406)+SUMIFS($AS$7:$AS$1570,$BR$7:$BR$1570,BR406,$AV$7:$AV$1570,AV406,$BL$7:$BL$1570,"&lt;="&amp;BL406),"")</f>
        <v/>
      </c>
      <c r="AX406" s="65">
        <f>IF(AW406="",0,MAX(0,MIN(1,(IF(BR406="L1",Parameter!$K$5,Parameter!$K$6+Parameter!$K$7)-(AW406-AS406))/AS406)))</f>
        <v/>
      </c>
      <c r="AY406" s="53">
        <f>IF(AC406&lt;=0,"",IF(BR406="Aussen","Aussenlager",IF(BR406="-","Nicht im Lift",IF(AH406&gt;=1,"Lift",IF(AH406&lt;=0,"Aussenlager","teilweise")))))</f>
        <v/>
      </c>
      <c r="AZ406" s="53">
        <f>IF(AK406&lt;=0,"",IF(BR406="Aussen","Aussenlager",IF(BR406="-","Nicht im Lift",IF(AP406&gt;=1,"Lift",IF(AP406&lt;=0,"Aussenlager","teilweise")))))</f>
        <v/>
      </c>
      <c r="BA406" s="53">
        <f>IF(AS406&lt;=0,"",IF(BR406="Aussen","Aussenlager",IF(BR406="-","Nicht im Lift",IF(AX406&gt;=1,"Lift",IF(AX406&lt;=0,"Aussenlager","teilweise")))))</f>
        <v/>
      </c>
      <c r="BB406" s="53">
        <f>IF(A406="","",IF(BK406=1,"Neu; ","")&amp;IF(AND(BK406=0,BF406&lt;0),"negativer Bestand (Export "&amp;BF406&amp;"); ","")&amp;IF(I406&lt;=0,"Kein Verbrauch; ","")&amp;IF(BO406=1,"Lose – Fläche geschätzt; ","")&amp;IF(G406&gt;AM406,"Überbestand "&amp;ROUND(G406-AM406,0)&amp;" Stk / CHF "&amp;ROUND((G406-AM406)*F406,0)&amp;"; ","")&amp;IF(AND(BT406=1,BU406&lt;BV406),"MAX &lt; MB+LG; ","")&amp;IF(AND(BZ406&gt;0,BY406*10&gt;BZ406),"zu hoch für Tablar; ","")&amp;IF(AND(BK406=0,OR(BT406=1,V406&lt;&gt;"",S406&lt;&gt;"",T406&lt;&gt;"",W406&lt;&gt;"")),"manuell übersteuert; ","")&amp;IF(AND(BO406=0,Q406=0),"Gebinde unbekannt; ","")&amp;IF(AND(BO406=0,N(T406)&lt;=0,N(P406)&lt;=0),"Menge pro Gebinde fehlt (Ist = 1 Gebinde); ","")&amp;BJ406)</f>
        <v/>
      </c>
      <c r="BC406" s="53" t="n"/>
      <c r="BD406" s="53" t="n"/>
      <c r="BE406" s="61" t="n"/>
      <c r="BF406" s="55" t="n">
        <v>23</v>
      </c>
      <c r="BG406" s="55" t="n">
        <v>0</v>
      </c>
      <c r="BH406" s="54" t="n">
        <v>106.95</v>
      </c>
      <c r="BI406" s="55" t="n">
        <v>0</v>
      </c>
      <c r="BJ406" s="53" t="inlineStr"/>
      <c r="BK406" s="58" t="n">
        <v>0</v>
      </c>
      <c r="BL406" s="58" t="n">
        <v>406</v>
      </c>
      <c r="BM406" s="53">
        <f>IF(S406&lt;&gt;"",UPPER(TRIM(S406)),IF(O406="","LOSE",O406))</f>
        <v/>
      </c>
      <c r="BN406" s="55">
        <f>IF(BM406="LOSE",1,IF(N(T406)&gt;0,T406,IF(N(P406)&gt;0,P406,MAX(1,G406))))</f>
        <v/>
      </c>
      <c r="BO406" s="58">
        <f>IF(BM406="LOSE",1,0)</f>
        <v/>
      </c>
      <c r="BP406" s="64">
        <f>IF(BO406=0,0,IF(N(R406)&gt;0,R406,IFERROR(VLOOKUP(D406,Parameter!$A$35:$C$64,3,0)+0,0)))</f>
        <v/>
      </c>
      <c r="BQ406" s="53">
        <f>IF(V406&lt;&gt;"",V406,U406)</f>
        <v/>
      </c>
      <c r="BR406" s="53">
        <f>IF(BQ406=1,"L1",IF(OR(BQ406=2,BQ406=3),"L23",IF(BQ406="Aussen","Aussen","-")))</f>
        <v/>
      </c>
      <c r="BS406" s="66">
        <f>IF(N(W406)&gt;0,W406,0)</f>
        <v/>
      </c>
      <c r="BT406" s="58">
        <f>IF(ISNUMBER(Z406),1,0)</f>
        <v/>
      </c>
      <c r="BU406" s="55">
        <f>N(Z406)</f>
        <v/>
      </c>
      <c r="BV406" s="55">
        <f>N(L406)+N(M406)</f>
        <v/>
      </c>
      <c r="BW406" s="55">
        <f>ROUNDUP(G406/BN406,0)</f>
        <v/>
      </c>
      <c r="BX406" s="55">
        <f>ROUNDUP(BU406/BN406,0)</f>
        <v/>
      </c>
      <c r="BY406" s="58">
        <f>IF(BO406=1,0,IFERROR(VLOOKUP(BM406,'Gebinde-Kategorie'!$A$5:$G$45,5,0)+0,0))</f>
        <v/>
      </c>
      <c r="BZ406" s="58">
        <f>IFERROR(IF(OR(BQ406=1,BQ406=2,BQ406=3),N(INDEX(Parameter!$I$5:$I$7,BQ406)),0),0)</f>
        <v/>
      </c>
    </row>
    <row r="407">
      <c r="A407" s="53" t="inlineStr">
        <is>
          <t>102442</t>
        </is>
      </c>
      <c r="B407" s="53" t="inlineStr">
        <is>
          <t>Unterlagsscheibe</t>
        </is>
      </c>
      <c r="C407" s="53" t="inlineStr">
        <is>
          <t>F</t>
        </is>
      </c>
      <c r="D407" s="53" t="inlineStr">
        <is>
          <t>KTL</t>
        </is>
      </c>
      <c r="E407" s="53" t="inlineStr">
        <is>
          <t>C</t>
        </is>
      </c>
      <c r="F407" s="54" t="n">
        <v>0.13</v>
      </c>
      <c r="G407" s="55">
        <f>MAX(0,IF(Parameter!$B$20="Jahresanfang 2025 + Export",BG407+BF407,BF407))</f>
        <v/>
      </c>
      <c r="H407" s="55">
        <f>G407*F407</f>
        <v/>
      </c>
      <c r="I407" s="55">
        <f>BI407*Parameter!$B$18</f>
        <v/>
      </c>
      <c r="J407" s="56" t="n">
        <v>181</v>
      </c>
      <c r="K407" s="57" t="n">
        <v>3.74585635359116</v>
      </c>
      <c r="L407" s="55" t="n">
        <v>39</v>
      </c>
      <c r="M407" s="55" t="n">
        <v>680</v>
      </c>
      <c r="N407" s="58" t="n">
        <v>21</v>
      </c>
      <c r="O407" s="53" t="inlineStr">
        <is>
          <t>S33</t>
        </is>
      </c>
      <c r="P407" s="55" t="n">
        <v>598</v>
      </c>
      <c r="Q407" s="59">
        <f>IF(BO407=1,0,IFERROR(VLOOKUP(BM407,'Gebinde-Kategorie'!$A$5:$G$45,6,0)+0,0))</f>
        <v/>
      </c>
      <c r="R407" s="60" t="n"/>
      <c r="S407" s="61" t="n"/>
      <c r="T407" s="61" t="n"/>
      <c r="U407" s="53">
        <f>IF(A407="","",IF(IFERROR(VLOOKUP(D407,Parameter!$A$35:$C$64,2,0),"Nein")="2+3",IF(ISNUMBER(SEARCH("grosser Artikel",BJ407)),2,IFERROR(VLOOKUP(BM407,Parameter!$F$35:$G$64,2,0),2)),IF(OR(IFERROR(VLOOKUP(D407,Parameter!$A$35:$C$64,2,0),"Nein")="Nein",IFERROR(VLOOKUP(D407,Parameter!$A$35:$C$64,2,0),"Nein")=""),"-",VLOOKUP(D407,Parameter!$A$35:$C$64,2,0))))</f>
        <v/>
      </c>
      <c r="V407" s="61" t="n"/>
      <c r="W407" s="62" t="n"/>
      <c r="X407" s="55">
        <f>AM407</f>
        <v/>
      </c>
      <c r="Y407" s="55">
        <f>MAX(AM407,G407)</f>
        <v/>
      </c>
      <c r="Z407" s="63" t="n"/>
      <c r="AA407" s="55">
        <f>IF(LEFT(Cockpit!$C$5,1)="A",G407,IF(BT407=1,BU407,IF(LEFT(Cockpit!$C$5,1)="B",AE407,MAX(AE407,G407))))</f>
        <v/>
      </c>
      <c r="AB407" s="55">
        <f>IF(BO407=1,0,ROUNDUP(AA407/BN407,0))</f>
        <v/>
      </c>
      <c r="AC407" s="64">
        <f>IF(BO407=1,IF(AA407&lt;=0,0,BP407*MAX(1,IF(G407&gt;0,AA407/G407,1))),AB407*Q407)</f>
        <v/>
      </c>
      <c r="AD407" s="55">
        <f>AA407*F407</f>
        <v/>
      </c>
      <c r="AE407" s="55">
        <f>ROUNDUP(MAX(I407/IF(BS407&gt;0,BS407,MAX(0.1,N(Cockpit!$C$6))),BV407)/BN407,0)*BN407</f>
        <v/>
      </c>
      <c r="AF407" s="56">
        <f>IF(AC407&gt;0,I407/AC407,-1)</f>
        <v/>
      </c>
      <c r="AG407" s="56">
        <f>IF(AND(OR(BR407="L1",BR407="L23"),AC407&gt;0),SUMIFS($AC$7:$AC$1570,$BR$7:$BR$1570,BR407,$AF$7:$AF$1570,"&gt;"&amp;AF407)+SUMIFS($AC$7:$AC$1570,$BR$7:$BR$1570,BR407,$AF$7:$AF$1570,AF407,$BL$7:$BL$1570,"&lt;="&amp;BL407),"")</f>
        <v/>
      </c>
      <c r="AH407" s="65">
        <f>IF(AG407="",0,MAX(0,MIN(1,(IF(BR407="L1",Parameter!$K$5,Parameter!$K$6+Parameter!$K$7)-(AG407-AC407))/AC407)))</f>
        <v/>
      </c>
      <c r="AI407" s="55">
        <f>IF(LEFT(Cockpit!$I$5,1)="A",G407,IF(BT407=1,BU407,IF(LEFT(Cockpit!$I$5,1)="B",AM407,MAX(AM407,G407))))</f>
        <v/>
      </c>
      <c r="AJ407" s="55">
        <f>IF(BO407=1,0,ROUNDUP(AI407/BN407,0))</f>
        <v/>
      </c>
      <c r="AK407" s="64">
        <f>IF(BO407=1,IF(AI407&lt;=0,0,BP407*MAX(1,IF(G407&gt;0,AI407/G407,1))),AJ407*Q407)</f>
        <v/>
      </c>
      <c r="AL407" s="55">
        <f>AI407*F407</f>
        <v/>
      </c>
      <c r="AM407" s="55">
        <f>ROUNDUP(MAX(I407/IF(BS407&gt;0,BS407,MAX(0.1,N(Cockpit!$I$6))),BV407)/BN407,0)*BN407</f>
        <v/>
      </c>
      <c r="AN407" s="56">
        <f>IF(AK407&gt;0,I407/AK407,-1)</f>
        <v/>
      </c>
      <c r="AO407" s="56">
        <f>IF(AND(OR(BR407="L1",BR407="L23"),AK407&gt;0),SUMIFS($AK$7:$AK$1570,$BR$7:$BR$1570,BR407,$AN$7:$AN$1570,"&gt;"&amp;AN407)+SUMIFS($AK$7:$AK$1570,$BR$7:$BR$1570,BR407,$AN$7:$AN$1570,AN407,$BL$7:$BL$1570,"&lt;="&amp;BL407),"")</f>
        <v/>
      </c>
      <c r="AP407" s="65">
        <f>IF(AO407="",0,MAX(0,MIN(1,(IF(BR407="L1",Parameter!$K$5,Parameter!$K$6+Parameter!$K$7)-(AO407-AK407))/AK407)))</f>
        <v/>
      </c>
      <c r="AQ407" s="55">
        <f>IF(LEFT(Cockpit!$O$5,1)="A",G407,IF(BT407=1,BU407,IF(LEFT(Cockpit!$O$5,1)="B",AU407,MAX(AU407,G407))))</f>
        <v/>
      </c>
      <c r="AR407" s="55">
        <f>IF(BO407=1,0,ROUNDUP(AQ407/BN407,0))</f>
        <v/>
      </c>
      <c r="AS407" s="64">
        <f>IF(BO407=1,IF(AQ407&lt;=0,0,BP407*MAX(1,IF(G407&gt;0,AQ407/G407,1))),AR407*Q407)</f>
        <v/>
      </c>
      <c r="AT407" s="55">
        <f>AQ407*F407</f>
        <v/>
      </c>
      <c r="AU407" s="55">
        <f>ROUNDUP(MAX(I407/IF(BS407&gt;0,BS407,MAX(0.1,N(Cockpit!$O$6))),BV407)/BN407,0)*BN407</f>
        <v/>
      </c>
      <c r="AV407" s="56">
        <f>IF(AS407&gt;0,I407/AS407,-1)</f>
        <v/>
      </c>
      <c r="AW407" s="56">
        <f>IF(AND(OR(BR407="L1",BR407="L23"),AS407&gt;0),SUMIFS($AS$7:$AS$1570,$BR$7:$BR$1570,BR407,$AV$7:$AV$1570,"&gt;"&amp;AV407)+SUMIFS($AS$7:$AS$1570,$BR$7:$BR$1570,BR407,$AV$7:$AV$1570,AV407,$BL$7:$BL$1570,"&lt;="&amp;BL407),"")</f>
        <v/>
      </c>
      <c r="AX407" s="65">
        <f>IF(AW407="",0,MAX(0,MIN(1,(IF(BR407="L1",Parameter!$K$5,Parameter!$K$6+Parameter!$K$7)-(AW407-AS407))/AS407)))</f>
        <v/>
      </c>
      <c r="AY407" s="53">
        <f>IF(AC407&lt;=0,"",IF(BR407="Aussen","Aussenlager",IF(BR407="-","Nicht im Lift",IF(AH407&gt;=1,"Lift",IF(AH407&lt;=0,"Aussenlager","teilweise")))))</f>
        <v/>
      </c>
      <c r="AZ407" s="53">
        <f>IF(AK407&lt;=0,"",IF(BR407="Aussen","Aussenlager",IF(BR407="-","Nicht im Lift",IF(AP407&gt;=1,"Lift",IF(AP407&lt;=0,"Aussenlager","teilweise")))))</f>
        <v/>
      </c>
      <c r="BA407" s="53">
        <f>IF(AS407&lt;=0,"",IF(BR407="Aussen","Aussenlager",IF(BR407="-","Nicht im Lift",IF(AX407&gt;=1,"Lift",IF(AX407&lt;=0,"Aussenlager","teilweise")))))</f>
        <v/>
      </c>
      <c r="BB407" s="53">
        <f>IF(A407="","",IF(BK407=1,"Neu; ","")&amp;IF(AND(BK407=0,BF407&lt;0),"negativer Bestand (Export "&amp;BF407&amp;"); ","")&amp;IF(I407&lt;=0,"Kein Verbrauch; ","")&amp;IF(BO407=1,"Lose – Fläche geschätzt; ","")&amp;IF(G407&gt;AM407,"Überbestand "&amp;ROUND(G407-AM407,0)&amp;" Stk / CHF "&amp;ROUND((G407-AM407)*F407,0)&amp;"; ","")&amp;IF(AND(BT407=1,BU407&lt;BV407),"MAX &lt; MB+LG; ","")&amp;IF(AND(BZ407&gt;0,BY407*10&gt;BZ407),"zu hoch für Tablar; ","")&amp;IF(AND(BK407=0,OR(BT407=1,V407&lt;&gt;"",S407&lt;&gt;"",T407&lt;&gt;"",W407&lt;&gt;"")),"manuell übersteuert; ","")&amp;IF(AND(BO407=0,Q407=0),"Gebinde unbekannt; ","")&amp;IF(AND(BO407=0,N(T407)&lt;=0,N(P407)&lt;=0),"Menge pro Gebinde fehlt (Ist = 1 Gebinde); ","")&amp;BJ407)</f>
        <v/>
      </c>
      <c r="BC407" s="53" t="n"/>
      <c r="BD407" s="53" t="n"/>
      <c r="BE407" s="61" t="n"/>
      <c r="BF407" s="55" t="n">
        <v>786</v>
      </c>
      <c r="BG407" s="55" t="n">
        <v>143</v>
      </c>
      <c r="BH407" s="54" t="n">
        <v>106.4699999999998</v>
      </c>
      <c r="BI407" s="55" t="n">
        <v>678</v>
      </c>
      <c r="BJ407" s="53" t="inlineStr"/>
      <c r="BK407" s="58" t="n">
        <v>0</v>
      </c>
      <c r="BL407" s="58" t="n">
        <v>407</v>
      </c>
      <c r="BM407" s="53">
        <f>IF(S407&lt;&gt;"",UPPER(TRIM(S407)),IF(O407="","LOSE",O407))</f>
        <v/>
      </c>
      <c r="BN407" s="55">
        <f>IF(BM407="LOSE",1,IF(N(T407)&gt;0,T407,IF(N(P407)&gt;0,P407,MAX(1,G407))))</f>
        <v/>
      </c>
      <c r="BO407" s="58">
        <f>IF(BM407="LOSE",1,0)</f>
        <v/>
      </c>
      <c r="BP407" s="64">
        <f>IF(BO407=0,0,IF(N(R407)&gt;0,R407,IFERROR(VLOOKUP(D407,Parameter!$A$35:$C$64,3,0)+0,0)))</f>
        <v/>
      </c>
      <c r="BQ407" s="53">
        <f>IF(V407&lt;&gt;"",V407,U407)</f>
        <v/>
      </c>
      <c r="BR407" s="53">
        <f>IF(BQ407=1,"L1",IF(OR(BQ407=2,BQ407=3),"L23",IF(BQ407="Aussen","Aussen","-")))</f>
        <v/>
      </c>
      <c r="BS407" s="66">
        <f>IF(N(W407)&gt;0,W407,0)</f>
        <v/>
      </c>
      <c r="BT407" s="58">
        <f>IF(ISNUMBER(Z407),1,0)</f>
        <v/>
      </c>
      <c r="BU407" s="55">
        <f>N(Z407)</f>
        <v/>
      </c>
      <c r="BV407" s="55">
        <f>N(L407)+N(M407)</f>
        <v/>
      </c>
      <c r="BW407" s="55">
        <f>ROUNDUP(G407/BN407,0)</f>
        <v/>
      </c>
      <c r="BX407" s="55">
        <f>ROUNDUP(BU407/BN407,0)</f>
        <v/>
      </c>
      <c r="BY407" s="58">
        <f>IF(BO407=1,0,IFERROR(VLOOKUP(BM407,'Gebinde-Kategorie'!$A$5:$G$45,5,0)+0,0))</f>
        <v/>
      </c>
      <c r="BZ407" s="58">
        <f>IFERROR(IF(OR(BQ407=1,BQ407=2,BQ407=3),N(INDEX(Parameter!$I$5:$I$7,BQ407)),0),0)</f>
        <v/>
      </c>
    </row>
    <row r="408">
      <c r="A408" s="53" t="inlineStr">
        <is>
          <t>108120</t>
        </is>
      </c>
      <c r="B408" s="53" t="inlineStr">
        <is>
          <t>Wartungskleber AC260</t>
        </is>
      </c>
      <c r="C408" s="53" t="inlineStr">
        <is>
          <t>F</t>
        </is>
      </c>
      <c r="D408" s="53" t="inlineStr">
        <is>
          <t>KTL</t>
        </is>
      </c>
      <c r="E408" s="53" t="inlineStr">
        <is>
          <t>C</t>
        </is>
      </c>
      <c r="F408" s="54" t="n">
        <v>2.38</v>
      </c>
      <c r="G408" s="55">
        <f>MAX(0,IF(Parameter!$B$20="Jahresanfang 2025 + Export",BG408+BF408,BF408))</f>
        <v/>
      </c>
      <c r="H408" s="55">
        <f>G408*F408</f>
        <v/>
      </c>
      <c r="I408" s="55">
        <f>BI408*Parameter!$B$18</f>
        <v/>
      </c>
      <c r="J408" s="56" t="n">
        <v>35.5</v>
      </c>
      <c r="K408" s="57" t="n">
        <v>0.9859154929577465</v>
      </c>
      <c r="L408" s="55" t="n">
        <v>2</v>
      </c>
      <c r="M408" s="55" t="n">
        <v>50</v>
      </c>
      <c r="N408" s="58" t="n">
        <v>28</v>
      </c>
      <c r="O408" s="53" t="inlineStr">
        <is>
          <t>S41</t>
        </is>
      </c>
      <c r="P408" s="55" t="n">
        <v>101</v>
      </c>
      <c r="Q408" s="59">
        <f>IF(BO408=1,0,IFERROR(VLOOKUP(BM408,'Gebinde-Kategorie'!$A$5:$G$45,6,0)+0,0))</f>
        <v/>
      </c>
      <c r="R408" s="60" t="n"/>
      <c r="S408" s="61" t="n"/>
      <c r="T408" s="61" t="n"/>
      <c r="U408" s="53">
        <f>IF(A408="","",IF(IFERROR(VLOOKUP(D408,Parameter!$A$35:$C$64,2,0),"Nein")="2+3",IF(ISNUMBER(SEARCH("grosser Artikel",BJ408)),2,IFERROR(VLOOKUP(BM408,Parameter!$F$35:$G$64,2,0),2)),IF(OR(IFERROR(VLOOKUP(D408,Parameter!$A$35:$C$64,2,0),"Nein")="Nein",IFERROR(VLOOKUP(D408,Parameter!$A$35:$C$64,2,0),"Nein")=""),"-",VLOOKUP(D408,Parameter!$A$35:$C$64,2,0))))</f>
        <v/>
      </c>
      <c r="V408" s="61" t="n"/>
      <c r="W408" s="62" t="n"/>
      <c r="X408" s="55">
        <f>AM408</f>
        <v/>
      </c>
      <c r="Y408" s="55">
        <f>MAX(AM408,G408)</f>
        <v/>
      </c>
      <c r="Z408" s="63" t="n"/>
      <c r="AA408" s="55">
        <f>IF(LEFT(Cockpit!$C$5,1)="A",G408,IF(BT408=1,BU408,IF(LEFT(Cockpit!$C$5,1)="B",AE408,MAX(AE408,G408))))</f>
        <v/>
      </c>
      <c r="AB408" s="55">
        <f>IF(BO408=1,0,ROUNDUP(AA408/BN408,0))</f>
        <v/>
      </c>
      <c r="AC408" s="64">
        <f>IF(BO408=1,IF(AA408&lt;=0,0,BP408*MAX(1,IF(G408&gt;0,AA408/G408,1))),AB408*Q408)</f>
        <v/>
      </c>
      <c r="AD408" s="55">
        <f>AA408*F408</f>
        <v/>
      </c>
      <c r="AE408" s="55">
        <f>ROUNDUP(MAX(I408/IF(BS408&gt;0,BS408,MAX(0.1,N(Cockpit!$C$6))),BV408)/BN408,0)*BN408</f>
        <v/>
      </c>
      <c r="AF408" s="56">
        <f>IF(AC408&gt;0,I408/AC408,-1)</f>
        <v/>
      </c>
      <c r="AG408" s="56">
        <f>IF(AND(OR(BR408="L1",BR408="L23"),AC408&gt;0),SUMIFS($AC$7:$AC$1570,$BR$7:$BR$1570,BR408,$AF$7:$AF$1570,"&gt;"&amp;AF408)+SUMIFS($AC$7:$AC$1570,$BR$7:$BR$1570,BR408,$AF$7:$AF$1570,AF408,$BL$7:$BL$1570,"&lt;="&amp;BL408),"")</f>
        <v/>
      </c>
      <c r="AH408" s="65">
        <f>IF(AG408="",0,MAX(0,MIN(1,(IF(BR408="L1",Parameter!$K$5,Parameter!$K$6+Parameter!$K$7)-(AG408-AC408))/AC408)))</f>
        <v/>
      </c>
      <c r="AI408" s="55">
        <f>IF(LEFT(Cockpit!$I$5,1)="A",G408,IF(BT408=1,BU408,IF(LEFT(Cockpit!$I$5,1)="B",AM408,MAX(AM408,G408))))</f>
        <v/>
      </c>
      <c r="AJ408" s="55">
        <f>IF(BO408=1,0,ROUNDUP(AI408/BN408,0))</f>
        <v/>
      </c>
      <c r="AK408" s="64">
        <f>IF(BO408=1,IF(AI408&lt;=0,0,BP408*MAX(1,IF(G408&gt;0,AI408/G408,1))),AJ408*Q408)</f>
        <v/>
      </c>
      <c r="AL408" s="55">
        <f>AI408*F408</f>
        <v/>
      </c>
      <c r="AM408" s="55">
        <f>ROUNDUP(MAX(I408/IF(BS408&gt;0,BS408,MAX(0.1,N(Cockpit!$I$6))),BV408)/BN408,0)*BN408</f>
        <v/>
      </c>
      <c r="AN408" s="56">
        <f>IF(AK408&gt;0,I408/AK408,-1)</f>
        <v/>
      </c>
      <c r="AO408" s="56">
        <f>IF(AND(OR(BR408="L1",BR408="L23"),AK408&gt;0),SUMIFS($AK$7:$AK$1570,$BR$7:$BR$1570,BR408,$AN$7:$AN$1570,"&gt;"&amp;AN408)+SUMIFS($AK$7:$AK$1570,$BR$7:$BR$1570,BR408,$AN$7:$AN$1570,AN408,$BL$7:$BL$1570,"&lt;="&amp;BL408),"")</f>
        <v/>
      </c>
      <c r="AP408" s="65">
        <f>IF(AO408="",0,MAX(0,MIN(1,(IF(BR408="L1",Parameter!$K$5,Parameter!$K$6+Parameter!$K$7)-(AO408-AK408))/AK408)))</f>
        <v/>
      </c>
      <c r="AQ408" s="55">
        <f>IF(LEFT(Cockpit!$O$5,1)="A",G408,IF(BT408=1,BU408,IF(LEFT(Cockpit!$O$5,1)="B",AU408,MAX(AU408,G408))))</f>
        <v/>
      </c>
      <c r="AR408" s="55">
        <f>IF(BO408=1,0,ROUNDUP(AQ408/BN408,0))</f>
        <v/>
      </c>
      <c r="AS408" s="64">
        <f>IF(BO408=1,IF(AQ408&lt;=0,0,BP408*MAX(1,IF(G408&gt;0,AQ408/G408,1))),AR408*Q408)</f>
        <v/>
      </c>
      <c r="AT408" s="55">
        <f>AQ408*F408</f>
        <v/>
      </c>
      <c r="AU408" s="55">
        <f>ROUNDUP(MAX(I408/IF(BS408&gt;0,BS408,MAX(0.1,N(Cockpit!$O$6))),BV408)/BN408,0)*BN408</f>
        <v/>
      </c>
      <c r="AV408" s="56">
        <f>IF(AS408&gt;0,I408/AS408,-1)</f>
        <v/>
      </c>
      <c r="AW408" s="56">
        <f>IF(AND(OR(BR408="L1",BR408="L23"),AS408&gt;0),SUMIFS($AS$7:$AS$1570,$BR$7:$BR$1570,BR408,$AV$7:$AV$1570,"&gt;"&amp;AV408)+SUMIFS($AS$7:$AS$1570,$BR$7:$BR$1570,BR408,$AV$7:$AV$1570,AV408,$BL$7:$BL$1570,"&lt;="&amp;BL408),"")</f>
        <v/>
      </c>
      <c r="AX408" s="65">
        <f>IF(AW408="",0,MAX(0,MIN(1,(IF(BR408="L1",Parameter!$K$5,Parameter!$K$6+Parameter!$K$7)-(AW408-AS408))/AS408)))</f>
        <v/>
      </c>
      <c r="AY408" s="53">
        <f>IF(AC408&lt;=0,"",IF(BR408="Aussen","Aussenlager",IF(BR408="-","Nicht im Lift",IF(AH408&gt;=1,"Lift",IF(AH408&lt;=0,"Aussenlager","teilweise")))))</f>
        <v/>
      </c>
      <c r="AZ408" s="53">
        <f>IF(AK408&lt;=0,"",IF(BR408="Aussen","Aussenlager",IF(BR408="-","Nicht im Lift",IF(AP408&gt;=1,"Lift",IF(AP408&lt;=0,"Aussenlager","teilweise")))))</f>
        <v/>
      </c>
      <c r="BA408" s="53">
        <f>IF(AS408&lt;=0,"",IF(BR408="Aussen","Aussenlager",IF(BR408="-","Nicht im Lift",IF(AX408&gt;=1,"Lift",IF(AX408&lt;=0,"Aussenlager","teilweise")))))</f>
        <v/>
      </c>
      <c r="BB408" s="53">
        <f>IF(A408="","",IF(BK408=1,"Neu; ","")&amp;IF(AND(BK408=0,BF408&lt;0),"negativer Bestand (Export "&amp;BF408&amp;"); ","")&amp;IF(I408&lt;=0,"Kein Verbrauch; ","")&amp;IF(BO408=1,"Lose – Fläche geschätzt; ","")&amp;IF(G408&gt;AM408,"Überbestand "&amp;ROUND(G408-AM408,0)&amp;" Stk / CHF "&amp;ROUND((G408-AM408)*F408,0)&amp;"; ","")&amp;IF(AND(BT408=1,BU408&lt;BV408),"MAX &lt; MB+LG; ","")&amp;IF(AND(BZ408&gt;0,BY408*10&gt;BZ408),"zu hoch für Tablar; ","")&amp;IF(AND(BK408=0,OR(BT408=1,V408&lt;&gt;"",S408&lt;&gt;"",T408&lt;&gt;"",W408&lt;&gt;"")),"manuell übersteuert; ","")&amp;IF(AND(BO408=0,Q408=0),"Gebinde unbekannt; ","")&amp;IF(AND(BO408=0,N(T408)&lt;=0,N(P408)&lt;=0),"Menge pro Gebinde fehlt (Ist = 1 Gebinde); ","")&amp;BJ408)</f>
        <v/>
      </c>
      <c r="BC408" s="53" t="n"/>
      <c r="BD408" s="53" t="n"/>
      <c r="BE408" s="61" t="n"/>
      <c r="BF408" s="55" t="n">
        <v>44</v>
      </c>
      <c r="BG408" s="55" t="n">
        <v>53</v>
      </c>
      <c r="BH408" s="54" t="n">
        <v>104.72</v>
      </c>
      <c r="BI408" s="55" t="n">
        <v>35</v>
      </c>
      <c r="BJ408" s="53" t="inlineStr">
        <is>
          <t>Neu</t>
        </is>
      </c>
      <c r="BK408" s="58" t="n">
        <v>0</v>
      </c>
      <c r="BL408" s="58" t="n">
        <v>408</v>
      </c>
      <c r="BM408" s="53">
        <f>IF(S408&lt;&gt;"",UPPER(TRIM(S408)),IF(O408="","LOSE",O408))</f>
        <v/>
      </c>
      <c r="BN408" s="55">
        <f>IF(BM408="LOSE",1,IF(N(T408)&gt;0,T408,IF(N(P408)&gt;0,P408,MAX(1,G408))))</f>
        <v/>
      </c>
      <c r="BO408" s="58">
        <f>IF(BM408="LOSE",1,0)</f>
        <v/>
      </c>
      <c r="BP408" s="64">
        <f>IF(BO408=0,0,IF(N(R408)&gt;0,R408,IFERROR(VLOOKUP(D408,Parameter!$A$35:$C$64,3,0)+0,0)))</f>
        <v/>
      </c>
      <c r="BQ408" s="53">
        <f>IF(V408&lt;&gt;"",V408,U408)</f>
        <v/>
      </c>
      <c r="BR408" s="53">
        <f>IF(BQ408=1,"L1",IF(OR(BQ408=2,BQ408=3),"L23",IF(BQ408="Aussen","Aussen","-")))</f>
        <v/>
      </c>
      <c r="BS408" s="66">
        <f>IF(N(W408)&gt;0,W408,0)</f>
        <v/>
      </c>
      <c r="BT408" s="58">
        <f>IF(ISNUMBER(Z408),1,0)</f>
        <v/>
      </c>
      <c r="BU408" s="55">
        <f>N(Z408)</f>
        <v/>
      </c>
      <c r="BV408" s="55">
        <f>N(L408)+N(M408)</f>
        <v/>
      </c>
      <c r="BW408" s="55">
        <f>ROUNDUP(G408/BN408,0)</f>
        <v/>
      </c>
      <c r="BX408" s="55">
        <f>ROUNDUP(BU408/BN408,0)</f>
        <v/>
      </c>
      <c r="BY408" s="58">
        <f>IF(BO408=1,0,IFERROR(VLOOKUP(BM408,'Gebinde-Kategorie'!$A$5:$G$45,5,0)+0,0))</f>
        <v/>
      </c>
      <c r="BZ408" s="58">
        <f>IFERROR(IF(OR(BQ408=1,BQ408=2,BQ408=3),N(INDEX(Parameter!$I$5:$I$7,BQ408)),0),0)</f>
        <v/>
      </c>
    </row>
    <row r="409">
      <c r="A409" s="53" t="inlineStr">
        <is>
          <t>005656</t>
        </is>
      </c>
      <c r="B409" s="53" t="inlineStr">
        <is>
          <t>Pop-Niete</t>
        </is>
      </c>
      <c r="C409" s="53" t="inlineStr">
        <is>
          <t>F</t>
        </is>
      </c>
      <c r="D409" s="53" t="inlineStr">
        <is>
          <t>KTL</t>
        </is>
      </c>
      <c r="E409" s="53" t="inlineStr">
        <is>
          <t>C</t>
        </is>
      </c>
      <c r="F409" s="54" t="n">
        <v>0.35</v>
      </c>
      <c r="G409" s="55">
        <f>MAX(0,IF(Parameter!$B$20="Jahresanfang 2025 + Export",BG409+BF409,BF409))</f>
        <v/>
      </c>
      <c r="H409" s="55">
        <f>G409*F409</f>
        <v/>
      </c>
      <c r="I409" s="55">
        <f>BI409*Parameter!$B$18</f>
        <v/>
      </c>
      <c r="J409" s="56" t="n">
        <v>94</v>
      </c>
      <c r="K409" s="57" t="n">
        <v>3.787234042553191</v>
      </c>
      <c r="L409" s="55" t="n">
        <v>13</v>
      </c>
      <c r="M409" s="55" t="n">
        <v>400</v>
      </c>
      <c r="N409" s="58" t="n">
        <v>14</v>
      </c>
      <c r="O409" s="53" t="inlineStr">
        <is>
          <t>S32</t>
        </is>
      </c>
      <c r="P409" s="55" t="n">
        <v>122</v>
      </c>
      <c r="Q409" s="59">
        <f>IF(BO409=1,0,IFERROR(VLOOKUP(BM409,'Gebinde-Kategorie'!$A$5:$G$45,6,0)+0,0))</f>
        <v/>
      </c>
      <c r="R409" s="60" t="n"/>
      <c r="S409" s="61" t="n"/>
      <c r="T409" s="61" t="n"/>
      <c r="U409" s="53">
        <f>IF(A409="","",IF(IFERROR(VLOOKUP(D409,Parameter!$A$35:$C$64,2,0),"Nein")="2+3",IF(ISNUMBER(SEARCH("grosser Artikel",BJ409)),2,IFERROR(VLOOKUP(BM409,Parameter!$F$35:$G$64,2,0),2)),IF(OR(IFERROR(VLOOKUP(D409,Parameter!$A$35:$C$64,2,0),"Nein")="Nein",IFERROR(VLOOKUP(D409,Parameter!$A$35:$C$64,2,0),"Nein")=""),"-",VLOOKUP(D409,Parameter!$A$35:$C$64,2,0))))</f>
        <v/>
      </c>
      <c r="V409" s="61" t="n"/>
      <c r="W409" s="62" t="n"/>
      <c r="X409" s="55">
        <f>AM409</f>
        <v/>
      </c>
      <c r="Y409" s="55">
        <f>MAX(AM409,G409)</f>
        <v/>
      </c>
      <c r="Z409" s="63" t="n"/>
      <c r="AA409" s="55">
        <f>IF(LEFT(Cockpit!$C$5,1)="A",G409,IF(BT409=1,BU409,IF(LEFT(Cockpit!$C$5,1)="B",AE409,MAX(AE409,G409))))</f>
        <v/>
      </c>
      <c r="AB409" s="55">
        <f>IF(BO409=1,0,ROUNDUP(AA409/BN409,0))</f>
        <v/>
      </c>
      <c r="AC409" s="64">
        <f>IF(BO409=1,IF(AA409&lt;=0,0,BP409*MAX(1,IF(G409&gt;0,AA409/G409,1))),AB409*Q409)</f>
        <v/>
      </c>
      <c r="AD409" s="55">
        <f>AA409*F409</f>
        <v/>
      </c>
      <c r="AE409" s="55">
        <f>ROUNDUP(MAX(I409/IF(BS409&gt;0,BS409,MAX(0.1,N(Cockpit!$C$6))),BV409)/BN409,0)*BN409</f>
        <v/>
      </c>
      <c r="AF409" s="56">
        <f>IF(AC409&gt;0,I409/AC409,-1)</f>
        <v/>
      </c>
      <c r="AG409" s="56">
        <f>IF(AND(OR(BR409="L1",BR409="L23"),AC409&gt;0),SUMIFS($AC$7:$AC$1570,$BR$7:$BR$1570,BR409,$AF$7:$AF$1570,"&gt;"&amp;AF409)+SUMIFS($AC$7:$AC$1570,$BR$7:$BR$1570,BR409,$AF$7:$AF$1570,AF409,$BL$7:$BL$1570,"&lt;="&amp;BL409),"")</f>
        <v/>
      </c>
      <c r="AH409" s="65">
        <f>IF(AG409="",0,MAX(0,MIN(1,(IF(BR409="L1",Parameter!$K$5,Parameter!$K$6+Parameter!$K$7)-(AG409-AC409))/AC409)))</f>
        <v/>
      </c>
      <c r="AI409" s="55">
        <f>IF(LEFT(Cockpit!$I$5,1)="A",G409,IF(BT409=1,BU409,IF(LEFT(Cockpit!$I$5,1)="B",AM409,MAX(AM409,G409))))</f>
        <v/>
      </c>
      <c r="AJ409" s="55">
        <f>IF(BO409=1,0,ROUNDUP(AI409/BN409,0))</f>
        <v/>
      </c>
      <c r="AK409" s="64">
        <f>IF(BO409=1,IF(AI409&lt;=0,0,BP409*MAX(1,IF(G409&gt;0,AI409/G409,1))),AJ409*Q409)</f>
        <v/>
      </c>
      <c r="AL409" s="55">
        <f>AI409*F409</f>
        <v/>
      </c>
      <c r="AM409" s="55">
        <f>ROUNDUP(MAX(I409/IF(BS409&gt;0,BS409,MAX(0.1,N(Cockpit!$I$6))),BV409)/BN409,0)*BN409</f>
        <v/>
      </c>
      <c r="AN409" s="56">
        <f>IF(AK409&gt;0,I409/AK409,-1)</f>
        <v/>
      </c>
      <c r="AO409" s="56">
        <f>IF(AND(OR(BR409="L1",BR409="L23"),AK409&gt;0),SUMIFS($AK$7:$AK$1570,$BR$7:$BR$1570,BR409,$AN$7:$AN$1570,"&gt;"&amp;AN409)+SUMIFS($AK$7:$AK$1570,$BR$7:$BR$1570,BR409,$AN$7:$AN$1570,AN409,$BL$7:$BL$1570,"&lt;="&amp;BL409),"")</f>
        <v/>
      </c>
      <c r="AP409" s="65">
        <f>IF(AO409="",0,MAX(0,MIN(1,(IF(BR409="L1",Parameter!$K$5,Parameter!$K$6+Parameter!$K$7)-(AO409-AK409))/AK409)))</f>
        <v/>
      </c>
      <c r="AQ409" s="55">
        <f>IF(LEFT(Cockpit!$O$5,1)="A",G409,IF(BT409=1,BU409,IF(LEFT(Cockpit!$O$5,1)="B",AU409,MAX(AU409,G409))))</f>
        <v/>
      </c>
      <c r="AR409" s="55">
        <f>IF(BO409=1,0,ROUNDUP(AQ409/BN409,0))</f>
        <v/>
      </c>
      <c r="AS409" s="64">
        <f>IF(BO409=1,IF(AQ409&lt;=0,0,BP409*MAX(1,IF(G409&gt;0,AQ409/G409,1))),AR409*Q409)</f>
        <v/>
      </c>
      <c r="AT409" s="55">
        <f>AQ409*F409</f>
        <v/>
      </c>
      <c r="AU409" s="55">
        <f>ROUNDUP(MAX(I409/IF(BS409&gt;0,BS409,MAX(0.1,N(Cockpit!$O$6))),BV409)/BN409,0)*BN409</f>
        <v/>
      </c>
      <c r="AV409" s="56">
        <f>IF(AS409&gt;0,I409/AS409,-1)</f>
        <v/>
      </c>
      <c r="AW409" s="56">
        <f>IF(AND(OR(BR409="L1",BR409="L23"),AS409&gt;0),SUMIFS($AS$7:$AS$1570,$BR$7:$BR$1570,BR409,$AV$7:$AV$1570,"&gt;"&amp;AV409)+SUMIFS($AS$7:$AS$1570,$BR$7:$BR$1570,BR409,$AV$7:$AV$1570,AV409,$BL$7:$BL$1570,"&lt;="&amp;BL409),"")</f>
        <v/>
      </c>
      <c r="AX409" s="65">
        <f>IF(AW409="",0,MAX(0,MIN(1,(IF(BR409="L1",Parameter!$K$5,Parameter!$K$6+Parameter!$K$7)-(AW409-AS409))/AS409)))</f>
        <v/>
      </c>
      <c r="AY409" s="53">
        <f>IF(AC409&lt;=0,"",IF(BR409="Aussen","Aussenlager",IF(BR409="-","Nicht im Lift",IF(AH409&gt;=1,"Lift",IF(AH409&lt;=0,"Aussenlager","teilweise")))))</f>
        <v/>
      </c>
      <c r="AZ409" s="53">
        <f>IF(AK409&lt;=0,"",IF(BR409="Aussen","Aussenlager",IF(BR409="-","Nicht im Lift",IF(AP409&gt;=1,"Lift",IF(AP409&lt;=0,"Aussenlager","teilweise")))))</f>
        <v/>
      </c>
      <c r="BA409" s="53">
        <f>IF(AS409&lt;=0,"",IF(BR409="Aussen","Aussenlager",IF(BR409="-","Nicht im Lift",IF(AX409&gt;=1,"Lift",IF(AX409&lt;=0,"Aussenlager","teilweise")))))</f>
        <v/>
      </c>
      <c r="BB409" s="53">
        <f>IF(A409="","",IF(BK409=1,"Neu; ","")&amp;IF(AND(BK409=0,BF409&lt;0),"negativer Bestand (Export "&amp;BF409&amp;"); ","")&amp;IF(I409&lt;=0,"Kein Verbrauch; ","")&amp;IF(BO409=1,"Lose – Fläche geschätzt; ","")&amp;IF(G409&gt;AM409,"Überbestand "&amp;ROUND(G409-AM409,0)&amp;" Stk / CHF "&amp;ROUND((G409-AM409)*F409,0)&amp;"; ","")&amp;IF(AND(BT409=1,BU409&lt;BV409),"MAX &lt; MB+LG; ","")&amp;IF(AND(BZ409&gt;0,BY409*10&gt;BZ409),"zu hoch für Tablar; ","")&amp;IF(AND(BK409=0,OR(BT409=1,V409&lt;&gt;"",S409&lt;&gt;"",T409&lt;&gt;"",W409&lt;&gt;"")),"manuell übersteuert; ","")&amp;IF(AND(BO409=0,Q409=0),"Gebinde unbekannt; ","")&amp;IF(AND(BO409=0,N(T409)&lt;=0,N(P409)&lt;=0),"Menge pro Gebinde fehlt (Ist = 1 Gebinde); ","")&amp;BJ409)</f>
        <v/>
      </c>
      <c r="BC409" s="53" t="n"/>
      <c r="BD409" s="53" t="n"/>
      <c r="BE409" s="61" t="n"/>
      <c r="BF409" s="55" t="n">
        <v>294</v>
      </c>
      <c r="BG409" s="55" t="n">
        <v>93</v>
      </c>
      <c r="BH409" s="54" t="n">
        <v>103.83</v>
      </c>
      <c r="BI409" s="55" t="n">
        <v>356</v>
      </c>
      <c r="BJ409" s="53" t="inlineStr"/>
      <c r="BK409" s="58" t="n">
        <v>0</v>
      </c>
      <c r="BL409" s="58" t="n">
        <v>409</v>
      </c>
      <c r="BM409" s="53">
        <f>IF(S409&lt;&gt;"",UPPER(TRIM(S409)),IF(O409="","LOSE",O409))</f>
        <v/>
      </c>
      <c r="BN409" s="55">
        <f>IF(BM409="LOSE",1,IF(N(T409)&gt;0,T409,IF(N(P409)&gt;0,P409,MAX(1,G409))))</f>
        <v/>
      </c>
      <c r="BO409" s="58">
        <f>IF(BM409="LOSE",1,0)</f>
        <v/>
      </c>
      <c r="BP409" s="64">
        <f>IF(BO409=0,0,IF(N(R409)&gt;0,R409,IFERROR(VLOOKUP(D409,Parameter!$A$35:$C$64,3,0)+0,0)))</f>
        <v/>
      </c>
      <c r="BQ409" s="53">
        <f>IF(V409&lt;&gt;"",V409,U409)</f>
        <v/>
      </c>
      <c r="BR409" s="53">
        <f>IF(BQ409=1,"L1",IF(OR(BQ409=2,BQ409=3),"L23",IF(BQ409="Aussen","Aussen","-")))</f>
        <v/>
      </c>
      <c r="BS409" s="66">
        <f>IF(N(W409)&gt;0,W409,0)</f>
        <v/>
      </c>
      <c r="BT409" s="58">
        <f>IF(ISNUMBER(Z409),1,0)</f>
        <v/>
      </c>
      <c r="BU409" s="55">
        <f>N(Z409)</f>
        <v/>
      </c>
      <c r="BV409" s="55">
        <f>N(L409)+N(M409)</f>
        <v/>
      </c>
      <c r="BW409" s="55">
        <f>ROUNDUP(G409/BN409,0)</f>
        <v/>
      </c>
      <c r="BX409" s="55">
        <f>ROUNDUP(BU409/BN409,0)</f>
        <v/>
      </c>
      <c r="BY409" s="58">
        <f>IF(BO409=1,0,IFERROR(VLOOKUP(BM409,'Gebinde-Kategorie'!$A$5:$G$45,5,0)+0,0))</f>
        <v/>
      </c>
      <c r="BZ409" s="58">
        <f>IFERROR(IF(OR(BQ409=1,BQ409=2,BQ409=3),N(INDEX(Parameter!$I$5:$I$7,BQ409)),0),0)</f>
        <v/>
      </c>
    </row>
    <row r="410">
      <c r="A410" s="53" t="inlineStr">
        <is>
          <t>106989</t>
        </is>
      </c>
      <c r="B410" s="53" t="inlineStr">
        <is>
          <t>Austrittsfilter</t>
        </is>
      </c>
      <c r="C410" s="53" t="inlineStr">
        <is>
          <t>F</t>
        </is>
      </c>
      <c r="D410" s="53" t="inlineStr">
        <is>
          <t>KTL</t>
        </is>
      </c>
      <c r="E410" s="53" t="inlineStr">
        <is>
          <t>C</t>
        </is>
      </c>
      <c r="F410" s="54" t="n">
        <v>49.6</v>
      </c>
      <c r="G410" s="55">
        <f>MAX(0,IF(Parameter!$B$20="Jahresanfang 2025 + Export",BG410+BF410,BF410))</f>
        <v/>
      </c>
      <c r="H410" s="55">
        <f>G410*F410</f>
        <v/>
      </c>
      <c r="I410" s="55">
        <f>BI410*Parameter!$B$18</f>
        <v/>
      </c>
      <c r="J410" s="56" t="n">
        <v>1</v>
      </c>
      <c r="K410" s="57" t="n">
        <v>0</v>
      </c>
      <c r="L410" s="55" t="n">
        <v>0</v>
      </c>
      <c r="M410" s="55" t="n">
        <v>1</v>
      </c>
      <c r="N410" s="58" t="n">
        <v>42</v>
      </c>
      <c r="O410" s="53" t="inlineStr">
        <is>
          <t>S52</t>
        </is>
      </c>
      <c r="P410" s="55" t="n">
        <v>3</v>
      </c>
      <c r="Q410" s="59">
        <f>IF(BO410=1,0,IFERROR(VLOOKUP(BM410,'Gebinde-Kategorie'!$A$5:$G$45,6,0)+0,0))</f>
        <v/>
      </c>
      <c r="R410" s="60" t="n"/>
      <c r="S410" s="61" t="n"/>
      <c r="T410" s="61" t="n"/>
      <c r="U410" s="53">
        <f>IF(A410="","",IF(IFERROR(VLOOKUP(D410,Parameter!$A$35:$C$64,2,0),"Nein")="2+3",IF(ISNUMBER(SEARCH("grosser Artikel",BJ410)),2,IFERROR(VLOOKUP(BM410,Parameter!$F$35:$G$64,2,0),2)),IF(OR(IFERROR(VLOOKUP(D410,Parameter!$A$35:$C$64,2,0),"Nein")="Nein",IFERROR(VLOOKUP(D410,Parameter!$A$35:$C$64,2,0),"Nein")=""),"-",VLOOKUP(D410,Parameter!$A$35:$C$64,2,0))))</f>
        <v/>
      </c>
      <c r="V410" s="61" t="n"/>
      <c r="W410" s="62" t="n"/>
      <c r="X410" s="55">
        <f>AM410</f>
        <v/>
      </c>
      <c r="Y410" s="55">
        <f>MAX(AM410,G410)</f>
        <v/>
      </c>
      <c r="Z410" s="63" t="n"/>
      <c r="AA410" s="55">
        <f>IF(LEFT(Cockpit!$C$5,1)="A",G410,IF(BT410=1,BU410,IF(LEFT(Cockpit!$C$5,1)="B",AE410,MAX(AE410,G410))))</f>
        <v/>
      </c>
      <c r="AB410" s="55">
        <f>IF(BO410=1,0,ROUNDUP(AA410/BN410,0))</f>
        <v/>
      </c>
      <c r="AC410" s="64">
        <f>IF(BO410=1,IF(AA410&lt;=0,0,BP410*MAX(1,IF(G410&gt;0,AA410/G410,1))),AB410*Q410)</f>
        <v/>
      </c>
      <c r="AD410" s="55">
        <f>AA410*F410</f>
        <v/>
      </c>
      <c r="AE410" s="55">
        <f>ROUNDUP(MAX(I410/IF(BS410&gt;0,BS410,MAX(0.1,N(Cockpit!$C$6))),BV410)/BN410,0)*BN410</f>
        <v/>
      </c>
      <c r="AF410" s="56">
        <f>IF(AC410&gt;0,I410/AC410,-1)</f>
        <v/>
      </c>
      <c r="AG410" s="56">
        <f>IF(AND(OR(BR410="L1",BR410="L23"),AC410&gt;0),SUMIFS($AC$7:$AC$1570,$BR$7:$BR$1570,BR410,$AF$7:$AF$1570,"&gt;"&amp;AF410)+SUMIFS($AC$7:$AC$1570,$BR$7:$BR$1570,BR410,$AF$7:$AF$1570,AF410,$BL$7:$BL$1570,"&lt;="&amp;BL410),"")</f>
        <v/>
      </c>
      <c r="AH410" s="65">
        <f>IF(AG410="",0,MAX(0,MIN(1,(IF(BR410="L1",Parameter!$K$5,Parameter!$K$6+Parameter!$K$7)-(AG410-AC410))/AC410)))</f>
        <v/>
      </c>
      <c r="AI410" s="55">
        <f>IF(LEFT(Cockpit!$I$5,1)="A",G410,IF(BT410=1,BU410,IF(LEFT(Cockpit!$I$5,1)="B",AM410,MAX(AM410,G410))))</f>
        <v/>
      </c>
      <c r="AJ410" s="55">
        <f>IF(BO410=1,0,ROUNDUP(AI410/BN410,0))</f>
        <v/>
      </c>
      <c r="AK410" s="64">
        <f>IF(BO410=1,IF(AI410&lt;=0,0,BP410*MAX(1,IF(G410&gt;0,AI410/G410,1))),AJ410*Q410)</f>
        <v/>
      </c>
      <c r="AL410" s="55">
        <f>AI410*F410</f>
        <v/>
      </c>
      <c r="AM410" s="55">
        <f>ROUNDUP(MAX(I410/IF(BS410&gt;0,BS410,MAX(0.1,N(Cockpit!$I$6))),BV410)/BN410,0)*BN410</f>
        <v/>
      </c>
      <c r="AN410" s="56">
        <f>IF(AK410&gt;0,I410/AK410,-1)</f>
        <v/>
      </c>
      <c r="AO410" s="56">
        <f>IF(AND(OR(BR410="L1",BR410="L23"),AK410&gt;0),SUMIFS($AK$7:$AK$1570,$BR$7:$BR$1570,BR410,$AN$7:$AN$1570,"&gt;"&amp;AN410)+SUMIFS($AK$7:$AK$1570,$BR$7:$BR$1570,BR410,$AN$7:$AN$1570,AN410,$BL$7:$BL$1570,"&lt;="&amp;BL410),"")</f>
        <v/>
      </c>
      <c r="AP410" s="65">
        <f>IF(AO410="",0,MAX(0,MIN(1,(IF(BR410="L1",Parameter!$K$5,Parameter!$K$6+Parameter!$K$7)-(AO410-AK410))/AK410)))</f>
        <v/>
      </c>
      <c r="AQ410" s="55">
        <f>IF(LEFT(Cockpit!$O$5,1)="A",G410,IF(BT410=1,BU410,IF(LEFT(Cockpit!$O$5,1)="B",AU410,MAX(AU410,G410))))</f>
        <v/>
      </c>
      <c r="AR410" s="55">
        <f>IF(BO410=1,0,ROUNDUP(AQ410/BN410,0))</f>
        <v/>
      </c>
      <c r="AS410" s="64">
        <f>IF(BO410=1,IF(AQ410&lt;=0,0,BP410*MAX(1,IF(G410&gt;0,AQ410/G410,1))),AR410*Q410)</f>
        <v/>
      </c>
      <c r="AT410" s="55">
        <f>AQ410*F410</f>
        <v/>
      </c>
      <c r="AU410" s="55">
        <f>ROUNDUP(MAX(I410/IF(BS410&gt;0,BS410,MAX(0.1,N(Cockpit!$O$6))),BV410)/BN410,0)*BN410</f>
        <v/>
      </c>
      <c r="AV410" s="56">
        <f>IF(AS410&gt;0,I410/AS410,-1)</f>
        <v/>
      </c>
      <c r="AW410" s="56">
        <f>IF(AND(OR(BR410="L1",BR410="L23"),AS410&gt;0),SUMIFS($AS$7:$AS$1570,$BR$7:$BR$1570,BR410,$AV$7:$AV$1570,"&gt;"&amp;AV410)+SUMIFS($AS$7:$AS$1570,$BR$7:$BR$1570,BR410,$AV$7:$AV$1570,AV410,$BL$7:$BL$1570,"&lt;="&amp;BL410),"")</f>
        <v/>
      </c>
      <c r="AX410" s="65">
        <f>IF(AW410="",0,MAX(0,MIN(1,(IF(BR410="L1",Parameter!$K$5,Parameter!$K$6+Parameter!$K$7)-(AW410-AS410))/AS410)))</f>
        <v/>
      </c>
      <c r="AY410" s="53">
        <f>IF(AC410&lt;=0,"",IF(BR410="Aussen","Aussenlager",IF(BR410="-","Nicht im Lift",IF(AH410&gt;=1,"Lift",IF(AH410&lt;=0,"Aussenlager","teilweise")))))</f>
        <v/>
      </c>
      <c r="AZ410" s="53">
        <f>IF(AK410&lt;=0,"",IF(BR410="Aussen","Aussenlager",IF(BR410="-","Nicht im Lift",IF(AP410&gt;=1,"Lift",IF(AP410&lt;=0,"Aussenlager","teilweise")))))</f>
        <v/>
      </c>
      <c r="BA410" s="53">
        <f>IF(AS410&lt;=0,"",IF(BR410="Aussen","Aussenlager",IF(BR410="-","Nicht im Lift",IF(AX410&gt;=1,"Lift",IF(AX410&lt;=0,"Aussenlager","teilweise")))))</f>
        <v/>
      </c>
      <c r="BB410" s="53">
        <f>IF(A410="","",IF(BK410=1,"Neu; ","")&amp;IF(AND(BK410=0,BF410&lt;0),"negativer Bestand (Export "&amp;BF410&amp;"); ","")&amp;IF(I410&lt;=0,"Kein Verbrauch; ","")&amp;IF(BO410=1,"Lose – Fläche geschätzt; ","")&amp;IF(G410&gt;AM410,"Überbestand "&amp;ROUND(G410-AM410,0)&amp;" Stk / CHF "&amp;ROUND((G410-AM410)*F410,0)&amp;"; ","")&amp;IF(AND(BT410=1,BU410&lt;BV410),"MAX &lt; MB+LG; ","")&amp;IF(AND(BZ410&gt;0,BY410*10&gt;BZ410),"zu hoch für Tablar; ","")&amp;IF(AND(BK410=0,OR(BT410=1,V410&lt;&gt;"",S410&lt;&gt;"",T410&lt;&gt;"",W410&lt;&gt;"")),"manuell übersteuert; ","")&amp;IF(AND(BO410=0,Q410=0),"Gebinde unbekannt; ","")&amp;IF(AND(BO410=0,N(T410)&lt;=0,N(P410)&lt;=0),"Menge pro Gebinde fehlt (Ist = 1 Gebinde); ","")&amp;BJ410)</f>
        <v/>
      </c>
      <c r="BC410" s="53" t="n"/>
      <c r="BD410" s="53" t="n"/>
      <c r="BE410" s="61" t="n"/>
      <c r="BF410" s="55" t="n">
        <v>2</v>
      </c>
      <c r="BG410" s="55" t="n">
        <v>1</v>
      </c>
      <c r="BH410" s="54" t="n">
        <v>103.4</v>
      </c>
      <c r="BI410" s="55" t="n">
        <v>0</v>
      </c>
      <c r="BJ410" s="53" t="inlineStr"/>
      <c r="BK410" s="58" t="n">
        <v>0</v>
      </c>
      <c r="BL410" s="58" t="n">
        <v>410</v>
      </c>
      <c r="BM410" s="53">
        <f>IF(S410&lt;&gt;"",UPPER(TRIM(S410)),IF(O410="","LOSE",O410))</f>
        <v/>
      </c>
      <c r="BN410" s="55">
        <f>IF(BM410="LOSE",1,IF(N(T410)&gt;0,T410,IF(N(P410)&gt;0,P410,MAX(1,G410))))</f>
        <v/>
      </c>
      <c r="BO410" s="58">
        <f>IF(BM410="LOSE",1,0)</f>
        <v/>
      </c>
      <c r="BP410" s="64">
        <f>IF(BO410=0,0,IF(N(R410)&gt;0,R410,IFERROR(VLOOKUP(D410,Parameter!$A$35:$C$64,3,0)+0,0)))</f>
        <v/>
      </c>
      <c r="BQ410" s="53">
        <f>IF(V410&lt;&gt;"",V410,U410)</f>
        <v/>
      </c>
      <c r="BR410" s="53">
        <f>IF(BQ410=1,"L1",IF(OR(BQ410=2,BQ410=3),"L23",IF(BQ410="Aussen","Aussen","-")))</f>
        <v/>
      </c>
      <c r="BS410" s="66">
        <f>IF(N(W410)&gt;0,W410,0)</f>
        <v/>
      </c>
      <c r="BT410" s="58">
        <f>IF(ISNUMBER(Z410),1,0)</f>
        <v/>
      </c>
      <c r="BU410" s="55">
        <f>N(Z410)</f>
        <v/>
      </c>
      <c r="BV410" s="55">
        <f>N(L410)+N(M410)</f>
        <v/>
      </c>
      <c r="BW410" s="55">
        <f>ROUNDUP(G410/BN410,0)</f>
        <v/>
      </c>
      <c r="BX410" s="55">
        <f>ROUNDUP(BU410/BN410,0)</f>
        <v/>
      </c>
      <c r="BY410" s="58">
        <f>IF(BO410=1,0,IFERROR(VLOOKUP(BM410,'Gebinde-Kategorie'!$A$5:$G$45,5,0)+0,0))</f>
        <v/>
      </c>
      <c r="BZ410" s="58">
        <f>IFERROR(IF(OR(BQ410=1,BQ410=2,BQ410=3),N(INDEX(Parameter!$I$5:$I$7,BQ410)),0),0)</f>
        <v/>
      </c>
    </row>
    <row r="411">
      <c r="A411" s="53" t="inlineStr">
        <is>
          <t>001118</t>
        </is>
      </c>
      <c r="B411" s="53" t="inlineStr">
        <is>
          <t>Destilliertes Wasser 20L</t>
        </is>
      </c>
      <c r="C411" s="53" t="inlineStr">
        <is>
          <t>F</t>
        </is>
      </c>
      <c r="D411" s="53" t="inlineStr">
        <is>
          <t>KTL</t>
        </is>
      </c>
      <c r="E411" s="53" t="inlineStr">
        <is>
          <t>C</t>
        </is>
      </c>
      <c r="F411" s="54" t="n">
        <v>32.65</v>
      </c>
      <c r="G411" s="55">
        <f>MAX(0,IF(Parameter!$B$20="Jahresanfang 2025 + Export",BG411+BF411,BF411))</f>
        <v/>
      </c>
      <c r="H411" s="55">
        <f>G411*F411</f>
        <v/>
      </c>
      <c r="I411" s="55">
        <f>BI411*Parameter!$B$18</f>
        <v/>
      </c>
      <c r="J411" s="56" t="n">
        <v>2.5</v>
      </c>
      <c r="K411" s="57" t="n">
        <v>3.6</v>
      </c>
      <c r="L411" s="55" t="n">
        <v>0</v>
      </c>
      <c r="M411" s="55" t="n">
        <v>3</v>
      </c>
      <c r="N411" s="58" t="n">
        <v>14</v>
      </c>
      <c r="O411" s="53" t="inlineStr">
        <is>
          <t>LOSE</t>
        </is>
      </c>
      <c r="P411" s="55" t="n"/>
      <c r="Q411" s="59">
        <f>IF(BO411=1,0,IFERROR(VLOOKUP(BM411,'Gebinde-Kategorie'!$A$5:$G$45,6,0)+0,0))</f>
        <v/>
      </c>
      <c r="R411" s="60" t="n"/>
      <c r="S411" s="61" t="n"/>
      <c r="T411" s="61" t="n"/>
      <c r="U411" s="53">
        <f>IF(A411="","",IF(IFERROR(VLOOKUP(D411,Parameter!$A$35:$C$64,2,0),"Nein")="2+3",IF(ISNUMBER(SEARCH("grosser Artikel",BJ411)),2,IFERROR(VLOOKUP(BM411,Parameter!$F$35:$G$64,2,0),2)),IF(OR(IFERROR(VLOOKUP(D411,Parameter!$A$35:$C$64,2,0),"Nein")="Nein",IFERROR(VLOOKUP(D411,Parameter!$A$35:$C$64,2,0),"Nein")=""),"-",VLOOKUP(D411,Parameter!$A$35:$C$64,2,0))))</f>
        <v/>
      </c>
      <c r="V411" s="61" t="n"/>
      <c r="W411" s="62" t="n"/>
      <c r="X411" s="55">
        <f>AM411</f>
        <v/>
      </c>
      <c r="Y411" s="55">
        <f>MAX(AM411,G411)</f>
        <v/>
      </c>
      <c r="Z411" s="63" t="n"/>
      <c r="AA411" s="55">
        <f>IF(LEFT(Cockpit!$C$5,1)="A",G411,IF(BT411=1,BU411,IF(LEFT(Cockpit!$C$5,1)="B",AE411,MAX(AE411,G411))))</f>
        <v/>
      </c>
      <c r="AB411" s="55">
        <f>IF(BO411=1,0,ROUNDUP(AA411/BN411,0))</f>
        <v/>
      </c>
      <c r="AC411" s="64">
        <f>IF(BO411=1,IF(AA411&lt;=0,0,BP411*MAX(1,IF(G411&gt;0,AA411/G411,1))),AB411*Q411)</f>
        <v/>
      </c>
      <c r="AD411" s="55">
        <f>AA411*F411</f>
        <v/>
      </c>
      <c r="AE411" s="55">
        <f>ROUNDUP(MAX(I411/IF(BS411&gt;0,BS411,MAX(0.1,N(Cockpit!$C$6))),BV411)/BN411,0)*BN411</f>
        <v/>
      </c>
      <c r="AF411" s="56">
        <f>IF(AC411&gt;0,I411/AC411,-1)</f>
        <v/>
      </c>
      <c r="AG411" s="56">
        <f>IF(AND(OR(BR411="L1",BR411="L23"),AC411&gt;0),SUMIFS($AC$7:$AC$1570,$BR$7:$BR$1570,BR411,$AF$7:$AF$1570,"&gt;"&amp;AF411)+SUMIFS($AC$7:$AC$1570,$BR$7:$BR$1570,BR411,$AF$7:$AF$1570,AF411,$BL$7:$BL$1570,"&lt;="&amp;BL411),"")</f>
        <v/>
      </c>
      <c r="AH411" s="65">
        <f>IF(AG411="",0,MAX(0,MIN(1,(IF(BR411="L1",Parameter!$K$5,Parameter!$K$6+Parameter!$K$7)-(AG411-AC411))/AC411)))</f>
        <v/>
      </c>
      <c r="AI411" s="55">
        <f>IF(LEFT(Cockpit!$I$5,1)="A",G411,IF(BT411=1,BU411,IF(LEFT(Cockpit!$I$5,1)="B",AM411,MAX(AM411,G411))))</f>
        <v/>
      </c>
      <c r="AJ411" s="55">
        <f>IF(BO411=1,0,ROUNDUP(AI411/BN411,0))</f>
        <v/>
      </c>
      <c r="AK411" s="64">
        <f>IF(BO411=1,IF(AI411&lt;=0,0,BP411*MAX(1,IF(G411&gt;0,AI411/G411,1))),AJ411*Q411)</f>
        <v/>
      </c>
      <c r="AL411" s="55">
        <f>AI411*F411</f>
        <v/>
      </c>
      <c r="AM411" s="55">
        <f>ROUNDUP(MAX(I411/IF(BS411&gt;0,BS411,MAX(0.1,N(Cockpit!$I$6))),BV411)/BN411,0)*BN411</f>
        <v/>
      </c>
      <c r="AN411" s="56">
        <f>IF(AK411&gt;0,I411/AK411,-1)</f>
        <v/>
      </c>
      <c r="AO411" s="56">
        <f>IF(AND(OR(BR411="L1",BR411="L23"),AK411&gt;0),SUMIFS($AK$7:$AK$1570,$BR$7:$BR$1570,BR411,$AN$7:$AN$1570,"&gt;"&amp;AN411)+SUMIFS($AK$7:$AK$1570,$BR$7:$BR$1570,BR411,$AN$7:$AN$1570,AN411,$BL$7:$BL$1570,"&lt;="&amp;BL411),"")</f>
        <v/>
      </c>
      <c r="AP411" s="65">
        <f>IF(AO411="",0,MAX(0,MIN(1,(IF(BR411="L1",Parameter!$K$5,Parameter!$K$6+Parameter!$K$7)-(AO411-AK411))/AK411)))</f>
        <v/>
      </c>
      <c r="AQ411" s="55">
        <f>IF(LEFT(Cockpit!$O$5,1)="A",G411,IF(BT411=1,BU411,IF(LEFT(Cockpit!$O$5,1)="B",AU411,MAX(AU411,G411))))</f>
        <v/>
      </c>
      <c r="AR411" s="55">
        <f>IF(BO411=1,0,ROUNDUP(AQ411/BN411,0))</f>
        <v/>
      </c>
      <c r="AS411" s="64">
        <f>IF(BO411=1,IF(AQ411&lt;=0,0,BP411*MAX(1,IF(G411&gt;0,AQ411/G411,1))),AR411*Q411)</f>
        <v/>
      </c>
      <c r="AT411" s="55">
        <f>AQ411*F411</f>
        <v/>
      </c>
      <c r="AU411" s="55">
        <f>ROUNDUP(MAX(I411/IF(BS411&gt;0,BS411,MAX(0.1,N(Cockpit!$O$6))),BV411)/BN411,0)*BN411</f>
        <v/>
      </c>
      <c r="AV411" s="56">
        <f>IF(AS411&gt;0,I411/AS411,-1)</f>
        <v/>
      </c>
      <c r="AW411" s="56">
        <f>IF(AND(OR(BR411="L1",BR411="L23"),AS411&gt;0),SUMIFS($AS$7:$AS$1570,$BR$7:$BR$1570,BR411,$AV$7:$AV$1570,"&gt;"&amp;AV411)+SUMIFS($AS$7:$AS$1570,$BR$7:$BR$1570,BR411,$AV$7:$AV$1570,AV411,$BL$7:$BL$1570,"&lt;="&amp;BL411),"")</f>
        <v/>
      </c>
      <c r="AX411" s="65">
        <f>IF(AW411="",0,MAX(0,MIN(1,(IF(BR411="L1",Parameter!$K$5,Parameter!$K$6+Parameter!$K$7)-(AW411-AS411))/AS411)))</f>
        <v/>
      </c>
      <c r="AY411" s="53">
        <f>IF(AC411&lt;=0,"",IF(BR411="Aussen","Aussenlager",IF(BR411="-","Nicht im Lift",IF(AH411&gt;=1,"Lift",IF(AH411&lt;=0,"Aussenlager","teilweise")))))</f>
        <v/>
      </c>
      <c r="AZ411" s="53">
        <f>IF(AK411&lt;=0,"",IF(BR411="Aussen","Aussenlager",IF(BR411="-","Nicht im Lift",IF(AP411&gt;=1,"Lift",IF(AP411&lt;=0,"Aussenlager","teilweise")))))</f>
        <v/>
      </c>
      <c r="BA411" s="53">
        <f>IF(AS411&lt;=0,"",IF(BR411="Aussen","Aussenlager",IF(BR411="-","Nicht im Lift",IF(AX411&gt;=1,"Lift",IF(AX411&lt;=0,"Aussenlager","teilweise")))))</f>
        <v/>
      </c>
      <c r="BB411" s="53">
        <f>IF(A411="","",IF(BK411=1,"Neu; ","")&amp;IF(AND(BK411=0,BF411&lt;0),"negativer Bestand (Export "&amp;BF411&amp;"); ","")&amp;IF(I411&lt;=0,"Kein Verbrauch; ","")&amp;IF(BO411=1,"Lose – Fläche geschätzt; ","")&amp;IF(G411&gt;AM411,"Überbestand "&amp;ROUND(G411-AM411,0)&amp;" Stk / CHF "&amp;ROUND((G411-AM411)*F411,0)&amp;"; ","")&amp;IF(AND(BT411=1,BU411&lt;BV411),"MAX &lt; MB+LG; ","")&amp;IF(AND(BZ411&gt;0,BY411*10&gt;BZ411),"zu hoch für Tablar; ","")&amp;IF(AND(BK411=0,OR(BT411=1,V411&lt;&gt;"",S411&lt;&gt;"",T411&lt;&gt;"",W411&lt;&gt;"")),"manuell übersteuert; ","")&amp;IF(AND(BO411=0,Q411=0),"Gebinde unbekannt; ","")&amp;IF(AND(BO411=0,N(T411)&lt;=0,N(P411)&lt;=0),"Menge pro Gebinde fehlt (Ist = 1 Gebinde); ","")&amp;BJ411)</f>
        <v/>
      </c>
      <c r="BC411" s="53" t="n"/>
      <c r="BD411" s="53" t="n"/>
      <c r="BE411" s="61" t="n"/>
      <c r="BF411" s="55" t="n">
        <v>3</v>
      </c>
      <c r="BG411" s="55" t="n">
        <v>3</v>
      </c>
      <c r="BH411" s="54" t="n">
        <v>101.19</v>
      </c>
      <c r="BI411" s="55" t="n">
        <v>9</v>
      </c>
      <c r="BJ411" s="53" t="inlineStr"/>
      <c r="BK411" s="58" t="n">
        <v>0</v>
      </c>
      <c r="BL411" s="58" t="n">
        <v>411</v>
      </c>
      <c r="BM411" s="53">
        <f>IF(S411&lt;&gt;"",UPPER(TRIM(S411)),IF(O411="","LOSE",O411))</f>
        <v/>
      </c>
      <c r="BN411" s="55">
        <f>IF(BM411="LOSE",1,IF(N(T411)&gt;0,T411,IF(N(P411)&gt;0,P411,MAX(1,G411))))</f>
        <v/>
      </c>
      <c r="BO411" s="58">
        <f>IF(BM411="LOSE",1,0)</f>
        <v/>
      </c>
      <c r="BP411" s="64">
        <f>IF(BO411=0,0,IF(N(R411)&gt;0,R411,IFERROR(VLOOKUP(D411,Parameter!$A$35:$C$64,3,0)+0,0)))</f>
        <v/>
      </c>
      <c r="BQ411" s="53">
        <f>IF(V411&lt;&gt;"",V411,U411)</f>
        <v/>
      </c>
      <c r="BR411" s="53">
        <f>IF(BQ411=1,"L1",IF(OR(BQ411=2,BQ411=3),"L23",IF(BQ411="Aussen","Aussen","-")))</f>
        <v/>
      </c>
      <c r="BS411" s="66">
        <f>IF(N(W411)&gt;0,W411,0)</f>
        <v/>
      </c>
      <c r="BT411" s="58">
        <f>IF(ISNUMBER(Z411),1,0)</f>
        <v/>
      </c>
      <c r="BU411" s="55">
        <f>N(Z411)</f>
        <v/>
      </c>
      <c r="BV411" s="55">
        <f>N(L411)+N(M411)</f>
        <v/>
      </c>
      <c r="BW411" s="55">
        <f>ROUNDUP(G411/BN411,0)</f>
        <v/>
      </c>
      <c r="BX411" s="55">
        <f>ROUNDUP(BU411/BN411,0)</f>
        <v/>
      </c>
      <c r="BY411" s="58">
        <f>IF(BO411=1,0,IFERROR(VLOOKUP(BM411,'Gebinde-Kategorie'!$A$5:$G$45,5,0)+0,0))</f>
        <v/>
      </c>
      <c r="BZ411" s="58">
        <f>IFERROR(IF(OR(BQ411=1,BQ411=2,BQ411=3),N(INDEX(Parameter!$I$5:$I$7,BQ411)),0),0)</f>
        <v/>
      </c>
    </row>
    <row r="412">
      <c r="A412" s="53" t="inlineStr">
        <is>
          <t>109435</t>
        </is>
      </c>
      <c r="B412" s="53" t="inlineStr">
        <is>
          <t>Unterlagsscheibe</t>
        </is>
      </c>
      <c r="C412" s="53" t="inlineStr">
        <is>
          <t>F</t>
        </is>
      </c>
      <c r="D412" s="53" t="inlineStr">
        <is>
          <t>KTL</t>
        </is>
      </c>
      <c r="E412" s="53" t="inlineStr">
        <is>
          <t>C</t>
        </is>
      </c>
      <c r="F412" s="54" t="n">
        <v>0.19</v>
      </c>
      <c r="G412" s="55">
        <f>MAX(0,IF(Parameter!$B$20="Jahresanfang 2025 + Export",BG412+BF412,BF412))</f>
        <v/>
      </c>
      <c r="H412" s="55">
        <f>G412*F412</f>
        <v/>
      </c>
      <c r="I412" s="55">
        <f>BI412*Parameter!$B$18</f>
        <v/>
      </c>
      <c r="J412" s="56" t="n">
        <v>252.5</v>
      </c>
      <c r="K412" s="57" t="n">
        <v>2.930693069306931</v>
      </c>
      <c r="L412" s="55" t="n">
        <v>43</v>
      </c>
      <c r="M412" s="55" t="n">
        <v>800</v>
      </c>
      <c r="N412" s="58" t="n">
        <v>21</v>
      </c>
      <c r="O412" s="53" t="inlineStr">
        <is>
          <t>S32</t>
        </is>
      </c>
      <c r="P412" s="55" t="n">
        <v>400</v>
      </c>
      <c r="Q412" s="59">
        <f>IF(BO412=1,0,IFERROR(VLOOKUP(BM412,'Gebinde-Kategorie'!$A$5:$G$45,6,0)+0,0))</f>
        <v/>
      </c>
      <c r="R412" s="60" t="n"/>
      <c r="S412" s="61" t="n"/>
      <c r="T412" s="61" t="n"/>
      <c r="U412" s="53">
        <f>IF(A412="","",IF(IFERROR(VLOOKUP(D412,Parameter!$A$35:$C$64,2,0),"Nein")="2+3",IF(ISNUMBER(SEARCH("grosser Artikel",BJ412)),2,IFERROR(VLOOKUP(BM412,Parameter!$F$35:$G$64,2,0),2)),IF(OR(IFERROR(VLOOKUP(D412,Parameter!$A$35:$C$64,2,0),"Nein")="Nein",IFERROR(VLOOKUP(D412,Parameter!$A$35:$C$64,2,0),"Nein")=""),"-",VLOOKUP(D412,Parameter!$A$35:$C$64,2,0))))</f>
        <v/>
      </c>
      <c r="V412" s="61" t="n"/>
      <c r="W412" s="62" t="n"/>
      <c r="X412" s="55">
        <f>AM412</f>
        <v/>
      </c>
      <c r="Y412" s="55">
        <f>MAX(AM412,G412)</f>
        <v/>
      </c>
      <c r="Z412" s="63" t="n"/>
      <c r="AA412" s="55">
        <f>IF(LEFT(Cockpit!$C$5,1)="A",G412,IF(BT412=1,BU412,IF(LEFT(Cockpit!$C$5,1)="B",AE412,MAX(AE412,G412))))</f>
        <v/>
      </c>
      <c r="AB412" s="55">
        <f>IF(BO412=1,0,ROUNDUP(AA412/BN412,0))</f>
        <v/>
      </c>
      <c r="AC412" s="64">
        <f>IF(BO412=1,IF(AA412&lt;=0,0,BP412*MAX(1,IF(G412&gt;0,AA412/G412,1))),AB412*Q412)</f>
        <v/>
      </c>
      <c r="AD412" s="55">
        <f>AA412*F412</f>
        <v/>
      </c>
      <c r="AE412" s="55">
        <f>ROUNDUP(MAX(I412/IF(BS412&gt;0,BS412,MAX(0.1,N(Cockpit!$C$6))),BV412)/BN412,0)*BN412</f>
        <v/>
      </c>
      <c r="AF412" s="56">
        <f>IF(AC412&gt;0,I412/AC412,-1)</f>
        <v/>
      </c>
      <c r="AG412" s="56">
        <f>IF(AND(OR(BR412="L1",BR412="L23"),AC412&gt;0),SUMIFS($AC$7:$AC$1570,$BR$7:$BR$1570,BR412,$AF$7:$AF$1570,"&gt;"&amp;AF412)+SUMIFS($AC$7:$AC$1570,$BR$7:$BR$1570,BR412,$AF$7:$AF$1570,AF412,$BL$7:$BL$1570,"&lt;="&amp;BL412),"")</f>
        <v/>
      </c>
      <c r="AH412" s="65">
        <f>IF(AG412="",0,MAX(0,MIN(1,(IF(BR412="L1",Parameter!$K$5,Parameter!$K$6+Parameter!$K$7)-(AG412-AC412))/AC412)))</f>
        <v/>
      </c>
      <c r="AI412" s="55">
        <f>IF(LEFT(Cockpit!$I$5,1)="A",G412,IF(BT412=1,BU412,IF(LEFT(Cockpit!$I$5,1)="B",AM412,MAX(AM412,G412))))</f>
        <v/>
      </c>
      <c r="AJ412" s="55">
        <f>IF(BO412=1,0,ROUNDUP(AI412/BN412,0))</f>
        <v/>
      </c>
      <c r="AK412" s="64">
        <f>IF(BO412=1,IF(AI412&lt;=0,0,BP412*MAX(1,IF(G412&gt;0,AI412/G412,1))),AJ412*Q412)</f>
        <v/>
      </c>
      <c r="AL412" s="55">
        <f>AI412*F412</f>
        <v/>
      </c>
      <c r="AM412" s="55">
        <f>ROUNDUP(MAX(I412/IF(BS412&gt;0,BS412,MAX(0.1,N(Cockpit!$I$6))),BV412)/BN412,0)*BN412</f>
        <v/>
      </c>
      <c r="AN412" s="56">
        <f>IF(AK412&gt;0,I412/AK412,-1)</f>
        <v/>
      </c>
      <c r="AO412" s="56">
        <f>IF(AND(OR(BR412="L1",BR412="L23"),AK412&gt;0),SUMIFS($AK$7:$AK$1570,$BR$7:$BR$1570,BR412,$AN$7:$AN$1570,"&gt;"&amp;AN412)+SUMIFS($AK$7:$AK$1570,$BR$7:$BR$1570,BR412,$AN$7:$AN$1570,AN412,$BL$7:$BL$1570,"&lt;="&amp;BL412),"")</f>
        <v/>
      </c>
      <c r="AP412" s="65">
        <f>IF(AO412="",0,MAX(0,MIN(1,(IF(BR412="L1",Parameter!$K$5,Parameter!$K$6+Parameter!$K$7)-(AO412-AK412))/AK412)))</f>
        <v/>
      </c>
      <c r="AQ412" s="55">
        <f>IF(LEFT(Cockpit!$O$5,1)="A",G412,IF(BT412=1,BU412,IF(LEFT(Cockpit!$O$5,1)="B",AU412,MAX(AU412,G412))))</f>
        <v/>
      </c>
      <c r="AR412" s="55">
        <f>IF(BO412=1,0,ROUNDUP(AQ412/BN412,0))</f>
        <v/>
      </c>
      <c r="AS412" s="64">
        <f>IF(BO412=1,IF(AQ412&lt;=0,0,BP412*MAX(1,IF(G412&gt;0,AQ412/G412,1))),AR412*Q412)</f>
        <v/>
      </c>
      <c r="AT412" s="55">
        <f>AQ412*F412</f>
        <v/>
      </c>
      <c r="AU412" s="55">
        <f>ROUNDUP(MAX(I412/IF(BS412&gt;0,BS412,MAX(0.1,N(Cockpit!$O$6))),BV412)/BN412,0)*BN412</f>
        <v/>
      </c>
      <c r="AV412" s="56">
        <f>IF(AS412&gt;0,I412/AS412,-1)</f>
        <v/>
      </c>
      <c r="AW412" s="56">
        <f>IF(AND(OR(BR412="L1",BR412="L23"),AS412&gt;0),SUMIFS($AS$7:$AS$1570,$BR$7:$BR$1570,BR412,$AV$7:$AV$1570,"&gt;"&amp;AV412)+SUMIFS($AS$7:$AS$1570,$BR$7:$BR$1570,BR412,$AV$7:$AV$1570,AV412,$BL$7:$BL$1570,"&lt;="&amp;BL412),"")</f>
        <v/>
      </c>
      <c r="AX412" s="65">
        <f>IF(AW412="",0,MAX(0,MIN(1,(IF(BR412="L1",Parameter!$K$5,Parameter!$K$6+Parameter!$K$7)-(AW412-AS412))/AS412)))</f>
        <v/>
      </c>
      <c r="AY412" s="53">
        <f>IF(AC412&lt;=0,"",IF(BR412="Aussen","Aussenlager",IF(BR412="-","Nicht im Lift",IF(AH412&gt;=1,"Lift",IF(AH412&lt;=0,"Aussenlager","teilweise")))))</f>
        <v/>
      </c>
      <c r="AZ412" s="53">
        <f>IF(AK412&lt;=0,"",IF(BR412="Aussen","Aussenlager",IF(BR412="-","Nicht im Lift",IF(AP412&gt;=1,"Lift",IF(AP412&lt;=0,"Aussenlager","teilweise")))))</f>
        <v/>
      </c>
      <c r="BA412" s="53">
        <f>IF(AS412&lt;=0,"",IF(BR412="Aussen","Aussenlager",IF(BR412="-","Nicht im Lift",IF(AX412&gt;=1,"Lift",IF(AX412&lt;=0,"Aussenlager","teilweise")))))</f>
        <v/>
      </c>
      <c r="BB412" s="53">
        <f>IF(A412="","",IF(BK412=1,"Neu; ","")&amp;IF(AND(BK412=0,BF412&lt;0),"negativer Bestand (Export "&amp;BF412&amp;"); ","")&amp;IF(I412&lt;=0,"Kein Verbrauch; ","")&amp;IF(BO412=1,"Lose – Fläche geschätzt; ","")&amp;IF(G412&gt;AM412,"Überbestand "&amp;ROUND(G412-AM412,0)&amp;" Stk / CHF "&amp;ROUND((G412-AM412)*F412,0)&amp;"; ","")&amp;IF(AND(BT412=1,BU412&lt;BV412),"MAX &lt; MB+LG; ","")&amp;IF(AND(BZ412&gt;0,BY412*10&gt;BZ412),"zu hoch für Tablar; ","")&amp;IF(AND(BK412=0,OR(BT412=1,V412&lt;&gt;"",S412&lt;&gt;"",T412&lt;&gt;"",W412&lt;&gt;"")),"manuell übersteuert; ","")&amp;IF(AND(BO412=0,Q412=0),"Gebinde unbekannt; ","")&amp;IF(AND(BO412=0,N(T412)&lt;=0,N(P412)&lt;=0),"Menge pro Gebinde fehlt (Ist = 1 Gebinde); ","")&amp;BJ412)</f>
        <v/>
      </c>
      <c r="BC412" s="53" t="n"/>
      <c r="BD412" s="53" t="n"/>
      <c r="BE412" s="61" t="n"/>
      <c r="BF412" s="55" t="n">
        <v>517</v>
      </c>
      <c r="BG412" s="55" t="n">
        <v>230</v>
      </c>
      <c r="BH412" s="54" t="n">
        <v>100.53</v>
      </c>
      <c r="BI412" s="55" t="n">
        <v>740</v>
      </c>
      <c r="BJ412" s="53" t="inlineStr"/>
      <c r="BK412" s="58" t="n">
        <v>0</v>
      </c>
      <c r="BL412" s="58" t="n">
        <v>412</v>
      </c>
      <c r="BM412" s="53">
        <f>IF(S412&lt;&gt;"",UPPER(TRIM(S412)),IF(O412="","LOSE",O412))</f>
        <v/>
      </c>
      <c r="BN412" s="55">
        <f>IF(BM412="LOSE",1,IF(N(T412)&gt;0,T412,IF(N(P412)&gt;0,P412,MAX(1,G412))))</f>
        <v/>
      </c>
      <c r="BO412" s="58">
        <f>IF(BM412="LOSE",1,0)</f>
        <v/>
      </c>
      <c r="BP412" s="64">
        <f>IF(BO412=0,0,IF(N(R412)&gt;0,R412,IFERROR(VLOOKUP(D412,Parameter!$A$35:$C$64,3,0)+0,0)))</f>
        <v/>
      </c>
      <c r="BQ412" s="53">
        <f>IF(V412&lt;&gt;"",V412,U412)</f>
        <v/>
      </c>
      <c r="BR412" s="53">
        <f>IF(BQ412=1,"L1",IF(OR(BQ412=2,BQ412=3),"L23",IF(BQ412="Aussen","Aussen","-")))</f>
        <v/>
      </c>
      <c r="BS412" s="66">
        <f>IF(N(W412)&gt;0,W412,0)</f>
        <v/>
      </c>
      <c r="BT412" s="58">
        <f>IF(ISNUMBER(Z412),1,0)</f>
        <v/>
      </c>
      <c r="BU412" s="55">
        <f>N(Z412)</f>
        <v/>
      </c>
      <c r="BV412" s="55">
        <f>N(L412)+N(M412)</f>
        <v/>
      </c>
      <c r="BW412" s="55">
        <f>ROUNDUP(G412/BN412,0)</f>
        <v/>
      </c>
      <c r="BX412" s="55">
        <f>ROUNDUP(BU412/BN412,0)</f>
        <v/>
      </c>
      <c r="BY412" s="58">
        <f>IF(BO412=1,0,IFERROR(VLOOKUP(BM412,'Gebinde-Kategorie'!$A$5:$G$45,5,0)+0,0))</f>
        <v/>
      </c>
      <c r="BZ412" s="58">
        <f>IFERROR(IF(OR(BQ412=1,BQ412=2,BQ412=3),N(INDEX(Parameter!$I$5:$I$7,BQ412)),0),0)</f>
        <v/>
      </c>
    </row>
    <row r="413">
      <c r="A413" s="53" t="inlineStr">
        <is>
          <t>107880</t>
        </is>
      </c>
      <c r="B413" s="53" t="inlineStr">
        <is>
          <t>Adapter Stahl verzinkt</t>
        </is>
      </c>
      <c r="C413" s="53" t="inlineStr">
        <is>
          <t>F</t>
        </is>
      </c>
      <c r="D413" s="53" t="inlineStr">
        <is>
          <t>KTL</t>
        </is>
      </c>
      <c r="E413" s="53" t="inlineStr">
        <is>
          <t>C</t>
        </is>
      </c>
      <c r="F413" s="54" t="n">
        <v>2.79</v>
      </c>
      <c r="G413" s="55">
        <f>MAX(0,IF(Parameter!$B$20="Jahresanfang 2025 + Export",BG413+BF413,BF413))</f>
        <v/>
      </c>
      <c r="H413" s="55">
        <f>G413*F413</f>
        <v/>
      </c>
      <c r="I413" s="55">
        <f>BI413*Parameter!$B$18</f>
        <v/>
      </c>
      <c r="J413" s="56" t="n">
        <v>29</v>
      </c>
      <c r="K413" s="57" t="n">
        <v>1.03448275862069</v>
      </c>
      <c r="L413" s="55" t="n">
        <v>1</v>
      </c>
      <c r="M413" s="55" t="n">
        <v>30</v>
      </c>
      <c r="N413" s="58" t="n">
        <v>14</v>
      </c>
      <c r="O413" s="53" t="inlineStr">
        <is>
          <t>S33</t>
        </is>
      </c>
      <c r="P413" s="55" t="n">
        <v>28</v>
      </c>
      <c r="Q413" s="59">
        <f>IF(BO413=1,0,IFERROR(VLOOKUP(BM413,'Gebinde-Kategorie'!$A$5:$G$45,6,0)+0,0))</f>
        <v/>
      </c>
      <c r="R413" s="60" t="n"/>
      <c r="S413" s="61" t="n"/>
      <c r="T413" s="61" t="n"/>
      <c r="U413" s="53">
        <f>IF(A413="","",IF(IFERROR(VLOOKUP(D413,Parameter!$A$35:$C$64,2,0),"Nein")="2+3",IF(ISNUMBER(SEARCH("grosser Artikel",BJ413)),2,IFERROR(VLOOKUP(BM413,Parameter!$F$35:$G$64,2,0),2)),IF(OR(IFERROR(VLOOKUP(D413,Parameter!$A$35:$C$64,2,0),"Nein")="Nein",IFERROR(VLOOKUP(D413,Parameter!$A$35:$C$64,2,0),"Nein")=""),"-",VLOOKUP(D413,Parameter!$A$35:$C$64,2,0))))</f>
        <v/>
      </c>
      <c r="V413" s="61" t="n"/>
      <c r="W413" s="62" t="n"/>
      <c r="X413" s="55">
        <f>AM413</f>
        <v/>
      </c>
      <c r="Y413" s="55">
        <f>MAX(AM413,G413)</f>
        <v/>
      </c>
      <c r="Z413" s="63" t="n"/>
      <c r="AA413" s="55">
        <f>IF(LEFT(Cockpit!$C$5,1)="A",G413,IF(BT413=1,BU413,IF(LEFT(Cockpit!$C$5,1)="B",AE413,MAX(AE413,G413))))</f>
        <v/>
      </c>
      <c r="AB413" s="55">
        <f>IF(BO413=1,0,ROUNDUP(AA413/BN413,0))</f>
        <v/>
      </c>
      <c r="AC413" s="64">
        <f>IF(BO413=1,IF(AA413&lt;=0,0,BP413*MAX(1,IF(G413&gt;0,AA413/G413,1))),AB413*Q413)</f>
        <v/>
      </c>
      <c r="AD413" s="55">
        <f>AA413*F413</f>
        <v/>
      </c>
      <c r="AE413" s="55">
        <f>ROUNDUP(MAX(I413/IF(BS413&gt;0,BS413,MAX(0.1,N(Cockpit!$C$6))),BV413)/BN413,0)*BN413</f>
        <v/>
      </c>
      <c r="AF413" s="56">
        <f>IF(AC413&gt;0,I413/AC413,-1)</f>
        <v/>
      </c>
      <c r="AG413" s="56">
        <f>IF(AND(OR(BR413="L1",BR413="L23"),AC413&gt;0),SUMIFS($AC$7:$AC$1570,$BR$7:$BR$1570,BR413,$AF$7:$AF$1570,"&gt;"&amp;AF413)+SUMIFS($AC$7:$AC$1570,$BR$7:$BR$1570,BR413,$AF$7:$AF$1570,AF413,$BL$7:$BL$1570,"&lt;="&amp;BL413),"")</f>
        <v/>
      </c>
      <c r="AH413" s="65">
        <f>IF(AG413="",0,MAX(0,MIN(1,(IF(BR413="L1",Parameter!$K$5,Parameter!$K$6+Parameter!$K$7)-(AG413-AC413))/AC413)))</f>
        <v/>
      </c>
      <c r="AI413" s="55">
        <f>IF(LEFT(Cockpit!$I$5,1)="A",G413,IF(BT413=1,BU413,IF(LEFT(Cockpit!$I$5,1)="B",AM413,MAX(AM413,G413))))</f>
        <v/>
      </c>
      <c r="AJ413" s="55">
        <f>IF(BO413=1,0,ROUNDUP(AI413/BN413,0))</f>
        <v/>
      </c>
      <c r="AK413" s="64">
        <f>IF(BO413=1,IF(AI413&lt;=0,0,BP413*MAX(1,IF(G413&gt;0,AI413/G413,1))),AJ413*Q413)</f>
        <v/>
      </c>
      <c r="AL413" s="55">
        <f>AI413*F413</f>
        <v/>
      </c>
      <c r="AM413" s="55">
        <f>ROUNDUP(MAX(I413/IF(BS413&gt;0,BS413,MAX(0.1,N(Cockpit!$I$6))),BV413)/BN413,0)*BN413</f>
        <v/>
      </c>
      <c r="AN413" s="56">
        <f>IF(AK413&gt;0,I413/AK413,-1)</f>
        <v/>
      </c>
      <c r="AO413" s="56">
        <f>IF(AND(OR(BR413="L1",BR413="L23"),AK413&gt;0),SUMIFS($AK$7:$AK$1570,$BR$7:$BR$1570,BR413,$AN$7:$AN$1570,"&gt;"&amp;AN413)+SUMIFS($AK$7:$AK$1570,$BR$7:$BR$1570,BR413,$AN$7:$AN$1570,AN413,$BL$7:$BL$1570,"&lt;="&amp;BL413),"")</f>
        <v/>
      </c>
      <c r="AP413" s="65">
        <f>IF(AO413="",0,MAX(0,MIN(1,(IF(BR413="L1",Parameter!$K$5,Parameter!$K$6+Parameter!$K$7)-(AO413-AK413))/AK413)))</f>
        <v/>
      </c>
      <c r="AQ413" s="55">
        <f>IF(LEFT(Cockpit!$O$5,1)="A",G413,IF(BT413=1,BU413,IF(LEFT(Cockpit!$O$5,1)="B",AU413,MAX(AU413,G413))))</f>
        <v/>
      </c>
      <c r="AR413" s="55">
        <f>IF(BO413=1,0,ROUNDUP(AQ413/BN413,0))</f>
        <v/>
      </c>
      <c r="AS413" s="64">
        <f>IF(BO413=1,IF(AQ413&lt;=0,0,BP413*MAX(1,IF(G413&gt;0,AQ413/G413,1))),AR413*Q413)</f>
        <v/>
      </c>
      <c r="AT413" s="55">
        <f>AQ413*F413</f>
        <v/>
      </c>
      <c r="AU413" s="55">
        <f>ROUNDUP(MAX(I413/IF(BS413&gt;0,BS413,MAX(0.1,N(Cockpit!$O$6))),BV413)/BN413,0)*BN413</f>
        <v/>
      </c>
      <c r="AV413" s="56">
        <f>IF(AS413&gt;0,I413/AS413,-1)</f>
        <v/>
      </c>
      <c r="AW413" s="56">
        <f>IF(AND(OR(BR413="L1",BR413="L23"),AS413&gt;0),SUMIFS($AS$7:$AS$1570,$BR$7:$BR$1570,BR413,$AV$7:$AV$1570,"&gt;"&amp;AV413)+SUMIFS($AS$7:$AS$1570,$BR$7:$BR$1570,BR413,$AV$7:$AV$1570,AV413,$BL$7:$BL$1570,"&lt;="&amp;BL413),"")</f>
        <v/>
      </c>
      <c r="AX413" s="65">
        <f>IF(AW413="",0,MAX(0,MIN(1,(IF(BR413="L1",Parameter!$K$5,Parameter!$K$6+Parameter!$K$7)-(AW413-AS413))/AS413)))</f>
        <v/>
      </c>
      <c r="AY413" s="53">
        <f>IF(AC413&lt;=0,"",IF(BR413="Aussen","Aussenlager",IF(BR413="-","Nicht im Lift",IF(AH413&gt;=1,"Lift",IF(AH413&lt;=0,"Aussenlager","teilweise")))))</f>
        <v/>
      </c>
      <c r="AZ413" s="53">
        <f>IF(AK413&lt;=0,"",IF(BR413="Aussen","Aussenlager",IF(BR413="-","Nicht im Lift",IF(AP413&gt;=1,"Lift",IF(AP413&lt;=0,"Aussenlager","teilweise")))))</f>
        <v/>
      </c>
      <c r="BA413" s="53">
        <f>IF(AS413&lt;=0,"",IF(BR413="Aussen","Aussenlager",IF(BR413="-","Nicht im Lift",IF(AX413&gt;=1,"Lift",IF(AX413&lt;=0,"Aussenlager","teilweise")))))</f>
        <v/>
      </c>
      <c r="BB413" s="53">
        <f>IF(A413="","",IF(BK413=1,"Neu; ","")&amp;IF(AND(BK413=0,BF413&lt;0),"negativer Bestand (Export "&amp;BF413&amp;"); ","")&amp;IF(I413&lt;=0,"Kein Verbrauch; ","")&amp;IF(BO413=1,"Lose – Fläche geschätzt; ","")&amp;IF(G413&gt;AM413,"Überbestand "&amp;ROUND(G413-AM413,0)&amp;" Stk / CHF "&amp;ROUND((G413-AM413)*F413,0)&amp;"; ","")&amp;IF(AND(BT413=1,BU413&lt;BV413),"MAX &lt; MB+LG; ","")&amp;IF(AND(BZ413&gt;0,BY413*10&gt;BZ413),"zu hoch für Tablar; ","")&amp;IF(AND(BK413=0,OR(BT413=1,V413&lt;&gt;"",S413&lt;&gt;"",T413&lt;&gt;"",W413&lt;&gt;"")),"manuell übersteuert; ","")&amp;IF(AND(BO413=0,Q413=0),"Gebinde unbekannt; ","")&amp;IF(AND(BO413=0,N(T413)&lt;=0,N(P413)&lt;=0),"Menge pro Gebinde fehlt (Ist = 1 Gebinde); ","")&amp;BJ413)</f>
        <v/>
      </c>
      <c r="BC413" s="53" t="n"/>
      <c r="BD413" s="53" t="n"/>
      <c r="BE413" s="61" t="n"/>
      <c r="BF413" s="55" t="n">
        <v>39</v>
      </c>
      <c r="BG413" s="55" t="n">
        <v>38</v>
      </c>
      <c r="BH413" s="54" t="n">
        <v>100.06</v>
      </c>
      <c r="BI413" s="55" t="n">
        <v>30</v>
      </c>
      <c r="BJ413" s="53" t="inlineStr"/>
      <c r="BK413" s="58" t="n">
        <v>0</v>
      </c>
      <c r="BL413" s="58" t="n">
        <v>413</v>
      </c>
      <c r="BM413" s="53">
        <f>IF(S413&lt;&gt;"",UPPER(TRIM(S413)),IF(O413="","LOSE",O413))</f>
        <v/>
      </c>
      <c r="BN413" s="55">
        <f>IF(BM413="LOSE",1,IF(N(T413)&gt;0,T413,IF(N(P413)&gt;0,P413,MAX(1,G413))))</f>
        <v/>
      </c>
      <c r="BO413" s="58">
        <f>IF(BM413="LOSE",1,0)</f>
        <v/>
      </c>
      <c r="BP413" s="64">
        <f>IF(BO413=0,0,IF(N(R413)&gt;0,R413,IFERROR(VLOOKUP(D413,Parameter!$A$35:$C$64,3,0)+0,0)))</f>
        <v/>
      </c>
      <c r="BQ413" s="53">
        <f>IF(V413&lt;&gt;"",V413,U413)</f>
        <v/>
      </c>
      <c r="BR413" s="53">
        <f>IF(BQ413=1,"L1",IF(OR(BQ413=2,BQ413=3),"L23",IF(BQ413="Aussen","Aussen","-")))</f>
        <v/>
      </c>
      <c r="BS413" s="66">
        <f>IF(N(W413)&gt;0,W413,0)</f>
        <v/>
      </c>
      <c r="BT413" s="58">
        <f>IF(ISNUMBER(Z413),1,0)</f>
        <v/>
      </c>
      <c r="BU413" s="55">
        <f>N(Z413)</f>
        <v/>
      </c>
      <c r="BV413" s="55">
        <f>N(L413)+N(M413)</f>
        <v/>
      </c>
      <c r="BW413" s="55">
        <f>ROUNDUP(G413/BN413,0)</f>
        <v/>
      </c>
      <c r="BX413" s="55">
        <f>ROUNDUP(BU413/BN413,0)</f>
        <v/>
      </c>
      <c r="BY413" s="58">
        <f>IF(BO413=1,0,IFERROR(VLOOKUP(BM413,'Gebinde-Kategorie'!$A$5:$G$45,5,0)+0,0))</f>
        <v/>
      </c>
      <c r="BZ413" s="58">
        <f>IFERROR(IF(OR(BQ413=1,BQ413=2,BQ413=3),N(INDEX(Parameter!$I$5:$I$7,BQ413)),0),0)</f>
        <v/>
      </c>
    </row>
    <row r="414">
      <c r="A414" s="53" t="inlineStr">
        <is>
          <t>108026</t>
        </is>
      </c>
      <c r="B414" s="53" t="inlineStr">
        <is>
          <t>Kabelverschraubung</t>
        </is>
      </c>
      <c r="C414" s="53" t="inlineStr">
        <is>
          <t>F</t>
        </is>
      </c>
      <c r="D414" s="53" t="inlineStr">
        <is>
          <t>KTL</t>
        </is>
      </c>
      <c r="E414" s="53" t="inlineStr">
        <is>
          <t>C</t>
        </is>
      </c>
      <c r="F414" s="54" t="n">
        <v>3.21</v>
      </c>
      <c r="G414" s="55">
        <f>MAX(0,IF(Parameter!$B$20="Jahresanfang 2025 + Export",BG414+BF414,BF414))</f>
        <v/>
      </c>
      <c r="H414" s="55">
        <f>G414*F414</f>
        <v/>
      </c>
      <c r="I414" s="55">
        <f>BI414*Parameter!$B$18</f>
        <v/>
      </c>
      <c r="J414" s="56" t="n">
        <v>52.5</v>
      </c>
      <c r="K414" s="57" t="n">
        <v>3.085714285714286</v>
      </c>
      <c r="L414" s="55" t="n">
        <v>9</v>
      </c>
      <c r="M414" s="55" t="n">
        <v>160</v>
      </c>
      <c r="N414" s="58" t="n">
        <v>21</v>
      </c>
      <c r="O414" s="53" t="inlineStr">
        <is>
          <t>S32</t>
        </is>
      </c>
      <c r="P414" s="55" t="n">
        <v>56</v>
      </c>
      <c r="Q414" s="59">
        <f>IF(BO414=1,0,IFERROR(VLOOKUP(BM414,'Gebinde-Kategorie'!$A$5:$G$45,6,0)+0,0))</f>
        <v/>
      </c>
      <c r="R414" s="60" t="n"/>
      <c r="S414" s="61" t="n"/>
      <c r="T414" s="61" t="n"/>
      <c r="U414" s="53">
        <f>IF(A414="","",IF(IFERROR(VLOOKUP(D414,Parameter!$A$35:$C$64,2,0),"Nein")="2+3",IF(ISNUMBER(SEARCH("grosser Artikel",BJ414)),2,IFERROR(VLOOKUP(BM414,Parameter!$F$35:$G$64,2,0),2)),IF(OR(IFERROR(VLOOKUP(D414,Parameter!$A$35:$C$64,2,0),"Nein")="Nein",IFERROR(VLOOKUP(D414,Parameter!$A$35:$C$64,2,0),"Nein")=""),"-",VLOOKUP(D414,Parameter!$A$35:$C$64,2,0))))</f>
        <v/>
      </c>
      <c r="V414" s="61" t="n"/>
      <c r="W414" s="62" t="n"/>
      <c r="X414" s="55">
        <f>AM414</f>
        <v/>
      </c>
      <c r="Y414" s="55">
        <f>MAX(AM414,G414)</f>
        <v/>
      </c>
      <c r="Z414" s="63" t="n"/>
      <c r="AA414" s="55">
        <f>IF(LEFT(Cockpit!$C$5,1)="A",G414,IF(BT414=1,BU414,IF(LEFT(Cockpit!$C$5,1)="B",AE414,MAX(AE414,G414))))</f>
        <v/>
      </c>
      <c r="AB414" s="55">
        <f>IF(BO414=1,0,ROUNDUP(AA414/BN414,0))</f>
        <v/>
      </c>
      <c r="AC414" s="64">
        <f>IF(BO414=1,IF(AA414&lt;=0,0,BP414*MAX(1,IF(G414&gt;0,AA414/G414,1))),AB414*Q414)</f>
        <v/>
      </c>
      <c r="AD414" s="55">
        <f>AA414*F414</f>
        <v/>
      </c>
      <c r="AE414" s="55">
        <f>ROUNDUP(MAX(I414/IF(BS414&gt;0,BS414,MAX(0.1,N(Cockpit!$C$6))),BV414)/BN414,0)*BN414</f>
        <v/>
      </c>
      <c r="AF414" s="56">
        <f>IF(AC414&gt;0,I414/AC414,-1)</f>
        <v/>
      </c>
      <c r="AG414" s="56">
        <f>IF(AND(OR(BR414="L1",BR414="L23"),AC414&gt;0),SUMIFS($AC$7:$AC$1570,$BR$7:$BR$1570,BR414,$AF$7:$AF$1570,"&gt;"&amp;AF414)+SUMIFS($AC$7:$AC$1570,$BR$7:$BR$1570,BR414,$AF$7:$AF$1570,AF414,$BL$7:$BL$1570,"&lt;="&amp;BL414),"")</f>
        <v/>
      </c>
      <c r="AH414" s="65">
        <f>IF(AG414="",0,MAX(0,MIN(1,(IF(BR414="L1",Parameter!$K$5,Parameter!$K$6+Parameter!$K$7)-(AG414-AC414))/AC414)))</f>
        <v/>
      </c>
      <c r="AI414" s="55">
        <f>IF(LEFT(Cockpit!$I$5,1)="A",G414,IF(BT414=1,BU414,IF(LEFT(Cockpit!$I$5,1)="B",AM414,MAX(AM414,G414))))</f>
        <v/>
      </c>
      <c r="AJ414" s="55">
        <f>IF(BO414=1,0,ROUNDUP(AI414/BN414,0))</f>
        <v/>
      </c>
      <c r="AK414" s="64">
        <f>IF(BO414=1,IF(AI414&lt;=0,0,BP414*MAX(1,IF(G414&gt;0,AI414/G414,1))),AJ414*Q414)</f>
        <v/>
      </c>
      <c r="AL414" s="55">
        <f>AI414*F414</f>
        <v/>
      </c>
      <c r="AM414" s="55">
        <f>ROUNDUP(MAX(I414/IF(BS414&gt;0,BS414,MAX(0.1,N(Cockpit!$I$6))),BV414)/BN414,0)*BN414</f>
        <v/>
      </c>
      <c r="AN414" s="56">
        <f>IF(AK414&gt;0,I414/AK414,-1)</f>
        <v/>
      </c>
      <c r="AO414" s="56">
        <f>IF(AND(OR(BR414="L1",BR414="L23"),AK414&gt;0),SUMIFS($AK$7:$AK$1570,$BR$7:$BR$1570,BR414,$AN$7:$AN$1570,"&gt;"&amp;AN414)+SUMIFS($AK$7:$AK$1570,$BR$7:$BR$1570,BR414,$AN$7:$AN$1570,AN414,$BL$7:$BL$1570,"&lt;="&amp;BL414),"")</f>
        <v/>
      </c>
      <c r="AP414" s="65">
        <f>IF(AO414="",0,MAX(0,MIN(1,(IF(BR414="L1",Parameter!$K$5,Parameter!$K$6+Parameter!$K$7)-(AO414-AK414))/AK414)))</f>
        <v/>
      </c>
      <c r="AQ414" s="55">
        <f>IF(LEFT(Cockpit!$O$5,1)="A",G414,IF(BT414=1,BU414,IF(LEFT(Cockpit!$O$5,1)="B",AU414,MAX(AU414,G414))))</f>
        <v/>
      </c>
      <c r="AR414" s="55">
        <f>IF(BO414=1,0,ROUNDUP(AQ414/BN414,0))</f>
        <v/>
      </c>
      <c r="AS414" s="64">
        <f>IF(BO414=1,IF(AQ414&lt;=0,0,BP414*MAX(1,IF(G414&gt;0,AQ414/G414,1))),AR414*Q414)</f>
        <v/>
      </c>
      <c r="AT414" s="55">
        <f>AQ414*F414</f>
        <v/>
      </c>
      <c r="AU414" s="55">
        <f>ROUNDUP(MAX(I414/IF(BS414&gt;0,BS414,MAX(0.1,N(Cockpit!$O$6))),BV414)/BN414,0)*BN414</f>
        <v/>
      </c>
      <c r="AV414" s="56">
        <f>IF(AS414&gt;0,I414/AS414,-1)</f>
        <v/>
      </c>
      <c r="AW414" s="56">
        <f>IF(AND(OR(BR414="L1",BR414="L23"),AS414&gt;0),SUMIFS($AS$7:$AS$1570,$BR$7:$BR$1570,BR414,$AV$7:$AV$1570,"&gt;"&amp;AV414)+SUMIFS($AS$7:$AS$1570,$BR$7:$BR$1570,BR414,$AV$7:$AV$1570,AV414,$BL$7:$BL$1570,"&lt;="&amp;BL414),"")</f>
        <v/>
      </c>
      <c r="AX414" s="65">
        <f>IF(AW414="",0,MAX(0,MIN(1,(IF(BR414="L1",Parameter!$K$5,Parameter!$K$6+Parameter!$K$7)-(AW414-AS414))/AS414)))</f>
        <v/>
      </c>
      <c r="AY414" s="53">
        <f>IF(AC414&lt;=0,"",IF(BR414="Aussen","Aussenlager",IF(BR414="-","Nicht im Lift",IF(AH414&gt;=1,"Lift",IF(AH414&lt;=0,"Aussenlager","teilweise")))))</f>
        <v/>
      </c>
      <c r="AZ414" s="53">
        <f>IF(AK414&lt;=0,"",IF(BR414="Aussen","Aussenlager",IF(BR414="-","Nicht im Lift",IF(AP414&gt;=1,"Lift",IF(AP414&lt;=0,"Aussenlager","teilweise")))))</f>
        <v/>
      </c>
      <c r="BA414" s="53">
        <f>IF(AS414&lt;=0,"",IF(BR414="Aussen","Aussenlager",IF(BR414="-","Nicht im Lift",IF(AX414&gt;=1,"Lift",IF(AX414&lt;=0,"Aussenlager","teilweise")))))</f>
        <v/>
      </c>
      <c r="BB414" s="53">
        <f>IF(A414="","",IF(BK414=1,"Neu; ","")&amp;IF(AND(BK414=0,BF414&lt;0),"negativer Bestand (Export "&amp;BF414&amp;"); ","")&amp;IF(I414&lt;=0,"Kein Verbrauch; ","")&amp;IF(BO414=1,"Lose – Fläche geschätzt; ","")&amp;IF(G414&gt;AM414,"Überbestand "&amp;ROUND(G414-AM414,0)&amp;" Stk / CHF "&amp;ROUND((G414-AM414)*F414,0)&amp;"; ","")&amp;IF(AND(BT414=1,BU414&lt;BV414),"MAX &lt; MB+LG; ","")&amp;IF(AND(BZ414&gt;0,BY414*10&gt;BZ414),"zu hoch für Tablar; ","")&amp;IF(AND(BK414=0,OR(BT414=1,V414&lt;&gt;"",S414&lt;&gt;"",T414&lt;&gt;"",W414&lt;&gt;"")),"manuell übersteuert; ","")&amp;IF(AND(BO414=0,Q414=0),"Gebinde unbekannt; ","")&amp;IF(AND(BO414=0,N(T414)&lt;=0,N(P414)&lt;=0),"Menge pro Gebinde fehlt (Ist = 1 Gebinde); ","")&amp;BJ414)</f>
        <v/>
      </c>
      <c r="BC414" s="53" t="n"/>
      <c r="BD414" s="53" t="n"/>
      <c r="BE414" s="61" t="n"/>
      <c r="BF414" s="55" t="n">
        <v>30</v>
      </c>
      <c r="BG414" s="55" t="n">
        <v>32</v>
      </c>
      <c r="BH414" s="54" t="n">
        <v>98.53999999999984</v>
      </c>
      <c r="BI414" s="55" t="n">
        <v>162</v>
      </c>
      <c r="BJ414" s="53" t="inlineStr"/>
      <c r="BK414" s="58" t="n">
        <v>0</v>
      </c>
      <c r="BL414" s="58" t="n">
        <v>414</v>
      </c>
      <c r="BM414" s="53">
        <f>IF(S414&lt;&gt;"",UPPER(TRIM(S414)),IF(O414="","LOSE",O414))</f>
        <v/>
      </c>
      <c r="BN414" s="55">
        <f>IF(BM414="LOSE",1,IF(N(T414)&gt;0,T414,IF(N(P414)&gt;0,P414,MAX(1,G414))))</f>
        <v/>
      </c>
      <c r="BO414" s="58">
        <f>IF(BM414="LOSE",1,0)</f>
        <v/>
      </c>
      <c r="BP414" s="64">
        <f>IF(BO414=0,0,IF(N(R414)&gt;0,R414,IFERROR(VLOOKUP(D414,Parameter!$A$35:$C$64,3,0)+0,0)))</f>
        <v/>
      </c>
      <c r="BQ414" s="53">
        <f>IF(V414&lt;&gt;"",V414,U414)</f>
        <v/>
      </c>
      <c r="BR414" s="53">
        <f>IF(BQ414=1,"L1",IF(OR(BQ414=2,BQ414=3),"L23",IF(BQ414="Aussen","Aussen","-")))</f>
        <v/>
      </c>
      <c r="BS414" s="66">
        <f>IF(N(W414)&gt;0,W414,0)</f>
        <v/>
      </c>
      <c r="BT414" s="58">
        <f>IF(ISNUMBER(Z414),1,0)</f>
        <v/>
      </c>
      <c r="BU414" s="55">
        <f>N(Z414)</f>
        <v/>
      </c>
      <c r="BV414" s="55">
        <f>N(L414)+N(M414)</f>
        <v/>
      </c>
      <c r="BW414" s="55">
        <f>ROUNDUP(G414/BN414,0)</f>
        <v/>
      </c>
      <c r="BX414" s="55">
        <f>ROUNDUP(BU414/BN414,0)</f>
        <v/>
      </c>
      <c r="BY414" s="58">
        <f>IF(BO414=1,0,IFERROR(VLOOKUP(BM414,'Gebinde-Kategorie'!$A$5:$G$45,5,0)+0,0))</f>
        <v/>
      </c>
      <c r="BZ414" s="58">
        <f>IFERROR(IF(OR(BQ414=1,BQ414=2,BQ414=3),N(INDEX(Parameter!$I$5:$I$7,BQ414)),0),0)</f>
        <v/>
      </c>
    </row>
    <row r="415">
      <c r="A415" s="53" t="inlineStr">
        <is>
          <t>105348</t>
        </is>
      </c>
      <c r="B415" s="53" t="inlineStr">
        <is>
          <t>Sicherungsscheibe</t>
        </is>
      </c>
      <c r="C415" s="53" t="inlineStr">
        <is>
          <t>F</t>
        </is>
      </c>
      <c r="D415" s="53" t="inlineStr">
        <is>
          <t>KTL</t>
        </is>
      </c>
      <c r="E415" s="53" t="inlineStr">
        <is>
          <t>C</t>
        </is>
      </c>
      <c r="F415" s="54" t="n">
        <v>0.12</v>
      </c>
      <c r="G415" s="55">
        <f>MAX(0,IF(Parameter!$B$20="Jahresanfang 2025 + Export",BG415+BF415,BF415))</f>
        <v/>
      </c>
      <c r="H415" s="55">
        <f>G415*F415</f>
        <v/>
      </c>
      <c r="I415" s="55">
        <f>BI415*Parameter!$B$18</f>
        <v/>
      </c>
      <c r="J415" s="56" t="n">
        <v>530.5</v>
      </c>
      <c r="K415" s="57" t="n">
        <v>4.188501413760603</v>
      </c>
      <c r="L415" s="55" t="n">
        <v>86</v>
      </c>
      <c r="M415" s="55" t="n">
        <v>2000</v>
      </c>
      <c r="N415" s="58" t="n">
        <v>14</v>
      </c>
      <c r="O415" s="53" t="inlineStr">
        <is>
          <t>S33</t>
        </is>
      </c>
      <c r="P415" s="55" t="n">
        <v>432</v>
      </c>
      <c r="Q415" s="59">
        <f>IF(BO415=1,0,IFERROR(VLOOKUP(BM415,'Gebinde-Kategorie'!$A$5:$G$45,6,0)+0,0))</f>
        <v/>
      </c>
      <c r="R415" s="60" t="n"/>
      <c r="S415" s="61" t="n"/>
      <c r="T415" s="61" t="n"/>
      <c r="U415" s="53">
        <f>IF(A415="","",IF(IFERROR(VLOOKUP(D415,Parameter!$A$35:$C$64,2,0),"Nein")="2+3",IF(ISNUMBER(SEARCH("grosser Artikel",BJ415)),2,IFERROR(VLOOKUP(BM415,Parameter!$F$35:$G$64,2,0),2)),IF(OR(IFERROR(VLOOKUP(D415,Parameter!$A$35:$C$64,2,0),"Nein")="Nein",IFERROR(VLOOKUP(D415,Parameter!$A$35:$C$64,2,0),"Nein")=""),"-",VLOOKUP(D415,Parameter!$A$35:$C$64,2,0))))</f>
        <v/>
      </c>
      <c r="V415" s="61" t="n"/>
      <c r="W415" s="62" t="n"/>
      <c r="X415" s="55">
        <f>AM415</f>
        <v/>
      </c>
      <c r="Y415" s="55">
        <f>MAX(AM415,G415)</f>
        <v/>
      </c>
      <c r="Z415" s="63" t="n"/>
      <c r="AA415" s="55">
        <f>IF(LEFT(Cockpit!$C$5,1)="A",G415,IF(BT415=1,BU415,IF(LEFT(Cockpit!$C$5,1)="B",AE415,MAX(AE415,G415))))</f>
        <v/>
      </c>
      <c r="AB415" s="55">
        <f>IF(BO415=1,0,ROUNDUP(AA415/BN415,0))</f>
        <v/>
      </c>
      <c r="AC415" s="64">
        <f>IF(BO415=1,IF(AA415&lt;=0,0,BP415*MAX(1,IF(G415&gt;0,AA415/G415,1))),AB415*Q415)</f>
        <v/>
      </c>
      <c r="AD415" s="55">
        <f>AA415*F415</f>
        <v/>
      </c>
      <c r="AE415" s="55">
        <f>ROUNDUP(MAX(I415/IF(BS415&gt;0,BS415,MAX(0.1,N(Cockpit!$C$6))),BV415)/BN415,0)*BN415</f>
        <v/>
      </c>
      <c r="AF415" s="56">
        <f>IF(AC415&gt;0,I415/AC415,-1)</f>
        <v/>
      </c>
      <c r="AG415" s="56">
        <f>IF(AND(OR(BR415="L1",BR415="L23"),AC415&gt;0),SUMIFS($AC$7:$AC$1570,$BR$7:$BR$1570,BR415,$AF$7:$AF$1570,"&gt;"&amp;AF415)+SUMIFS($AC$7:$AC$1570,$BR$7:$BR$1570,BR415,$AF$7:$AF$1570,AF415,$BL$7:$BL$1570,"&lt;="&amp;BL415),"")</f>
        <v/>
      </c>
      <c r="AH415" s="65">
        <f>IF(AG415="",0,MAX(0,MIN(1,(IF(BR415="L1",Parameter!$K$5,Parameter!$K$6+Parameter!$K$7)-(AG415-AC415))/AC415)))</f>
        <v/>
      </c>
      <c r="AI415" s="55">
        <f>IF(LEFT(Cockpit!$I$5,1)="A",G415,IF(BT415=1,BU415,IF(LEFT(Cockpit!$I$5,1)="B",AM415,MAX(AM415,G415))))</f>
        <v/>
      </c>
      <c r="AJ415" s="55">
        <f>IF(BO415=1,0,ROUNDUP(AI415/BN415,0))</f>
        <v/>
      </c>
      <c r="AK415" s="64">
        <f>IF(BO415=1,IF(AI415&lt;=0,0,BP415*MAX(1,IF(G415&gt;0,AI415/G415,1))),AJ415*Q415)</f>
        <v/>
      </c>
      <c r="AL415" s="55">
        <f>AI415*F415</f>
        <v/>
      </c>
      <c r="AM415" s="55">
        <f>ROUNDUP(MAX(I415/IF(BS415&gt;0,BS415,MAX(0.1,N(Cockpit!$I$6))),BV415)/BN415,0)*BN415</f>
        <v/>
      </c>
      <c r="AN415" s="56">
        <f>IF(AK415&gt;0,I415/AK415,-1)</f>
        <v/>
      </c>
      <c r="AO415" s="56">
        <f>IF(AND(OR(BR415="L1",BR415="L23"),AK415&gt;0),SUMIFS($AK$7:$AK$1570,$BR$7:$BR$1570,BR415,$AN$7:$AN$1570,"&gt;"&amp;AN415)+SUMIFS($AK$7:$AK$1570,$BR$7:$BR$1570,BR415,$AN$7:$AN$1570,AN415,$BL$7:$BL$1570,"&lt;="&amp;BL415),"")</f>
        <v/>
      </c>
      <c r="AP415" s="65">
        <f>IF(AO415="",0,MAX(0,MIN(1,(IF(BR415="L1",Parameter!$K$5,Parameter!$K$6+Parameter!$K$7)-(AO415-AK415))/AK415)))</f>
        <v/>
      </c>
      <c r="AQ415" s="55">
        <f>IF(LEFT(Cockpit!$O$5,1)="A",G415,IF(BT415=1,BU415,IF(LEFT(Cockpit!$O$5,1)="B",AU415,MAX(AU415,G415))))</f>
        <v/>
      </c>
      <c r="AR415" s="55">
        <f>IF(BO415=1,0,ROUNDUP(AQ415/BN415,0))</f>
        <v/>
      </c>
      <c r="AS415" s="64">
        <f>IF(BO415=1,IF(AQ415&lt;=0,0,BP415*MAX(1,IF(G415&gt;0,AQ415/G415,1))),AR415*Q415)</f>
        <v/>
      </c>
      <c r="AT415" s="55">
        <f>AQ415*F415</f>
        <v/>
      </c>
      <c r="AU415" s="55">
        <f>ROUNDUP(MAX(I415/IF(BS415&gt;0,BS415,MAX(0.1,N(Cockpit!$O$6))),BV415)/BN415,0)*BN415</f>
        <v/>
      </c>
      <c r="AV415" s="56">
        <f>IF(AS415&gt;0,I415/AS415,-1)</f>
        <v/>
      </c>
      <c r="AW415" s="56">
        <f>IF(AND(OR(BR415="L1",BR415="L23"),AS415&gt;0),SUMIFS($AS$7:$AS$1570,$BR$7:$BR$1570,BR415,$AV$7:$AV$1570,"&gt;"&amp;AV415)+SUMIFS($AS$7:$AS$1570,$BR$7:$BR$1570,BR415,$AV$7:$AV$1570,AV415,$BL$7:$BL$1570,"&lt;="&amp;BL415),"")</f>
        <v/>
      </c>
      <c r="AX415" s="65">
        <f>IF(AW415="",0,MAX(0,MIN(1,(IF(BR415="L1",Parameter!$K$5,Parameter!$K$6+Parameter!$K$7)-(AW415-AS415))/AS415)))</f>
        <v/>
      </c>
      <c r="AY415" s="53">
        <f>IF(AC415&lt;=0,"",IF(BR415="Aussen","Aussenlager",IF(BR415="-","Nicht im Lift",IF(AH415&gt;=1,"Lift",IF(AH415&lt;=0,"Aussenlager","teilweise")))))</f>
        <v/>
      </c>
      <c r="AZ415" s="53">
        <f>IF(AK415&lt;=0,"",IF(BR415="Aussen","Aussenlager",IF(BR415="-","Nicht im Lift",IF(AP415&gt;=1,"Lift",IF(AP415&lt;=0,"Aussenlager","teilweise")))))</f>
        <v/>
      </c>
      <c r="BA415" s="53">
        <f>IF(AS415&lt;=0,"",IF(BR415="Aussen","Aussenlager",IF(BR415="-","Nicht im Lift",IF(AX415&gt;=1,"Lift",IF(AX415&lt;=0,"Aussenlager","teilweise")))))</f>
        <v/>
      </c>
      <c r="BB415" s="53">
        <f>IF(A415="","",IF(BK415=1,"Neu; ","")&amp;IF(AND(BK415=0,BF415&lt;0),"negativer Bestand (Export "&amp;BF415&amp;"); ","")&amp;IF(I415&lt;=0,"Kein Verbrauch; ","")&amp;IF(BO415=1,"Lose – Fläche geschätzt; ","")&amp;IF(G415&gt;AM415,"Überbestand "&amp;ROUND(G415-AM415,0)&amp;" Stk / CHF "&amp;ROUND((G415-AM415)*F415,0)&amp;"; ","")&amp;IF(AND(BT415=1,BU415&lt;BV415),"MAX &lt; MB+LG; ","")&amp;IF(AND(BZ415&gt;0,BY415*10&gt;BZ415),"zu hoch für Tablar; ","")&amp;IF(AND(BK415=0,OR(BT415=1,V415&lt;&gt;"",S415&lt;&gt;"",T415&lt;&gt;"",W415&lt;&gt;"")),"manuell übersteuert; ","")&amp;IF(AND(BO415=0,Q415=0),"Gebinde unbekannt; ","")&amp;IF(AND(BO415=0,N(T415)&lt;=0,N(P415)&lt;=0),"Menge pro Gebinde fehlt (Ist = 1 Gebinde); ","")&amp;BJ415)</f>
        <v/>
      </c>
      <c r="BC415" s="53" t="n"/>
      <c r="BD415" s="53" t="n"/>
      <c r="BE415" s="61" t="n"/>
      <c r="BF415" s="55" t="n">
        <v>771</v>
      </c>
      <c r="BG415" s="55" t="n">
        <v>427</v>
      </c>
      <c r="BH415" s="54" t="n">
        <v>96.73000000000009</v>
      </c>
      <c r="BI415" s="55" t="n">
        <v>2222</v>
      </c>
      <c r="BJ415" s="53" t="inlineStr"/>
      <c r="BK415" s="58" t="n">
        <v>0</v>
      </c>
      <c r="BL415" s="58" t="n">
        <v>415</v>
      </c>
      <c r="BM415" s="53">
        <f>IF(S415&lt;&gt;"",UPPER(TRIM(S415)),IF(O415="","LOSE",O415))</f>
        <v/>
      </c>
      <c r="BN415" s="55">
        <f>IF(BM415="LOSE",1,IF(N(T415)&gt;0,T415,IF(N(P415)&gt;0,P415,MAX(1,G415))))</f>
        <v/>
      </c>
      <c r="BO415" s="58">
        <f>IF(BM415="LOSE",1,0)</f>
        <v/>
      </c>
      <c r="BP415" s="64">
        <f>IF(BO415=0,0,IF(N(R415)&gt;0,R415,IFERROR(VLOOKUP(D415,Parameter!$A$35:$C$64,3,0)+0,0)))</f>
        <v/>
      </c>
      <c r="BQ415" s="53">
        <f>IF(V415&lt;&gt;"",V415,U415)</f>
        <v/>
      </c>
      <c r="BR415" s="53">
        <f>IF(BQ415=1,"L1",IF(OR(BQ415=2,BQ415=3),"L23",IF(BQ415="Aussen","Aussen","-")))</f>
        <v/>
      </c>
      <c r="BS415" s="66">
        <f>IF(N(W415)&gt;0,W415,0)</f>
        <v/>
      </c>
      <c r="BT415" s="58">
        <f>IF(ISNUMBER(Z415),1,0)</f>
        <v/>
      </c>
      <c r="BU415" s="55">
        <f>N(Z415)</f>
        <v/>
      </c>
      <c r="BV415" s="55">
        <f>N(L415)+N(M415)</f>
        <v/>
      </c>
      <c r="BW415" s="55">
        <f>ROUNDUP(G415/BN415,0)</f>
        <v/>
      </c>
      <c r="BX415" s="55">
        <f>ROUNDUP(BU415/BN415,0)</f>
        <v/>
      </c>
      <c r="BY415" s="58">
        <f>IF(BO415=1,0,IFERROR(VLOOKUP(BM415,'Gebinde-Kategorie'!$A$5:$G$45,5,0)+0,0))</f>
        <v/>
      </c>
      <c r="BZ415" s="58">
        <f>IFERROR(IF(OR(BQ415=1,BQ415=2,BQ415=3),N(INDEX(Parameter!$I$5:$I$7,BQ415)),0),0)</f>
        <v/>
      </c>
    </row>
    <row r="416">
      <c r="A416" s="53" t="inlineStr">
        <is>
          <t>100185</t>
        </is>
      </c>
      <c r="B416" s="53" t="inlineStr">
        <is>
          <t>Zylinderstift</t>
        </is>
      </c>
      <c r="C416" s="53" t="inlineStr">
        <is>
          <t>F</t>
        </is>
      </c>
      <c r="D416" s="53" t="inlineStr">
        <is>
          <t>KTL</t>
        </is>
      </c>
      <c r="E416" s="53" t="inlineStr">
        <is>
          <t>C</t>
        </is>
      </c>
      <c r="F416" s="54" t="n">
        <v>0.5600000000000001</v>
      </c>
      <c r="G416" s="55">
        <f>MAX(0,IF(Parameter!$B$20="Jahresanfang 2025 + Export",BG416+BF416,BF416))</f>
        <v/>
      </c>
      <c r="H416" s="55">
        <f>G416*F416</f>
        <v/>
      </c>
      <c r="I416" s="55">
        <f>BI416*Parameter!$B$18</f>
        <v/>
      </c>
      <c r="J416" s="56" t="n">
        <v>255</v>
      </c>
      <c r="K416" s="57" t="n">
        <v>1.501960784313725</v>
      </c>
      <c r="L416" s="55" t="n">
        <v>22</v>
      </c>
      <c r="M416" s="55" t="n">
        <v>500</v>
      </c>
      <c r="N416" s="58" t="n">
        <v>21</v>
      </c>
      <c r="O416" s="53" t="inlineStr">
        <is>
          <t>S41</t>
        </is>
      </c>
      <c r="P416" s="55" t="n">
        <v>402</v>
      </c>
      <c r="Q416" s="59">
        <f>IF(BO416=1,0,IFERROR(VLOOKUP(BM416,'Gebinde-Kategorie'!$A$5:$G$45,6,0)+0,0))</f>
        <v/>
      </c>
      <c r="R416" s="60" t="n"/>
      <c r="S416" s="61" t="n"/>
      <c r="T416" s="61" t="n"/>
      <c r="U416" s="53">
        <f>IF(A416="","",IF(IFERROR(VLOOKUP(D416,Parameter!$A$35:$C$64,2,0),"Nein")="2+3",IF(ISNUMBER(SEARCH("grosser Artikel",BJ416)),2,IFERROR(VLOOKUP(BM416,Parameter!$F$35:$G$64,2,0),2)),IF(OR(IFERROR(VLOOKUP(D416,Parameter!$A$35:$C$64,2,0),"Nein")="Nein",IFERROR(VLOOKUP(D416,Parameter!$A$35:$C$64,2,0),"Nein")=""),"-",VLOOKUP(D416,Parameter!$A$35:$C$64,2,0))))</f>
        <v/>
      </c>
      <c r="V416" s="61" t="n"/>
      <c r="W416" s="62" t="n"/>
      <c r="X416" s="55">
        <f>AM416</f>
        <v/>
      </c>
      <c r="Y416" s="55">
        <f>MAX(AM416,G416)</f>
        <v/>
      </c>
      <c r="Z416" s="63" t="n"/>
      <c r="AA416" s="55">
        <f>IF(LEFT(Cockpit!$C$5,1)="A",G416,IF(BT416=1,BU416,IF(LEFT(Cockpit!$C$5,1)="B",AE416,MAX(AE416,G416))))</f>
        <v/>
      </c>
      <c r="AB416" s="55">
        <f>IF(BO416=1,0,ROUNDUP(AA416/BN416,0))</f>
        <v/>
      </c>
      <c r="AC416" s="64">
        <f>IF(BO416=1,IF(AA416&lt;=0,0,BP416*MAX(1,IF(G416&gt;0,AA416/G416,1))),AB416*Q416)</f>
        <v/>
      </c>
      <c r="AD416" s="55">
        <f>AA416*F416</f>
        <v/>
      </c>
      <c r="AE416" s="55">
        <f>ROUNDUP(MAX(I416/IF(BS416&gt;0,BS416,MAX(0.1,N(Cockpit!$C$6))),BV416)/BN416,0)*BN416</f>
        <v/>
      </c>
      <c r="AF416" s="56">
        <f>IF(AC416&gt;0,I416/AC416,-1)</f>
        <v/>
      </c>
      <c r="AG416" s="56">
        <f>IF(AND(OR(BR416="L1",BR416="L23"),AC416&gt;0),SUMIFS($AC$7:$AC$1570,$BR$7:$BR$1570,BR416,$AF$7:$AF$1570,"&gt;"&amp;AF416)+SUMIFS($AC$7:$AC$1570,$BR$7:$BR$1570,BR416,$AF$7:$AF$1570,AF416,$BL$7:$BL$1570,"&lt;="&amp;BL416),"")</f>
        <v/>
      </c>
      <c r="AH416" s="65">
        <f>IF(AG416="",0,MAX(0,MIN(1,(IF(BR416="L1",Parameter!$K$5,Parameter!$K$6+Parameter!$K$7)-(AG416-AC416))/AC416)))</f>
        <v/>
      </c>
      <c r="AI416" s="55">
        <f>IF(LEFT(Cockpit!$I$5,1)="A",G416,IF(BT416=1,BU416,IF(LEFT(Cockpit!$I$5,1)="B",AM416,MAX(AM416,G416))))</f>
        <v/>
      </c>
      <c r="AJ416" s="55">
        <f>IF(BO416=1,0,ROUNDUP(AI416/BN416,0))</f>
        <v/>
      </c>
      <c r="AK416" s="64">
        <f>IF(BO416=1,IF(AI416&lt;=0,0,BP416*MAX(1,IF(G416&gt;0,AI416/G416,1))),AJ416*Q416)</f>
        <v/>
      </c>
      <c r="AL416" s="55">
        <f>AI416*F416</f>
        <v/>
      </c>
      <c r="AM416" s="55">
        <f>ROUNDUP(MAX(I416/IF(BS416&gt;0,BS416,MAX(0.1,N(Cockpit!$I$6))),BV416)/BN416,0)*BN416</f>
        <v/>
      </c>
      <c r="AN416" s="56">
        <f>IF(AK416&gt;0,I416/AK416,-1)</f>
        <v/>
      </c>
      <c r="AO416" s="56">
        <f>IF(AND(OR(BR416="L1",BR416="L23"),AK416&gt;0),SUMIFS($AK$7:$AK$1570,$BR$7:$BR$1570,BR416,$AN$7:$AN$1570,"&gt;"&amp;AN416)+SUMIFS($AK$7:$AK$1570,$BR$7:$BR$1570,BR416,$AN$7:$AN$1570,AN416,$BL$7:$BL$1570,"&lt;="&amp;BL416),"")</f>
        <v/>
      </c>
      <c r="AP416" s="65">
        <f>IF(AO416="",0,MAX(0,MIN(1,(IF(BR416="L1",Parameter!$K$5,Parameter!$K$6+Parameter!$K$7)-(AO416-AK416))/AK416)))</f>
        <v/>
      </c>
      <c r="AQ416" s="55">
        <f>IF(LEFT(Cockpit!$O$5,1)="A",G416,IF(BT416=1,BU416,IF(LEFT(Cockpit!$O$5,1)="B",AU416,MAX(AU416,G416))))</f>
        <v/>
      </c>
      <c r="AR416" s="55">
        <f>IF(BO416=1,0,ROUNDUP(AQ416/BN416,0))</f>
        <v/>
      </c>
      <c r="AS416" s="64">
        <f>IF(BO416=1,IF(AQ416&lt;=0,0,BP416*MAX(1,IF(G416&gt;0,AQ416/G416,1))),AR416*Q416)</f>
        <v/>
      </c>
      <c r="AT416" s="55">
        <f>AQ416*F416</f>
        <v/>
      </c>
      <c r="AU416" s="55">
        <f>ROUNDUP(MAX(I416/IF(BS416&gt;0,BS416,MAX(0.1,N(Cockpit!$O$6))),BV416)/BN416,0)*BN416</f>
        <v/>
      </c>
      <c r="AV416" s="56">
        <f>IF(AS416&gt;0,I416/AS416,-1)</f>
        <v/>
      </c>
      <c r="AW416" s="56">
        <f>IF(AND(OR(BR416="L1",BR416="L23"),AS416&gt;0),SUMIFS($AS$7:$AS$1570,$BR$7:$BR$1570,BR416,$AV$7:$AV$1570,"&gt;"&amp;AV416)+SUMIFS($AS$7:$AS$1570,$BR$7:$BR$1570,BR416,$AV$7:$AV$1570,AV416,$BL$7:$BL$1570,"&lt;="&amp;BL416),"")</f>
        <v/>
      </c>
      <c r="AX416" s="65">
        <f>IF(AW416="",0,MAX(0,MIN(1,(IF(BR416="L1",Parameter!$K$5,Parameter!$K$6+Parameter!$K$7)-(AW416-AS416))/AS416)))</f>
        <v/>
      </c>
      <c r="AY416" s="53">
        <f>IF(AC416&lt;=0,"",IF(BR416="Aussen","Aussenlager",IF(BR416="-","Nicht im Lift",IF(AH416&gt;=1,"Lift",IF(AH416&lt;=0,"Aussenlager","teilweise")))))</f>
        <v/>
      </c>
      <c r="AZ416" s="53">
        <f>IF(AK416&lt;=0,"",IF(BR416="Aussen","Aussenlager",IF(BR416="-","Nicht im Lift",IF(AP416&gt;=1,"Lift",IF(AP416&lt;=0,"Aussenlager","teilweise")))))</f>
        <v/>
      </c>
      <c r="BA416" s="53">
        <f>IF(AS416&lt;=0,"",IF(BR416="Aussen","Aussenlager",IF(BR416="-","Nicht im Lift",IF(AX416&gt;=1,"Lift",IF(AX416&lt;=0,"Aussenlager","teilweise")))))</f>
        <v/>
      </c>
      <c r="BB416" s="53">
        <f>IF(A416="","",IF(BK416=1,"Neu; ","")&amp;IF(AND(BK416=0,BF416&lt;0),"negativer Bestand (Export "&amp;BF416&amp;"); ","")&amp;IF(I416&lt;=0,"Kein Verbrauch; ","")&amp;IF(BO416=1,"Lose – Fläche geschätzt; ","")&amp;IF(G416&gt;AM416,"Überbestand "&amp;ROUND(G416-AM416,0)&amp;" Stk / CHF "&amp;ROUND((G416-AM416)*F416,0)&amp;"; ","")&amp;IF(AND(BT416=1,BU416&lt;BV416),"MAX &lt; MB+LG; ","")&amp;IF(AND(BZ416&gt;0,BY416*10&gt;BZ416),"zu hoch für Tablar; ","")&amp;IF(AND(BK416=0,OR(BT416=1,V416&lt;&gt;"",S416&lt;&gt;"",T416&lt;&gt;"",W416&lt;&gt;"")),"manuell übersteuert; ","")&amp;IF(AND(BO416=0,Q416=0),"Gebinde unbekannt; ","")&amp;IF(AND(BO416=0,N(T416)&lt;=0,N(P416)&lt;=0),"Menge pro Gebinde fehlt (Ist = 1 Gebinde); ","")&amp;BJ416)</f>
        <v/>
      </c>
      <c r="BC416" s="53" t="n"/>
      <c r="BD416" s="53" t="n"/>
      <c r="BE416" s="61" t="n"/>
      <c r="BF416" s="55" t="n">
        <v>234</v>
      </c>
      <c r="BG416" s="55" t="n">
        <v>289</v>
      </c>
      <c r="BH416" s="54" t="n">
        <v>95.7399999999999</v>
      </c>
      <c r="BI416" s="55" t="n">
        <v>383</v>
      </c>
      <c r="BJ416" s="53" t="inlineStr"/>
      <c r="BK416" s="58" t="n">
        <v>0</v>
      </c>
      <c r="BL416" s="58" t="n">
        <v>416</v>
      </c>
      <c r="BM416" s="53">
        <f>IF(S416&lt;&gt;"",UPPER(TRIM(S416)),IF(O416="","LOSE",O416))</f>
        <v/>
      </c>
      <c r="BN416" s="55">
        <f>IF(BM416="LOSE",1,IF(N(T416)&gt;0,T416,IF(N(P416)&gt;0,P416,MAX(1,G416))))</f>
        <v/>
      </c>
      <c r="BO416" s="58">
        <f>IF(BM416="LOSE",1,0)</f>
        <v/>
      </c>
      <c r="BP416" s="64">
        <f>IF(BO416=0,0,IF(N(R416)&gt;0,R416,IFERROR(VLOOKUP(D416,Parameter!$A$35:$C$64,3,0)+0,0)))</f>
        <v/>
      </c>
      <c r="BQ416" s="53">
        <f>IF(V416&lt;&gt;"",V416,U416)</f>
        <v/>
      </c>
      <c r="BR416" s="53">
        <f>IF(BQ416=1,"L1",IF(OR(BQ416=2,BQ416=3),"L23",IF(BQ416="Aussen","Aussen","-")))</f>
        <v/>
      </c>
      <c r="BS416" s="66">
        <f>IF(N(W416)&gt;0,W416,0)</f>
        <v/>
      </c>
      <c r="BT416" s="58">
        <f>IF(ISNUMBER(Z416),1,0)</f>
        <v/>
      </c>
      <c r="BU416" s="55">
        <f>N(Z416)</f>
        <v/>
      </c>
      <c r="BV416" s="55">
        <f>N(L416)+N(M416)</f>
        <v/>
      </c>
      <c r="BW416" s="55">
        <f>ROUNDUP(G416/BN416,0)</f>
        <v/>
      </c>
      <c r="BX416" s="55">
        <f>ROUNDUP(BU416/BN416,0)</f>
        <v/>
      </c>
      <c r="BY416" s="58">
        <f>IF(BO416=1,0,IFERROR(VLOOKUP(BM416,'Gebinde-Kategorie'!$A$5:$G$45,5,0)+0,0))</f>
        <v/>
      </c>
      <c r="BZ416" s="58">
        <f>IFERROR(IF(OR(BQ416=1,BQ416=2,BQ416=3),N(INDEX(Parameter!$I$5:$I$7,BQ416)),0),0)</f>
        <v/>
      </c>
    </row>
    <row r="417">
      <c r="A417" s="53" t="inlineStr">
        <is>
          <t>005699</t>
        </is>
      </c>
      <c r="B417" s="53" t="inlineStr">
        <is>
          <t>Leuchtmelder</t>
        </is>
      </c>
      <c r="C417" s="53" t="inlineStr">
        <is>
          <t>F</t>
        </is>
      </c>
      <c r="D417" s="53" t="inlineStr">
        <is>
          <t>KTL</t>
        </is>
      </c>
      <c r="E417" s="53" t="inlineStr">
        <is>
          <t>C</t>
        </is>
      </c>
      <c r="F417" s="54" t="n">
        <v>19.36</v>
      </c>
      <c r="G417" s="55">
        <f>MAX(0,IF(Parameter!$B$20="Jahresanfang 2025 + Export",BG417+BF417,BF417))</f>
        <v/>
      </c>
      <c r="H417" s="55">
        <f>G417*F417</f>
        <v/>
      </c>
      <c r="I417" s="55">
        <f>BI417*Parameter!$B$18</f>
        <v/>
      </c>
      <c r="J417" s="56" t="n">
        <v>11.5</v>
      </c>
      <c r="K417" s="57" t="n">
        <v>1.739130434782609</v>
      </c>
      <c r="L417" s="55" t="n">
        <v>1</v>
      </c>
      <c r="M417" s="55" t="n">
        <v>20</v>
      </c>
      <c r="N417" s="58" t="n">
        <v>28</v>
      </c>
      <c r="O417" s="53" t="inlineStr">
        <is>
          <t>S51</t>
        </is>
      </c>
      <c r="P417" s="55" t="n">
        <v>15</v>
      </c>
      <c r="Q417" s="59">
        <f>IF(BO417=1,0,IFERROR(VLOOKUP(BM417,'Gebinde-Kategorie'!$A$5:$G$45,6,0)+0,0))</f>
        <v/>
      </c>
      <c r="R417" s="60" t="n"/>
      <c r="S417" s="61" t="n"/>
      <c r="T417" s="61" t="n"/>
      <c r="U417" s="53">
        <f>IF(A417="","",IF(IFERROR(VLOOKUP(D417,Parameter!$A$35:$C$64,2,0),"Nein")="2+3",IF(ISNUMBER(SEARCH("grosser Artikel",BJ417)),2,IFERROR(VLOOKUP(BM417,Parameter!$F$35:$G$64,2,0),2)),IF(OR(IFERROR(VLOOKUP(D417,Parameter!$A$35:$C$64,2,0),"Nein")="Nein",IFERROR(VLOOKUP(D417,Parameter!$A$35:$C$64,2,0),"Nein")=""),"-",VLOOKUP(D417,Parameter!$A$35:$C$64,2,0))))</f>
        <v/>
      </c>
      <c r="V417" s="61" t="n"/>
      <c r="W417" s="62" t="n"/>
      <c r="X417" s="55">
        <f>AM417</f>
        <v/>
      </c>
      <c r="Y417" s="55">
        <f>MAX(AM417,G417)</f>
        <v/>
      </c>
      <c r="Z417" s="63" t="n"/>
      <c r="AA417" s="55">
        <f>IF(LEFT(Cockpit!$C$5,1)="A",G417,IF(BT417=1,BU417,IF(LEFT(Cockpit!$C$5,1)="B",AE417,MAX(AE417,G417))))</f>
        <v/>
      </c>
      <c r="AB417" s="55">
        <f>IF(BO417=1,0,ROUNDUP(AA417/BN417,0))</f>
        <v/>
      </c>
      <c r="AC417" s="64">
        <f>IF(BO417=1,IF(AA417&lt;=0,0,BP417*MAX(1,IF(G417&gt;0,AA417/G417,1))),AB417*Q417)</f>
        <v/>
      </c>
      <c r="AD417" s="55">
        <f>AA417*F417</f>
        <v/>
      </c>
      <c r="AE417" s="55">
        <f>ROUNDUP(MAX(I417/IF(BS417&gt;0,BS417,MAX(0.1,N(Cockpit!$C$6))),BV417)/BN417,0)*BN417</f>
        <v/>
      </c>
      <c r="AF417" s="56">
        <f>IF(AC417&gt;0,I417/AC417,-1)</f>
        <v/>
      </c>
      <c r="AG417" s="56">
        <f>IF(AND(OR(BR417="L1",BR417="L23"),AC417&gt;0),SUMIFS($AC$7:$AC$1570,$BR$7:$BR$1570,BR417,$AF$7:$AF$1570,"&gt;"&amp;AF417)+SUMIFS($AC$7:$AC$1570,$BR$7:$BR$1570,BR417,$AF$7:$AF$1570,AF417,$BL$7:$BL$1570,"&lt;="&amp;BL417),"")</f>
        <v/>
      </c>
      <c r="AH417" s="65">
        <f>IF(AG417="",0,MAX(0,MIN(1,(IF(BR417="L1",Parameter!$K$5,Parameter!$K$6+Parameter!$K$7)-(AG417-AC417))/AC417)))</f>
        <v/>
      </c>
      <c r="AI417" s="55">
        <f>IF(LEFT(Cockpit!$I$5,1)="A",G417,IF(BT417=1,BU417,IF(LEFT(Cockpit!$I$5,1)="B",AM417,MAX(AM417,G417))))</f>
        <v/>
      </c>
      <c r="AJ417" s="55">
        <f>IF(BO417=1,0,ROUNDUP(AI417/BN417,0))</f>
        <v/>
      </c>
      <c r="AK417" s="64">
        <f>IF(BO417=1,IF(AI417&lt;=0,0,BP417*MAX(1,IF(G417&gt;0,AI417/G417,1))),AJ417*Q417)</f>
        <v/>
      </c>
      <c r="AL417" s="55">
        <f>AI417*F417</f>
        <v/>
      </c>
      <c r="AM417" s="55">
        <f>ROUNDUP(MAX(I417/IF(BS417&gt;0,BS417,MAX(0.1,N(Cockpit!$I$6))),BV417)/BN417,0)*BN417</f>
        <v/>
      </c>
      <c r="AN417" s="56">
        <f>IF(AK417&gt;0,I417/AK417,-1)</f>
        <v/>
      </c>
      <c r="AO417" s="56">
        <f>IF(AND(OR(BR417="L1",BR417="L23"),AK417&gt;0),SUMIFS($AK$7:$AK$1570,$BR$7:$BR$1570,BR417,$AN$7:$AN$1570,"&gt;"&amp;AN417)+SUMIFS($AK$7:$AK$1570,$BR$7:$BR$1570,BR417,$AN$7:$AN$1570,AN417,$BL$7:$BL$1570,"&lt;="&amp;BL417),"")</f>
        <v/>
      </c>
      <c r="AP417" s="65">
        <f>IF(AO417="",0,MAX(0,MIN(1,(IF(BR417="L1",Parameter!$K$5,Parameter!$K$6+Parameter!$K$7)-(AO417-AK417))/AK417)))</f>
        <v/>
      </c>
      <c r="AQ417" s="55">
        <f>IF(LEFT(Cockpit!$O$5,1)="A",G417,IF(BT417=1,BU417,IF(LEFT(Cockpit!$O$5,1)="B",AU417,MAX(AU417,G417))))</f>
        <v/>
      </c>
      <c r="AR417" s="55">
        <f>IF(BO417=1,0,ROUNDUP(AQ417/BN417,0))</f>
        <v/>
      </c>
      <c r="AS417" s="64">
        <f>IF(BO417=1,IF(AQ417&lt;=0,0,BP417*MAX(1,IF(G417&gt;0,AQ417/G417,1))),AR417*Q417)</f>
        <v/>
      </c>
      <c r="AT417" s="55">
        <f>AQ417*F417</f>
        <v/>
      </c>
      <c r="AU417" s="55">
        <f>ROUNDUP(MAX(I417/IF(BS417&gt;0,BS417,MAX(0.1,N(Cockpit!$O$6))),BV417)/BN417,0)*BN417</f>
        <v/>
      </c>
      <c r="AV417" s="56">
        <f>IF(AS417&gt;0,I417/AS417,-1)</f>
        <v/>
      </c>
      <c r="AW417" s="56">
        <f>IF(AND(OR(BR417="L1",BR417="L23"),AS417&gt;0),SUMIFS($AS$7:$AS$1570,$BR$7:$BR$1570,BR417,$AV$7:$AV$1570,"&gt;"&amp;AV417)+SUMIFS($AS$7:$AS$1570,$BR$7:$BR$1570,BR417,$AV$7:$AV$1570,AV417,$BL$7:$BL$1570,"&lt;="&amp;BL417),"")</f>
        <v/>
      </c>
      <c r="AX417" s="65">
        <f>IF(AW417="",0,MAX(0,MIN(1,(IF(BR417="L1",Parameter!$K$5,Parameter!$K$6+Parameter!$K$7)-(AW417-AS417))/AS417)))</f>
        <v/>
      </c>
      <c r="AY417" s="53">
        <f>IF(AC417&lt;=0,"",IF(BR417="Aussen","Aussenlager",IF(BR417="-","Nicht im Lift",IF(AH417&gt;=1,"Lift",IF(AH417&lt;=0,"Aussenlager","teilweise")))))</f>
        <v/>
      </c>
      <c r="AZ417" s="53">
        <f>IF(AK417&lt;=0,"",IF(BR417="Aussen","Aussenlager",IF(BR417="-","Nicht im Lift",IF(AP417&gt;=1,"Lift",IF(AP417&lt;=0,"Aussenlager","teilweise")))))</f>
        <v/>
      </c>
      <c r="BA417" s="53">
        <f>IF(AS417&lt;=0,"",IF(BR417="Aussen","Aussenlager",IF(BR417="-","Nicht im Lift",IF(AX417&gt;=1,"Lift",IF(AX417&lt;=0,"Aussenlager","teilweise")))))</f>
        <v/>
      </c>
      <c r="BB417" s="53">
        <f>IF(A417="","",IF(BK417=1,"Neu; ","")&amp;IF(AND(BK417=0,BF417&lt;0),"negativer Bestand (Export "&amp;BF417&amp;"); ","")&amp;IF(I417&lt;=0,"Kein Verbrauch; ","")&amp;IF(BO417=1,"Lose – Fläche geschätzt; ","")&amp;IF(G417&gt;AM417,"Überbestand "&amp;ROUND(G417-AM417,0)&amp;" Stk / CHF "&amp;ROUND((G417-AM417)*F417,0)&amp;"; ","")&amp;IF(AND(BT417=1,BU417&lt;BV417),"MAX &lt; MB+LG; ","")&amp;IF(AND(BZ417&gt;0,BY417*10&gt;BZ417),"zu hoch für Tablar; ","")&amp;IF(AND(BK417=0,OR(BT417=1,V417&lt;&gt;"",S417&lt;&gt;"",T417&lt;&gt;"",W417&lt;&gt;"")),"manuell übersteuert; ","")&amp;IF(AND(BO417=0,Q417=0),"Gebinde unbekannt; ","")&amp;IF(AND(BO417=0,N(T417)&lt;=0,N(P417)&lt;=0),"Menge pro Gebinde fehlt (Ist = 1 Gebinde); ","")&amp;BJ417)</f>
        <v/>
      </c>
      <c r="BC417" s="53" t="n"/>
      <c r="BD417" s="53" t="n"/>
      <c r="BE417" s="61" t="n"/>
      <c r="BF417" s="55" t="n">
        <v>6</v>
      </c>
      <c r="BG417" s="55" t="n">
        <v>7</v>
      </c>
      <c r="BH417" s="54" t="n">
        <v>95.22999999999986</v>
      </c>
      <c r="BI417" s="55" t="n">
        <v>20</v>
      </c>
      <c r="BJ417" s="53" t="inlineStr"/>
      <c r="BK417" s="58" t="n">
        <v>0</v>
      </c>
      <c r="BL417" s="58" t="n">
        <v>417</v>
      </c>
      <c r="BM417" s="53">
        <f>IF(S417&lt;&gt;"",UPPER(TRIM(S417)),IF(O417="","LOSE",O417))</f>
        <v/>
      </c>
      <c r="BN417" s="55">
        <f>IF(BM417="LOSE",1,IF(N(T417)&gt;0,T417,IF(N(P417)&gt;0,P417,MAX(1,G417))))</f>
        <v/>
      </c>
      <c r="BO417" s="58">
        <f>IF(BM417="LOSE",1,0)</f>
        <v/>
      </c>
      <c r="BP417" s="64">
        <f>IF(BO417=0,0,IF(N(R417)&gt;0,R417,IFERROR(VLOOKUP(D417,Parameter!$A$35:$C$64,3,0)+0,0)))</f>
        <v/>
      </c>
      <c r="BQ417" s="53">
        <f>IF(V417&lt;&gt;"",V417,U417)</f>
        <v/>
      </c>
      <c r="BR417" s="53">
        <f>IF(BQ417=1,"L1",IF(OR(BQ417=2,BQ417=3),"L23",IF(BQ417="Aussen","Aussen","-")))</f>
        <v/>
      </c>
      <c r="BS417" s="66">
        <f>IF(N(W417)&gt;0,W417,0)</f>
        <v/>
      </c>
      <c r="BT417" s="58">
        <f>IF(ISNUMBER(Z417),1,0)</f>
        <v/>
      </c>
      <c r="BU417" s="55">
        <f>N(Z417)</f>
        <v/>
      </c>
      <c r="BV417" s="55">
        <f>N(L417)+N(M417)</f>
        <v/>
      </c>
      <c r="BW417" s="55">
        <f>ROUNDUP(G417/BN417,0)</f>
        <v/>
      </c>
      <c r="BX417" s="55">
        <f>ROUNDUP(BU417/BN417,0)</f>
        <v/>
      </c>
      <c r="BY417" s="58">
        <f>IF(BO417=1,0,IFERROR(VLOOKUP(BM417,'Gebinde-Kategorie'!$A$5:$G$45,5,0)+0,0))</f>
        <v/>
      </c>
      <c r="BZ417" s="58">
        <f>IFERROR(IF(OR(BQ417=1,BQ417=2,BQ417=3),N(INDEX(Parameter!$I$5:$I$7,BQ417)),0),0)</f>
        <v/>
      </c>
    </row>
    <row r="418">
      <c r="A418" s="53" t="inlineStr">
        <is>
          <t>108204</t>
        </is>
      </c>
      <c r="B418" s="53" t="inlineStr">
        <is>
          <t>Manometer</t>
        </is>
      </c>
      <c r="C418" s="53" t="inlineStr">
        <is>
          <t>F</t>
        </is>
      </c>
      <c r="D418" s="53" t="inlineStr">
        <is>
          <t>KTL</t>
        </is>
      </c>
      <c r="E418" s="53" t="inlineStr">
        <is>
          <t>C</t>
        </is>
      </c>
      <c r="F418" s="54" t="n">
        <v>47.27</v>
      </c>
      <c r="G418" s="55">
        <f>MAX(0,IF(Parameter!$B$20="Jahresanfang 2025 + Export",BG418+BF418,BF418))</f>
        <v/>
      </c>
      <c r="H418" s="55">
        <f>G418*F418</f>
        <v/>
      </c>
      <c r="I418" s="55">
        <f>BI418*Parameter!$B$18</f>
        <v/>
      </c>
      <c r="J418" s="56" t="n">
        <v>3</v>
      </c>
      <c r="K418" s="57" t="n">
        <v>0</v>
      </c>
      <c r="L418" s="55" t="n">
        <v>0</v>
      </c>
      <c r="M418" s="55" t="n">
        <v>1</v>
      </c>
      <c r="N418" s="58" t="n">
        <v>28</v>
      </c>
      <c r="O418" s="53" t="inlineStr">
        <is>
          <t>LOSE</t>
        </is>
      </c>
      <c r="P418" s="55" t="n"/>
      <c r="Q418" s="59">
        <f>IF(BO418=1,0,IFERROR(VLOOKUP(BM418,'Gebinde-Kategorie'!$A$5:$G$45,6,0)+0,0))</f>
        <v/>
      </c>
      <c r="R418" s="60" t="n"/>
      <c r="S418" s="61" t="n"/>
      <c r="T418" s="61" t="n"/>
      <c r="U418" s="53">
        <f>IF(A418="","",IF(IFERROR(VLOOKUP(D418,Parameter!$A$35:$C$64,2,0),"Nein")="2+3",IF(ISNUMBER(SEARCH("grosser Artikel",BJ418)),2,IFERROR(VLOOKUP(BM418,Parameter!$F$35:$G$64,2,0),2)),IF(OR(IFERROR(VLOOKUP(D418,Parameter!$A$35:$C$64,2,0),"Nein")="Nein",IFERROR(VLOOKUP(D418,Parameter!$A$35:$C$64,2,0),"Nein")=""),"-",VLOOKUP(D418,Parameter!$A$35:$C$64,2,0))))</f>
        <v/>
      </c>
      <c r="V418" s="61" t="n"/>
      <c r="W418" s="62" t="n"/>
      <c r="X418" s="55">
        <f>AM418</f>
        <v/>
      </c>
      <c r="Y418" s="55">
        <f>MAX(AM418,G418)</f>
        <v/>
      </c>
      <c r="Z418" s="63" t="n"/>
      <c r="AA418" s="55">
        <f>IF(LEFT(Cockpit!$C$5,1)="A",G418,IF(BT418=1,BU418,IF(LEFT(Cockpit!$C$5,1)="B",AE418,MAX(AE418,G418))))</f>
        <v/>
      </c>
      <c r="AB418" s="55">
        <f>IF(BO418=1,0,ROUNDUP(AA418/BN418,0))</f>
        <v/>
      </c>
      <c r="AC418" s="64">
        <f>IF(BO418=1,IF(AA418&lt;=0,0,BP418*MAX(1,IF(G418&gt;0,AA418/G418,1))),AB418*Q418)</f>
        <v/>
      </c>
      <c r="AD418" s="55">
        <f>AA418*F418</f>
        <v/>
      </c>
      <c r="AE418" s="55">
        <f>ROUNDUP(MAX(I418/IF(BS418&gt;0,BS418,MAX(0.1,N(Cockpit!$C$6))),BV418)/BN418,0)*BN418</f>
        <v/>
      </c>
      <c r="AF418" s="56">
        <f>IF(AC418&gt;0,I418/AC418,-1)</f>
        <v/>
      </c>
      <c r="AG418" s="56">
        <f>IF(AND(OR(BR418="L1",BR418="L23"),AC418&gt;0),SUMIFS($AC$7:$AC$1570,$BR$7:$BR$1570,BR418,$AF$7:$AF$1570,"&gt;"&amp;AF418)+SUMIFS($AC$7:$AC$1570,$BR$7:$BR$1570,BR418,$AF$7:$AF$1570,AF418,$BL$7:$BL$1570,"&lt;="&amp;BL418),"")</f>
        <v/>
      </c>
      <c r="AH418" s="65">
        <f>IF(AG418="",0,MAX(0,MIN(1,(IF(BR418="L1",Parameter!$K$5,Parameter!$K$6+Parameter!$K$7)-(AG418-AC418))/AC418)))</f>
        <v/>
      </c>
      <c r="AI418" s="55">
        <f>IF(LEFT(Cockpit!$I$5,1)="A",G418,IF(BT418=1,BU418,IF(LEFT(Cockpit!$I$5,1)="B",AM418,MAX(AM418,G418))))</f>
        <v/>
      </c>
      <c r="AJ418" s="55">
        <f>IF(BO418=1,0,ROUNDUP(AI418/BN418,0))</f>
        <v/>
      </c>
      <c r="AK418" s="64">
        <f>IF(BO418=1,IF(AI418&lt;=0,0,BP418*MAX(1,IF(G418&gt;0,AI418/G418,1))),AJ418*Q418)</f>
        <v/>
      </c>
      <c r="AL418" s="55">
        <f>AI418*F418</f>
        <v/>
      </c>
      <c r="AM418" s="55">
        <f>ROUNDUP(MAX(I418/IF(BS418&gt;0,BS418,MAX(0.1,N(Cockpit!$I$6))),BV418)/BN418,0)*BN418</f>
        <v/>
      </c>
      <c r="AN418" s="56">
        <f>IF(AK418&gt;0,I418/AK418,-1)</f>
        <v/>
      </c>
      <c r="AO418" s="56">
        <f>IF(AND(OR(BR418="L1",BR418="L23"),AK418&gt;0),SUMIFS($AK$7:$AK$1570,$BR$7:$BR$1570,BR418,$AN$7:$AN$1570,"&gt;"&amp;AN418)+SUMIFS($AK$7:$AK$1570,$BR$7:$BR$1570,BR418,$AN$7:$AN$1570,AN418,$BL$7:$BL$1570,"&lt;="&amp;BL418),"")</f>
        <v/>
      </c>
      <c r="AP418" s="65">
        <f>IF(AO418="",0,MAX(0,MIN(1,(IF(BR418="L1",Parameter!$K$5,Parameter!$K$6+Parameter!$K$7)-(AO418-AK418))/AK418)))</f>
        <v/>
      </c>
      <c r="AQ418" s="55">
        <f>IF(LEFT(Cockpit!$O$5,1)="A",G418,IF(BT418=1,BU418,IF(LEFT(Cockpit!$O$5,1)="B",AU418,MAX(AU418,G418))))</f>
        <v/>
      </c>
      <c r="AR418" s="55">
        <f>IF(BO418=1,0,ROUNDUP(AQ418/BN418,0))</f>
        <v/>
      </c>
      <c r="AS418" s="64">
        <f>IF(BO418=1,IF(AQ418&lt;=0,0,BP418*MAX(1,IF(G418&gt;0,AQ418/G418,1))),AR418*Q418)</f>
        <v/>
      </c>
      <c r="AT418" s="55">
        <f>AQ418*F418</f>
        <v/>
      </c>
      <c r="AU418" s="55">
        <f>ROUNDUP(MAX(I418/IF(BS418&gt;0,BS418,MAX(0.1,N(Cockpit!$O$6))),BV418)/BN418,0)*BN418</f>
        <v/>
      </c>
      <c r="AV418" s="56">
        <f>IF(AS418&gt;0,I418/AS418,-1)</f>
        <v/>
      </c>
      <c r="AW418" s="56">
        <f>IF(AND(OR(BR418="L1",BR418="L23"),AS418&gt;0),SUMIFS($AS$7:$AS$1570,$BR$7:$BR$1570,BR418,$AV$7:$AV$1570,"&gt;"&amp;AV418)+SUMIFS($AS$7:$AS$1570,$BR$7:$BR$1570,BR418,$AV$7:$AV$1570,AV418,$BL$7:$BL$1570,"&lt;="&amp;BL418),"")</f>
        <v/>
      </c>
      <c r="AX418" s="65">
        <f>IF(AW418="",0,MAX(0,MIN(1,(IF(BR418="L1",Parameter!$K$5,Parameter!$K$6+Parameter!$K$7)-(AW418-AS418))/AS418)))</f>
        <v/>
      </c>
      <c r="AY418" s="53">
        <f>IF(AC418&lt;=0,"",IF(BR418="Aussen","Aussenlager",IF(BR418="-","Nicht im Lift",IF(AH418&gt;=1,"Lift",IF(AH418&lt;=0,"Aussenlager","teilweise")))))</f>
        <v/>
      </c>
      <c r="AZ418" s="53">
        <f>IF(AK418&lt;=0,"",IF(BR418="Aussen","Aussenlager",IF(BR418="-","Nicht im Lift",IF(AP418&gt;=1,"Lift",IF(AP418&lt;=0,"Aussenlager","teilweise")))))</f>
        <v/>
      </c>
      <c r="BA418" s="53">
        <f>IF(AS418&lt;=0,"",IF(BR418="Aussen","Aussenlager",IF(BR418="-","Nicht im Lift",IF(AX418&gt;=1,"Lift",IF(AX418&lt;=0,"Aussenlager","teilweise")))))</f>
        <v/>
      </c>
      <c r="BB418" s="53">
        <f>IF(A418="","",IF(BK418=1,"Neu; ","")&amp;IF(AND(BK418=0,BF418&lt;0),"negativer Bestand (Export "&amp;BF418&amp;"); ","")&amp;IF(I418&lt;=0,"Kein Verbrauch; ","")&amp;IF(BO418=1,"Lose – Fläche geschätzt; ","")&amp;IF(G418&gt;AM418,"Überbestand "&amp;ROUND(G418-AM418,0)&amp;" Stk / CHF "&amp;ROUND((G418-AM418)*F418,0)&amp;"; ","")&amp;IF(AND(BT418=1,BU418&lt;BV418),"MAX &lt; MB+LG; ","")&amp;IF(AND(BZ418&gt;0,BY418*10&gt;BZ418),"zu hoch für Tablar; ","")&amp;IF(AND(BK418=0,OR(BT418=1,V418&lt;&gt;"",S418&lt;&gt;"",T418&lt;&gt;"",W418&lt;&gt;"")),"manuell übersteuert; ","")&amp;IF(AND(BO418=0,Q418=0),"Gebinde unbekannt; ","")&amp;IF(AND(BO418=0,N(T418)&lt;=0,N(P418)&lt;=0),"Menge pro Gebinde fehlt (Ist = 1 Gebinde); ","")&amp;BJ418)</f>
        <v/>
      </c>
      <c r="BC418" s="53" t="n"/>
      <c r="BD418" s="53" t="n"/>
      <c r="BE418" s="61" t="n"/>
      <c r="BF418" s="55" t="n">
        <v>2</v>
      </c>
      <c r="BG418" s="55" t="n">
        <v>2</v>
      </c>
      <c r="BH418" s="54" t="n">
        <v>94.54000000000001</v>
      </c>
      <c r="BI418" s="55" t="n">
        <v>0</v>
      </c>
      <c r="BJ418" s="53" t="inlineStr"/>
      <c r="BK418" s="58" t="n">
        <v>0</v>
      </c>
      <c r="BL418" s="58" t="n">
        <v>418</v>
      </c>
      <c r="BM418" s="53">
        <f>IF(S418&lt;&gt;"",UPPER(TRIM(S418)),IF(O418="","LOSE",O418))</f>
        <v/>
      </c>
      <c r="BN418" s="55">
        <f>IF(BM418="LOSE",1,IF(N(T418)&gt;0,T418,IF(N(P418)&gt;0,P418,MAX(1,G418))))</f>
        <v/>
      </c>
      <c r="BO418" s="58">
        <f>IF(BM418="LOSE",1,0)</f>
        <v/>
      </c>
      <c r="BP418" s="64">
        <f>IF(BO418=0,0,IF(N(R418)&gt;0,R418,IFERROR(VLOOKUP(D418,Parameter!$A$35:$C$64,3,0)+0,0)))</f>
        <v/>
      </c>
      <c r="BQ418" s="53">
        <f>IF(V418&lt;&gt;"",V418,U418)</f>
        <v/>
      </c>
      <c r="BR418" s="53">
        <f>IF(BQ418=1,"L1",IF(OR(BQ418=2,BQ418=3),"L23",IF(BQ418="Aussen","Aussen","-")))</f>
        <v/>
      </c>
      <c r="BS418" s="66">
        <f>IF(N(W418)&gt;0,W418,0)</f>
        <v/>
      </c>
      <c r="BT418" s="58">
        <f>IF(ISNUMBER(Z418),1,0)</f>
        <v/>
      </c>
      <c r="BU418" s="55">
        <f>N(Z418)</f>
        <v/>
      </c>
      <c r="BV418" s="55">
        <f>N(L418)+N(M418)</f>
        <v/>
      </c>
      <c r="BW418" s="55">
        <f>ROUNDUP(G418/BN418,0)</f>
        <v/>
      </c>
      <c r="BX418" s="55">
        <f>ROUNDUP(BU418/BN418,0)</f>
        <v/>
      </c>
      <c r="BY418" s="58">
        <f>IF(BO418=1,0,IFERROR(VLOOKUP(BM418,'Gebinde-Kategorie'!$A$5:$G$45,5,0)+0,0))</f>
        <v/>
      </c>
      <c r="BZ418" s="58">
        <f>IFERROR(IF(OR(BQ418=1,BQ418=2,BQ418=3),N(INDEX(Parameter!$I$5:$I$7,BQ418)),0),0)</f>
        <v/>
      </c>
    </row>
    <row r="419">
      <c r="A419" s="53" t="inlineStr">
        <is>
          <t>111031</t>
        </is>
      </c>
      <c r="B419" s="53" t="inlineStr">
        <is>
          <t>O-Ring</t>
        </is>
      </c>
      <c r="C419" s="53" t="inlineStr">
        <is>
          <t>F</t>
        </is>
      </c>
      <c r="D419" s="53" t="inlineStr">
        <is>
          <t>PAL</t>
        </is>
      </c>
      <c r="E419" s="53" t="inlineStr">
        <is>
          <t>C</t>
        </is>
      </c>
      <c r="F419" s="54" t="n">
        <v>0.45</v>
      </c>
      <c r="G419" s="55">
        <f>MAX(0,IF(Parameter!$B$20="Jahresanfang 2025 + Export",BG419+BF419,BF419))</f>
        <v/>
      </c>
      <c r="H419" s="55">
        <f>G419*F419</f>
        <v/>
      </c>
      <c r="I419" s="55">
        <f>BI419*Parameter!$B$18</f>
        <v/>
      </c>
      <c r="J419" s="56" t="n">
        <v>0</v>
      </c>
      <c r="K419" s="57" t="n">
        <v>0</v>
      </c>
      <c r="L419" s="55" t="n">
        <v>1</v>
      </c>
      <c r="M419" s="55" t="n">
        <v>20</v>
      </c>
      <c r="N419" s="58" t="n">
        <v>31</v>
      </c>
      <c r="O419" s="53" t="inlineStr">
        <is>
          <t>LOSE</t>
        </is>
      </c>
      <c r="P419" s="55" t="n"/>
      <c r="Q419" s="59">
        <f>IF(BO419=1,0,IFERROR(VLOOKUP(BM419,'Gebinde-Kategorie'!$A$5:$G$45,6,0)+0,0))</f>
        <v/>
      </c>
      <c r="R419" s="60" t="n"/>
      <c r="S419" s="61" t="n"/>
      <c r="T419" s="61" t="n"/>
      <c r="U419" s="53">
        <f>IF(A419="","",IF(IFERROR(VLOOKUP(D419,Parameter!$A$35:$C$64,2,0),"Nein")="2+3",IF(ISNUMBER(SEARCH("grosser Artikel",BJ419)),2,IFERROR(VLOOKUP(BM419,Parameter!$F$35:$G$64,2,0),2)),IF(OR(IFERROR(VLOOKUP(D419,Parameter!$A$35:$C$64,2,0),"Nein")="Nein",IFERROR(VLOOKUP(D419,Parameter!$A$35:$C$64,2,0),"Nein")=""),"-",VLOOKUP(D419,Parameter!$A$35:$C$64,2,0))))</f>
        <v/>
      </c>
      <c r="V419" s="61" t="n"/>
      <c r="W419" s="62" t="n"/>
      <c r="X419" s="55">
        <f>AM419</f>
        <v/>
      </c>
      <c r="Y419" s="55">
        <f>MAX(AM419,G419)</f>
        <v/>
      </c>
      <c r="Z419" s="63" t="n"/>
      <c r="AA419" s="55">
        <f>IF(LEFT(Cockpit!$C$5,1)="A",G419,IF(BT419=1,BU419,IF(LEFT(Cockpit!$C$5,1)="B",AE419,MAX(AE419,G419))))</f>
        <v/>
      </c>
      <c r="AB419" s="55">
        <f>IF(BO419=1,0,ROUNDUP(AA419/BN419,0))</f>
        <v/>
      </c>
      <c r="AC419" s="64">
        <f>IF(BO419=1,IF(AA419&lt;=0,0,BP419*MAX(1,IF(G419&gt;0,AA419/G419,1))),AB419*Q419)</f>
        <v/>
      </c>
      <c r="AD419" s="55">
        <f>AA419*F419</f>
        <v/>
      </c>
      <c r="AE419" s="55">
        <f>ROUNDUP(MAX(I419/IF(BS419&gt;0,BS419,MAX(0.1,N(Cockpit!$C$6))),BV419)/BN419,0)*BN419</f>
        <v/>
      </c>
      <c r="AF419" s="56">
        <f>IF(AC419&gt;0,I419/AC419,-1)</f>
        <v/>
      </c>
      <c r="AG419" s="56">
        <f>IF(AND(OR(BR419="L1",BR419="L23"),AC419&gt;0),SUMIFS($AC$7:$AC$1570,$BR$7:$BR$1570,BR419,$AF$7:$AF$1570,"&gt;"&amp;AF419)+SUMIFS($AC$7:$AC$1570,$BR$7:$BR$1570,BR419,$AF$7:$AF$1570,AF419,$BL$7:$BL$1570,"&lt;="&amp;BL419),"")</f>
        <v/>
      </c>
      <c r="AH419" s="65">
        <f>IF(AG419="",0,MAX(0,MIN(1,(IF(BR419="L1",Parameter!$K$5,Parameter!$K$6+Parameter!$K$7)-(AG419-AC419))/AC419)))</f>
        <v/>
      </c>
      <c r="AI419" s="55">
        <f>IF(LEFT(Cockpit!$I$5,1)="A",G419,IF(BT419=1,BU419,IF(LEFT(Cockpit!$I$5,1)="B",AM419,MAX(AM419,G419))))</f>
        <v/>
      </c>
      <c r="AJ419" s="55">
        <f>IF(BO419=1,0,ROUNDUP(AI419/BN419,0))</f>
        <v/>
      </c>
      <c r="AK419" s="64">
        <f>IF(BO419=1,IF(AI419&lt;=0,0,BP419*MAX(1,IF(G419&gt;0,AI419/G419,1))),AJ419*Q419)</f>
        <v/>
      </c>
      <c r="AL419" s="55">
        <f>AI419*F419</f>
        <v/>
      </c>
      <c r="AM419" s="55">
        <f>ROUNDUP(MAX(I419/IF(BS419&gt;0,BS419,MAX(0.1,N(Cockpit!$I$6))),BV419)/BN419,0)*BN419</f>
        <v/>
      </c>
      <c r="AN419" s="56">
        <f>IF(AK419&gt;0,I419/AK419,-1)</f>
        <v/>
      </c>
      <c r="AO419" s="56">
        <f>IF(AND(OR(BR419="L1",BR419="L23"),AK419&gt;0),SUMIFS($AK$7:$AK$1570,$BR$7:$BR$1570,BR419,$AN$7:$AN$1570,"&gt;"&amp;AN419)+SUMIFS($AK$7:$AK$1570,$BR$7:$BR$1570,BR419,$AN$7:$AN$1570,AN419,$BL$7:$BL$1570,"&lt;="&amp;BL419),"")</f>
        <v/>
      </c>
      <c r="AP419" s="65">
        <f>IF(AO419="",0,MAX(0,MIN(1,(IF(BR419="L1",Parameter!$K$5,Parameter!$K$6+Parameter!$K$7)-(AO419-AK419))/AK419)))</f>
        <v/>
      </c>
      <c r="AQ419" s="55">
        <f>IF(LEFT(Cockpit!$O$5,1)="A",G419,IF(BT419=1,BU419,IF(LEFT(Cockpit!$O$5,1)="B",AU419,MAX(AU419,G419))))</f>
        <v/>
      </c>
      <c r="AR419" s="55">
        <f>IF(BO419=1,0,ROUNDUP(AQ419/BN419,0))</f>
        <v/>
      </c>
      <c r="AS419" s="64">
        <f>IF(BO419=1,IF(AQ419&lt;=0,0,BP419*MAX(1,IF(G419&gt;0,AQ419/G419,1))),AR419*Q419)</f>
        <v/>
      </c>
      <c r="AT419" s="55">
        <f>AQ419*F419</f>
        <v/>
      </c>
      <c r="AU419" s="55">
        <f>ROUNDUP(MAX(I419/IF(BS419&gt;0,BS419,MAX(0.1,N(Cockpit!$O$6))),BV419)/BN419,0)*BN419</f>
        <v/>
      </c>
      <c r="AV419" s="56">
        <f>IF(AS419&gt;0,I419/AS419,-1)</f>
        <v/>
      </c>
      <c r="AW419" s="56">
        <f>IF(AND(OR(BR419="L1",BR419="L23"),AS419&gt;0),SUMIFS($AS$7:$AS$1570,$BR$7:$BR$1570,BR419,$AV$7:$AV$1570,"&gt;"&amp;AV419)+SUMIFS($AS$7:$AS$1570,$BR$7:$BR$1570,BR419,$AV$7:$AV$1570,AV419,$BL$7:$BL$1570,"&lt;="&amp;BL419),"")</f>
        <v/>
      </c>
      <c r="AX419" s="65">
        <f>IF(AW419="",0,MAX(0,MIN(1,(IF(BR419="L1",Parameter!$K$5,Parameter!$K$6+Parameter!$K$7)-(AW419-AS419))/AS419)))</f>
        <v/>
      </c>
      <c r="AY419" s="53">
        <f>IF(AC419&lt;=0,"",IF(BR419="Aussen","Aussenlager",IF(BR419="-","Nicht im Lift",IF(AH419&gt;=1,"Lift",IF(AH419&lt;=0,"Aussenlager","teilweise")))))</f>
        <v/>
      </c>
      <c r="AZ419" s="53">
        <f>IF(AK419&lt;=0,"",IF(BR419="Aussen","Aussenlager",IF(BR419="-","Nicht im Lift",IF(AP419&gt;=1,"Lift",IF(AP419&lt;=0,"Aussenlager","teilweise")))))</f>
        <v/>
      </c>
      <c r="BA419" s="53">
        <f>IF(AS419&lt;=0,"",IF(BR419="Aussen","Aussenlager",IF(BR419="-","Nicht im Lift",IF(AX419&gt;=1,"Lift",IF(AX419&lt;=0,"Aussenlager","teilweise")))))</f>
        <v/>
      </c>
      <c r="BB419" s="53">
        <f>IF(A419="","",IF(BK419=1,"Neu; ","")&amp;IF(AND(BK419=0,BF419&lt;0),"negativer Bestand (Export "&amp;BF419&amp;"); ","")&amp;IF(I419&lt;=0,"Kein Verbrauch; ","")&amp;IF(BO419=1,"Lose – Fläche geschätzt; ","")&amp;IF(G419&gt;AM419,"Überbestand "&amp;ROUND(G419-AM419,0)&amp;" Stk / CHF "&amp;ROUND((G419-AM419)*F419,0)&amp;"; ","")&amp;IF(AND(BT419=1,BU419&lt;BV419),"MAX &lt; MB+LG; ","")&amp;IF(AND(BZ419&gt;0,BY419*10&gt;BZ419),"zu hoch für Tablar; ","")&amp;IF(AND(BK419=0,OR(BT419=1,V419&lt;&gt;"",S419&lt;&gt;"",T419&lt;&gt;"",W419&lt;&gt;"")),"manuell übersteuert; ","")&amp;IF(AND(BO419=0,Q419=0),"Gebinde unbekannt; ","")&amp;IF(AND(BO419=0,N(T419)&lt;=0,N(P419)&lt;=0),"Menge pro Gebinde fehlt (Ist = 1 Gebinde); ","")&amp;BJ419)</f>
        <v/>
      </c>
      <c r="BC419" s="53" t="n"/>
      <c r="BD419" s="53" t="n"/>
      <c r="BE419" s="61" t="n"/>
      <c r="BF419" s="55" t="n">
        <v>210</v>
      </c>
      <c r="BG419" s="55" t="n">
        <v>0</v>
      </c>
      <c r="BH419" s="54" t="n">
        <v>94.50000000000001</v>
      </c>
      <c r="BI419" s="55" t="n">
        <v>20</v>
      </c>
      <c r="BJ419" s="53" t="inlineStr"/>
      <c r="BK419" s="58" t="n">
        <v>0</v>
      </c>
      <c r="BL419" s="58" t="n">
        <v>419</v>
      </c>
      <c r="BM419" s="53">
        <f>IF(S419&lt;&gt;"",UPPER(TRIM(S419)),IF(O419="","LOSE",O419))</f>
        <v/>
      </c>
      <c r="BN419" s="55">
        <f>IF(BM419="LOSE",1,IF(N(T419)&gt;0,T419,IF(N(P419)&gt;0,P419,MAX(1,G419))))</f>
        <v/>
      </c>
      <c r="BO419" s="58">
        <f>IF(BM419="LOSE",1,0)</f>
        <v/>
      </c>
      <c r="BP419" s="64">
        <f>IF(BO419=0,0,IF(N(R419)&gt;0,R419,IFERROR(VLOOKUP(D419,Parameter!$A$35:$C$64,3,0)+0,0)))</f>
        <v/>
      </c>
      <c r="BQ419" s="53">
        <f>IF(V419&lt;&gt;"",V419,U419)</f>
        <v/>
      </c>
      <c r="BR419" s="53">
        <f>IF(BQ419=1,"L1",IF(OR(BQ419=2,BQ419=3),"L23",IF(BQ419="Aussen","Aussen","-")))</f>
        <v/>
      </c>
      <c r="BS419" s="66">
        <f>IF(N(W419)&gt;0,W419,0)</f>
        <v/>
      </c>
      <c r="BT419" s="58">
        <f>IF(ISNUMBER(Z419),1,0)</f>
        <v/>
      </c>
      <c r="BU419" s="55">
        <f>N(Z419)</f>
        <v/>
      </c>
      <c r="BV419" s="55">
        <f>N(L419)+N(M419)</f>
        <v/>
      </c>
      <c r="BW419" s="55">
        <f>ROUNDUP(G419/BN419,0)</f>
        <v/>
      </c>
      <c r="BX419" s="55">
        <f>ROUNDUP(BU419/BN419,0)</f>
        <v/>
      </c>
      <c r="BY419" s="58">
        <f>IF(BO419=1,0,IFERROR(VLOOKUP(BM419,'Gebinde-Kategorie'!$A$5:$G$45,5,0)+0,0))</f>
        <v/>
      </c>
      <c r="BZ419" s="58">
        <f>IFERROR(IF(OR(BQ419=1,BQ419=2,BQ419=3),N(INDEX(Parameter!$I$5:$I$7,BQ419)),0),0)</f>
        <v/>
      </c>
    </row>
    <row r="420">
      <c r="A420" s="53" t="inlineStr">
        <is>
          <t>110883</t>
        </is>
      </c>
      <c r="B420" s="53" t="inlineStr">
        <is>
          <t>Zylinderschraube mit Innensechskant</t>
        </is>
      </c>
      <c r="C420" s="53" t="inlineStr">
        <is>
          <t>F</t>
        </is>
      </c>
      <c r="D420" s="53" t="inlineStr">
        <is>
          <t>KTL</t>
        </is>
      </c>
      <c r="E420" s="53" t="inlineStr">
        <is>
          <t>C</t>
        </is>
      </c>
      <c r="F420" s="54" t="n">
        <v>0.47</v>
      </c>
      <c r="G420" s="55">
        <f>MAX(0,IF(Parameter!$B$20="Jahresanfang 2025 + Export",BG420+BF420,BF420))</f>
        <v/>
      </c>
      <c r="H420" s="55">
        <f>G420*F420</f>
        <v/>
      </c>
      <c r="I420" s="55">
        <f>BI420*Parameter!$B$18</f>
        <v/>
      </c>
      <c r="J420" s="56" t="n">
        <v>10</v>
      </c>
      <c r="K420" s="57" t="n">
        <v>18</v>
      </c>
      <c r="L420" s="55" t="n">
        <v>7</v>
      </c>
      <c r="M420" s="55" t="n">
        <v>200</v>
      </c>
      <c r="N420" s="58" t="n">
        <v>14</v>
      </c>
      <c r="O420" s="53" t="inlineStr">
        <is>
          <t>S41</t>
        </is>
      </c>
      <c r="P420" s="55" t="n">
        <v>100</v>
      </c>
      <c r="Q420" s="59">
        <f>IF(BO420=1,0,IFERROR(VLOOKUP(BM420,'Gebinde-Kategorie'!$A$5:$G$45,6,0)+0,0))</f>
        <v/>
      </c>
      <c r="R420" s="60" t="n"/>
      <c r="S420" s="61" t="n"/>
      <c r="T420" s="61" t="n"/>
      <c r="U420" s="53">
        <f>IF(A420="","",IF(IFERROR(VLOOKUP(D420,Parameter!$A$35:$C$64,2,0),"Nein")="2+3",IF(ISNUMBER(SEARCH("grosser Artikel",BJ420)),2,IFERROR(VLOOKUP(BM420,Parameter!$F$35:$G$64,2,0),2)),IF(OR(IFERROR(VLOOKUP(D420,Parameter!$A$35:$C$64,2,0),"Nein")="Nein",IFERROR(VLOOKUP(D420,Parameter!$A$35:$C$64,2,0),"Nein")=""),"-",VLOOKUP(D420,Parameter!$A$35:$C$64,2,0))))</f>
        <v/>
      </c>
      <c r="V420" s="61" t="n"/>
      <c r="W420" s="62" t="n"/>
      <c r="X420" s="55">
        <f>AM420</f>
        <v/>
      </c>
      <c r="Y420" s="55">
        <f>MAX(AM420,G420)</f>
        <v/>
      </c>
      <c r="Z420" s="63" t="n"/>
      <c r="AA420" s="55">
        <f>IF(LEFT(Cockpit!$C$5,1)="A",G420,IF(BT420=1,BU420,IF(LEFT(Cockpit!$C$5,1)="B",AE420,MAX(AE420,G420))))</f>
        <v/>
      </c>
      <c r="AB420" s="55">
        <f>IF(BO420=1,0,ROUNDUP(AA420/BN420,0))</f>
        <v/>
      </c>
      <c r="AC420" s="64">
        <f>IF(BO420=1,IF(AA420&lt;=0,0,BP420*MAX(1,IF(G420&gt;0,AA420/G420,1))),AB420*Q420)</f>
        <v/>
      </c>
      <c r="AD420" s="55">
        <f>AA420*F420</f>
        <v/>
      </c>
      <c r="AE420" s="55">
        <f>ROUNDUP(MAX(I420/IF(BS420&gt;0,BS420,MAX(0.1,N(Cockpit!$C$6))),BV420)/BN420,0)*BN420</f>
        <v/>
      </c>
      <c r="AF420" s="56">
        <f>IF(AC420&gt;0,I420/AC420,-1)</f>
        <v/>
      </c>
      <c r="AG420" s="56">
        <f>IF(AND(OR(BR420="L1",BR420="L23"),AC420&gt;0),SUMIFS($AC$7:$AC$1570,$BR$7:$BR$1570,BR420,$AF$7:$AF$1570,"&gt;"&amp;AF420)+SUMIFS($AC$7:$AC$1570,$BR$7:$BR$1570,BR420,$AF$7:$AF$1570,AF420,$BL$7:$BL$1570,"&lt;="&amp;BL420),"")</f>
        <v/>
      </c>
      <c r="AH420" s="65">
        <f>IF(AG420="",0,MAX(0,MIN(1,(IF(BR420="L1",Parameter!$K$5,Parameter!$K$6+Parameter!$K$7)-(AG420-AC420))/AC420)))</f>
        <v/>
      </c>
      <c r="AI420" s="55">
        <f>IF(LEFT(Cockpit!$I$5,1)="A",G420,IF(BT420=1,BU420,IF(LEFT(Cockpit!$I$5,1)="B",AM420,MAX(AM420,G420))))</f>
        <v/>
      </c>
      <c r="AJ420" s="55">
        <f>IF(BO420=1,0,ROUNDUP(AI420/BN420,0))</f>
        <v/>
      </c>
      <c r="AK420" s="64">
        <f>IF(BO420=1,IF(AI420&lt;=0,0,BP420*MAX(1,IF(G420&gt;0,AI420/G420,1))),AJ420*Q420)</f>
        <v/>
      </c>
      <c r="AL420" s="55">
        <f>AI420*F420</f>
        <v/>
      </c>
      <c r="AM420" s="55">
        <f>ROUNDUP(MAX(I420/IF(BS420&gt;0,BS420,MAX(0.1,N(Cockpit!$I$6))),BV420)/BN420,0)*BN420</f>
        <v/>
      </c>
      <c r="AN420" s="56">
        <f>IF(AK420&gt;0,I420/AK420,-1)</f>
        <v/>
      </c>
      <c r="AO420" s="56">
        <f>IF(AND(OR(BR420="L1",BR420="L23"),AK420&gt;0),SUMIFS($AK$7:$AK$1570,$BR$7:$BR$1570,BR420,$AN$7:$AN$1570,"&gt;"&amp;AN420)+SUMIFS($AK$7:$AK$1570,$BR$7:$BR$1570,BR420,$AN$7:$AN$1570,AN420,$BL$7:$BL$1570,"&lt;="&amp;BL420),"")</f>
        <v/>
      </c>
      <c r="AP420" s="65">
        <f>IF(AO420="",0,MAX(0,MIN(1,(IF(BR420="L1",Parameter!$K$5,Parameter!$K$6+Parameter!$K$7)-(AO420-AK420))/AK420)))</f>
        <v/>
      </c>
      <c r="AQ420" s="55">
        <f>IF(LEFT(Cockpit!$O$5,1)="A",G420,IF(BT420=1,BU420,IF(LEFT(Cockpit!$O$5,1)="B",AU420,MAX(AU420,G420))))</f>
        <v/>
      </c>
      <c r="AR420" s="55">
        <f>IF(BO420=1,0,ROUNDUP(AQ420/BN420,0))</f>
        <v/>
      </c>
      <c r="AS420" s="64">
        <f>IF(BO420=1,IF(AQ420&lt;=0,0,BP420*MAX(1,IF(G420&gt;0,AQ420/G420,1))),AR420*Q420)</f>
        <v/>
      </c>
      <c r="AT420" s="55">
        <f>AQ420*F420</f>
        <v/>
      </c>
      <c r="AU420" s="55">
        <f>ROUNDUP(MAX(I420/IF(BS420&gt;0,BS420,MAX(0.1,N(Cockpit!$O$6))),BV420)/BN420,0)*BN420</f>
        <v/>
      </c>
      <c r="AV420" s="56">
        <f>IF(AS420&gt;0,I420/AS420,-1)</f>
        <v/>
      </c>
      <c r="AW420" s="56">
        <f>IF(AND(OR(BR420="L1",BR420="L23"),AS420&gt;0),SUMIFS($AS$7:$AS$1570,$BR$7:$BR$1570,BR420,$AV$7:$AV$1570,"&gt;"&amp;AV420)+SUMIFS($AS$7:$AS$1570,$BR$7:$BR$1570,BR420,$AV$7:$AV$1570,AV420,$BL$7:$BL$1570,"&lt;="&amp;BL420),"")</f>
        <v/>
      </c>
      <c r="AX420" s="65">
        <f>IF(AW420="",0,MAX(0,MIN(1,(IF(BR420="L1",Parameter!$K$5,Parameter!$K$6+Parameter!$K$7)-(AW420-AS420))/AS420)))</f>
        <v/>
      </c>
      <c r="AY420" s="53">
        <f>IF(AC420&lt;=0,"",IF(BR420="Aussen","Aussenlager",IF(BR420="-","Nicht im Lift",IF(AH420&gt;=1,"Lift",IF(AH420&lt;=0,"Aussenlager","teilweise")))))</f>
        <v/>
      </c>
      <c r="AZ420" s="53">
        <f>IF(AK420&lt;=0,"",IF(BR420="Aussen","Aussenlager",IF(BR420="-","Nicht im Lift",IF(AP420&gt;=1,"Lift",IF(AP420&lt;=0,"Aussenlager","teilweise")))))</f>
        <v/>
      </c>
      <c r="BA420" s="53">
        <f>IF(AS420&lt;=0,"",IF(BR420="Aussen","Aussenlager",IF(BR420="-","Nicht im Lift",IF(AX420&gt;=1,"Lift",IF(AX420&lt;=0,"Aussenlager","teilweise")))))</f>
        <v/>
      </c>
      <c r="BB420" s="53">
        <f>IF(A420="","",IF(BK420=1,"Neu; ","")&amp;IF(AND(BK420=0,BF420&lt;0),"negativer Bestand (Export "&amp;BF420&amp;"); ","")&amp;IF(I420&lt;=0,"Kein Verbrauch; ","")&amp;IF(BO420=1,"Lose – Fläche geschätzt; ","")&amp;IF(G420&gt;AM420,"Überbestand "&amp;ROUND(G420-AM420,0)&amp;" Stk / CHF "&amp;ROUND((G420-AM420)*F420,0)&amp;"; ","")&amp;IF(AND(BT420=1,BU420&lt;BV420),"MAX &lt; MB+LG; ","")&amp;IF(AND(BZ420&gt;0,BY420*10&gt;BZ420),"zu hoch für Tablar; ","")&amp;IF(AND(BK420=0,OR(BT420=1,V420&lt;&gt;"",S420&lt;&gt;"",T420&lt;&gt;"",W420&lt;&gt;"")),"manuell übersteuert; ","")&amp;IF(AND(BO420=0,Q420=0),"Gebinde unbekannt; ","")&amp;IF(AND(BO420=0,N(T420)&lt;=0,N(P420)&lt;=0),"Menge pro Gebinde fehlt (Ist = 1 Gebinde); ","")&amp;BJ420)</f>
        <v/>
      </c>
      <c r="BC420" s="53" t="n"/>
      <c r="BD420" s="53" t="n"/>
      <c r="BE420" s="61" t="n"/>
      <c r="BF420" s="55" t="n">
        <v>200</v>
      </c>
      <c r="BG420" s="55" t="n">
        <v>0</v>
      </c>
      <c r="BH420" s="54" t="n">
        <v>94.00000000000003</v>
      </c>
      <c r="BI420" s="55" t="n">
        <v>180</v>
      </c>
      <c r="BJ420" s="53" t="inlineStr"/>
      <c r="BK420" s="58" t="n">
        <v>0</v>
      </c>
      <c r="BL420" s="58" t="n">
        <v>420</v>
      </c>
      <c r="BM420" s="53">
        <f>IF(S420&lt;&gt;"",UPPER(TRIM(S420)),IF(O420="","LOSE",O420))</f>
        <v/>
      </c>
      <c r="BN420" s="55">
        <f>IF(BM420="LOSE",1,IF(N(T420)&gt;0,T420,IF(N(P420)&gt;0,P420,MAX(1,G420))))</f>
        <v/>
      </c>
      <c r="BO420" s="58">
        <f>IF(BM420="LOSE",1,0)</f>
        <v/>
      </c>
      <c r="BP420" s="64">
        <f>IF(BO420=0,0,IF(N(R420)&gt;0,R420,IFERROR(VLOOKUP(D420,Parameter!$A$35:$C$64,3,0)+0,0)))</f>
        <v/>
      </c>
      <c r="BQ420" s="53">
        <f>IF(V420&lt;&gt;"",V420,U420)</f>
        <v/>
      </c>
      <c r="BR420" s="53">
        <f>IF(BQ420=1,"L1",IF(OR(BQ420=2,BQ420=3),"L23",IF(BQ420="Aussen","Aussen","-")))</f>
        <v/>
      </c>
      <c r="BS420" s="66">
        <f>IF(N(W420)&gt;0,W420,0)</f>
        <v/>
      </c>
      <c r="BT420" s="58">
        <f>IF(ISNUMBER(Z420),1,0)</f>
        <v/>
      </c>
      <c r="BU420" s="55">
        <f>N(Z420)</f>
        <v/>
      </c>
      <c r="BV420" s="55">
        <f>N(L420)+N(M420)</f>
        <v/>
      </c>
      <c r="BW420" s="55">
        <f>ROUNDUP(G420/BN420,0)</f>
        <v/>
      </c>
      <c r="BX420" s="55">
        <f>ROUNDUP(BU420/BN420,0)</f>
        <v/>
      </c>
      <c r="BY420" s="58">
        <f>IF(BO420=1,0,IFERROR(VLOOKUP(BM420,'Gebinde-Kategorie'!$A$5:$G$45,5,0)+0,0))</f>
        <v/>
      </c>
      <c r="BZ420" s="58">
        <f>IFERROR(IF(OR(BQ420=1,BQ420=2,BQ420=3),N(INDEX(Parameter!$I$5:$I$7,BQ420)),0),0)</f>
        <v/>
      </c>
    </row>
    <row r="421">
      <c r="A421" s="53" t="inlineStr">
        <is>
          <t>109061</t>
        </is>
      </c>
      <c r="B421" s="53" t="inlineStr">
        <is>
          <t>Adapterplatte 2. Spülluftmodul</t>
        </is>
      </c>
      <c r="C421" s="53" t="inlineStr">
        <is>
          <t>F</t>
        </is>
      </c>
      <c r="D421" s="53" t="inlineStr">
        <is>
          <t>PAL</t>
        </is>
      </c>
      <c r="E421" s="53" t="inlineStr">
        <is>
          <t>C</t>
        </is>
      </c>
      <c r="F421" s="54" t="n">
        <v>23.5</v>
      </c>
      <c r="G421" s="55">
        <f>MAX(0,IF(Parameter!$B$20="Jahresanfang 2025 + Export",BG421+BF421,BF421))</f>
        <v/>
      </c>
      <c r="H421" s="55">
        <f>G421*F421</f>
        <v/>
      </c>
      <c r="I421" s="55">
        <f>BI421*Parameter!$B$18</f>
        <v/>
      </c>
      <c r="J421" s="56" t="n">
        <v>19</v>
      </c>
      <c r="K421" s="57" t="n">
        <v>1.789473684210526</v>
      </c>
      <c r="L421" s="55" t="n">
        <v>1</v>
      </c>
      <c r="M421" s="55" t="n">
        <v>35</v>
      </c>
      <c r="N421" s="58" t="n">
        <v>21</v>
      </c>
      <c r="O421" s="53" t="inlineStr">
        <is>
          <t>S52</t>
        </is>
      </c>
      <c r="P421" s="55" t="n">
        <v>28</v>
      </c>
      <c r="Q421" s="59">
        <f>IF(BO421=1,0,IFERROR(VLOOKUP(BM421,'Gebinde-Kategorie'!$A$5:$G$45,6,0)+0,0))</f>
        <v/>
      </c>
      <c r="R421" s="60" t="n"/>
      <c r="S421" s="61" t="n"/>
      <c r="T421" s="61" t="n"/>
      <c r="U421" s="53">
        <f>IF(A421="","",IF(IFERROR(VLOOKUP(D421,Parameter!$A$35:$C$64,2,0),"Nein")="2+3",IF(ISNUMBER(SEARCH("grosser Artikel",BJ421)),2,IFERROR(VLOOKUP(BM421,Parameter!$F$35:$G$64,2,0),2)),IF(OR(IFERROR(VLOOKUP(D421,Parameter!$A$35:$C$64,2,0),"Nein")="Nein",IFERROR(VLOOKUP(D421,Parameter!$A$35:$C$64,2,0),"Nein")=""),"-",VLOOKUP(D421,Parameter!$A$35:$C$64,2,0))))</f>
        <v/>
      </c>
      <c r="V421" s="61" t="n"/>
      <c r="W421" s="62" t="n"/>
      <c r="X421" s="55">
        <f>AM421</f>
        <v/>
      </c>
      <c r="Y421" s="55">
        <f>MAX(AM421,G421)</f>
        <v/>
      </c>
      <c r="Z421" s="63" t="n"/>
      <c r="AA421" s="55">
        <f>IF(LEFT(Cockpit!$C$5,1)="A",G421,IF(BT421=1,BU421,IF(LEFT(Cockpit!$C$5,1)="B",AE421,MAX(AE421,G421))))</f>
        <v/>
      </c>
      <c r="AB421" s="55">
        <f>IF(BO421=1,0,ROUNDUP(AA421/BN421,0))</f>
        <v/>
      </c>
      <c r="AC421" s="64">
        <f>IF(BO421=1,IF(AA421&lt;=0,0,BP421*MAX(1,IF(G421&gt;0,AA421/G421,1))),AB421*Q421)</f>
        <v/>
      </c>
      <c r="AD421" s="55">
        <f>AA421*F421</f>
        <v/>
      </c>
      <c r="AE421" s="55">
        <f>ROUNDUP(MAX(I421/IF(BS421&gt;0,BS421,MAX(0.1,N(Cockpit!$C$6))),BV421)/BN421,0)*BN421</f>
        <v/>
      </c>
      <c r="AF421" s="56">
        <f>IF(AC421&gt;0,I421/AC421,-1)</f>
        <v/>
      </c>
      <c r="AG421" s="56">
        <f>IF(AND(OR(BR421="L1",BR421="L23"),AC421&gt;0),SUMIFS($AC$7:$AC$1570,$BR$7:$BR$1570,BR421,$AF$7:$AF$1570,"&gt;"&amp;AF421)+SUMIFS($AC$7:$AC$1570,$BR$7:$BR$1570,BR421,$AF$7:$AF$1570,AF421,$BL$7:$BL$1570,"&lt;="&amp;BL421),"")</f>
        <v/>
      </c>
      <c r="AH421" s="65">
        <f>IF(AG421="",0,MAX(0,MIN(1,(IF(BR421="L1",Parameter!$K$5,Parameter!$K$6+Parameter!$K$7)-(AG421-AC421))/AC421)))</f>
        <v/>
      </c>
      <c r="AI421" s="55">
        <f>IF(LEFT(Cockpit!$I$5,1)="A",G421,IF(BT421=1,BU421,IF(LEFT(Cockpit!$I$5,1)="B",AM421,MAX(AM421,G421))))</f>
        <v/>
      </c>
      <c r="AJ421" s="55">
        <f>IF(BO421=1,0,ROUNDUP(AI421/BN421,0))</f>
        <v/>
      </c>
      <c r="AK421" s="64">
        <f>IF(BO421=1,IF(AI421&lt;=0,0,BP421*MAX(1,IF(G421&gt;0,AI421/G421,1))),AJ421*Q421)</f>
        <v/>
      </c>
      <c r="AL421" s="55">
        <f>AI421*F421</f>
        <v/>
      </c>
      <c r="AM421" s="55">
        <f>ROUNDUP(MAX(I421/IF(BS421&gt;0,BS421,MAX(0.1,N(Cockpit!$I$6))),BV421)/BN421,0)*BN421</f>
        <v/>
      </c>
      <c r="AN421" s="56">
        <f>IF(AK421&gt;0,I421/AK421,-1)</f>
        <v/>
      </c>
      <c r="AO421" s="56">
        <f>IF(AND(OR(BR421="L1",BR421="L23"),AK421&gt;0),SUMIFS($AK$7:$AK$1570,$BR$7:$BR$1570,BR421,$AN$7:$AN$1570,"&gt;"&amp;AN421)+SUMIFS($AK$7:$AK$1570,$BR$7:$BR$1570,BR421,$AN$7:$AN$1570,AN421,$BL$7:$BL$1570,"&lt;="&amp;BL421),"")</f>
        <v/>
      </c>
      <c r="AP421" s="65">
        <f>IF(AO421="",0,MAX(0,MIN(1,(IF(BR421="L1",Parameter!$K$5,Parameter!$K$6+Parameter!$K$7)-(AO421-AK421))/AK421)))</f>
        <v/>
      </c>
      <c r="AQ421" s="55">
        <f>IF(LEFT(Cockpit!$O$5,1)="A",G421,IF(BT421=1,BU421,IF(LEFT(Cockpit!$O$5,1)="B",AU421,MAX(AU421,G421))))</f>
        <v/>
      </c>
      <c r="AR421" s="55">
        <f>IF(BO421=1,0,ROUNDUP(AQ421/BN421,0))</f>
        <v/>
      </c>
      <c r="AS421" s="64">
        <f>IF(BO421=1,IF(AQ421&lt;=0,0,BP421*MAX(1,IF(G421&gt;0,AQ421/G421,1))),AR421*Q421)</f>
        <v/>
      </c>
      <c r="AT421" s="55">
        <f>AQ421*F421</f>
        <v/>
      </c>
      <c r="AU421" s="55">
        <f>ROUNDUP(MAX(I421/IF(BS421&gt;0,BS421,MAX(0.1,N(Cockpit!$O$6))),BV421)/BN421,0)*BN421</f>
        <v/>
      </c>
      <c r="AV421" s="56">
        <f>IF(AS421&gt;0,I421/AS421,-1)</f>
        <v/>
      </c>
      <c r="AW421" s="56">
        <f>IF(AND(OR(BR421="L1",BR421="L23"),AS421&gt;0),SUMIFS($AS$7:$AS$1570,$BR$7:$BR$1570,BR421,$AV$7:$AV$1570,"&gt;"&amp;AV421)+SUMIFS($AS$7:$AS$1570,$BR$7:$BR$1570,BR421,$AV$7:$AV$1570,AV421,$BL$7:$BL$1570,"&lt;="&amp;BL421),"")</f>
        <v/>
      </c>
      <c r="AX421" s="65">
        <f>IF(AW421="",0,MAX(0,MIN(1,(IF(BR421="L1",Parameter!$K$5,Parameter!$K$6+Parameter!$K$7)-(AW421-AS421))/AS421)))</f>
        <v/>
      </c>
      <c r="AY421" s="53">
        <f>IF(AC421&lt;=0,"",IF(BR421="Aussen","Aussenlager",IF(BR421="-","Nicht im Lift",IF(AH421&gt;=1,"Lift",IF(AH421&lt;=0,"Aussenlager","teilweise")))))</f>
        <v/>
      </c>
      <c r="AZ421" s="53">
        <f>IF(AK421&lt;=0,"",IF(BR421="Aussen","Aussenlager",IF(BR421="-","Nicht im Lift",IF(AP421&gt;=1,"Lift",IF(AP421&lt;=0,"Aussenlager","teilweise")))))</f>
        <v/>
      </c>
      <c r="BA421" s="53">
        <f>IF(AS421&lt;=0,"",IF(BR421="Aussen","Aussenlager",IF(BR421="-","Nicht im Lift",IF(AX421&gt;=1,"Lift",IF(AX421&lt;=0,"Aussenlager","teilweise")))))</f>
        <v/>
      </c>
      <c r="BB421" s="53">
        <f>IF(A421="","",IF(BK421=1,"Neu; ","")&amp;IF(AND(BK421=0,BF421&lt;0),"negativer Bestand (Export "&amp;BF421&amp;"); ","")&amp;IF(I421&lt;=0,"Kein Verbrauch; ","")&amp;IF(BO421=1,"Lose – Fläche geschätzt; ","")&amp;IF(G421&gt;AM421,"Überbestand "&amp;ROUND(G421-AM421,0)&amp;" Stk / CHF "&amp;ROUND((G421-AM421)*F421,0)&amp;"; ","")&amp;IF(AND(BT421=1,BU421&lt;BV421),"MAX &lt; MB+LG; ","")&amp;IF(AND(BZ421&gt;0,BY421*10&gt;BZ421),"zu hoch für Tablar; ","")&amp;IF(AND(BK421=0,OR(BT421=1,V421&lt;&gt;"",S421&lt;&gt;"",T421&lt;&gt;"",W421&lt;&gt;"")),"manuell übersteuert; ","")&amp;IF(AND(BO421=0,Q421=0),"Gebinde unbekannt; ","")&amp;IF(AND(BO421=0,N(T421)&lt;=0,N(P421)&lt;=0),"Menge pro Gebinde fehlt (Ist = 1 Gebinde); ","")&amp;BJ421)</f>
        <v/>
      </c>
      <c r="BC421" s="53" t="n"/>
      <c r="BD421" s="53" t="n"/>
      <c r="BE421" s="61" t="n"/>
      <c r="BF421" s="55" t="n">
        <v>4</v>
      </c>
      <c r="BG421" s="55" t="n">
        <v>6</v>
      </c>
      <c r="BH421" s="54" t="n">
        <v>94</v>
      </c>
      <c r="BI421" s="55" t="n">
        <v>34</v>
      </c>
      <c r="BJ421" s="53" t="inlineStr">
        <is>
          <t>Neu</t>
        </is>
      </c>
      <c r="BK421" s="58" t="n">
        <v>0</v>
      </c>
      <c r="BL421" s="58" t="n">
        <v>421</v>
      </c>
      <c r="BM421" s="53">
        <f>IF(S421&lt;&gt;"",UPPER(TRIM(S421)),IF(O421="","LOSE",O421))</f>
        <v/>
      </c>
      <c r="BN421" s="55">
        <f>IF(BM421="LOSE",1,IF(N(T421)&gt;0,T421,IF(N(P421)&gt;0,P421,MAX(1,G421))))</f>
        <v/>
      </c>
      <c r="BO421" s="58">
        <f>IF(BM421="LOSE",1,0)</f>
        <v/>
      </c>
      <c r="BP421" s="64">
        <f>IF(BO421=0,0,IF(N(R421)&gt;0,R421,IFERROR(VLOOKUP(D421,Parameter!$A$35:$C$64,3,0)+0,0)))</f>
        <v/>
      </c>
      <c r="BQ421" s="53">
        <f>IF(V421&lt;&gt;"",V421,U421)</f>
        <v/>
      </c>
      <c r="BR421" s="53">
        <f>IF(BQ421=1,"L1",IF(OR(BQ421=2,BQ421=3),"L23",IF(BQ421="Aussen","Aussen","-")))</f>
        <v/>
      </c>
      <c r="BS421" s="66">
        <f>IF(N(W421)&gt;0,W421,0)</f>
        <v/>
      </c>
      <c r="BT421" s="58">
        <f>IF(ISNUMBER(Z421),1,0)</f>
        <v/>
      </c>
      <c r="BU421" s="55">
        <f>N(Z421)</f>
        <v/>
      </c>
      <c r="BV421" s="55">
        <f>N(L421)+N(M421)</f>
        <v/>
      </c>
      <c r="BW421" s="55">
        <f>ROUNDUP(G421/BN421,0)</f>
        <v/>
      </c>
      <c r="BX421" s="55">
        <f>ROUNDUP(BU421/BN421,0)</f>
        <v/>
      </c>
      <c r="BY421" s="58">
        <f>IF(BO421=1,0,IFERROR(VLOOKUP(BM421,'Gebinde-Kategorie'!$A$5:$G$45,5,0)+0,0))</f>
        <v/>
      </c>
      <c r="BZ421" s="58">
        <f>IFERROR(IF(OR(BQ421=1,BQ421=2,BQ421=3),N(INDEX(Parameter!$I$5:$I$7,BQ421)),0),0)</f>
        <v/>
      </c>
    </row>
    <row r="422">
      <c r="A422" s="53" t="inlineStr">
        <is>
          <t>107160</t>
        </is>
      </c>
      <c r="B422" s="53" t="inlineStr">
        <is>
          <t>Unterlage SPGr16</t>
        </is>
      </c>
      <c r="C422" s="53" t="inlineStr">
        <is>
          <t>F</t>
        </is>
      </c>
      <c r="D422" s="53" t="inlineStr">
        <is>
          <t>KTL</t>
        </is>
      </c>
      <c r="E422" s="53" t="inlineStr">
        <is>
          <t>C</t>
        </is>
      </c>
      <c r="F422" s="54" t="n">
        <v>3.86</v>
      </c>
      <c r="G422" s="55">
        <f>MAX(0,IF(Parameter!$B$20="Jahresanfang 2025 + Export",BG422+BF422,BF422))</f>
        <v/>
      </c>
      <c r="H422" s="55">
        <f>G422*F422</f>
        <v/>
      </c>
      <c r="I422" s="55">
        <f>BI422*Parameter!$B$18</f>
        <v/>
      </c>
      <c r="J422" s="56" t="n">
        <v>98</v>
      </c>
      <c r="K422" s="57" t="n">
        <v>1.397959183673469</v>
      </c>
      <c r="L422" s="55" t="n">
        <v>5</v>
      </c>
      <c r="M422" s="55" t="n">
        <v>135</v>
      </c>
      <c r="N422" s="58" t="n">
        <v>14</v>
      </c>
      <c r="O422" s="53" t="inlineStr">
        <is>
          <t>S51</t>
        </is>
      </c>
      <c r="P422" s="55" t="n">
        <v>45</v>
      </c>
      <c r="Q422" s="59">
        <f>IF(BO422=1,0,IFERROR(VLOOKUP(BM422,'Gebinde-Kategorie'!$A$5:$G$45,6,0)+0,0))</f>
        <v/>
      </c>
      <c r="R422" s="60" t="n"/>
      <c r="S422" s="61" t="n"/>
      <c r="T422" s="61" t="n"/>
      <c r="U422" s="53">
        <f>IF(A422="","",IF(IFERROR(VLOOKUP(D422,Parameter!$A$35:$C$64,2,0),"Nein")="2+3",IF(ISNUMBER(SEARCH("grosser Artikel",BJ422)),2,IFERROR(VLOOKUP(BM422,Parameter!$F$35:$G$64,2,0),2)),IF(OR(IFERROR(VLOOKUP(D422,Parameter!$A$35:$C$64,2,0),"Nein")="Nein",IFERROR(VLOOKUP(D422,Parameter!$A$35:$C$64,2,0),"Nein")=""),"-",VLOOKUP(D422,Parameter!$A$35:$C$64,2,0))))</f>
        <v/>
      </c>
      <c r="V422" s="61" t="n"/>
      <c r="W422" s="62" t="n"/>
      <c r="X422" s="55">
        <f>AM422</f>
        <v/>
      </c>
      <c r="Y422" s="55">
        <f>MAX(AM422,G422)</f>
        <v/>
      </c>
      <c r="Z422" s="63" t="n"/>
      <c r="AA422" s="55">
        <f>IF(LEFT(Cockpit!$C$5,1)="A",G422,IF(BT422=1,BU422,IF(LEFT(Cockpit!$C$5,1)="B",AE422,MAX(AE422,G422))))</f>
        <v/>
      </c>
      <c r="AB422" s="55">
        <f>IF(BO422=1,0,ROUNDUP(AA422/BN422,0))</f>
        <v/>
      </c>
      <c r="AC422" s="64">
        <f>IF(BO422=1,IF(AA422&lt;=0,0,BP422*MAX(1,IF(G422&gt;0,AA422/G422,1))),AB422*Q422)</f>
        <v/>
      </c>
      <c r="AD422" s="55">
        <f>AA422*F422</f>
        <v/>
      </c>
      <c r="AE422" s="55">
        <f>ROUNDUP(MAX(I422/IF(BS422&gt;0,BS422,MAX(0.1,N(Cockpit!$C$6))),BV422)/BN422,0)*BN422</f>
        <v/>
      </c>
      <c r="AF422" s="56">
        <f>IF(AC422&gt;0,I422/AC422,-1)</f>
        <v/>
      </c>
      <c r="AG422" s="56">
        <f>IF(AND(OR(BR422="L1",BR422="L23"),AC422&gt;0),SUMIFS($AC$7:$AC$1570,$BR$7:$BR$1570,BR422,$AF$7:$AF$1570,"&gt;"&amp;AF422)+SUMIFS($AC$7:$AC$1570,$BR$7:$BR$1570,BR422,$AF$7:$AF$1570,AF422,$BL$7:$BL$1570,"&lt;="&amp;BL422),"")</f>
        <v/>
      </c>
      <c r="AH422" s="65">
        <f>IF(AG422="",0,MAX(0,MIN(1,(IF(BR422="L1",Parameter!$K$5,Parameter!$K$6+Parameter!$K$7)-(AG422-AC422))/AC422)))</f>
        <v/>
      </c>
      <c r="AI422" s="55">
        <f>IF(LEFT(Cockpit!$I$5,1)="A",G422,IF(BT422=1,BU422,IF(LEFT(Cockpit!$I$5,1)="B",AM422,MAX(AM422,G422))))</f>
        <v/>
      </c>
      <c r="AJ422" s="55">
        <f>IF(BO422=1,0,ROUNDUP(AI422/BN422,0))</f>
        <v/>
      </c>
      <c r="AK422" s="64">
        <f>IF(BO422=1,IF(AI422&lt;=0,0,BP422*MAX(1,IF(G422&gt;0,AI422/G422,1))),AJ422*Q422)</f>
        <v/>
      </c>
      <c r="AL422" s="55">
        <f>AI422*F422</f>
        <v/>
      </c>
      <c r="AM422" s="55">
        <f>ROUNDUP(MAX(I422/IF(BS422&gt;0,BS422,MAX(0.1,N(Cockpit!$I$6))),BV422)/BN422,0)*BN422</f>
        <v/>
      </c>
      <c r="AN422" s="56">
        <f>IF(AK422&gt;0,I422/AK422,-1)</f>
        <v/>
      </c>
      <c r="AO422" s="56">
        <f>IF(AND(OR(BR422="L1",BR422="L23"),AK422&gt;0),SUMIFS($AK$7:$AK$1570,$BR$7:$BR$1570,BR422,$AN$7:$AN$1570,"&gt;"&amp;AN422)+SUMIFS($AK$7:$AK$1570,$BR$7:$BR$1570,BR422,$AN$7:$AN$1570,AN422,$BL$7:$BL$1570,"&lt;="&amp;BL422),"")</f>
        <v/>
      </c>
      <c r="AP422" s="65">
        <f>IF(AO422="",0,MAX(0,MIN(1,(IF(BR422="L1",Parameter!$K$5,Parameter!$K$6+Parameter!$K$7)-(AO422-AK422))/AK422)))</f>
        <v/>
      </c>
      <c r="AQ422" s="55">
        <f>IF(LEFT(Cockpit!$O$5,1)="A",G422,IF(BT422=1,BU422,IF(LEFT(Cockpit!$O$5,1)="B",AU422,MAX(AU422,G422))))</f>
        <v/>
      </c>
      <c r="AR422" s="55">
        <f>IF(BO422=1,0,ROUNDUP(AQ422/BN422,0))</f>
        <v/>
      </c>
      <c r="AS422" s="64">
        <f>IF(BO422=1,IF(AQ422&lt;=0,0,BP422*MAX(1,IF(G422&gt;0,AQ422/G422,1))),AR422*Q422)</f>
        <v/>
      </c>
      <c r="AT422" s="55">
        <f>AQ422*F422</f>
        <v/>
      </c>
      <c r="AU422" s="55">
        <f>ROUNDUP(MAX(I422/IF(BS422&gt;0,BS422,MAX(0.1,N(Cockpit!$O$6))),BV422)/BN422,0)*BN422</f>
        <v/>
      </c>
      <c r="AV422" s="56">
        <f>IF(AS422&gt;0,I422/AS422,-1)</f>
        <v/>
      </c>
      <c r="AW422" s="56">
        <f>IF(AND(OR(BR422="L1",BR422="L23"),AS422&gt;0),SUMIFS($AS$7:$AS$1570,$BR$7:$BR$1570,BR422,$AV$7:$AV$1570,"&gt;"&amp;AV422)+SUMIFS($AS$7:$AS$1570,$BR$7:$BR$1570,BR422,$AV$7:$AV$1570,AV422,$BL$7:$BL$1570,"&lt;="&amp;BL422),"")</f>
        <v/>
      </c>
      <c r="AX422" s="65">
        <f>IF(AW422="",0,MAX(0,MIN(1,(IF(BR422="L1",Parameter!$K$5,Parameter!$K$6+Parameter!$K$7)-(AW422-AS422))/AS422)))</f>
        <v/>
      </c>
      <c r="AY422" s="53">
        <f>IF(AC422&lt;=0,"",IF(BR422="Aussen","Aussenlager",IF(BR422="-","Nicht im Lift",IF(AH422&gt;=1,"Lift",IF(AH422&lt;=0,"Aussenlager","teilweise")))))</f>
        <v/>
      </c>
      <c r="AZ422" s="53">
        <f>IF(AK422&lt;=0,"",IF(BR422="Aussen","Aussenlager",IF(BR422="-","Nicht im Lift",IF(AP422&gt;=1,"Lift",IF(AP422&lt;=0,"Aussenlager","teilweise")))))</f>
        <v/>
      </c>
      <c r="BA422" s="53">
        <f>IF(AS422&lt;=0,"",IF(BR422="Aussen","Aussenlager",IF(BR422="-","Nicht im Lift",IF(AX422&gt;=1,"Lift",IF(AX422&lt;=0,"Aussenlager","teilweise")))))</f>
        <v/>
      </c>
      <c r="BB422" s="53">
        <f>IF(A422="","",IF(BK422=1,"Neu; ","")&amp;IF(AND(BK422=0,BF422&lt;0),"negativer Bestand (Export "&amp;BF422&amp;"); ","")&amp;IF(I422&lt;=0,"Kein Verbrauch; ","")&amp;IF(BO422=1,"Lose – Fläche geschätzt; ","")&amp;IF(G422&gt;AM422,"Überbestand "&amp;ROUND(G422-AM422,0)&amp;" Stk / CHF "&amp;ROUND((G422-AM422)*F422,0)&amp;"; ","")&amp;IF(AND(BT422=1,BU422&lt;BV422),"MAX &lt; MB+LG; ","")&amp;IF(AND(BZ422&gt;0,BY422*10&gt;BZ422),"zu hoch für Tablar; ","")&amp;IF(AND(BK422=0,OR(BT422=1,V422&lt;&gt;"",S422&lt;&gt;"",T422&lt;&gt;"",W422&lt;&gt;"")),"manuell übersteuert; ","")&amp;IF(AND(BO422=0,Q422=0),"Gebinde unbekannt; ","")&amp;IF(AND(BO422=0,N(T422)&lt;=0,N(P422)&lt;=0),"Menge pro Gebinde fehlt (Ist = 1 Gebinde); ","")&amp;BJ422)</f>
        <v/>
      </c>
      <c r="BC422" s="53" t="n"/>
      <c r="BD422" s="53" t="n"/>
      <c r="BE422" s="61" t="n"/>
      <c r="BF422" s="55" t="n">
        <v>48</v>
      </c>
      <c r="BG422" s="55" t="n">
        <v>91</v>
      </c>
      <c r="BH422" s="54" t="n">
        <v>93.36999999999995</v>
      </c>
      <c r="BI422" s="55" t="n">
        <v>137</v>
      </c>
      <c r="BJ422" s="53" t="inlineStr"/>
      <c r="BK422" s="58" t="n">
        <v>0</v>
      </c>
      <c r="BL422" s="58" t="n">
        <v>422</v>
      </c>
      <c r="BM422" s="53">
        <f>IF(S422&lt;&gt;"",UPPER(TRIM(S422)),IF(O422="","LOSE",O422))</f>
        <v/>
      </c>
      <c r="BN422" s="55">
        <f>IF(BM422="LOSE",1,IF(N(T422)&gt;0,T422,IF(N(P422)&gt;0,P422,MAX(1,G422))))</f>
        <v/>
      </c>
      <c r="BO422" s="58">
        <f>IF(BM422="LOSE",1,0)</f>
        <v/>
      </c>
      <c r="BP422" s="64">
        <f>IF(BO422=0,0,IF(N(R422)&gt;0,R422,IFERROR(VLOOKUP(D422,Parameter!$A$35:$C$64,3,0)+0,0)))</f>
        <v/>
      </c>
      <c r="BQ422" s="53">
        <f>IF(V422&lt;&gt;"",V422,U422)</f>
        <v/>
      </c>
      <c r="BR422" s="53">
        <f>IF(BQ422=1,"L1",IF(OR(BQ422=2,BQ422=3),"L23",IF(BQ422="Aussen","Aussen","-")))</f>
        <v/>
      </c>
      <c r="BS422" s="66">
        <f>IF(N(W422)&gt;0,W422,0)</f>
        <v/>
      </c>
      <c r="BT422" s="58">
        <f>IF(ISNUMBER(Z422),1,0)</f>
        <v/>
      </c>
      <c r="BU422" s="55">
        <f>N(Z422)</f>
        <v/>
      </c>
      <c r="BV422" s="55">
        <f>N(L422)+N(M422)</f>
        <v/>
      </c>
      <c r="BW422" s="55">
        <f>ROUNDUP(G422/BN422,0)</f>
        <v/>
      </c>
      <c r="BX422" s="55">
        <f>ROUNDUP(BU422/BN422,0)</f>
        <v/>
      </c>
      <c r="BY422" s="58">
        <f>IF(BO422=1,0,IFERROR(VLOOKUP(BM422,'Gebinde-Kategorie'!$A$5:$G$45,5,0)+0,0))</f>
        <v/>
      </c>
      <c r="BZ422" s="58">
        <f>IFERROR(IF(OR(BQ422=1,BQ422=2,BQ422=3),N(INDEX(Parameter!$I$5:$I$7,BQ422)),0),0)</f>
        <v/>
      </c>
    </row>
    <row r="423">
      <c r="A423" s="53" t="inlineStr">
        <is>
          <t>001033</t>
        </is>
      </c>
      <c r="B423" s="53" t="inlineStr">
        <is>
          <t>WD-40</t>
        </is>
      </c>
      <c r="C423" s="53" t="inlineStr">
        <is>
          <t>F</t>
        </is>
      </c>
      <c r="D423" s="53" t="inlineStr">
        <is>
          <t>KTL</t>
        </is>
      </c>
      <c r="E423" s="53" t="inlineStr">
        <is>
          <t>C</t>
        </is>
      </c>
      <c r="F423" s="54" t="n">
        <v>13.78</v>
      </c>
      <c r="G423" s="55">
        <f>MAX(0,IF(Parameter!$B$20="Jahresanfang 2025 + Export",BG423+BF423,BF423))</f>
        <v/>
      </c>
      <c r="H423" s="55">
        <f>G423*F423</f>
        <v/>
      </c>
      <c r="I423" s="55">
        <f>BI423*Parameter!$B$18</f>
        <v/>
      </c>
      <c r="J423" s="56" t="n">
        <v>4</v>
      </c>
      <c r="K423" s="57" t="n">
        <v>0.25</v>
      </c>
      <c r="L423" s="55" t="n">
        <v>5</v>
      </c>
      <c r="M423" s="55" t="n">
        <v>1</v>
      </c>
      <c r="N423" s="58" t="n">
        <v>14</v>
      </c>
      <c r="O423" s="53" t="inlineStr">
        <is>
          <t>S51</t>
        </is>
      </c>
      <c r="P423" s="55" t="n">
        <v>9</v>
      </c>
      <c r="Q423" s="59">
        <f>IF(BO423=1,0,IFERROR(VLOOKUP(BM423,'Gebinde-Kategorie'!$A$5:$G$45,6,0)+0,0))</f>
        <v/>
      </c>
      <c r="R423" s="60" t="n"/>
      <c r="S423" s="61" t="n"/>
      <c r="T423" s="61" t="n"/>
      <c r="U423" s="53">
        <f>IF(A423="","",IF(IFERROR(VLOOKUP(D423,Parameter!$A$35:$C$64,2,0),"Nein")="2+3",IF(ISNUMBER(SEARCH("grosser Artikel",BJ423)),2,IFERROR(VLOOKUP(BM423,Parameter!$F$35:$G$64,2,0),2)),IF(OR(IFERROR(VLOOKUP(D423,Parameter!$A$35:$C$64,2,0),"Nein")="Nein",IFERROR(VLOOKUP(D423,Parameter!$A$35:$C$64,2,0),"Nein")=""),"-",VLOOKUP(D423,Parameter!$A$35:$C$64,2,0))))</f>
        <v/>
      </c>
      <c r="V423" s="61" t="n"/>
      <c r="W423" s="62" t="n"/>
      <c r="X423" s="55">
        <f>AM423</f>
        <v/>
      </c>
      <c r="Y423" s="55">
        <f>MAX(AM423,G423)</f>
        <v/>
      </c>
      <c r="Z423" s="63" t="n"/>
      <c r="AA423" s="55">
        <f>IF(LEFT(Cockpit!$C$5,1)="A",G423,IF(BT423=1,BU423,IF(LEFT(Cockpit!$C$5,1)="B",AE423,MAX(AE423,G423))))</f>
        <v/>
      </c>
      <c r="AB423" s="55">
        <f>IF(BO423=1,0,ROUNDUP(AA423/BN423,0))</f>
        <v/>
      </c>
      <c r="AC423" s="64">
        <f>IF(BO423=1,IF(AA423&lt;=0,0,BP423*MAX(1,IF(G423&gt;0,AA423/G423,1))),AB423*Q423)</f>
        <v/>
      </c>
      <c r="AD423" s="55">
        <f>AA423*F423</f>
        <v/>
      </c>
      <c r="AE423" s="55">
        <f>ROUNDUP(MAX(I423/IF(BS423&gt;0,BS423,MAX(0.1,N(Cockpit!$C$6))),BV423)/BN423,0)*BN423</f>
        <v/>
      </c>
      <c r="AF423" s="56">
        <f>IF(AC423&gt;0,I423/AC423,-1)</f>
        <v/>
      </c>
      <c r="AG423" s="56">
        <f>IF(AND(OR(BR423="L1",BR423="L23"),AC423&gt;0),SUMIFS($AC$7:$AC$1570,$BR$7:$BR$1570,BR423,$AF$7:$AF$1570,"&gt;"&amp;AF423)+SUMIFS($AC$7:$AC$1570,$BR$7:$BR$1570,BR423,$AF$7:$AF$1570,AF423,$BL$7:$BL$1570,"&lt;="&amp;BL423),"")</f>
        <v/>
      </c>
      <c r="AH423" s="65">
        <f>IF(AG423="",0,MAX(0,MIN(1,(IF(BR423="L1",Parameter!$K$5,Parameter!$K$6+Parameter!$K$7)-(AG423-AC423))/AC423)))</f>
        <v/>
      </c>
      <c r="AI423" s="55">
        <f>IF(LEFT(Cockpit!$I$5,1)="A",G423,IF(BT423=1,BU423,IF(LEFT(Cockpit!$I$5,1)="B",AM423,MAX(AM423,G423))))</f>
        <v/>
      </c>
      <c r="AJ423" s="55">
        <f>IF(BO423=1,0,ROUNDUP(AI423/BN423,0))</f>
        <v/>
      </c>
      <c r="AK423" s="64">
        <f>IF(BO423=1,IF(AI423&lt;=0,0,BP423*MAX(1,IF(G423&gt;0,AI423/G423,1))),AJ423*Q423)</f>
        <v/>
      </c>
      <c r="AL423" s="55">
        <f>AI423*F423</f>
        <v/>
      </c>
      <c r="AM423" s="55">
        <f>ROUNDUP(MAX(I423/IF(BS423&gt;0,BS423,MAX(0.1,N(Cockpit!$I$6))),BV423)/BN423,0)*BN423</f>
        <v/>
      </c>
      <c r="AN423" s="56">
        <f>IF(AK423&gt;0,I423/AK423,-1)</f>
        <v/>
      </c>
      <c r="AO423" s="56">
        <f>IF(AND(OR(BR423="L1",BR423="L23"),AK423&gt;0),SUMIFS($AK$7:$AK$1570,$BR$7:$BR$1570,BR423,$AN$7:$AN$1570,"&gt;"&amp;AN423)+SUMIFS($AK$7:$AK$1570,$BR$7:$BR$1570,BR423,$AN$7:$AN$1570,AN423,$BL$7:$BL$1570,"&lt;="&amp;BL423),"")</f>
        <v/>
      </c>
      <c r="AP423" s="65">
        <f>IF(AO423="",0,MAX(0,MIN(1,(IF(BR423="L1",Parameter!$K$5,Parameter!$K$6+Parameter!$K$7)-(AO423-AK423))/AK423)))</f>
        <v/>
      </c>
      <c r="AQ423" s="55">
        <f>IF(LEFT(Cockpit!$O$5,1)="A",G423,IF(BT423=1,BU423,IF(LEFT(Cockpit!$O$5,1)="B",AU423,MAX(AU423,G423))))</f>
        <v/>
      </c>
      <c r="AR423" s="55">
        <f>IF(BO423=1,0,ROUNDUP(AQ423/BN423,0))</f>
        <v/>
      </c>
      <c r="AS423" s="64">
        <f>IF(BO423=1,IF(AQ423&lt;=0,0,BP423*MAX(1,IF(G423&gt;0,AQ423/G423,1))),AR423*Q423)</f>
        <v/>
      </c>
      <c r="AT423" s="55">
        <f>AQ423*F423</f>
        <v/>
      </c>
      <c r="AU423" s="55">
        <f>ROUNDUP(MAX(I423/IF(BS423&gt;0,BS423,MAX(0.1,N(Cockpit!$O$6))),BV423)/BN423,0)*BN423</f>
        <v/>
      </c>
      <c r="AV423" s="56">
        <f>IF(AS423&gt;0,I423/AS423,-1)</f>
        <v/>
      </c>
      <c r="AW423" s="56">
        <f>IF(AND(OR(BR423="L1",BR423="L23"),AS423&gt;0),SUMIFS($AS$7:$AS$1570,$BR$7:$BR$1570,BR423,$AV$7:$AV$1570,"&gt;"&amp;AV423)+SUMIFS($AS$7:$AS$1570,$BR$7:$BR$1570,BR423,$AV$7:$AV$1570,AV423,$BL$7:$BL$1570,"&lt;="&amp;BL423),"")</f>
        <v/>
      </c>
      <c r="AX423" s="65">
        <f>IF(AW423="",0,MAX(0,MIN(1,(IF(BR423="L1",Parameter!$K$5,Parameter!$K$6+Parameter!$K$7)-(AW423-AS423))/AS423)))</f>
        <v/>
      </c>
      <c r="AY423" s="53">
        <f>IF(AC423&lt;=0,"",IF(BR423="Aussen","Aussenlager",IF(BR423="-","Nicht im Lift",IF(AH423&gt;=1,"Lift",IF(AH423&lt;=0,"Aussenlager","teilweise")))))</f>
        <v/>
      </c>
      <c r="AZ423" s="53">
        <f>IF(AK423&lt;=0,"",IF(BR423="Aussen","Aussenlager",IF(BR423="-","Nicht im Lift",IF(AP423&gt;=1,"Lift",IF(AP423&lt;=0,"Aussenlager","teilweise")))))</f>
        <v/>
      </c>
      <c r="BA423" s="53">
        <f>IF(AS423&lt;=0,"",IF(BR423="Aussen","Aussenlager",IF(BR423="-","Nicht im Lift",IF(AX423&gt;=1,"Lift",IF(AX423&lt;=0,"Aussenlager","teilweise")))))</f>
        <v/>
      </c>
      <c r="BB423" s="53">
        <f>IF(A423="","",IF(BK423=1,"Neu; ","")&amp;IF(AND(BK423=0,BF423&lt;0),"negativer Bestand (Export "&amp;BF423&amp;"); ","")&amp;IF(I423&lt;=0,"Kein Verbrauch; ","")&amp;IF(BO423=1,"Lose – Fläche geschätzt; ","")&amp;IF(G423&gt;AM423,"Überbestand "&amp;ROUND(G423-AM423,0)&amp;" Stk / CHF "&amp;ROUND((G423-AM423)*F423,0)&amp;"; ","")&amp;IF(AND(BT423=1,BU423&lt;BV423),"MAX &lt; MB+LG; ","")&amp;IF(AND(BZ423&gt;0,BY423*10&gt;BZ423),"zu hoch für Tablar; ","")&amp;IF(AND(BK423=0,OR(BT423=1,V423&lt;&gt;"",S423&lt;&gt;"",T423&lt;&gt;"",W423&lt;&gt;"")),"manuell übersteuert; ","")&amp;IF(AND(BO423=0,Q423=0),"Gebinde unbekannt; ","")&amp;IF(AND(BO423=0,N(T423)&lt;=0,N(P423)&lt;=0),"Menge pro Gebinde fehlt (Ist = 1 Gebinde); ","")&amp;BJ423)</f>
        <v/>
      </c>
      <c r="BC423" s="53" t="n"/>
      <c r="BD423" s="53" t="n"/>
      <c r="BE423" s="61" t="n"/>
      <c r="BF423" s="55" t="n">
        <v>7</v>
      </c>
      <c r="BG423" s="55" t="n">
        <v>2</v>
      </c>
      <c r="BH423" s="54" t="n">
        <v>91.75999999999999</v>
      </c>
      <c r="BI423" s="55" t="n">
        <v>1</v>
      </c>
      <c r="BJ423" s="53" t="inlineStr">
        <is>
          <t>liegend gelagert</t>
        </is>
      </c>
      <c r="BK423" s="58" t="n">
        <v>0</v>
      </c>
      <c r="BL423" s="58" t="n">
        <v>423</v>
      </c>
      <c r="BM423" s="53">
        <f>IF(S423&lt;&gt;"",UPPER(TRIM(S423)),IF(O423="","LOSE",O423))</f>
        <v/>
      </c>
      <c r="BN423" s="55">
        <f>IF(BM423="LOSE",1,IF(N(T423)&gt;0,T423,IF(N(P423)&gt;0,P423,MAX(1,G423))))</f>
        <v/>
      </c>
      <c r="BO423" s="58">
        <f>IF(BM423="LOSE",1,0)</f>
        <v/>
      </c>
      <c r="BP423" s="64">
        <f>IF(BO423=0,0,IF(N(R423)&gt;0,R423,IFERROR(VLOOKUP(D423,Parameter!$A$35:$C$64,3,0)+0,0)))</f>
        <v/>
      </c>
      <c r="BQ423" s="53">
        <f>IF(V423&lt;&gt;"",V423,U423)</f>
        <v/>
      </c>
      <c r="BR423" s="53">
        <f>IF(BQ423=1,"L1",IF(OR(BQ423=2,BQ423=3),"L23",IF(BQ423="Aussen","Aussen","-")))</f>
        <v/>
      </c>
      <c r="BS423" s="66">
        <f>IF(N(W423)&gt;0,W423,0)</f>
        <v/>
      </c>
      <c r="BT423" s="58">
        <f>IF(ISNUMBER(Z423),1,0)</f>
        <v/>
      </c>
      <c r="BU423" s="55">
        <f>N(Z423)</f>
        <v/>
      </c>
      <c r="BV423" s="55">
        <f>N(L423)+N(M423)</f>
        <v/>
      </c>
      <c r="BW423" s="55">
        <f>ROUNDUP(G423/BN423,0)</f>
        <v/>
      </c>
      <c r="BX423" s="55">
        <f>ROUNDUP(BU423/BN423,0)</f>
        <v/>
      </c>
      <c r="BY423" s="58">
        <f>IF(BO423=1,0,IFERROR(VLOOKUP(BM423,'Gebinde-Kategorie'!$A$5:$G$45,5,0)+0,0))</f>
        <v/>
      </c>
      <c r="BZ423" s="58">
        <f>IFERROR(IF(OR(BQ423=1,BQ423=2,BQ423=3),N(INDEX(Parameter!$I$5:$I$7,BQ423)),0),0)</f>
        <v/>
      </c>
    </row>
    <row r="424">
      <c r="A424" s="53" t="inlineStr">
        <is>
          <t>108018</t>
        </is>
      </c>
      <c r="B424" s="53" t="inlineStr">
        <is>
          <t>Adapter Messing vernickelt</t>
        </is>
      </c>
      <c r="C424" s="53" t="inlineStr">
        <is>
          <t>F</t>
        </is>
      </c>
      <c r="D424" s="53" t="inlineStr">
        <is>
          <t>KTL</t>
        </is>
      </c>
      <c r="E424" s="53" t="inlineStr">
        <is>
          <t>C</t>
        </is>
      </c>
      <c r="F424" s="54" t="n">
        <v>2.67</v>
      </c>
      <c r="G424" s="55">
        <f>MAX(0,IF(Parameter!$B$20="Jahresanfang 2025 + Export",BG424+BF424,BF424))</f>
        <v/>
      </c>
      <c r="H424" s="55">
        <f>G424*F424</f>
        <v/>
      </c>
      <c r="I424" s="55">
        <f>BI424*Parameter!$B$18</f>
        <v/>
      </c>
      <c r="J424" s="56" t="n">
        <v>19.5</v>
      </c>
      <c r="K424" s="57" t="n">
        <v>0.6666666666666666</v>
      </c>
      <c r="L424" s="55" t="n">
        <v>0</v>
      </c>
      <c r="M424" s="55" t="n">
        <v>20</v>
      </c>
      <c r="N424" s="58" t="n">
        <v>14</v>
      </c>
      <c r="O424" s="53" t="inlineStr">
        <is>
          <t>S32</t>
        </is>
      </c>
      <c r="P424" s="55" t="n">
        <v>35</v>
      </c>
      <c r="Q424" s="59">
        <f>IF(BO424=1,0,IFERROR(VLOOKUP(BM424,'Gebinde-Kategorie'!$A$5:$G$45,6,0)+0,0))</f>
        <v/>
      </c>
      <c r="R424" s="60" t="n"/>
      <c r="S424" s="61" t="n"/>
      <c r="T424" s="61" t="n"/>
      <c r="U424" s="53">
        <f>IF(A424="","",IF(IFERROR(VLOOKUP(D424,Parameter!$A$35:$C$64,2,0),"Nein")="2+3",IF(ISNUMBER(SEARCH("grosser Artikel",BJ424)),2,IFERROR(VLOOKUP(BM424,Parameter!$F$35:$G$64,2,0),2)),IF(OR(IFERROR(VLOOKUP(D424,Parameter!$A$35:$C$64,2,0),"Nein")="Nein",IFERROR(VLOOKUP(D424,Parameter!$A$35:$C$64,2,0),"Nein")=""),"-",VLOOKUP(D424,Parameter!$A$35:$C$64,2,0))))</f>
        <v/>
      </c>
      <c r="V424" s="61" t="n"/>
      <c r="W424" s="62" t="n"/>
      <c r="X424" s="55">
        <f>AM424</f>
        <v/>
      </c>
      <c r="Y424" s="55">
        <f>MAX(AM424,G424)</f>
        <v/>
      </c>
      <c r="Z424" s="63" t="n"/>
      <c r="AA424" s="55">
        <f>IF(LEFT(Cockpit!$C$5,1)="A",G424,IF(BT424=1,BU424,IF(LEFT(Cockpit!$C$5,1)="B",AE424,MAX(AE424,G424))))</f>
        <v/>
      </c>
      <c r="AB424" s="55">
        <f>IF(BO424=1,0,ROUNDUP(AA424/BN424,0))</f>
        <v/>
      </c>
      <c r="AC424" s="64">
        <f>IF(BO424=1,IF(AA424&lt;=0,0,BP424*MAX(1,IF(G424&gt;0,AA424/G424,1))),AB424*Q424)</f>
        <v/>
      </c>
      <c r="AD424" s="55">
        <f>AA424*F424</f>
        <v/>
      </c>
      <c r="AE424" s="55">
        <f>ROUNDUP(MAX(I424/IF(BS424&gt;0,BS424,MAX(0.1,N(Cockpit!$C$6))),BV424)/BN424,0)*BN424</f>
        <v/>
      </c>
      <c r="AF424" s="56">
        <f>IF(AC424&gt;0,I424/AC424,-1)</f>
        <v/>
      </c>
      <c r="AG424" s="56">
        <f>IF(AND(OR(BR424="L1",BR424="L23"),AC424&gt;0),SUMIFS($AC$7:$AC$1570,$BR$7:$BR$1570,BR424,$AF$7:$AF$1570,"&gt;"&amp;AF424)+SUMIFS($AC$7:$AC$1570,$BR$7:$BR$1570,BR424,$AF$7:$AF$1570,AF424,$BL$7:$BL$1570,"&lt;="&amp;BL424),"")</f>
        <v/>
      </c>
      <c r="AH424" s="65">
        <f>IF(AG424="",0,MAX(0,MIN(1,(IF(BR424="L1",Parameter!$K$5,Parameter!$K$6+Parameter!$K$7)-(AG424-AC424))/AC424)))</f>
        <v/>
      </c>
      <c r="AI424" s="55">
        <f>IF(LEFT(Cockpit!$I$5,1)="A",G424,IF(BT424=1,BU424,IF(LEFT(Cockpit!$I$5,1)="B",AM424,MAX(AM424,G424))))</f>
        <v/>
      </c>
      <c r="AJ424" s="55">
        <f>IF(BO424=1,0,ROUNDUP(AI424/BN424,0))</f>
        <v/>
      </c>
      <c r="AK424" s="64">
        <f>IF(BO424=1,IF(AI424&lt;=0,0,BP424*MAX(1,IF(G424&gt;0,AI424/G424,1))),AJ424*Q424)</f>
        <v/>
      </c>
      <c r="AL424" s="55">
        <f>AI424*F424</f>
        <v/>
      </c>
      <c r="AM424" s="55">
        <f>ROUNDUP(MAX(I424/IF(BS424&gt;0,BS424,MAX(0.1,N(Cockpit!$I$6))),BV424)/BN424,0)*BN424</f>
        <v/>
      </c>
      <c r="AN424" s="56">
        <f>IF(AK424&gt;0,I424/AK424,-1)</f>
        <v/>
      </c>
      <c r="AO424" s="56">
        <f>IF(AND(OR(BR424="L1",BR424="L23"),AK424&gt;0),SUMIFS($AK$7:$AK$1570,$BR$7:$BR$1570,BR424,$AN$7:$AN$1570,"&gt;"&amp;AN424)+SUMIFS($AK$7:$AK$1570,$BR$7:$BR$1570,BR424,$AN$7:$AN$1570,AN424,$BL$7:$BL$1570,"&lt;="&amp;BL424),"")</f>
        <v/>
      </c>
      <c r="AP424" s="65">
        <f>IF(AO424="",0,MAX(0,MIN(1,(IF(BR424="L1",Parameter!$K$5,Parameter!$K$6+Parameter!$K$7)-(AO424-AK424))/AK424)))</f>
        <v/>
      </c>
      <c r="AQ424" s="55">
        <f>IF(LEFT(Cockpit!$O$5,1)="A",G424,IF(BT424=1,BU424,IF(LEFT(Cockpit!$O$5,1)="B",AU424,MAX(AU424,G424))))</f>
        <v/>
      </c>
      <c r="AR424" s="55">
        <f>IF(BO424=1,0,ROUNDUP(AQ424/BN424,0))</f>
        <v/>
      </c>
      <c r="AS424" s="64">
        <f>IF(BO424=1,IF(AQ424&lt;=0,0,BP424*MAX(1,IF(G424&gt;0,AQ424/G424,1))),AR424*Q424)</f>
        <v/>
      </c>
      <c r="AT424" s="55">
        <f>AQ424*F424</f>
        <v/>
      </c>
      <c r="AU424" s="55">
        <f>ROUNDUP(MAX(I424/IF(BS424&gt;0,BS424,MAX(0.1,N(Cockpit!$O$6))),BV424)/BN424,0)*BN424</f>
        <v/>
      </c>
      <c r="AV424" s="56">
        <f>IF(AS424&gt;0,I424/AS424,-1)</f>
        <v/>
      </c>
      <c r="AW424" s="56">
        <f>IF(AND(OR(BR424="L1",BR424="L23"),AS424&gt;0),SUMIFS($AS$7:$AS$1570,$BR$7:$BR$1570,BR424,$AV$7:$AV$1570,"&gt;"&amp;AV424)+SUMIFS($AS$7:$AS$1570,$BR$7:$BR$1570,BR424,$AV$7:$AV$1570,AV424,$BL$7:$BL$1570,"&lt;="&amp;BL424),"")</f>
        <v/>
      </c>
      <c r="AX424" s="65">
        <f>IF(AW424="",0,MAX(0,MIN(1,(IF(BR424="L1",Parameter!$K$5,Parameter!$K$6+Parameter!$K$7)-(AW424-AS424))/AS424)))</f>
        <v/>
      </c>
      <c r="AY424" s="53">
        <f>IF(AC424&lt;=0,"",IF(BR424="Aussen","Aussenlager",IF(BR424="-","Nicht im Lift",IF(AH424&gt;=1,"Lift",IF(AH424&lt;=0,"Aussenlager","teilweise")))))</f>
        <v/>
      </c>
      <c r="AZ424" s="53">
        <f>IF(AK424&lt;=0,"",IF(BR424="Aussen","Aussenlager",IF(BR424="-","Nicht im Lift",IF(AP424&gt;=1,"Lift",IF(AP424&lt;=0,"Aussenlager","teilweise")))))</f>
        <v/>
      </c>
      <c r="BA424" s="53">
        <f>IF(AS424&lt;=0,"",IF(BR424="Aussen","Aussenlager",IF(BR424="-","Nicht im Lift",IF(AX424&gt;=1,"Lift",IF(AX424&lt;=0,"Aussenlager","teilweise")))))</f>
        <v/>
      </c>
      <c r="BB424" s="53">
        <f>IF(A424="","",IF(BK424=1,"Neu; ","")&amp;IF(AND(BK424=0,BF424&lt;0),"negativer Bestand (Export "&amp;BF424&amp;"); ","")&amp;IF(I424&lt;=0,"Kein Verbrauch; ","")&amp;IF(BO424=1,"Lose – Fläche geschätzt; ","")&amp;IF(G424&gt;AM424,"Überbestand "&amp;ROUND(G424-AM424,0)&amp;" Stk / CHF "&amp;ROUND((G424-AM424)*F424,0)&amp;"; ","")&amp;IF(AND(BT424=1,BU424&lt;BV424),"MAX &lt; MB+LG; ","")&amp;IF(AND(BZ424&gt;0,BY424*10&gt;BZ424),"zu hoch für Tablar; ","")&amp;IF(AND(BK424=0,OR(BT424=1,V424&lt;&gt;"",S424&lt;&gt;"",T424&lt;&gt;"",W424&lt;&gt;"")),"manuell übersteuert; ","")&amp;IF(AND(BO424=0,Q424=0),"Gebinde unbekannt; ","")&amp;IF(AND(BO424=0,N(T424)&lt;=0,N(P424)&lt;=0),"Menge pro Gebinde fehlt (Ist = 1 Gebinde); ","")&amp;BJ424)</f>
        <v/>
      </c>
      <c r="BC424" s="53" t="n"/>
      <c r="BD424" s="53" t="n"/>
      <c r="BE424" s="61" t="n"/>
      <c r="BF424" s="55" t="n">
        <v>34</v>
      </c>
      <c r="BG424" s="55" t="n">
        <v>11</v>
      </c>
      <c r="BH424" s="54" t="n">
        <v>90.23</v>
      </c>
      <c r="BI424" s="55" t="n">
        <v>13</v>
      </c>
      <c r="BJ424" s="53" t="inlineStr"/>
      <c r="BK424" s="58" t="n">
        <v>0</v>
      </c>
      <c r="BL424" s="58" t="n">
        <v>424</v>
      </c>
      <c r="BM424" s="53">
        <f>IF(S424&lt;&gt;"",UPPER(TRIM(S424)),IF(O424="","LOSE",O424))</f>
        <v/>
      </c>
      <c r="BN424" s="55">
        <f>IF(BM424="LOSE",1,IF(N(T424)&gt;0,T424,IF(N(P424)&gt;0,P424,MAX(1,G424))))</f>
        <v/>
      </c>
      <c r="BO424" s="58">
        <f>IF(BM424="LOSE",1,0)</f>
        <v/>
      </c>
      <c r="BP424" s="64">
        <f>IF(BO424=0,0,IF(N(R424)&gt;0,R424,IFERROR(VLOOKUP(D424,Parameter!$A$35:$C$64,3,0)+0,0)))</f>
        <v/>
      </c>
      <c r="BQ424" s="53">
        <f>IF(V424&lt;&gt;"",V424,U424)</f>
        <v/>
      </c>
      <c r="BR424" s="53">
        <f>IF(BQ424=1,"L1",IF(OR(BQ424=2,BQ424=3),"L23",IF(BQ424="Aussen","Aussen","-")))</f>
        <v/>
      </c>
      <c r="BS424" s="66">
        <f>IF(N(W424)&gt;0,W424,0)</f>
        <v/>
      </c>
      <c r="BT424" s="58">
        <f>IF(ISNUMBER(Z424),1,0)</f>
        <v/>
      </c>
      <c r="BU424" s="55">
        <f>N(Z424)</f>
        <v/>
      </c>
      <c r="BV424" s="55">
        <f>N(L424)+N(M424)</f>
        <v/>
      </c>
      <c r="BW424" s="55">
        <f>ROUNDUP(G424/BN424,0)</f>
        <v/>
      </c>
      <c r="BX424" s="55">
        <f>ROUNDUP(BU424/BN424,0)</f>
        <v/>
      </c>
      <c r="BY424" s="58">
        <f>IF(BO424=1,0,IFERROR(VLOOKUP(BM424,'Gebinde-Kategorie'!$A$5:$G$45,5,0)+0,0))</f>
        <v/>
      </c>
      <c r="BZ424" s="58">
        <f>IFERROR(IF(OR(BQ424=1,BQ424=2,BQ424=3),N(INDEX(Parameter!$I$5:$I$7,BQ424)),0),0)</f>
        <v/>
      </c>
    </row>
    <row r="425">
      <c r="A425" s="53" t="inlineStr">
        <is>
          <t>002049</t>
        </is>
      </c>
      <c r="B425" s="53" t="inlineStr">
        <is>
          <t>Füllmaterial flo-pak</t>
        </is>
      </c>
      <c r="C425" s="53" t="inlineStr">
        <is>
          <t>F</t>
        </is>
      </c>
      <c r="D425" s="53" t="inlineStr">
        <is>
          <t>PAL</t>
        </is>
      </c>
      <c r="E425" s="53" t="inlineStr">
        <is>
          <t>C</t>
        </is>
      </c>
      <c r="F425" s="54" t="n">
        <v>74.27</v>
      </c>
      <c r="G425" s="55">
        <f>MAX(0,IF(Parameter!$B$20="Jahresanfang 2025 + Export",BG425+BF425,BF425))</f>
        <v/>
      </c>
      <c r="H425" s="55">
        <f>G425*F425</f>
        <v/>
      </c>
      <c r="I425" s="55">
        <f>BI425*Parameter!$B$18</f>
        <v/>
      </c>
      <c r="J425" s="56" t="n">
        <v>1.5</v>
      </c>
      <c r="K425" s="57" t="n">
        <v>17.33333333333333</v>
      </c>
      <c r="L425" s="55" t="n">
        <v>2</v>
      </c>
      <c r="M425" s="55" t="n">
        <v>2</v>
      </c>
      <c r="N425" s="58" t="n">
        <v>21</v>
      </c>
      <c r="O425" s="53" t="inlineStr">
        <is>
          <t>LOSE</t>
        </is>
      </c>
      <c r="P425" s="55" t="n"/>
      <c r="Q425" s="59">
        <f>IF(BO425=1,0,IFERROR(VLOOKUP(BM425,'Gebinde-Kategorie'!$A$5:$G$45,6,0)+0,0))</f>
        <v/>
      </c>
      <c r="R425" s="60" t="n"/>
      <c r="S425" s="61" t="n"/>
      <c r="T425" s="61" t="n"/>
      <c r="U425" s="53">
        <f>IF(A425="","",IF(IFERROR(VLOOKUP(D425,Parameter!$A$35:$C$64,2,0),"Nein")="2+3",IF(ISNUMBER(SEARCH("grosser Artikel",BJ425)),2,IFERROR(VLOOKUP(BM425,Parameter!$F$35:$G$64,2,0),2)),IF(OR(IFERROR(VLOOKUP(D425,Parameter!$A$35:$C$64,2,0),"Nein")="Nein",IFERROR(VLOOKUP(D425,Parameter!$A$35:$C$64,2,0),"Nein")=""),"-",VLOOKUP(D425,Parameter!$A$35:$C$64,2,0))))</f>
        <v/>
      </c>
      <c r="V425" s="61" t="n"/>
      <c r="W425" s="62" t="n"/>
      <c r="X425" s="55">
        <f>AM425</f>
        <v/>
      </c>
      <c r="Y425" s="55">
        <f>MAX(AM425,G425)</f>
        <v/>
      </c>
      <c r="Z425" s="63" t="n"/>
      <c r="AA425" s="55">
        <f>IF(LEFT(Cockpit!$C$5,1)="A",G425,IF(BT425=1,BU425,IF(LEFT(Cockpit!$C$5,1)="B",AE425,MAX(AE425,G425))))</f>
        <v/>
      </c>
      <c r="AB425" s="55">
        <f>IF(BO425=1,0,ROUNDUP(AA425/BN425,0))</f>
        <v/>
      </c>
      <c r="AC425" s="64">
        <f>IF(BO425=1,IF(AA425&lt;=0,0,BP425*MAX(1,IF(G425&gt;0,AA425/G425,1))),AB425*Q425)</f>
        <v/>
      </c>
      <c r="AD425" s="55">
        <f>AA425*F425</f>
        <v/>
      </c>
      <c r="AE425" s="55">
        <f>ROUNDUP(MAX(I425/IF(BS425&gt;0,BS425,MAX(0.1,N(Cockpit!$C$6))),BV425)/BN425,0)*BN425</f>
        <v/>
      </c>
      <c r="AF425" s="56">
        <f>IF(AC425&gt;0,I425/AC425,-1)</f>
        <v/>
      </c>
      <c r="AG425" s="56">
        <f>IF(AND(OR(BR425="L1",BR425="L23"),AC425&gt;0),SUMIFS($AC$7:$AC$1570,$BR$7:$BR$1570,BR425,$AF$7:$AF$1570,"&gt;"&amp;AF425)+SUMIFS($AC$7:$AC$1570,$BR$7:$BR$1570,BR425,$AF$7:$AF$1570,AF425,$BL$7:$BL$1570,"&lt;="&amp;BL425),"")</f>
        <v/>
      </c>
      <c r="AH425" s="65">
        <f>IF(AG425="",0,MAX(0,MIN(1,(IF(BR425="L1",Parameter!$K$5,Parameter!$K$6+Parameter!$K$7)-(AG425-AC425))/AC425)))</f>
        <v/>
      </c>
      <c r="AI425" s="55">
        <f>IF(LEFT(Cockpit!$I$5,1)="A",G425,IF(BT425=1,BU425,IF(LEFT(Cockpit!$I$5,1)="B",AM425,MAX(AM425,G425))))</f>
        <v/>
      </c>
      <c r="AJ425" s="55">
        <f>IF(BO425=1,0,ROUNDUP(AI425/BN425,0))</f>
        <v/>
      </c>
      <c r="AK425" s="64">
        <f>IF(BO425=1,IF(AI425&lt;=0,0,BP425*MAX(1,IF(G425&gt;0,AI425/G425,1))),AJ425*Q425)</f>
        <v/>
      </c>
      <c r="AL425" s="55">
        <f>AI425*F425</f>
        <v/>
      </c>
      <c r="AM425" s="55">
        <f>ROUNDUP(MAX(I425/IF(BS425&gt;0,BS425,MAX(0.1,N(Cockpit!$I$6))),BV425)/BN425,0)*BN425</f>
        <v/>
      </c>
      <c r="AN425" s="56">
        <f>IF(AK425&gt;0,I425/AK425,-1)</f>
        <v/>
      </c>
      <c r="AO425" s="56">
        <f>IF(AND(OR(BR425="L1",BR425="L23"),AK425&gt;0),SUMIFS($AK$7:$AK$1570,$BR$7:$BR$1570,BR425,$AN$7:$AN$1570,"&gt;"&amp;AN425)+SUMIFS($AK$7:$AK$1570,$BR$7:$BR$1570,BR425,$AN$7:$AN$1570,AN425,$BL$7:$BL$1570,"&lt;="&amp;BL425),"")</f>
        <v/>
      </c>
      <c r="AP425" s="65">
        <f>IF(AO425="",0,MAX(0,MIN(1,(IF(BR425="L1",Parameter!$K$5,Parameter!$K$6+Parameter!$K$7)-(AO425-AK425))/AK425)))</f>
        <v/>
      </c>
      <c r="AQ425" s="55">
        <f>IF(LEFT(Cockpit!$O$5,1)="A",G425,IF(BT425=1,BU425,IF(LEFT(Cockpit!$O$5,1)="B",AU425,MAX(AU425,G425))))</f>
        <v/>
      </c>
      <c r="AR425" s="55">
        <f>IF(BO425=1,0,ROUNDUP(AQ425/BN425,0))</f>
        <v/>
      </c>
      <c r="AS425" s="64">
        <f>IF(BO425=1,IF(AQ425&lt;=0,0,BP425*MAX(1,IF(G425&gt;0,AQ425/G425,1))),AR425*Q425)</f>
        <v/>
      </c>
      <c r="AT425" s="55">
        <f>AQ425*F425</f>
        <v/>
      </c>
      <c r="AU425" s="55">
        <f>ROUNDUP(MAX(I425/IF(BS425&gt;0,BS425,MAX(0.1,N(Cockpit!$O$6))),BV425)/BN425,0)*BN425</f>
        <v/>
      </c>
      <c r="AV425" s="56">
        <f>IF(AS425&gt;0,I425/AS425,-1)</f>
        <v/>
      </c>
      <c r="AW425" s="56">
        <f>IF(AND(OR(BR425="L1",BR425="L23"),AS425&gt;0),SUMIFS($AS$7:$AS$1570,$BR$7:$BR$1570,BR425,$AV$7:$AV$1570,"&gt;"&amp;AV425)+SUMIFS($AS$7:$AS$1570,$BR$7:$BR$1570,BR425,$AV$7:$AV$1570,AV425,$BL$7:$BL$1570,"&lt;="&amp;BL425),"")</f>
        <v/>
      </c>
      <c r="AX425" s="65">
        <f>IF(AW425="",0,MAX(0,MIN(1,(IF(BR425="L1",Parameter!$K$5,Parameter!$K$6+Parameter!$K$7)-(AW425-AS425))/AS425)))</f>
        <v/>
      </c>
      <c r="AY425" s="53">
        <f>IF(AC425&lt;=0,"",IF(BR425="Aussen","Aussenlager",IF(BR425="-","Nicht im Lift",IF(AH425&gt;=1,"Lift",IF(AH425&lt;=0,"Aussenlager","teilweise")))))</f>
        <v/>
      </c>
      <c r="AZ425" s="53">
        <f>IF(AK425&lt;=0,"",IF(BR425="Aussen","Aussenlager",IF(BR425="-","Nicht im Lift",IF(AP425&gt;=1,"Lift",IF(AP425&lt;=0,"Aussenlager","teilweise")))))</f>
        <v/>
      </c>
      <c r="BA425" s="53">
        <f>IF(AS425&lt;=0,"",IF(BR425="Aussen","Aussenlager",IF(BR425="-","Nicht im Lift",IF(AX425&gt;=1,"Lift",IF(AX425&lt;=0,"Aussenlager","teilweise")))))</f>
        <v/>
      </c>
      <c r="BB425" s="53">
        <f>IF(A425="","",IF(BK425=1,"Neu; ","")&amp;IF(AND(BK425=0,BF425&lt;0),"negativer Bestand (Export "&amp;BF425&amp;"); ","")&amp;IF(I425&lt;=0,"Kein Verbrauch; ","")&amp;IF(BO425=1,"Lose – Fläche geschätzt; ","")&amp;IF(G425&gt;AM425,"Überbestand "&amp;ROUND(G425-AM425,0)&amp;" Stk / CHF "&amp;ROUND((G425-AM425)*F425,0)&amp;"; ","")&amp;IF(AND(BT425=1,BU425&lt;BV425),"MAX &lt; MB+LG; ","")&amp;IF(AND(BZ425&gt;0,BY425*10&gt;BZ425),"zu hoch für Tablar; ","")&amp;IF(AND(BK425=0,OR(BT425=1,V425&lt;&gt;"",S425&lt;&gt;"",T425&lt;&gt;"",W425&lt;&gt;"")),"manuell übersteuert; ","")&amp;IF(AND(BO425=0,Q425=0),"Gebinde unbekannt; ","")&amp;IF(AND(BO425=0,N(T425)&lt;=0,N(P425)&lt;=0),"Menge pro Gebinde fehlt (Ist = 1 Gebinde); ","")&amp;BJ425)</f>
        <v/>
      </c>
      <c r="BC425" s="53" t="n"/>
      <c r="BD425" s="53" t="n"/>
      <c r="BE425" s="61" t="n"/>
      <c r="BF425" s="55" t="n">
        <v>1</v>
      </c>
      <c r="BG425" s="55" t="n">
        <v>2</v>
      </c>
      <c r="BH425" s="54" t="n">
        <v>90.09999999999965</v>
      </c>
      <c r="BI425" s="55" t="n">
        <v>26</v>
      </c>
      <c r="BJ425" s="53" t="inlineStr">
        <is>
          <t>grosser Artikel &amp; nicht im KTL</t>
        </is>
      </c>
      <c r="BK425" s="58" t="n">
        <v>0</v>
      </c>
      <c r="BL425" s="58" t="n">
        <v>425</v>
      </c>
      <c r="BM425" s="53">
        <f>IF(S425&lt;&gt;"",UPPER(TRIM(S425)),IF(O425="","LOSE",O425))</f>
        <v/>
      </c>
      <c r="BN425" s="55">
        <f>IF(BM425="LOSE",1,IF(N(T425)&gt;0,T425,IF(N(P425)&gt;0,P425,MAX(1,G425))))</f>
        <v/>
      </c>
      <c r="BO425" s="58">
        <f>IF(BM425="LOSE",1,0)</f>
        <v/>
      </c>
      <c r="BP425" s="64">
        <f>IF(BO425=0,0,IF(N(R425)&gt;0,R425,IFERROR(VLOOKUP(D425,Parameter!$A$35:$C$64,3,0)+0,0)))</f>
        <v/>
      </c>
      <c r="BQ425" s="53">
        <f>IF(V425&lt;&gt;"",V425,U425)</f>
        <v/>
      </c>
      <c r="BR425" s="53">
        <f>IF(BQ425=1,"L1",IF(OR(BQ425=2,BQ425=3),"L23",IF(BQ425="Aussen","Aussen","-")))</f>
        <v/>
      </c>
      <c r="BS425" s="66">
        <f>IF(N(W425)&gt;0,W425,0)</f>
        <v/>
      </c>
      <c r="BT425" s="58">
        <f>IF(ISNUMBER(Z425),1,0)</f>
        <v/>
      </c>
      <c r="BU425" s="55">
        <f>N(Z425)</f>
        <v/>
      </c>
      <c r="BV425" s="55">
        <f>N(L425)+N(M425)</f>
        <v/>
      </c>
      <c r="BW425" s="55">
        <f>ROUNDUP(G425/BN425,0)</f>
        <v/>
      </c>
      <c r="BX425" s="55">
        <f>ROUNDUP(BU425/BN425,0)</f>
        <v/>
      </c>
      <c r="BY425" s="58">
        <f>IF(BO425=1,0,IFERROR(VLOOKUP(BM425,'Gebinde-Kategorie'!$A$5:$G$45,5,0)+0,0))</f>
        <v/>
      </c>
      <c r="BZ425" s="58">
        <f>IFERROR(IF(OR(BQ425=1,BQ425=2,BQ425=3),N(INDEX(Parameter!$I$5:$I$7,BQ425)),0),0)</f>
        <v/>
      </c>
    </row>
    <row r="426">
      <c r="A426" s="53" t="inlineStr">
        <is>
          <t>001142</t>
        </is>
      </c>
      <c r="B426" s="53" t="inlineStr">
        <is>
          <t>UV-beständiger Verschlussbeutel klein</t>
        </is>
      </c>
      <c r="C426" s="53" t="inlineStr">
        <is>
          <t>F</t>
        </is>
      </c>
      <c r="D426" s="53" t="inlineStr">
        <is>
          <t>KTL</t>
        </is>
      </c>
      <c r="E426" s="53" t="inlineStr">
        <is>
          <t>C</t>
        </is>
      </c>
      <c r="F426" s="54" t="n">
        <v>0.1</v>
      </c>
      <c r="G426" s="55">
        <f>MAX(0,IF(Parameter!$B$20="Jahresanfang 2025 + Export",BG426+BF426,BF426))</f>
        <v/>
      </c>
      <c r="H426" s="55">
        <f>G426*F426</f>
        <v/>
      </c>
      <c r="I426" s="55">
        <f>BI426*Parameter!$B$18</f>
        <v/>
      </c>
      <c r="J426" s="56" t="n">
        <v>551.5</v>
      </c>
      <c r="K426" s="57" t="n">
        <v>1.271078875793291</v>
      </c>
      <c r="L426" s="55" t="n">
        <v>40</v>
      </c>
      <c r="M426" s="55" t="n">
        <v>1000</v>
      </c>
      <c r="N426" s="58" t="n">
        <v>21</v>
      </c>
      <c r="O426" s="53" t="inlineStr">
        <is>
          <t>S51</t>
        </is>
      </c>
      <c r="P426" s="55" t="n">
        <v>1000</v>
      </c>
      <c r="Q426" s="59">
        <f>IF(BO426=1,0,IFERROR(VLOOKUP(BM426,'Gebinde-Kategorie'!$A$5:$G$45,6,0)+0,0))</f>
        <v/>
      </c>
      <c r="R426" s="60" t="n"/>
      <c r="S426" s="61" t="n"/>
      <c r="T426" s="61" t="n"/>
      <c r="U426" s="53">
        <f>IF(A426="","",IF(IFERROR(VLOOKUP(D426,Parameter!$A$35:$C$64,2,0),"Nein")="2+3",IF(ISNUMBER(SEARCH("grosser Artikel",BJ426)),2,IFERROR(VLOOKUP(BM426,Parameter!$F$35:$G$64,2,0),2)),IF(OR(IFERROR(VLOOKUP(D426,Parameter!$A$35:$C$64,2,0),"Nein")="Nein",IFERROR(VLOOKUP(D426,Parameter!$A$35:$C$64,2,0),"Nein")=""),"-",VLOOKUP(D426,Parameter!$A$35:$C$64,2,0))))</f>
        <v/>
      </c>
      <c r="V426" s="61" t="n"/>
      <c r="W426" s="62" t="n"/>
      <c r="X426" s="55">
        <f>AM426</f>
        <v/>
      </c>
      <c r="Y426" s="55">
        <f>MAX(AM426,G426)</f>
        <v/>
      </c>
      <c r="Z426" s="63" t="n"/>
      <c r="AA426" s="55">
        <f>IF(LEFT(Cockpit!$C$5,1)="A",G426,IF(BT426=1,BU426,IF(LEFT(Cockpit!$C$5,1)="B",AE426,MAX(AE426,G426))))</f>
        <v/>
      </c>
      <c r="AB426" s="55">
        <f>IF(BO426=1,0,ROUNDUP(AA426/BN426,0))</f>
        <v/>
      </c>
      <c r="AC426" s="64">
        <f>IF(BO426=1,IF(AA426&lt;=0,0,BP426*MAX(1,IF(G426&gt;0,AA426/G426,1))),AB426*Q426)</f>
        <v/>
      </c>
      <c r="AD426" s="55">
        <f>AA426*F426</f>
        <v/>
      </c>
      <c r="AE426" s="55">
        <f>ROUNDUP(MAX(I426/IF(BS426&gt;0,BS426,MAX(0.1,N(Cockpit!$C$6))),BV426)/BN426,0)*BN426</f>
        <v/>
      </c>
      <c r="AF426" s="56">
        <f>IF(AC426&gt;0,I426/AC426,-1)</f>
        <v/>
      </c>
      <c r="AG426" s="56">
        <f>IF(AND(OR(BR426="L1",BR426="L23"),AC426&gt;0),SUMIFS($AC$7:$AC$1570,$BR$7:$BR$1570,BR426,$AF$7:$AF$1570,"&gt;"&amp;AF426)+SUMIFS($AC$7:$AC$1570,$BR$7:$BR$1570,BR426,$AF$7:$AF$1570,AF426,$BL$7:$BL$1570,"&lt;="&amp;BL426),"")</f>
        <v/>
      </c>
      <c r="AH426" s="65">
        <f>IF(AG426="",0,MAX(0,MIN(1,(IF(BR426="L1",Parameter!$K$5,Parameter!$K$6+Parameter!$K$7)-(AG426-AC426))/AC426)))</f>
        <v/>
      </c>
      <c r="AI426" s="55">
        <f>IF(LEFT(Cockpit!$I$5,1)="A",G426,IF(BT426=1,BU426,IF(LEFT(Cockpit!$I$5,1)="B",AM426,MAX(AM426,G426))))</f>
        <v/>
      </c>
      <c r="AJ426" s="55">
        <f>IF(BO426=1,0,ROUNDUP(AI426/BN426,0))</f>
        <v/>
      </c>
      <c r="AK426" s="64">
        <f>IF(BO426=1,IF(AI426&lt;=0,0,BP426*MAX(1,IF(G426&gt;0,AI426/G426,1))),AJ426*Q426)</f>
        <v/>
      </c>
      <c r="AL426" s="55">
        <f>AI426*F426</f>
        <v/>
      </c>
      <c r="AM426" s="55">
        <f>ROUNDUP(MAX(I426/IF(BS426&gt;0,BS426,MAX(0.1,N(Cockpit!$I$6))),BV426)/BN426,0)*BN426</f>
        <v/>
      </c>
      <c r="AN426" s="56">
        <f>IF(AK426&gt;0,I426/AK426,-1)</f>
        <v/>
      </c>
      <c r="AO426" s="56">
        <f>IF(AND(OR(BR426="L1",BR426="L23"),AK426&gt;0),SUMIFS($AK$7:$AK$1570,$BR$7:$BR$1570,BR426,$AN$7:$AN$1570,"&gt;"&amp;AN426)+SUMIFS($AK$7:$AK$1570,$BR$7:$BR$1570,BR426,$AN$7:$AN$1570,AN426,$BL$7:$BL$1570,"&lt;="&amp;BL426),"")</f>
        <v/>
      </c>
      <c r="AP426" s="65">
        <f>IF(AO426="",0,MAX(0,MIN(1,(IF(BR426="L1",Parameter!$K$5,Parameter!$K$6+Parameter!$K$7)-(AO426-AK426))/AK426)))</f>
        <v/>
      </c>
      <c r="AQ426" s="55">
        <f>IF(LEFT(Cockpit!$O$5,1)="A",G426,IF(BT426=1,BU426,IF(LEFT(Cockpit!$O$5,1)="B",AU426,MAX(AU426,G426))))</f>
        <v/>
      </c>
      <c r="AR426" s="55">
        <f>IF(BO426=1,0,ROUNDUP(AQ426/BN426,0))</f>
        <v/>
      </c>
      <c r="AS426" s="64">
        <f>IF(BO426=1,IF(AQ426&lt;=0,0,BP426*MAX(1,IF(G426&gt;0,AQ426/G426,1))),AR426*Q426)</f>
        <v/>
      </c>
      <c r="AT426" s="55">
        <f>AQ426*F426</f>
        <v/>
      </c>
      <c r="AU426" s="55">
        <f>ROUNDUP(MAX(I426/IF(BS426&gt;0,BS426,MAX(0.1,N(Cockpit!$O$6))),BV426)/BN426,0)*BN426</f>
        <v/>
      </c>
      <c r="AV426" s="56">
        <f>IF(AS426&gt;0,I426/AS426,-1)</f>
        <v/>
      </c>
      <c r="AW426" s="56">
        <f>IF(AND(OR(BR426="L1",BR426="L23"),AS426&gt;0),SUMIFS($AS$7:$AS$1570,$BR$7:$BR$1570,BR426,$AV$7:$AV$1570,"&gt;"&amp;AV426)+SUMIFS($AS$7:$AS$1570,$BR$7:$BR$1570,BR426,$AV$7:$AV$1570,AV426,$BL$7:$BL$1570,"&lt;="&amp;BL426),"")</f>
        <v/>
      </c>
      <c r="AX426" s="65">
        <f>IF(AW426="",0,MAX(0,MIN(1,(IF(BR426="L1",Parameter!$K$5,Parameter!$K$6+Parameter!$K$7)-(AW426-AS426))/AS426)))</f>
        <v/>
      </c>
      <c r="AY426" s="53">
        <f>IF(AC426&lt;=0,"",IF(BR426="Aussen","Aussenlager",IF(BR426="-","Nicht im Lift",IF(AH426&gt;=1,"Lift",IF(AH426&lt;=0,"Aussenlager","teilweise")))))</f>
        <v/>
      </c>
      <c r="AZ426" s="53">
        <f>IF(AK426&lt;=0,"",IF(BR426="Aussen","Aussenlager",IF(BR426="-","Nicht im Lift",IF(AP426&gt;=1,"Lift",IF(AP426&lt;=0,"Aussenlager","teilweise")))))</f>
        <v/>
      </c>
      <c r="BA426" s="53">
        <f>IF(AS426&lt;=0,"",IF(BR426="Aussen","Aussenlager",IF(BR426="-","Nicht im Lift",IF(AX426&gt;=1,"Lift",IF(AX426&lt;=0,"Aussenlager","teilweise")))))</f>
        <v/>
      </c>
      <c r="BB426" s="53">
        <f>IF(A426="","",IF(BK426=1,"Neu; ","")&amp;IF(AND(BK426=0,BF426&lt;0),"negativer Bestand (Export "&amp;BF426&amp;"); ","")&amp;IF(I426&lt;=0,"Kein Verbrauch; ","")&amp;IF(BO426=1,"Lose – Fläche geschätzt; ","")&amp;IF(G426&gt;AM426,"Überbestand "&amp;ROUND(G426-AM426,0)&amp;" Stk / CHF "&amp;ROUND((G426-AM426)*F426,0)&amp;"; ","")&amp;IF(AND(BT426=1,BU426&lt;BV426),"MAX &lt; MB+LG; ","")&amp;IF(AND(BZ426&gt;0,BY426*10&gt;BZ426),"zu hoch für Tablar; ","")&amp;IF(AND(BK426=0,OR(BT426=1,V426&lt;&gt;"",S426&lt;&gt;"",T426&lt;&gt;"",W426&lt;&gt;"")),"manuell übersteuert; ","")&amp;IF(AND(BO426=0,Q426=0),"Gebinde unbekannt; ","")&amp;IF(AND(BO426=0,N(T426)&lt;=0,N(P426)&lt;=0),"Menge pro Gebinde fehlt (Ist = 1 Gebinde); ","")&amp;BJ426)</f>
        <v/>
      </c>
      <c r="BC426" s="53" t="n"/>
      <c r="BD426" s="53" t="n"/>
      <c r="BE426" s="61" t="n"/>
      <c r="BF426" s="55" t="n">
        <v>900</v>
      </c>
      <c r="BG426" s="55" t="n">
        <v>100</v>
      </c>
      <c r="BH426" s="54" t="n">
        <v>90</v>
      </c>
      <c r="BI426" s="55" t="n">
        <v>701</v>
      </c>
      <c r="BJ426" s="53" t="inlineStr"/>
      <c r="BK426" s="58" t="n">
        <v>0</v>
      </c>
      <c r="BL426" s="58" t="n">
        <v>426</v>
      </c>
      <c r="BM426" s="53">
        <f>IF(S426&lt;&gt;"",UPPER(TRIM(S426)),IF(O426="","LOSE",O426))</f>
        <v/>
      </c>
      <c r="BN426" s="55">
        <f>IF(BM426="LOSE",1,IF(N(T426)&gt;0,T426,IF(N(P426)&gt;0,P426,MAX(1,G426))))</f>
        <v/>
      </c>
      <c r="BO426" s="58">
        <f>IF(BM426="LOSE",1,0)</f>
        <v/>
      </c>
      <c r="BP426" s="64">
        <f>IF(BO426=0,0,IF(N(R426)&gt;0,R426,IFERROR(VLOOKUP(D426,Parameter!$A$35:$C$64,3,0)+0,0)))</f>
        <v/>
      </c>
      <c r="BQ426" s="53">
        <f>IF(V426&lt;&gt;"",V426,U426)</f>
        <v/>
      </c>
      <c r="BR426" s="53">
        <f>IF(BQ426=1,"L1",IF(OR(BQ426=2,BQ426=3),"L23",IF(BQ426="Aussen","Aussen","-")))</f>
        <v/>
      </c>
      <c r="BS426" s="66">
        <f>IF(N(W426)&gt;0,W426,0)</f>
        <v/>
      </c>
      <c r="BT426" s="58">
        <f>IF(ISNUMBER(Z426),1,0)</f>
        <v/>
      </c>
      <c r="BU426" s="55">
        <f>N(Z426)</f>
        <v/>
      </c>
      <c r="BV426" s="55">
        <f>N(L426)+N(M426)</f>
        <v/>
      </c>
      <c r="BW426" s="55">
        <f>ROUNDUP(G426/BN426,0)</f>
        <v/>
      </c>
      <c r="BX426" s="55">
        <f>ROUNDUP(BU426/BN426,0)</f>
        <v/>
      </c>
      <c r="BY426" s="58">
        <f>IF(BO426=1,0,IFERROR(VLOOKUP(BM426,'Gebinde-Kategorie'!$A$5:$G$45,5,0)+0,0))</f>
        <v/>
      </c>
      <c r="BZ426" s="58">
        <f>IFERROR(IF(OR(BQ426=1,BQ426=2,BQ426=3),N(INDEX(Parameter!$I$5:$I$7,BQ426)),0),0)</f>
        <v/>
      </c>
    </row>
    <row r="427">
      <c r="A427" s="53" t="inlineStr">
        <is>
          <t>002028</t>
        </is>
      </c>
      <c r="B427" s="53" t="inlineStr">
        <is>
          <t>Rollgabelschlüssel</t>
        </is>
      </c>
      <c r="C427" s="53" t="inlineStr">
        <is>
          <t>F</t>
        </is>
      </c>
      <c r="D427" s="53" t="inlineStr">
        <is>
          <t>KTL</t>
        </is>
      </c>
      <c r="E427" s="53" t="inlineStr">
        <is>
          <t>C</t>
        </is>
      </c>
      <c r="F427" s="54" t="n">
        <v>11.9</v>
      </c>
      <c r="G427" s="55">
        <f>MAX(0,IF(Parameter!$B$20="Jahresanfang 2025 + Export",BG427+BF427,BF427))</f>
        <v/>
      </c>
      <c r="H427" s="55">
        <f>G427*F427</f>
        <v/>
      </c>
      <c r="I427" s="55">
        <f>BI427*Parameter!$B$18</f>
        <v/>
      </c>
      <c r="J427" s="56" t="n">
        <v>7</v>
      </c>
      <c r="K427" s="57" t="n">
        <v>2.714285714285714</v>
      </c>
      <c r="L427" s="55" t="n">
        <v>0</v>
      </c>
      <c r="M427" s="55" t="n">
        <v>20</v>
      </c>
      <c r="N427" s="58" t="n">
        <v>14</v>
      </c>
      <c r="O427" s="53" t="inlineStr">
        <is>
          <t>S33</t>
        </is>
      </c>
      <c r="P427" s="55" t="n">
        <v>12</v>
      </c>
      <c r="Q427" s="59">
        <f>IF(BO427=1,0,IFERROR(VLOOKUP(BM427,'Gebinde-Kategorie'!$A$5:$G$45,6,0)+0,0))</f>
        <v/>
      </c>
      <c r="R427" s="60" t="n"/>
      <c r="S427" s="61" t="n"/>
      <c r="T427" s="61" t="n"/>
      <c r="U427" s="53">
        <f>IF(A427="","",IF(IFERROR(VLOOKUP(D427,Parameter!$A$35:$C$64,2,0),"Nein")="2+3",IF(ISNUMBER(SEARCH("grosser Artikel",BJ427)),2,IFERROR(VLOOKUP(BM427,Parameter!$F$35:$G$64,2,0),2)),IF(OR(IFERROR(VLOOKUP(D427,Parameter!$A$35:$C$64,2,0),"Nein")="Nein",IFERROR(VLOOKUP(D427,Parameter!$A$35:$C$64,2,0),"Nein")=""),"-",VLOOKUP(D427,Parameter!$A$35:$C$64,2,0))))</f>
        <v/>
      </c>
      <c r="V427" s="61" t="n"/>
      <c r="W427" s="62" t="n"/>
      <c r="X427" s="55">
        <f>AM427</f>
        <v/>
      </c>
      <c r="Y427" s="55">
        <f>MAX(AM427,G427)</f>
        <v/>
      </c>
      <c r="Z427" s="63" t="n"/>
      <c r="AA427" s="55">
        <f>IF(LEFT(Cockpit!$C$5,1)="A",G427,IF(BT427=1,BU427,IF(LEFT(Cockpit!$C$5,1)="B",AE427,MAX(AE427,G427))))</f>
        <v/>
      </c>
      <c r="AB427" s="55">
        <f>IF(BO427=1,0,ROUNDUP(AA427/BN427,0))</f>
        <v/>
      </c>
      <c r="AC427" s="64">
        <f>IF(BO427=1,IF(AA427&lt;=0,0,BP427*MAX(1,IF(G427&gt;0,AA427/G427,1))),AB427*Q427)</f>
        <v/>
      </c>
      <c r="AD427" s="55">
        <f>AA427*F427</f>
        <v/>
      </c>
      <c r="AE427" s="55">
        <f>ROUNDUP(MAX(I427/IF(BS427&gt;0,BS427,MAX(0.1,N(Cockpit!$C$6))),BV427)/BN427,0)*BN427</f>
        <v/>
      </c>
      <c r="AF427" s="56">
        <f>IF(AC427&gt;0,I427/AC427,-1)</f>
        <v/>
      </c>
      <c r="AG427" s="56">
        <f>IF(AND(OR(BR427="L1",BR427="L23"),AC427&gt;0),SUMIFS($AC$7:$AC$1570,$BR$7:$BR$1570,BR427,$AF$7:$AF$1570,"&gt;"&amp;AF427)+SUMIFS($AC$7:$AC$1570,$BR$7:$BR$1570,BR427,$AF$7:$AF$1570,AF427,$BL$7:$BL$1570,"&lt;="&amp;BL427),"")</f>
        <v/>
      </c>
      <c r="AH427" s="65">
        <f>IF(AG427="",0,MAX(0,MIN(1,(IF(BR427="L1",Parameter!$K$5,Parameter!$K$6+Parameter!$K$7)-(AG427-AC427))/AC427)))</f>
        <v/>
      </c>
      <c r="AI427" s="55">
        <f>IF(LEFT(Cockpit!$I$5,1)="A",G427,IF(BT427=1,BU427,IF(LEFT(Cockpit!$I$5,1)="B",AM427,MAX(AM427,G427))))</f>
        <v/>
      </c>
      <c r="AJ427" s="55">
        <f>IF(BO427=1,0,ROUNDUP(AI427/BN427,0))</f>
        <v/>
      </c>
      <c r="AK427" s="64">
        <f>IF(BO427=1,IF(AI427&lt;=0,0,BP427*MAX(1,IF(G427&gt;0,AI427/G427,1))),AJ427*Q427)</f>
        <v/>
      </c>
      <c r="AL427" s="55">
        <f>AI427*F427</f>
        <v/>
      </c>
      <c r="AM427" s="55">
        <f>ROUNDUP(MAX(I427/IF(BS427&gt;0,BS427,MAX(0.1,N(Cockpit!$I$6))),BV427)/BN427,0)*BN427</f>
        <v/>
      </c>
      <c r="AN427" s="56">
        <f>IF(AK427&gt;0,I427/AK427,-1)</f>
        <v/>
      </c>
      <c r="AO427" s="56">
        <f>IF(AND(OR(BR427="L1",BR427="L23"),AK427&gt;0),SUMIFS($AK$7:$AK$1570,$BR$7:$BR$1570,BR427,$AN$7:$AN$1570,"&gt;"&amp;AN427)+SUMIFS($AK$7:$AK$1570,$BR$7:$BR$1570,BR427,$AN$7:$AN$1570,AN427,$BL$7:$BL$1570,"&lt;="&amp;BL427),"")</f>
        <v/>
      </c>
      <c r="AP427" s="65">
        <f>IF(AO427="",0,MAX(0,MIN(1,(IF(BR427="L1",Parameter!$K$5,Parameter!$K$6+Parameter!$K$7)-(AO427-AK427))/AK427)))</f>
        <v/>
      </c>
      <c r="AQ427" s="55">
        <f>IF(LEFT(Cockpit!$O$5,1)="A",G427,IF(BT427=1,BU427,IF(LEFT(Cockpit!$O$5,1)="B",AU427,MAX(AU427,G427))))</f>
        <v/>
      </c>
      <c r="AR427" s="55">
        <f>IF(BO427=1,0,ROUNDUP(AQ427/BN427,0))</f>
        <v/>
      </c>
      <c r="AS427" s="64">
        <f>IF(BO427=1,IF(AQ427&lt;=0,0,BP427*MAX(1,IF(G427&gt;0,AQ427/G427,1))),AR427*Q427)</f>
        <v/>
      </c>
      <c r="AT427" s="55">
        <f>AQ427*F427</f>
        <v/>
      </c>
      <c r="AU427" s="55">
        <f>ROUNDUP(MAX(I427/IF(BS427&gt;0,BS427,MAX(0.1,N(Cockpit!$O$6))),BV427)/BN427,0)*BN427</f>
        <v/>
      </c>
      <c r="AV427" s="56">
        <f>IF(AS427&gt;0,I427/AS427,-1)</f>
        <v/>
      </c>
      <c r="AW427" s="56">
        <f>IF(AND(OR(BR427="L1",BR427="L23"),AS427&gt;0),SUMIFS($AS$7:$AS$1570,$BR$7:$BR$1570,BR427,$AV$7:$AV$1570,"&gt;"&amp;AV427)+SUMIFS($AS$7:$AS$1570,$BR$7:$BR$1570,BR427,$AV$7:$AV$1570,AV427,$BL$7:$BL$1570,"&lt;="&amp;BL427),"")</f>
        <v/>
      </c>
      <c r="AX427" s="65">
        <f>IF(AW427="",0,MAX(0,MIN(1,(IF(BR427="L1",Parameter!$K$5,Parameter!$K$6+Parameter!$K$7)-(AW427-AS427))/AS427)))</f>
        <v/>
      </c>
      <c r="AY427" s="53">
        <f>IF(AC427&lt;=0,"",IF(BR427="Aussen","Aussenlager",IF(BR427="-","Nicht im Lift",IF(AH427&gt;=1,"Lift",IF(AH427&lt;=0,"Aussenlager","teilweise")))))</f>
        <v/>
      </c>
      <c r="AZ427" s="53">
        <f>IF(AK427&lt;=0,"",IF(BR427="Aussen","Aussenlager",IF(BR427="-","Nicht im Lift",IF(AP427&gt;=1,"Lift",IF(AP427&lt;=0,"Aussenlager","teilweise")))))</f>
        <v/>
      </c>
      <c r="BA427" s="53">
        <f>IF(AS427&lt;=0,"",IF(BR427="Aussen","Aussenlager",IF(BR427="-","Nicht im Lift",IF(AX427&gt;=1,"Lift",IF(AX427&lt;=0,"Aussenlager","teilweise")))))</f>
        <v/>
      </c>
      <c r="BB427" s="53">
        <f>IF(A427="","",IF(BK427=1,"Neu; ","")&amp;IF(AND(BK427=0,BF427&lt;0),"negativer Bestand (Export "&amp;BF427&amp;"); ","")&amp;IF(I427&lt;=0,"Kein Verbrauch; ","")&amp;IF(BO427=1,"Lose – Fläche geschätzt; ","")&amp;IF(G427&gt;AM427,"Überbestand "&amp;ROUND(G427-AM427,0)&amp;" Stk / CHF "&amp;ROUND((G427-AM427)*F427,0)&amp;"; ","")&amp;IF(AND(BT427=1,BU427&lt;BV427),"MAX &lt; MB+LG; ","")&amp;IF(AND(BZ427&gt;0,BY427*10&gt;BZ427),"zu hoch für Tablar; ","")&amp;IF(AND(BK427=0,OR(BT427=1,V427&lt;&gt;"",S427&lt;&gt;"",T427&lt;&gt;"",W427&lt;&gt;"")),"manuell übersteuert; ","")&amp;IF(AND(BO427=0,Q427=0),"Gebinde unbekannt; ","")&amp;IF(AND(BO427=0,N(T427)&lt;=0,N(P427)&lt;=0),"Menge pro Gebinde fehlt (Ist = 1 Gebinde); ","")&amp;BJ427)</f>
        <v/>
      </c>
      <c r="BC427" s="53" t="n"/>
      <c r="BD427" s="53" t="n"/>
      <c r="BE427" s="61" t="n"/>
      <c r="BF427" s="55" t="n">
        <v>6</v>
      </c>
      <c r="BG427" s="55" t="n">
        <v>7</v>
      </c>
      <c r="BH427" s="54" t="n">
        <v>87.91999999999996</v>
      </c>
      <c r="BI427" s="55" t="n">
        <v>19</v>
      </c>
      <c r="BJ427" s="53" t="inlineStr"/>
      <c r="BK427" s="58" t="n">
        <v>0</v>
      </c>
      <c r="BL427" s="58" t="n">
        <v>427</v>
      </c>
      <c r="BM427" s="53">
        <f>IF(S427&lt;&gt;"",UPPER(TRIM(S427)),IF(O427="","LOSE",O427))</f>
        <v/>
      </c>
      <c r="BN427" s="55">
        <f>IF(BM427="LOSE",1,IF(N(T427)&gt;0,T427,IF(N(P427)&gt;0,P427,MAX(1,G427))))</f>
        <v/>
      </c>
      <c r="BO427" s="58">
        <f>IF(BM427="LOSE",1,0)</f>
        <v/>
      </c>
      <c r="BP427" s="64">
        <f>IF(BO427=0,0,IF(N(R427)&gt;0,R427,IFERROR(VLOOKUP(D427,Parameter!$A$35:$C$64,3,0)+0,0)))</f>
        <v/>
      </c>
      <c r="BQ427" s="53">
        <f>IF(V427&lt;&gt;"",V427,U427)</f>
        <v/>
      </c>
      <c r="BR427" s="53">
        <f>IF(BQ427=1,"L1",IF(OR(BQ427=2,BQ427=3),"L23",IF(BQ427="Aussen","Aussen","-")))</f>
        <v/>
      </c>
      <c r="BS427" s="66">
        <f>IF(N(W427)&gt;0,W427,0)</f>
        <v/>
      </c>
      <c r="BT427" s="58">
        <f>IF(ISNUMBER(Z427),1,0)</f>
        <v/>
      </c>
      <c r="BU427" s="55">
        <f>N(Z427)</f>
        <v/>
      </c>
      <c r="BV427" s="55">
        <f>N(L427)+N(M427)</f>
        <v/>
      </c>
      <c r="BW427" s="55">
        <f>ROUNDUP(G427/BN427,0)</f>
        <v/>
      </c>
      <c r="BX427" s="55">
        <f>ROUNDUP(BU427/BN427,0)</f>
        <v/>
      </c>
      <c r="BY427" s="58">
        <f>IF(BO427=1,0,IFERROR(VLOOKUP(BM427,'Gebinde-Kategorie'!$A$5:$G$45,5,0)+0,0))</f>
        <v/>
      </c>
      <c r="BZ427" s="58">
        <f>IFERROR(IF(OR(BQ427=1,BQ427=2,BQ427=3),N(INDEX(Parameter!$I$5:$I$7,BQ427)),0),0)</f>
        <v/>
      </c>
    </row>
    <row r="428">
      <c r="A428" s="53" t="inlineStr">
        <is>
          <t>107244</t>
        </is>
      </c>
      <c r="B428" s="53" t="inlineStr">
        <is>
          <t>Blende</t>
        </is>
      </c>
      <c r="C428" s="53" t="inlineStr">
        <is>
          <t>F</t>
        </is>
      </c>
      <c r="D428" s="53" t="inlineStr">
        <is>
          <t>KTL</t>
        </is>
      </c>
      <c r="E428" s="53" t="inlineStr">
        <is>
          <t>C</t>
        </is>
      </c>
      <c r="F428" s="54" t="n">
        <v>43.94</v>
      </c>
      <c r="G428" s="55">
        <f>MAX(0,IF(Parameter!$B$20="Jahresanfang 2025 + Export",BG428+BF428,BF428))</f>
        <v/>
      </c>
      <c r="H428" s="55">
        <f>G428*F428</f>
        <v/>
      </c>
      <c r="I428" s="55">
        <f>BI428*Parameter!$B$18</f>
        <v/>
      </c>
      <c r="J428" s="56" t="n">
        <v>66</v>
      </c>
      <c r="K428" s="57" t="n">
        <v>0</v>
      </c>
      <c r="L428" s="55" t="n">
        <v>0</v>
      </c>
      <c r="M428" s="55" t="n">
        <v>1</v>
      </c>
      <c r="N428" s="58" t="n">
        <v>35</v>
      </c>
      <c r="O428" s="53" t="inlineStr">
        <is>
          <t>S22</t>
        </is>
      </c>
      <c r="P428" s="55" t="n">
        <v>65</v>
      </c>
      <c r="Q428" s="59">
        <f>IF(BO428=1,0,IFERROR(VLOOKUP(BM428,'Gebinde-Kategorie'!$A$5:$G$45,6,0)+0,0))</f>
        <v/>
      </c>
      <c r="R428" s="60" t="n"/>
      <c r="S428" s="61" t="n"/>
      <c r="T428" s="61" t="n"/>
      <c r="U428" s="53">
        <f>IF(A428="","",IF(IFERROR(VLOOKUP(D428,Parameter!$A$35:$C$64,2,0),"Nein")="2+3",IF(ISNUMBER(SEARCH("grosser Artikel",BJ428)),2,IFERROR(VLOOKUP(BM428,Parameter!$F$35:$G$64,2,0),2)),IF(OR(IFERROR(VLOOKUP(D428,Parameter!$A$35:$C$64,2,0),"Nein")="Nein",IFERROR(VLOOKUP(D428,Parameter!$A$35:$C$64,2,0),"Nein")=""),"-",VLOOKUP(D428,Parameter!$A$35:$C$64,2,0))))</f>
        <v/>
      </c>
      <c r="V428" s="61" t="n"/>
      <c r="W428" s="62" t="n"/>
      <c r="X428" s="55">
        <f>AM428</f>
        <v/>
      </c>
      <c r="Y428" s="55">
        <f>MAX(AM428,G428)</f>
        <v/>
      </c>
      <c r="Z428" s="63" t="n"/>
      <c r="AA428" s="55">
        <f>IF(LEFT(Cockpit!$C$5,1)="A",G428,IF(BT428=1,BU428,IF(LEFT(Cockpit!$C$5,1)="B",AE428,MAX(AE428,G428))))</f>
        <v/>
      </c>
      <c r="AB428" s="55">
        <f>IF(BO428=1,0,ROUNDUP(AA428/BN428,0))</f>
        <v/>
      </c>
      <c r="AC428" s="64">
        <f>IF(BO428=1,IF(AA428&lt;=0,0,BP428*MAX(1,IF(G428&gt;0,AA428/G428,1))),AB428*Q428)</f>
        <v/>
      </c>
      <c r="AD428" s="55">
        <f>AA428*F428</f>
        <v/>
      </c>
      <c r="AE428" s="55">
        <f>ROUNDUP(MAX(I428/IF(BS428&gt;0,BS428,MAX(0.1,N(Cockpit!$C$6))),BV428)/BN428,0)*BN428</f>
        <v/>
      </c>
      <c r="AF428" s="56">
        <f>IF(AC428&gt;0,I428/AC428,-1)</f>
        <v/>
      </c>
      <c r="AG428" s="56">
        <f>IF(AND(OR(BR428="L1",BR428="L23"),AC428&gt;0),SUMIFS($AC$7:$AC$1570,$BR$7:$BR$1570,BR428,$AF$7:$AF$1570,"&gt;"&amp;AF428)+SUMIFS($AC$7:$AC$1570,$BR$7:$BR$1570,BR428,$AF$7:$AF$1570,AF428,$BL$7:$BL$1570,"&lt;="&amp;BL428),"")</f>
        <v/>
      </c>
      <c r="AH428" s="65">
        <f>IF(AG428="",0,MAX(0,MIN(1,(IF(BR428="L1",Parameter!$K$5,Parameter!$K$6+Parameter!$K$7)-(AG428-AC428))/AC428)))</f>
        <v/>
      </c>
      <c r="AI428" s="55">
        <f>IF(LEFT(Cockpit!$I$5,1)="A",G428,IF(BT428=1,BU428,IF(LEFT(Cockpit!$I$5,1)="B",AM428,MAX(AM428,G428))))</f>
        <v/>
      </c>
      <c r="AJ428" s="55">
        <f>IF(BO428=1,0,ROUNDUP(AI428/BN428,0))</f>
        <v/>
      </c>
      <c r="AK428" s="64">
        <f>IF(BO428=1,IF(AI428&lt;=0,0,BP428*MAX(1,IF(G428&gt;0,AI428/G428,1))),AJ428*Q428)</f>
        <v/>
      </c>
      <c r="AL428" s="55">
        <f>AI428*F428</f>
        <v/>
      </c>
      <c r="AM428" s="55">
        <f>ROUNDUP(MAX(I428/IF(BS428&gt;0,BS428,MAX(0.1,N(Cockpit!$I$6))),BV428)/BN428,0)*BN428</f>
        <v/>
      </c>
      <c r="AN428" s="56">
        <f>IF(AK428&gt;0,I428/AK428,-1)</f>
        <v/>
      </c>
      <c r="AO428" s="56">
        <f>IF(AND(OR(BR428="L1",BR428="L23"),AK428&gt;0),SUMIFS($AK$7:$AK$1570,$BR$7:$BR$1570,BR428,$AN$7:$AN$1570,"&gt;"&amp;AN428)+SUMIFS($AK$7:$AK$1570,$BR$7:$BR$1570,BR428,$AN$7:$AN$1570,AN428,$BL$7:$BL$1570,"&lt;="&amp;BL428),"")</f>
        <v/>
      </c>
      <c r="AP428" s="65">
        <f>IF(AO428="",0,MAX(0,MIN(1,(IF(BR428="L1",Parameter!$K$5,Parameter!$K$6+Parameter!$K$7)-(AO428-AK428))/AK428)))</f>
        <v/>
      </c>
      <c r="AQ428" s="55">
        <f>IF(LEFT(Cockpit!$O$5,1)="A",G428,IF(BT428=1,BU428,IF(LEFT(Cockpit!$O$5,1)="B",AU428,MAX(AU428,G428))))</f>
        <v/>
      </c>
      <c r="AR428" s="55">
        <f>IF(BO428=1,0,ROUNDUP(AQ428/BN428,0))</f>
        <v/>
      </c>
      <c r="AS428" s="64">
        <f>IF(BO428=1,IF(AQ428&lt;=0,0,BP428*MAX(1,IF(G428&gt;0,AQ428/G428,1))),AR428*Q428)</f>
        <v/>
      </c>
      <c r="AT428" s="55">
        <f>AQ428*F428</f>
        <v/>
      </c>
      <c r="AU428" s="55">
        <f>ROUNDUP(MAX(I428/IF(BS428&gt;0,BS428,MAX(0.1,N(Cockpit!$O$6))),BV428)/BN428,0)*BN428</f>
        <v/>
      </c>
      <c r="AV428" s="56">
        <f>IF(AS428&gt;0,I428/AS428,-1)</f>
        <v/>
      </c>
      <c r="AW428" s="56">
        <f>IF(AND(OR(BR428="L1",BR428="L23"),AS428&gt;0),SUMIFS($AS$7:$AS$1570,$BR$7:$BR$1570,BR428,$AV$7:$AV$1570,"&gt;"&amp;AV428)+SUMIFS($AS$7:$AS$1570,$BR$7:$BR$1570,BR428,$AV$7:$AV$1570,AV428,$BL$7:$BL$1570,"&lt;="&amp;BL428),"")</f>
        <v/>
      </c>
      <c r="AX428" s="65">
        <f>IF(AW428="",0,MAX(0,MIN(1,(IF(BR428="L1",Parameter!$K$5,Parameter!$K$6+Parameter!$K$7)-(AW428-AS428))/AS428)))</f>
        <v/>
      </c>
      <c r="AY428" s="53">
        <f>IF(AC428&lt;=0,"",IF(BR428="Aussen","Aussenlager",IF(BR428="-","Nicht im Lift",IF(AH428&gt;=1,"Lift",IF(AH428&lt;=0,"Aussenlager","teilweise")))))</f>
        <v/>
      </c>
      <c r="AZ428" s="53">
        <f>IF(AK428&lt;=0,"",IF(BR428="Aussen","Aussenlager",IF(BR428="-","Nicht im Lift",IF(AP428&gt;=1,"Lift",IF(AP428&lt;=0,"Aussenlager","teilweise")))))</f>
        <v/>
      </c>
      <c r="BA428" s="53">
        <f>IF(AS428&lt;=0,"",IF(BR428="Aussen","Aussenlager",IF(BR428="-","Nicht im Lift",IF(AX428&gt;=1,"Lift",IF(AX428&lt;=0,"Aussenlager","teilweise")))))</f>
        <v/>
      </c>
      <c r="BB428" s="53">
        <f>IF(A428="","",IF(BK428=1,"Neu; ","")&amp;IF(AND(BK428=0,BF428&lt;0),"negativer Bestand (Export "&amp;BF428&amp;"); ","")&amp;IF(I428&lt;=0,"Kein Verbrauch; ","")&amp;IF(BO428=1,"Lose – Fläche geschätzt; ","")&amp;IF(G428&gt;AM428,"Überbestand "&amp;ROUND(G428-AM428,0)&amp;" Stk / CHF "&amp;ROUND((G428-AM428)*F428,0)&amp;"; ","")&amp;IF(AND(BT428=1,BU428&lt;BV428),"MAX &lt; MB+LG; ","")&amp;IF(AND(BZ428&gt;0,BY428*10&gt;BZ428),"zu hoch für Tablar; ","")&amp;IF(AND(BK428=0,OR(BT428=1,V428&lt;&gt;"",S428&lt;&gt;"",T428&lt;&gt;"",W428&lt;&gt;"")),"manuell übersteuert; ","")&amp;IF(AND(BO428=0,Q428=0),"Gebinde unbekannt; ","")&amp;IF(AND(BO428=0,N(T428)&lt;=0,N(P428)&lt;=0),"Menge pro Gebinde fehlt (Ist = 1 Gebinde); ","")&amp;BJ428)</f>
        <v/>
      </c>
      <c r="BC428" s="53" t="n"/>
      <c r="BD428" s="53" t="n"/>
      <c r="BE428" s="61" t="n"/>
      <c r="BF428" s="55" t="n">
        <v>2</v>
      </c>
      <c r="BG428" s="55" t="n">
        <v>65</v>
      </c>
      <c r="BH428" s="54" t="n">
        <v>87.88</v>
      </c>
      <c r="BI428" s="55" t="n">
        <v>0</v>
      </c>
      <c r="BJ428" s="53" t="inlineStr">
        <is>
          <t>Neu</t>
        </is>
      </c>
      <c r="BK428" s="58" t="n">
        <v>0</v>
      </c>
      <c r="BL428" s="58" t="n">
        <v>428</v>
      </c>
      <c r="BM428" s="53">
        <f>IF(S428&lt;&gt;"",UPPER(TRIM(S428)),IF(O428="","LOSE",O428))</f>
        <v/>
      </c>
      <c r="BN428" s="55">
        <f>IF(BM428="LOSE",1,IF(N(T428)&gt;0,T428,IF(N(P428)&gt;0,P428,MAX(1,G428))))</f>
        <v/>
      </c>
      <c r="BO428" s="58">
        <f>IF(BM428="LOSE",1,0)</f>
        <v/>
      </c>
      <c r="BP428" s="64">
        <f>IF(BO428=0,0,IF(N(R428)&gt;0,R428,IFERROR(VLOOKUP(D428,Parameter!$A$35:$C$64,3,0)+0,0)))</f>
        <v/>
      </c>
      <c r="BQ428" s="53">
        <f>IF(V428&lt;&gt;"",V428,U428)</f>
        <v/>
      </c>
      <c r="BR428" s="53">
        <f>IF(BQ428=1,"L1",IF(OR(BQ428=2,BQ428=3),"L23",IF(BQ428="Aussen","Aussen","-")))</f>
        <v/>
      </c>
      <c r="BS428" s="66">
        <f>IF(N(W428)&gt;0,W428,0)</f>
        <v/>
      </c>
      <c r="BT428" s="58">
        <f>IF(ISNUMBER(Z428),1,0)</f>
        <v/>
      </c>
      <c r="BU428" s="55">
        <f>N(Z428)</f>
        <v/>
      </c>
      <c r="BV428" s="55">
        <f>N(L428)+N(M428)</f>
        <v/>
      </c>
      <c r="BW428" s="55">
        <f>ROUNDUP(G428/BN428,0)</f>
        <v/>
      </c>
      <c r="BX428" s="55">
        <f>ROUNDUP(BU428/BN428,0)</f>
        <v/>
      </c>
      <c r="BY428" s="58">
        <f>IF(BO428=1,0,IFERROR(VLOOKUP(BM428,'Gebinde-Kategorie'!$A$5:$G$45,5,0)+0,0))</f>
        <v/>
      </c>
      <c r="BZ428" s="58">
        <f>IFERROR(IF(OR(BQ428=1,BQ428=2,BQ428=3),N(INDEX(Parameter!$I$5:$I$7,BQ428)),0),0)</f>
        <v/>
      </c>
    </row>
    <row r="429">
      <c r="A429" s="53" t="inlineStr">
        <is>
          <t>111907</t>
        </is>
      </c>
      <c r="B429" s="53" t="inlineStr">
        <is>
          <t>Kabelverschraubung</t>
        </is>
      </c>
      <c r="C429" s="53" t="inlineStr">
        <is>
          <t>F</t>
        </is>
      </c>
      <c r="D429" s="53" t="inlineStr">
        <is>
          <t>KTL</t>
        </is>
      </c>
      <c r="E429" s="53" t="inlineStr">
        <is>
          <t>C</t>
        </is>
      </c>
      <c r="F429" s="54" t="n">
        <v>2.85</v>
      </c>
      <c r="G429" s="55">
        <f>MAX(0,IF(Parameter!$B$20="Jahresanfang 2025 + Export",BG429+BF429,BF429))</f>
        <v/>
      </c>
      <c r="H429" s="55">
        <f>G429*F429</f>
        <v/>
      </c>
      <c r="I429" s="55">
        <f>BI429*Parameter!$B$18</f>
        <v/>
      </c>
      <c r="J429" s="56" t="n">
        <v>0</v>
      </c>
      <c r="K429" s="57" t="n">
        <v>0</v>
      </c>
      <c r="L429" s="55" t="n">
        <v>0</v>
      </c>
      <c r="M429" s="55" t="n">
        <v>20</v>
      </c>
      <c r="N429" s="58" t="n">
        <v>9999</v>
      </c>
      <c r="O429" s="53" t="inlineStr">
        <is>
          <t>LOSE</t>
        </is>
      </c>
      <c r="P429" s="55" t="n"/>
      <c r="Q429" s="59">
        <f>IF(BO429=1,0,IFERROR(VLOOKUP(BM429,'Gebinde-Kategorie'!$A$5:$G$45,6,0)+0,0))</f>
        <v/>
      </c>
      <c r="R429" s="60" t="n"/>
      <c r="S429" s="61" t="n"/>
      <c r="T429" s="61" t="n"/>
      <c r="U429" s="53">
        <f>IF(A429="","",IF(IFERROR(VLOOKUP(D429,Parameter!$A$35:$C$64,2,0),"Nein")="2+3",IF(ISNUMBER(SEARCH("grosser Artikel",BJ429)),2,IFERROR(VLOOKUP(BM429,Parameter!$F$35:$G$64,2,0),2)),IF(OR(IFERROR(VLOOKUP(D429,Parameter!$A$35:$C$64,2,0),"Nein")="Nein",IFERROR(VLOOKUP(D429,Parameter!$A$35:$C$64,2,0),"Nein")=""),"-",VLOOKUP(D429,Parameter!$A$35:$C$64,2,0))))</f>
        <v/>
      </c>
      <c r="V429" s="61" t="n"/>
      <c r="W429" s="62" t="n"/>
      <c r="X429" s="55">
        <f>AM429</f>
        <v/>
      </c>
      <c r="Y429" s="55">
        <f>MAX(AM429,G429)</f>
        <v/>
      </c>
      <c r="Z429" s="63" t="n"/>
      <c r="AA429" s="55">
        <f>IF(LEFT(Cockpit!$C$5,1)="A",G429,IF(BT429=1,BU429,IF(LEFT(Cockpit!$C$5,1)="B",AE429,MAX(AE429,G429))))</f>
        <v/>
      </c>
      <c r="AB429" s="55">
        <f>IF(BO429=1,0,ROUNDUP(AA429/BN429,0))</f>
        <v/>
      </c>
      <c r="AC429" s="64">
        <f>IF(BO429=1,IF(AA429&lt;=0,0,BP429*MAX(1,IF(G429&gt;0,AA429/G429,1))),AB429*Q429)</f>
        <v/>
      </c>
      <c r="AD429" s="55">
        <f>AA429*F429</f>
        <v/>
      </c>
      <c r="AE429" s="55">
        <f>ROUNDUP(MAX(I429/IF(BS429&gt;0,BS429,MAX(0.1,N(Cockpit!$C$6))),BV429)/BN429,0)*BN429</f>
        <v/>
      </c>
      <c r="AF429" s="56">
        <f>IF(AC429&gt;0,I429/AC429,-1)</f>
        <v/>
      </c>
      <c r="AG429" s="56">
        <f>IF(AND(OR(BR429="L1",BR429="L23"),AC429&gt;0),SUMIFS($AC$7:$AC$1570,$BR$7:$BR$1570,BR429,$AF$7:$AF$1570,"&gt;"&amp;AF429)+SUMIFS($AC$7:$AC$1570,$BR$7:$BR$1570,BR429,$AF$7:$AF$1570,AF429,$BL$7:$BL$1570,"&lt;="&amp;BL429),"")</f>
        <v/>
      </c>
      <c r="AH429" s="65">
        <f>IF(AG429="",0,MAX(0,MIN(1,(IF(BR429="L1",Parameter!$K$5,Parameter!$K$6+Parameter!$K$7)-(AG429-AC429))/AC429)))</f>
        <v/>
      </c>
      <c r="AI429" s="55">
        <f>IF(LEFT(Cockpit!$I$5,1)="A",G429,IF(BT429=1,BU429,IF(LEFT(Cockpit!$I$5,1)="B",AM429,MAX(AM429,G429))))</f>
        <v/>
      </c>
      <c r="AJ429" s="55">
        <f>IF(BO429=1,0,ROUNDUP(AI429/BN429,0))</f>
        <v/>
      </c>
      <c r="AK429" s="64">
        <f>IF(BO429=1,IF(AI429&lt;=0,0,BP429*MAX(1,IF(G429&gt;0,AI429/G429,1))),AJ429*Q429)</f>
        <v/>
      </c>
      <c r="AL429" s="55">
        <f>AI429*F429</f>
        <v/>
      </c>
      <c r="AM429" s="55">
        <f>ROUNDUP(MAX(I429/IF(BS429&gt;0,BS429,MAX(0.1,N(Cockpit!$I$6))),BV429)/BN429,0)*BN429</f>
        <v/>
      </c>
      <c r="AN429" s="56">
        <f>IF(AK429&gt;0,I429/AK429,-1)</f>
        <v/>
      </c>
      <c r="AO429" s="56">
        <f>IF(AND(OR(BR429="L1",BR429="L23"),AK429&gt;0),SUMIFS($AK$7:$AK$1570,$BR$7:$BR$1570,BR429,$AN$7:$AN$1570,"&gt;"&amp;AN429)+SUMIFS($AK$7:$AK$1570,$BR$7:$BR$1570,BR429,$AN$7:$AN$1570,AN429,$BL$7:$BL$1570,"&lt;="&amp;BL429),"")</f>
        <v/>
      </c>
      <c r="AP429" s="65">
        <f>IF(AO429="",0,MAX(0,MIN(1,(IF(BR429="L1",Parameter!$K$5,Parameter!$K$6+Parameter!$K$7)-(AO429-AK429))/AK429)))</f>
        <v/>
      </c>
      <c r="AQ429" s="55">
        <f>IF(LEFT(Cockpit!$O$5,1)="A",G429,IF(BT429=1,BU429,IF(LEFT(Cockpit!$O$5,1)="B",AU429,MAX(AU429,G429))))</f>
        <v/>
      </c>
      <c r="AR429" s="55">
        <f>IF(BO429=1,0,ROUNDUP(AQ429/BN429,0))</f>
        <v/>
      </c>
      <c r="AS429" s="64">
        <f>IF(BO429=1,IF(AQ429&lt;=0,0,BP429*MAX(1,IF(G429&gt;0,AQ429/G429,1))),AR429*Q429)</f>
        <v/>
      </c>
      <c r="AT429" s="55">
        <f>AQ429*F429</f>
        <v/>
      </c>
      <c r="AU429" s="55">
        <f>ROUNDUP(MAX(I429/IF(BS429&gt;0,BS429,MAX(0.1,N(Cockpit!$O$6))),BV429)/BN429,0)*BN429</f>
        <v/>
      </c>
      <c r="AV429" s="56">
        <f>IF(AS429&gt;0,I429/AS429,-1)</f>
        <v/>
      </c>
      <c r="AW429" s="56">
        <f>IF(AND(OR(BR429="L1",BR429="L23"),AS429&gt;0),SUMIFS($AS$7:$AS$1570,$BR$7:$BR$1570,BR429,$AV$7:$AV$1570,"&gt;"&amp;AV429)+SUMIFS($AS$7:$AS$1570,$BR$7:$BR$1570,BR429,$AV$7:$AV$1570,AV429,$BL$7:$BL$1570,"&lt;="&amp;BL429),"")</f>
        <v/>
      </c>
      <c r="AX429" s="65">
        <f>IF(AW429="",0,MAX(0,MIN(1,(IF(BR429="L1",Parameter!$K$5,Parameter!$K$6+Parameter!$K$7)-(AW429-AS429))/AS429)))</f>
        <v/>
      </c>
      <c r="AY429" s="53">
        <f>IF(AC429&lt;=0,"",IF(BR429="Aussen","Aussenlager",IF(BR429="-","Nicht im Lift",IF(AH429&gt;=1,"Lift",IF(AH429&lt;=0,"Aussenlager","teilweise")))))</f>
        <v/>
      </c>
      <c r="AZ429" s="53">
        <f>IF(AK429&lt;=0,"",IF(BR429="Aussen","Aussenlager",IF(BR429="-","Nicht im Lift",IF(AP429&gt;=1,"Lift",IF(AP429&lt;=0,"Aussenlager","teilweise")))))</f>
        <v/>
      </c>
      <c r="BA429" s="53">
        <f>IF(AS429&lt;=0,"",IF(BR429="Aussen","Aussenlager",IF(BR429="-","Nicht im Lift",IF(AX429&gt;=1,"Lift",IF(AX429&lt;=0,"Aussenlager","teilweise")))))</f>
        <v/>
      </c>
      <c r="BB429" s="53">
        <f>IF(A429="","",IF(BK429=1,"Neu; ","")&amp;IF(AND(BK429=0,BF429&lt;0),"negativer Bestand (Export "&amp;BF429&amp;"); ","")&amp;IF(I429&lt;=0,"Kein Verbrauch; ","")&amp;IF(BO429=1,"Lose – Fläche geschätzt; ","")&amp;IF(G429&gt;AM429,"Überbestand "&amp;ROUND(G429-AM429,0)&amp;" Stk / CHF "&amp;ROUND((G429-AM429)*F429,0)&amp;"; ","")&amp;IF(AND(BT429=1,BU429&lt;BV429),"MAX &lt; MB+LG; ","")&amp;IF(AND(BZ429&gt;0,BY429*10&gt;BZ429),"zu hoch für Tablar; ","")&amp;IF(AND(BK429=0,OR(BT429=1,V429&lt;&gt;"",S429&lt;&gt;"",T429&lt;&gt;"",W429&lt;&gt;"")),"manuell übersteuert; ","")&amp;IF(AND(BO429=0,Q429=0),"Gebinde unbekannt; ","")&amp;IF(AND(BO429=0,N(T429)&lt;=0,N(P429)&lt;=0),"Menge pro Gebinde fehlt (Ist = 1 Gebinde); ","")&amp;BJ429)</f>
        <v/>
      </c>
      <c r="BC429" s="53" t="n"/>
      <c r="BD429" s="53" t="n"/>
      <c r="BE429" s="61" t="n"/>
      <c r="BF429" s="55" t="n">
        <v>30</v>
      </c>
      <c r="BG429" s="55" t="n">
        <v>0</v>
      </c>
      <c r="BH429" s="54" t="n">
        <v>85.49999999999999</v>
      </c>
      <c r="BI429" s="55" t="n">
        <v>0</v>
      </c>
      <c r="BJ429" s="53" t="inlineStr"/>
      <c r="BK429" s="58" t="n">
        <v>0</v>
      </c>
      <c r="BL429" s="58" t="n">
        <v>429</v>
      </c>
      <c r="BM429" s="53">
        <f>IF(S429&lt;&gt;"",UPPER(TRIM(S429)),IF(O429="","LOSE",O429))</f>
        <v/>
      </c>
      <c r="BN429" s="55">
        <f>IF(BM429="LOSE",1,IF(N(T429)&gt;0,T429,IF(N(P429)&gt;0,P429,MAX(1,G429))))</f>
        <v/>
      </c>
      <c r="BO429" s="58">
        <f>IF(BM429="LOSE",1,0)</f>
        <v/>
      </c>
      <c r="BP429" s="64">
        <f>IF(BO429=0,0,IF(N(R429)&gt;0,R429,IFERROR(VLOOKUP(D429,Parameter!$A$35:$C$64,3,0)+0,0)))</f>
        <v/>
      </c>
      <c r="BQ429" s="53">
        <f>IF(V429&lt;&gt;"",V429,U429)</f>
        <v/>
      </c>
      <c r="BR429" s="53">
        <f>IF(BQ429=1,"L1",IF(OR(BQ429=2,BQ429=3),"L23",IF(BQ429="Aussen","Aussen","-")))</f>
        <v/>
      </c>
      <c r="BS429" s="66">
        <f>IF(N(W429)&gt;0,W429,0)</f>
        <v/>
      </c>
      <c r="BT429" s="58">
        <f>IF(ISNUMBER(Z429),1,0)</f>
        <v/>
      </c>
      <c r="BU429" s="55">
        <f>N(Z429)</f>
        <v/>
      </c>
      <c r="BV429" s="55">
        <f>N(L429)+N(M429)</f>
        <v/>
      </c>
      <c r="BW429" s="55">
        <f>ROUNDUP(G429/BN429,0)</f>
        <v/>
      </c>
      <c r="BX429" s="55">
        <f>ROUNDUP(BU429/BN429,0)</f>
        <v/>
      </c>
      <c r="BY429" s="58">
        <f>IF(BO429=1,0,IFERROR(VLOOKUP(BM429,'Gebinde-Kategorie'!$A$5:$G$45,5,0)+0,0))</f>
        <v/>
      </c>
      <c r="BZ429" s="58">
        <f>IFERROR(IF(OR(BQ429=1,BQ429=2,BQ429=3),N(INDEX(Parameter!$I$5:$I$7,BQ429)),0),0)</f>
        <v/>
      </c>
    </row>
    <row r="430">
      <c r="A430" s="53" t="inlineStr">
        <is>
          <t>100413</t>
        </is>
      </c>
      <c r="B430" s="53" t="inlineStr">
        <is>
          <t>Flammschutz</t>
        </is>
      </c>
      <c r="C430" s="53" t="inlineStr">
        <is>
          <t>F</t>
        </is>
      </c>
      <c r="D430" s="53" t="inlineStr">
        <is>
          <t>KTL</t>
        </is>
      </c>
      <c r="E430" s="53" t="inlineStr">
        <is>
          <t>C</t>
        </is>
      </c>
      <c r="F430" s="54" t="n">
        <v>6.17</v>
      </c>
      <c r="G430" s="55">
        <f>MAX(0,IF(Parameter!$B$20="Jahresanfang 2025 + Export",BG430+BF430,BF430))</f>
        <v/>
      </c>
      <c r="H430" s="55">
        <f>G430*F430</f>
        <v/>
      </c>
      <c r="I430" s="55">
        <f>BI430*Parameter!$B$18</f>
        <v/>
      </c>
      <c r="J430" s="56" t="n">
        <v>86.5</v>
      </c>
      <c r="K430" s="57" t="n">
        <v>2.982658959537572</v>
      </c>
      <c r="L430" s="55" t="n">
        <v>16</v>
      </c>
      <c r="M430" s="55" t="n">
        <v>100</v>
      </c>
      <c r="N430" s="58" t="n">
        <v>21</v>
      </c>
      <c r="O430" s="53" t="inlineStr">
        <is>
          <t>S41</t>
        </is>
      </c>
      <c r="P430" s="55" t="n">
        <v>166</v>
      </c>
      <c r="Q430" s="59">
        <f>IF(BO430=1,0,IFERROR(VLOOKUP(BM430,'Gebinde-Kategorie'!$A$5:$G$45,6,0)+0,0))</f>
        <v/>
      </c>
      <c r="R430" s="60" t="n"/>
      <c r="S430" s="61" t="n"/>
      <c r="T430" s="61" t="n"/>
      <c r="U430" s="53">
        <f>IF(A430="","",IF(IFERROR(VLOOKUP(D430,Parameter!$A$35:$C$64,2,0),"Nein")="2+3",IF(ISNUMBER(SEARCH("grosser Artikel",BJ430)),2,IFERROR(VLOOKUP(BM430,Parameter!$F$35:$G$64,2,0),2)),IF(OR(IFERROR(VLOOKUP(D430,Parameter!$A$35:$C$64,2,0),"Nein")="Nein",IFERROR(VLOOKUP(D430,Parameter!$A$35:$C$64,2,0),"Nein")=""),"-",VLOOKUP(D430,Parameter!$A$35:$C$64,2,0))))</f>
        <v/>
      </c>
      <c r="V430" s="61" t="n"/>
      <c r="W430" s="62" t="n"/>
      <c r="X430" s="55">
        <f>AM430</f>
        <v/>
      </c>
      <c r="Y430" s="55">
        <f>MAX(AM430,G430)</f>
        <v/>
      </c>
      <c r="Z430" s="63" t="n"/>
      <c r="AA430" s="55">
        <f>IF(LEFT(Cockpit!$C$5,1)="A",G430,IF(BT430=1,BU430,IF(LEFT(Cockpit!$C$5,1)="B",AE430,MAX(AE430,G430))))</f>
        <v/>
      </c>
      <c r="AB430" s="55">
        <f>IF(BO430=1,0,ROUNDUP(AA430/BN430,0))</f>
        <v/>
      </c>
      <c r="AC430" s="64">
        <f>IF(BO430=1,IF(AA430&lt;=0,0,BP430*MAX(1,IF(G430&gt;0,AA430/G430,1))),AB430*Q430)</f>
        <v/>
      </c>
      <c r="AD430" s="55">
        <f>AA430*F430</f>
        <v/>
      </c>
      <c r="AE430" s="55">
        <f>ROUNDUP(MAX(I430/IF(BS430&gt;0,BS430,MAX(0.1,N(Cockpit!$C$6))),BV430)/BN430,0)*BN430</f>
        <v/>
      </c>
      <c r="AF430" s="56">
        <f>IF(AC430&gt;0,I430/AC430,-1)</f>
        <v/>
      </c>
      <c r="AG430" s="56">
        <f>IF(AND(OR(BR430="L1",BR430="L23"),AC430&gt;0),SUMIFS($AC$7:$AC$1570,$BR$7:$BR$1570,BR430,$AF$7:$AF$1570,"&gt;"&amp;AF430)+SUMIFS($AC$7:$AC$1570,$BR$7:$BR$1570,BR430,$AF$7:$AF$1570,AF430,$BL$7:$BL$1570,"&lt;="&amp;BL430),"")</f>
        <v/>
      </c>
      <c r="AH430" s="65">
        <f>IF(AG430="",0,MAX(0,MIN(1,(IF(BR430="L1",Parameter!$K$5,Parameter!$K$6+Parameter!$K$7)-(AG430-AC430))/AC430)))</f>
        <v/>
      </c>
      <c r="AI430" s="55">
        <f>IF(LEFT(Cockpit!$I$5,1)="A",G430,IF(BT430=1,BU430,IF(LEFT(Cockpit!$I$5,1)="B",AM430,MAX(AM430,G430))))</f>
        <v/>
      </c>
      <c r="AJ430" s="55">
        <f>IF(BO430=1,0,ROUNDUP(AI430/BN430,0))</f>
        <v/>
      </c>
      <c r="AK430" s="64">
        <f>IF(BO430=1,IF(AI430&lt;=0,0,BP430*MAX(1,IF(G430&gt;0,AI430/G430,1))),AJ430*Q430)</f>
        <v/>
      </c>
      <c r="AL430" s="55">
        <f>AI430*F430</f>
        <v/>
      </c>
      <c r="AM430" s="55">
        <f>ROUNDUP(MAX(I430/IF(BS430&gt;0,BS430,MAX(0.1,N(Cockpit!$I$6))),BV430)/BN430,0)*BN430</f>
        <v/>
      </c>
      <c r="AN430" s="56">
        <f>IF(AK430&gt;0,I430/AK430,-1)</f>
        <v/>
      </c>
      <c r="AO430" s="56">
        <f>IF(AND(OR(BR430="L1",BR430="L23"),AK430&gt;0),SUMIFS($AK$7:$AK$1570,$BR$7:$BR$1570,BR430,$AN$7:$AN$1570,"&gt;"&amp;AN430)+SUMIFS($AK$7:$AK$1570,$BR$7:$BR$1570,BR430,$AN$7:$AN$1570,AN430,$BL$7:$BL$1570,"&lt;="&amp;BL430),"")</f>
        <v/>
      </c>
      <c r="AP430" s="65">
        <f>IF(AO430="",0,MAX(0,MIN(1,(IF(BR430="L1",Parameter!$K$5,Parameter!$K$6+Parameter!$K$7)-(AO430-AK430))/AK430)))</f>
        <v/>
      </c>
      <c r="AQ430" s="55">
        <f>IF(LEFT(Cockpit!$O$5,1)="A",G430,IF(BT430=1,BU430,IF(LEFT(Cockpit!$O$5,1)="B",AU430,MAX(AU430,G430))))</f>
        <v/>
      </c>
      <c r="AR430" s="55">
        <f>IF(BO430=1,0,ROUNDUP(AQ430/BN430,0))</f>
        <v/>
      </c>
      <c r="AS430" s="64">
        <f>IF(BO430=1,IF(AQ430&lt;=0,0,BP430*MAX(1,IF(G430&gt;0,AQ430/G430,1))),AR430*Q430)</f>
        <v/>
      </c>
      <c r="AT430" s="55">
        <f>AQ430*F430</f>
        <v/>
      </c>
      <c r="AU430" s="55">
        <f>ROUNDUP(MAX(I430/IF(BS430&gt;0,BS430,MAX(0.1,N(Cockpit!$O$6))),BV430)/BN430,0)*BN430</f>
        <v/>
      </c>
      <c r="AV430" s="56">
        <f>IF(AS430&gt;0,I430/AS430,-1)</f>
        <v/>
      </c>
      <c r="AW430" s="56">
        <f>IF(AND(OR(BR430="L1",BR430="L23"),AS430&gt;0),SUMIFS($AS$7:$AS$1570,$BR$7:$BR$1570,BR430,$AV$7:$AV$1570,"&gt;"&amp;AV430)+SUMIFS($AS$7:$AS$1570,$BR$7:$BR$1570,BR430,$AV$7:$AV$1570,AV430,$BL$7:$BL$1570,"&lt;="&amp;BL430),"")</f>
        <v/>
      </c>
      <c r="AX430" s="65">
        <f>IF(AW430="",0,MAX(0,MIN(1,(IF(BR430="L1",Parameter!$K$5,Parameter!$K$6+Parameter!$K$7)-(AW430-AS430))/AS430)))</f>
        <v/>
      </c>
      <c r="AY430" s="53">
        <f>IF(AC430&lt;=0,"",IF(BR430="Aussen","Aussenlager",IF(BR430="-","Nicht im Lift",IF(AH430&gt;=1,"Lift",IF(AH430&lt;=0,"Aussenlager","teilweise")))))</f>
        <v/>
      </c>
      <c r="AZ430" s="53">
        <f>IF(AK430&lt;=0,"",IF(BR430="Aussen","Aussenlager",IF(BR430="-","Nicht im Lift",IF(AP430&gt;=1,"Lift",IF(AP430&lt;=0,"Aussenlager","teilweise")))))</f>
        <v/>
      </c>
      <c r="BA430" s="53">
        <f>IF(AS430&lt;=0,"",IF(BR430="Aussen","Aussenlager",IF(BR430="-","Nicht im Lift",IF(AX430&gt;=1,"Lift",IF(AX430&lt;=0,"Aussenlager","teilweise")))))</f>
        <v/>
      </c>
      <c r="BB430" s="53">
        <f>IF(A430="","",IF(BK430=1,"Neu; ","")&amp;IF(AND(BK430=0,BF430&lt;0),"negativer Bestand (Export "&amp;BF430&amp;"); ","")&amp;IF(I430&lt;=0,"Kein Verbrauch; ","")&amp;IF(BO430=1,"Lose – Fläche geschätzt; ","")&amp;IF(G430&gt;AM430,"Überbestand "&amp;ROUND(G430-AM430,0)&amp;" Stk / CHF "&amp;ROUND((G430-AM430)*F430,0)&amp;"; ","")&amp;IF(AND(BT430=1,BU430&lt;BV430),"MAX &lt; MB+LG; ","")&amp;IF(AND(BZ430&gt;0,BY430*10&gt;BZ430),"zu hoch für Tablar; ","")&amp;IF(AND(BK430=0,OR(BT430=1,V430&lt;&gt;"",S430&lt;&gt;"",T430&lt;&gt;"",W430&lt;&gt;"")),"manuell übersteuert; ","")&amp;IF(AND(BO430=0,Q430=0),"Gebinde unbekannt; ","")&amp;IF(AND(BO430=0,N(T430)&lt;=0,N(P430)&lt;=0),"Menge pro Gebinde fehlt (Ist = 1 Gebinde); ","")&amp;BJ430)</f>
        <v/>
      </c>
      <c r="BC430" s="53" t="n"/>
      <c r="BD430" s="53" t="n"/>
      <c r="BE430" s="61" t="n"/>
      <c r="BF430" s="55" t="n">
        <v>7</v>
      </c>
      <c r="BG430" s="55" t="n">
        <v>68</v>
      </c>
      <c r="BH430" s="54" t="n">
        <v>84.05999999999972</v>
      </c>
      <c r="BI430" s="55" t="n">
        <v>258</v>
      </c>
      <c r="BJ430" s="53" t="inlineStr"/>
      <c r="BK430" s="58" t="n">
        <v>0</v>
      </c>
      <c r="BL430" s="58" t="n">
        <v>430</v>
      </c>
      <c r="BM430" s="53">
        <f>IF(S430&lt;&gt;"",UPPER(TRIM(S430)),IF(O430="","LOSE",O430))</f>
        <v/>
      </c>
      <c r="BN430" s="55">
        <f>IF(BM430="LOSE",1,IF(N(T430)&gt;0,T430,IF(N(P430)&gt;0,P430,MAX(1,G430))))</f>
        <v/>
      </c>
      <c r="BO430" s="58">
        <f>IF(BM430="LOSE",1,0)</f>
        <v/>
      </c>
      <c r="BP430" s="64">
        <f>IF(BO430=0,0,IF(N(R430)&gt;0,R430,IFERROR(VLOOKUP(D430,Parameter!$A$35:$C$64,3,0)+0,0)))</f>
        <v/>
      </c>
      <c r="BQ430" s="53">
        <f>IF(V430&lt;&gt;"",V430,U430)</f>
        <v/>
      </c>
      <c r="BR430" s="53">
        <f>IF(BQ430=1,"L1",IF(OR(BQ430=2,BQ430=3),"L23",IF(BQ430="Aussen","Aussen","-")))</f>
        <v/>
      </c>
      <c r="BS430" s="66">
        <f>IF(N(W430)&gt;0,W430,0)</f>
        <v/>
      </c>
      <c r="BT430" s="58">
        <f>IF(ISNUMBER(Z430),1,0)</f>
        <v/>
      </c>
      <c r="BU430" s="55">
        <f>N(Z430)</f>
        <v/>
      </c>
      <c r="BV430" s="55">
        <f>N(L430)+N(M430)</f>
        <v/>
      </c>
      <c r="BW430" s="55">
        <f>ROUNDUP(G430/BN430,0)</f>
        <v/>
      </c>
      <c r="BX430" s="55">
        <f>ROUNDUP(BU430/BN430,0)</f>
        <v/>
      </c>
      <c r="BY430" s="58">
        <f>IF(BO430=1,0,IFERROR(VLOOKUP(BM430,'Gebinde-Kategorie'!$A$5:$G$45,5,0)+0,0))</f>
        <v/>
      </c>
      <c r="BZ430" s="58">
        <f>IFERROR(IF(OR(BQ430=1,BQ430=2,BQ430=3),N(INDEX(Parameter!$I$5:$I$7,BQ430)),0),0)</f>
        <v/>
      </c>
    </row>
    <row r="431">
      <c r="A431" s="53" t="inlineStr">
        <is>
          <t>107126</t>
        </is>
      </c>
      <c r="B431" s="53" t="inlineStr">
        <is>
          <t>Verbunddichtring</t>
        </is>
      </c>
      <c r="C431" s="53" t="inlineStr">
        <is>
          <t>F</t>
        </is>
      </c>
      <c r="D431" s="53" t="inlineStr">
        <is>
          <t>KTL</t>
        </is>
      </c>
      <c r="E431" s="53" t="inlineStr">
        <is>
          <t>C</t>
        </is>
      </c>
      <c r="F431" s="54" t="n">
        <v>3.27</v>
      </c>
      <c r="G431" s="55">
        <f>MAX(0,IF(Parameter!$B$20="Jahresanfang 2025 + Export",BG431+BF431,BF431))</f>
        <v/>
      </c>
      <c r="H431" s="55">
        <f>G431*F431</f>
        <v/>
      </c>
      <c r="I431" s="55">
        <f>BI431*Parameter!$B$18</f>
        <v/>
      </c>
      <c r="J431" s="56" t="n">
        <v>126.5</v>
      </c>
      <c r="K431" s="57" t="n">
        <v>1.24901185770751</v>
      </c>
      <c r="L431" s="55" t="n">
        <v>9</v>
      </c>
      <c r="M431" s="55" t="n">
        <v>160</v>
      </c>
      <c r="N431" s="58" t="n">
        <v>21</v>
      </c>
      <c r="O431" s="53" t="inlineStr">
        <is>
          <t>S32</t>
        </is>
      </c>
      <c r="P431" s="55" t="n">
        <v>125</v>
      </c>
      <c r="Q431" s="59">
        <f>IF(BO431=1,0,IFERROR(VLOOKUP(BM431,'Gebinde-Kategorie'!$A$5:$G$45,6,0)+0,0))</f>
        <v/>
      </c>
      <c r="R431" s="60" t="n"/>
      <c r="S431" s="61" t="n"/>
      <c r="T431" s="61" t="n"/>
      <c r="U431" s="53">
        <f>IF(A431="","",IF(IFERROR(VLOOKUP(D431,Parameter!$A$35:$C$64,2,0),"Nein")="2+3",IF(ISNUMBER(SEARCH("grosser Artikel",BJ431)),2,IFERROR(VLOOKUP(BM431,Parameter!$F$35:$G$64,2,0),2)),IF(OR(IFERROR(VLOOKUP(D431,Parameter!$A$35:$C$64,2,0),"Nein")="Nein",IFERROR(VLOOKUP(D431,Parameter!$A$35:$C$64,2,0),"Nein")=""),"-",VLOOKUP(D431,Parameter!$A$35:$C$64,2,0))))</f>
        <v/>
      </c>
      <c r="V431" s="61" t="n"/>
      <c r="W431" s="62" t="n"/>
      <c r="X431" s="55">
        <f>AM431</f>
        <v/>
      </c>
      <c r="Y431" s="55">
        <f>MAX(AM431,G431)</f>
        <v/>
      </c>
      <c r="Z431" s="63" t="n"/>
      <c r="AA431" s="55">
        <f>IF(LEFT(Cockpit!$C$5,1)="A",G431,IF(BT431=1,BU431,IF(LEFT(Cockpit!$C$5,1)="B",AE431,MAX(AE431,G431))))</f>
        <v/>
      </c>
      <c r="AB431" s="55">
        <f>IF(BO431=1,0,ROUNDUP(AA431/BN431,0))</f>
        <v/>
      </c>
      <c r="AC431" s="64">
        <f>IF(BO431=1,IF(AA431&lt;=0,0,BP431*MAX(1,IF(G431&gt;0,AA431/G431,1))),AB431*Q431)</f>
        <v/>
      </c>
      <c r="AD431" s="55">
        <f>AA431*F431</f>
        <v/>
      </c>
      <c r="AE431" s="55">
        <f>ROUNDUP(MAX(I431/IF(BS431&gt;0,BS431,MAX(0.1,N(Cockpit!$C$6))),BV431)/BN431,0)*BN431</f>
        <v/>
      </c>
      <c r="AF431" s="56">
        <f>IF(AC431&gt;0,I431/AC431,-1)</f>
        <v/>
      </c>
      <c r="AG431" s="56">
        <f>IF(AND(OR(BR431="L1",BR431="L23"),AC431&gt;0),SUMIFS($AC$7:$AC$1570,$BR$7:$BR$1570,BR431,$AF$7:$AF$1570,"&gt;"&amp;AF431)+SUMIFS($AC$7:$AC$1570,$BR$7:$BR$1570,BR431,$AF$7:$AF$1570,AF431,$BL$7:$BL$1570,"&lt;="&amp;BL431),"")</f>
        <v/>
      </c>
      <c r="AH431" s="65">
        <f>IF(AG431="",0,MAX(0,MIN(1,(IF(BR431="L1",Parameter!$K$5,Parameter!$K$6+Parameter!$K$7)-(AG431-AC431))/AC431)))</f>
        <v/>
      </c>
      <c r="AI431" s="55">
        <f>IF(LEFT(Cockpit!$I$5,1)="A",G431,IF(BT431=1,BU431,IF(LEFT(Cockpit!$I$5,1)="B",AM431,MAX(AM431,G431))))</f>
        <v/>
      </c>
      <c r="AJ431" s="55">
        <f>IF(BO431=1,0,ROUNDUP(AI431/BN431,0))</f>
        <v/>
      </c>
      <c r="AK431" s="64">
        <f>IF(BO431=1,IF(AI431&lt;=0,0,BP431*MAX(1,IF(G431&gt;0,AI431/G431,1))),AJ431*Q431)</f>
        <v/>
      </c>
      <c r="AL431" s="55">
        <f>AI431*F431</f>
        <v/>
      </c>
      <c r="AM431" s="55">
        <f>ROUNDUP(MAX(I431/IF(BS431&gt;0,BS431,MAX(0.1,N(Cockpit!$I$6))),BV431)/BN431,0)*BN431</f>
        <v/>
      </c>
      <c r="AN431" s="56">
        <f>IF(AK431&gt;0,I431/AK431,-1)</f>
        <v/>
      </c>
      <c r="AO431" s="56">
        <f>IF(AND(OR(BR431="L1",BR431="L23"),AK431&gt;0),SUMIFS($AK$7:$AK$1570,$BR$7:$BR$1570,BR431,$AN$7:$AN$1570,"&gt;"&amp;AN431)+SUMIFS($AK$7:$AK$1570,$BR$7:$BR$1570,BR431,$AN$7:$AN$1570,AN431,$BL$7:$BL$1570,"&lt;="&amp;BL431),"")</f>
        <v/>
      </c>
      <c r="AP431" s="65">
        <f>IF(AO431="",0,MAX(0,MIN(1,(IF(BR431="L1",Parameter!$K$5,Parameter!$K$6+Parameter!$K$7)-(AO431-AK431))/AK431)))</f>
        <v/>
      </c>
      <c r="AQ431" s="55">
        <f>IF(LEFT(Cockpit!$O$5,1)="A",G431,IF(BT431=1,BU431,IF(LEFT(Cockpit!$O$5,1)="B",AU431,MAX(AU431,G431))))</f>
        <v/>
      </c>
      <c r="AR431" s="55">
        <f>IF(BO431=1,0,ROUNDUP(AQ431/BN431,0))</f>
        <v/>
      </c>
      <c r="AS431" s="64">
        <f>IF(BO431=1,IF(AQ431&lt;=0,0,BP431*MAX(1,IF(G431&gt;0,AQ431/G431,1))),AR431*Q431)</f>
        <v/>
      </c>
      <c r="AT431" s="55">
        <f>AQ431*F431</f>
        <v/>
      </c>
      <c r="AU431" s="55">
        <f>ROUNDUP(MAX(I431/IF(BS431&gt;0,BS431,MAX(0.1,N(Cockpit!$O$6))),BV431)/BN431,0)*BN431</f>
        <v/>
      </c>
      <c r="AV431" s="56">
        <f>IF(AS431&gt;0,I431/AS431,-1)</f>
        <v/>
      </c>
      <c r="AW431" s="56">
        <f>IF(AND(OR(BR431="L1",BR431="L23"),AS431&gt;0),SUMIFS($AS$7:$AS$1570,$BR$7:$BR$1570,BR431,$AV$7:$AV$1570,"&gt;"&amp;AV431)+SUMIFS($AS$7:$AS$1570,$BR$7:$BR$1570,BR431,$AV$7:$AV$1570,AV431,$BL$7:$BL$1570,"&lt;="&amp;BL431),"")</f>
        <v/>
      </c>
      <c r="AX431" s="65">
        <f>IF(AW431="",0,MAX(0,MIN(1,(IF(BR431="L1",Parameter!$K$5,Parameter!$K$6+Parameter!$K$7)-(AW431-AS431))/AS431)))</f>
        <v/>
      </c>
      <c r="AY431" s="53">
        <f>IF(AC431&lt;=0,"",IF(BR431="Aussen","Aussenlager",IF(BR431="-","Nicht im Lift",IF(AH431&gt;=1,"Lift",IF(AH431&lt;=0,"Aussenlager","teilweise")))))</f>
        <v/>
      </c>
      <c r="AZ431" s="53">
        <f>IF(AK431&lt;=0,"",IF(BR431="Aussen","Aussenlager",IF(BR431="-","Nicht im Lift",IF(AP431&gt;=1,"Lift",IF(AP431&lt;=0,"Aussenlager","teilweise")))))</f>
        <v/>
      </c>
      <c r="BA431" s="53">
        <f>IF(AS431&lt;=0,"",IF(BR431="Aussen","Aussenlager",IF(BR431="-","Nicht im Lift",IF(AX431&gt;=1,"Lift",IF(AX431&lt;=0,"Aussenlager","teilweise")))))</f>
        <v/>
      </c>
      <c r="BB431" s="53">
        <f>IF(A431="","",IF(BK431=1,"Neu; ","")&amp;IF(AND(BK431=0,BF431&lt;0),"negativer Bestand (Export "&amp;BF431&amp;"); ","")&amp;IF(I431&lt;=0,"Kein Verbrauch; ","")&amp;IF(BO431=1,"Lose – Fläche geschätzt; ","")&amp;IF(G431&gt;AM431,"Überbestand "&amp;ROUND(G431-AM431,0)&amp;" Stk / CHF "&amp;ROUND((G431-AM431)*F431,0)&amp;"; ","")&amp;IF(AND(BT431=1,BU431&lt;BV431),"MAX &lt; MB+LG; ","")&amp;IF(AND(BZ431&gt;0,BY431*10&gt;BZ431),"zu hoch für Tablar; ","")&amp;IF(AND(BK431=0,OR(BT431=1,V431&lt;&gt;"",S431&lt;&gt;"",T431&lt;&gt;"",W431&lt;&gt;"")),"manuell übersteuert; ","")&amp;IF(AND(BO431=0,Q431=0),"Gebinde unbekannt; ","")&amp;IF(AND(BO431=0,N(T431)&lt;=0,N(P431)&lt;=0),"Menge pro Gebinde fehlt (Ist = 1 Gebinde); ","")&amp;BJ431)</f>
        <v/>
      </c>
      <c r="BC431" s="53" t="n"/>
      <c r="BD431" s="53" t="n"/>
      <c r="BE431" s="61" t="n"/>
      <c r="BF431" s="55" t="n">
        <v>44</v>
      </c>
      <c r="BG431" s="55" t="n">
        <v>111</v>
      </c>
      <c r="BH431" s="54" t="n">
        <v>83.96000000000065</v>
      </c>
      <c r="BI431" s="55" t="n">
        <v>158</v>
      </c>
      <c r="BJ431" s="53" t="inlineStr"/>
      <c r="BK431" s="58" t="n">
        <v>0</v>
      </c>
      <c r="BL431" s="58" t="n">
        <v>431</v>
      </c>
      <c r="BM431" s="53">
        <f>IF(S431&lt;&gt;"",UPPER(TRIM(S431)),IF(O431="","LOSE",O431))</f>
        <v/>
      </c>
      <c r="BN431" s="55">
        <f>IF(BM431="LOSE",1,IF(N(T431)&gt;0,T431,IF(N(P431)&gt;0,P431,MAX(1,G431))))</f>
        <v/>
      </c>
      <c r="BO431" s="58">
        <f>IF(BM431="LOSE",1,0)</f>
        <v/>
      </c>
      <c r="BP431" s="64">
        <f>IF(BO431=0,0,IF(N(R431)&gt;0,R431,IFERROR(VLOOKUP(D431,Parameter!$A$35:$C$64,3,0)+0,0)))</f>
        <v/>
      </c>
      <c r="BQ431" s="53">
        <f>IF(V431&lt;&gt;"",V431,U431)</f>
        <v/>
      </c>
      <c r="BR431" s="53">
        <f>IF(BQ431=1,"L1",IF(OR(BQ431=2,BQ431=3),"L23",IF(BQ431="Aussen","Aussen","-")))</f>
        <v/>
      </c>
      <c r="BS431" s="66">
        <f>IF(N(W431)&gt;0,W431,0)</f>
        <v/>
      </c>
      <c r="BT431" s="58">
        <f>IF(ISNUMBER(Z431),1,0)</f>
        <v/>
      </c>
      <c r="BU431" s="55">
        <f>N(Z431)</f>
        <v/>
      </c>
      <c r="BV431" s="55">
        <f>N(L431)+N(M431)</f>
        <v/>
      </c>
      <c r="BW431" s="55">
        <f>ROUNDUP(G431/BN431,0)</f>
        <v/>
      </c>
      <c r="BX431" s="55">
        <f>ROUNDUP(BU431/BN431,0)</f>
        <v/>
      </c>
      <c r="BY431" s="58">
        <f>IF(BO431=1,0,IFERROR(VLOOKUP(BM431,'Gebinde-Kategorie'!$A$5:$G$45,5,0)+0,0))</f>
        <v/>
      </c>
      <c r="BZ431" s="58">
        <f>IFERROR(IF(OR(BQ431=1,BQ431=2,BQ431=3),N(INDEX(Parameter!$I$5:$I$7,BQ431)),0),0)</f>
        <v/>
      </c>
    </row>
    <row r="432">
      <c r="A432" s="53" t="inlineStr">
        <is>
          <t>005676</t>
        </is>
      </c>
      <c r="B432" s="53" t="inlineStr">
        <is>
          <t>Industrie SD-Karte</t>
        </is>
      </c>
      <c r="C432" s="53" t="inlineStr">
        <is>
          <t>F</t>
        </is>
      </c>
      <c r="D432" s="53" t="inlineStr">
        <is>
          <t>KTL</t>
        </is>
      </c>
      <c r="E432" s="53" t="inlineStr">
        <is>
          <t>C</t>
        </is>
      </c>
      <c r="F432" s="54" t="n">
        <v>75.18000000000001</v>
      </c>
      <c r="G432" s="55">
        <f>MAX(0,IF(Parameter!$B$20="Jahresanfang 2025 + Export",BG432+BF432,BF432))</f>
        <v/>
      </c>
      <c r="H432" s="55">
        <f>G432*F432</f>
        <v/>
      </c>
      <c r="I432" s="55">
        <f>BI432*Parameter!$B$18</f>
        <v/>
      </c>
      <c r="J432" s="56" t="n">
        <v>8.5</v>
      </c>
      <c r="K432" s="57" t="n">
        <v>0.5882352941176471</v>
      </c>
      <c r="L432" s="55" t="n">
        <v>0</v>
      </c>
      <c r="M432" s="55" t="n">
        <v>10</v>
      </c>
      <c r="N432" s="58" t="n">
        <v>21</v>
      </c>
      <c r="O432" s="53" t="inlineStr">
        <is>
          <t>S21</t>
        </is>
      </c>
      <c r="P432" s="55" t="n">
        <v>10</v>
      </c>
      <c r="Q432" s="59">
        <f>IF(BO432=1,0,IFERROR(VLOOKUP(BM432,'Gebinde-Kategorie'!$A$5:$G$45,6,0)+0,0))</f>
        <v/>
      </c>
      <c r="R432" s="60" t="n"/>
      <c r="S432" s="61" t="n"/>
      <c r="T432" s="61" t="n"/>
      <c r="U432" s="53">
        <f>IF(A432="","",IF(IFERROR(VLOOKUP(D432,Parameter!$A$35:$C$64,2,0),"Nein")="2+3",IF(ISNUMBER(SEARCH("grosser Artikel",BJ432)),2,IFERROR(VLOOKUP(BM432,Parameter!$F$35:$G$64,2,0),2)),IF(OR(IFERROR(VLOOKUP(D432,Parameter!$A$35:$C$64,2,0),"Nein")="Nein",IFERROR(VLOOKUP(D432,Parameter!$A$35:$C$64,2,0),"Nein")=""),"-",VLOOKUP(D432,Parameter!$A$35:$C$64,2,0))))</f>
        <v/>
      </c>
      <c r="V432" s="61" t="n"/>
      <c r="W432" s="62" t="n"/>
      <c r="X432" s="55">
        <f>AM432</f>
        <v/>
      </c>
      <c r="Y432" s="55">
        <f>MAX(AM432,G432)</f>
        <v/>
      </c>
      <c r="Z432" s="63" t="n"/>
      <c r="AA432" s="55">
        <f>IF(LEFT(Cockpit!$C$5,1)="A",G432,IF(BT432=1,BU432,IF(LEFT(Cockpit!$C$5,1)="B",AE432,MAX(AE432,G432))))</f>
        <v/>
      </c>
      <c r="AB432" s="55">
        <f>IF(BO432=1,0,ROUNDUP(AA432/BN432,0))</f>
        <v/>
      </c>
      <c r="AC432" s="64">
        <f>IF(BO432=1,IF(AA432&lt;=0,0,BP432*MAX(1,IF(G432&gt;0,AA432/G432,1))),AB432*Q432)</f>
        <v/>
      </c>
      <c r="AD432" s="55">
        <f>AA432*F432</f>
        <v/>
      </c>
      <c r="AE432" s="55">
        <f>ROUNDUP(MAX(I432/IF(BS432&gt;0,BS432,MAX(0.1,N(Cockpit!$C$6))),BV432)/BN432,0)*BN432</f>
        <v/>
      </c>
      <c r="AF432" s="56">
        <f>IF(AC432&gt;0,I432/AC432,-1)</f>
        <v/>
      </c>
      <c r="AG432" s="56">
        <f>IF(AND(OR(BR432="L1",BR432="L23"),AC432&gt;0),SUMIFS($AC$7:$AC$1570,$BR$7:$BR$1570,BR432,$AF$7:$AF$1570,"&gt;"&amp;AF432)+SUMIFS($AC$7:$AC$1570,$BR$7:$BR$1570,BR432,$AF$7:$AF$1570,AF432,$BL$7:$BL$1570,"&lt;="&amp;BL432),"")</f>
        <v/>
      </c>
      <c r="AH432" s="65">
        <f>IF(AG432="",0,MAX(0,MIN(1,(IF(BR432="L1",Parameter!$K$5,Parameter!$K$6+Parameter!$K$7)-(AG432-AC432))/AC432)))</f>
        <v/>
      </c>
      <c r="AI432" s="55">
        <f>IF(LEFT(Cockpit!$I$5,1)="A",G432,IF(BT432=1,BU432,IF(LEFT(Cockpit!$I$5,1)="B",AM432,MAX(AM432,G432))))</f>
        <v/>
      </c>
      <c r="AJ432" s="55">
        <f>IF(BO432=1,0,ROUNDUP(AI432/BN432,0))</f>
        <v/>
      </c>
      <c r="AK432" s="64">
        <f>IF(BO432=1,IF(AI432&lt;=0,0,BP432*MAX(1,IF(G432&gt;0,AI432/G432,1))),AJ432*Q432)</f>
        <v/>
      </c>
      <c r="AL432" s="55">
        <f>AI432*F432</f>
        <v/>
      </c>
      <c r="AM432" s="55">
        <f>ROUNDUP(MAX(I432/IF(BS432&gt;0,BS432,MAX(0.1,N(Cockpit!$I$6))),BV432)/BN432,0)*BN432</f>
        <v/>
      </c>
      <c r="AN432" s="56">
        <f>IF(AK432&gt;0,I432/AK432,-1)</f>
        <v/>
      </c>
      <c r="AO432" s="56">
        <f>IF(AND(OR(BR432="L1",BR432="L23"),AK432&gt;0),SUMIFS($AK$7:$AK$1570,$BR$7:$BR$1570,BR432,$AN$7:$AN$1570,"&gt;"&amp;AN432)+SUMIFS($AK$7:$AK$1570,$BR$7:$BR$1570,BR432,$AN$7:$AN$1570,AN432,$BL$7:$BL$1570,"&lt;="&amp;BL432),"")</f>
        <v/>
      </c>
      <c r="AP432" s="65">
        <f>IF(AO432="",0,MAX(0,MIN(1,(IF(BR432="L1",Parameter!$K$5,Parameter!$K$6+Parameter!$K$7)-(AO432-AK432))/AK432)))</f>
        <v/>
      </c>
      <c r="AQ432" s="55">
        <f>IF(LEFT(Cockpit!$O$5,1)="A",G432,IF(BT432=1,BU432,IF(LEFT(Cockpit!$O$5,1)="B",AU432,MAX(AU432,G432))))</f>
        <v/>
      </c>
      <c r="AR432" s="55">
        <f>IF(BO432=1,0,ROUNDUP(AQ432/BN432,0))</f>
        <v/>
      </c>
      <c r="AS432" s="64">
        <f>IF(BO432=1,IF(AQ432&lt;=0,0,BP432*MAX(1,IF(G432&gt;0,AQ432/G432,1))),AR432*Q432)</f>
        <v/>
      </c>
      <c r="AT432" s="55">
        <f>AQ432*F432</f>
        <v/>
      </c>
      <c r="AU432" s="55">
        <f>ROUNDUP(MAX(I432/IF(BS432&gt;0,BS432,MAX(0.1,N(Cockpit!$O$6))),BV432)/BN432,0)*BN432</f>
        <v/>
      </c>
      <c r="AV432" s="56">
        <f>IF(AS432&gt;0,I432/AS432,-1)</f>
        <v/>
      </c>
      <c r="AW432" s="56">
        <f>IF(AND(OR(BR432="L1",BR432="L23"),AS432&gt;0),SUMIFS($AS$7:$AS$1570,$BR$7:$BR$1570,BR432,$AV$7:$AV$1570,"&gt;"&amp;AV432)+SUMIFS($AS$7:$AS$1570,$BR$7:$BR$1570,BR432,$AV$7:$AV$1570,AV432,$BL$7:$BL$1570,"&lt;="&amp;BL432),"")</f>
        <v/>
      </c>
      <c r="AX432" s="65">
        <f>IF(AW432="",0,MAX(0,MIN(1,(IF(BR432="L1",Parameter!$K$5,Parameter!$K$6+Parameter!$K$7)-(AW432-AS432))/AS432)))</f>
        <v/>
      </c>
      <c r="AY432" s="53">
        <f>IF(AC432&lt;=0,"",IF(BR432="Aussen","Aussenlager",IF(BR432="-","Nicht im Lift",IF(AH432&gt;=1,"Lift",IF(AH432&lt;=0,"Aussenlager","teilweise")))))</f>
        <v/>
      </c>
      <c r="AZ432" s="53">
        <f>IF(AK432&lt;=0,"",IF(BR432="Aussen","Aussenlager",IF(BR432="-","Nicht im Lift",IF(AP432&gt;=1,"Lift",IF(AP432&lt;=0,"Aussenlager","teilweise")))))</f>
        <v/>
      </c>
      <c r="BA432" s="53">
        <f>IF(AS432&lt;=0,"",IF(BR432="Aussen","Aussenlager",IF(BR432="-","Nicht im Lift",IF(AX432&gt;=1,"Lift",IF(AX432&lt;=0,"Aussenlager","teilweise")))))</f>
        <v/>
      </c>
      <c r="BB432" s="53">
        <f>IF(A432="","",IF(BK432=1,"Neu; ","")&amp;IF(AND(BK432=0,BF432&lt;0),"negativer Bestand (Export "&amp;BF432&amp;"); ","")&amp;IF(I432&lt;=0,"Kein Verbrauch; ","")&amp;IF(BO432=1,"Lose – Fläche geschätzt; ","")&amp;IF(G432&gt;AM432,"Überbestand "&amp;ROUND(G432-AM432,0)&amp;" Stk / CHF "&amp;ROUND((G432-AM432)*F432,0)&amp;"; ","")&amp;IF(AND(BT432=1,BU432&lt;BV432),"MAX &lt; MB+LG; ","")&amp;IF(AND(BZ432&gt;0,BY432*10&gt;BZ432),"zu hoch für Tablar; ","")&amp;IF(AND(BK432=0,OR(BT432=1,V432&lt;&gt;"",S432&lt;&gt;"",T432&lt;&gt;"",W432&lt;&gt;"")),"manuell übersteuert; ","")&amp;IF(AND(BO432=0,Q432=0),"Gebinde unbekannt; ","")&amp;IF(AND(BO432=0,N(T432)&lt;=0,N(P432)&lt;=0),"Menge pro Gebinde fehlt (Ist = 1 Gebinde); ","")&amp;BJ432)</f>
        <v/>
      </c>
      <c r="BC432" s="53" t="n"/>
      <c r="BD432" s="53" t="n"/>
      <c r="BE432" s="61" t="n"/>
      <c r="BF432" s="55" t="n">
        <v>-1</v>
      </c>
      <c r="BG432" s="55" t="n">
        <v>9</v>
      </c>
      <c r="BH432" s="54" t="n">
        <v>80.79000000000005</v>
      </c>
      <c r="BI432" s="55" t="n">
        <v>5</v>
      </c>
      <c r="BJ432" s="53" t="inlineStr"/>
      <c r="BK432" s="58" t="n">
        <v>0</v>
      </c>
      <c r="BL432" s="58" t="n">
        <v>432</v>
      </c>
      <c r="BM432" s="53">
        <f>IF(S432&lt;&gt;"",UPPER(TRIM(S432)),IF(O432="","LOSE",O432))</f>
        <v/>
      </c>
      <c r="BN432" s="55">
        <f>IF(BM432="LOSE",1,IF(N(T432)&gt;0,T432,IF(N(P432)&gt;0,P432,MAX(1,G432))))</f>
        <v/>
      </c>
      <c r="BO432" s="58">
        <f>IF(BM432="LOSE",1,0)</f>
        <v/>
      </c>
      <c r="BP432" s="64">
        <f>IF(BO432=0,0,IF(N(R432)&gt;0,R432,IFERROR(VLOOKUP(D432,Parameter!$A$35:$C$64,3,0)+0,0)))</f>
        <v/>
      </c>
      <c r="BQ432" s="53">
        <f>IF(V432&lt;&gt;"",V432,U432)</f>
        <v/>
      </c>
      <c r="BR432" s="53">
        <f>IF(BQ432=1,"L1",IF(OR(BQ432=2,BQ432=3),"L23",IF(BQ432="Aussen","Aussen","-")))</f>
        <v/>
      </c>
      <c r="BS432" s="66">
        <f>IF(N(W432)&gt;0,W432,0)</f>
        <v/>
      </c>
      <c r="BT432" s="58">
        <f>IF(ISNUMBER(Z432),1,0)</f>
        <v/>
      </c>
      <c r="BU432" s="55">
        <f>N(Z432)</f>
        <v/>
      </c>
      <c r="BV432" s="55">
        <f>N(L432)+N(M432)</f>
        <v/>
      </c>
      <c r="BW432" s="55">
        <f>ROUNDUP(G432/BN432,0)</f>
        <v/>
      </c>
      <c r="BX432" s="55">
        <f>ROUNDUP(BU432/BN432,0)</f>
        <v/>
      </c>
      <c r="BY432" s="58">
        <f>IF(BO432=1,0,IFERROR(VLOOKUP(BM432,'Gebinde-Kategorie'!$A$5:$G$45,5,0)+0,0))</f>
        <v/>
      </c>
      <c r="BZ432" s="58">
        <f>IFERROR(IF(OR(BQ432=1,BQ432=2,BQ432=3),N(INDEX(Parameter!$I$5:$I$7,BQ432)),0),0)</f>
        <v/>
      </c>
    </row>
    <row r="433">
      <c r="A433" s="53" t="inlineStr">
        <is>
          <t>001031</t>
        </is>
      </c>
      <c r="B433" s="53" t="inlineStr">
        <is>
          <t>Lecksuchspray</t>
        </is>
      </c>
      <c r="C433" s="53" t="inlineStr">
        <is>
          <t>F</t>
        </is>
      </c>
      <c r="D433" s="53" t="inlineStr">
        <is>
          <t>KTL</t>
        </is>
      </c>
      <c r="E433" s="53" t="inlineStr">
        <is>
          <t>C</t>
        </is>
      </c>
      <c r="F433" s="54" t="n">
        <v>9.529999999999999</v>
      </c>
      <c r="G433" s="55">
        <f>MAX(0,IF(Parameter!$B$20="Jahresanfang 2025 + Export",BG433+BF433,BF433))</f>
        <v/>
      </c>
      <c r="H433" s="55">
        <f>G433*F433</f>
        <v/>
      </c>
      <c r="I433" s="55">
        <f>BI433*Parameter!$B$18</f>
        <v/>
      </c>
      <c r="J433" s="56" t="n">
        <v>11.5</v>
      </c>
      <c r="K433" s="57" t="n">
        <v>11.21739130434783</v>
      </c>
      <c r="L433" s="55" t="n">
        <v>5</v>
      </c>
      <c r="M433" s="55" t="n">
        <v>25</v>
      </c>
      <c r="N433" s="58" t="n">
        <v>14</v>
      </c>
      <c r="O433" s="53" t="inlineStr">
        <is>
          <t>S63</t>
        </is>
      </c>
      <c r="P433" s="55" t="n">
        <v>40</v>
      </c>
      <c r="Q433" s="59">
        <f>IF(BO433=1,0,IFERROR(VLOOKUP(BM433,'Gebinde-Kategorie'!$A$5:$G$45,6,0)+0,0))</f>
        <v/>
      </c>
      <c r="R433" s="60" t="n"/>
      <c r="S433" s="61" t="n"/>
      <c r="T433" s="61" t="n"/>
      <c r="U433" s="53">
        <f>IF(A433="","",IF(IFERROR(VLOOKUP(D433,Parameter!$A$35:$C$64,2,0),"Nein")="2+3",IF(ISNUMBER(SEARCH("grosser Artikel",BJ433)),2,IFERROR(VLOOKUP(BM433,Parameter!$F$35:$G$64,2,0),2)),IF(OR(IFERROR(VLOOKUP(D433,Parameter!$A$35:$C$64,2,0),"Nein")="Nein",IFERROR(VLOOKUP(D433,Parameter!$A$35:$C$64,2,0),"Nein")=""),"-",VLOOKUP(D433,Parameter!$A$35:$C$64,2,0))))</f>
        <v/>
      </c>
      <c r="V433" s="61" t="n"/>
      <c r="W433" s="62" t="n"/>
      <c r="X433" s="55">
        <f>AM433</f>
        <v/>
      </c>
      <c r="Y433" s="55">
        <f>MAX(AM433,G433)</f>
        <v/>
      </c>
      <c r="Z433" s="63" t="n"/>
      <c r="AA433" s="55">
        <f>IF(LEFT(Cockpit!$C$5,1)="A",G433,IF(BT433=1,BU433,IF(LEFT(Cockpit!$C$5,1)="B",AE433,MAX(AE433,G433))))</f>
        <v/>
      </c>
      <c r="AB433" s="55">
        <f>IF(BO433=1,0,ROUNDUP(AA433/BN433,0))</f>
        <v/>
      </c>
      <c r="AC433" s="64">
        <f>IF(BO433=1,IF(AA433&lt;=0,0,BP433*MAX(1,IF(G433&gt;0,AA433/G433,1))),AB433*Q433)</f>
        <v/>
      </c>
      <c r="AD433" s="55">
        <f>AA433*F433</f>
        <v/>
      </c>
      <c r="AE433" s="55">
        <f>ROUNDUP(MAX(I433/IF(BS433&gt;0,BS433,MAX(0.1,N(Cockpit!$C$6))),BV433)/BN433,0)*BN433</f>
        <v/>
      </c>
      <c r="AF433" s="56">
        <f>IF(AC433&gt;0,I433/AC433,-1)</f>
        <v/>
      </c>
      <c r="AG433" s="56">
        <f>IF(AND(OR(BR433="L1",BR433="L23"),AC433&gt;0),SUMIFS($AC$7:$AC$1570,$BR$7:$BR$1570,BR433,$AF$7:$AF$1570,"&gt;"&amp;AF433)+SUMIFS($AC$7:$AC$1570,$BR$7:$BR$1570,BR433,$AF$7:$AF$1570,AF433,$BL$7:$BL$1570,"&lt;="&amp;BL433),"")</f>
        <v/>
      </c>
      <c r="AH433" s="65">
        <f>IF(AG433="",0,MAX(0,MIN(1,(IF(BR433="L1",Parameter!$K$5,Parameter!$K$6+Parameter!$K$7)-(AG433-AC433))/AC433)))</f>
        <v/>
      </c>
      <c r="AI433" s="55">
        <f>IF(LEFT(Cockpit!$I$5,1)="A",G433,IF(BT433=1,BU433,IF(LEFT(Cockpit!$I$5,1)="B",AM433,MAX(AM433,G433))))</f>
        <v/>
      </c>
      <c r="AJ433" s="55">
        <f>IF(BO433=1,0,ROUNDUP(AI433/BN433,0))</f>
        <v/>
      </c>
      <c r="AK433" s="64">
        <f>IF(BO433=1,IF(AI433&lt;=0,0,BP433*MAX(1,IF(G433&gt;0,AI433/G433,1))),AJ433*Q433)</f>
        <v/>
      </c>
      <c r="AL433" s="55">
        <f>AI433*F433</f>
        <v/>
      </c>
      <c r="AM433" s="55">
        <f>ROUNDUP(MAX(I433/IF(BS433&gt;0,BS433,MAX(0.1,N(Cockpit!$I$6))),BV433)/BN433,0)*BN433</f>
        <v/>
      </c>
      <c r="AN433" s="56">
        <f>IF(AK433&gt;0,I433/AK433,-1)</f>
        <v/>
      </c>
      <c r="AO433" s="56">
        <f>IF(AND(OR(BR433="L1",BR433="L23"),AK433&gt;0),SUMIFS($AK$7:$AK$1570,$BR$7:$BR$1570,BR433,$AN$7:$AN$1570,"&gt;"&amp;AN433)+SUMIFS($AK$7:$AK$1570,$BR$7:$BR$1570,BR433,$AN$7:$AN$1570,AN433,$BL$7:$BL$1570,"&lt;="&amp;BL433),"")</f>
        <v/>
      </c>
      <c r="AP433" s="65">
        <f>IF(AO433="",0,MAX(0,MIN(1,(IF(BR433="L1",Parameter!$K$5,Parameter!$K$6+Parameter!$K$7)-(AO433-AK433))/AK433)))</f>
        <v/>
      </c>
      <c r="AQ433" s="55">
        <f>IF(LEFT(Cockpit!$O$5,1)="A",G433,IF(BT433=1,BU433,IF(LEFT(Cockpit!$O$5,1)="B",AU433,MAX(AU433,G433))))</f>
        <v/>
      </c>
      <c r="AR433" s="55">
        <f>IF(BO433=1,0,ROUNDUP(AQ433/BN433,0))</f>
        <v/>
      </c>
      <c r="AS433" s="64">
        <f>IF(BO433=1,IF(AQ433&lt;=0,0,BP433*MAX(1,IF(G433&gt;0,AQ433/G433,1))),AR433*Q433)</f>
        <v/>
      </c>
      <c r="AT433" s="55">
        <f>AQ433*F433</f>
        <v/>
      </c>
      <c r="AU433" s="55">
        <f>ROUNDUP(MAX(I433/IF(BS433&gt;0,BS433,MAX(0.1,N(Cockpit!$O$6))),BV433)/BN433,0)*BN433</f>
        <v/>
      </c>
      <c r="AV433" s="56">
        <f>IF(AS433&gt;0,I433/AS433,-1)</f>
        <v/>
      </c>
      <c r="AW433" s="56">
        <f>IF(AND(OR(BR433="L1",BR433="L23"),AS433&gt;0),SUMIFS($AS$7:$AS$1570,$BR$7:$BR$1570,BR433,$AV$7:$AV$1570,"&gt;"&amp;AV433)+SUMIFS($AS$7:$AS$1570,$BR$7:$BR$1570,BR433,$AV$7:$AV$1570,AV433,$BL$7:$BL$1570,"&lt;="&amp;BL433),"")</f>
        <v/>
      </c>
      <c r="AX433" s="65">
        <f>IF(AW433="",0,MAX(0,MIN(1,(IF(BR433="L1",Parameter!$K$5,Parameter!$K$6+Parameter!$K$7)-(AW433-AS433))/AS433)))</f>
        <v/>
      </c>
      <c r="AY433" s="53">
        <f>IF(AC433&lt;=0,"",IF(BR433="Aussen","Aussenlager",IF(BR433="-","Nicht im Lift",IF(AH433&gt;=1,"Lift",IF(AH433&lt;=0,"Aussenlager","teilweise")))))</f>
        <v/>
      </c>
      <c r="AZ433" s="53">
        <f>IF(AK433&lt;=0,"",IF(BR433="Aussen","Aussenlager",IF(BR433="-","Nicht im Lift",IF(AP433&gt;=1,"Lift",IF(AP433&lt;=0,"Aussenlager","teilweise")))))</f>
        <v/>
      </c>
      <c r="BA433" s="53">
        <f>IF(AS433&lt;=0,"",IF(BR433="Aussen","Aussenlager",IF(BR433="-","Nicht im Lift",IF(AX433&gt;=1,"Lift",IF(AX433&lt;=0,"Aussenlager","teilweise")))))</f>
        <v/>
      </c>
      <c r="BB433" s="53">
        <f>IF(A433="","",IF(BK433=1,"Neu; ","")&amp;IF(AND(BK433=0,BF433&lt;0),"negativer Bestand (Export "&amp;BF433&amp;"); ","")&amp;IF(I433&lt;=0,"Kein Verbrauch; ","")&amp;IF(BO433=1,"Lose – Fläche geschätzt; ","")&amp;IF(G433&gt;AM433,"Überbestand "&amp;ROUND(G433-AM433,0)&amp;" Stk / CHF "&amp;ROUND((G433-AM433)*F433,0)&amp;"; ","")&amp;IF(AND(BT433=1,BU433&lt;BV433),"MAX &lt; MB+LG; ","")&amp;IF(AND(BZ433&gt;0,BY433*10&gt;BZ433),"zu hoch für Tablar; ","")&amp;IF(AND(BK433=0,OR(BT433=1,V433&lt;&gt;"",S433&lt;&gt;"",T433&lt;&gt;"",W433&lt;&gt;"")),"manuell übersteuert; ","")&amp;IF(AND(BO433=0,Q433=0),"Gebinde unbekannt; ","")&amp;IF(AND(BO433=0,N(T433)&lt;=0,N(P433)&lt;=0),"Menge pro Gebinde fehlt (Ist = 1 Gebinde); ","")&amp;BJ433)</f>
        <v/>
      </c>
      <c r="BC433" s="53" t="n"/>
      <c r="BD433" s="53" t="n"/>
      <c r="BE433" s="61" t="n"/>
      <c r="BF433" s="55" t="n">
        <v>8</v>
      </c>
      <c r="BG433" s="55" t="n">
        <v>11</v>
      </c>
      <c r="BH433" s="54" t="n">
        <v>79.43000000000005</v>
      </c>
      <c r="BI433" s="55" t="n">
        <v>129</v>
      </c>
      <c r="BJ433" s="53" t="inlineStr"/>
      <c r="BK433" s="58" t="n">
        <v>0</v>
      </c>
      <c r="BL433" s="58" t="n">
        <v>433</v>
      </c>
      <c r="BM433" s="53">
        <f>IF(S433&lt;&gt;"",UPPER(TRIM(S433)),IF(O433="","LOSE",O433))</f>
        <v/>
      </c>
      <c r="BN433" s="55">
        <f>IF(BM433="LOSE",1,IF(N(T433)&gt;0,T433,IF(N(P433)&gt;0,P433,MAX(1,G433))))</f>
        <v/>
      </c>
      <c r="BO433" s="58">
        <f>IF(BM433="LOSE",1,0)</f>
        <v/>
      </c>
      <c r="BP433" s="64">
        <f>IF(BO433=0,0,IF(N(R433)&gt;0,R433,IFERROR(VLOOKUP(D433,Parameter!$A$35:$C$64,3,0)+0,0)))</f>
        <v/>
      </c>
      <c r="BQ433" s="53">
        <f>IF(V433&lt;&gt;"",V433,U433)</f>
        <v/>
      </c>
      <c r="BR433" s="53">
        <f>IF(BQ433=1,"L1",IF(OR(BQ433=2,BQ433=3),"L23",IF(BQ433="Aussen","Aussen","-")))</f>
        <v/>
      </c>
      <c r="BS433" s="66">
        <f>IF(N(W433)&gt;0,W433,0)</f>
        <v/>
      </c>
      <c r="BT433" s="58">
        <f>IF(ISNUMBER(Z433),1,0)</f>
        <v/>
      </c>
      <c r="BU433" s="55">
        <f>N(Z433)</f>
        <v/>
      </c>
      <c r="BV433" s="55">
        <f>N(L433)+N(M433)</f>
        <v/>
      </c>
      <c r="BW433" s="55">
        <f>ROUNDUP(G433/BN433,0)</f>
        <v/>
      </c>
      <c r="BX433" s="55">
        <f>ROUNDUP(BU433/BN433,0)</f>
        <v/>
      </c>
      <c r="BY433" s="58">
        <f>IF(BO433=1,0,IFERROR(VLOOKUP(BM433,'Gebinde-Kategorie'!$A$5:$G$45,5,0)+0,0))</f>
        <v/>
      </c>
      <c r="BZ433" s="58">
        <f>IFERROR(IF(OR(BQ433=1,BQ433=2,BQ433=3),N(INDEX(Parameter!$I$5:$I$7,BQ433)),0),0)</f>
        <v/>
      </c>
    </row>
    <row r="434">
      <c r="A434" s="53" t="inlineStr">
        <is>
          <t>VM00012</t>
        </is>
      </c>
      <c r="B434" s="53" t="inlineStr">
        <is>
          <t>P-touch Beschriftungsband TZE-621</t>
        </is>
      </c>
      <c r="C434" s="53" t="inlineStr">
        <is>
          <t>F</t>
        </is>
      </c>
      <c r="D434" s="53" t="inlineStr">
        <is>
          <t>KTL</t>
        </is>
      </c>
      <c r="E434" s="53" t="inlineStr">
        <is>
          <t>C</t>
        </is>
      </c>
      <c r="F434" s="54" t="n">
        <v>16.05</v>
      </c>
      <c r="G434" s="55">
        <f>MAX(0,IF(Parameter!$B$20="Jahresanfang 2025 + Export",BG434+BF434,BF434))</f>
        <v/>
      </c>
      <c r="H434" s="55">
        <f>G434*F434</f>
        <v/>
      </c>
      <c r="I434" s="55">
        <f>BI434*Parameter!$B$18</f>
        <v/>
      </c>
      <c r="J434" s="56" t="n">
        <v>0</v>
      </c>
      <c r="K434" s="57" t="n">
        <v>0</v>
      </c>
      <c r="L434" s="55" t="n">
        <v>1</v>
      </c>
      <c r="M434" s="55" t="n">
        <v>5</v>
      </c>
      <c r="N434" s="58" t="n">
        <v>0</v>
      </c>
      <c r="O434" s="53" t="inlineStr">
        <is>
          <t>LOSE</t>
        </is>
      </c>
      <c r="P434" s="55" t="n"/>
      <c r="Q434" s="59">
        <f>IF(BO434=1,0,IFERROR(VLOOKUP(BM434,'Gebinde-Kategorie'!$A$5:$G$45,6,0)+0,0))</f>
        <v/>
      </c>
      <c r="R434" s="60" t="n"/>
      <c r="S434" s="61" t="n"/>
      <c r="T434" s="61" t="n"/>
      <c r="U434" s="53">
        <f>IF(A434="","",IF(IFERROR(VLOOKUP(D434,Parameter!$A$35:$C$64,2,0),"Nein")="2+3",IF(ISNUMBER(SEARCH("grosser Artikel",BJ434)),2,IFERROR(VLOOKUP(BM434,Parameter!$F$35:$G$64,2,0),2)),IF(OR(IFERROR(VLOOKUP(D434,Parameter!$A$35:$C$64,2,0),"Nein")="Nein",IFERROR(VLOOKUP(D434,Parameter!$A$35:$C$64,2,0),"Nein")=""),"-",VLOOKUP(D434,Parameter!$A$35:$C$64,2,0))))</f>
        <v/>
      </c>
      <c r="V434" s="61" t="n"/>
      <c r="W434" s="62" t="n"/>
      <c r="X434" s="55">
        <f>AM434</f>
        <v/>
      </c>
      <c r="Y434" s="55">
        <f>MAX(AM434,G434)</f>
        <v/>
      </c>
      <c r="Z434" s="63" t="n"/>
      <c r="AA434" s="55">
        <f>IF(LEFT(Cockpit!$C$5,1)="A",G434,IF(BT434=1,BU434,IF(LEFT(Cockpit!$C$5,1)="B",AE434,MAX(AE434,G434))))</f>
        <v/>
      </c>
      <c r="AB434" s="55">
        <f>IF(BO434=1,0,ROUNDUP(AA434/BN434,0))</f>
        <v/>
      </c>
      <c r="AC434" s="64">
        <f>IF(BO434=1,IF(AA434&lt;=0,0,BP434*MAX(1,IF(G434&gt;0,AA434/G434,1))),AB434*Q434)</f>
        <v/>
      </c>
      <c r="AD434" s="55">
        <f>AA434*F434</f>
        <v/>
      </c>
      <c r="AE434" s="55">
        <f>ROUNDUP(MAX(I434/IF(BS434&gt;0,BS434,MAX(0.1,N(Cockpit!$C$6))),BV434)/BN434,0)*BN434</f>
        <v/>
      </c>
      <c r="AF434" s="56">
        <f>IF(AC434&gt;0,I434/AC434,-1)</f>
        <v/>
      </c>
      <c r="AG434" s="56">
        <f>IF(AND(OR(BR434="L1",BR434="L23"),AC434&gt;0),SUMIFS($AC$7:$AC$1570,$BR$7:$BR$1570,BR434,$AF$7:$AF$1570,"&gt;"&amp;AF434)+SUMIFS($AC$7:$AC$1570,$BR$7:$BR$1570,BR434,$AF$7:$AF$1570,AF434,$BL$7:$BL$1570,"&lt;="&amp;BL434),"")</f>
        <v/>
      </c>
      <c r="AH434" s="65">
        <f>IF(AG434="",0,MAX(0,MIN(1,(IF(BR434="L1",Parameter!$K$5,Parameter!$K$6+Parameter!$K$7)-(AG434-AC434))/AC434)))</f>
        <v/>
      </c>
      <c r="AI434" s="55">
        <f>IF(LEFT(Cockpit!$I$5,1)="A",G434,IF(BT434=1,BU434,IF(LEFT(Cockpit!$I$5,1)="B",AM434,MAX(AM434,G434))))</f>
        <v/>
      </c>
      <c r="AJ434" s="55">
        <f>IF(BO434=1,0,ROUNDUP(AI434/BN434,0))</f>
        <v/>
      </c>
      <c r="AK434" s="64">
        <f>IF(BO434=1,IF(AI434&lt;=0,0,BP434*MAX(1,IF(G434&gt;0,AI434/G434,1))),AJ434*Q434)</f>
        <v/>
      </c>
      <c r="AL434" s="55">
        <f>AI434*F434</f>
        <v/>
      </c>
      <c r="AM434" s="55">
        <f>ROUNDUP(MAX(I434/IF(BS434&gt;0,BS434,MAX(0.1,N(Cockpit!$I$6))),BV434)/BN434,0)*BN434</f>
        <v/>
      </c>
      <c r="AN434" s="56">
        <f>IF(AK434&gt;0,I434/AK434,-1)</f>
        <v/>
      </c>
      <c r="AO434" s="56">
        <f>IF(AND(OR(BR434="L1",BR434="L23"),AK434&gt;0),SUMIFS($AK$7:$AK$1570,$BR$7:$BR$1570,BR434,$AN$7:$AN$1570,"&gt;"&amp;AN434)+SUMIFS($AK$7:$AK$1570,$BR$7:$BR$1570,BR434,$AN$7:$AN$1570,AN434,$BL$7:$BL$1570,"&lt;="&amp;BL434),"")</f>
        <v/>
      </c>
      <c r="AP434" s="65">
        <f>IF(AO434="",0,MAX(0,MIN(1,(IF(BR434="L1",Parameter!$K$5,Parameter!$K$6+Parameter!$K$7)-(AO434-AK434))/AK434)))</f>
        <v/>
      </c>
      <c r="AQ434" s="55">
        <f>IF(LEFT(Cockpit!$O$5,1)="A",G434,IF(BT434=1,BU434,IF(LEFT(Cockpit!$O$5,1)="B",AU434,MAX(AU434,G434))))</f>
        <v/>
      </c>
      <c r="AR434" s="55">
        <f>IF(BO434=1,0,ROUNDUP(AQ434/BN434,0))</f>
        <v/>
      </c>
      <c r="AS434" s="64">
        <f>IF(BO434=1,IF(AQ434&lt;=0,0,BP434*MAX(1,IF(G434&gt;0,AQ434/G434,1))),AR434*Q434)</f>
        <v/>
      </c>
      <c r="AT434" s="55">
        <f>AQ434*F434</f>
        <v/>
      </c>
      <c r="AU434" s="55">
        <f>ROUNDUP(MAX(I434/IF(BS434&gt;0,BS434,MAX(0.1,N(Cockpit!$O$6))),BV434)/BN434,0)*BN434</f>
        <v/>
      </c>
      <c r="AV434" s="56">
        <f>IF(AS434&gt;0,I434/AS434,-1)</f>
        <v/>
      </c>
      <c r="AW434" s="56">
        <f>IF(AND(OR(BR434="L1",BR434="L23"),AS434&gt;0),SUMIFS($AS$7:$AS$1570,$BR$7:$BR$1570,BR434,$AV$7:$AV$1570,"&gt;"&amp;AV434)+SUMIFS($AS$7:$AS$1570,$BR$7:$BR$1570,BR434,$AV$7:$AV$1570,AV434,$BL$7:$BL$1570,"&lt;="&amp;BL434),"")</f>
        <v/>
      </c>
      <c r="AX434" s="65">
        <f>IF(AW434="",0,MAX(0,MIN(1,(IF(BR434="L1",Parameter!$K$5,Parameter!$K$6+Parameter!$K$7)-(AW434-AS434))/AS434)))</f>
        <v/>
      </c>
      <c r="AY434" s="53">
        <f>IF(AC434&lt;=0,"",IF(BR434="Aussen","Aussenlager",IF(BR434="-","Nicht im Lift",IF(AH434&gt;=1,"Lift",IF(AH434&lt;=0,"Aussenlager","teilweise")))))</f>
        <v/>
      </c>
      <c r="AZ434" s="53">
        <f>IF(AK434&lt;=0,"",IF(BR434="Aussen","Aussenlager",IF(BR434="-","Nicht im Lift",IF(AP434&gt;=1,"Lift",IF(AP434&lt;=0,"Aussenlager","teilweise")))))</f>
        <v/>
      </c>
      <c r="BA434" s="53">
        <f>IF(AS434&lt;=0,"",IF(BR434="Aussen","Aussenlager",IF(BR434="-","Nicht im Lift",IF(AX434&gt;=1,"Lift",IF(AX434&lt;=0,"Aussenlager","teilweise")))))</f>
        <v/>
      </c>
      <c r="BB434" s="53">
        <f>IF(A434="","",IF(BK434=1,"Neu; ","")&amp;IF(AND(BK434=0,BF434&lt;0),"negativer Bestand (Export "&amp;BF434&amp;"); ","")&amp;IF(I434&lt;=0,"Kein Verbrauch; ","")&amp;IF(BO434=1,"Lose – Fläche geschätzt; ","")&amp;IF(G434&gt;AM434,"Überbestand "&amp;ROUND(G434-AM434,0)&amp;" Stk / CHF "&amp;ROUND((G434-AM434)*F434,0)&amp;"; ","")&amp;IF(AND(BT434=1,BU434&lt;BV434),"MAX &lt; MB+LG; ","")&amp;IF(AND(BZ434&gt;0,BY434*10&gt;BZ434),"zu hoch für Tablar; ","")&amp;IF(AND(BK434=0,OR(BT434=1,V434&lt;&gt;"",S434&lt;&gt;"",T434&lt;&gt;"",W434&lt;&gt;"")),"manuell übersteuert; ","")&amp;IF(AND(BO434=0,Q434=0),"Gebinde unbekannt; ","")&amp;IF(AND(BO434=0,N(T434)&lt;=0,N(P434)&lt;=0),"Menge pro Gebinde fehlt (Ist = 1 Gebinde); ","")&amp;BJ434)</f>
        <v/>
      </c>
      <c r="BC434" s="53" t="n"/>
      <c r="BD434" s="53" t="n"/>
      <c r="BE434" s="61" t="n"/>
      <c r="BF434" s="55" t="n">
        <v>4.91</v>
      </c>
      <c r="BG434" s="55" t="n">
        <v>0</v>
      </c>
      <c r="BH434" s="54" t="n">
        <v>78.80999999999999</v>
      </c>
      <c r="BI434" s="55" t="n">
        <v>0</v>
      </c>
      <c r="BJ434" s="53" t="inlineStr"/>
      <c r="BK434" s="58" t="n">
        <v>0</v>
      </c>
      <c r="BL434" s="58" t="n">
        <v>434</v>
      </c>
      <c r="BM434" s="53">
        <f>IF(S434&lt;&gt;"",UPPER(TRIM(S434)),IF(O434="","LOSE",O434))</f>
        <v/>
      </c>
      <c r="BN434" s="55">
        <f>IF(BM434="LOSE",1,IF(N(T434)&gt;0,T434,IF(N(P434)&gt;0,P434,MAX(1,G434))))</f>
        <v/>
      </c>
      <c r="BO434" s="58">
        <f>IF(BM434="LOSE",1,0)</f>
        <v/>
      </c>
      <c r="BP434" s="64">
        <f>IF(BO434=0,0,IF(N(R434)&gt;0,R434,IFERROR(VLOOKUP(D434,Parameter!$A$35:$C$64,3,0)+0,0)))</f>
        <v/>
      </c>
      <c r="BQ434" s="53">
        <f>IF(V434&lt;&gt;"",V434,U434)</f>
        <v/>
      </c>
      <c r="BR434" s="53">
        <f>IF(BQ434=1,"L1",IF(OR(BQ434=2,BQ434=3),"L23",IF(BQ434="Aussen","Aussen","-")))</f>
        <v/>
      </c>
      <c r="BS434" s="66">
        <f>IF(N(W434)&gt;0,W434,0)</f>
        <v/>
      </c>
      <c r="BT434" s="58">
        <f>IF(ISNUMBER(Z434),1,0)</f>
        <v/>
      </c>
      <c r="BU434" s="55">
        <f>N(Z434)</f>
        <v/>
      </c>
      <c r="BV434" s="55">
        <f>N(L434)+N(M434)</f>
        <v/>
      </c>
      <c r="BW434" s="55">
        <f>ROUNDUP(G434/BN434,0)</f>
        <v/>
      </c>
      <c r="BX434" s="55">
        <f>ROUNDUP(BU434/BN434,0)</f>
        <v/>
      </c>
      <c r="BY434" s="58">
        <f>IF(BO434=1,0,IFERROR(VLOOKUP(BM434,'Gebinde-Kategorie'!$A$5:$G$45,5,0)+0,0))</f>
        <v/>
      </c>
      <c r="BZ434" s="58">
        <f>IFERROR(IF(OR(BQ434=1,BQ434=2,BQ434=3),N(INDEX(Parameter!$I$5:$I$7,BQ434)),0),0)</f>
        <v/>
      </c>
    </row>
    <row r="435">
      <c r="A435" s="53" t="inlineStr">
        <is>
          <t>110819</t>
        </is>
      </c>
      <c r="B435" s="53" t="inlineStr">
        <is>
          <t>Sicherungsscheibe</t>
        </is>
      </c>
      <c r="C435" s="53" t="inlineStr">
        <is>
          <t>F</t>
        </is>
      </c>
      <c r="D435" s="53" t="inlineStr">
        <is>
          <t>A-BEZ</t>
        </is>
      </c>
      <c r="E435" s="53" t="inlineStr">
        <is>
          <t>C</t>
        </is>
      </c>
      <c r="F435" s="54" t="n">
        <v>1.96</v>
      </c>
      <c r="G435" s="55">
        <f>MAX(0,IF(Parameter!$B$20="Jahresanfang 2025 + Export",BG435+BF435,BF435))</f>
        <v/>
      </c>
      <c r="H435" s="55">
        <f>G435*F435</f>
        <v/>
      </c>
      <c r="I435" s="55">
        <f>BI435*Parameter!$B$18</f>
        <v/>
      </c>
      <c r="J435" s="56" t="n">
        <v>20</v>
      </c>
      <c r="K435" s="57" t="n">
        <v>3</v>
      </c>
      <c r="L435" s="55" t="n">
        <v>0</v>
      </c>
      <c r="M435" s="55" t="n">
        <v>100</v>
      </c>
      <c r="N435" s="58" t="n">
        <v>28</v>
      </c>
      <c r="O435" s="53" t="inlineStr">
        <is>
          <t>LOSE</t>
        </is>
      </c>
      <c r="P435" s="55" t="n"/>
      <c r="Q435" s="59">
        <f>IF(BO435=1,0,IFERROR(VLOOKUP(BM435,'Gebinde-Kategorie'!$A$5:$G$45,6,0)+0,0))</f>
        <v/>
      </c>
      <c r="R435" s="60" t="n"/>
      <c r="S435" s="61" t="n"/>
      <c r="T435" s="61" t="n"/>
      <c r="U435" s="53">
        <f>IF(A435="","",IF(IFERROR(VLOOKUP(D435,Parameter!$A$35:$C$64,2,0),"Nein")="2+3",IF(ISNUMBER(SEARCH("grosser Artikel",BJ435)),2,IFERROR(VLOOKUP(BM435,Parameter!$F$35:$G$64,2,0),2)),IF(OR(IFERROR(VLOOKUP(D435,Parameter!$A$35:$C$64,2,0),"Nein")="Nein",IFERROR(VLOOKUP(D435,Parameter!$A$35:$C$64,2,0),"Nein")=""),"-",VLOOKUP(D435,Parameter!$A$35:$C$64,2,0))))</f>
        <v/>
      </c>
      <c r="V435" s="61" t="n"/>
      <c r="W435" s="62" t="n"/>
      <c r="X435" s="55">
        <f>AM435</f>
        <v/>
      </c>
      <c r="Y435" s="55">
        <f>MAX(AM435,G435)</f>
        <v/>
      </c>
      <c r="Z435" s="63" t="n"/>
      <c r="AA435" s="55">
        <f>IF(LEFT(Cockpit!$C$5,1)="A",G435,IF(BT435=1,BU435,IF(LEFT(Cockpit!$C$5,1)="B",AE435,MAX(AE435,G435))))</f>
        <v/>
      </c>
      <c r="AB435" s="55">
        <f>IF(BO435=1,0,ROUNDUP(AA435/BN435,0))</f>
        <v/>
      </c>
      <c r="AC435" s="64">
        <f>IF(BO435=1,IF(AA435&lt;=0,0,BP435*MAX(1,IF(G435&gt;0,AA435/G435,1))),AB435*Q435)</f>
        <v/>
      </c>
      <c r="AD435" s="55">
        <f>AA435*F435</f>
        <v/>
      </c>
      <c r="AE435" s="55">
        <f>ROUNDUP(MAX(I435/IF(BS435&gt;0,BS435,MAX(0.1,N(Cockpit!$C$6))),BV435)/BN435,0)*BN435</f>
        <v/>
      </c>
      <c r="AF435" s="56">
        <f>IF(AC435&gt;0,I435/AC435,-1)</f>
        <v/>
      </c>
      <c r="AG435" s="56">
        <f>IF(AND(OR(BR435="L1",BR435="L23"),AC435&gt;0),SUMIFS($AC$7:$AC$1570,$BR$7:$BR$1570,BR435,$AF$7:$AF$1570,"&gt;"&amp;AF435)+SUMIFS($AC$7:$AC$1570,$BR$7:$BR$1570,BR435,$AF$7:$AF$1570,AF435,$BL$7:$BL$1570,"&lt;="&amp;BL435),"")</f>
        <v/>
      </c>
      <c r="AH435" s="65">
        <f>IF(AG435="",0,MAX(0,MIN(1,(IF(BR435="L1",Parameter!$K$5,Parameter!$K$6+Parameter!$K$7)-(AG435-AC435))/AC435)))</f>
        <v/>
      </c>
      <c r="AI435" s="55">
        <f>IF(LEFT(Cockpit!$I$5,1)="A",G435,IF(BT435=1,BU435,IF(LEFT(Cockpit!$I$5,1)="B",AM435,MAX(AM435,G435))))</f>
        <v/>
      </c>
      <c r="AJ435" s="55">
        <f>IF(BO435=1,0,ROUNDUP(AI435/BN435,0))</f>
        <v/>
      </c>
      <c r="AK435" s="64">
        <f>IF(BO435=1,IF(AI435&lt;=0,0,BP435*MAX(1,IF(G435&gt;0,AI435/G435,1))),AJ435*Q435)</f>
        <v/>
      </c>
      <c r="AL435" s="55">
        <f>AI435*F435</f>
        <v/>
      </c>
      <c r="AM435" s="55">
        <f>ROUNDUP(MAX(I435/IF(BS435&gt;0,BS435,MAX(0.1,N(Cockpit!$I$6))),BV435)/BN435,0)*BN435</f>
        <v/>
      </c>
      <c r="AN435" s="56">
        <f>IF(AK435&gt;0,I435/AK435,-1)</f>
        <v/>
      </c>
      <c r="AO435" s="56">
        <f>IF(AND(OR(BR435="L1",BR435="L23"),AK435&gt;0),SUMIFS($AK$7:$AK$1570,$BR$7:$BR$1570,BR435,$AN$7:$AN$1570,"&gt;"&amp;AN435)+SUMIFS($AK$7:$AK$1570,$BR$7:$BR$1570,BR435,$AN$7:$AN$1570,AN435,$BL$7:$BL$1570,"&lt;="&amp;BL435),"")</f>
        <v/>
      </c>
      <c r="AP435" s="65">
        <f>IF(AO435="",0,MAX(0,MIN(1,(IF(BR435="L1",Parameter!$K$5,Parameter!$K$6+Parameter!$K$7)-(AO435-AK435))/AK435)))</f>
        <v/>
      </c>
      <c r="AQ435" s="55">
        <f>IF(LEFT(Cockpit!$O$5,1)="A",G435,IF(BT435=1,BU435,IF(LEFT(Cockpit!$O$5,1)="B",AU435,MAX(AU435,G435))))</f>
        <v/>
      </c>
      <c r="AR435" s="55">
        <f>IF(BO435=1,0,ROUNDUP(AQ435/BN435,0))</f>
        <v/>
      </c>
      <c r="AS435" s="64">
        <f>IF(BO435=1,IF(AQ435&lt;=0,0,BP435*MAX(1,IF(G435&gt;0,AQ435/G435,1))),AR435*Q435)</f>
        <v/>
      </c>
      <c r="AT435" s="55">
        <f>AQ435*F435</f>
        <v/>
      </c>
      <c r="AU435" s="55">
        <f>ROUNDUP(MAX(I435/IF(BS435&gt;0,BS435,MAX(0.1,N(Cockpit!$O$6))),BV435)/BN435,0)*BN435</f>
        <v/>
      </c>
      <c r="AV435" s="56">
        <f>IF(AS435&gt;0,I435/AS435,-1)</f>
        <v/>
      </c>
      <c r="AW435" s="56">
        <f>IF(AND(OR(BR435="L1",BR435="L23"),AS435&gt;0),SUMIFS($AS$7:$AS$1570,$BR$7:$BR$1570,BR435,$AV$7:$AV$1570,"&gt;"&amp;AV435)+SUMIFS($AS$7:$AS$1570,$BR$7:$BR$1570,BR435,$AV$7:$AV$1570,AV435,$BL$7:$BL$1570,"&lt;="&amp;BL435),"")</f>
        <v/>
      </c>
      <c r="AX435" s="65">
        <f>IF(AW435="",0,MAX(0,MIN(1,(IF(BR435="L1",Parameter!$K$5,Parameter!$K$6+Parameter!$K$7)-(AW435-AS435))/AS435)))</f>
        <v/>
      </c>
      <c r="AY435" s="53">
        <f>IF(AC435&lt;=0,"",IF(BR435="Aussen","Aussenlager",IF(BR435="-","Nicht im Lift",IF(AH435&gt;=1,"Lift",IF(AH435&lt;=0,"Aussenlager","teilweise")))))</f>
        <v/>
      </c>
      <c r="AZ435" s="53">
        <f>IF(AK435&lt;=0,"",IF(BR435="Aussen","Aussenlager",IF(BR435="-","Nicht im Lift",IF(AP435&gt;=1,"Lift",IF(AP435&lt;=0,"Aussenlager","teilweise")))))</f>
        <v/>
      </c>
      <c r="BA435" s="53">
        <f>IF(AS435&lt;=0,"",IF(BR435="Aussen","Aussenlager",IF(BR435="-","Nicht im Lift",IF(AX435&gt;=1,"Lift",IF(AX435&lt;=0,"Aussenlager","teilweise")))))</f>
        <v/>
      </c>
      <c r="BB435" s="53">
        <f>IF(A435="","",IF(BK435=1,"Neu; ","")&amp;IF(AND(BK435=0,BF435&lt;0),"negativer Bestand (Export "&amp;BF435&amp;"); ","")&amp;IF(I435&lt;=0,"Kein Verbrauch; ","")&amp;IF(BO435=1,"Lose – Fläche geschätzt; ","")&amp;IF(G435&gt;AM435,"Überbestand "&amp;ROUND(G435-AM435,0)&amp;" Stk / CHF "&amp;ROUND((G435-AM435)*F435,0)&amp;"; ","")&amp;IF(AND(BT435=1,BU435&lt;BV435),"MAX &lt; MB+LG; ","")&amp;IF(AND(BZ435&gt;0,BY435*10&gt;BZ435),"zu hoch für Tablar; ","")&amp;IF(AND(BK435=0,OR(BT435=1,V435&lt;&gt;"",S435&lt;&gt;"",T435&lt;&gt;"",W435&lt;&gt;"")),"manuell übersteuert; ","")&amp;IF(AND(BO435=0,Q435=0),"Gebinde unbekannt; ","")&amp;IF(AND(BO435=0,N(T435)&lt;=0,N(P435)&lt;=0),"Menge pro Gebinde fehlt (Ist = 1 Gebinde); ","")&amp;BJ435)</f>
        <v/>
      </c>
      <c r="BC435" s="53" t="n"/>
      <c r="BD435" s="53" t="n"/>
      <c r="BE435" s="61" t="n"/>
      <c r="BF435" s="55" t="n">
        <v>40</v>
      </c>
      <c r="BG435" s="55" t="n">
        <v>0</v>
      </c>
      <c r="BH435" s="54" t="n">
        <v>78.40000000000001</v>
      </c>
      <c r="BI435" s="55" t="n">
        <v>60</v>
      </c>
      <c r="BJ435" s="53" t="inlineStr"/>
      <c r="BK435" s="58" t="n">
        <v>0</v>
      </c>
      <c r="BL435" s="58" t="n">
        <v>435</v>
      </c>
      <c r="BM435" s="53">
        <f>IF(S435&lt;&gt;"",UPPER(TRIM(S435)),IF(O435="","LOSE",O435))</f>
        <v/>
      </c>
      <c r="BN435" s="55">
        <f>IF(BM435="LOSE",1,IF(N(T435)&gt;0,T435,IF(N(P435)&gt;0,P435,MAX(1,G435))))</f>
        <v/>
      </c>
      <c r="BO435" s="58">
        <f>IF(BM435="LOSE",1,0)</f>
        <v/>
      </c>
      <c r="BP435" s="64">
        <f>IF(BO435=0,0,IF(N(R435)&gt;0,R435,IFERROR(VLOOKUP(D435,Parameter!$A$35:$C$64,3,0)+0,0)))</f>
        <v/>
      </c>
      <c r="BQ435" s="53">
        <f>IF(V435&lt;&gt;"",V435,U435)</f>
        <v/>
      </c>
      <c r="BR435" s="53">
        <f>IF(BQ435=1,"L1",IF(OR(BQ435=2,BQ435=3),"L23",IF(BQ435="Aussen","Aussen","-")))</f>
        <v/>
      </c>
      <c r="BS435" s="66">
        <f>IF(N(W435)&gt;0,W435,0)</f>
        <v/>
      </c>
      <c r="BT435" s="58">
        <f>IF(ISNUMBER(Z435),1,0)</f>
        <v/>
      </c>
      <c r="BU435" s="55">
        <f>N(Z435)</f>
        <v/>
      </c>
      <c r="BV435" s="55">
        <f>N(L435)+N(M435)</f>
        <v/>
      </c>
      <c r="BW435" s="55">
        <f>ROUNDUP(G435/BN435,0)</f>
        <v/>
      </c>
      <c r="BX435" s="55">
        <f>ROUNDUP(BU435/BN435,0)</f>
        <v/>
      </c>
      <c r="BY435" s="58">
        <f>IF(BO435=1,0,IFERROR(VLOOKUP(BM435,'Gebinde-Kategorie'!$A$5:$G$45,5,0)+0,0))</f>
        <v/>
      </c>
      <c r="BZ435" s="58">
        <f>IFERROR(IF(OR(BQ435=1,BQ435=2,BQ435=3),N(INDEX(Parameter!$I$5:$I$7,BQ435)),0),0)</f>
        <v/>
      </c>
    </row>
    <row r="436">
      <c r="A436" s="53" t="inlineStr">
        <is>
          <t>001129</t>
        </is>
      </c>
      <c r="B436" s="53" t="inlineStr">
        <is>
          <t>Holzschraube</t>
        </is>
      </c>
      <c r="C436" s="53" t="inlineStr">
        <is>
          <t>F</t>
        </is>
      </c>
      <c r="D436" s="53" t="inlineStr">
        <is>
          <t>KTL</t>
        </is>
      </c>
      <c r="E436" s="53" t="inlineStr">
        <is>
          <t>C</t>
        </is>
      </c>
      <c r="F436" s="54" t="n">
        <v>0.02</v>
      </c>
      <c r="G436" s="55">
        <f>MAX(0,IF(Parameter!$B$20="Jahresanfang 2025 + Export",BG436+BF436,BF436))</f>
        <v/>
      </c>
      <c r="H436" s="55">
        <f>G436*F436</f>
        <v/>
      </c>
      <c r="I436" s="55">
        <f>BI436*Parameter!$B$18</f>
        <v/>
      </c>
      <c r="J436" s="56" t="n">
        <v>52.5</v>
      </c>
      <c r="K436" s="57" t="n">
        <v>2</v>
      </c>
      <c r="L436" s="55" t="n">
        <v>100</v>
      </c>
      <c r="M436" s="55" t="n">
        <v>1000</v>
      </c>
      <c r="N436" s="58" t="n">
        <v>14</v>
      </c>
      <c r="O436" s="53" t="inlineStr">
        <is>
          <t>S41</t>
        </is>
      </c>
      <c r="P436" s="55" t="n">
        <v>2000</v>
      </c>
      <c r="Q436" s="59">
        <f>IF(BO436=1,0,IFERROR(VLOOKUP(BM436,'Gebinde-Kategorie'!$A$5:$G$45,6,0)+0,0))</f>
        <v/>
      </c>
      <c r="R436" s="60" t="n"/>
      <c r="S436" s="61" t="n"/>
      <c r="T436" s="61" t="n"/>
      <c r="U436" s="53">
        <f>IF(A436="","",IF(IFERROR(VLOOKUP(D436,Parameter!$A$35:$C$64,2,0),"Nein")="2+3",IF(ISNUMBER(SEARCH("grosser Artikel",BJ436)),2,IFERROR(VLOOKUP(BM436,Parameter!$F$35:$G$64,2,0),2)),IF(OR(IFERROR(VLOOKUP(D436,Parameter!$A$35:$C$64,2,0),"Nein")="Nein",IFERROR(VLOOKUP(D436,Parameter!$A$35:$C$64,2,0),"Nein")=""),"-",VLOOKUP(D436,Parameter!$A$35:$C$64,2,0))))</f>
        <v/>
      </c>
      <c r="V436" s="61" t="n"/>
      <c r="W436" s="62" t="n"/>
      <c r="X436" s="55">
        <f>AM436</f>
        <v/>
      </c>
      <c r="Y436" s="55">
        <f>MAX(AM436,G436)</f>
        <v/>
      </c>
      <c r="Z436" s="63" t="n"/>
      <c r="AA436" s="55">
        <f>IF(LEFT(Cockpit!$C$5,1)="A",G436,IF(BT436=1,BU436,IF(LEFT(Cockpit!$C$5,1)="B",AE436,MAX(AE436,G436))))</f>
        <v/>
      </c>
      <c r="AB436" s="55">
        <f>IF(BO436=1,0,ROUNDUP(AA436/BN436,0))</f>
        <v/>
      </c>
      <c r="AC436" s="64">
        <f>IF(BO436=1,IF(AA436&lt;=0,0,BP436*MAX(1,IF(G436&gt;0,AA436/G436,1))),AB436*Q436)</f>
        <v/>
      </c>
      <c r="AD436" s="55">
        <f>AA436*F436</f>
        <v/>
      </c>
      <c r="AE436" s="55">
        <f>ROUNDUP(MAX(I436/IF(BS436&gt;0,BS436,MAX(0.1,N(Cockpit!$C$6))),BV436)/BN436,0)*BN436</f>
        <v/>
      </c>
      <c r="AF436" s="56">
        <f>IF(AC436&gt;0,I436/AC436,-1)</f>
        <v/>
      </c>
      <c r="AG436" s="56">
        <f>IF(AND(OR(BR436="L1",BR436="L23"),AC436&gt;0),SUMIFS($AC$7:$AC$1570,$BR$7:$BR$1570,BR436,$AF$7:$AF$1570,"&gt;"&amp;AF436)+SUMIFS($AC$7:$AC$1570,$BR$7:$BR$1570,BR436,$AF$7:$AF$1570,AF436,$BL$7:$BL$1570,"&lt;="&amp;BL436),"")</f>
        <v/>
      </c>
      <c r="AH436" s="65">
        <f>IF(AG436="",0,MAX(0,MIN(1,(IF(BR436="L1",Parameter!$K$5,Parameter!$K$6+Parameter!$K$7)-(AG436-AC436))/AC436)))</f>
        <v/>
      </c>
      <c r="AI436" s="55">
        <f>IF(LEFT(Cockpit!$I$5,1)="A",G436,IF(BT436=1,BU436,IF(LEFT(Cockpit!$I$5,1)="B",AM436,MAX(AM436,G436))))</f>
        <v/>
      </c>
      <c r="AJ436" s="55">
        <f>IF(BO436=1,0,ROUNDUP(AI436/BN436,0))</f>
        <v/>
      </c>
      <c r="AK436" s="64">
        <f>IF(BO436=1,IF(AI436&lt;=0,0,BP436*MAX(1,IF(G436&gt;0,AI436/G436,1))),AJ436*Q436)</f>
        <v/>
      </c>
      <c r="AL436" s="55">
        <f>AI436*F436</f>
        <v/>
      </c>
      <c r="AM436" s="55">
        <f>ROUNDUP(MAX(I436/IF(BS436&gt;0,BS436,MAX(0.1,N(Cockpit!$I$6))),BV436)/BN436,0)*BN436</f>
        <v/>
      </c>
      <c r="AN436" s="56">
        <f>IF(AK436&gt;0,I436/AK436,-1)</f>
        <v/>
      </c>
      <c r="AO436" s="56">
        <f>IF(AND(OR(BR436="L1",BR436="L23"),AK436&gt;0),SUMIFS($AK$7:$AK$1570,$BR$7:$BR$1570,BR436,$AN$7:$AN$1570,"&gt;"&amp;AN436)+SUMIFS($AK$7:$AK$1570,$BR$7:$BR$1570,BR436,$AN$7:$AN$1570,AN436,$BL$7:$BL$1570,"&lt;="&amp;BL436),"")</f>
        <v/>
      </c>
      <c r="AP436" s="65">
        <f>IF(AO436="",0,MAX(0,MIN(1,(IF(BR436="L1",Parameter!$K$5,Parameter!$K$6+Parameter!$K$7)-(AO436-AK436))/AK436)))</f>
        <v/>
      </c>
      <c r="AQ436" s="55">
        <f>IF(LEFT(Cockpit!$O$5,1)="A",G436,IF(BT436=1,BU436,IF(LEFT(Cockpit!$O$5,1)="B",AU436,MAX(AU436,G436))))</f>
        <v/>
      </c>
      <c r="AR436" s="55">
        <f>IF(BO436=1,0,ROUNDUP(AQ436/BN436,0))</f>
        <v/>
      </c>
      <c r="AS436" s="64">
        <f>IF(BO436=1,IF(AQ436&lt;=0,0,BP436*MAX(1,IF(G436&gt;0,AQ436/G436,1))),AR436*Q436)</f>
        <v/>
      </c>
      <c r="AT436" s="55">
        <f>AQ436*F436</f>
        <v/>
      </c>
      <c r="AU436" s="55">
        <f>ROUNDUP(MAX(I436/IF(BS436&gt;0,BS436,MAX(0.1,N(Cockpit!$O$6))),BV436)/BN436,0)*BN436</f>
        <v/>
      </c>
      <c r="AV436" s="56">
        <f>IF(AS436&gt;0,I436/AS436,-1)</f>
        <v/>
      </c>
      <c r="AW436" s="56">
        <f>IF(AND(OR(BR436="L1",BR436="L23"),AS436&gt;0),SUMIFS($AS$7:$AS$1570,$BR$7:$BR$1570,BR436,$AV$7:$AV$1570,"&gt;"&amp;AV436)+SUMIFS($AS$7:$AS$1570,$BR$7:$BR$1570,BR436,$AV$7:$AV$1570,AV436,$BL$7:$BL$1570,"&lt;="&amp;BL436),"")</f>
        <v/>
      </c>
      <c r="AX436" s="65">
        <f>IF(AW436="",0,MAX(0,MIN(1,(IF(BR436="L1",Parameter!$K$5,Parameter!$K$6+Parameter!$K$7)-(AW436-AS436))/AS436)))</f>
        <v/>
      </c>
      <c r="AY436" s="53">
        <f>IF(AC436&lt;=0,"",IF(BR436="Aussen","Aussenlager",IF(BR436="-","Nicht im Lift",IF(AH436&gt;=1,"Lift",IF(AH436&lt;=0,"Aussenlager","teilweise")))))</f>
        <v/>
      </c>
      <c r="AZ436" s="53">
        <f>IF(AK436&lt;=0,"",IF(BR436="Aussen","Aussenlager",IF(BR436="-","Nicht im Lift",IF(AP436&gt;=1,"Lift",IF(AP436&lt;=0,"Aussenlager","teilweise")))))</f>
        <v/>
      </c>
      <c r="BA436" s="53">
        <f>IF(AS436&lt;=0,"",IF(BR436="Aussen","Aussenlager",IF(BR436="-","Nicht im Lift",IF(AX436&gt;=1,"Lift",IF(AX436&lt;=0,"Aussenlager","teilweise")))))</f>
        <v/>
      </c>
      <c r="BB436" s="53">
        <f>IF(A436="","",IF(BK436=1,"Neu; ","")&amp;IF(AND(BK436=0,BF436&lt;0),"negativer Bestand (Export "&amp;BF436&amp;"); ","")&amp;IF(I436&lt;=0,"Kein Verbrauch; ","")&amp;IF(BO436=1,"Lose – Fläche geschätzt; ","")&amp;IF(G436&gt;AM436,"Überbestand "&amp;ROUND(G436-AM436,0)&amp;" Stk / CHF "&amp;ROUND((G436-AM436)*F436,0)&amp;"; ","")&amp;IF(AND(BT436=1,BU436&lt;BV436),"MAX &lt; MB+LG; ","")&amp;IF(AND(BZ436&gt;0,BY436*10&gt;BZ436),"zu hoch für Tablar; ","")&amp;IF(AND(BK436=0,OR(BT436=1,V436&lt;&gt;"",S436&lt;&gt;"",T436&lt;&gt;"",W436&lt;&gt;"")),"manuell übersteuert; ","")&amp;IF(AND(BO436=0,Q436=0),"Gebinde unbekannt; ","")&amp;IF(AND(BO436=0,N(T436)&lt;=0,N(P436)&lt;=0),"Menge pro Gebinde fehlt (Ist = 1 Gebinde); ","")&amp;BJ436)</f>
        <v/>
      </c>
      <c r="BC436" s="53" t="n"/>
      <c r="BD436" s="53" t="n"/>
      <c r="BE436" s="61" t="n"/>
      <c r="BF436" s="55" t="n">
        <v>3895</v>
      </c>
      <c r="BG436" s="55" t="n">
        <v>105</v>
      </c>
      <c r="BH436" s="54" t="n">
        <v>77.90000000000001</v>
      </c>
      <c r="BI436" s="55" t="n">
        <v>105</v>
      </c>
      <c r="BJ436" s="53" t="inlineStr"/>
      <c r="BK436" s="58" t="n">
        <v>0</v>
      </c>
      <c r="BL436" s="58" t="n">
        <v>436</v>
      </c>
      <c r="BM436" s="53">
        <f>IF(S436&lt;&gt;"",UPPER(TRIM(S436)),IF(O436="","LOSE",O436))</f>
        <v/>
      </c>
      <c r="BN436" s="55">
        <f>IF(BM436="LOSE",1,IF(N(T436)&gt;0,T436,IF(N(P436)&gt;0,P436,MAX(1,G436))))</f>
        <v/>
      </c>
      <c r="BO436" s="58">
        <f>IF(BM436="LOSE",1,0)</f>
        <v/>
      </c>
      <c r="BP436" s="64">
        <f>IF(BO436=0,0,IF(N(R436)&gt;0,R436,IFERROR(VLOOKUP(D436,Parameter!$A$35:$C$64,3,0)+0,0)))</f>
        <v/>
      </c>
      <c r="BQ436" s="53">
        <f>IF(V436&lt;&gt;"",V436,U436)</f>
        <v/>
      </c>
      <c r="BR436" s="53">
        <f>IF(BQ436=1,"L1",IF(OR(BQ436=2,BQ436=3),"L23",IF(BQ436="Aussen","Aussen","-")))</f>
        <v/>
      </c>
      <c r="BS436" s="66">
        <f>IF(N(W436)&gt;0,W436,0)</f>
        <v/>
      </c>
      <c r="BT436" s="58">
        <f>IF(ISNUMBER(Z436),1,0)</f>
        <v/>
      </c>
      <c r="BU436" s="55">
        <f>N(Z436)</f>
        <v/>
      </c>
      <c r="BV436" s="55">
        <f>N(L436)+N(M436)</f>
        <v/>
      </c>
      <c r="BW436" s="55">
        <f>ROUNDUP(G436/BN436,0)</f>
        <v/>
      </c>
      <c r="BX436" s="55">
        <f>ROUNDUP(BU436/BN436,0)</f>
        <v/>
      </c>
      <c r="BY436" s="58">
        <f>IF(BO436=1,0,IFERROR(VLOOKUP(BM436,'Gebinde-Kategorie'!$A$5:$G$45,5,0)+0,0))</f>
        <v/>
      </c>
      <c r="BZ436" s="58">
        <f>IFERROR(IF(OR(BQ436=1,BQ436=2,BQ436=3),N(INDEX(Parameter!$I$5:$I$7,BQ436)),0),0)</f>
        <v/>
      </c>
    </row>
    <row r="437">
      <c r="A437" s="53" t="inlineStr">
        <is>
          <t>106990</t>
        </is>
      </c>
      <c r="B437" s="53" t="inlineStr">
        <is>
          <t>Dichtung</t>
        </is>
      </c>
      <c r="C437" s="53" t="inlineStr">
        <is>
          <t>F</t>
        </is>
      </c>
      <c r="D437" s="53" t="inlineStr">
        <is>
          <t>KTL</t>
        </is>
      </c>
      <c r="E437" s="53" t="inlineStr">
        <is>
          <t>C</t>
        </is>
      </c>
      <c r="F437" s="54" t="n">
        <v>13.18</v>
      </c>
      <c r="G437" s="55">
        <f>MAX(0,IF(Parameter!$B$20="Jahresanfang 2025 + Export",BG437+BF437,BF437))</f>
        <v/>
      </c>
      <c r="H437" s="55">
        <f>G437*F437</f>
        <v/>
      </c>
      <c r="I437" s="55">
        <f>BI437*Parameter!$B$18</f>
        <v/>
      </c>
      <c r="J437" s="56" t="n">
        <v>27</v>
      </c>
      <c r="K437" s="57" t="n">
        <v>1.111111111111111</v>
      </c>
      <c r="L437" s="55" t="n">
        <v>2</v>
      </c>
      <c r="M437" s="55" t="n">
        <v>30</v>
      </c>
      <c r="N437" s="58" t="n">
        <v>35</v>
      </c>
      <c r="O437" s="53" t="inlineStr">
        <is>
          <t>S61</t>
        </is>
      </c>
      <c r="P437" s="55" t="n">
        <v>25</v>
      </c>
      <c r="Q437" s="59">
        <f>IF(BO437=1,0,IFERROR(VLOOKUP(BM437,'Gebinde-Kategorie'!$A$5:$G$45,6,0)+0,0))</f>
        <v/>
      </c>
      <c r="R437" s="60" t="n"/>
      <c r="S437" s="61" t="n"/>
      <c r="T437" s="61" t="n"/>
      <c r="U437" s="53">
        <f>IF(A437="","",IF(IFERROR(VLOOKUP(D437,Parameter!$A$35:$C$64,2,0),"Nein")="2+3",IF(ISNUMBER(SEARCH("grosser Artikel",BJ437)),2,IFERROR(VLOOKUP(BM437,Parameter!$F$35:$G$64,2,0),2)),IF(OR(IFERROR(VLOOKUP(D437,Parameter!$A$35:$C$64,2,0),"Nein")="Nein",IFERROR(VLOOKUP(D437,Parameter!$A$35:$C$64,2,0),"Nein")=""),"-",VLOOKUP(D437,Parameter!$A$35:$C$64,2,0))))</f>
        <v/>
      </c>
      <c r="V437" s="61" t="n"/>
      <c r="W437" s="62" t="n"/>
      <c r="X437" s="55">
        <f>AM437</f>
        <v/>
      </c>
      <c r="Y437" s="55">
        <f>MAX(AM437,G437)</f>
        <v/>
      </c>
      <c r="Z437" s="63" t="n"/>
      <c r="AA437" s="55">
        <f>IF(LEFT(Cockpit!$C$5,1)="A",G437,IF(BT437=1,BU437,IF(LEFT(Cockpit!$C$5,1)="B",AE437,MAX(AE437,G437))))</f>
        <v/>
      </c>
      <c r="AB437" s="55">
        <f>IF(BO437=1,0,ROUNDUP(AA437/BN437,0))</f>
        <v/>
      </c>
      <c r="AC437" s="64">
        <f>IF(BO437=1,IF(AA437&lt;=0,0,BP437*MAX(1,IF(G437&gt;0,AA437/G437,1))),AB437*Q437)</f>
        <v/>
      </c>
      <c r="AD437" s="55">
        <f>AA437*F437</f>
        <v/>
      </c>
      <c r="AE437" s="55">
        <f>ROUNDUP(MAX(I437/IF(BS437&gt;0,BS437,MAX(0.1,N(Cockpit!$C$6))),BV437)/BN437,0)*BN437</f>
        <v/>
      </c>
      <c r="AF437" s="56">
        <f>IF(AC437&gt;0,I437/AC437,-1)</f>
        <v/>
      </c>
      <c r="AG437" s="56">
        <f>IF(AND(OR(BR437="L1",BR437="L23"),AC437&gt;0),SUMIFS($AC$7:$AC$1570,$BR$7:$BR$1570,BR437,$AF$7:$AF$1570,"&gt;"&amp;AF437)+SUMIFS($AC$7:$AC$1570,$BR$7:$BR$1570,BR437,$AF$7:$AF$1570,AF437,$BL$7:$BL$1570,"&lt;="&amp;BL437),"")</f>
        <v/>
      </c>
      <c r="AH437" s="65">
        <f>IF(AG437="",0,MAX(0,MIN(1,(IF(BR437="L1",Parameter!$K$5,Parameter!$K$6+Parameter!$K$7)-(AG437-AC437))/AC437)))</f>
        <v/>
      </c>
      <c r="AI437" s="55">
        <f>IF(LEFT(Cockpit!$I$5,1)="A",G437,IF(BT437=1,BU437,IF(LEFT(Cockpit!$I$5,1)="B",AM437,MAX(AM437,G437))))</f>
        <v/>
      </c>
      <c r="AJ437" s="55">
        <f>IF(BO437=1,0,ROUNDUP(AI437/BN437,0))</f>
        <v/>
      </c>
      <c r="AK437" s="64">
        <f>IF(BO437=1,IF(AI437&lt;=0,0,BP437*MAX(1,IF(G437&gt;0,AI437/G437,1))),AJ437*Q437)</f>
        <v/>
      </c>
      <c r="AL437" s="55">
        <f>AI437*F437</f>
        <v/>
      </c>
      <c r="AM437" s="55">
        <f>ROUNDUP(MAX(I437/IF(BS437&gt;0,BS437,MAX(0.1,N(Cockpit!$I$6))),BV437)/BN437,0)*BN437</f>
        <v/>
      </c>
      <c r="AN437" s="56">
        <f>IF(AK437&gt;0,I437/AK437,-1)</f>
        <v/>
      </c>
      <c r="AO437" s="56">
        <f>IF(AND(OR(BR437="L1",BR437="L23"),AK437&gt;0),SUMIFS($AK$7:$AK$1570,$BR$7:$BR$1570,BR437,$AN$7:$AN$1570,"&gt;"&amp;AN437)+SUMIFS($AK$7:$AK$1570,$BR$7:$BR$1570,BR437,$AN$7:$AN$1570,AN437,$BL$7:$BL$1570,"&lt;="&amp;BL437),"")</f>
        <v/>
      </c>
      <c r="AP437" s="65">
        <f>IF(AO437="",0,MAX(0,MIN(1,(IF(BR437="L1",Parameter!$K$5,Parameter!$K$6+Parameter!$K$7)-(AO437-AK437))/AK437)))</f>
        <v/>
      </c>
      <c r="AQ437" s="55">
        <f>IF(LEFT(Cockpit!$O$5,1)="A",G437,IF(BT437=1,BU437,IF(LEFT(Cockpit!$O$5,1)="B",AU437,MAX(AU437,G437))))</f>
        <v/>
      </c>
      <c r="AR437" s="55">
        <f>IF(BO437=1,0,ROUNDUP(AQ437/BN437,0))</f>
        <v/>
      </c>
      <c r="AS437" s="64">
        <f>IF(BO437=1,IF(AQ437&lt;=0,0,BP437*MAX(1,IF(G437&gt;0,AQ437/G437,1))),AR437*Q437)</f>
        <v/>
      </c>
      <c r="AT437" s="55">
        <f>AQ437*F437</f>
        <v/>
      </c>
      <c r="AU437" s="55">
        <f>ROUNDUP(MAX(I437/IF(BS437&gt;0,BS437,MAX(0.1,N(Cockpit!$O$6))),BV437)/BN437,0)*BN437</f>
        <v/>
      </c>
      <c r="AV437" s="56">
        <f>IF(AS437&gt;0,I437/AS437,-1)</f>
        <v/>
      </c>
      <c r="AW437" s="56">
        <f>IF(AND(OR(BR437="L1",BR437="L23"),AS437&gt;0),SUMIFS($AS$7:$AS$1570,$BR$7:$BR$1570,BR437,$AV$7:$AV$1570,"&gt;"&amp;AV437)+SUMIFS($AS$7:$AS$1570,$BR$7:$BR$1570,BR437,$AV$7:$AV$1570,AV437,$BL$7:$BL$1570,"&lt;="&amp;BL437),"")</f>
        <v/>
      </c>
      <c r="AX437" s="65">
        <f>IF(AW437="",0,MAX(0,MIN(1,(IF(BR437="L1",Parameter!$K$5,Parameter!$K$6+Parameter!$K$7)-(AW437-AS437))/AS437)))</f>
        <v/>
      </c>
      <c r="AY437" s="53">
        <f>IF(AC437&lt;=0,"",IF(BR437="Aussen","Aussenlager",IF(BR437="-","Nicht im Lift",IF(AH437&gt;=1,"Lift",IF(AH437&lt;=0,"Aussenlager","teilweise")))))</f>
        <v/>
      </c>
      <c r="AZ437" s="53">
        <f>IF(AK437&lt;=0,"",IF(BR437="Aussen","Aussenlager",IF(BR437="-","Nicht im Lift",IF(AP437&gt;=1,"Lift",IF(AP437&lt;=0,"Aussenlager","teilweise")))))</f>
        <v/>
      </c>
      <c r="BA437" s="53">
        <f>IF(AS437&lt;=0,"",IF(BR437="Aussen","Aussenlager",IF(BR437="-","Nicht im Lift",IF(AX437&gt;=1,"Lift",IF(AX437&lt;=0,"Aussenlager","teilweise")))))</f>
        <v/>
      </c>
      <c r="BB437" s="53">
        <f>IF(A437="","",IF(BK437=1,"Neu; ","")&amp;IF(AND(BK437=0,BF437&lt;0),"negativer Bestand (Export "&amp;BF437&amp;"); ","")&amp;IF(I437&lt;=0,"Kein Verbrauch; ","")&amp;IF(BO437=1,"Lose – Fläche geschätzt; ","")&amp;IF(G437&gt;AM437,"Überbestand "&amp;ROUND(G437-AM437,0)&amp;" Stk / CHF "&amp;ROUND((G437-AM437)*F437,0)&amp;"; ","")&amp;IF(AND(BT437=1,BU437&lt;BV437),"MAX &lt; MB+LG; ","")&amp;IF(AND(BZ437&gt;0,BY437*10&gt;BZ437),"zu hoch für Tablar; ","")&amp;IF(AND(BK437=0,OR(BT437=1,V437&lt;&gt;"",S437&lt;&gt;"",T437&lt;&gt;"",W437&lt;&gt;"")),"manuell übersteuert; ","")&amp;IF(AND(BO437=0,Q437=0),"Gebinde unbekannt; ","")&amp;IF(AND(BO437=0,N(T437)&lt;=0,N(P437)&lt;=0),"Menge pro Gebinde fehlt (Ist = 1 Gebinde); ","")&amp;BJ437)</f>
        <v/>
      </c>
      <c r="BC437" s="53" t="n"/>
      <c r="BD437" s="53" t="n"/>
      <c r="BE437" s="61" t="n"/>
      <c r="BF437" s="55" t="n">
        <v>5</v>
      </c>
      <c r="BG437" s="55" t="n">
        <v>20</v>
      </c>
      <c r="BH437" s="54" t="n">
        <v>77.49999999999996</v>
      </c>
      <c r="BI437" s="55" t="n">
        <v>30</v>
      </c>
      <c r="BJ437" s="53" t="inlineStr"/>
      <c r="BK437" s="58" t="n">
        <v>0</v>
      </c>
      <c r="BL437" s="58" t="n">
        <v>437</v>
      </c>
      <c r="BM437" s="53">
        <f>IF(S437&lt;&gt;"",UPPER(TRIM(S437)),IF(O437="","LOSE",O437))</f>
        <v/>
      </c>
      <c r="BN437" s="55">
        <f>IF(BM437="LOSE",1,IF(N(T437)&gt;0,T437,IF(N(P437)&gt;0,P437,MAX(1,G437))))</f>
        <v/>
      </c>
      <c r="BO437" s="58">
        <f>IF(BM437="LOSE",1,0)</f>
        <v/>
      </c>
      <c r="BP437" s="64">
        <f>IF(BO437=0,0,IF(N(R437)&gt;0,R437,IFERROR(VLOOKUP(D437,Parameter!$A$35:$C$64,3,0)+0,0)))</f>
        <v/>
      </c>
      <c r="BQ437" s="53">
        <f>IF(V437&lt;&gt;"",V437,U437)</f>
        <v/>
      </c>
      <c r="BR437" s="53">
        <f>IF(BQ437=1,"L1",IF(OR(BQ437=2,BQ437=3),"L23",IF(BQ437="Aussen","Aussen","-")))</f>
        <v/>
      </c>
      <c r="BS437" s="66">
        <f>IF(N(W437)&gt;0,W437,0)</f>
        <v/>
      </c>
      <c r="BT437" s="58">
        <f>IF(ISNUMBER(Z437),1,0)</f>
        <v/>
      </c>
      <c r="BU437" s="55">
        <f>N(Z437)</f>
        <v/>
      </c>
      <c r="BV437" s="55">
        <f>N(L437)+N(M437)</f>
        <v/>
      </c>
      <c r="BW437" s="55">
        <f>ROUNDUP(G437/BN437,0)</f>
        <v/>
      </c>
      <c r="BX437" s="55">
        <f>ROUNDUP(BU437/BN437,0)</f>
        <v/>
      </c>
      <c r="BY437" s="58">
        <f>IF(BO437=1,0,IFERROR(VLOOKUP(BM437,'Gebinde-Kategorie'!$A$5:$G$45,5,0)+0,0))</f>
        <v/>
      </c>
      <c r="BZ437" s="58">
        <f>IFERROR(IF(OR(BQ437=1,BQ437=2,BQ437=3),N(INDEX(Parameter!$I$5:$I$7,BQ437)),0),0)</f>
        <v/>
      </c>
    </row>
    <row r="438">
      <c r="A438" s="53" t="inlineStr">
        <is>
          <t>005121</t>
        </is>
      </c>
      <c r="B438" s="53" t="inlineStr">
        <is>
          <t>Sicherungs-Automat SC 1x16+N</t>
        </is>
      </c>
      <c r="C438" s="53" t="inlineStr">
        <is>
          <t>F</t>
        </is>
      </c>
      <c r="D438" s="53" t="inlineStr">
        <is>
          <t>KTL</t>
        </is>
      </c>
      <c r="E438" s="53" t="inlineStr">
        <is>
          <t>C</t>
        </is>
      </c>
      <c r="F438" s="54" t="n">
        <v>19.07</v>
      </c>
      <c r="G438" s="55">
        <f>MAX(0,IF(Parameter!$B$20="Jahresanfang 2025 + Export",BG438+BF438,BF438))</f>
        <v/>
      </c>
      <c r="H438" s="55">
        <f>G438*F438</f>
        <v/>
      </c>
      <c r="I438" s="55">
        <f>BI438*Parameter!$B$18</f>
        <v/>
      </c>
      <c r="J438" s="56" t="n">
        <v>7.5</v>
      </c>
      <c r="K438" s="57" t="n">
        <v>0</v>
      </c>
      <c r="L438" s="55" t="n">
        <v>0</v>
      </c>
      <c r="M438" s="55" t="n">
        <v>1</v>
      </c>
      <c r="N438" s="58" t="n">
        <v>42</v>
      </c>
      <c r="O438" s="53" t="inlineStr">
        <is>
          <t>S33</t>
        </is>
      </c>
      <c r="P438" s="55" t="n">
        <v>9</v>
      </c>
      <c r="Q438" s="59">
        <f>IF(BO438=1,0,IFERROR(VLOOKUP(BM438,'Gebinde-Kategorie'!$A$5:$G$45,6,0)+0,0))</f>
        <v/>
      </c>
      <c r="R438" s="60" t="n"/>
      <c r="S438" s="61" t="n"/>
      <c r="T438" s="61" t="n"/>
      <c r="U438" s="53">
        <f>IF(A438="","",IF(IFERROR(VLOOKUP(D438,Parameter!$A$35:$C$64,2,0),"Nein")="2+3",IF(ISNUMBER(SEARCH("grosser Artikel",BJ438)),2,IFERROR(VLOOKUP(BM438,Parameter!$F$35:$G$64,2,0),2)),IF(OR(IFERROR(VLOOKUP(D438,Parameter!$A$35:$C$64,2,0),"Nein")="Nein",IFERROR(VLOOKUP(D438,Parameter!$A$35:$C$64,2,0),"Nein")=""),"-",VLOOKUP(D438,Parameter!$A$35:$C$64,2,0))))</f>
        <v/>
      </c>
      <c r="V438" s="61" t="n"/>
      <c r="W438" s="62" t="n"/>
      <c r="X438" s="55">
        <f>AM438</f>
        <v/>
      </c>
      <c r="Y438" s="55">
        <f>MAX(AM438,G438)</f>
        <v/>
      </c>
      <c r="Z438" s="63" t="n"/>
      <c r="AA438" s="55">
        <f>IF(LEFT(Cockpit!$C$5,1)="A",G438,IF(BT438=1,BU438,IF(LEFT(Cockpit!$C$5,1)="B",AE438,MAX(AE438,G438))))</f>
        <v/>
      </c>
      <c r="AB438" s="55">
        <f>IF(BO438=1,0,ROUNDUP(AA438/BN438,0))</f>
        <v/>
      </c>
      <c r="AC438" s="64">
        <f>IF(BO438=1,IF(AA438&lt;=0,0,BP438*MAX(1,IF(G438&gt;0,AA438/G438,1))),AB438*Q438)</f>
        <v/>
      </c>
      <c r="AD438" s="55">
        <f>AA438*F438</f>
        <v/>
      </c>
      <c r="AE438" s="55">
        <f>ROUNDUP(MAX(I438/IF(BS438&gt;0,BS438,MAX(0.1,N(Cockpit!$C$6))),BV438)/BN438,0)*BN438</f>
        <v/>
      </c>
      <c r="AF438" s="56">
        <f>IF(AC438&gt;0,I438/AC438,-1)</f>
        <v/>
      </c>
      <c r="AG438" s="56">
        <f>IF(AND(OR(BR438="L1",BR438="L23"),AC438&gt;0),SUMIFS($AC$7:$AC$1570,$BR$7:$BR$1570,BR438,$AF$7:$AF$1570,"&gt;"&amp;AF438)+SUMIFS($AC$7:$AC$1570,$BR$7:$BR$1570,BR438,$AF$7:$AF$1570,AF438,$BL$7:$BL$1570,"&lt;="&amp;BL438),"")</f>
        <v/>
      </c>
      <c r="AH438" s="65">
        <f>IF(AG438="",0,MAX(0,MIN(1,(IF(BR438="L1",Parameter!$K$5,Parameter!$K$6+Parameter!$K$7)-(AG438-AC438))/AC438)))</f>
        <v/>
      </c>
      <c r="AI438" s="55">
        <f>IF(LEFT(Cockpit!$I$5,1)="A",G438,IF(BT438=1,BU438,IF(LEFT(Cockpit!$I$5,1)="B",AM438,MAX(AM438,G438))))</f>
        <v/>
      </c>
      <c r="AJ438" s="55">
        <f>IF(BO438=1,0,ROUNDUP(AI438/BN438,0))</f>
        <v/>
      </c>
      <c r="AK438" s="64">
        <f>IF(BO438=1,IF(AI438&lt;=0,0,BP438*MAX(1,IF(G438&gt;0,AI438/G438,1))),AJ438*Q438)</f>
        <v/>
      </c>
      <c r="AL438" s="55">
        <f>AI438*F438</f>
        <v/>
      </c>
      <c r="AM438" s="55">
        <f>ROUNDUP(MAX(I438/IF(BS438&gt;0,BS438,MAX(0.1,N(Cockpit!$I$6))),BV438)/BN438,0)*BN438</f>
        <v/>
      </c>
      <c r="AN438" s="56">
        <f>IF(AK438&gt;0,I438/AK438,-1)</f>
        <v/>
      </c>
      <c r="AO438" s="56">
        <f>IF(AND(OR(BR438="L1",BR438="L23"),AK438&gt;0),SUMIFS($AK$7:$AK$1570,$BR$7:$BR$1570,BR438,$AN$7:$AN$1570,"&gt;"&amp;AN438)+SUMIFS($AK$7:$AK$1570,$BR$7:$BR$1570,BR438,$AN$7:$AN$1570,AN438,$BL$7:$BL$1570,"&lt;="&amp;BL438),"")</f>
        <v/>
      </c>
      <c r="AP438" s="65">
        <f>IF(AO438="",0,MAX(0,MIN(1,(IF(BR438="L1",Parameter!$K$5,Parameter!$K$6+Parameter!$K$7)-(AO438-AK438))/AK438)))</f>
        <v/>
      </c>
      <c r="AQ438" s="55">
        <f>IF(LEFT(Cockpit!$O$5,1)="A",G438,IF(BT438=1,BU438,IF(LEFT(Cockpit!$O$5,1)="B",AU438,MAX(AU438,G438))))</f>
        <v/>
      </c>
      <c r="AR438" s="55">
        <f>IF(BO438=1,0,ROUNDUP(AQ438/BN438,0))</f>
        <v/>
      </c>
      <c r="AS438" s="64">
        <f>IF(BO438=1,IF(AQ438&lt;=0,0,BP438*MAX(1,IF(G438&gt;0,AQ438/G438,1))),AR438*Q438)</f>
        <v/>
      </c>
      <c r="AT438" s="55">
        <f>AQ438*F438</f>
        <v/>
      </c>
      <c r="AU438" s="55">
        <f>ROUNDUP(MAX(I438/IF(BS438&gt;0,BS438,MAX(0.1,N(Cockpit!$O$6))),BV438)/BN438,0)*BN438</f>
        <v/>
      </c>
      <c r="AV438" s="56">
        <f>IF(AS438&gt;0,I438/AS438,-1)</f>
        <v/>
      </c>
      <c r="AW438" s="56">
        <f>IF(AND(OR(BR438="L1",BR438="L23"),AS438&gt;0),SUMIFS($AS$7:$AS$1570,$BR$7:$BR$1570,BR438,$AV$7:$AV$1570,"&gt;"&amp;AV438)+SUMIFS($AS$7:$AS$1570,$BR$7:$BR$1570,BR438,$AV$7:$AV$1570,AV438,$BL$7:$BL$1570,"&lt;="&amp;BL438),"")</f>
        <v/>
      </c>
      <c r="AX438" s="65">
        <f>IF(AW438="",0,MAX(0,MIN(1,(IF(BR438="L1",Parameter!$K$5,Parameter!$K$6+Parameter!$K$7)-(AW438-AS438))/AS438)))</f>
        <v/>
      </c>
      <c r="AY438" s="53">
        <f>IF(AC438&lt;=0,"",IF(BR438="Aussen","Aussenlager",IF(BR438="-","Nicht im Lift",IF(AH438&gt;=1,"Lift",IF(AH438&lt;=0,"Aussenlager","teilweise")))))</f>
        <v/>
      </c>
      <c r="AZ438" s="53">
        <f>IF(AK438&lt;=0,"",IF(BR438="Aussen","Aussenlager",IF(BR438="-","Nicht im Lift",IF(AP438&gt;=1,"Lift",IF(AP438&lt;=0,"Aussenlager","teilweise")))))</f>
        <v/>
      </c>
      <c r="BA438" s="53">
        <f>IF(AS438&lt;=0,"",IF(BR438="Aussen","Aussenlager",IF(BR438="-","Nicht im Lift",IF(AX438&gt;=1,"Lift",IF(AX438&lt;=0,"Aussenlager","teilweise")))))</f>
        <v/>
      </c>
      <c r="BB438" s="53">
        <f>IF(A438="","",IF(BK438=1,"Neu; ","")&amp;IF(AND(BK438=0,BF438&lt;0),"negativer Bestand (Export "&amp;BF438&amp;"); ","")&amp;IF(I438&lt;=0,"Kein Verbrauch; ","")&amp;IF(BO438=1,"Lose – Fläche geschätzt; ","")&amp;IF(G438&gt;AM438,"Überbestand "&amp;ROUND(G438-AM438,0)&amp;" Stk / CHF "&amp;ROUND((G438-AM438)*F438,0)&amp;"; ","")&amp;IF(AND(BT438=1,BU438&lt;BV438),"MAX &lt; MB+LG; ","")&amp;IF(AND(BZ438&gt;0,BY438*10&gt;BZ438),"zu hoch für Tablar; ","")&amp;IF(AND(BK438=0,OR(BT438=1,V438&lt;&gt;"",S438&lt;&gt;"",T438&lt;&gt;"",W438&lt;&gt;"")),"manuell übersteuert; ","")&amp;IF(AND(BO438=0,Q438=0),"Gebinde unbekannt; ","")&amp;IF(AND(BO438=0,N(T438)&lt;=0,N(P438)&lt;=0),"Menge pro Gebinde fehlt (Ist = 1 Gebinde); ","")&amp;BJ438)</f>
        <v/>
      </c>
      <c r="BC438" s="53" t="n"/>
      <c r="BD438" s="53" t="n"/>
      <c r="BE438" s="61" t="n"/>
      <c r="BF438" s="55" t="n">
        <v>4</v>
      </c>
      <c r="BG438" s="55" t="n">
        <v>6</v>
      </c>
      <c r="BH438" s="54" t="n">
        <v>76.28</v>
      </c>
      <c r="BI438" s="55" t="n">
        <v>0</v>
      </c>
      <c r="BJ438" s="53" t="inlineStr"/>
      <c r="BK438" s="58" t="n">
        <v>0</v>
      </c>
      <c r="BL438" s="58" t="n">
        <v>438</v>
      </c>
      <c r="BM438" s="53">
        <f>IF(S438&lt;&gt;"",UPPER(TRIM(S438)),IF(O438="","LOSE",O438))</f>
        <v/>
      </c>
      <c r="BN438" s="55">
        <f>IF(BM438="LOSE",1,IF(N(T438)&gt;0,T438,IF(N(P438)&gt;0,P438,MAX(1,G438))))</f>
        <v/>
      </c>
      <c r="BO438" s="58">
        <f>IF(BM438="LOSE",1,0)</f>
        <v/>
      </c>
      <c r="BP438" s="64">
        <f>IF(BO438=0,0,IF(N(R438)&gt;0,R438,IFERROR(VLOOKUP(D438,Parameter!$A$35:$C$64,3,0)+0,0)))</f>
        <v/>
      </c>
      <c r="BQ438" s="53">
        <f>IF(V438&lt;&gt;"",V438,U438)</f>
        <v/>
      </c>
      <c r="BR438" s="53">
        <f>IF(BQ438=1,"L1",IF(OR(BQ438=2,BQ438=3),"L23",IF(BQ438="Aussen","Aussen","-")))</f>
        <v/>
      </c>
      <c r="BS438" s="66">
        <f>IF(N(W438)&gt;0,W438,0)</f>
        <v/>
      </c>
      <c r="BT438" s="58">
        <f>IF(ISNUMBER(Z438),1,0)</f>
        <v/>
      </c>
      <c r="BU438" s="55">
        <f>N(Z438)</f>
        <v/>
      </c>
      <c r="BV438" s="55">
        <f>N(L438)+N(M438)</f>
        <v/>
      </c>
      <c r="BW438" s="55">
        <f>ROUNDUP(G438/BN438,0)</f>
        <v/>
      </c>
      <c r="BX438" s="55">
        <f>ROUNDUP(BU438/BN438,0)</f>
        <v/>
      </c>
      <c r="BY438" s="58">
        <f>IF(BO438=1,0,IFERROR(VLOOKUP(BM438,'Gebinde-Kategorie'!$A$5:$G$45,5,0)+0,0))</f>
        <v/>
      </c>
      <c r="BZ438" s="58">
        <f>IFERROR(IF(OR(BQ438=1,BQ438=2,BQ438=3),N(INDEX(Parameter!$I$5:$I$7,BQ438)),0),0)</f>
        <v/>
      </c>
    </row>
    <row r="439">
      <c r="A439" s="53" t="inlineStr">
        <is>
          <t>104391</t>
        </is>
      </c>
      <c r="B439" s="53" t="inlineStr">
        <is>
          <t>Tüllengehäuse D7</t>
        </is>
      </c>
      <c r="C439" s="53" t="inlineStr">
        <is>
          <t>F</t>
        </is>
      </c>
      <c r="D439" s="53" t="inlineStr">
        <is>
          <t>KTL</t>
        </is>
      </c>
      <c r="E439" s="53" t="inlineStr">
        <is>
          <t>C</t>
        </is>
      </c>
      <c r="F439" s="54" t="n">
        <v>2.99</v>
      </c>
      <c r="G439" s="55">
        <f>MAX(0,IF(Parameter!$B$20="Jahresanfang 2025 + Export",BG439+BF439,BF439))</f>
        <v/>
      </c>
      <c r="H439" s="55">
        <f>G439*F439</f>
        <v/>
      </c>
      <c r="I439" s="55">
        <f>BI439*Parameter!$B$18</f>
        <v/>
      </c>
      <c r="J439" s="56" t="n">
        <v>0</v>
      </c>
      <c r="K439" s="57" t="n">
        <v>0</v>
      </c>
      <c r="L439" s="55" t="n">
        <v>0</v>
      </c>
      <c r="M439" s="55" t="n">
        <v>5</v>
      </c>
      <c r="N439" s="58" t="n">
        <v>90</v>
      </c>
      <c r="O439" s="53" t="inlineStr">
        <is>
          <t>LOSE</t>
        </is>
      </c>
      <c r="P439" s="55" t="n"/>
      <c r="Q439" s="59">
        <f>IF(BO439=1,0,IFERROR(VLOOKUP(BM439,'Gebinde-Kategorie'!$A$5:$G$45,6,0)+0,0))</f>
        <v/>
      </c>
      <c r="R439" s="60" t="n"/>
      <c r="S439" s="61" t="n"/>
      <c r="T439" s="61" t="n"/>
      <c r="U439" s="53">
        <f>IF(A439="","",IF(IFERROR(VLOOKUP(D439,Parameter!$A$35:$C$64,2,0),"Nein")="2+3",IF(ISNUMBER(SEARCH("grosser Artikel",BJ439)),2,IFERROR(VLOOKUP(BM439,Parameter!$F$35:$G$64,2,0),2)),IF(OR(IFERROR(VLOOKUP(D439,Parameter!$A$35:$C$64,2,0),"Nein")="Nein",IFERROR(VLOOKUP(D439,Parameter!$A$35:$C$64,2,0),"Nein")=""),"-",VLOOKUP(D439,Parameter!$A$35:$C$64,2,0))))</f>
        <v/>
      </c>
      <c r="V439" s="61" t="n"/>
      <c r="W439" s="62" t="n"/>
      <c r="X439" s="55">
        <f>AM439</f>
        <v/>
      </c>
      <c r="Y439" s="55">
        <f>MAX(AM439,G439)</f>
        <v/>
      </c>
      <c r="Z439" s="63" t="n"/>
      <c r="AA439" s="55">
        <f>IF(LEFT(Cockpit!$C$5,1)="A",G439,IF(BT439=1,BU439,IF(LEFT(Cockpit!$C$5,1)="B",AE439,MAX(AE439,G439))))</f>
        <v/>
      </c>
      <c r="AB439" s="55">
        <f>IF(BO439=1,0,ROUNDUP(AA439/BN439,0))</f>
        <v/>
      </c>
      <c r="AC439" s="64">
        <f>IF(BO439=1,IF(AA439&lt;=0,0,BP439*MAX(1,IF(G439&gt;0,AA439/G439,1))),AB439*Q439)</f>
        <v/>
      </c>
      <c r="AD439" s="55">
        <f>AA439*F439</f>
        <v/>
      </c>
      <c r="AE439" s="55">
        <f>ROUNDUP(MAX(I439/IF(BS439&gt;0,BS439,MAX(0.1,N(Cockpit!$C$6))),BV439)/BN439,0)*BN439</f>
        <v/>
      </c>
      <c r="AF439" s="56">
        <f>IF(AC439&gt;0,I439/AC439,-1)</f>
        <v/>
      </c>
      <c r="AG439" s="56">
        <f>IF(AND(OR(BR439="L1",BR439="L23"),AC439&gt;0),SUMIFS($AC$7:$AC$1570,$BR$7:$BR$1570,BR439,$AF$7:$AF$1570,"&gt;"&amp;AF439)+SUMIFS($AC$7:$AC$1570,$BR$7:$BR$1570,BR439,$AF$7:$AF$1570,AF439,$BL$7:$BL$1570,"&lt;="&amp;BL439),"")</f>
        <v/>
      </c>
      <c r="AH439" s="65">
        <f>IF(AG439="",0,MAX(0,MIN(1,(IF(BR439="L1",Parameter!$K$5,Parameter!$K$6+Parameter!$K$7)-(AG439-AC439))/AC439)))</f>
        <v/>
      </c>
      <c r="AI439" s="55">
        <f>IF(LEFT(Cockpit!$I$5,1)="A",G439,IF(BT439=1,BU439,IF(LEFT(Cockpit!$I$5,1)="B",AM439,MAX(AM439,G439))))</f>
        <v/>
      </c>
      <c r="AJ439" s="55">
        <f>IF(BO439=1,0,ROUNDUP(AI439/BN439,0))</f>
        <v/>
      </c>
      <c r="AK439" s="64">
        <f>IF(BO439=1,IF(AI439&lt;=0,0,BP439*MAX(1,IF(G439&gt;0,AI439/G439,1))),AJ439*Q439)</f>
        <v/>
      </c>
      <c r="AL439" s="55">
        <f>AI439*F439</f>
        <v/>
      </c>
      <c r="AM439" s="55">
        <f>ROUNDUP(MAX(I439/IF(BS439&gt;0,BS439,MAX(0.1,N(Cockpit!$I$6))),BV439)/BN439,0)*BN439</f>
        <v/>
      </c>
      <c r="AN439" s="56">
        <f>IF(AK439&gt;0,I439/AK439,-1)</f>
        <v/>
      </c>
      <c r="AO439" s="56">
        <f>IF(AND(OR(BR439="L1",BR439="L23"),AK439&gt;0),SUMIFS($AK$7:$AK$1570,$BR$7:$BR$1570,BR439,$AN$7:$AN$1570,"&gt;"&amp;AN439)+SUMIFS($AK$7:$AK$1570,$BR$7:$BR$1570,BR439,$AN$7:$AN$1570,AN439,$BL$7:$BL$1570,"&lt;="&amp;BL439),"")</f>
        <v/>
      </c>
      <c r="AP439" s="65">
        <f>IF(AO439="",0,MAX(0,MIN(1,(IF(BR439="L1",Parameter!$K$5,Parameter!$K$6+Parameter!$K$7)-(AO439-AK439))/AK439)))</f>
        <v/>
      </c>
      <c r="AQ439" s="55">
        <f>IF(LEFT(Cockpit!$O$5,1)="A",G439,IF(BT439=1,BU439,IF(LEFT(Cockpit!$O$5,1)="B",AU439,MAX(AU439,G439))))</f>
        <v/>
      </c>
      <c r="AR439" s="55">
        <f>IF(BO439=1,0,ROUNDUP(AQ439/BN439,0))</f>
        <v/>
      </c>
      <c r="AS439" s="64">
        <f>IF(BO439=1,IF(AQ439&lt;=0,0,BP439*MAX(1,IF(G439&gt;0,AQ439/G439,1))),AR439*Q439)</f>
        <v/>
      </c>
      <c r="AT439" s="55">
        <f>AQ439*F439</f>
        <v/>
      </c>
      <c r="AU439" s="55">
        <f>ROUNDUP(MAX(I439/IF(BS439&gt;0,BS439,MAX(0.1,N(Cockpit!$O$6))),BV439)/BN439,0)*BN439</f>
        <v/>
      </c>
      <c r="AV439" s="56">
        <f>IF(AS439&gt;0,I439/AS439,-1)</f>
        <v/>
      </c>
      <c r="AW439" s="56">
        <f>IF(AND(OR(BR439="L1",BR439="L23"),AS439&gt;0),SUMIFS($AS$7:$AS$1570,$BR$7:$BR$1570,BR439,$AV$7:$AV$1570,"&gt;"&amp;AV439)+SUMIFS($AS$7:$AS$1570,$BR$7:$BR$1570,BR439,$AV$7:$AV$1570,AV439,$BL$7:$BL$1570,"&lt;="&amp;BL439),"")</f>
        <v/>
      </c>
      <c r="AX439" s="65">
        <f>IF(AW439="",0,MAX(0,MIN(1,(IF(BR439="L1",Parameter!$K$5,Parameter!$K$6+Parameter!$K$7)-(AW439-AS439))/AS439)))</f>
        <v/>
      </c>
      <c r="AY439" s="53">
        <f>IF(AC439&lt;=0,"",IF(BR439="Aussen","Aussenlager",IF(BR439="-","Nicht im Lift",IF(AH439&gt;=1,"Lift",IF(AH439&lt;=0,"Aussenlager","teilweise")))))</f>
        <v/>
      </c>
      <c r="AZ439" s="53">
        <f>IF(AK439&lt;=0,"",IF(BR439="Aussen","Aussenlager",IF(BR439="-","Nicht im Lift",IF(AP439&gt;=1,"Lift",IF(AP439&lt;=0,"Aussenlager","teilweise")))))</f>
        <v/>
      </c>
      <c r="BA439" s="53">
        <f>IF(AS439&lt;=0,"",IF(BR439="Aussen","Aussenlager",IF(BR439="-","Nicht im Lift",IF(AX439&gt;=1,"Lift",IF(AX439&lt;=0,"Aussenlager","teilweise")))))</f>
        <v/>
      </c>
      <c r="BB439" s="53">
        <f>IF(A439="","",IF(BK439=1,"Neu; ","")&amp;IF(AND(BK439=0,BF439&lt;0),"negativer Bestand (Export "&amp;BF439&amp;"); ","")&amp;IF(I439&lt;=0,"Kein Verbrauch; ","")&amp;IF(BO439=1,"Lose – Fläche geschätzt; ","")&amp;IF(G439&gt;AM439,"Überbestand "&amp;ROUND(G439-AM439,0)&amp;" Stk / CHF "&amp;ROUND((G439-AM439)*F439,0)&amp;"; ","")&amp;IF(AND(BT439=1,BU439&lt;BV439),"MAX &lt; MB+LG; ","")&amp;IF(AND(BZ439&gt;0,BY439*10&gt;BZ439),"zu hoch für Tablar; ","")&amp;IF(AND(BK439=0,OR(BT439=1,V439&lt;&gt;"",S439&lt;&gt;"",T439&lt;&gt;"",W439&lt;&gt;"")),"manuell übersteuert; ","")&amp;IF(AND(BO439=0,Q439=0),"Gebinde unbekannt; ","")&amp;IF(AND(BO439=0,N(T439)&lt;=0,N(P439)&lt;=0),"Menge pro Gebinde fehlt (Ist = 1 Gebinde); ","")&amp;BJ439)</f>
        <v/>
      </c>
      <c r="BC439" s="53" t="n"/>
      <c r="BD439" s="53" t="n"/>
      <c r="BE439" s="61" t="n"/>
      <c r="BF439" s="55" t="n">
        <v>25</v>
      </c>
      <c r="BG439" s="55" t="n">
        <v>0</v>
      </c>
      <c r="BH439" s="54" t="n">
        <v>74.75</v>
      </c>
      <c r="BI439" s="55" t="n">
        <v>0</v>
      </c>
      <c r="BJ439" s="53" t="inlineStr"/>
      <c r="BK439" s="58" t="n">
        <v>0</v>
      </c>
      <c r="BL439" s="58" t="n">
        <v>439</v>
      </c>
      <c r="BM439" s="53">
        <f>IF(S439&lt;&gt;"",UPPER(TRIM(S439)),IF(O439="","LOSE",O439))</f>
        <v/>
      </c>
      <c r="BN439" s="55">
        <f>IF(BM439="LOSE",1,IF(N(T439)&gt;0,T439,IF(N(P439)&gt;0,P439,MAX(1,G439))))</f>
        <v/>
      </c>
      <c r="BO439" s="58">
        <f>IF(BM439="LOSE",1,0)</f>
        <v/>
      </c>
      <c r="BP439" s="64">
        <f>IF(BO439=0,0,IF(N(R439)&gt;0,R439,IFERROR(VLOOKUP(D439,Parameter!$A$35:$C$64,3,0)+0,0)))</f>
        <v/>
      </c>
      <c r="BQ439" s="53">
        <f>IF(V439&lt;&gt;"",V439,U439)</f>
        <v/>
      </c>
      <c r="BR439" s="53">
        <f>IF(BQ439=1,"L1",IF(OR(BQ439=2,BQ439=3),"L23",IF(BQ439="Aussen","Aussen","-")))</f>
        <v/>
      </c>
      <c r="BS439" s="66">
        <f>IF(N(W439)&gt;0,W439,0)</f>
        <v/>
      </c>
      <c r="BT439" s="58">
        <f>IF(ISNUMBER(Z439),1,0)</f>
        <v/>
      </c>
      <c r="BU439" s="55">
        <f>N(Z439)</f>
        <v/>
      </c>
      <c r="BV439" s="55">
        <f>N(L439)+N(M439)</f>
        <v/>
      </c>
      <c r="BW439" s="55">
        <f>ROUNDUP(G439/BN439,0)</f>
        <v/>
      </c>
      <c r="BX439" s="55">
        <f>ROUNDUP(BU439/BN439,0)</f>
        <v/>
      </c>
      <c r="BY439" s="58">
        <f>IF(BO439=1,0,IFERROR(VLOOKUP(BM439,'Gebinde-Kategorie'!$A$5:$G$45,5,0)+0,0))</f>
        <v/>
      </c>
      <c r="BZ439" s="58">
        <f>IFERROR(IF(OR(BQ439=1,BQ439=2,BQ439=3),N(INDEX(Parameter!$I$5:$I$7,BQ439)),0),0)</f>
        <v/>
      </c>
    </row>
    <row r="440">
      <c r="A440" s="53" t="inlineStr">
        <is>
          <t>106941</t>
        </is>
      </c>
      <c r="B440" s="53" t="inlineStr">
        <is>
          <t>Einspeisebusmodul</t>
        </is>
      </c>
      <c r="C440" s="53" t="inlineStr">
        <is>
          <t>F</t>
        </is>
      </c>
      <c r="D440" s="53" t="inlineStr">
        <is>
          <t>KTL</t>
        </is>
      </c>
      <c r="E440" s="53" t="inlineStr">
        <is>
          <t>C</t>
        </is>
      </c>
      <c r="F440" s="54" t="n">
        <v>7.88</v>
      </c>
      <c r="G440" s="55">
        <f>MAX(0,IF(Parameter!$B$20="Jahresanfang 2025 + Export",BG440+BF440,BF440))</f>
        <v/>
      </c>
      <c r="H440" s="55">
        <f>G440*F440</f>
        <v/>
      </c>
      <c r="I440" s="55">
        <f>BI440*Parameter!$B$18</f>
        <v/>
      </c>
      <c r="J440" s="56" t="n">
        <v>54</v>
      </c>
      <c r="K440" s="57" t="n">
        <v>0.01851851851851852</v>
      </c>
      <c r="L440" s="55" t="n">
        <v>0</v>
      </c>
      <c r="M440" s="55" t="n">
        <v>1</v>
      </c>
      <c r="N440" s="58" t="n">
        <v>70</v>
      </c>
      <c r="O440" s="53" t="inlineStr">
        <is>
          <t>S61</t>
        </is>
      </c>
      <c r="P440" s="55" t="n">
        <v>55</v>
      </c>
      <c r="Q440" s="59">
        <f>IF(BO440=1,0,IFERROR(VLOOKUP(BM440,'Gebinde-Kategorie'!$A$5:$G$45,6,0)+0,0))</f>
        <v/>
      </c>
      <c r="R440" s="60" t="n"/>
      <c r="S440" s="61" t="n"/>
      <c r="T440" s="61" t="n"/>
      <c r="U440" s="53">
        <f>IF(A440="","",IF(IFERROR(VLOOKUP(D440,Parameter!$A$35:$C$64,2,0),"Nein")="2+3",IF(ISNUMBER(SEARCH("grosser Artikel",BJ440)),2,IFERROR(VLOOKUP(BM440,Parameter!$F$35:$G$64,2,0),2)),IF(OR(IFERROR(VLOOKUP(D440,Parameter!$A$35:$C$64,2,0),"Nein")="Nein",IFERROR(VLOOKUP(D440,Parameter!$A$35:$C$64,2,0),"Nein")=""),"-",VLOOKUP(D440,Parameter!$A$35:$C$64,2,0))))</f>
        <v/>
      </c>
      <c r="V440" s="61" t="n"/>
      <c r="W440" s="62" t="n"/>
      <c r="X440" s="55">
        <f>AM440</f>
        <v/>
      </c>
      <c r="Y440" s="55">
        <f>MAX(AM440,G440)</f>
        <v/>
      </c>
      <c r="Z440" s="63" t="n"/>
      <c r="AA440" s="55">
        <f>IF(LEFT(Cockpit!$C$5,1)="A",G440,IF(BT440=1,BU440,IF(LEFT(Cockpit!$C$5,1)="B",AE440,MAX(AE440,G440))))</f>
        <v/>
      </c>
      <c r="AB440" s="55">
        <f>IF(BO440=1,0,ROUNDUP(AA440/BN440,0))</f>
        <v/>
      </c>
      <c r="AC440" s="64">
        <f>IF(BO440=1,IF(AA440&lt;=0,0,BP440*MAX(1,IF(G440&gt;0,AA440/G440,1))),AB440*Q440)</f>
        <v/>
      </c>
      <c r="AD440" s="55">
        <f>AA440*F440</f>
        <v/>
      </c>
      <c r="AE440" s="55">
        <f>ROUNDUP(MAX(I440/IF(BS440&gt;0,BS440,MAX(0.1,N(Cockpit!$C$6))),BV440)/BN440,0)*BN440</f>
        <v/>
      </c>
      <c r="AF440" s="56">
        <f>IF(AC440&gt;0,I440/AC440,-1)</f>
        <v/>
      </c>
      <c r="AG440" s="56">
        <f>IF(AND(OR(BR440="L1",BR440="L23"),AC440&gt;0),SUMIFS($AC$7:$AC$1570,$BR$7:$BR$1570,BR440,$AF$7:$AF$1570,"&gt;"&amp;AF440)+SUMIFS($AC$7:$AC$1570,$BR$7:$BR$1570,BR440,$AF$7:$AF$1570,AF440,$BL$7:$BL$1570,"&lt;="&amp;BL440),"")</f>
        <v/>
      </c>
      <c r="AH440" s="65">
        <f>IF(AG440="",0,MAX(0,MIN(1,(IF(BR440="L1",Parameter!$K$5,Parameter!$K$6+Parameter!$K$7)-(AG440-AC440))/AC440)))</f>
        <v/>
      </c>
      <c r="AI440" s="55">
        <f>IF(LEFT(Cockpit!$I$5,1)="A",G440,IF(BT440=1,BU440,IF(LEFT(Cockpit!$I$5,1)="B",AM440,MAX(AM440,G440))))</f>
        <v/>
      </c>
      <c r="AJ440" s="55">
        <f>IF(BO440=1,0,ROUNDUP(AI440/BN440,0))</f>
        <v/>
      </c>
      <c r="AK440" s="64">
        <f>IF(BO440=1,IF(AI440&lt;=0,0,BP440*MAX(1,IF(G440&gt;0,AI440/G440,1))),AJ440*Q440)</f>
        <v/>
      </c>
      <c r="AL440" s="55">
        <f>AI440*F440</f>
        <v/>
      </c>
      <c r="AM440" s="55">
        <f>ROUNDUP(MAX(I440/IF(BS440&gt;0,BS440,MAX(0.1,N(Cockpit!$I$6))),BV440)/BN440,0)*BN440</f>
        <v/>
      </c>
      <c r="AN440" s="56">
        <f>IF(AK440&gt;0,I440/AK440,-1)</f>
        <v/>
      </c>
      <c r="AO440" s="56">
        <f>IF(AND(OR(BR440="L1",BR440="L23"),AK440&gt;0),SUMIFS($AK$7:$AK$1570,$BR$7:$BR$1570,BR440,$AN$7:$AN$1570,"&gt;"&amp;AN440)+SUMIFS($AK$7:$AK$1570,$BR$7:$BR$1570,BR440,$AN$7:$AN$1570,AN440,$BL$7:$BL$1570,"&lt;="&amp;BL440),"")</f>
        <v/>
      </c>
      <c r="AP440" s="65">
        <f>IF(AO440="",0,MAX(0,MIN(1,(IF(BR440="L1",Parameter!$K$5,Parameter!$K$6+Parameter!$K$7)-(AO440-AK440))/AK440)))</f>
        <v/>
      </c>
      <c r="AQ440" s="55">
        <f>IF(LEFT(Cockpit!$O$5,1)="A",G440,IF(BT440=1,BU440,IF(LEFT(Cockpit!$O$5,1)="B",AU440,MAX(AU440,G440))))</f>
        <v/>
      </c>
      <c r="AR440" s="55">
        <f>IF(BO440=1,0,ROUNDUP(AQ440/BN440,0))</f>
        <v/>
      </c>
      <c r="AS440" s="64">
        <f>IF(BO440=1,IF(AQ440&lt;=0,0,BP440*MAX(1,IF(G440&gt;0,AQ440/G440,1))),AR440*Q440)</f>
        <v/>
      </c>
      <c r="AT440" s="55">
        <f>AQ440*F440</f>
        <v/>
      </c>
      <c r="AU440" s="55">
        <f>ROUNDUP(MAX(I440/IF(BS440&gt;0,BS440,MAX(0.1,N(Cockpit!$O$6))),BV440)/BN440,0)*BN440</f>
        <v/>
      </c>
      <c r="AV440" s="56">
        <f>IF(AS440&gt;0,I440/AS440,-1)</f>
        <v/>
      </c>
      <c r="AW440" s="56">
        <f>IF(AND(OR(BR440="L1",BR440="L23"),AS440&gt;0),SUMIFS($AS$7:$AS$1570,$BR$7:$BR$1570,BR440,$AV$7:$AV$1570,"&gt;"&amp;AV440)+SUMIFS($AS$7:$AS$1570,$BR$7:$BR$1570,BR440,$AV$7:$AV$1570,AV440,$BL$7:$BL$1570,"&lt;="&amp;BL440),"")</f>
        <v/>
      </c>
      <c r="AX440" s="65">
        <f>IF(AW440="",0,MAX(0,MIN(1,(IF(BR440="L1",Parameter!$K$5,Parameter!$K$6+Parameter!$K$7)-(AW440-AS440))/AS440)))</f>
        <v/>
      </c>
      <c r="AY440" s="53">
        <f>IF(AC440&lt;=0,"",IF(BR440="Aussen","Aussenlager",IF(BR440="-","Nicht im Lift",IF(AH440&gt;=1,"Lift",IF(AH440&lt;=0,"Aussenlager","teilweise")))))</f>
        <v/>
      </c>
      <c r="AZ440" s="53">
        <f>IF(AK440&lt;=0,"",IF(BR440="Aussen","Aussenlager",IF(BR440="-","Nicht im Lift",IF(AP440&gt;=1,"Lift",IF(AP440&lt;=0,"Aussenlager","teilweise")))))</f>
        <v/>
      </c>
      <c r="BA440" s="53">
        <f>IF(AS440&lt;=0,"",IF(BR440="Aussen","Aussenlager",IF(BR440="-","Nicht im Lift",IF(AX440&gt;=1,"Lift",IF(AX440&lt;=0,"Aussenlager","teilweise")))))</f>
        <v/>
      </c>
      <c r="BB440" s="53">
        <f>IF(A440="","",IF(BK440=1,"Neu; ","")&amp;IF(AND(BK440=0,BF440&lt;0),"negativer Bestand (Export "&amp;BF440&amp;"); ","")&amp;IF(I440&lt;=0,"Kein Verbrauch; ","")&amp;IF(BO440=1,"Lose – Fläche geschätzt; ","")&amp;IF(G440&gt;AM440,"Überbestand "&amp;ROUND(G440-AM440,0)&amp;" Stk / CHF "&amp;ROUND((G440-AM440)*F440,0)&amp;"; ","")&amp;IF(AND(BT440=1,BU440&lt;BV440),"MAX &lt; MB+LG; ","")&amp;IF(AND(BZ440&gt;0,BY440*10&gt;BZ440),"zu hoch für Tablar; ","")&amp;IF(AND(BK440=0,OR(BT440=1,V440&lt;&gt;"",S440&lt;&gt;"",T440&lt;&gt;"",W440&lt;&gt;"")),"manuell übersteuert; ","")&amp;IF(AND(BO440=0,Q440=0),"Gebinde unbekannt; ","")&amp;IF(AND(BO440=0,N(T440)&lt;=0,N(P440)&lt;=0),"Menge pro Gebinde fehlt (Ist = 1 Gebinde); ","")&amp;BJ440)</f>
        <v/>
      </c>
      <c r="BC440" s="53" t="n"/>
      <c r="BD440" s="53" t="n"/>
      <c r="BE440" s="61" t="n"/>
      <c r="BF440" s="55" t="n">
        <v>8</v>
      </c>
      <c r="BG440" s="55" t="n">
        <v>55</v>
      </c>
      <c r="BH440" s="54" t="n">
        <v>74.66</v>
      </c>
      <c r="BI440" s="55" t="n">
        <v>1</v>
      </c>
      <c r="BJ440" s="53" t="inlineStr">
        <is>
          <t>i.o</t>
        </is>
      </c>
      <c r="BK440" s="58" t="n">
        <v>0</v>
      </c>
      <c r="BL440" s="58" t="n">
        <v>440</v>
      </c>
      <c r="BM440" s="53">
        <f>IF(S440&lt;&gt;"",UPPER(TRIM(S440)),IF(O440="","LOSE",O440))</f>
        <v/>
      </c>
      <c r="BN440" s="55">
        <f>IF(BM440="LOSE",1,IF(N(T440)&gt;0,T440,IF(N(P440)&gt;0,P440,MAX(1,G440))))</f>
        <v/>
      </c>
      <c r="BO440" s="58">
        <f>IF(BM440="LOSE",1,0)</f>
        <v/>
      </c>
      <c r="BP440" s="64">
        <f>IF(BO440=0,0,IF(N(R440)&gt;0,R440,IFERROR(VLOOKUP(D440,Parameter!$A$35:$C$64,3,0)+0,0)))</f>
        <v/>
      </c>
      <c r="BQ440" s="53">
        <f>IF(V440&lt;&gt;"",V440,U440)</f>
        <v/>
      </c>
      <c r="BR440" s="53">
        <f>IF(BQ440=1,"L1",IF(OR(BQ440=2,BQ440=3),"L23",IF(BQ440="Aussen","Aussen","-")))</f>
        <v/>
      </c>
      <c r="BS440" s="66">
        <f>IF(N(W440)&gt;0,W440,0)</f>
        <v/>
      </c>
      <c r="BT440" s="58">
        <f>IF(ISNUMBER(Z440),1,0)</f>
        <v/>
      </c>
      <c r="BU440" s="55">
        <f>N(Z440)</f>
        <v/>
      </c>
      <c r="BV440" s="55">
        <f>N(L440)+N(M440)</f>
        <v/>
      </c>
      <c r="BW440" s="55">
        <f>ROUNDUP(G440/BN440,0)</f>
        <v/>
      </c>
      <c r="BX440" s="55">
        <f>ROUNDUP(BU440/BN440,0)</f>
        <v/>
      </c>
      <c r="BY440" s="58">
        <f>IF(BO440=1,0,IFERROR(VLOOKUP(BM440,'Gebinde-Kategorie'!$A$5:$G$45,5,0)+0,0))</f>
        <v/>
      </c>
      <c r="BZ440" s="58">
        <f>IFERROR(IF(OR(BQ440=1,BQ440=2,BQ440=3),N(INDEX(Parameter!$I$5:$I$7,BQ440)),0),0)</f>
        <v/>
      </c>
    </row>
    <row r="441">
      <c r="A441" s="53" t="inlineStr">
        <is>
          <t>005133</t>
        </is>
      </c>
      <c r="B441" s="53" t="inlineStr">
        <is>
          <t>SPS Stromversorgung 24VDC / 2.5A</t>
        </is>
      </c>
      <c r="C441" s="53" t="inlineStr">
        <is>
          <t>F</t>
        </is>
      </c>
      <c r="D441" s="53" t="inlineStr">
        <is>
          <t>KTL</t>
        </is>
      </c>
      <c r="E441" s="53" t="inlineStr">
        <is>
          <t>C</t>
        </is>
      </c>
      <c r="F441" s="54" t="n">
        <v>73.69</v>
      </c>
      <c r="G441" s="55">
        <f>MAX(0,IF(Parameter!$B$20="Jahresanfang 2025 + Export",BG441+BF441,BF441))</f>
        <v/>
      </c>
      <c r="H441" s="55">
        <f>G441*F441</f>
        <v/>
      </c>
      <c r="I441" s="55">
        <f>BI441*Parameter!$B$18</f>
        <v/>
      </c>
      <c r="J441" s="56" t="n">
        <v>5.5</v>
      </c>
      <c r="K441" s="57" t="n">
        <v>0</v>
      </c>
      <c r="L441" s="55" t="n">
        <v>0</v>
      </c>
      <c r="M441" s="55" t="n">
        <v>1</v>
      </c>
      <c r="N441" s="58" t="n">
        <v>14</v>
      </c>
      <c r="O441" s="53" t="inlineStr">
        <is>
          <t>S22</t>
        </is>
      </c>
      <c r="P441" s="55" t="n">
        <v>2</v>
      </c>
      <c r="Q441" s="59">
        <f>IF(BO441=1,0,IFERROR(VLOOKUP(BM441,'Gebinde-Kategorie'!$A$5:$G$45,6,0)+0,0))</f>
        <v/>
      </c>
      <c r="R441" s="60" t="n"/>
      <c r="S441" s="61" t="n"/>
      <c r="T441" s="61" t="n"/>
      <c r="U441" s="53">
        <f>IF(A441="","",IF(IFERROR(VLOOKUP(D441,Parameter!$A$35:$C$64,2,0),"Nein")="2+3",IF(ISNUMBER(SEARCH("grosser Artikel",BJ441)),2,IFERROR(VLOOKUP(BM441,Parameter!$F$35:$G$64,2,0),2)),IF(OR(IFERROR(VLOOKUP(D441,Parameter!$A$35:$C$64,2,0),"Nein")="Nein",IFERROR(VLOOKUP(D441,Parameter!$A$35:$C$64,2,0),"Nein")=""),"-",VLOOKUP(D441,Parameter!$A$35:$C$64,2,0))))</f>
        <v/>
      </c>
      <c r="V441" s="61" t="n"/>
      <c r="W441" s="62" t="n"/>
      <c r="X441" s="55">
        <f>AM441</f>
        <v/>
      </c>
      <c r="Y441" s="55">
        <f>MAX(AM441,G441)</f>
        <v/>
      </c>
      <c r="Z441" s="63" t="n"/>
      <c r="AA441" s="55">
        <f>IF(LEFT(Cockpit!$C$5,1)="A",G441,IF(BT441=1,BU441,IF(LEFT(Cockpit!$C$5,1)="B",AE441,MAX(AE441,G441))))</f>
        <v/>
      </c>
      <c r="AB441" s="55">
        <f>IF(BO441=1,0,ROUNDUP(AA441/BN441,0))</f>
        <v/>
      </c>
      <c r="AC441" s="64">
        <f>IF(BO441=1,IF(AA441&lt;=0,0,BP441*MAX(1,IF(G441&gt;0,AA441/G441,1))),AB441*Q441)</f>
        <v/>
      </c>
      <c r="AD441" s="55">
        <f>AA441*F441</f>
        <v/>
      </c>
      <c r="AE441" s="55">
        <f>ROUNDUP(MAX(I441/IF(BS441&gt;0,BS441,MAX(0.1,N(Cockpit!$C$6))),BV441)/BN441,0)*BN441</f>
        <v/>
      </c>
      <c r="AF441" s="56">
        <f>IF(AC441&gt;0,I441/AC441,-1)</f>
        <v/>
      </c>
      <c r="AG441" s="56">
        <f>IF(AND(OR(BR441="L1",BR441="L23"),AC441&gt;0),SUMIFS($AC$7:$AC$1570,$BR$7:$BR$1570,BR441,$AF$7:$AF$1570,"&gt;"&amp;AF441)+SUMIFS($AC$7:$AC$1570,$BR$7:$BR$1570,BR441,$AF$7:$AF$1570,AF441,$BL$7:$BL$1570,"&lt;="&amp;BL441),"")</f>
        <v/>
      </c>
      <c r="AH441" s="65">
        <f>IF(AG441="",0,MAX(0,MIN(1,(IF(BR441="L1",Parameter!$K$5,Parameter!$K$6+Parameter!$K$7)-(AG441-AC441))/AC441)))</f>
        <v/>
      </c>
      <c r="AI441" s="55">
        <f>IF(LEFT(Cockpit!$I$5,1)="A",G441,IF(BT441=1,BU441,IF(LEFT(Cockpit!$I$5,1)="B",AM441,MAX(AM441,G441))))</f>
        <v/>
      </c>
      <c r="AJ441" s="55">
        <f>IF(BO441=1,0,ROUNDUP(AI441/BN441,0))</f>
        <v/>
      </c>
      <c r="AK441" s="64">
        <f>IF(BO441=1,IF(AI441&lt;=0,0,BP441*MAX(1,IF(G441&gt;0,AI441/G441,1))),AJ441*Q441)</f>
        <v/>
      </c>
      <c r="AL441" s="55">
        <f>AI441*F441</f>
        <v/>
      </c>
      <c r="AM441" s="55">
        <f>ROUNDUP(MAX(I441/IF(BS441&gt;0,BS441,MAX(0.1,N(Cockpit!$I$6))),BV441)/BN441,0)*BN441</f>
        <v/>
      </c>
      <c r="AN441" s="56">
        <f>IF(AK441&gt;0,I441/AK441,-1)</f>
        <v/>
      </c>
      <c r="AO441" s="56">
        <f>IF(AND(OR(BR441="L1",BR441="L23"),AK441&gt;0),SUMIFS($AK$7:$AK$1570,$BR$7:$BR$1570,BR441,$AN$7:$AN$1570,"&gt;"&amp;AN441)+SUMIFS($AK$7:$AK$1570,$BR$7:$BR$1570,BR441,$AN$7:$AN$1570,AN441,$BL$7:$BL$1570,"&lt;="&amp;BL441),"")</f>
        <v/>
      </c>
      <c r="AP441" s="65">
        <f>IF(AO441="",0,MAX(0,MIN(1,(IF(BR441="L1",Parameter!$K$5,Parameter!$K$6+Parameter!$K$7)-(AO441-AK441))/AK441)))</f>
        <v/>
      </c>
      <c r="AQ441" s="55">
        <f>IF(LEFT(Cockpit!$O$5,1)="A",G441,IF(BT441=1,BU441,IF(LEFT(Cockpit!$O$5,1)="B",AU441,MAX(AU441,G441))))</f>
        <v/>
      </c>
      <c r="AR441" s="55">
        <f>IF(BO441=1,0,ROUNDUP(AQ441/BN441,0))</f>
        <v/>
      </c>
      <c r="AS441" s="64">
        <f>IF(BO441=1,IF(AQ441&lt;=0,0,BP441*MAX(1,IF(G441&gt;0,AQ441/G441,1))),AR441*Q441)</f>
        <v/>
      </c>
      <c r="AT441" s="55">
        <f>AQ441*F441</f>
        <v/>
      </c>
      <c r="AU441" s="55">
        <f>ROUNDUP(MAX(I441/IF(BS441&gt;0,BS441,MAX(0.1,N(Cockpit!$O$6))),BV441)/BN441,0)*BN441</f>
        <v/>
      </c>
      <c r="AV441" s="56">
        <f>IF(AS441&gt;0,I441/AS441,-1)</f>
        <v/>
      </c>
      <c r="AW441" s="56">
        <f>IF(AND(OR(BR441="L1",BR441="L23"),AS441&gt;0),SUMIFS($AS$7:$AS$1570,$BR$7:$BR$1570,BR441,$AV$7:$AV$1570,"&gt;"&amp;AV441)+SUMIFS($AS$7:$AS$1570,$BR$7:$BR$1570,BR441,$AV$7:$AV$1570,AV441,$BL$7:$BL$1570,"&lt;="&amp;BL441),"")</f>
        <v/>
      </c>
      <c r="AX441" s="65">
        <f>IF(AW441="",0,MAX(0,MIN(1,(IF(BR441="L1",Parameter!$K$5,Parameter!$K$6+Parameter!$K$7)-(AW441-AS441))/AS441)))</f>
        <v/>
      </c>
      <c r="AY441" s="53">
        <f>IF(AC441&lt;=0,"",IF(BR441="Aussen","Aussenlager",IF(BR441="-","Nicht im Lift",IF(AH441&gt;=1,"Lift",IF(AH441&lt;=0,"Aussenlager","teilweise")))))</f>
        <v/>
      </c>
      <c r="AZ441" s="53">
        <f>IF(AK441&lt;=0,"",IF(BR441="Aussen","Aussenlager",IF(BR441="-","Nicht im Lift",IF(AP441&gt;=1,"Lift",IF(AP441&lt;=0,"Aussenlager","teilweise")))))</f>
        <v/>
      </c>
      <c r="BA441" s="53">
        <f>IF(AS441&lt;=0,"",IF(BR441="Aussen","Aussenlager",IF(BR441="-","Nicht im Lift",IF(AX441&gt;=1,"Lift",IF(AX441&lt;=0,"Aussenlager","teilweise")))))</f>
        <v/>
      </c>
      <c r="BB441" s="53">
        <f>IF(A441="","",IF(BK441=1,"Neu; ","")&amp;IF(AND(BK441=0,BF441&lt;0),"negativer Bestand (Export "&amp;BF441&amp;"); ","")&amp;IF(I441&lt;=0,"Kein Verbrauch; ","")&amp;IF(BO441=1,"Lose – Fläche geschätzt; ","")&amp;IF(G441&gt;AM441,"Überbestand "&amp;ROUND(G441-AM441,0)&amp;" Stk / CHF "&amp;ROUND((G441-AM441)*F441,0)&amp;"; ","")&amp;IF(AND(BT441=1,BU441&lt;BV441),"MAX &lt; MB+LG; ","")&amp;IF(AND(BZ441&gt;0,BY441*10&gt;BZ441),"zu hoch für Tablar; ","")&amp;IF(AND(BK441=0,OR(BT441=1,V441&lt;&gt;"",S441&lt;&gt;"",T441&lt;&gt;"",W441&lt;&gt;"")),"manuell übersteuert; ","")&amp;IF(AND(BO441=0,Q441=0),"Gebinde unbekannt; ","")&amp;IF(AND(BO441=0,N(T441)&lt;=0,N(P441)&lt;=0),"Menge pro Gebinde fehlt (Ist = 1 Gebinde); ","")&amp;BJ441)</f>
        <v/>
      </c>
      <c r="BC441" s="53" t="n"/>
      <c r="BD441" s="53" t="n"/>
      <c r="BE441" s="61" t="n"/>
      <c r="BF441" s="55" t="n">
        <v>1</v>
      </c>
      <c r="BG441" s="55" t="n">
        <v>5</v>
      </c>
      <c r="BH441" s="54" t="n">
        <v>73.69</v>
      </c>
      <c r="BI441" s="55" t="n">
        <v>0</v>
      </c>
      <c r="BJ441" s="53" t="inlineStr">
        <is>
          <t>i.o</t>
        </is>
      </c>
      <c r="BK441" s="58" t="n">
        <v>0</v>
      </c>
      <c r="BL441" s="58" t="n">
        <v>441</v>
      </c>
      <c r="BM441" s="53">
        <f>IF(S441&lt;&gt;"",UPPER(TRIM(S441)),IF(O441="","LOSE",O441))</f>
        <v/>
      </c>
      <c r="BN441" s="55">
        <f>IF(BM441="LOSE",1,IF(N(T441)&gt;0,T441,IF(N(P441)&gt;0,P441,MAX(1,G441))))</f>
        <v/>
      </c>
      <c r="BO441" s="58">
        <f>IF(BM441="LOSE",1,0)</f>
        <v/>
      </c>
      <c r="BP441" s="64">
        <f>IF(BO441=0,0,IF(N(R441)&gt;0,R441,IFERROR(VLOOKUP(D441,Parameter!$A$35:$C$64,3,0)+0,0)))</f>
        <v/>
      </c>
      <c r="BQ441" s="53">
        <f>IF(V441&lt;&gt;"",V441,U441)</f>
        <v/>
      </c>
      <c r="BR441" s="53">
        <f>IF(BQ441=1,"L1",IF(OR(BQ441=2,BQ441=3),"L23",IF(BQ441="Aussen","Aussen","-")))</f>
        <v/>
      </c>
      <c r="BS441" s="66">
        <f>IF(N(W441)&gt;0,W441,0)</f>
        <v/>
      </c>
      <c r="BT441" s="58">
        <f>IF(ISNUMBER(Z441),1,0)</f>
        <v/>
      </c>
      <c r="BU441" s="55">
        <f>N(Z441)</f>
        <v/>
      </c>
      <c r="BV441" s="55">
        <f>N(L441)+N(M441)</f>
        <v/>
      </c>
      <c r="BW441" s="55">
        <f>ROUNDUP(G441/BN441,0)</f>
        <v/>
      </c>
      <c r="BX441" s="55">
        <f>ROUNDUP(BU441/BN441,0)</f>
        <v/>
      </c>
      <c r="BY441" s="58">
        <f>IF(BO441=1,0,IFERROR(VLOOKUP(BM441,'Gebinde-Kategorie'!$A$5:$G$45,5,0)+0,0))</f>
        <v/>
      </c>
      <c r="BZ441" s="58">
        <f>IFERROR(IF(OR(BQ441=1,BQ441=2,BQ441=3),N(INDEX(Parameter!$I$5:$I$7,BQ441)),0),0)</f>
        <v/>
      </c>
    </row>
    <row r="442">
      <c r="A442" s="53" t="inlineStr">
        <is>
          <t>107109</t>
        </is>
      </c>
      <c r="B442" s="53" t="inlineStr">
        <is>
          <t>Steckschlüsseleinsatz</t>
        </is>
      </c>
      <c r="C442" s="53" t="inlineStr">
        <is>
          <t>F</t>
        </is>
      </c>
      <c r="D442" s="53" t="inlineStr">
        <is>
          <t>KTL</t>
        </is>
      </c>
      <c r="E442" s="53" t="inlineStr">
        <is>
          <t>C</t>
        </is>
      </c>
      <c r="F442" s="54" t="n">
        <v>7.1</v>
      </c>
      <c r="G442" s="55">
        <f>MAX(0,IF(Parameter!$B$20="Jahresanfang 2025 + Export",BG442+BF442,BF442))</f>
        <v/>
      </c>
      <c r="H442" s="55">
        <f>G442*F442</f>
        <v/>
      </c>
      <c r="I442" s="55">
        <f>BI442*Parameter!$B$18</f>
        <v/>
      </c>
      <c r="J442" s="56" t="n">
        <v>7</v>
      </c>
      <c r="K442" s="57" t="n">
        <v>3.142857142857143</v>
      </c>
      <c r="L442" s="55" t="n">
        <v>0</v>
      </c>
      <c r="M442" s="55" t="n">
        <v>20</v>
      </c>
      <c r="N442" s="58" t="n">
        <v>14</v>
      </c>
      <c r="O442" s="53" t="inlineStr">
        <is>
          <t>S22</t>
        </is>
      </c>
      <c r="P442" s="55" t="n">
        <v>32</v>
      </c>
      <c r="Q442" s="59">
        <f>IF(BO442=1,0,IFERROR(VLOOKUP(BM442,'Gebinde-Kategorie'!$A$5:$G$45,6,0)+0,0))</f>
        <v/>
      </c>
      <c r="R442" s="60" t="n"/>
      <c r="S442" s="61" t="n"/>
      <c r="T442" s="61" t="n"/>
      <c r="U442" s="53">
        <f>IF(A442="","",IF(IFERROR(VLOOKUP(D442,Parameter!$A$35:$C$64,2,0),"Nein")="2+3",IF(ISNUMBER(SEARCH("grosser Artikel",BJ442)),2,IFERROR(VLOOKUP(BM442,Parameter!$F$35:$G$64,2,0),2)),IF(OR(IFERROR(VLOOKUP(D442,Parameter!$A$35:$C$64,2,0),"Nein")="Nein",IFERROR(VLOOKUP(D442,Parameter!$A$35:$C$64,2,0),"Nein")=""),"-",VLOOKUP(D442,Parameter!$A$35:$C$64,2,0))))</f>
        <v/>
      </c>
      <c r="V442" s="61" t="n"/>
      <c r="W442" s="62" t="n"/>
      <c r="X442" s="55">
        <f>AM442</f>
        <v/>
      </c>
      <c r="Y442" s="55">
        <f>MAX(AM442,G442)</f>
        <v/>
      </c>
      <c r="Z442" s="63" t="n"/>
      <c r="AA442" s="55">
        <f>IF(LEFT(Cockpit!$C$5,1)="A",G442,IF(BT442=1,BU442,IF(LEFT(Cockpit!$C$5,1)="B",AE442,MAX(AE442,G442))))</f>
        <v/>
      </c>
      <c r="AB442" s="55">
        <f>IF(BO442=1,0,ROUNDUP(AA442/BN442,0))</f>
        <v/>
      </c>
      <c r="AC442" s="64">
        <f>IF(BO442=1,IF(AA442&lt;=0,0,BP442*MAX(1,IF(G442&gt;0,AA442/G442,1))),AB442*Q442)</f>
        <v/>
      </c>
      <c r="AD442" s="55">
        <f>AA442*F442</f>
        <v/>
      </c>
      <c r="AE442" s="55">
        <f>ROUNDUP(MAX(I442/IF(BS442&gt;0,BS442,MAX(0.1,N(Cockpit!$C$6))),BV442)/BN442,0)*BN442</f>
        <v/>
      </c>
      <c r="AF442" s="56">
        <f>IF(AC442&gt;0,I442/AC442,-1)</f>
        <v/>
      </c>
      <c r="AG442" s="56">
        <f>IF(AND(OR(BR442="L1",BR442="L23"),AC442&gt;0),SUMIFS($AC$7:$AC$1570,$BR$7:$BR$1570,BR442,$AF$7:$AF$1570,"&gt;"&amp;AF442)+SUMIFS($AC$7:$AC$1570,$BR$7:$BR$1570,BR442,$AF$7:$AF$1570,AF442,$BL$7:$BL$1570,"&lt;="&amp;BL442),"")</f>
        <v/>
      </c>
      <c r="AH442" s="65">
        <f>IF(AG442="",0,MAX(0,MIN(1,(IF(BR442="L1",Parameter!$K$5,Parameter!$K$6+Parameter!$K$7)-(AG442-AC442))/AC442)))</f>
        <v/>
      </c>
      <c r="AI442" s="55">
        <f>IF(LEFT(Cockpit!$I$5,1)="A",G442,IF(BT442=1,BU442,IF(LEFT(Cockpit!$I$5,1)="B",AM442,MAX(AM442,G442))))</f>
        <v/>
      </c>
      <c r="AJ442" s="55">
        <f>IF(BO442=1,0,ROUNDUP(AI442/BN442,0))</f>
        <v/>
      </c>
      <c r="AK442" s="64">
        <f>IF(BO442=1,IF(AI442&lt;=0,0,BP442*MAX(1,IF(G442&gt;0,AI442/G442,1))),AJ442*Q442)</f>
        <v/>
      </c>
      <c r="AL442" s="55">
        <f>AI442*F442</f>
        <v/>
      </c>
      <c r="AM442" s="55">
        <f>ROUNDUP(MAX(I442/IF(BS442&gt;0,BS442,MAX(0.1,N(Cockpit!$I$6))),BV442)/BN442,0)*BN442</f>
        <v/>
      </c>
      <c r="AN442" s="56">
        <f>IF(AK442&gt;0,I442/AK442,-1)</f>
        <v/>
      </c>
      <c r="AO442" s="56">
        <f>IF(AND(OR(BR442="L1",BR442="L23"),AK442&gt;0),SUMIFS($AK$7:$AK$1570,$BR$7:$BR$1570,BR442,$AN$7:$AN$1570,"&gt;"&amp;AN442)+SUMIFS($AK$7:$AK$1570,$BR$7:$BR$1570,BR442,$AN$7:$AN$1570,AN442,$BL$7:$BL$1570,"&lt;="&amp;BL442),"")</f>
        <v/>
      </c>
      <c r="AP442" s="65">
        <f>IF(AO442="",0,MAX(0,MIN(1,(IF(BR442="L1",Parameter!$K$5,Parameter!$K$6+Parameter!$K$7)-(AO442-AK442))/AK442)))</f>
        <v/>
      </c>
      <c r="AQ442" s="55">
        <f>IF(LEFT(Cockpit!$O$5,1)="A",G442,IF(BT442=1,BU442,IF(LEFT(Cockpit!$O$5,1)="B",AU442,MAX(AU442,G442))))</f>
        <v/>
      </c>
      <c r="AR442" s="55">
        <f>IF(BO442=1,0,ROUNDUP(AQ442/BN442,0))</f>
        <v/>
      </c>
      <c r="AS442" s="64">
        <f>IF(BO442=1,IF(AQ442&lt;=0,0,BP442*MAX(1,IF(G442&gt;0,AQ442/G442,1))),AR442*Q442)</f>
        <v/>
      </c>
      <c r="AT442" s="55">
        <f>AQ442*F442</f>
        <v/>
      </c>
      <c r="AU442" s="55">
        <f>ROUNDUP(MAX(I442/IF(BS442&gt;0,BS442,MAX(0.1,N(Cockpit!$O$6))),BV442)/BN442,0)*BN442</f>
        <v/>
      </c>
      <c r="AV442" s="56">
        <f>IF(AS442&gt;0,I442/AS442,-1)</f>
        <v/>
      </c>
      <c r="AW442" s="56">
        <f>IF(AND(OR(BR442="L1",BR442="L23"),AS442&gt;0),SUMIFS($AS$7:$AS$1570,$BR$7:$BR$1570,BR442,$AV$7:$AV$1570,"&gt;"&amp;AV442)+SUMIFS($AS$7:$AS$1570,$BR$7:$BR$1570,BR442,$AV$7:$AV$1570,AV442,$BL$7:$BL$1570,"&lt;="&amp;BL442),"")</f>
        <v/>
      </c>
      <c r="AX442" s="65">
        <f>IF(AW442="",0,MAX(0,MIN(1,(IF(BR442="L1",Parameter!$K$5,Parameter!$K$6+Parameter!$K$7)-(AW442-AS442))/AS442)))</f>
        <v/>
      </c>
      <c r="AY442" s="53">
        <f>IF(AC442&lt;=0,"",IF(BR442="Aussen","Aussenlager",IF(BR442="-","Nicht im Lift",IF(AH442&gt;=1,"Lift",IF(AH442&lt;=0,"Aussenlager","teilweise")))))</f>
        <v/>
      </c>
      <c r="AZ442" s="53">
        <f>IF(AK442&lt;=0,"",IF(BR442="Aussen","Aussenlager",IF(BR442="-","Nicht im Lift",IF(AP442&gt;=1,"Lift",IF(AP442&lt;=0,"Aussenlager","teilweise")))))</f>
        <v/>
      </c>
      <c r="BA442" s="53">
        <f>IF(AS442&lt;=0,"",IF(BR442="Aussen","Aussenlager",IF(BR442="-","Nicht im Lift",IF(AX442&gt;=1,"Lift",IF(AX442&lt;=0,"Aussenlager","teilweise")))))</f>
        <v/>
      </c>
      <c r="BB442" s="53">
        <f>IF(A442="","",IF(BK442=1,"Neu; ","")&amp;IF(AND(BK442=0,BF442&lt;0),"negativer Bestand (Export "&amp;BF442&amp;"); ","")&amp;IF(I442&lt;=0,"Kein Verbrauch; ","")&amp;IF(BO442=1,"Lose – Fläche geschätzt; ","")&amp;IF(G442&gt;AM442,"Überbestand "&amp;ROUND(G442-AM442,0)&amp;" Stk / CHF "&amp;ROUND((G442-AM442)*F442,0)&amp;"; ","")&amp;IF(AND(BT442=1,BU442&lt;BV442),"MAX &lt; MB+LG; ","")&amp;IF(AND(BZ442&gt;0,BY442*10&gt;BZ442),"zu hoch für Tablar; ","")&amp;IF(AND(BK442=0,OR(BT442=1,V442&lt;&gt;"",S442&lt;&gt;"",T442&lt;&gt;"",W442&lt;&gt;"")),"manuell übersteuert; ","")&amp;IF(AND(BO442=0,Q442=0),"Gebinde unbekannt; ","")&amp;IF(AND(BO442=0,N(T442)&lt;=0,N(P442)&lt;=0),"Menge pro Gebinde fehlt (Ist = 1 Gebinde); ","")&amp;BJ442)</f>
        <v/>
      </c>
      <c r="BC442" s="53" t="n"/>
      <c r="BD442" s="53" t="n"/>
      <c r="BE442" s="61" t="n"/>
      <c r="BF442" s="55" t="n">
        <v>10</v>
      </c>
      <c r="BG442" s="55" t="n">
        <v>7</v>
      </c>
      <c r="BH442" s="54" t="n">
        <v>73.37999999999997</v>
      </c>
      <c r="BI442" s="55" t="n">
        <v>22</v>
      </c>
      <c r="BJ442" s="53" t="inlineStr"/>
      <c r="BK442" s="58" t="n">
        <v>0</v>
      </c>
      <c r="BL442" s="58" t="n">
        <v>442</v>
      </c>
      <c r="BM442" s="53">
        <f>IF(S442&lt;&gt;"",UPPER(TRIM(S442)),IF(O442="","LOSE",O442))</f>
        <v/>
      </c>
      <c r="BN442" s="55">
        <f>IF(BM442="LOSE",1,IF(N(T442)&gt;0,T442,IF(N(P442)&gt;0,P442,MAX(1,G442))))</f>
        <v/>
      </c>
      <c r="BO442" s="58">
        <f>IF(BM442="LOSE",1,0)</f>
        <v/>
      </c>
      <c r="BP442" s="64">
        <f>IF(BO442=0,0,IF(N(R442)&gt;0,R442,IFERROR(VLOOKUP(D442,Parameter!$A$35:$C$64,3,0)+0,0)))</f>
        <v/>
      </c>
      <c r="BQ442" s="53">
        <f>IF(V442&lt;&gt;"",V442,U442)</f>
        <v/>
      </c>
      <c r="BR442" s="53">
        <f>IF(BQ442=1,"L1",IF(OR(BQ442=2,BQ442=3),"L23",IF(BQ442="Aussen","Aussen","-")))</f>
        <v/>
      </c>
      <c r="BS442" s="66">
        <f>IF(N(W442)&gt;0,W442,0)</f>
        <v/>
      </c>
      <c r="BT442" s="58">
        <f>IF(ISNUMBER(Z442),1,0)</f>
        <v/>
      </c>
      <c r="BU442" s="55">
        <f>N(Z442)</f>
        <v/>
      </c>
      <c r="BV442" s="55">
        <f>N(L442)+N(M442)</f>
        <v/>
      </c>
      <c r="BW442" s="55">
        <f>ROUNDUP(G442/BN442,0)</f>
        <v/>
      </c>
      <c r="BX442" s="55">
        <f>ROUNDUP(BU442/BN442,0)</f>
        <v/>
      </c>
      <c r="BY442" s="58">
        <f>IF(BO442=1,0,IFERROR(VLOOKUP(BM442,'Gebinde-Kategorie'!$A$5:$G$45,5,0)+0,0))</f>
        <v/>
      </c>
      <c r="BZ442" s="58">
        <f>IFERROR(IF(OR(BQ442=1,BQ442=2,BQ442=3),N(INDEX(Parameter!$I$5:$I$7,BQ442)),0),0)</f>
        <v/>
      </c>
    </row>
    <row r="443">
      <c r="A443" s="53" t="inlineStr">
        <is>
          <t>106968</t>
        </is>
      </c>
      <c r="B443" s="53" t="inlineStr">
        <is>
          <t>Feldklemme</t>
        </is>
      </c>
      <c r="C443" s="53" t="inlineStr">
        <is>
          <t>F</t>
        </is>
      </c>
      <c r="D443" s="53" t="inlineStr">
        <is>
          <t>KTL</t>
        </is>
      </c>
      <c r="E443" s="53" t="inlineStr">
        <is>
          <t>C</t>
        </is>
      </c>
      <c r="F443" s="54" t="n">
        <v>6.65</v>
      </c>
      <c r="G443" s="55">
        <f>MAX(0,IF(Parameter!$B$20="Jahresanfang 2025 + Export",BG443+BF443,BF443))</f>
        <v/>
      </c>
      <c r="H443" s="55">
        <f>G443*F443</f>
        <v/>
      </c>
      <c r="I443" s="55">
        <f>BI443*Parameter!$B$18</f>
        <v/>
      </c>
      <c r="J443" s="56" t="n">
        <v>47.5</v>
      </c>
      <c r="K443" s="57" t="n">
        <v>0.02105263157894737</v>
      </c>
      <c r="L443" s="55" t="n">
        <v>0</v>
      </c>
      <c r="M443" s="55" t="n">
        <v>1</v>
      </c>
      <c r="N443" s="58" t="n">
        <v>70</v>
      </c>
      <c r="O443" s="53" t="inlineStr">
        <is>
          <t>S33</t>
        </is>
      </c>
      <c r="P443" s="55" t="n">
        <v>55</v>
      </c>
      <c r="Q443" s="59">
        <f>IF(BO443=1,0,IFERROR(VLOOKUP(BM443,'Gebinde-Kategorie'!$A$5:$G$45,6,0)+0,0))</f>
        <v/>
      </c>
      <c r="R443" s="60" t="n"/>
      <c r="S443" s="61" t="n"/>
      <c r="T443" s="61" t="n"/>
      <c r="U443" s="53">
        <f>IF(A443="","",IF(IFERROR(VLOOKUP(D443,Parameter!$A$35:$C$64,2,0),"Nein")="2+3",IF(ISNUMBER(SEARCH("grosser Artikel",BJ443)),2,IFERROR(VLOOKUP(BM443,Parameter!$F$35:$G$64,2,0),2)),IF(OR(IFERROR(VLOOKUP(D443,Parameter!$A$35:$C$64,2,0),"Nein")="Nein",IFERROR(VLOOKUP(D443,Parameter!$A$35:$C$64,2,0),"Nein")=""),"-",VLOOKUP(D443,Parameter!$A$35:$C$64,2,0))))</f>
        <v/>
      </c>
      <c r="V443" s="61" t="n"/>
      <c r="W443" s="62" t="n"/>
      <c r="X443" s="55">
        <f>AM443</f>
        <v/>
      </c>
      <c r="Y443" s="55">
        <f>MAX(AM443,G443)</f>
        <v/>
      </c>
      <c r="Z443" s="63" t="n"/>
      <c r="AA443" s="55">
        <f>IF(LEFT(Cockpit!$C$5,1)="A",G443,IF(BT443=1,BU443,IF(LEFT(Cockpit!$C$5,1)="B",AE443,MAX(AE443,G443))))</f>
        <v/>
      </c>
      <c r="AB443" s="55">
        <f>IF(BO443=1,0,ROUNDUP(AA443/BN443,0))</f>
        <v/>
      </c>
      <c r="AC443" s="64">
        <f>IF(BO443=1,IF(AA443&lt;=0,0,BP443*MAX(1,IF(G443&gt;0,AA443/G443,1))),AB443*Q443)</f>
        <v/>
      </c>
      <c r="AD443" s="55">
        <f>AA443*F443</f>
        <v/>
      </c>
      <c r="AE443" s="55">
        <f>ROUNDUP(MAX(I443/IF(BS443&gt;0,BS443,MAX(0.1,N(Cockpit!$C$6))),BV443)/BN443,0)*BN443</f>
        <v/>
      </c>
      <c r="AF443" s="56">
        <f>IF(AC443&gt;0,I443/AC443,-1)</f>
        <v/>
      </c>
      <c r="AG443" s="56">
        <f>IF(AND(OR(BR443="L1",BR443="L23"),AC443&gt;0),SUMIFS($AC$7:$AC$1570,$BR$7:$BR$1570,BR443,$AF$7:$AF$1570,"&gt;"&amp;AF443)+SUMIFS($AC$7:$AC$1570,$BR$7:$BR$1570,BR443,$AF$7:$AF$1570,AF443,$BL$7:$BL$1570,"&lt;="&amp;BL443),"")</f>
        <v/>
      </c>
      <c r="AH443" s="65">
        <f>IF(AG443="",0,MAX(0,MIN(1,(IF(BR443="L1",Parameter!$K$5,Parameter!$K$6+Parameter!$K$7)-(AG443-AC443))/AC443)))</f>
        <v/>
      </c>
      <c r="AI443" s="55">
        <f>IF(LEFT(Cockpit!$I$5,1)="A",G443,IF(BT443=1,BU443,IF(LEFT(Cockpit!$I$5,1)="B",AM443,MAX(AM443,G443))))</f>
        <v/>
      </c>
      <c r="AJ443" s="55">
        <f>IF(BO443=1,0,ROUNDUP(AI443/BN443,0))</f>
        <v/>
      </c>
      <c r="AK443" s="64">
        <f>IF(BO443=1,IF(AI443&lt;=0,0,BP443*MAX(1,IF(G443&gt;0,AI443/G443,1))),AJ443*Q443)</f>
        <v/>
      </c>
      <c r="AL443" s="55">
        <f>AI443*F443</f>
        <v/>
      </c>
      <c r="AM443" s="55">
        <f>ROUNDUP(MAX(I443/IF(BS443&gt;0,BS443,MAX(0.1,N(Cockpit!$I$6))),BV443)/BN443,0)*BN443</f>
        <v/>
      </c>
      <c r="AN443" s="56">
        <f>IF(AK443&gt;0,I443/AK443,-1)</f>
        <v/>
      </c>
      <c r="AO443" s="56">
        <f>IF(AND(OR(BR443="L1",BR443="L23"),AK443&gt;0),SUMIFS($AK$7:$AK$1570,$BR$7:$BR$1570,BR443,$AN$7:$AN$1570,"&gt;"&amp;AN443)+SUMIFS($AK$7:$AK$1570,$BR$7:$BR$1570,BR443,$AN$7:$AN$1570,AN443,$BL$7:$BL$1570,"&lt;="&amp;BL443),"")</f>
        <v/>
      </c>
      <c r="AP443" s="65">
        <f>IF(AO443="",0,MAX(0,MIN(1,(IF(BR443="L1",Parameter!$K$5,Parameter!$K$6+Parameter!$K$7)-(AO443-AK443))/AK443)))</f>
        <v/>
      </c>
      <c r="AQ443" s="55">
        <f>IF(LEFT(Cockpit!$O$5,1)="A",G443,IF(BT443=1,BU443,IF(LEFT(Cockpit!$O$5,1)="B",AU443,MAX(AU443,G443))))</f>
        <v/>
      </c>
      <c r="AR443" s="55">
        <f>IF(BO443=1,0,ROUNDUP(AQ443/BN443,0))</f>
        <v/>
      </c>
      <c r="AS443" s="64">
        <f>IF(BO443=1,IF(AQ443&lt;=0,0,BP443*MAX(1,IF(G443&gt;0,AQ443/G443,1))),AR443*Q443)</f>
        <v/>
      </c>
      <c r="AT443" s="55">
        <f>AQ443*F443</f>
        <v/>
      </c>
      <c r="AU443" s="55">
        <f>ROUNDUP(MAX(I443/IF(BS443&gt;0,BS443,MAX(0.1,N(Cockpit!$O$6))),BV443)/BN443,0)*BN443</f>
        <v/>
      </c>
      <c r="AV443" s="56">
        <f>IF(AS443&gt;0,I443/AS443,-1)</f>
        <v/>
      </c>
      <c r="AW443" s="56">
        <f>IF(AND(OR(BR443="L1",BR443="L23"),AS443&gt;0),SUMIFS($AS$7:$AS$1570,$BR$7:$BR$1570,BR443,$AV$7:$AV$1570,"&gt;"&amp;AV443)+SUMIFS($AS$7:$AS$1570,$BR$7:$BR$1570,BR443,$AV$7:$AV$1570,AV443,$BL$7:$BL$1570,"&lt;="&amp;BL443),"")</f>
        <v/>
      </c>
      <c r="AX443" s="65">
        <f>IF(AW443="",0,MAX(0,MIN(1,(IF(BR443="L1",Parameter!$K$5,Parameter!$K$6+Parameter!$K$7)-(AW443-AS443))/AS443)))</f>
        <v/>
      </c>
      <c r="AY443" s="53">
        <f>IF(AC443&lt;=0,"",IF(BR443="Aussen","Aussenlager",IF(BR443="-","Nicht im Lift",IF(AH443&gt;=1,"Lift",IF(AH443&lt;=0,"Aussenlager","teilweise")))))</f>
        <v/>
      </c>
      <c r="AZ443" s="53">
        <f>IF(AK443&lt;=0,"",IF(BR443="Aussen","Aussenlager",IF(BR443="-","Nicht im Lift",IF(AP443&gt;=1,"Lift",IF(AP443&lt;=0,"Aussenlager","teilweise")))))</f>
        <v/>
      </c>
      <c r="BA443" s="53">
        <f>IF(AS443&lt;=0,"",IF(BR443="Aussen","Aussenlager",IF(BR443="-","Nicht im Lift",IF(AX443&gt;=1,"Lift",IF(AX443&lt;=0,"Aussenlager","teilweise")))))</f>
        <v/>
      </c>
      <c r="BB443" s="53">
        <f>IF(A443="","",IF(BK443=1,"Neu; ","")&amp;IF(AND(BK443=0,BF443&lt;0),"negativer Bestand (Export "&amp;BF443&amp;"); ","")&amp;IF(I443&lt;=0,"Kein Verbrauch; ","")&amp;IF(BO443=1,"Lose – Fläche geschätzt; ","")&amp;IF(G443&gt;AM443,"Überbestand "&amp;ROUND(G443-AM443,0)&amp;" Stk / CHF "&amp;ROUND((G443-AM443)*F443,0)&amp;"; ","")&amp;IF(AND(BT443=1,BU443&lt;BV443),"MAX &lt; MB+LG; ","")&amp;IF(AND(BZ443&gt;0,BY443*10&gt;BZ443),"zu hoch für Tablar; ","")&amp;IF(AND(BK443=0,OR(BT443=1,V443&lt;&gt;"",S443&lt;&gt;"",T443&lt;&gt;"",W443&lt;&gt;"")),"manuell übersteuert; ","")&amp;IF(AND(BO443=0,Q443=0),"Gebinde unbekannt; ","")&amp;IF(AND(BO443=0,N(T443)&lt;=0,N(P443)&lt;=0),"Menge pro Gebinde fehlt (Ist = 1 Gebinde); ","")&amp;BJ443)</f>
        <v/>
      </c>
      <c r="BC443" s="53" t="n"/>
      <c r="BD443" s="53" t="n"/>
      <c r="BE443" s="61" t="n"/>
      <c r="BF443" s="55" t="n">
        <v>11</v>
      </c>
      <c r="BG443" s="55" t="n">
        <v>42</v>
      </c>
      <c r="BH443" s="54" t="n">
        <v>73.14999999999999</v>
      </c>
      <c r="BI443" s="55" t="n">
        <v>1</v>
      </c>
      <c r="BJ443" s="53" t="inlineStr"/>
      <c r="BK443" s="58" t="n">
        <v>0</v>
      </c>
      <c r="BL443" s="58" t="n">
        <v>443</v>
      </c>
      <c r="BM443" s="53">
        <f>IF(S443&lt;&gt;"",UPPER(TRIM(S443)),IF(O443="","LOSE",O443))</f>
        <v/>
      </c>
      <c r="BN443" s="55">
        <f>IF(BM443="LOSE",1,IF(N(T443)&gt;0,T443,IF(N(P443)&gt;0,P443,MAX(1,G443))))</f>
        <v/>
      </c>
      <c r="BO443" s="58">
        <f>IF(BM443="LOSE",1,0)</f>
        <v/>
      </c>
      <c r="BP443" s="64">
        <f>IF(BO443=0,0,IF(N(R443)&gt;0,R443,IFERROR(VLOOKUP(D443,Parameter!$A$35:$C$64,3,0)+0,0)))</f>
        <v/>
      </c>
      <c r="BQ443" s="53">
        <f>IF(V443&lt;&gt;"",V443,U443)</f>
        <v/>
      </c>
      <c r="BR443" s="53">
        <f>IF(BQ443=1,"L1",IF(OR(BQ443=2,BQ443=3),"L23",IF(BQ443="Aussen","Aussen","-")))</f>
        <v/>
      </c>
      <c r="BS443" s="66">
        <f>IF(N(W443)&gt;0,W443,0)</f>
        <v/>
      </c>
      <c r="BT443" s="58">
        <f>IF(ISNUMBER(Z443),1,0)</f>
        <v/>
      </c>
      <c r="BU443" s="55">
        <f>N(Z443)</f>
        <v/>
      </c>
      <c r="BV443" s="55">
        <f>N(L443)+N(M443)</f>
        <v/>
      </c>
      <c r="BW443" s="55">
        <f>ROUNDUP(G443/BN443,0)</f>
        <v/>
      </c>
      <c r="BX443" s="55">
        <f>ROUNDUP(BU443/BN443,0)</f>
        <v/>
      </c>
      <c r="BY443" s="58">
        <f>IF(BO443=1,0,IFERROR(VLOOKUP(BM443,'Gebinde-Kategorie'!$A$5:$G$45,5,0)+0,0))</f>
        <v/>
      </c>
      <c r="BZ443" s="58">
        <f>IFERROR(IF(OR(BQ443=1,BQ443=2,BQ443=3),N(INDEX(Parameter!$I$5:$I$7,BQ443)),0),0)</f>
        <v/>
      </c>
    </row>
    <row r="444">
      <c r="A444" s="53" t="inlineStr">
        <is>
          <t>110022</t>
        </is>
      </c>
      <c r="B444" s="53" t="inlineStr">
        <is>
          <t>Zuleitungskabel Temperatursensor</t>
        </is>
      </c>
      <c r="C444" s="53" t="inlineStr">
        <is>
          <t>F</t>
        </is>
      </c>
      <c r="D444" s="53" t="inlineStr">
        <is>
          <t>KTL</t>
        </is>
      </c>
      <c r="E444" s="53" t="inlineStr">
        <is>
          <t>C</t>
        </is>
      </c>
      <c r="F444" s="54" t="n">
        <v>36.06</v>
      </c>
      <c r="G444" s="55">
        <f>MAX(0,IF(Parameter!$B$20="Jahresanfang 2025 + Export",BG444+BF444,BF444))</f>
        <v/>
      </c>
      <c r="H444" s="55">
        <f>G444*F444</f>
        <v/>
      </c>
      <c r="I444" s="55">
        <f>BI444*Parameter!$B$18</f>
        <v/>
      </c>
      <c r="J444" s="56" t="n">
        <v>60</v>
      </c>
      <c r="K444" s="57" t="n">
        <v>1.133333333333333</v>
      </c>
      <c r="L444" s="55" t="n">
        <v>13</v>
      </c>
      <c r="M444" s="55" t="n">
        <v>70</v>
      </c>
      <c r="N444" s="58" t="n">
        <v>70</v>
      </c>
      <c r="O444" s="53" t="inlineStr">
        <is>
          <t>S62</t>
        </is>
      </c>
      <c r="P444" s="55" t="n">
        <v>55</v>
      </c>
      <c r="Q444" s="59">
        <f>IF(BO444=1,0,IFERROR(VLOOKUP(BM444,'Gebinde-Kategorie'!$A$5:$G$45,6,0)+0,0))</f>
        <v/>
      </c>
      <c r="R444" s="60" t="n"/>
      <c r="S444" s="61" t="n"/>
      <c r="T444" s="61" t="n"/>
      <c r="U444" s="53">
        <f>IF(A444="","",IF(IFERROR(VLOOKUP(D444,Parameter!$A$35:$C$64,2,0),"Nein")="2+3",IF(ISNUMBER(SEARCH("grosser Artikel",BJ444)),2,IFERROR(VLOOKUP(BM444,Parameter!$F$35:$G$64,2,0),2)),IF(OR(IFERROR(VLOOKUP(D444,Parameter!$A$35:$C$64,2,0),"Nein")="Nein",IFERROR(VLOOKUP(D444,Parameter!$A$35:$C$64,2,0),"Nein")=""),"-",VLOOKUP(D444,Parameter!$A$35:$C$64,2,0))))</f>
        <v/>
      </c>
      <c r="V444" s="61" t="n"/>
      <c r="W444" s="62" t="n"/>
      <c r="X444" s="55">
        <f>AM444</f>
        <v/>
      </c>
      <c r="Y444" s="55">
        <f>MAX(AM444,G444)</f>
        <v/>
      </c>
      <c r="Z444" s="63" t="n"/>
      <c r="AA444" s="55">
        <f>IF(LEFT(Cockpit!$C$5,1)="A",G444,IF(BT444=1,BU444,IF(LEFT(Cockpit!$C$5,1)="B",AE444,MAX(AE444,G444))))</f>
        <v/>
      </c>
      <c r="AB444" s="55">
        <f>IF(BO444=1,0,ROUNDUP(AA444/BN444,0))</f>
        <v/>
      </c>
      <c r="AC444" s="64">
        <f>IF(BO444=1,IF(AA444&lt;=0,0,BP444*MAX(1,IF(G444&gt;0,AA444/G444,1))),AB444*Q444)</f>
        <v/>
      </c>
      <c r="AD444" s="55">
        <f>AA444*F444</f>
        <v/>
      </c>
      <c r="AE444" s="55">
        <f>ROUNDUP(MAX(I444/IF(BS444&gt;0,BS444,MAX(0.1,N(Cockpit!$C$6))),BV444)/BN444,0)*BN444</f>
        <v/>
      </c>
      <c r="AF444" s="56">
        <f>IF(AC444&gt;0,I444/AC444,-1)</f>
        <v/>
      </c>
      <c r="AG444" s="56">
        <f>IF(AND(OR(BR444="L1",BR444="L23"),AC444&gt;0),SUMIFS($AC$7:$AC$1570,$BR$7:$BR$1570,BR444,$AF$7:$AF$1570,"&gt;"&amp;AF444)+SUMIFS($AC$7:$AC$1570,$BR$7:$BR$1570,BR444,$AF$7:$AF$1570,AF444,$BL$7:$BL$1570,"&lt;="&amp;BL444),"")</f>
        <v/>
      </c>
      <c r="AH444" s="65">
        <f>IF(AG444="",0,MAX(0,MIN(1,(IF(BR444="L1",Parameter!$K$5,Parameter!$K$6+Parameter!$K$7)-(AG444-AC444))/AC444)))</f>
        <v/>
      </c>
      <c r="AI444" s="55">
        <f>IF(LEFT(Cockpit!$I$5,1)="A",G444,IF(BT444=1,BU444,IF(LEFT(Cockpit!$I$5,1)="B",AM444,MAX(AM444,G444))))</f>
        <v/>
      </c>
      <c r="AJ444" s="55">
        <f>IF(BO444=1,0,ROUNDUP(AI444/BN444,0))</f>
        <v/>
      </c>
      <c r="AK444" s="64">
        <f>IF(BO444=1,IF(AI444&lt;=0,0,BP444*MAX(1,IF(G444&gt;0,AI444/G444,1))),AJ444*Q444)</f>
        <v/>
      </c>
      <c r="AL444" s="55">
        <f>AI444*F444</f>
        <v/>
      </c>
      <c r="AM444" s="55">
        <f>ROUNDUP(MAX(I444/IF(BS444&gt;0,BS444,MAX(0.1,N(Cockpit!$I$6))),BV444)/BN444,0)*BN444</f>
        <v/>
      </c>
      <c r="AN444" s="56">
        <f>IF(AK444&gt;0,I444/AK444,-1)</f>
        <v/>
      </c>
      <c r="AO444" s="56">
        <f>IF(AND(OR(BR444="L1",BR444="L23"),AK444&gt;0),SUMIFS($AK$7:$AK$1570,$BR$7:$BR$1570,BR444,$AN$7:$AN$1570,"&gt;"&amp;AN444)+SUMIFS($AK$7:$AK$1570,$BR$7:$BR$1570,BR444,$AN$7:$AN$1570,AN444,$BL$7:$BL$1570,"&lt;="&amp;BL444),"")</f>
        <v/>
      </c>
      <c r="AP444" s="65">
        <f>IF(AO444="",0,MAX(0,MIN(1,(IF(BR444="L1",Parameter!$K$5,Parameter!$K$6+Parameter!$K$7)-(AO444-AK444))/AK444)))</f>
        <v/>
      </c>
      <c r="AQ444" s="55">
        <f>IF(LEFT(Cockpit!$O$5,1)="A",G444,IF(BT444=1,BU444,IF(LEFT(Cockpit!$O$5,1)="B",AU444,MAX(AU444,G444))))</f>
        <v/>
      </c>
      <c r="AR444" s="55">
        <f>IF(BO444=1,0,ROUNDUP(AQ444/BN444,0))</f>
        <v/>
      </c>
      <c r="AS444" s="64">
        <f>IF(BO444=1,IF(AQ444&lt;=0,0,BP444*MAX(1,IF(G444&gt;0,AQ444/G444,1))),AR444*Q444)</f>
        <v/>
      </c>
      <c r="AT444" s="55">
        <f>AQ444*F444</f>
        <v/>
      </c>
      <c r="AU444" s="55">
        <f>ROUNDUP(MAX(I444/IF(BS444&gt;0,BS444,MAX(0.1,N(Cockpit!$O$6))),BV444)/BN444,0)*BN444</f>
        <v/>
      </c>
      <c r="AV444" s="56">
        <f>IF(AS444&gt;0,I444/AS444,-1)</f>
        <v/>
      </c>
      <c r="AW444" s="56">
        <f>IF(AND(OR(BR444="L1",BR444="L23"),AS444&gt;0),SUMIFS($AS$7:$AS$1570,$BR$7:$BR$1570,BR444,$AV$7:$AV$1570,"&gt;"&amp;AV444)+SUMIFS($AS$7:$AS$1570,$BR$7:$BR$1570,BR444,$AV$7:$AV$1570,AV444,$BL$7:$BL$1570,"&lt;="&amp;BL444),"")</f>
        <v/>
      </c>
      <c r="AX444" s="65">
        <f>IF(AW444="",0,MAX(0,MIN(1,(IF(BR444="L1",Parameter!$K$5,Parameter!$K$6+Parameter!$K$7)-(AW444-AS444))/AS444)))</f>
        <v/>
      </c>
      <c r="AY444" s="53">
        <f>IF(AC444&lt;=0,"",IF(BR444="Aussen","Aussenlager",IF(BR444="-","Nicht im Lift",IF(AH444&gt;=1,"Lift",IF(AH444&lt;=0,"Aussenlager","teilweise")))))</f>
        <v/>
      </c>
      <c r="AZ444" s="53">
        <f>IF(AK444&lt;=0,"",IF(BR444="Aussen","Aussenlager",IF(BR444="-","Nicht im Lift",IF(AP444&gt;=1,"Lift",IF(AP444&lt;=0,"Aussenlager","teilweise")))))</f>
        <v/>
      </c>
      <c r="BA444" s="53">
        <f>IF(AS444&lt;=0,"",IF(BR444="Aussen","Aussenlager",IF(BR444="-","Nicht im Lift",IF(AX444&gt;=1,"Lift",IF(AX444&lt;=0,"Aussenlager","teilweise")))))</f>
        <v/>
      </c>
      <c r="BB444" s="53">
        <f>IF(A444="","",IF(BK444=1,"Neu; ","")&amp;IF(AND(BK444=0,BF444&lt;0),"negativer Bestand (Export "&amp;BF444&amp;"); ","")&amp;IF(I444&lt;=0,"Kein Verbrauch; ","")&amp;IF(BO444=1,"Lose – Fläche geschätzt; ","")&amp;IF(G444&gt;AM444,"Überbestand "&amp;ROUND(G444-AM444,0)&amp;" Stk / CHF "&amp;ROUND((G444-AM444)*F444,0)&amp;"; ","")&amp;IF(AND(BT444=1,BU444&lt;BV444),"MAX &lt; MB+LG; ","")&amp;IF(AND(BZ444&gt;0,BY444*10&gt;BZ444),"zu hoch für Tablar; ","")&amp;IF(AND(BK444=0,OR(BT444=1,V444&lt;&gt;"",S444&lt;&gt;"",T444&lt;&gt;"",W444&lt;&gt;"")),"manuell übersteuert; ","")&amp;IF(AND(BO444=0,Q444=0),"Gebinde unbekannt; ","")&amp;IF(AND(BO444=0,N(T444)&lt;=0,N(P444)&lt;=0),"Menge pro Gebinde fehlt (Ist = 1 Gebinde); ","")&amp;BJ444)</f>
        <v/>
      </c>
      <c r="BC444" s="53" t="n"/>
      <c r="BD444" s="53" t="n"/>
      <c r="BE444" s="61" t="n"/>
      <c r="BF444" s="55" t="n">
        <v>4</v>
      </c>
      <c r="BG444" s="55" t="n">
        <v>57</v>
      </c>
      <c r="BH444" s="54" t="n">
        <v>72.99000000000012</v>
      </c>
      <c r="BI444" s="55" t="n">
        <v>68</v>
      </c>
      <c r="BJ444" s="53" t="inlineStr"/>
      <c r="BK444" s="58" t="n">
        <v>0</v>
      </c>
      <c r="BL444" s="58" t="n">
        <v>444</v>
      </c>
      <c r="BM444" s="53">
        <f>IF(S444&lt;&gt;"",UPPER(TRIM(S444)),IF(O444="","LOSE",O444))</f>
        <v/>
      </c>
      <c r="BN444" s="55">
        <f>IF(BM444="LOSE",1,IF(N(T444)&gt;0,T444,IF(N(P444)&gt;0,P444,MAX(1,G444))))</f>
        <v/>
      </c>
      <c r="BO444" s="58">
        <f>IF(BM444="LOSE",1,0)</f>
        <v/>
      </c>
      <c r="BP444" s="64">
        <f>IF(BO444=0,0,IF(N(R444)&gt;0,R444,IFERROR(VLOOKUP(D444,Parameter!$A$35:$C$64,3,0)+0,0)))</f>
        <v/>
      </c>
      <c r="BQ444" s="53">
        <f>IF(V444&lt;&gt;"",V444,U444)</f>
        <v/>
      </c>
      <c r="BR444" s="53">
        <f>IF(BQ444=1,"L1",IF(OR(BQ444=2,BQ444=3),"L23",IF(BQ444="Aussen","Aussen","-")))</f>
        <v/>
      </c>
      <c r="BS444" s="66">
        <f>IF(N(W444)&gt;0,W444,0)</f>
        <v/>
      </c>
      <c r="BT444" s="58">
        <f>IF(ISNUMBER(Z444),1,0)</f>
        <v/>
      </c>
      <c r="BU444" s="55">
        <f>N(Z444)</f>
        <v/>
      </c>
      <c r="BV444" s="55">
        <f>N(L444)+N(M444)</f>
        <v/>
      </c>
      <c r="BW444" s="55">
        <f>ROUNDUP(G444/BN444,0)</f>
        <v/>
      </c>
      <c r="BX444" s="55">
        <f>ROUNDUP(BU444/BN444,0)</f>
        <v/>
      </c>
      <c r="BY444" s="58">
        <f>IF(BO444=1,0,IFERROR(VLOOKUP(BM444,'Gebinde-Kategorie'!$A$5:$G$45,5,0)+0,0))</f>
        <v/>
      </c>
      <c r="BZ444" s="58">
        <f>IFERROR(IF(OR(BQ444=1,BQ444=2,BQ444=3),N(INDEX(Parameter!$I$5:$I$7,BQ444)),0),0)</f>
        <v/>
      </c>
    </row>
    <row r="445">
      <c r="A445" s="53" t="inlineStr">
        <is>
          <t>105306</t>
        </is>
      </c>
      <c r="B445" s="53" t="inlineStr">
        <is>
          <t>Stopfen</t>
        </is>
      </c>
      <c r="C445" s="53" t="inlineStr">
        <is>
          <t>F</t>
        </is>
      </c>
      <c r="D445" s="53" t="inlineStr">
        <is>
          <t>KTL</t>
        </is>
      </c>
      <c r="E445" s="53" t="inlineStr">
        <is>
          <t>C</t>
        </is>
      </c>
      <c r="F445" s="54" t="n">
        <v>4.81</v>
      </c>
      <c r="G445" s="55">
        <f>MAX(0,IF(Parameter!$B$20="Jahresanfang 2025 + Export",BG445+BF445,BF445))</f>
        <v/>
      </c>
      <c r="H445" s="55">
        <f>G445*F445</f>
        <v/>
      </c>
      <c r="I445" s="55">
        <f>BI445*Parameter!$B$18</f>
        <v/>
      </c>
      <c r="J445" s="56" t="n">
        <v>163.5</v>
      </c>
      <c r="K445" s="57" t="n">
        <v>3.779816513761468</v>
      </c>
      <c r="L445" s="55" t="n">
        <v>36</v>
      </c>
      <c r="M445" s="55" t="n">
        <v>60</v>
      </c>
      <c r="N445" s="58" t="n">
        <v>21</v>
      </c>
      <c r="O445" s="53" t="inlineStr">
        <is>
          <t>S32</t>
        </is>
      </c>
      <c r="P445" s="55" t="n">
        <v>246</v>
      </c>
      <c r="Q445" s="59">
        <f>IF(BO445=1,0,IFERROR(VLOOKUP(BM445,'Gebinde-Kategorie'!$A$5:$G$45,6,0)+0,0))</f>
        <v/>
      </c>
      <c r="R445" s="60" t="n"/>
      <c r="S445" s="61" t="n"/>
      <c r="T445" s="61" t="n"/>
      <c r="U445" s="53">
        <f>IF(A445="","",IF(IFERROR(VLOOKUP(D445,Parameter!$A$35:$C$64,2,0),"Nein")="2+3",IF(ISNUMBER(SEARCH("grosser Artikel",BJ445)),2,IFERROR(VLOOKUP(BM445,Parameter!$F$35:$G$64,2,0),2)),IF(OR(IFERROR(VLOOKUP(D445,Parameter!$A$35:$C$64,2,0),"Nein")="Nein",IFERROR(VLOOKUP(D445,Parameter!$A$35:$C$64,2,0),"Nein")=""),"-",VLOOKUP(D445,Parameter!$A$35:$C$64,2,0))))</f>
        <v/>
      </c>
      <c r="V445" s="61" t="n"/>
      <c r="W445" s="62" t="n"/>
      <c r="X445" s="55">
        <f>AM445</f>
        <v/>
      </c>
      <c r="Y445" s="55">
        <f>MAX(AM445,G445)</f>
        <v/>
      </c>
      <c r="Z445" s="63" t="n"/>
      <c r="AA445" s="55">
        <f>IF(LEFT(Cockpit!$C$5,1)="A",G445,IF(BT445=1,BU445,IF(LEFT(Cockpit!$C$5,1)="B",AE445,MAX(AE445,G445))))</f>
        <v/>
      </c>
      <c r="AB445" s="55">
        <f>IF(BO445=1,0,ROUNDUP(AA445/BN445,0))</f>
        <v/>
      </c>
      <c r="AC445" s="64">
        <f>IF(BO445=1,IF(AA445&lt;=0,0,BP445*MAX(1,IF(G445&gt;0,AA445/G445,1))),AB445*Q445)</f>
        <v/>
      </c>
      <c r="AD445" s="55">
        <f>AA445*F445</f>
        <v/>
      </c>
      <c r="AE445" s="55">
        <f>ROUNDUP(MAX(I445/IF(BS445&gt;0,BS445,MAX(0.1,N(Cockpit!$C$6))),BV445)/BN445,0)*BN445</f>
        <v/>
      </c>
      <c r="AF445" s="56">
        <f>IF(AC445&gt;0,I445/AC445,-1)</f>
        <v/>
      </c>
      <c r="AG445" s="56">
        <f>IF(AND(OR(BR445="L1",BR445="L23"),AC445&gt;0),SUMIFS($AC$7:$AC$1570,$BR$7:$BR$1570,BR445,$AF$7:$AF$1570,"&gt;"&amp;AF445)+SUMIFS($AC$7:$AC$1570,$BR$7:$BR$1570,BR445,$AF$7:$AF$1570,AF445,$BL$7:$BL$1570,"&lt;="&amp;BL445),"")</f>
        <v/>
      </c>
      <c r="AH445" s="65">
        <f>IF(AG445="",0,MAX(0,MIN(1,(IF(BR445="L1",Parameter!$K$5,Parameter!$K$6+Parameter!$K$7)-(AG445-AC445))/AC445)))</f>
        <v/>
      </c>
      <c r="AI445" s="55">
        <f>IF(LEFT(Cockpit!$I$5,1)="A",G445,IF(BT445=1,BU445,IF(LEFT(Cockpit!$I$5,1)="B",AM445,MAX(AM445,G445))))</f>
        <v/>
      </c>
      <c r="AJ445" s="55">
        <f>IF(BO445=1,0,ROUNDUP(AI445/BN445,0))</f>
        <v/>
      </c>
      <c r="AK445" s="64">
        <f>IF(BO445=1,IF(AI445&lt;=0,0,BP445*MAX(1,IF(G445&gt;0,AI445/G445,1))),AJ445*Q445)</f>
        <v/>
      </c>
      <c r="AL445" s="55">
        <f>AI445*F445</f>
        <v/>
      </c>
      <c r="AM445" s="55">
        <f>ROUNDUP(MAX(I445/IF(BS445&gt;0,BS445,MAX(0.1,N(Cockpit!$I$6))),BV445)/BN445,0)*BN445</f>
        <v/>
      </c>
      <c r="AN445" s="56">
        <f>IF(AK445&gt;0,I445/AK445,-1)</f>
        <v/>
      </c>
      <c r="AO445" s="56">
        <f>IF(AND(OR(BR445="L1",BR445="L23"),AK445&gt;0),SUMIFS($AK$7:$AK$1570,$BR$7:$BR$1570,BR445,$AN$7:$AN$1570,"&gt;"&amp;AN445)+SUMIFS($AK$7:$AK$1570,$BR$7:$BR$1570,BR445,$AN$7:$AN$1570,AN445,$BL$7:$BL$1570,"&lt;="&amp;BL445),"")</f>
        <v/>
      </c>
      <c r="AP445" s="65">
        <f>IF(AO445="",0,MAX(0,MIN(1,(IF(BR445="L1",Parameter!$K$5,Parameter!$K$6+Parameter!$K$7)-(AO445-AK445))/AK445)))</f>
        <v/>
      </c>
      <c r="AQ445" s="55">
        <f>IF(LEFT(Cockpit!$O$5,1)="A",G445,IF(BT445=1,BU445,IF(LEFT(Cockpit!$O$5,1)="B",AU445,MAX(AU445,G445))))</f>
        <v/>
      </c>
      <c r="AR445" s="55">
        <f>IF(BO445=1,0,ROUNDUP(AQ445/BN445,0))</f>
        <v/>
      </c>
      <c r="AS445" s="64">
        <f>IF(BO445=1,IF(AQ445&lt;=0,0,BP445*MAX(1,IF(G445&gt;0,AQ445/G445,1))),AR445*Q445)</f>
        <v/>
      </c>
      <c r="AT445" s="55">
        <f>AQ445*F445</f>
        <v/>
      </c>
      <c r="AU445" s="55">
        <f>ROUNDUP(MAX(I445/IF(BS445&gt;0,BS445,MAX(0.1,N(Cockpit!$O$6))),BV445)/BN445,0)*BN445</f>
        <v/>
      </c>
      <c r="AV445" s="56">
        <f>IF(AS445&gt;0,I445/AS445,-1)</f>
        <v/>
      </c>
      <c r="AW445" s="56">
        <f>IF(AND(OR(BR445="L1",BR445="L23"),AS445&gt;0),SUMIFS($AS$7:$AS$1570,$BR$7:$BR$1570,BR445,$AV$7:$AV$1570,"&gt;"&amp;AV445)+SUMIFS($AS$7:$AS$1570,$BR$7:$BR$1570,BR445,$AV$7:$AV$1570,AV445,$BL$7:$BL$1570,"&lt;="&amp;BL445),"")</f>
        <v/>
      </c>
      <c r="AX445" s="65">
        <f>IF(AW445="",0,MAX(0,MIN(1,(IF(BR445="L1",Parameter!$K$5,Parameter!$K$6+Parameter!$K$7)-(AW445-AS445))/AS445)))</f>
        <v/>
      </c>
      <c r="AY445" s="53">
        <f>IF(AC445&lt;=0,"",IF(BR445="Aussen","Aussenlager",IF(BR445="-","Nicht im Lift",IF(AH445&gt;=1,"Lift",IF(AH445&lt;=0,"Aussenlager","teilweise")))))</f>
        <v/>
      </c>
      <c r="AZ445" s="53">
        <f>IF(AK445&lt;=0,"",IF(BR445="Aussen","Aussenlager",IF(BR445="-","Nicht im Lift",IF(AP445&gt;=1,"Lift",IF(AP445&lt;=0,"Aussenlager","teilweise")))))</f>
        <v/>
      </c>
      <c r="BA445" s="53">
        <f>IF(AS445&lt;=0,"",IF(BR445="Aussen","Aussenlager",IF(BR445="-","Nicht im Lift",IF(AX445&gt;=1,"Lift",IF(AX445&lt;=0,"Aussenlager","teilweise")))))</f>
        <v/>
      </c>
      <c r="BB445" s="53">
        <f>IF(A445="","",IF(BK445=1,"Neu; ","")&amp;IF(AND(BK445=0,BF445&lt;0),"negativer Bestand (Export "&amp;BF445&amp;"); ","")&amp;IF(I445&lt;=0,"Kein Verbrauch; ","")&amp;IF(BO445=1,"Lose – Fläche geschätzt; ","")&amp;IF(G445&gt;AM445,"Überbestand "&amp;ROUND(G445-AM445,0)&amp;" Stk / CHF "&amp;ROUND((G445-AM445)*F445,0)&amp;"; ","")&amp;IF(AND(BT445=1,BU445&lt;BV445),"MAX &lt; MB+LG; ","")&amp;IF(AND(BZ445&gt;0,BY445*10&gt;BZ445),"zu hoch für Tablar; ","")&amp;IF(AND(BK445=0,OR(BT445=1,V445&lt;&gt;"",S445&lt;&gt;"",T445&lt;&gt;"",W445&lt;&gt;"")),"manuell übersteuert; ","")&amp;IF(AND(BO445=0,Q445=0),"Gebinde unbekannt; ","")&amp;IF(AND(BO445=0,N(T445)&lt;=0,N(P445)&lt;=0),"Menge pro Gebinde fehlt (Ist = 1 Gebinde); ","")&amp;BJ445)</f>
        <v/>
      </c>
      <c r="BC445" s="53" t="n"/>
      <c r="BD445" s="53" t="n"/>
      <c r="BE445" s="61" t="n"/>
      <c r="BF445" s="55" t="n">
        <v>8</v>
      </c>
      <c r="BG445" s="55" t="n">
        <v>164</v>
      </c>
      <c r="BH445" s="54" t="n">
        <v>72.91999999999979</v>
      </c>
      <c r="BI445" s="55" t="n">
        <v>618</v>
      </c>
      <c r="BJ445" s="53" t="inlineStr"/>
      <c r="BK445" s="58" t="n">
        <v>0</v>
      </c>
      <c r="BL445" s="58" t="n">
        <v>445</v>
      </c>
      <c r="BM445" s="53">
        <f>IF(S445&lt;&gt;"",UPPER(TRIM(S445)),IF(O445="","LOSE",O445))</f>
        <v/>
      </c>
      <c r="BN445" s="55">
        <f>IF(BM445="LOSE",1,IF(N(T445)&gt;0,T445,IF(N(P445)&gt;0,P445,MAX(1,G445))))</f>
        <v/>
      </c>
      <c r="BO445" s="58">
        <f>IF(BM445="LOSE",1,0)</f>
        <v/>
      </c>
      <c r="BP445" s="64">
        <f>IF(BO445=0,0,IF(N(R445)&gt;0,R445,IFERROR(VLOOKUP(D445,Parameter!$A$35:$C$64,3,0)+0,0)))</f>
        <v/>
      </c>
      <c r="BQ445" s="53">
        <f>IF(V445&lt;&gt;"",V445,U445)</f>
        <v/>
      </c>
      <c r="BR445" s="53">
        <f>IF(BQ445=1,"L1",IF(OR(BQ445=2,BQ445=3),"L23",IF(BQ445="Aussen","Aussen","-")))</f>
        <v/>
      </c>
      <c r="BS445" s="66">
        <f>IF(N(W445)&gt;0,W445,0)</f>
        <v/>
      </c>
      <c r="BT445" s="58">
        <f>IF(ISNUMBER(Z445),1,0)</f>
        <v/>
      </c>
      <c r="BU445" s="55">
        <f>N(Z445)</f>
        <v/>
      </c>
      <c r="BV445" s="55">
        <f>N(L445)+N(M445)</f>
        <v/>
      </c>
      <c r="BW445" s="55">
        <f>ROUNDUP(G445/BN445,0)</f>
        <v/>
      </c>
      <c r="BX445" s="55">
        <f>ROUNDUP(BU445/BN445,0)</f>
        <v/>
      </c>
      <c r="BY445" s="58">
        <f>IF(BO445=1,0,IFERROR(VLOOKUP(BM445,'Gebinde-Kategorie'!$A$5:$G$45,5,0)+0,0))</f>
        <v/>
      </c>
      <c r="BZ445" s="58">
        <f>IFERROR(IF(OR(BQ445=1,BQ445=2,BQ445=3),N(INDEX(Parameter!$I$5:$I$7,BQ445)),0),0)</f>
        <v/>
      </c>
    </row>
    <row r="446">
      <c r="A446" s="53" t="inlineStr">
        <is>
          <t>005203</t>
        </is>
      </c>
      <c r="B446" s="53" t="inlineStr">
        <is>
          <t>Druckregelstrecke CH4</t>
        </is>
      </c>
      <c r="C446" s="53" t="inlineStr">
        <is>
          <t>F</t>
        </is>
      </c>
      <c r="D446" s="53" t="inlineStr">
        <is>
          <t>PAL</t>
        </is>
      </c>
      <c r="E446" s="53" t="inlineStr">
        <is>
          <t>C</t>
        </is>
      </c>
      <c r="F446" s="54" t="n">
        <v>2338.25</v>
      </c>
      <c r="G446" s="55">
        <f>MAX(0,IF(Parameter!$B$20="Jahresanfang 2025 + Export",BG446+BF446,BF446))</f>
        <v/>
      </c>
      <c r="H446" s="55">
        <f>G446*F446</f>
        <v/>
      </c>
      <c r="I446" s="55">
        <f>BI446*Parameter!$B$18</f>
        <v/>
      </c>
      <c r="J446" s="56" t="n">
        <v>2.5</v>
      </c>
      <c r="K446" s="57" t="n">
        <v>1.6</v>
      </c>
      <c r="L446" s="55" t="n">
        <v>1</v>
      </c>
      <c r="M446" s="55" t="n">
        <v>1</v>
      </c>
      <c r="N446" s="58" t="n">
        <v>56</v>
      </c>
      <c r="O446" s="53" t="inlineStr">
        <is>
          <t>LOSE</t>
        </is>
      </c>
      <c r="P446" s="55" t="n"/>
      <c r="Q446" s="59">
        <f>IF(BO446=1,0,IFERROR(VLOOKUP(BM446,'Gebinde-Kategorie'!$A$5:$G$45,6,0)+0,0))</f>
        <v/>
      </c>
      <c r="R446" s="60" t="n"/>
      <c r="S446" s="61" t="n"/>
      <c r="T446" s="61" t="n"/>
      <c r="U446" s="53">
        <f>IF(A446="","",IF(IFERROR(VLOOKUP(D446,Parameter!$A$35:$C$64,2,0),"Nein")="2+3",IF(ISNUMBER(SEARCH("grosser Artikel",BJ446)),2,IFERROR(VLOOKUP(BM446,Parameter!$F$35:$G$64,2,0),2)),IF(OR(IFERROR(VLOOKUP(D446,Parameter!$A$35:$C$64,2,0),"Nein")="Nein",IFERROR(VLOOKUP(D446,Parameter!$A$35:$C$64,2,0),"Nein")=""),"-",VLOOKUP(D446,Parameter!$A$35:$C$64,2,0))))</f>
        <v/>
      </c>
      <c r="V446" s="61" t="n"/>
      <c r="W446" s="62" t="n"/>
      <c r="X446" s="55">
        <f>AM446</f>
        <v/>
      </c>
      <c r="Y446" s="55">
        <f>MAX(AM446,G446)</f>
        <v/>
      </c>
      <c r="Z446" s="63" t="n"/>
      <c r="AA446" s="55">
        <f>IF(LEFT(Cockpit!$C$5,1)="A",G446,IF(BT446=1,BU446,IF(LEFT(Cockpit!$C$5,1)="B",AE446,MAX(AE446,G446))))</f>
        <v/>
      </c>
      <c r="AB446" s="55">
        <f>IF(BO446=1,0,ROUNDUP(AA446/BN446,0))</f>
        <v/>
      </c>
      <c r="AC446" s="64">
        <f>IF(BO446=1,IF(AA446&lt;=0,0,BP446*MAX(1,IF(G446&gt;0,AA446/G446,1))),AB446*Q446)</f>
        <v/>
      </c>
      <c r="AD446" s="55">
        <f>AA446*F446</f>
        <v/>
      </c>
      <c r="AE446" s="55">
        <f>ROUNDUP(MAX(I446/IF(BS446&gt;0,BS446,MAX(0.1,N(Cockpit!$C$6))),BV446)/BN446,0)*BN446</f>
        <v/>
      </c>
      <c r="AF446" s="56">
        <f>IF(AC446&gt;0,I446/AC446,-1)</f>
        <v/>
      </c>
      <c r="AG446" s="56">
        <f>IF(AND(OR(BR446="L1",BR446="L23"),AC446&gt;0),SUMIFS($AC$7:$AC$1570,$BR$7:$BR$1570,BR446,$AF$7:$AF$1570,"&gt;"&amp;AF446)+SUMIFS($AC$7:$AC$1570,$BR$7:$BR$1570,BR446,$AF$7:$AF$1570,AF446,$BL$7:$BL$1570,"&lt;="&amp;BL446),"")</f>
        <v/>
      </c>
      <c r="AH446" s="65">
        <f>IF(AG446="",0,MAX(0,MIN(1,(IF(BR446="L1",Parameter!$K$5,Parameter!$K$6+Parameter!$K$7)-(AG446-AC446))/AC446)))</f>
        <v/>
      </c>
      <c r="AI446" s="55">
        <f>IF(LEFT(Cockpit!$I$5,1)="A",G446,IF(BT446=1,BU446,IF(LEFT(Cockpit!$I$5,1)="B",AM446,MAX(AM446,G446))))</f>
        <v/>
      </c>
      <c r="AJ446" s="55">
        <f>IF(BO446=1,0,ROUNDUP(AI446/BN446,0))</f>
        <v/>
      </c>
      <c r="AK446" s="64">
        <f>IF(BO446=1,IF(AI446&lt;=0,0,BP446*MAX(1,IF(G446&gt;0,AI446/G446,1))),AJ446*Q446)</f>
        <v/>
      </c>
      <c r="AL446" s="55">
        <f>AI446*F446</f>
        <v/>
      </c>
      <c r="AM446" s="55">
        <f>ROUNDUP(MAX(I446/IF(BS446&gt;0,BS446,MAX(0.1,N(Cockpit!$I$6))),BV446)/BN446,0)*BN446</f>
        <v/>
      </c>
      <c r="AN446" s="56">
        <f>IF(AK446&gt;0,I446/AK446,-1)</f>
        <v/>
      </c>
      <c r="AO446" s="56">
        <f>IF(AND(OR(BR446="L1",BR446="L23"),AK446&gt;0),SUMIFS($AK$7:$AK$1570,$BR$7:$BR$1570,BR446,$AN$7:$AN$1570,"&gt;"&amp;AN446)+SUMIFS($AK$7:$AK$1570,$BR$7:$BR$1570,BR446,$AN$7:$AN$1570,AN446,$BL$7:$BL$1570,"&lt;="&amp;BL446),"")</f>
        <v/>
      </c>
      <c r="AP446" s="65">
        <f>IF(AO446="",0,MAX(0,MIN(1,(IF(BR446="L1",Parameter!$K$5,Parameter!$K$6+Parameter!$K$7)-(AO446-AK446))/AK446)))</f>
        <v/>
      </c>
      <c r="AQ446" s="55">
        <f>IF(LEFT(Cockpit!$O$5,1)="A",G446,IF(BT446=1,BU446,IF(LEFT(Cockpit!$O$5,1)="B",AU446,MAX(AU446,G446))))</f>
        <v/>
      </c>
      <c r="AR446" s="55">
        <f>IF(BO446=1,0,ROUNDUP(AQ446/BN446,0))</f>
        <v/>
      </c>
      <c r="AS446" s="64">
        <f>IF(BO446=1,IF(AQ446&lt;=0,0,BP446*MAX(1,IF(G446&gt;0,AQ446/G446,1))),AR446*Q446)</f>
        <v/>
      </c>
      <c r="AT446" s="55">
        <f>AQ446*F446</f>
        <v/>
      </c>
      <c r="AU446" s="55">
        <f>ROUNDUP(MAX(I446/IF(BS446&gt;0,BS446,MAX(0.1,N(Cockpit!$O$6))),BV446)/BN446,0)*BN446</f>
        <v/>
      </c>
      <c r="AV446" s="56">
        <f>IF(AS446&gt;0,I446/AS446,-1)</f>
        <v/>
      </c>
      <c r="AW446" s="56">
        <f>IF(AND(OR(BR446="L1",BR446="L23"),AS446&gt;0),SUMIFS($AS$7:$AS$1570,$BR$7:$BR$1570,BR446,$AV$7:$AV$1570,"&gt;"&amp;AV446)+SUMIFS($AS$7:$AS$1570,$BR$7:$BR$1570,BR446,$AV$7:$AV$1570,AV446,$BL$7:$BL$1570,"&lt;="&amp;BL446),"")</f>
        <v/>
      </c>
      <c r="AX446" s="65">
        <f>IF(AW446="",0,MAX(0,MIN(1,(IF(BR446="L1",Parameter!$K$5,Parameter!$K$6+Parameter!$K$7)-(AW446-AS446))/AS446)))</f>
        <v/>
      </c>
      <c r="AY446" s="53">
        <f>IF(AC446&lt;=0,"",IF(BR446="Aussen","Aussenlager",IF(BR446="-","Nicht im Lift",IF(AH446&gt;=1,"Lift",IF(AH446&lt;=0,"Aussenlager","teilweise")))))</f>
        <v/>
      </c>
      <c r="AZ446" s="53">
        <f>IF(AK446&lt;=0,"",IF(BR446="Aussen","Aussenlager",IF(BR446="-","Nicht im Lift",IF(AP446&gt;=1,"Lift",IF(AP446&lt;=0,"Aussenlager","teilweise")))))</f>
        <v/>
      </c>
      <c r="BA446" s="53">
        <f>IF(AS446&lt;=0,"",IF(BR446="Aussen","Aussenlager",IF(BR446="-","Nicht im Lift",IF(AX446&gt;=1,"Lift",IF(AX446&lt;=0,"Aussenlager","teilweise")))))</f>
        <v/>
      </c>
      <c r="BB446" s="53">
        <f>IF(A446="","",IF(BK446=1,"Neu; ","")&amp;IF(AND(BK446=0,BF446&lt;0),"negativer Bestand (Export "&amp;BF446&amp;"); ","")&amp;IF(I446&lt;=0,"Kein Verbrauch; ","")&amp;IF(BO446=1,"Lose – Fläche geschätzt; ","")&amp;IF(G446&gt;AM446,"Überbestand "&amp;ROUND(G446-AM446,0)&amp;" Stk / CHF "&amp;ROUND((G446-AM446)*F446,0)&amp;"; ","")&amp;IF(AND(BT446=1,BU446&lt;BV446),"MAX &lt; MB+LG; ","")&amp;IF(AND(BZ446&gt;0,BY446*10&gt;BZ446),"zu hoch für Tablar; ","")&amp;IF(AND(BK446=0,OR(BT446=1,V446&lt;&gt;"",S446&lt;&gt;"",T446&lt;&gt;"",W446&lt;&gt;"")),"manuell übersteuert; ","")&amp;IF(AND(BO446=0,Q446=0),"Gebinde unbekannt; ","")&amp;IF(AND(BO446=0,N(T446)&lt;=0,N(P446)&lt;=0),"Menge pro Gebinde fehlt (Ist = 1 Gebinde); ","")&amp;BJ446)</f>
        <v/>
      </c>
      <c r="BC446" s="53" t="n"/>
      <c r="BD446" s="53" t="n"/>
      <c r="BE446" s="61" t="n"/>
      <c r="BF446" s="55" t="n">
        <v>0</v>
      </c>
      <c r="BG446" s="55" t="n">
        <v>2</v>
      </c>
      <c r="BH446" s="54" t="n">
        <v>72.29999999999973</v>
      </c>
      <c r="BI446" s="55" t="n">
        <v>4</v>
      </c>
      <c r="BJ446" s="53" t="inlineStr"/>
      <c r="BK446" s="58" t="n">
        <v>0</v>
      </c>
      <c r="BL446" s="58" t="n">
        <v>446</v>
      </c>
      <c r="BM446" s="53">
        <f>IF(S446&lt;&gt;"",UPPER(TRIM(S446)),IF(O446="","LOSE",O446))</f>
        <v/>
      </c>
      <c r="BN446" s="55">
        <f>IF(BM446="LOSE",1,IF(N(T446)&gt;0,T446,IF(N(P446)&gt;0,P446,MAX(1,G446))))</f>
        <v/>
      </c>
      <c r="BO446" s="58">
        <f>IF(BM446="LOSE",1,0)</f>
        <v/>
      </c>
      <c r="BP446" s="64">
        <f>IF(BO446=0,0,IF(N(R446)&gt;0,R446,IFERROR(VLOOKUP(D446,Parameter!$A$35:$C$64,3,0)+0,0)))</f>
        <v/>
      </c>
      <c r="BQ446" s="53">
        <f>IF(V446&lt;&gt;"",V446,U446)</f>
        <v/>
      </c>
      <c r="BR446" s="53">
        <f>IF(BQ446=1,"L1",IF(OR(BQ446=2,BQ446=3),"L23",IF(BQ446="Aussen","Aussen","-")))</f>
        <v/>
      </c>
      <c r="BS446" s="66">
        <f>IF(N(W446)&gt;0,W446,0)</f>
        <v/>
      </c>
      <c r="BT446" s="58">
        <f>IF(ISNUMBER(Z446),1,0)</f>
        <v/>
      </c>
      <c r="BU446" s="55">
        <f>N(Z446)</f>
        <v/>
      </c>
      <c r="BV446" s="55">
        <f>N(L446)+N(M446)</f>
        <v/>
      </c>
      <c r="BW446" s="55">
        <f>ROUNDUP(G446/BN446,0)</f>
        <v/>
      </c>
      <c r="BX446" s="55">
        <f>ROUNDUP(BU446/BN446,0)</f>
        <v/>
      </c>
      <c r="BY446" s="58">
        <f>IF(BO446=1,0,IFERROR(VLOOKUP(BM446,'Gebinde-Kategorie'!$A$5:$G$45,5,0)+0,0))</f>
        <v/>
      </c>
      <c r="BZ446" s="58">
        <f>IFERROR(IF(OR(BQ446=1,BQ446=2,BQ446=3),N(INDEX(Parameter!$I$5:$I$7,BQ446)),0),0)</f>
        <v/>
      </c>
    </row>
    <row r="447">
      <c r="A447" s="53" t="inlineStr">
        <is>
          <t>001041</t>
        </is>
      </c>
      <c r="B447" s="53" t="inlineStr">
        <is>
          <t>Verschlussbeutel mittel</t>
        </is>
      </c>
      <c r="C447" s="53" t="inlineStr">
        <is>
          <t>F</t>
        </is>
      </c>
      <c r="D447" s="53" t="inlineStr">
        <is>
          <t>KTL</t>
        </is>
      </c>
      <c r="E447" s="53" t="inlineStr">
        <is>
          <t>C</t>
        </is>
      </c>
      <c r="F447" s="54" t="n">
        <v>0.12</v>
      </c>
      <c r="G447" s="55">
        <f>MAX(0,IF(Parameter!$B$20="Jahresanfang 2025 + Export",BG447+BF447,BF447))</f>
        <v/>
      </c>
      <c r="H447" s="55">
        <f>G447*F447</f>
        <v/>
      </c>
      <c r="I447" s="55">
        <f>BI447*Parameter!$B$18</f>
        <v/>
      </c>
      <c r="J447" s="56" t="n">
        <v>378.5</v>
      </c>
      <c r="K447" s="57" t="n">
        <v>3.038309114927345</v>
      </c>
      <c r="L447" s="55" t="n">
        <v>67</v>
      </c>
      <c r="M447" s="55" t="n">
        <v>1000</v>
      </c>
      <c r="N447" s="58" t="n">
        <v>21</v>
      </c>
      <c r="O447" s="53" t="inlineStr">
        <is>
          <t>S52</t>
        </is>
      </c>
      <c r="P447" s="55" t="n">
        <v>1500</v>
      </c>
      <c r="Q447" s="59">
        <f>IF(BO447=1,0,IFERROR(VLOOKUP(BM447,'Gebinde-Kategorie'!$A$5:$G$45,6,0)+0,0))</f>
        <v/>
      </c>
      <c r="R447" s="60" t="n"/>
      <c r="S447" s="61" t="n"/>
      <c r="T447" s="61" t="n"/>
      <c r="U447" s="53">
        <f>IF(A447="","",IF(IFERROR(VLOOKUP(D447,Parameter!$A$35:$C$64,2,0),"Nein")="2+3",IF(ISNUMBER(SEARCH("grosser Artikel",BJ447)),2,IFERROR(VLOOKUP(BM447,Parameter!$F$35:$G$64,2,0),2)),IF(OR(IFERROR(VLOOKUP(D447,Parameter!$A$35:$C$64,2,0),"Nein")="Nein",IFERROR(VLOOKUP(D447,Parameter!$A$35:$C$64,2,0),"Nein")=""),"-",VLOOKUP(D447,Parameter!$A$35:$C$64,2,0))))</f>
        <v/>
      </c>
      <c r="V447" s="61" t="n"/>
      <c r="W447" s="62" t="n"/>
      <c r="X447" s="55">
        <f>AM447</f>
        <v/>
      </c>
      <c r="Y447" s="55">
        <f>MAX(AM447,G447)</f>
        <v/>
      </c>
      <c r="Z447" s="63" t="n"/>
      <c r="AA447" s="55">
        <f>IF(LEFT(Cockpit!$C$5,1)="A",G447,IF(BT447=1,BU447,IF(LEFT(Cockpit!$C$5,1)="B",AE447,MAX(AE447,G447))))</f>
        <v/>
      </c>
      <c r="AB447" s="55">
        <f>IF(BO447=1,0,ROUNDUP(AA447/BN447,0))</f>
        <v/>
      </c>
      <c r="AC447" s="64">
        <f>IF(BO447=1,IF(AA447&lt;=0,0,BP447*MAX(1,IF(G447&gt;0,AA447/G447,1))),AB447*Q447)</f>
        <v/>
      </c>
      <c r="AD447" s="55">
        <f>AA447*F447</f>
        <v/>
      </c>
      <c r="AE447" s="55">
        <f>ROUNDUP(MAX(I447/IF(BS447&gt;0,BS447,MAX(0.1,N(Cockpit!$C$6))),BV447)/BN447,0)*BN447</f>
        <v/>
      </c>
      <c r="AF447" s="56">
        <f>IF(AC447&gt;0,I447/AC447,-1)</f>
        <v/>
      </c>
      <c r="AG447" s="56">
        <f>IF(AND(OR(BR447="L1",BR447="L23"),AC447&gt;0),SUMIFS($AC$7:$AC$1570,$BR$7:$BR$1570,BR447,$AF$7:$AF$1570,"&gt;"&amp;AF447)+SUMIFS($AC$7:$AC$1570,$BR$7:$BR$1570,BR447,$AF$7:$AF$1570,AF447,$BL$7:$BL$1570,"&lt;="&amp;BL447),"")</f>
        <v/>
      </c>
      <c r="AH447" s="65">
        <f>IF(AG447="",0,MAX(0,MIN(1,(IF(BR447="L1",Parameter!$K$5,Parameter!$K$6+Parameter!$K$7)-(AG447-AC447))/AC447)))</f>
        <v/>
      </c>
      <c r="AI447" s="55">
        <f>IF(LEFT(Cockpit!$I$5,1)="A",G447,IF(BT447=1,BU447,IF(LEFT(Cockpit!$I$5,1)="B",AM447,MAX(AM447,G447))))</f>
        <v/>
      </c>
      <c r="AJ447" s="55">
        <f>IF(BO447=1,0,ROUNDUP(AI447/BN447,0))</f>
        <v/>
      </c>
      <c r="AK447" s="64">
        <f>IF(BO447=1,IF(AI447&lt;=0,0,BP447*MAX(1,IF(G447&gt;0,AI447/G447,1))),AJ447*Q447)</f>
        <v/>
      </c>
      <c r="AL447" s="55">
        <f>AI447*F447</f>
        <v/>
      </c>
      <c r="AM447" s="55">
        <f>ROUNDUP(MAX(I447/IF(BS447&gt;0,BS447,MAX(0.1,N(Cockpit!$I$6))),BV447)/BN447,0)*BN447</f>
        <v/>
      </c>
      <c r="AN447" s="56">
        <f>IF(AK447&gt;0,I447/AK447,-1)</f>
        <v/>
      </c>
      <c r="AO447" s="56">
        <f>IF(AND(OR(BR447="L1",BR447="L23"),AK447&gt;0),SUMIFS($AK$7:$AK$1570,$BR$7:$BR$1570,BR447,$AN$7:$AN$1570,"&gt;"&amp;AN447)+SUMIFS($AK$7:$AK$1570,$BR$7:$BR$1570,BR447,$AN$7:$AN$1570,AN447,$BL$7:$BL$1570,"&lt;="&amp;BL447),"")</f>
        <v/>
      </c>
      <c r="AP447" s="65">
        <f>IF(AO447="",0,MAX(0,MIN(1,(IF(BR447="L1",Parameter!$K$5,Parameter!$K$6+Parameter!$K$7)-(AO447-AK447))/AK447)))</f>
        <v/>
      </c>
      <c r="AQ447" s="55">
        <f>IF(LEFT(Cockpit!$O$5,1)="A",G447,IF(BT447=1,BU447,IF(LEFT(Cockpit!$O$5,1)="B",AU447,MAX(AU447,G447))))</f>
        <v/>
      </c>
      <c r="AR447" s="55">
        <f>IF(BO447=1,0,ROUNDUP(AQ447/BN447,0))</f>
        <v/>
      </c>
      <c r="AS447" s="64">
        <f>IF(BO447=1,IF(AQ447&lt;=0,0,BP447*MAX(1,IF(G447&gt;0,AQ447/G447,1))),AR447*Q447)</f>
        <v/>
      </c>
      <c r="AT447" s="55">
        <f>AQ447*F447</f>
        <v/>
      </c>
      <c r="AU447" s="55">
        <f>ROUNDUP(MAX(I447/IF(BS447&gt;0,BS447,MAX(0.1,N(Cockpit!$O$6))),BV447)/BN447,0)*BN447</f>
        <v/>
      </c>
      <c r="AV447" s="56">
        <f>IF(AS447&gt;0,I447/AS447,-1)</f>
        <v/>
      </c>
      <c r="AW447" s="56">
        <f>IF(AND(OR(BR447="L1",BR447="L23"),AS447&gt;0),SUMIFS($AS$7:$AS$1570,$BR$7:$BR$1570,BR447,$AV$7:$AV$1570,"&gt;"&amp;AV447)+SUMIFS($AS$7:$AS$1570,$BR$7:$BR$1570,BR447,$AV$7:$AV$1570,AV447,$BL$7:$BL$1570,"&lt;="&amp;BL447),"")</f>
        <v/>
      </c>
      <c r="AX447" s="65">
        <f>IF(AW447="",0,MAX(0,MIN(1,(IF(BR447="L1",Parameter!$K$5,Parameter!$K$6+Parameter!$K$7)-(AW447-AS447))/AS447)))</f>
        <v/>
      </c>
      <c r="AY447" s="53">
        <f>IF(AC447&lt;=0,"",IF(BR447="Aussen","Aussenlager",IF(BR447="-","Nicht im Lift",IF(AH447&gt;=1,"Lift",IF(AH447&lt;=0,"Aussenlager","teilweise")))))</f>
        <v/>
      </c>
      <c r="AZ447" s="53">
        <f>IF(AK447&lt;=0,"",IF(BR447="Aussen","Aussenlager",IF(BR447="-","Nicht im Lift",IF(AP447&gt;=1,"Lift",IF(AP447&lt;=0,"Aussenlager","teilweise")))))</f>
        <v/>
      </c>
      <c r="BA447" s="53">
        <f>IF(AS447&lt;=0,"",IF(BR447="Aussen","Aussenlager",IF(BR447="-","Nicht im Lift",IF(AX447&gt;=1,"Lift",IF(AX447&lt;=0,"Aussenlager","teilweise")))))</f>
        <v/>
      </c>
      <c r="BB447" s="53">
        <f>IF(A447="","",IF(BK447=1,"Neu; ","")&amp;IF(AND(BK447=0,BF447&lt;0),"negativer Bestand (Export "&amp;BF447&amp;"); ","")&amp;IF(I447&lt;=0,"Kein Verbrauch; ","")&amp;IF(BO447=1,"Lose – Fläche geschätzt; ","")&amp;IF(G447&gt;AM447,"Überbestand "&amp;ROUND(G447-AM447,0)&amp;" Stk / CHF "&amp;ROUND((G447-AM447)*F447,0)&amp;"; ","")&amp;IF(AND(BT447=1,BU447&lt;BV447),"MAX &lt; MB+LG; ","")&amp;IF(AND(BZ447&gt;0,BY447*10&gt;BZ447),"zu hoch für Tablar; ","")&amp;IF(AND(BK447=0,OR(BT447=1,V447&lt;&gt;"",S447&lt;&gt;"",T447&lt;&gt;"",W447&lt;&gt;"")),"manuell übersteuert; ","")&amp;IF(AND(BO447=0,Q447=0),"Gebinde unbekannt; ","")&amp;IF(AND(BO447=0,N(T447)&lt;=0,N(P447)&lt;=0),"Menge pro Gebinde fehlt (Ist = 1 Gebinde); ","")&amp;BJ447)</f>
        <v/>
      </c>
      <c r="BC447" s="53" t="n"/>
      <c r="BD447" s="53" t="n"/>
      <c r="BE447" s="61" t="n"/>
      <c r="BF447" s="55" t="n">
        <v>598</v>
      </c>
      <c r="BG447" s="55" t="n">
        <v>200</v>
      </c>
      <c r="BH447" s="54" t="n">
        <v>71.75999999999999</v>
      </c>
      <c r="BI447" s="55" t="n">
        <v>1150</v>
      </c>
      <c r="BJ447" s="53" t="inlineStr"/>
      <c r="BK447" s="58" t="n">
        <v>0</v>
      </c>
      <c r="BL447" s="58" t="n">
        <v>447</v>
      </c>
      <c r="BM447" s="53">
        <f>IF(S447&lt;&gt;"",UPPER(TRIM(S447)),IF(O447="","LOSE",O447))</f>
        <v/>
      </c>
      <c r="BN447" s="55">
        <f>IF(BM447="LOSE",1,IF(N(T447)&gt;0,T447,IF(N(P447)&gt;0,P447,MAX(1,G447))))</f>
        <v/>
      </c>
      <c r="BO447" s="58">
        <f>IF(BM447="LOSE",1,0)</f>
        <v/>
      </c>
      <c r="BP447" s="64">
        <f>IF(BO447=0,0,IF(N(R447)&gt;0,R447,IFERROR(VLOOKUP(D447,Parameter!$A$35:$C$64,3,0)+0,0)))</f>
        <v/>
      </c>
      <c r="BQ447" s="53">
        <f>IF(V447&lt;&gt;"",V447,U447)</f>
        <v/>
      </c>
      <c r="BR447" s="53">
        <f>IF(BQ447=1,"L1",IF(OR(BQ447=2,BQ447=3),"L23",IF(BQ447="Aussen","Aussen","-")))</f>
        <v/>
      </c>
      <c r="BS447" s="66">
        <f>IF(N(W447)&gt;0,W447,0)</f>
        <v/>
      </c>
      <c r="BT447" s="58">
        <f>IF(ISNUMBER(Z447),1,0)</f>
        <v/>
      </c>
      <c r="BU447" s="55">
        <f>N(Z447)</f>
        <v/>
      </c>
      <c r="BV447" s="55">
        <f>N(L447)+N(M447)</f>
        <v/>
      </c>
      <c r="BW447" s="55">
        <f>ROUNDUP(G447/BN447,0)</f>
        <v/>
      </c>
      <c r="BX447" s="55">
        <f>ROUNDUP(BU447/BN447,0)</f>
        <v/>
      </c>
      <c r="BY447" s="58">
        <f>IF(BO447=1,0,IFERROR(VLOOKUP(BM447,'Gebinde-Kategorie'!$A$5:$G$45,5,0)+0,0))</f>
        <v/>
      </c>
      <c r="BZ447" s="58">
        <f>IFERROR(IF(OR(BQ447=1,BQ447=2,BQ447=3),N(INDEX(Parameter!$I$5:$I$7,BQ447)),0),0)</f>
        <v/>
      </c>
    </row>
    <row r="448">
      <c r="A448" s="53" t="inlineStr">
        <is>
          <t>001131</t>
        </is>
      </c>
      <c r="B448" s="53" t="inlineStr">
        <is>
          <t>Holzschraube</t>
        </is>
      </c>
      <c r="C448" s="53" t="inlineStr">
        <is>
          <t>F</t>
        </is>
      </c>
      <c r="D448" s="53" t="inlineStr">
        <is>
          <t>KTL</t>
        </is>
      </c>
      <c r="E448" s="53" t="inlineStr">
        <is>
          <t>C</t>
        </is>
      </c>
      <c r="F448" s="54" t="n">
        <v>0.13</v>
      </c>
      <c r="G448" s="55">
        <f>MAX(0,IF(Parameter!$B$20="Jahresanfang 2025 + Export",BG448+BF448,BF448))</f>
        <v/>
      </c>
      <c r="H448" s="55">
        <f>G448*F448</f>
        <v/>
      </c>
      <c r="I448" s="55">
        <f>BI448*Parameter!$B$18</f>
        <v/>
      </c>
      <c r="J448" s="56" t="n">
        <v>575</v>
      </c>
      <c r="K448" s="57" t="n">
        <v>3.91304347826087</v>
      </c>
      <c r="L448" s="55" t="n">
        <v>200</v>
      </c>
      <c r="M448" s="55" t="n">
        <v>500</v>
      </c>
      <c r="N448" s="58" t="n">
        <v>14</v>
      </c>
      <c r="O448" s="53" t="inlineStr">
        <is>
          <t>S51</t>
        </is>
      </c>
      <c r="P448" s="55" t="n">
        <v>600</v>
      </c>
      <c r="Q448" s="59">
        <f>IF(BO448=1,0,IFERROR(VLOOKUP(BM448,'Gebinde-Kategorie'!$A$5:$G$45,6,0)+0,0))</f>
        <v/>
      </c>
      <c r="R448" s="60" t="n"/>
      <c r="S448" s="61" t="n"/>
      <c r="T448" s="61" t="n"/>
      <c r="U448" s="53">
        <f>IF(A448="","",IF(IFERROR(VLOOKUP(D448,Parameter!$A$35:$C$64,2,0),"Nein")="2+3",IF(ISNUMBER(SEARCH("grosser Artikel",BJ448)),2,IFERROR(VLOOKUP(BM448,Parameter!$F$35:$G$64,2,0),2)),IF(OR(IFERROR(VLOOKUP(D448,Parameter!$A$35:$C$64,2,0),"Nein")="Nein",IFERROR(VLOOKUP(D448,Parameter!$A$35:$C$64,2,0),"Nein")=""),"-",VLOOKUP(D448,Parameter!$A$35:$C$64,2,0))))</f>
        <v/>
      </c>
      <c r="V448" s="61" t="n"/>
      <c r="W448" s="62" t="n"/>
      <c r="X448" s="55">
        <f>AM448</f>
        <v/>
      </c>
      <c r="Y448" s="55">
        <f>MAX(AM448,G448)</f>
        <v/>
      </c>
      <c r="Z448" s="63" t="n"/>
      <c r="AA448" s="55">
        <f>IF(LEFT(Cockpit!$C$5,1)="A",G448,IF(BT448=1,BU448,IF(LEFT(Cockpit!$C$5,1)="B",AE448,MAX(AE448,G448))))</f>
        <v/>
      </c>
      <c r="AB448" s="55">
        <f>IF(BO448=1,0,ROUNDUP(AA448/BN448,0))</f>
        <v/>
      </c>
      <c r="AC448" s="64">
        <f>IF(BO448=1,IF(AA448&lt;=0,0,BP448*MAX(1,IF(G448&gt;0,AA448/G448,1))),AB448*Q448)</f>
        <v/>
      </c>
      <c r="AD448" s="55">
        <f>AA448*F448</f>
        <v/>
      </c>
      <c r="AE448" s="55">
        <f>ROUNDUP(MAX(I448/IF(BS448&gt;0,BS448,MAX(0.1,N(Cockpit!$C$6))),BV448)/BN448,0)*BN448</f>
        <v/>
      </c>
      <c r="AF448" s="56">
        <f>IF(AC448&gt;0,I448/AC448,-1)</f>
        <v/>
      </c>
      <c r="AG448" s="56">
        <f>IF(AND(OR(BR448="L1",BR448="L23"),AC448&gt;0),SUMIFS($AC$7:$AC$1570,$BR$7:$BR$1570,BR448,$AF$7:$AF$1570,"&gt;"&amp;AF448)+SUMIFS($AC$7:$AC$1570,$BR$7:$BR$1570,BR448,$AF$7:$AF$1570,AF448,$BL$7:$BL$1570,"&lt;="&amp;BL448),"")</f>
        <v/>
      </c>
      <c r="AH448" s="65">
        <f>IF(AG448="",0,MAX(0,MIN(1,(IF(BR448="L1",Parameter!$K$5,Parameter!$K$6+Parameter!$K$7)-(AG448-AC448))/AC448)))</f>
        <v/>
      </c>
      <c r="AI448" s="55">
        <f>IF(LEFT(Cockpit!$I$5,1)="A",G448,IF(BT448=1,BU448,IF(LEFT(Cockpit!$I$5,1)="B",AM448,MAX(AM448,G448))))</f>
        <v/>
      </c>
      <c r="AJ448" s="55">
        <f>IF(BO448=1,0,ROUNDUP(AI448/BN448,0))</f>
        <v/>
      </c>
      <c r="AK448" s="64">
        <f>IF(BO448=1,IF(AI448&lt;=0,0,BP448*MAX(1,IF(G448&gt;0,AI448/G448,1))),AJ448*Q448)</f>
        <v/>
      </c>
      <c r="AL448" s="55">
        <f>AI448*F448</f>
        <v/>
      </c>
      <c r="AM448" s="55">
        <f>ROUNDUP(MAX(I448/IF(BS448&gt;0,BS448,MAX(0.1,N(Cockpit!$I$6))),BV448)/BN448,0)*BN448</f>
        <v/>
      </c>
      <c r="AN448" s="56">
        <f>IF(AK448&gt;0,I448/AK448,-1)</f>
        <v/>
      </c>
      <c r="AO448" s="56">
        <f>IF(AND(OR(BR448="L1",BR448="L23"),AK448&gt;0),SUMIFS($AK$7:$AK$1570,$BR$7:$BR$1570,BR448,$AN$7:$AN$1570,"&gt;"&amp;AN448)+SUMIFS($AK$7:$AK$1570,$BR$7:$BR$1570,BR448,$AN$7:$AN$1570,AN448,$BL$7:$BL$1570,"&lt;="&amp;BL448),"")</f>
        <v/>
      </c>
      <c r="AP448" s="65">
        <f>IF(AO448="",0,MAX(0,MIN(1,(IF(BR448="L1",Parameter!$K$5,Parameter!$K$6+Parameter!$K$7)-(AO448-AK448))/AK448)))</f>
        <v/>
      </c>
      <c r="AQ448" s="55">
        <f>IF(LEFT(Cockpit!$O$5,1)="A",G448,IF(BT448=1,BU448,IF(LEFT(Cockpit!$O$5,1)="B",AU448,MAX(AU448,G448))))</f>
        <v/>
      </c>
      <c r="AR448" s="55">
        <f>IF(BO448=1,0,ROUNDUP(AQ448/BN448,0))</f>
        <v/>
      </c>
      <c r="AS448" s="64">
        <f>IF(BO448=1,IF(AQ448&lt;=0,0,BP448*MAX(1,IF(G448&gt;0,AQ448/G448,1))),AR448*Q448)</f>
        <v/>
      </c>
      <c r="AT448" s="55">
        <f>AQ448*F448</f>
        <v/>
      </c>
      <c r="AU448" s="55">
        <f>ROUNDUP(MAX(I448/IF(BS448&gt;0,BS448,MAX(0.1,N(Cockpit!$O$6))),BV448)/BN448,0)*BN448</f>
        <v/>
      </c>
      <c r="AV448" s="56">
        <f>IF(AS448&gt;0,I448/AS448,-1)</f>
        <v/>
      </c>
      <c r="AW448" s="56">
        <f>IF(AND(OR(BR448="L1",BR448="L23"),AS448&gt;0),SUMIFS($AS$7:$AS$1570,$BR$7:$BR$1570,BR448,$AV$7:$AV$1570,"&gt;"&amp;AV448)+SUMIFS($AS$7:$AS$1570,$BR$7:$BR$1570,BR448,$AV$7:$AV$1570,AV448,$BL$7:$BL$1570,"&lt;="&amp;BL448),"")</f>
        <v/>
      </c>
      <c r="AX448" s="65">
        <f>IF(AW448="",0,MAX(0,MIN(1,(IF(BR448="L1",Parameter!$K$5,Parameter!$K$6+Parameter!$K$7)-(AW448-AS448))/AS448)))</f>
        <v/>
      </c>
      <c r="AY448" s="53">
        <f>IF(AC448&lt;=0,"",IF(BR448="Aussen","Aussenlager",IF(BR448="-","Nicht im Lift",IF(AH448&gt;=1,"Lift",IF(AH448&lt;=0,"Aussenlager","teilweise")))))</f>
        <v/>
      </c>
      <c r="AZ448" s="53">
        <f>IF(AK448&lt;=0,"",IF(BR448="Aussen","Aussenlager",IF(BR448="-","Nicht im Lift",IF(AP448&gt;=1,"Lift",IF(AP448&lt;=0,"Aussenlager","teilweise")))))</f>
        <v/>
      </c>
      <c r="BA448" s="53">
        <f>IF(AS448&lt;=0,"",IF(BR448="Aussen","Aussenlager",IF(BR448="-","Nicht im Lift",IF(AX448&gt;=1,"Lift",IF(AX448&lt;=0,"Aussenlager","teilweise")))))</f>
        <v/>
      </c>
      <c r="BB448" s="53">
        <f>IF(A448="","",IF(BK448=1,"Neu; ","")&amp;IF(AND(BK448=0,BF448&lt;0),"negativer Bestand (Export "&amp;BF448&amp;"); ","")&amp;IF(I448&lt;=0,"Kein Verbrauch; ","")&amp;IF(BO448=1,"Lose – Fläche geschätzt; ","")&amp;IF(G448&gt;AM448,"Überbestand "&amp;ROUND(G448-AM448,0)&amp;" Stk / CHF "&amp;ROUND((G448-AM448)*F448,0)&amp;"; ","")&amp;IF(AND(BT448=1,BU448&lt;BV448),"MAX &lt; MB+LG; ","")&amp;IF(AND(BZ448&gt;0,BY448*10&gt;BZ448),"zu hoch für Tablar; ","")&amp;IF(AND(BK448=0,OR(BT448=1,V448&lt;&gt;"",S448&lt;&gt;"",T448&lt;&gt;"",W448&lt;&gt;"")),"manuell übersteuert; ","")&amp;IF(AND(BO448=0,Q448=0),"Gebinde unbekannt; ","")&amp;IF(AND(BO448=0,N(T448)&lt;=0,N(P448)&lt;=0),"Menge pro Gebinde fehlt (Ist = 1 Gebinde); ","")&amp;BJ448)</f>
        <v/>
      </c>
      <c r="BC448" s="53" t="n"/>
      <c r="BD448" s="53" t="n"/>
      <c r="BE448" s="61" t="n"/>
      <c r="BF448" s="55" t="n">
        <v>550</v>
      </c>
      <c r="BG448" s="55" t="n">
        <v>450</v>
      </c>
      <c r="BH448" s="54" t="n">
        <v>71.49999999999999</v>
      </c>
      <c r="BI448" s="55" t="n">
        <v>2250</v>
      </c>
      <c r="BJ448" s="53" t="inlineStr"/>
      <c r="BK448" s="58" t="n">
        <v>0</v>
      </c>
      <c r="BL448" s="58" t="n">
        <v>448</v>
      </c>
      <c r="BM448" s="53">
        <f>IF(S448&lt;&gt;"",UPPER(TRIM(S448)),IF(O448="","LOSE",O448))</f>
        <v/>
      </c>
      <c r="BN448" s="55">
        <f>IF(BM448="LOSE",1,IF(N(T448)&gt;0,T448,IF(N(P448)&gt;0,P448,MAX(1,G448))))</f>
        <v/>
      </c>
      <c r="BO448" s="58">
        <f>IF(BM448="LOSE",1,0)</f>
        <v/>
      </c>
      <c r="BP448" s="64">
        <f>IF(BO448=0,0,IF(N(R448)&gt;0,R448,IFERROR(VLOOKUP(D448,Parameter!$A$35:$C$64,3,0)+0,0)))</f>
        <v/>
      </c>
      <c r="BQ448" s="53">
        <f>IF(V448&lt;&gt;"",V448,U448)</f>
        <v/>
      </c>
      <c r="BR448" s="53">
        <f>IF(BQ448=1,"L1",IF(OR(BQ448=2,BQ448=3),"L23",IF(BQ448="Aussen","Aussen","-")))</f>
        <v/>
      </c>
      <c r="BS448" s="66">
        <f>IF(N(W448)&gt;0,W448,0)</f>
        <v/>
      </c>
      <c r="BT448" s="58">
        <f>IF(ISNUMBER(Z448),1,0)</f>
        <v/>
      </c>
      <c r="BU448" s="55">
        <f>N(Z448)</f>
        <v/>
      </c>
      <c r="BV448" s="55">
        <f>N(L448)+N(M448)</f>
        <v/>
      </c>
      <c r="BW448" s="55">
        <f>ROUNDUP(G448/BN448,0)</f>
        <v/>
      </c>
      <c r="BX448" s="55">
        <f>ROUNDUP(BU448/BN448,0)</f>
        <v/>
      </c>
      <c r="BY448" s="58">
        <f>IF(BO448=1,0,IFERROR(VLOOKUP(BM448,'Gebinde-Kategorie'!$A$5:$G$45,5,0)+0,0))</f>
        <v/>
      </c>
      <c r="BZ448" s="58">
        <f>IFERROR(IF(OR(BQ448=1,BQ448=2,BQ448=3),N(INDEX(Parameter!$I$5:$I$7,BQ448)),0),0)</f>
        <v/>
      </c>
    </row>
    <row r="449">
      <c r="A449" s="53" t="inlineStr">
        <is>
          <t>101003</t>
        </is>
      </c>
      <c r="B449" s="53" t="inlineStr">
        <is>
          <t>O-Ring</t>
        </is>
      </c>
      <c r="C449" s="53" t="inlineStr">
        <is>
          <t>F</t>
        </is>
      </c>
      <c r="D449" s="53" t="inlineStr">
        <is>
          <t>KTL</t>
        </is>
      </c>
      <c r="E449" s="53" t="inlineStr">
        <is>
          <t>C</t>
        </is>
      </c>
      <c r="F449" s="54" t="n">
        <v>1.16</v>
      </c>
      <c r="G449" s="55">
        <f>MAX(0,IF(Parameter!$B$20="Jahresanfang 2025 + Export",BG449+BF449,BF449))</f>
        <v/>
      </c>
      <c r="H449" s="55">
        <f>G449*F449</f>
        <v/>
      </c>
      <c r="I449" s="55">
        <f>BI449*Parameter!$B$18</f>
        <v/>
      </c>
      <c r="J449" s="56" t="n">
        <v>140</v>
      </c>
      <c r="K449" s="57" t="n">
        <v>1.664285714285714</v>
      </c>
      <c r="L449" s="55" t="n">
        <v>9</v>
      </c>
      <c r="M449" s="55" t="n">
        <v>235</v>
      </c>
      <c r="N449" s="58" t="n">
        <v>14</v>
      </c>
      <c r="O449" s="53" t="inlineStr">
        <is>
          <t>S41</t>
        </is>
      </c>
      <c r="P449" s="55" t="n">
        <v>178</v>
      </c>
      <c r="Q449" s="59">
        <f>IF(BO449=1,0,IFERROR(VLOOKUP(BM449,'Gebinde-Kategorie'!$A$5:$G$45,6,0)+0,0))</f>
        <v/>
      </c>
      <c r="R449" s="60" t="n"/>
      <c r="S449" s="61" t="n"/>
      <c r="T449" s="61" t="n"/>
      <c r="U449" s="53">
        <f>IF(A449="","",IF(IFERROR(VLOOKUP(D449,Parameter!$A$35:$C$64,2,0),"Nein")="2+3",IF(ISNUMBER(SEARCH("grosser Artikel",BJ449)),2,IFERROR(VLOOKUP(BM449,Parameter!$F$35:$G$64,2,0),2)),IF(OR(IFERROR(VLOOKUP(D449,Parameter!$A$35:$C$64,2,0),"Nein")="Nein",IFERROR(VLOOKUP(D449,Parameter!$A$35:$C$64,2,0),"Nein")=""),"-",VLOOKUP(D449,Parameter!$A$35:$C$64,2,0))))</f>
        <v/>
      </c>
      <c r="V449" s="61" t="n"/>
      <c r="W449" s="62" t="n"/>
      <c r="X449" s="55">
        <f>AM449</f>
        <v/>
      </c>
      <c r="Y449" s="55">
        <f>MAX(AM449,G449)</f>
        <v/>
      </c>
      <c r="Z449" s="63" t="n"/>
      <c r="AA449" s="55">
        <f>IF(LEFT(Cockpit!$C$5,1)="A",G449,IF(BT449=1,BU449,IF(LEFT(Cockpit!$C$5,1)="B",AE449,MAX(AE449,G449))))</f>
        <v/>
      </c>
      <c r="AB449" s="55">
        <f>IF(BO449=1,0,ROUNDUP(AA449/BN449,0))</f>
        <v/>
      </c>
      <c r="AC449" s="64">
        <f>IF(BO449=1,IF(AA449&lt;=0,0,BP449*MAX(1,IF(G449&gt;0,AA449/G449,1))),AB449*Q449)</f>
        <v/>
      </c>
      <c r="AD449" s="55">
        <f>AA449*F449</f>
        <v/>
      </c>
      <c r="AE449" s="55">
        <f>ROUNDUP(MAX(I449/IF(BS449&gt;0,BS449,MAX(0.1,N(Cockpit!$C$6))),BV449)/BN449,0)*BN449</f>
        <v/>
      </c>
      <c r="AF449" s="56">
        <f>IF(AC449&gt;0,I449/AC449,-1)</f>
        <v/>
      </c>
      <c r="AG449" s="56">
        <f>IF(AND(OR(BR449="L1",BR449="L23"),AC449&gt;0),SUMIFS($AC$7:$AC$1570,$BR$7:$BR$1570,BR449,$AF$7:$AF$1570,"&gt;"&amp;AF449)+SUMIFS($AC$7:$AC$1570,$BR$7:$BR$1570,BR449,$AF$7:$AF$1570,AF449,$BL$7:$BL$1570,"&lt;="&amp;BL449),"")</f>
        <v/>
      </c>
      <c r="AH449" s="65">
        <f>IF(AG449="",0,MAX(0,MIN(1,(IF(BR449="L1",Parameter!$K$5,Parameter!$K$6+Parameter!$K$7)-(AG449-AC449))/AC449)))</f>
        <v/>
      </c>
      <c r="AI449" s="55">
        <f>IF(LEFT(Cockpit!$I$5,1)="A",G449,IF(BT449=1,BU449,IF(LEFT(Cockpit!$I$5,1)="B",AM449,MAX(AM449,G449))))</f>
        <v/>
      </c>
      <c r="AJ449" s="55">
        <f>IF(BO449=1,0,ROUNDUP(AI449/BN449,0))</f>
        <v/>
      </c>
      <c r="AK449" s="64">
        <f>IF(BO449=1,IF(AI449&lt;=0,0,BP449*MAX(1,IF(G449&gt;0,AI449/G449,1))),AJ449*Q449)</f>
        <v/>
      </c>
      <c r="AL449" s="55">
        <f>AI449*F449</f>
        <v/>
      </c>
      <c r="AM449" s="55">
        <f>ROUNDUP(MAX(I449/IF(BS449&gt;0,BS449,MAX(0.1,N(Cockpit!$I$6))),BV449)/BN449,0)*BN449</f>
        <v/>
      </c>
      <c r="AN449" s="56">
        <f>IF(AK449&gt;0,I449/AK449,-1)</f>
        <v/>
      </c>
      <c r="AO449" s="56">
        <f>IF(AND(OR(BR449="L1",BR449="L23"),AK449&gt;0),SUMIFS($AK$7:$AK$1570,$BR$7:$BR$1570,BR449,$AN$7:$AN$1570,"&gt;"&amp;AN449)+SUMIFS($AK$7:$AK$1570,$BR$7:$BR$1570,BR449,$AN$7:$AN$1570,AN449,$BL$7:$BL$1570,"&lt;="&amp;BL449),"")</f>
        <v/>
      </c>
      <c r="AP449" s="65">
        <f>IF(AO449="",0,MAX(0,MIN(1,(IF(BR449="L1",Parameter!$K$5,Parameter!$K$6+Parameter!$K$7)-(AO449-AK449))/AK449)))</f>
        <v/>
      </c>
      <c r="AQ449" s="55">
        <f>IF(LEFT(Cockpit!$O$5,1)="A",G449,IF(BT449=1,BU449,IF(LEFT(Cockpit!$O$5,1)="B",AU449,MAX(AU449,G449))))</f>
        <v/>
      </c>
      <c r="AR449" s="55">
        <f>IF(BO449=1,0,ROUNDUP(AQ449/BN449,0))</f>
        <v/>
      </c>
      <c r="AS449" s="64">
        <f>IF(BO449=1,IF(AQ449&lt;=0,0,BP449*MAX(1,IF(G449&gt;0,AQ449/G449,1))),AR449*Q449)</f>
        <v/>
      </c>
      <c r="AT449" s="55">
        <f>AQ449*F449</f>
        <v/>
      </c>
      <c r="AU449" s="55">
        <f>ROUNDUP(MAX(I449/IF(BS449&gt;0,BS449,MAX(0.1,N(Cockpit!$O$6))),BV449)/BN449,0)*BN449</f>
        <v/>
      </c>
      <c r="AV449" s="56">
        <f>IF(AS449&gt;0,I449/AS449,-1)</f>
        <v/>
      </c>
      <c r="AW449" s="56">
        <f>IF(AND(OR(BR449="L1",BR449="L23"),AS449&gt;0),SUMIFS($AS$7:$AS$1570,$BR$7:$BR$1570,BR449,$AV$7:$AV$1570,"&gt;"&amp;AV449)+SUMIFS($AS$7:$AS$1570,$BR$7:$BR$1570,BR449,$AV$7:$AV$1570,AV449,$BL$7:$BL$1570,"&lt;="&amp;BL449),"")</f>
        <v/>
      </c>
      <c r="AX449" s="65">
        <f>IF(AW449="",0,MAX(0,MIN(1,(IF(BR449="L1",Parameter!$K$5,Parameter!$K$6+Parameter!$K$7)-(AW449-AS449))/AS449)))</f>
        <v/>
      </c>
      <c r="AY449" s="53">
        <f>IF(AC449&lt;=0,"",IF(BR449="Aussen","Aussenlager",IF(BR449="-","Nicht im Lift",IF(AH449&gt;=1,"Lift",IF(AH449&lt;=0,"Aussenlager","teilweise")))))</f>
        <v/>
      </c>
      <c r="AZ449" s="53">
        <f>IF(AK449&lt;=0,"",IF(BR449="Aussen","Aussenlager",IF(BR449="-","Nicht im Lift",IF(AP449&gt;=1,"Lift",IF(AP449&lt;=0,"Aussenlager","teilweise")))))</f>
        <v/>
      </c>
      <c r="BA449" s="53">
        <f>IF(AS449&lt;=0,"",IF(BR449="Aussen","Aussenlager",IF(BR449="-","Nicht im Lift",IF(AX449&gt;=1,"Lift",IF(AX449&lt;=0,"Aussenlager","teilweise")))))</f>
        <v/>
      </c>
      <c r="BB449" s="53">
        <f>IF(A449="","",IF(BK449=1,"Neu; ","")&amp;IF(AND(BK449=0,BF449&lt;0),"negativer Bestand (Export "&amp;BF449&amp;"); ","")&amp;IF(I449&lt;=0,"Kein Verbrauch; ","")&amp;IF(BO449=1,"Lose – Fläche geschätzt; ","")&amp;IF(G449&gt;AM449,"Überbestand "&amp;ROUND(G449-AM449,0)&amp;" Stk / CHF "&amp;ROUND((G449-AM449)*F449,0)&amp;"; ","")&amp;IF(AND(BT449=1,BU449&lt;BV449),"MAX &lt; MB+LG; ","")&amp;IF(AND(BZ449&gt;0,BY449*10&gt;BZ449),"zu hoch für Tablar; ","")&amp;IF(AND(BK449=0,OR(BT449=1,V449&lt;&gt;"",S449&lt;&gt;"",T449&lt;&gt;"",W449&lt;&gt;"")),"manuell übersteuert; ","")&amp;IF(AND(BO449=0,Q449=0),"Gebinde unbekannt; ","")&amp;IF(AND(BO449=0,N(T449)&lt;=0,N(P449)&lt;=0),"Menge pro Gebinde fehlt (Ist = 1 Gebinde); ","")&amp;BJ449)</f>
        <v/>
      </c>
      <c r="BC449" s="53" t="n"/>
      <c r="BD449" s="53" t="n"/>
      <c r="BE449" s="61" t="n"/>
      <c r="BF449" s="55" t="n">
        <v>62</v>
      </c>
      <c r="BG449" s="55" t="n">
        <v>139</v>
      </c>
      <c r="BH449" s="54" t="n">
        <v>69.18000000000001</v>
      </c>
      <c r="BI449" s="55" t="n">
        <v>233</v>
      </c>
      <c r="BJ449" s="53" t="inlineStr"/>
      <c r="BK449" s="58" t="n">
        <v>0</v>
      </c>
      <c r="BL449" s="58" t="n">
        <v>449</v>
      </c>
      <c r="BM449" s="53">
        <f>IF(S449&lt;&gt;"",UPPER(TRIM(S449)),IF(O449="","LOSE",O449))</f>
        <v/>
      </c>
      <c r="BN449" s="55">
        <f>IF(BM449="LOSE",1,IF(N(T449)&gt;0,T449,IF(N(P449)&gt;0,P449,MAX(1,G449))))</f>
        <v/>
      </c>
      <c r="BO449" s="58">
        <f>IF(BM449="LOSE",1,0)</f>
        <v/>
      </c>
      <c r="BP449" s="64">
        <f>IF(BO449=0,0,IF(N(R449)&gt;0,R449,IFERROR(VLOOKUP(D449,Parameter!$A$35:$C$64,3,0)+0,0)))</f>
        <v/>
      </c>
      <c r="BQ449" s="53">
        <f>IF(V449&lt;&gt;"",V449,U449)</f>
        <v/>
      </c>
      <c r="BR449" s="53">
        <f>IF(BQ449=1,"L1",IF(OR(BQ449=2,BQ449=3),"L23",IF(BQ449="Aussen","Aussen","-")))</f>
        <v/>
      </c>
      <c r="BS449" s="66">
        <f>IF(N(W449)&gt;0,W449,0)</f>
        <v/>
      </c>
      <c r="BT449" s="58">
        <f>IF(ISNUMBER(Z449),1,0)</f>
        <v/>
      </c>
      <c r="BU449" s="55">
        <f>N(Z449)</f>
        <v/>
      </c>
      <c r="BV449" s="55">
        <f>N(L449)+N(M449)</f>
        <v/>
      </c>
      <c r="BW449" s="55">
        <f>ROUNDUP(G449/BN449,0)</f>
        <v/>
      </c>
      <c r="BX449" s="55">
        <f>ROUNDUP(BU449/BN449,0)</f>
        <v/>
      </c>
      <c r="BY449" s="58">
        <f>IF(BO449=1,0,IFERROR(VLOOKUP(BM449,'Gebinde-Kategorie'!$A$5:$G$45,5,0)+0,0))</f>
        <v/>
      </c>
      <c r="BZ449" s="58">
        <f>IFERROR(IF(OR(BQ449=1,BQ449=2,BQ449=3),N(INDEX(Parameter!$I$5:$I$7,BQ449)),0),0)</f>
        <v/>
      </c>
    </row>
    <row r="450">
      <c r="A450" s="53" t="inlineStr">
        <is>
          <t>101539</t>
        </is>
      </c>
      <c r="B450" s="53" t="inlineStr">
        <is>
          <t>O-Ring</t>
        </is>
      </c>
      <c r="C450" s="53" t="inlineStr">
        <is>
          <t>F</t>
        </is>
      </c>
      <c r="D450" s="53" t="inlineStr">
        <is>
          <t>KTL</t>
        </is>
      </c>
      <c r="E450" s="53" t="inlineStr">
        <is>
          <t>C</t>
        </is>
      </c>
      <c r="F450" s="54" t="n">
        <v>0.16</v>
      </c>
      <c r="G450" s="55">
        <f>MAX(0,IF(Parameter!$B$20="Jahresanfang 2025 + Export",BG450+BF450,BF450))</f>
        <v/>
      </c>
      <c r="H450" s="55">
        <f>G450*F450</f>
        <v/>
      </c>
      <c r="I450" s="55">
        <f>BI450*Parameter!$B$18</f>
        <v/>
      </c>
      <c r="J450" s="56" t="n">
        <v>186</v>
      </c>
      <c r="K450" s="57" t="n">
        <v>4.247311827956989</v>
      </c>
      <c r="L450" s="55" t="n">
        <v>30</v>
      </c>
      <c r="M450" s="55" t="n">
        <v>790</v>
      </c>
      <c r="N450" s="58" t="n">
        <v>14</v>
      </c>
      <c r="O450" s="53" t="inlineStr">
        <is>
          <t>S21</t>
        </is>
      </c>
      <c r="P450" s="55" t="n">
        <v>262</v>
      </c>
      <c r="Q450" s="59">
        <f>IF(BO450=1,0,IFERROR(VLOOKUP(BM450,'Gebinde-Kategorie'!$A$5:$G$45,6,0)+0,0))</f>
        <v/>
      </c>
      <c r="R450" s="60" t="n"/>
      <c r="S450" s="61" t="n"/>
      <c r="T450" s="61" t="n"/>
      <c r="U450" s="53">
        <f>IF(A450="","",IF(IFERROR(VLOOKUP(D450,Parameter!$A$35:$C$64,2,0),"Nein")="2+3",IF(ISNUMBER(SEARCH("grosser Artikel",BJ450)),2,IFERROR(VLOOKUP(BM450,Parameter!$F$35:$G$64,2,0),2)),IF(OR(IFERROR(VLOOKUP(D450,Parameter!$A$35:$C$64,2,0),"Nein")="Nein",IFERROR(VLOOKUP(D450,Parameter!$A$35:$C$64,2,0),"Nein")=""),"-",VLOOKUP(D450,Parameter!$A$35:$C$64,2,0))))</f>
        <v/>
      </c>
      <c r="V450" s="61" t="n"/>
      <c r="W450" s="62" t="n"/>
      <c r="X450" s="55">
        <f>AM450</f>
        <v/>
      </c>
      <c r="Y450" s="55">
        <f>MAX(AM450,G450)</f>
        <v/>
      </c>
      <c r="Z450" s="63" t="n"/>
      <c r="AA450" s="55">
        <f>IF(LEFT(Cockpit!$C$5,1)="A",G450,IF(BT450=1,BU450,IF(LEFT(Cockpit!$C$5,1)="B",AE450,MAX(AE450,G450))))</f>
        <v/>
      </c>
      <c r="AB450" s="55">
        <f>IF(BO450=1,0,ROUNDUP(AA450/BN450,0))</f>
        <v/>
      </c>
      <c r="AC450" s="64">
        <f>IF(BO450=1,IF(AA450&lt;=0,0,BP450*MAX(1,IF(G450&gt;0,AA450/G450,1))),AB450*Q450)</f>
        <v/>
      </c>
      <c r="AD450" s="55">
        <f>AA450*F450</f>
        <v/>
      </c>
      <c r="AE450" s="55">
        <f>ROUNDUP(MAX(I450/IF(BS450&gt;0,BS450,MAX(0.1,N(Cockpit!$C$6))),BV450)/BN450,0)*BN450</f>
        <v/>
      </c>
      <c r="AF450" s="56">
        <f>IF(AC450&gt;0,I450/AC450,-1)</f>
        <v/>
      </c>
      <c r="AG450" s="56">
        <f>IF(AND(OR(BR450="L1",BR450="L23"),AC450&gt;0),SUMIFS($AC$7:$AC$1570,$BR$7:$BR$1570,BR450,$AF$7:$AF$1570,"&gt;"&amp;AF450)+SUMIFS($AC$7:$AC$1570,$BR$7:$BR$1570,BR450,$AF$7:$AF$1570,AF450,$BL$7:$BL$1570,"&lt;="&amp;BL450),"")</f>
        <v/>
      </c>
      <c r="AH450" s="65">
        <f>IF(AG450="",0,MAX(0,MIN(1,(IF(BR450="L1",Parameter!$K$5,Parameter!$K$6+Parameter!$K$7)-(AG450-AC450))/AC450)))</f>
        <v/>
      </c>
      <c r="AI450" s="55">
        <f>IF(LEFT(Cockpit!$I$5,1)="A",G450,IF(BT450=1,BU450,IF(LEFT(Cockpit!$I$5,1)="B",AM450,MAX(AM450,G450))))</f>
        <v/>
      </c>
      <c r="AJ450" s="55">
        <f>IF(BO450=1,0,ROUNDUP(AI450/BN450,0))</f>
        <v/>
      </c>
      <c r="AK450" s="64">
        <f>IF(BO450=1,IF(AI450&lt;=0,0,BP450*MAX(1,IF(G450&gt;0,AI450/G450,1))),AJ450*Q450)</f>
        <v/>
      </c>
      <c r="AL450" s="55">
        <f>AI450*F450</f>
        <v/>
      </c>
      <c r="AM450" s="55">
        <f>ROUNDUP(MAX(I450/IF(BS450&gt;0,BS450,MAX(0.1,N(Cockpit!$I$6))),BV450)/BN450,0)*BN450</f>
        <v/>
      </c>
      <c r="AN450" s="56">
        <f>IF(AK450&gt;0,I450/AK450,-1)</f>
        <v/>
      </c>
      <c r="AO450" s="56">
        <f>IF(AND(OR(BR450="L1",BR450="L23"),AK450&gt;0),SUMIFS($AK$7:$AK$1570,$BR$7:$BR$1570,BR450,$AN$7:$AN$1570,"&gt;"&amp;AN450)+SUMIFS($AK$7:$AK$1570,$BR$7:$BR$1570,BR450,$AN$7:$AN$1570,AN450,$BL$7:$BL$1570,"&lt;="&amp;BL450),"")</f>
        <v/>
      </c>
      <c r="AP450" s="65">
        <f>IF(AO450="",0,MAX(0,MIN(1,(IF(BR450="L1",Parameter!$K$5,Parameter!$K$6+Parameter!$K$7)-(AO450-AK450))/AK450)))</f>
        <v/>
      </c>
      <c r="AQ450" s="55">
        <f>IF(LEFT(Cockpit!$O$5,1)="A",G450,IF(BT450=1,BU450,IF(LEFT(Cockpit!$O$5,1)="B",AU450,MAX(AU450,G450))))</f>
        <v/>
      </c>
      <c r="AR450" s="55">
        <f>IF(BO450=1,0,ROUNDUP(AQ450/BN450,0))</f>
        <v/>
      </c>
      <c r="AS450" s="64">
        <f>IF(BO450=1,IF(AQ450&lt;=0,0,BP450*MAX(1,IF(G450&gt;0,AQ450/G450,1))),AR450*Q450)</f>
        <v/>
      </c>
      <c r="AT450" s="55">
        <f>AQ450*F450</f>
        <v/>
      </c>
      <c r="AU450" s="55">
        <f>ROUNDUP(MAX(I450/IF(BS450&gt;0,BS450,MAX(0.1,N(Cockpit!$O$6))),BV450)/BN450,0)*BN450</f>
        <v/>
      </c>
      <c r="AV450" s="56">
        <f>IF(AS450&gt;0,I450/AS450,-1)</f>
        <v/>
      </c>
      <c r="AW450" s="56">
        <f>IF(AND(OR(BR450="L1",BR450="L23"),AS450&gt;0),SUMIFS($AS$7:$AS$1570,$BR$7:$BR$1570,BR450,$AV$7:$AV$1570,"&gt;"&amp;AV450)+SUMIFS($AS$7:$AS$1570,$BR$7:$BR$1570,BR450,$AV$7:$AV$1570,AV450,$BL$7:$BL$1570,"&lt;="&amp;BL450),"")</f>
        <v/>
      </c>
      <c r="AX450" s="65">
        <f>IF(AW450="",0,MAX(0,MIN(1,(IF(BR450="L1",Parameter!$K$5,Parameter!$K$6+Parameter!$K$7)-(AW450-AS450))/AS450)))</f>
        <v/>
      </c>
      <c r="AY450" s="53">
        <f>IF(AC450&lt;=0,"",IF(BR450="Aussen","Aussenlager",IF(BR450="-","Nicht im Lift",IF(AH450&gt;=1,"Lift",IF(AH450&lt;=0,"Aussenlager","teilweise")))))</f>
        <v/>
      </c>
      <c r="AZ450" s="53">
        <f>IF(AK450&lt;=0,"",IF(BR450="Aussen","Aussenlager",IF(BR450="-","Nicht im Lift",IF(AP450&gt;=1,"Lift",IF(AP450&lt;=0,"Aussenlager","teilweise")))))</f>
        <v/>
      </c>
      <c r="BA450" s="53">
        <f>IF(AS450&lt;=0,"",IF(BR450="Aussen","Aussenlager",IF(BR450="-","Nicht im Lift",IF(AX450&gt;=1,"Lift",IF(AX450&lt;=0,"Aussenlager","teilweise")))))</f>
        <v/>
      </c>
      <c r="BB450" s="53">
        <f>IF(A450="","",IF(BK450=1,"Neu; ","")&amp;IF(AND(BK450=0,BF450&lt;0),"negativer Bestand (Export "&amp;BF450&amp;"); ","")&amp;IF(I450&lt;=0,"Kein Verbrauch; ","")&amp;IF(BO450=1,"Lose – Fläche geschätzt; ","")&amp;IF(G450&gt;AM450,"Überbestand "&amp;ROUND(G450-AM450,0)&amp;" Stk / CHF "&amp;ROUND((G450-AM450)*F450,0)&amp;"; ","")&amp;IF(AND(BT450=1,BU450&lt;BV450),"MAX &lt; MB+LG; ","")&amp;IF(AND(BZ450&gt;0,BY450*10&gt;BZ450),"zu hoch für Tablar; ","")&amp;IF(AND(BK450=0,OR(BT450=1,V450&lt;&gt;"",S450&lt;&gt;"",T450&lt;&gt;"",W450&lt;&gt;"")),"manuell übersteuert; ","")&amp;IF(AND(BO450=0,Q450=0),"Gebinde unbekannt; ","")&amp;IF(AND(BO450=0,N(T450)&lt;=0,N(P450)&lt;=0),"Menge pro Gebinde fehlt (Ist = 1 Gebinde); ","")&amp;BJ450)</f>
        <v/>
      </c>
      <c r="BC450" s="53" t="n"/>
      <c r="BD450" s="53" t="n"/>
      <c r="BE450" s="61" t="n"/>
      <c r="BF450" s="55" t="n">
        <v>450</v>
      </c>
      <c r="BG450" s="55" t="n">
        <v>120</v>
      </c>
      <c r="BH450" s="54" t="n">
        <v>67.00000000000003</v>
      </c>
      <c r="BI450" s="55" t="n">
        <v>790</v>
      </c>
      <c r="BJ450" s="53" t="inlineStr"/>
      <c r="BK450" s="58" t="n">
        <v>0</v>
      </c>
      <c r="BL450" s="58" t="n">
        <v>450</v>
      </c>
      <c r="BM450" s="53">
        <f>IF(S450&lt;&gt;"",UPPER(TRIM(S450)),IF(O450="","LOSE",O450))</f>
        <v/>
      </c>
      <c r="BN450" s="55">
        <f>IF(BM450="LOSE",1,IF(N(T450)&gt;0,T450,IF(N(P450)&gt;0,P450,MAX(1,G450))))</f>
        <v/>
      </c>
      <c r="BO450" s="58">
        <f>IF(BM450="LOSE",1,0)</f>
        <v/>
      </c>
      <c r="BP450" s="64">
        <f>IF(BO450=0,0,IF(N(R450)&gt;0,R450,IFERROR(VLOOKUP(D450,Parameter!$A$35:$C$64,3,0)+0,0)))</f>
        <v/>
      </c>
      <c r="BQ450" s="53">
        <f>IF(V450&lt;&gt;"",V450,U450)</f>
        <v/>
      </c>
      <c r="BR450" s="53">
        <f>IF(BQ450=1,"L1",IF(OR(BQ450=2,BQ450=3),"L23",IF(BQ450="Aussen","Aussen","-")))</f>
        <v/>
      </c>
      <c r="BS450" s="66">
        <f>IF(N(W450)&gt;0,W450,0)</f>
        <v/>
      </c>
      <c r="BT450" s="58">
        <f>IF(ISNUMBER(Z450),1,0)</f>
        <v/>
      </c>
      <c r="BU450" s="55">
        <f>N(Z450)</f>
        <v/>
      </c>
      <c r="BV450" s="55">
        <f>N(L450)+N(M450)</f>
        <v/>
      </c>
      <c r="BW450" s="55">
        <f>ROUNDUP(G450/BN450,0)</f>
        <v/>
      </c>
      <c r="BX450" s="55">
        <f>ROUNDUP(BU450/BN450,0)</f>
        <v/>
      </c>
      <c r="BY450" s="58">
        <f>IF(BO450=1,0,IFERROR(VLOOKUP(BM450,'Gebinde-Kategorie'!$A$5:$G$45,5,0)+0,0))</f>
        <v/>
      </c>
      <c r="BZ450" s="58">
        <f>IFERROR(IF(OR(BQ450=1,BQ450=2,BQ450=3),N(INDEX(Parameter!$I$5:$I$7,BQ450)),0),0)</f>
        <v/>
      </c>
    </row>
    <row r="451">
      <c r="A451" s="53" t="inlineStr">
        <is>
          <t>109283</t>
        </is>
      </c>
      <c r="B451" s="53" t="inlineStr">
        <is>
          <t>Verpackung Servicepaket LKE SVC12</t>
        </is>
      </c>
      <c r="C451" s="53" t="inlineStr">
        <is>
          <t>F</t>
        </is>
      </c>
      <c r="D451" s="53" t="inlineStr">
        <is>
          <t>PAL</t>
        </is>
      </c>
      <c r="E451" s="53" t="inlineStr">
        <is>
          <t>C</t>
        </is>
      </c>
      <c r="F451" s="54" t="n">
        <v>33.5</v>
      </c>
      <c r="G451" s="55">
        <f>MAX(0,IF(Parameter!$B$20="Jahresanfang 2025 + Export",BG451+BF451,BF451))</f>
        <v/>
      </c>
      <c r="H451" s="55">
        <f>G451*F451</f>
        <v/>
      </c>
      <c r="I451" s="55">
        <f>BI451*Parameter!$B$18</f>
        <v/>
      </c>
      <c r="J451" s="56" t="n">
        <v>17.5</v>
      </c>
      <c r="K451" s="57" t="n">
        <v>0.4571428571428571</v>
      </c>
      <c r="L451" s="55" t="n">
        <v>1</v>
      </c>
      <c r="M451" s="55" t="n">
        <v>10</v>
      </c>
      <c r="N451" s="58" t="n">
        <v>56</v>
      </c>
      <c r="O451" s="53" t="inlineStr">
        <is>
          <t>S81</t>
        </is>
      </c>
      <c r="P451" s="55" t="n">
        <v>24</v>
      </c>
      <c r="Q451" s="59">
        <f>IF(BO451=1,0,IFERROR(VLOOKUP(BM451,'Gebinde-Kategorie'!$A$5:$G$45,6,0)+0,0))</f>
        <v/>
      </c>
      <c r="R451" s="60" t="n"/>
      <c r="S451" s="61" t="n"/>
      <c r="T451" s="61" t="n"/>
      <c r="U451" s="53">
        <f>IF(A451="","",IF(IFERROR(VLOOKUP(D451,Parameter!$A$35:$C$64,2,0),"Nein")="2+3",IF(ISNUMBER(SEARCH("grosser Artikel",BJ451)),2,IFERROR(VLOOKUP(BM451,Parameter!$F$35:$G$64,2,0),2)),IF(OR(IFERROR(VLOOKUP(D451,Parameter!$A$35:$C$64,2,0),"Nein")="Nein",IFERROR(VLOOKUP(D451,Parameter!$A$35:$C$64,2,0),"Nein")=""),"-",VLOOKUP(D451,Parameter!$A$35:$C$64,2,0))))</f>
        <v/>
      </c>
      <c r="V451" s="61" t="n"/>
      <c r="W451" s="62" t="n"/>
      <c r="X451" s="55">
        <f>AM451</f>
        <v/>
      </c>
      <c r="Y451" s="55">
        <f>MAX(AM451,G451)</f>
        <v/>
      </c>
      <c r="Z451" s="63" t="n"/>
      <c r="AA451" s="55">
        <f>IF(LEFT(Cockpit!$C$5,1)="A",G451,IF(BT451=1,BU451,IF(LEFT(Cockpit!$C$5,1)="B",AE451,MAX(AE451,G451))))</f>
        <v/>
      </c>
      <c r="AB451" s="55">
        <f>IF(BO451=1,0,ROUNDUP(AA451/BN451,0))</f>
        <v/>
      </c>
      <c r="AC451" s="64">
        <f>IF(BO451=1,IF(AA451&lt;=0,0,BP451*MAX(1,IF(G451&gt;0,AA451/G451,1))),AB451*Q451)</f>
        <v/>
      </c>
      <c r="AD451" s="55">
        <f>AA451*F451</f>
        <v/>
      </c>
      <c r="AE451" s="55">
        <f>ROUNDUP(MAX(I451/IF(BS451&gt;0,BS451,MAX(0.1,N(Cockpit!$C$6))),BV451)/BN451,0)*BN451</f>
        <v/>
      </c>
      <c r="AF451" s="56">
        <f>IF(AC451&gt;0,I451/AC451,-1)</f>
        <v/>
      </c>
      <c r="AG451" s="56">
        <f>IF(AND(OR(BR451="L1",BR451="L23"),AC451&gt;0),SUMIFS($AC$7:$AC$1570,$BR$7:$BR$1570,BR451,$AF$7:$AF$1570,"&gt;"&amp;AF451)+SUMIFS($AC$7:$AC$1570,$BR$7:$BR$1570,BR451,$AF$7:$AF$1570,AF451,$BL$7:$BL$1570,"&lt;="&amp;BL451),"")</f>
        <v/>
      </c>
      <c r="AH451" s="65">
        <f>IF(AG451="",0,MAX(0,MIN(1,(IF(BR451="L1",Parameter!$K$5,Parameter!$K$6+Parameter!$K$7)-(AG451-AC451))/AC451)))</f>
        <v/>
      </c>
      <c r="AI451" s="55">
        <f>IF(LEFT(Cockpit!$I$5,1)="A",G451,IF(BT451=1,BU451,IF(LEFT(Cockpit!$I$5,1)="B",AM451,MAX(AM451,G451))))</f>
        <v/>
      </c>
      <c r="AJ451" s="55">
        <f>IF(BO451=1,0,ROUNDUP(AI451/BN451,0))</f>
        <v/>
      </c>
      <c r="AK451" s="64">
        <f>IF(BO451=1,IF(AI451&lt;=0,0,BP451*MAX(1,IF(G451&gt;0,AI451/G451,1))),AJ451*Q451)</f>
        <v/>
      </c>
      <c r="AL451" s="55">
        <f>AI451*F451</f>
        <v/>
      </c>
      <c r="AM451" s="55">
        <f>ROUNDUP(MAX(I451/IF(BS451&gt;0,BS451,MAX(0.1,N(Cockpit!$I$6))),BV451)/BN451,0)*BN451</f>
        <v/>
      </c>
      <c r="AN451" s="56">
        <f>IF(AK451&gt;0,I451/AK451,-1)</f>
        <v/>
      </c>
      <c r="AO451" s="56">
        <f>IF(AND(OR(BR451="L1",BR451="L23"),AK451&gt;0),SUMIFS($AK$7:$AK$1570,$BR$7:$BR$1570,BR451,$AN$7:$AN$1570,"&gt;"&amp;AN451)+SUMIFS($AK$7:$AK$1570,$BR$7:$BR$1570,BR451,$AN$7:$AN$1570,AN451,$BL$7:$BL$1570,"&lt;="&amp;BL451),"")</f>
        <v/>
      </c>
      <c r="AP451" s="65">
        <f>IF(AO451="",0,MAX(0,MIN(1,(IF(BR451="L1",Parameter!$K$5,Parameter!$K$6+Parameter!$K$7)-(AO451-AK451))/AK451)))</f>
        <v/>
      </c>
      <c r="AQ451" s="55">
        <f>IF(LEFT(Cockpit!$O$5,1)="A",G451,IF(BT451=1,BU451,IF(LEFT(Cockpit!$O$5,1)="B",AU451,MAX(AU451,G451))))</f>
        <v/>
      </c>
      <c r="AR451" s="55">
        <f>IF(BO451=1,0,ROUNDUP(AQ451/BN451,0))</f>
        <v/>
      </c>
      <c r="AS451" s="64">
        <f>IF(BO451=1,IF(AQ451&lt;=0,0,BP451*MAX(1,IF(G451&gt;0,AQ451/G451,1))),AR451*Q451)</f>
        <v/>
      </c>
      <c r="AT451" s="55">
        <f>AQ451*F451</f>
        <v/>
      </c>
      <c r="AU451" s="55">
        <f>ROUNDUP(MAX(I451/IF(BS451&gt;0,BS451,MAX(0.1,N(Cockpit!$O$6))),BV451)/BN451,0)*BN451</f>
        <v/>
      </c>
      <c r="AV451" s="56">
        <f>IF(AS451&gt;0,I451/AS451,-1)</f>
        <v/>
      </c>
      <c r="AW451" s="56">
        <f>IF(AND(OR(BR451="L1",BR451="L23"),AS451&gt;0),SUMIFS($AS$7:$AS$1570,$BR$7:$BR$1570,BR451,$AV$7:$AV$1570,"&gt;"&amp;AV451)+SUMIFS($AS$7:$AS$1570,$BR$7:$BR$1570,BR451,$AV$7:$AV$1570,AV451,$BL$7:$BL$1570,"&lt;="&amp;BL451),"")</f>
        <v/>
      </c>
      <c r="AX451" s="65">
        <f>IF(AW451="",0,MAX(0,MIN(1,(IF(BR451="L1",Parameter!$K$5,Parameter!$K$6+Parameter!$K$7)-(AW451-AS451))/AS451)))</f>
        <v/>
      </c>
      <c r="AY451" s="53">
        <f>IF(AC451&lt;=0,"",IF(BR451="Aussen","Aussenlager",IF(BR451="-","Nicht im Lift",IF(AH451&gt;=1,"Lift",IF(AH451&lt;=0,"Aussenlager","teilweise")))))</f>
        <v/>
      </c>
      <c r="AZ451" s="53">
        <f>IF(AK451&lt;=0,"",IF(BR451="Aussen","Aussenlager",IF(BR451="-","Nicht im Lift",IF(AP451&gt;=1,"Lift",IF(AP451&lt;=0,"Aussenlager","teilweise")))))</f>
        <v/>
      </c>
      <c r="BA451" s="53">
        <f>IF(AS451&lt;=0,"",IF(BR451="Aussen","Aussenlager",IF(BR451="-","Nicht im Lift",IF(AX451&gt;=1,"Lift",IF(AX451&lt;=0,"Aussenlager","teilweise")))))</f>
        <v/>
      </c>
      <c r="BB451" s="53">
        <f>IF(A451="","",IF(BK451=1,"Neu; ","")&amp;IF(AND(BK451=0,BF451&lt;0),"negativer Bestand (Export "&amp;BF451&amp;"); ","")&amp;IF(I451&lt;=0,"Kein Verbrauch; ","")&amp;IF(BO451=1,"Lose – Fläche geschätzt; ","")&amp;IF(G451&gt;AM451,"Überbestand "&amp;ROUND(G451-AM451,0)&amp;" Stk / CHF "&amp;ROUND((G451-AM451)*F451,0)&amp;"; ","")&amp;IF(AND(BT451=1,BU451&lt;BV451),"MAX &lt; MB+LG; ","")&amp;IF(AND(BZ451&gt;0,BY451*10&gt;BZ451),"zu hoch für Tablar; ","")&amp;IF(AND(BK451=0,OR(BT451=1,V451&lt;&gt;"",S451&lt;&gt;"",T451&lt;&gt;"",W451&lt;&gt;"")),"manuell übersteuert; ","")&amp;IF(AND(BO451=0,Q451=0),"Gebinde unbekannt; ","")&amp;IF(AND(BO451=0,N(T451)&lt;=0,N(P451)&lt;=0),"Menge pro Gebinde fehlt (Ist = 1 Gebinde); ","")&amp;BJ451)</f>
        <v/>
      </c>
      <c r="BC451" s="53" t="n"/>
      <c r="BD451" s="53" t="n"/>
      <c r="BE451" s="61" t="n"/>
      <c r="BF451" s="55" t="n">
        <v>2</v>
      </c>
      <c r="BG451" s="55" t="n">
        <v>14</v>
      </c>
      <c r="BH451" s="54" t="n">
        <v>67</v>
      </c>
      <c r="BI451" s="55" t="n">
        <v>8</v>
      </c>
      <c r="BJ451" s="53" t="inlineStr"/>
      <c r="BK451" s="58" t="n">
        <v>0</v>
      </c>
      <c r="BL451" s="58" t="n">
        <v>451</v>
      </c>
      <c r="BM451" s="53">
        <f>IF(S451&lt;&gt;"",UPPER(TRIM(S451)),IF(O451="","LOSE",O451))</f>
        <v/>
      </c>
      <c r="BN451" s="55">
        <f>IF(BM451="LOSE",1,IF(N(T451)&gt;0,T451,IF(N(P451)&gt;0,P451,MAX(1,G451))))</f>
        <v/>
      </c>
      <c r="BO451" s="58">
        <f>IF(BM451="LOSE",1,0)</f>
        <v/>
      </c>
      <c r="BP451" s="64">
        <f>IF(BO451=0,0,IF(N(R451)&gt;0,R451,IFERROR(VLOOKUP(D451,Parameter!$A$35:$C$64,3,0)+0,0)))</f>
        <v/>
      </c>
      <c r="BQ451" s="53">
        <f>IF(V451&lt;&gt;"",V451,U451)</f>
        <v/>
      </c>
      <c r="BR451" s="53">
        <f>IF(BQ451=1,"L1",IF(OR(BQ451=2,BQ451=3),"L23",IF(BQ451="Aussen","Aussen","-")))</f>
        <v/>
      </c>
      <c r="BS451" s="66">
        <f>IF(N(W451)&gt;0,W451,0)</f>
        <v/>
      </c>
      <c r="BT451" s="58">
        <f>IF(ISNUMBER(Z451),1,0)</f>
        <v/>
      </c>
      <c r="BU451" s="55">
        <f>N(Z451)</f>
        <v/>
      </c>
      <c r="BV451" s="55">
        <f>N(L451)+N(M451)</f>
        <v/>
      </c>
      <c r="BW451" s="55">
        <f>ROUNDUP(G451/BN451,0)</f>
        <v/>
      </c>
      <c r="BX451" s="55">
        <f>ROUNDUP(BU451/BN451,0)</f>
        <v/>
      </c>
      <c r="BY451" s="58">
        <f>IF(BO451=1,0,IFERROR(VLOOKUP(BM451,'Gebinde-Kategorie'!$A$5:$G$45,5,0)+0,0))</f>
        <v/>
      </c>
      <c r="BZ451" s="58">
        <f>IFERROR(IF(OR(BQ451=1,BQ451=2,BQ451=3),N(INDEX(Parameter!$I$5:$I$7,BQ451)),0),0)</f>
        <v/>
      </c>
    </row>
    <row r="452">
      <c r="A452" s="53" t="inlineStr">
        <is>
          <t>001195</t>
        </is>
      </c>
      <c r="B452" s="53" t="inlineStr">
        <is>
          <t>Abdrückschraube</t>
        </is>
      </c>
      <c r="C452" s="53" t="inlineStr">
        <is>
          <t>F</t>
        </is>
      </c>
      <c r="D452" s="53" t="inlineStr">
        <is>
          <t>KTL</t>
        </is>
      </c>
      <c r="E452" s="53" t="inlineStr">
        <is>
          <t>C</t>
        </is>
      </c>
      <c r="F452" s="54" t="n">
        <v>4.42</v>
      </c>
      <c r="G452" s="55">
        <f>MAX(0,IF(Parameter!$B$20="Jahresanfang 2025 + Export",BG452+BF452,BF452))</f>
        <v/>
      </c>
      <c r="H452" s="55">
        <f>G452*F452</f>
        <v/>
      </c>
      <c r="I452" s="55">
        <f>BI452*Parameter!$B$18</f>
        <v/>
      </c>
      <c r="J452" s="56" t="n">
        <v>7.5</v>
      </c>
      <c r="K452" s="57" t="n">
        <v>0</v>
      </c>
      <c r="L452" s="55" t="n">
        <v>0</v>
      </c>
      <c r="M452" s="55" t="n">
        <v>1</v>
      </c>
      <c r="N452" s="58" t="n">
        <v>28</v>
      </c>
      <c r="O452" s="53" t="inlineStr">
        <is>
          <t>S22</t>
        </is>
      </c>
      <c r="P452" s="55" t="n">
        <v>15</v>
      </c>
      <c r="Q452" s="59">
        <f>IF(BO452=1,0,IFERROR(VLOOKUP(BM452,'Gebinde-Kategorie'!$A$5:$G$45,6,0)+0,0))</f>
        <v/>
      </c>
      <c r="R452" s="60" t="n"/>
      <c r="S452" s="61" t="n"/>
      <c r="T452" s="61" t="n"/>
      <c r="U452" s="53">
        <f>IF(A452="","",IF(IFERROR(VLOOKUP(D452,Parameter!$A$35:$C$64,2,0),"Nein")="2+3",IF(ISNUMBER(SEARCH("grosser Artikel",BJ452)),2,IFERROR(VLOOKUP(BM452,Parameter!$F$35:$G$64,2,0),2)),IF(OR(IFERROR(VLOOKUP(D452,Parameter!$A$35:$C$64,2,0),"Nein")="Nein",IFERROR(VLOOKUP(D452,Parameter!$A$35:$C$64,2,0),"Nein")=""),"-",VLOOKUP(D452,Parameter!$A$35:$C$64,2,0))))</f>
        <v/>
      </c>
      <c r="V452" s="61" t="n"/>
      <c r="W452" s="62" t="n"/>
      <c r="X452" s="55">
        <f>AM452</f>
        <v/>
      </c>
      <c r="Y452" s="55">
        <f>MAX(AM452,G452)</f>
        <v/>
      </c>
      <c r="Z452" s="63" t="n"/>
      <c r="AA452" s="55">
        <f>IF(LEFT(Cockpit!$C$5,1)="A",G452,IF(BT452=1,BU452,IF(LEFT(Cockpit!$C$5,1)="B",AE452,MAX(AE452,G452))))</f>
        <v/>
      </c>
      <c r="AB452" s="55">
        <f>IF(BO452=1,0,ROUNDUP(AA452/BN452,0))</f>
        <v/>
      </c>
      <c r="AC452" s="64">
        <f>IF(BO452=1,IF(AA452&lt;=0,0,BP452*MAX(1,IF(G452&gt;0,AA452/G452,1))),AB452*Q452)</f>
        <v/>
      </c>
      <c r="AD452" s="55">
        <f>AA452*F452</f>
        <v/>
      </c>
      <c r="AE452" s="55">
        <f>ROUNDUP(MAX(I452/IF(BS452&gt;0,BS452,MAX(0.1,N(Cockpit!$C$6))),BV452)/BN452,0)*BN452</f>
        <v/>
      </c>
      <c r="AF452" s="56">
        <f>IF(AC452&gt;0,I452/AC452,-1)</f>
        <v/>
      </c>
      <c r="AG452" s="56">
        <f>IF(AND(OR(BR452="L1",BR452="L23"),AC452&gt;0),SUMIFS($AC$7:$AC$1570,$BR$7:$BR$1570,BR452,$AF$7:$AF$1570,"&gt;"&amp;AF452)+SUMIFS($AC$7:$AC$1570,$BR$7:$BR$1570,BR452,$AF$7:$AF$1570,AF452,$BL$7:$BL$1570,"&lt;="&amp;BL452),"")</f>
        <v/>
      </c>
      <c r="AH452" s="65">
        <f>IF(AG452="",0,MAX(0,MIN(1,(IF(BR452="L1",Parameter!$K$5,Parameter!$K$6+Parameter!$K$7)-(AG452-AC452))/AC452)))</f>
        <v/>
      </c>
      <c r="AI452" s="55">
        <f>IF(LEFT(Cockpit!$I$5,1)="A",G452,IF(BT452=1,BU452,IF(LEFT(Cockpit!$I$5,1)="B",AM452,MAX(AM452,G452))))</f>
        <v/>
      </c>
      <c r="AJ452" s="55">
        <f>IF(BO452=1,0,ROUNDUP(AI452/BN452,0))</f>
        <v/>
      </c>
      <c r="AK452" s="64">
        <f>IF(BO452=1,IF(AI452&lt;=0,0,BP452*MAX(1,IF(G452&gt;0,AI452/G452,1))),AJ452*Q452)</f>
        <v/>
      </c>
      <c r="AL452" s="55">
        <f>AI452*F452</f>
        <v/>
      </c>
      <c r="AM452" s="55">
        <f>ROUNDUP(MAX(I452/IF(BS452&gt;0,BS452,MAX(0.1,N(Cockpit!$I$6))),BV452)/BN452,0)*BN452</f>
        <v/>
      </c>
      <c r="AN452" s="56">
        <f>IF(AK452&gt;0,I452/AK452,-1)</f>
        <v/>
      </c>
      <c r="AO452" s="56">
        <f>IF(AND(OR(BR452="L1",BR452="L23"),AK452&gt;0),SUMIFS($AK$7:$AK$1570,$BR$7:$BR$1570,BR452,$AN$7:$AN$1570,"&gt;"&amp;AN452)+SUMIFS($AK$7:$AK$1570,$BR$7:$BR$1570,BR452,$AN$7:$AN$1570,AN452,$BL$7:$BL$1570,"&lt;="&amp;BL452),"")</f>
        <v/>
      </c>
      <c r="AP452" s="65">
        <f>IF(AO452="",0,MAX(0,MIN(1,(IF(BR452="L1",Parameter!$K$5,Parameter!$K$6+Parameter!$K$7)-(AO452-AK452))/AK452)))</f>
        <v/>
      </c>
      <c r="AQ452" s="55">
        <f>IF(LEFT(Cockpit!$O$5,1)="A",G452,IF(BT452=1,BU452,IF(LEFT(Cockpit!$O$5,1)="B",AU452,MAX(AU452,G452))))</f>
        <v/>
      </c>
      <c r="AR452" s="55">
        <f>IF(BO452=1,0,ROUNDUP(AQ452/BN452,0))</f>
        <v/>
      </c>
      <c r="AS452" s="64">
        <f>IF(BO452=1,IF(AQ452&lt;=0,0,BP452*MAX(1,IF(G452&gt;0,AQ452/G452,1))),AR452*Q452)</f>
        <v/>
      </c>
      <c r="AT452" s="55">
        <f>AQ452*F452</f>
        <v/>
      </c>
      <c r="AU452" s="55">
        <f>ROUNDUP(MAX(I452/IF(BS452&gt;0,BS452,MAX(0.1,N(Cockpit!$O$6))),BV452)/BN452,0)*BN452</f>
        <v/>
      </c>
      <c r="AV452" s="56">
        <f>IF(AS452&gt;0,I452/AS452,-1)</f>
        <v/>
      </c>
      <c r="AW452" s="56">
        <f>IF(AND(OR(BR452="L1",BR452="L23"),AS452&gt;0),SUMIFS($AS$7:$AS$1570,$BR$7:$BR$1570,BR452,$AV$7:$AV$1570,"&gt;"&amp;AV452)+SUMIFS($AS$7:$AS$1570,$BR$7:$BR$1570,BR452,$AV$7:$AV$1570,AV452,$BL$7:$BL$1570,"&lt;="&amp;BL452),"")</f>
        <v/>
      </c>
      <c r="AX452" s="65">
        <f>IF(AW452="",0,MAX(0,MIN(1,(IF(BR452="L1",Parameter!$K$5,Parameter!$K$6+Parameter!$K$7)-(AW452-AS452))/AS452)))</f>
        <v/>
      </c>
      <c r="AY452" s="53">
        <f>IF(AC452&lt;=0,"",IF(BR452="Aussen","Aussenlager",IF(BR452="-","Nicht im Lift",IF(AH452&gt;=1,"Lift",IF(AH452&lt;=0,"Aussenlager","teilweise")))))</f>
        <v/>
      </c>
      <c r="AZ452" s="53">
        <f>IF(AK452&lt;=0,"",IF(BR452="Aussen","Aussenlager",IF(BR452="-","Nicht im Lift",IF(AP452&gt;=1,"Lift",IF(AP452&lt;=0,"Aussenlager","teilweise")))))</f>
        <v/>
      </c>
      <c r="BA452" s="53">
        <f>IF(AS452&lt;=0,"",IF(BR452="Aussen","Aussenlager",IF(BR452="-","Nicht im Lift",IF(AX452&gt;=1,"Lift",IF(AX452&lt;=0,"Aussenlager","teilweise")))))</f>
        <v/>
      </c>
      <c r="BB452" s="53">
        <f>IF(A452="","",IF(BK452=1,"Neu; ","")&amp;IF(AND(BK452=0,BF452&lt;0),"negativer Bestand (Export "&amp;BF452&amp;"); ","")&amp;IF(I452&lt;=0,"Kein Verbrauch; ","")&amp;IF(BO452=1,"Lose – Fläche geschätzt; ","")&amp;IF(G452&gt;AM452,"Überbestand "&amp;ROUND(G452-AM452,0)&amp;" Stk / CHF "&amp;ROUND((G452-AM452)*F452,0)&amp;"; ","")&amp;IF(AND(BT452=1,BU452&lt;BV452),"MAX &lt; MB+LG; ","")&amp;IF(AND(BZ452&gt;0,BY452*10&gt;BZ452),"zu hoch für Tablar; ","")&amp;IF(AND(BK452=0,OR(BT452=1,V452&lt;&gt;"",S452&lt;&gt;"",T452&lt;&gt;"",W452&lt;&gt;"")),"manuell übersteuert; ","")&amp;IF(AND(BO452=0,Q452=0),"Gebinde unbekannt; ","")&amp;IF(AND(BO452=0,N(T452)&lt;=0,N(P452)&lt;=0),"Menge pro Gebinde fehlt (Ist = 1 Gebinde); ","")&amp;BJ452)</f>
        <v/>
      </c>
      <c r="BC452" s="53" t="n"/>
      <c r="BD452" s="53" t="n"/>
      <c r="BE452" s="61" t="n"/>
      <c r="BF452" s="55" t="n">
        <v>15</v>
      </c>
      <c r="BG452" s="55" t="n">
        <v>0</v>
      </c>
      <c r="BH452" s="54" t="n">
        <v>66.3</v>
      </c>
      <c r="BI452" s="55" t="n">
        <v>0</v>
      </c>
      <c r="BJ452" s="53" t="inlineStr"/>
      <c r="BK452" s="58" t="n">
        <v>0</v>
      </c>
      <c r="BL452" s="58" t="n">
        <v>452</v>
      </c>
      <c r="BM452" s="53">
        <f>IF(S452&lt;&gt;"",UPPER(TRIM(S452)),IF(O452="","LOSE",O452))</f>
        <v/>
      </c>
      <c r="BN452" s="55">
        <f>IF(BM452="LOSE",1,IF(N(T452)&gt;0,T452,IF(N(P452)&gt;0,P452,MAX(1,G452))))</f>
        <v/>
      </c>
      <c r="BO452" s="58">
        <f>IF(BM452="LOSE",1,0)</f>
        <v/>
      </c>
      <c r="BP452" s="64">
        <f>IF(BO452=0,0,IF(N(R452)&gt;0,R452,IFERROR(VLOOKUP(D452,Parameter!$A$35:$C$64,3,0)+0,0)))</f>
        <v/>
      </c>
      <c r="BQ452" s="53">
        <f>IF(V452&lt;&gt;"",V452,U452)</f>
        <v/>
      </c>
      <c r="BR452" s="53">
        <f>IF(BQ452=1,"L1",IF(OR(BQ452=2,BQ452=3),"L23",IF(BQ452="Aussen","Aussen","-")))</f>
        <v/>
      </c>
      <c r="BS452" s="66">
        <f>IF(N(W452)&gt;0,W452,0)</f>
        <v/>
      </c>
      <c r="BT452" s="58">
        <f>IF(ISNUMBER(Z452),1,0)</f>
        <v/>
      </c>
      <c r="BU452" s="55">
        <f>N(Z452)</f>
        <v/>
      </c>
      <c r="BV452" s="55">
        <f>N(L452)+N(M452)</f>
        <v/>
      </c>
      <c r="BW452" s="55">
        <f>ROUNDUP(G452/BN452,0)</f>
        <v/>
      </c>
      <c r="BX452" s="55">
        <f>ROUNDUP(BU452/BN452,0)</f>
        <v/>
      </c>
      <c r="BY452" s="58">
        <f>IF(BO452=1,0,IFERROR(VLOOKUP(BM452,'Gebinde-Kategorie'!$A$5:$G$45,5,0)+0,0))</f>
        <v/>
      </c>
      <c r="BZ452" s="58">
        <f>IFERROR(IF(OR(BQ452=1,BQ452=2,BQ452=3),N(INDEX(Parameter!$I$5:$I$7,BQ452)),0),0)</f>
        <v/>
      </c>
    </row>
    <row r="453">
      <c r="A453" s="53" t="inlineStr">
        <is>
          <t>001113</t>
        </is>
      </c>
      <c r="B453" s="53" t="inlineStr">
        <is>
          <t>Faltrahmen</t>
        </is>
      </c>
      <c r="C453" s="53" t="inlineStr">
        <is>
          <t>F</t>
        </is>
      </c>
      <c r="D453" s="53" t="inlineStr">
        <is>
          <t>PAL</t>
        </is>
      </c>
      <c r="E453" s="53" t="inlineStr">
        <is>
          <t>C</t>
        </is>
      </c>
      <c r="F453" s="54" t="n">
        <v>10.4</v>
      </c>
      <c r="G453" s="55">
        <f>MAX(0,IF(Parameter!$B$20="Jahresanfang 2025 + Export",BG453+BF453,BF453))</f>
        <v/>
      </c>
      <c r="H453" s="55">
        <f>G453*F453</f>
        <v/>
      </c>
      <c r="I453" s="55">
        <f>BI453*Parameter!$B$18</f>
        <v/>
      </c>
      <c r="J453" s="56" t="n">
        <v>17.5</v>
      </c>
      <c r="K453" s="57" t="n">
        <v>1.885714285714286</v>
      </c>
      <c r="L453" s="55" t="n">
        <v>1</v>
      </c>
      <c r="M453" s="55" t="n">
        <v>15</v>
      </c>
      <c r="N453" s="58" t="n">
        <v>21</v>
      </c>
      <c r="O453" s="53" t="inlineStr">
        <is>
          <t>LOSE</t>
        </is>
      </c>
      <c r="P453" s="55" t="n"/>
      <c r="Q453" s="59">
        <f>IF(BO453=1,0,IFERROR(VLOOKUP(BM453,'Gebinde-Kategorie'!$A$5:$G$45,6,0)+0,0))</f>
        <v/>
      </c>
      <c r="R453" s="60" t="n"/>
      <c r="S453" s="61" t="n"/>
      <c r="T453" s="61" t="n"/>
      <c r="U453" s="53">
        <f>IF(A453="","",IF(IFERROR(VLOOKUP(D453,Parameter!$A$35:$C$64,2,0),"Nein")="2+3",IF(ISNUMBER(SEARCH("grosser Artikel",BJ453)),2,IFERROR(VLOOKUP(BM453,Parameter!$F$35:$G$64,2,0),2)),IF(OR(IFERROR(VLOOKUP(D453,Parameter!$A$35:$C$64,2,0),"Nein")="Nein",IFERROR(VLOOKUP(D453,Parameter!$A$35:$C$64,2,0),"Nein")=""),"-",VLOOKUP(D453,Parameter!$A$35:$C$64,2,0))))</f>
        <v/>
      </c>
      <c r="V453" s="61" t="n"/>
      <c r="W453" s="62" t="n"/>
      <c r="X453" s="55">
        <f>AM453</f>
        <v/>
      </c>
      <c r="Y453" s="55">
        <f>MAX(AM453,G453)</f>
        <v/>
      </c>
      <c r="Z453" s="63" t="n"/>
      <c r="AA453" s="55">
        <f>IF(LEFT(Cockpit!$C$5,1)="A",G453,IF(BT453=1,BU453,IF(LEFT(Cockpit!$C$5,1)="B",AE453,MAX(AE453,G453))))</f>
        <v/>
      </c>
      <c r="AB453" s="55">
        <f>IF(BO453=1,0,ROUNDUP(AA453/BN453,0))</f>
        <v/>
      </c>
      <c r="AC453" s="64">
        <f>IF(BO453=1,IF(AA453&lt;=0,0,BP453*MAX(1,IF(G453&gt;0,AA453/G453,1))),AB453*Q453)</f>
        <v/>
      </c>
      <c r="AD453" s="55">
        <f>AA453*F453</f>
        <v/>
      </c>
      <c r="AE453" s="55">
        <f>ROUNDUP(MAX(I453/IF(BS453&gt;0,BS453,MAX(0.1,N(Cockpit!$C$6))),BV453)/BN453,0)*BN453</f>
        <v/>
      </c>
      <c r="AF453" s="56">
        <f>IF(AC453&gt;0,I453/AC453,-1)</f>
        <v/>
      </c>
      <c r="AG453" s="56">
        <f>IF(AND(OR(BR453="L1",BR453="L23"),AC453&gt;0),SUMIFS($AC$7:$AC$1570,$BR$7:$BR$1570,BR453,$AF$7:$AF$1570,"&gt;"&amp;AF453)+SUMIFS($AC$7:$AC$1570,$BR$7:$BR$1570,BR453,$AF$7:$AF$1570,AF453,$BL$7:$BL$1570,"&lt;="&amp;BL453),"")</f>
        <v/>
      </c>
      <c r="AH453" s="65">
        <f>IF(AG453="",0,MAX(0,MIN(1,(IF(BR453="L1",Parameter!$K$5,Parameter!$K$6+Parameter!$K$7)-(AG453-AC453))/AC453)))</f>
        <v/>
      </c>
      <c r="AI453" s="55">
        <f>IF(LEFT(Cockpit!$I$5,1)="A",G453,IF(BT453=1,BU453,IF(LEFT(Cockpit!$I$5,1)="B",AM453,MAX(AM453,G453))))</f>
        <v/>
      </c>
      <c r="AJ453" s="55">
        <f>IF(BO453=1,0,ROUNDUP(AI453/BN453,0))</f>
        <v/>
      </c>
      <c r="AK453" s="64">
        <f>IF(BO453=1,IF(AI453&lt;=0,0,BP453*MAX(1,IF(G453&gt;0,AI453/G453,1))),AJ453*Q453)</f>
        <v/>
      </c>
      <c r="AL453" s="55">
        <f>AI453*F453</f>
        <v/>
      </c>
      <c r="AM453" s="55">
        <f>ROUNDUP(MAX(I453/IF(BS453&gt;0,BS453,MAX(0.1,N(Cockpit!$I$6))),BV453)/BN453,0)*BN453</f>
        <v/>
      </c>
      <c r="AN453" s="56">
        <f>IF(AK453&gt;0,I453/AK453,-1)</f>
        <v/>
      </c>
      <c r="AO453" s="56">
        <f>IF(AND(OR(BR453="L1",BR453="L23"),AK453&gt;0),SUMIFS($AK$7:$AK$1570,$BR$7:$BR$1570,BR453,$AN$7:$AN$1570,"&gt;"&amp;AN453)+SUMIFS($AK$7:$AK$1570,$BR$7:$BR$1570,BR453,$AN$7:$AN$1570,AN453,$BL$7:$BL$1570,"&lt;="&amp;BL453),"")</f>
        <v/>
      </c>
      <c r="AP453" s="65">
        <f>IF(AO453="",0,MAX(0,MIN(1,(IF(BR453="L1",Parameter!$K$5,Parameter!$K$6+Parameter!$K$7)-(AO453-AK453))/AK453)))</f>
        <v/>
      </c>
      <c r="AQ453" s="55">
        <f>IF(LEFT(Cockpit!$O$5,1)="A",G453,IF(BT453=1,BU453,IF(LEFT(Cockpit!$O$5,1)="B",AU453,MAX(AU453,G453))))</f>
        <v/>
      </c>
      <c r="AR453" s="55">
        <f>IF(BO453=1,0,ROUNDUP(AQ453/BN453,0))</f>
        <v/>
      </c>
      <c r="AS453" s="64">
        <f>IF(BO453=1,IF(AQ453&lt;=0,0,BP453*MAX(1,IF(G453&gt;0,AQ453/G453,1))),AR453*Q453)</f>
        <v/>
      </c>
      <c r="AT453" s="55">
        <f>AQ453*F453</f>
        <v/>
      </c>
      <c r="AU453" s="55">
        <f>ROUNDUP(MAX(I453/IF(BS453&gt;0,BS453,MAX(0.1,N(Cockpit!$O$6))),BV453)/BN453,0)*BN453</f>
        <v/>
      </c>
      <c r="AV453" s="56">
        <f>IF(AS453&gt;0,I453/AS453,-1)</f>
        <v/>
      </c>
      <c r="AW453" s="56">
        <f>IF(AND(OR(BR453="L1",BR453="L23"),AS453&gt;0),SUMIFS($AS$7:$AS$1570,$BR$7:$BR$1570,BR453,$AV$7:$AV$1570,"&gt;"&amp;AV453)+SUMIFS($AS$7:$AS$1570,$BR$7:$BR$1570,BR453,$AV$7:$AV$1570,AV453,$BL$7:$BL$1570,"&lt;="&amp;BL453),"")</f>
        <v/>
      </c>
      <c r="AX453" s="65">
        <f>IF(AW453="",0,MAX(0,MIN(1,(IF(BR453="L1",Parameter!$K$5,Parameter!$K$6+Parameter!$K$7)-(AW453-AS453))/AS453)))</f>
        <v/>
      </c>
      <c r="AY453" s="53">
        <f>IF(AC453&lt;=0,"",IF(BR453="Aussen","Aussenlager",IF(BR453="-","Nicht im Lift",IF(AH453&gt;=1,"Lift",IF(AH453&lt;=0,"Aussenlager","teilweise")))))</f>
        <v/>
      </c>
      <c r="AZ453" s="53">
        <f>IF(AK453&lt;=0,"",IF(BR453="Aussen","Aussenlager",IF(BR453="-","Nicht im Lift",IF(AP453&gt;=1,"Lift",IF(AP453&lt;=0,"Aussenlager","teilweise")))))</f>
        <v/>
      </c>
      <c r="BA453" s="53">
        <f>IF(AS453&lt;=0,"",IF(BR453="Aussen","Aussenlager",IF(BR453="-","Nicht im Lift",IF(AX453&gt;=1,"Lift",IF(AX453&lt;=0,"Aussenlager","teilweise")))))</f>
        <v/>
      </c>
      <c r="BB453" s="53">
        <f>IF(A453="","",IF(BK453=1,"Neu; ","")&amp;IF(AND(BK453=0,BF453&lt;0),"negativer Bestand (Export "&amp;BF453&amp;"); ","")&amp;IF(I453&lt;=0,"Kein Verbrauch; ","")&amp;IF(BO453=1,"Lose – Fläche geschätzt; ","")&amp;IF(G453&gt;AM453,"Überbestand "&amp;ROUND(G453-AM453,0)&amp;" Stk / CHF "&amp;ROUND((G453-AM453)*F453,0)&amp;"; ","")&amp;IF(AND(BT453=1,BU453&lt;BV453),"MAX &lt; MB+LG; ","")&amp;IF(AND(BZ453&gt;0,BY453*10&gt;BZ453),"zu hoch für Tablar; ","")&amp;IF(AND(BK453=0,OR(BT453=1,V453&lt;&gt;"",S453&lt;&gt;"",T453&lt;&gt;"",W453&lt;&gt;"")),"manuell übersteuert; ","")&amp;IF(AND(BO453=0,Q453=0),"Gebinde unbekannt; ","")&amp;IF(AND(BO453=0,N(T453)&lt;=0,N(P453)&lt;=0),"Menge pro Gebinde fehlt (Ist = 1 Gebinde); ","")&amp;BJ453)</f>
        <v/>
      </c>
      <c r="BC453" s="53" t="n"/>
      <c r="BD453" s="53" t="n"/>
      <c r="BE453" s="61" t="n"/>
      <c r="BF453" s="55" t="n">
        <v>5</v>
      </c>
      <c r="BG453" s="55" t="n">
        <v>20</v>
      </c>
      <c r="BH453" s="54" t="n">
        <v>65.99999999999997</v>
      </c>
      <c r="BI453" s="55" t="n">
        <v>33</v>
      </c>
      <c r="BJ453" s="53" t="inlineStr"/>
      <c r="BK453" s="58" t="n">
        <v>0</v>
      </c>
      <c r="BL453" s="58" t="n">
        <v>453</v>
      </c>
      <c r="BM453" s="53">
        <f>IF(S453&lt;&gt;"",UPPER(TRIM(S453)),IF(O453="","LOSE",O453))</f>
        <v/>
      </c>
      <c r="BN453" s="55">
        <f>IF(BM453="LOSE",1,IF(N(T453)&gt;0,T453,IF(N(P453)&gt;0,P453,MAX(1,G453))))</f>
        <v/>
      </c>
      <c r="BO453" s="58">
        <f>IF(BM453="LOSE",1,0)</f>
        <v/>
      </c>
      <c r="BP453" s="64">
        <f>IF(BO453=0,0,IF(N(R453)&gt;0,R453,IFERROR(VLOOKUP(D453,Parameter!$A$35:$C$64,3,0)+0,0)))</f>
        <v/>
      </c>
      <c r="BQ453" s="53">
        <f>IF(V453&lt;&gt;"",V453,U453)</f>
        <v/>
      </c>
      <c r="BR453" s="53">
        <f>IF(BQ453=1,"L1",IF(OR(BQ453=2,BQ453=3),"L23",IF(BQ453="Aussen","Aussen","-")))</f>
        <v/>
      </c>
      <c r="BS453" s="66">
        <f>IF(N(W453)&gt;0,W453,0)</f>
        <v/>
      </c>
      <c r="BT453" s="58">
        <f>IF(ISNUMBER(Z453),1,0)</f>
        <v/>
      </c>
      <c r="BU453" s="55">
        <f>N(Z453)</f>
        <v/>
      </c>
      <c r="BV453" s="55">
        <f>N(L453)+N(M453)</f>
        <v/>
      </c>
      <c r="BW453" s="55">
        <f>ROUNDUP(G453/BN453,0)</f>
        <v/>
      </c>
      <c r="BX453" s="55">
        <f>ROUNDUP(BU453/BN453,0)</f>
        <v/>
      </c>
      <c r="BY453" s="58">
        <f>IF(BO453=1,0,IFERROR(VLOOKUP(BM453,'Gebinde-Kategorie'!$A$5:$G$45,5,0)+0,0))</f>
        <v/>
      </c>
      <c r="BZ453" s="58">
        <f>IFERROR(IF(OR(BQ453=1,BQ453=2,BQ453=3),N(INDEX(Parameter!$I$5:$I$7,BQ453)),0),0)</f>
        <v/>
      </c>
    </row>
    <row r="454">
      <c r="A454" s="53" t="inlineStr">
        <is>
          <t>103486</t>
        </is>
      </c>
      <c r="B454" s="53" t="inlineStr">
        <is>
          <t>Schild EP</t>
        </is>
      </c>
      <c r="C454" s="53" t="inlineStr">
        <is>
          <t>F</t>
        </is>
      </c>
      <c r="D454" s="53" t="inlineStr">
        <is>
          <t>KTL</t>
        </is>
      </c>
      <c r="E454" s="53" t="inlineStr">
        <is>
          <t>C</t>
        </is>
      </c>
      <c r="F454" s="54" t="n">
        <v>7.1</v>
      </c>
      <c r="G454" s="55">
        <f>MAX(0,IF(Parameter!$B$20="Jahresanfang 2025 + Export",BG454+BF454,BF454))</f>
        <v/>
      </c>
      <c r="H454" s="55">
        <f>G454*F454</f>
        <v/>
      </c>
      <c r="I454" s="55">
        <f>BI454*Parameter!$B$18</f>
        <v/>
      </c>
      <c r="J454" s="56" t="n">
        <v>76.5</v>
      </c>
      <c r="K454" s="57" t="n">
        <v>2.248366013071895</v>
      </c>
      <c r="L454" s="55" t="n">
        <v>4</v>
      </c>
      <c r="M454" s="55" t="n">
        <v>170</v>
      </c>
      <c r="N454" s="58" t="n">
        <v>21</v>
      </c>
      <c r="O454" s="53" t="inlineStr">
        <is>
          <t>S32</t>
        </is>
      </c>
      <c r="P454" s="55" t="n">
        <v>136</v>
      </c>
      <c r="Q454" s="59">
        <f>IF(BO454=1,0,IFERROR(VLOOKUP(BM454,'Gebinde-Kategorie'!$A$5:$G$45,6,0)+0,0))</f>
        <v/>
      </c>
      <c r="R454" s="60" t="n"/>
      <c r="S454" s="61" t="n"/>
      <c r="T454" s="61" t="n"/>
      <c r="U454" s="53">
        <f>IF(A454="","",IF(IFERROR(VLOOKUP(D454,Parameter!$A$35:$C$64,2,0),"Nein")="2+3",IF(ISNUMBER(SEARCH("grosser Artikel",BJ454)),2,IFERROR(VLOOKUP(BM454,Parameter!$F$35:$G$64,2,0),2)),IF(OR(IFERROR(VLOOKUP(D454,Parameter!$A$35:$C$64,2,0),"Nein")="Nein",IFERROR(VLOOKUP(D454,Parameter!$A$35:$C$64,2,0),"Nein")=""),"-",VLOOKUP(D454,Parameter!$A$35:$C$64,2,0))))</f>
        <v/>
      </c>
      <c r="V454" s="61" t="n"/>
      <c r="W454" s="62" t="n"/>
      <c r="X454" s="55">
        <f>AM454</f>
        <v/>
      </c>
      <c r="Y454" s="55">
        <f>MAX(AM454,G454)</f>
        <v/>
      </c>
      <c r="Z454" s="63" t="n"/>
      <c r="AA454" s="55">
        <f>IF(LEFT(Cockpit!$C$5,1)="A",G454,IF(BT454=1,BU454,IF(LEFT(Cockpit!$C$5,1)="B",AE454,MAX(AE454,G454))))</f>
        <v/>
      </c>
      <c r="AB454" s="55">
        <f>IF(BO454=1,0,ROUNDUP(AA454/BN454,0))</f>
        <v/>
      </c>
      <c r="AC454" s="64">
        <f>IF(BO454=1,IF(AA454&lt;=0,0,BP454*MAX(1,IF(G454&gt;0,AA454/G454,1))),AB454*Q454)</f>
        <v/>
      </c>
      <c r="AD454" s="55">
        <f>AA454*F454</f>
        <v/>
      </c>
      <c r="AE454" s="55">
        <f>ROUNDUP(MAX(I454/IF(BS454&gt;0,BS454,MAX(0.1,N(Cockpit!$C$6))),BV454)/BN454,0)*BN454</f>
        <v/>
      </c>
      <c r="AF454" s="56">
        <f>IF(AC454&gt;0,I454/AC454,-1)</f>
        <v/>
      </c>
      <c r="AG454" s="56">
        <f>IF(AND(OR(BR454="L1",BR454="L23"),AC454&gt;0),SUMIFS($AC$7:$AC$1570,$BR$7:$BR$1570,BR454,$AF$7:$AF$1570,"&gt;"&amp;AF454)+SUMIFS($AC$7:$AC$1570,$BR$7:$BR$1570,BR454,$AF$7:$AF$1570,AF454,$BL$7:$BL$1570,"&lt;="&amp;BL454),"")</f>
        <v/>
      </c>
      <c r="AH454" s="65">
        <f>IF(AG454="",0,MAX(0,MIN(1,(IF(BR454="L1",Parameter!$K$5,Parameter!$K$6+Parameter!$K$7)-(AG454-AC454))/AC454)))</f>
        <v/>
      </c>
      <c r="AI454" s="55">
        <f>IF(LEFT(Cockpit!$I$5,1)="A",G454,IF(BT454=1,BU454,IF(LEFT(Cockpit!$I$5,1)="B",AM454,MAX(AM454,G454))))</f>
        <v/>
      </c>
      <c r="AJ454" s="55">
        <f>IF(BO454=1,0,ROUNDUP(AI454/BN454,0))</f>
        <v/>
      </c>
      <c r="AK454" s="64">
        <f>IF(BO454=1,IF(AI454&lt;=0,0,BP454*MAX(1,IF(G454&gt;0,AI454/G454,1))),AJ454*Q454)</f>
        <v/>
      </c>
      <c r="AL454" s="55">
        <f>AI454*F454</f>
        <v/>
      </c>
      <c r="AM454" s="55">
        <f>ROUNDUP(MAX(I454/IF(BS454&gt;0,BS454,MAX(0.1,N(Cockpit!$I$6))),BV454)/BN454,0)*BN454</f>
        <v/>
      </c>
      <c r="AN454" s="56">
        <f>IF(AK454&gt;0,I454/AK454,-1)</f>
        <v/>
      </c>
      <c r="AO454" s="56">
        <f>IF(AND(OR(BR454="L1",BR454="L23"),AK454&gt;0),SUMIFS($AK$7:$AK$1570,$BR$7:$BR$1570,BR454,$AN$7:$AN$1570,"&gt;"&amp;AN454)+SUMIFS($AK$7:$AK$1570,$BR$7:$BR$1570,BR454,$AN$7:$AN$1570,AN454,$BL$7:$BL$1570,"&lt;="&amp;BL454),"")</f>
        <v/>
      </c>
      <c r="AP454" s="65">
        <f>IF(AO454="",0,MAX(0,MIN(1,(IF(BR454="L1",Parameter!$K$5,Parameter!$K$6+Parameter!$K$7)-(AO454-AK454))/AK454)))</f>
        <v/>
      </c>
      <c r="AQ454" s="55">
        <f>IF(LEFT(Cockpit!$O$5,1)="A",G454,IF(BT454=1,BU454,IF(LEFT(Cockpit!$O$5,1)="B",AU454,MAX(AU454,G454))))</f>
        <v/>
      </c>
      <c r="AR454" s="55">
        <f>IF(BO454=1,0,ROUNDUP(AQ454/BN454,0))</f>
        <v/>
      </c>
      <c r="AS454" s="64">
        <f>IF(BO454=1,IF(AQ454&lt;=0,0,BP454*MAX(1,IF(G454&gt;0,AQ454/G454,1))),AR454*Q454)</f>
        <v/>
      </c>
      <c r="AT454" s="55">
        <f>AQ454*F454</f>
        <v/>
      </c>
      <c r="AU454" s="55">
        <f>ROUNDUP(MAX(I454/IF(BS454&gt;0,BS454,MAX(0.1,N(Cockpit!$O$6))),BV454)/BN454,0)*BN454</f>
        <v/>
      </c>
      <c r="AV454" s="56">
        <f>IF(AS454&gt;0,I454/AS454,-1)</f>
        <v/>
      </c>
      <c r="AW454" s="56">
        <f>IF(AND(OR(BR454="L1",BR454="L23"),AS454&gt;0),SUMIFS($AS$7:$AS$1570,$BR$7:$BR$1570,BR454,$AV$7:$AV$1570,"&gt;"&amp;AV454)+SUMIFS($AS$7:$AS$1570,$BR$7:$BR$1570,BR454,$AV$7:$AV$1570,AV454,$BL$7:$BL$1570,"&lt;="&amp;BL454),"")</f>
        <v/>
      </c>
      <c r="AX454" s="65">
        <f>IF(AW454="",0,MAX(0,MIN(1,(IF(BR454="L1",Parameter!$K$5,Parameter!$K$6+Parameter!$K$7)-(AW454-AS454))/AS454)))</f>
        <v/>
      </c>
      <c r="AY454" s="53">
        <f>IF(AC454&lt;=0,"",IF(BR454="Aussen","Aussenlager",IF(BR454="-","Nicht im Lift",IF(AH454&gt;=1,"Lift",IF(AH454&lt;=0,"Aussenlager","teilweise")))))</f>
        <v/>
      </c>
      <c r="AZ454" s="53">
        <f>IF(AK454&lt;=0,"",IF(BR454="Aussen","Aussenlager",IF(BR454="-","Nicht im Lift",IF(AP454&gt;=1,"Lift",IF(AP454&lt;=0,"Aussenlager","teilweise")))))</f>
        <v/>
      </c>
      <c r="BA454" s="53">
        <f>IF(AS454&lt;=0,"",IF(BR454="Aussen","Aussenlager",IF(BR454="-","Nicht im Lift",IF(AX454&gt;=1,"Lift",IF(AX454&lt;=0,"Aussenlager","teilweise")))))</f>
        <v/>
      </c>
      <c r="BB454" s="53">
        <f>IF(A454="","",IF(BK454=1,"Neu; ","")&amp;IF(AND(BK454=0,BF454&lt;0),"negativer Bestand (Export "&amp;BF454&amp;"); ","")&amp;IF(I454&lt;=0,"Kein Verbrauch; ","")&amp;IF(BO454=1,"Lose – Fläche geschätzt; ","")&amp;IF(G454&gt;AM454,"Überbestand "&amp;ROUND(G454-AM454,0)&amp;" Stk / CHF "&amp;ROUND((G454-AM454)*F454,0)&amp;"; ","")&amp;IF(AND(BT454=1,BU454&lt;BV454),"MAX &lt; MB+LG; ","")&amp;IF(AND(BZ454&gt;0,BY454*10&gt;BZ454),"zu hoch für Tablar; ","")&amp;IF(AND(BK454=0,OR(BT454=1,V454&lt;&gt;"",S454&lt;&gt;"",T454&lt;&gt;"",W454&lt;&gt;"")),"manuell übersteuert; ","")&amp;IF(AND(BO454=0,Q454=0),"Gebinde unbekannt; ","")&amp;IF(AND(BO454=0,N(T454)&lt;=0,N(P454)&lt;=0),"Menge pro Gebinde fehlt (Ist = 1 Gebinde); ","")&amp;BJ454)</f>
        <v/>
      </c>
      <c r="BC454" s="53" t="n"/>
      <c r="BD454" s="53" t="n"/>
      <c r="BE454" s="61" t="n"/>
      <c r="BF454" s="55" t="n">
        <v>9</v>
      </c>
      <c r="BG454" s="55" t="n">
        <v>60</v>
      </c>
      <c r="BH454" s="54" t="n">
        <v>63.90000000000074</v>
      </c>
      <c r="BI454" s="55" t="n">
        <v>172</v>
      </c>
      <c r="BJ454" s="53" t="inlineStr"/>
      <c r="BK454" s="58" t="n">
        <v>0</v>
      </c>
      <c r="BL454" s="58" t="n">
        <v>454</v>
      </c>
      <c r="BM454" s="53">
        <f>IF(S454&lt;&gt;"",UPPER(TRIM(S454)),IF(O454="","LOSE",O454))</f>
        <v/>
      </c>
      <c r="BN454" s="55">
        <f>IF(BM454="LOSE",1,IF(N(T454)&gt;0,T454,IF(N(P454)&gt;0,P454,MAX(1,G454))))</f>
        <v/>
      </c>
      <c r="BO454" s="58">
        <f>IF(BM454="LOSE",1,0)</f>
        <v/>
      </c>
      <c r="BP454" s="64">
        <f>IF(BO454=0,0,IF(N(R454)&gt;0,R454,IFERROR(VLOOKUP(D454,Parameter!$A$35:$C$64,3,0)+0,0)))</f>
        <v/>
      </c>
      <c r="BQ454" s="53">
        <f>IF(V454&lt;&gt;"",V454,U454)</f>
        <v/>
      </c>
      <c r="BR454" s="53">
        <f>IF(BQ454=1,"L1",IF(OR(BQ454=2,BQ454=3),"L23",IF(BQ454="Aussen","Aussen","-")))</f>
        <v/>
      </c>
      <c r="BS454" s="66">
        <f>IF(N(W454)&gt;0,W454,0)</f>
        <v/>
      </c>
      <c r="BT454" s="58">
        <f>IF(ISNUMBER(Z454),1,0)</f>
        <v/>
      </c>
      <c r="BU454" s="55">
        <f>N(Z454)</f>
        <v/>
      </c>
      <c r="BV454" s="55">
        <f>N(L454)+N(M454)</f>
        <v/>
      </c>
      <c r="BW454" s="55">
        <f>ROUNDUP(G454/BN454,0)</f>
        <v/>
      </c>
      <c r="BX454" s="55">
        <f>ROUNDUP(BU454/BN454,0)</f>
        <v/>
      </c>
      <c r="BY454" s="58">
        <f>IF(BO454=1,0,IFERROR(VLOOKUP(BM454,'Gebinde-Kategorie'!$A$5:$G$45,5,0)+0,0))</f>
        <v/>
      </c>
      <c r="BZ454" s="58">
        <f>IFERROR(IF(OR(BQ454=1,BQ454=2,BQ454=3),N(INDEX(Parameter!$I$5:$I$7,BQ454)),0),0)</f>
        <v/>
      </c>
    </row>
    <row r="455">
      <c r="A455" s="53" t="inlineStr">
        <is>
          <t>108943</t>
        </is>
      </c>
      <c r="B455" s="53" t="inlineStr">
        <is>
          <t>Abdrückschraube</t>
        </is>
      </c>
      <c r="C455" s="53" t="inlineStr">
        <is>
          <t>F</t>
        </is>
      </c>
      <c r="D455" s="53" t="inlineStr">
        <is>
          <t>KTL</t>
        </is>
      </c>
      <c r="E455" s="53" t="inlineStr">
        <is>
          <t>C</t>
        </is>
      </c>
      <c r="F455" s="54" t="n">
        <v>1.04</v>
      </c>
      <c r="G455" s="55">
        <f>MAX(0,IF(Parameter!$B$20="Jahresanfang 2025 + Export",BG455+BF455,BF455))</f>
        <v/>
      </c>
      <c r="H455" s="55">
        <f>G455*F455</f>
        <v/>
      </c>
      <c r="I455" s="55">
        <f>BI455*Parameter!$B$18</f>
        <v/>
      </c>
      <c r="J455" s="56" t="n">
        <v>46</v>
      </c>
      <c r="K455" s="57" t="n">
        <v>0.6521739130434783</v>
      </c>
      <c r="L455" s="55" t="n">
        <v>1</v>
      </c>
      <c r="M455" s="55" t="n">
        <v>50</v>
      </c>
      <c r="N455" s="58" t="n">
        <v>21</v>
      </c>
      <c r="O455" s="53" t="inlineStr">
        <is>
          <t>S32</t>
        </is>
      </c>
      <c r="P455" s="55" t="n">
        <v>79</v>
      </c>
      <c r="Q455" s="59">
        <f>IF(BO455=1,0,IFERROR(VLOOKUP(BM455,'Gebinde-Kategorie'!$A$5:$G$45,6,0)+0,0))</f>
        <v/>
      </c>
      <c r="R455" s="60" t="n"/>
      <c r="S455" s="61" t="n"/>
      <c r="T455" s="61" t="n"/>
      <c r="U455" s="53">
        <f>IF(A455="","",IF(IFERROR(VLOOKUP(D455,Parameter!$A$35:$C$64,2,0),"Nein")="2+3",IF(ISNUMBER(SEARCH("grosser Artikel",BJ455)),2,IFERROR(VLOOKUP(BM455,Parameter!$F$35:$G$64,2,0),2)),IF(OR(IFERROR(VLOOKUP(D455,Parameter!$A$35:$C$64,2,0),"Nein")="Nein",IFERROR(VLOOKUP(D455,Parameter!$A$35:$C$64,2,0),"Nein")=""),"-",VLOOKUP(D455,Parameter!$A$35:$C$64,2,0))))</f>
        <v/>
      </c>
      <c r="V455" s="61" t="n"/>
      <c r="W455" s="62" t="n"/>
      <c r="X455" s="55">
        <f>AM455</f>
        <v/>
      </c>
      <c r="Y455" s="55">
        <f>MAX(AM455,G455)</f>
        <v/>
      </c>
      <c r="Z455" s="63" t="n"/>
      <c r="AA455" s="55">
        <f>IF(LEFT(Cockpit!$C$5,1)="A",G455,IF(BT455=1,BU455,IF(LEFT(Cockpit!$C$5,1)="B",AE455,MAX(AE455,G455))))</f>
        <v/>
      </c>
      <c r="AB455" s="55">
        <f>IF(BO455=1,0,ROUNDUP(AA455/BN455,0))</f>
        <v/>
      </c>
      <c r="AC455" s="64">
        <f>IF(BO455=1,IF(AA455&lt;=0,0,BP455*MAX(1,IF(G455&gt;0,AA455/G455,1))),AB455*Q455)</f>
        <v/>
      </c>
      <c r="AD455" s="55">
        <f>AA455*F455</f>
        <v/>
      </c>
      <c r="AE455" s="55">
        <f>ROUNDUP(MAX(I455/IF(BS455&gt;0,BS455,MAX(0.1,N(Cockpit!$C$6))),BV455)/BN455,0)*BN455</f>
        <v/>
      </c>
      <c r="AF455" s="56">
        <f>IF(AC455&gt;0,I455/AC455,-1)</f>
        <v/>
      </c>
      <c r="AG455" s="56">
        <f>IF(AND(OR(BR455="L1",BR455="L23"),AC455&gt;0),SUMIFS($AC$7:$AC$1570,$BR$7:$BR$1570,BR455,$AF$7:$AF$1570,"&gt;"&amp;AF455)+SUMIFS($AC$7:$AC$1570,$BR$7:$BR$1570,BR455,$AF$7:$AF$1570,AF455,$BL$7:$BL$1570,"&lt;="&amp;BL455),"")</f>
        <v/>
      </c>
      <c r="AH455" s="65">
        <f>IF(AG455="",0,MAX(0,MIN(1,(IF(BR455="L1",Parameter!$K$5,Parameter!$K$6+Parameter!$K$7)-(AG455-AC455))/AC455)))</f>
        <v/>
      </c>
      <c r="AI455" s="55">
        <f>IF(LEFT(Cockpit!$I$5,1)="A",G455,IF(BT455=1,BU455,IF(LEFT(Cockpit!$I$5,1)="B",AM455,MAX(AM455,G455))))</f>
        <v/>
      </c>
      <c r="AJ455" s="55">
        <f>IF(BO455=1,0,ROUNDUP(AI455/BN455,0))</f>
        <v/>
      </c>
      <c r="AK455" s="64">
        <f>IF(BO455=1,IF(AI455&lt;=0,0,BP455*MAX(1,IF(G455&gt;0,AI455/G455,1))),AJ455*Q455)</f>
        <v/>
      </c>
      <c r="AL455" s="55">
        <f>AI455*F455</f>
        <v/>
      </c>
      <c r="AM455" s="55">
        <f>ROUNDUP(MAX(I455/IF(BS455&gt;0,BS455,MAX(0.1,N(Cockpit!$I$6))),BV455)/BN455,0)*BN455</f>
        <v/>
      </c>
      <c r="AN455" s="56">
        <f>IF(AK455&gt;0,I455/AK455,-1)</f>
        <v/>
      </c>
      <c r="AO455" s="56">
        <f>IF(AND(OR(BR455="L1",BR455="L23"),AK455&gt;0),SUMIFS($AK$7:$AK$1570,$BR$7:$BR$1570,BR455,$AN$7:$AN$1570,"&gt;"&amp;AN455)+SUMIFS($AK$7:$AK$1570,$BR$7:$BR$1570,BR455,$AN$7:$AN$1570,AN455,$BL$7:$BL$1570,"&lt;="&amp;BL455),"")</f>
        <v/>
      </c>
      <c r="AP455" s="65">
        <f>IF(AO455="",0,MAX(0,MIN(1,(IF(BR455="L1",Parameter!$K$5,Parameter!$K$6+Parameter!$K$7)-(AO455-AK455))/AK455)))</f>
        <v/>
      </c>
      <c r="AQ455" s="55">
        <f>IF(LEFT(Cockpit!$O$5,1)="A",G455,IF(BT455=1,BU455,IF(LEFT(Cockpit!$O$5,1)="B",AU455,MAX(AU455,G455))))</f>
        <v/>
      </c>
      <c r="AR455" s="55">
        <f>IF(BO455=1,0,ROUNDUP(AQ455/BN455,0))</f>
        <v/>
      </c>
      <c r="AS455" s="64">
        <f>IF(BO455=1,IF(AQ455&lt;=0,0,BP455*MAX(1,IF(G455&gt;0,AQ455/G455,1))),AR455*Q455)</f>
        <v/>
      </c>
      <c r="AT455" s="55">
        <f>AQ455*F455</f>
        <v/>
      </c>
      <c r="AU455" s="55">
        <f>ROUNDUP(MAX(I455/IF(BS455&gt;0,BS455,MAX(0.1,N(Cockpit!$O$6))),BV455)/BN455,0)*BN455</f>
        <v/>
      </c>
      <c r="AV455" s="56">
        <f>IF(AS455&gt;0,I455/AS455,-1)</f>
        <v/>
      </c>
      <c r="AW455" s="56">
        <f>IF(AND(OR(BR455="L1",BR455="L23"),AS455&gt;0),SUMIFS($AS$7:$AS$1570,$BR$7:$BR$1570,BR455,$AV$7:$AV$1570,"&gt;"&amp;AV455)+SUMIFS($AS$7:$AS$1570,$BR$7:$BR$1570,BR455,$AV$7:$AV$1570,AV455,$BL$7:$BL$1570,"&lt;="&amp;BL455),"")</f>
        <v/>
      </c>
      <c r="AX455" s="65">
        <f>IF(AW455="",0,MAX(0,MIN(1,(IF(BR455="L1",Parameter!$K$5,Parameter!$K$6+Parameter!$K$7)-(AW455-AS455))/AS455)))</f>
        <v/>
      </c>
      <c r="AY455" s="53">
        <f>IF(AC455&lt;=0,"",IF(BR455="Aussen","Aussenlager",IF(BR455="-","Nicht im Lift",IF(AH455&gt;=1,"Lift",IF(AH455&lt;=0,"Aussenlager","teilweise")))))</f>
        <v/>
      </c>
      <c r="AZ455" s="53">
        <f>IF(AK455&lt;=0,"",IF(BR455="Aussen","Aussenlager",IF(BR455="-","Nicht im Lift",IF(AP455&gt;=1,"Lift",IF(AP455&lt;=0,"Aussenlager","teilweise")))))</f>
        <v/>
      </c>
      <c r="BA455" s="53">
        <f>IF(AS455&lt;=0,"",IF(BR455="Aussen","Aussenlager",IF(BR455="-","Nicht im Lift",IF(AX455&gt;=1,"Lift",IF(AX455&lt;=0,"Aussenlager","teilweise")))))</f>
        <v/>
      </c>
      <c r="BB455" s="53">
        <f>IF(A455="","",IF(BK455=1,"Neu; ","")&amp;IF(AND(BK455=0,BF455&lt;0),"negativer Bestand (Export "&amp;BF455&amp;"); ","")&amp;IF(I455&lt;=0,"Kein Verbrauch; ","")&amp;IF(BO455=1,"Lose – Fläche geschätzt; ","")&amp;IF(G455&gt;AM455,"Überbestand "&amp;ROUND(G455-AM455,0)&amp;" Stk / CHF "&amp;ROUND((G455-AM455)*F455,0)&amp;"; ","")&amp;IF(AND(BT455=1,BU455&lt;BV455),"MAX &lt; MB+LG; ","")&amp;IF(AND(BZ455&gt;0,BY455*10&gt;BZ455),"zu hoch für Tablar; ","")&amp;IF(AND(BK455=0,OR(BT455=1,V455&lt;&gt;"",S455&lt;&gt;"",T455&lt;&gt;"",W455&lt;&gt;"")),"manuell übersteuert; ","")&amp;IF(AND(BO455=0,Q455=0),"Gebinde unbekannt; ","")&amp;IF(AND(BO455=0,N(T455)&lt;=0,N(P455)&lt;=0),"Menge pro Gebinde fehlt (Ist = 1 Gebinde); ","")&amp;BJ455)</f>
        <v/>
      </c>
      <c r="BC455" s="53" t="n"/>
      <c r="BD455" s="53" t="n"/>
      <c r="BE455" s="61" t="n"/>
      <c r="BF455" s="55" t="n">
        <v>61</v>
      </c>
      <c r="BG455" s="55" t="n">
        <v>36</v>
      </c>
      <c r="BH455" s="54" t="n">
        <v>63.08</v>
      </c>
      <c r="BI455" s="55" t="n">
        <v>30</v>
      </c>
      <c r="BJ455" s="53" t="inlineStr"/>
      <c r="BK455" s="58" t="n">
        <v>0</v>
      </c>
      <c r="BL455" s="58" t="n">
        <v>455</v>
      </c>
      <c r="BM455" s="53">
        <f>IF(S455&lt;&gt;"",UPPER(TRIM(S455)),IF(O455="","LOSE",O455))</f>
        <v/>
      </c>
      <c r="BN455" s="55">
        <f>IF(BM455="LOSE",1,IF(N(T455)&gt;0,T455,IF(N(P455)&gt;0,P455,MAX(1,G455))))</f>
        <v/>
      </c>
      <c r="BO455" s="58">
        <f>IF(BM455="LOSE",1,0)</f>
        <v/>
      </c>
      <c r="BP455" s="64">
        <f>IF(BO455=0,0,IF(N(R455)&gt;0,R455,IFERROR(VLOOKUP(D455,Parameter!$A$35:$C$64,3,0)+0,0)))</f>
        <v/>
      </c>
      <c r="BQ455" s="53">
        <f>IF(V455&lt;&gt;"",V455,U455)</f>
        <v/>
      </c>
      <c r="BR455" s="53">
        <f>IF(BQ455=1,"L1",IF(OR(BQ455=2,BQ455=3),"L23",IF(BQ455="Aussen","Aussen","-")))</f>
        <v/>
      </c>
      <c r="BS455" s="66">
        <f>IF(N(W455)&gt;0,W455,0)</f>
        <v/>
      </c>
      <c r="BT455" s="58">
        <f>IF(ISNUMBER(Z455),1,0)</f>
        <v/>
      </c>
      <c r="BU455" s="55">
        <f>N(Z455)</f>
        <v/>
      </c>
      <c r="BV455" s="55">
        <f>N(L455)+N(M455)</f>
        <v/>
      </c>
      <c r="BW455" s="55">
        <f>ROUNDUP(G455/BN455,0)</f>
        <v/>
      </c>
      <c r="BX455" s="55">
        <f>ROUNDUP(BU455/BN455,0)</f>
        <v/>
      </c>
      <c r="BY455" s="58">
        <f>IF(BO455=1,0,IFERROR(VLOOKUP(BM455,'Gebinde-Kategorie'!$A$5:$G$45,5,0)+0,0))</f>
        <v/>
      </c>
      <c r="BZ455" s="58">
        <f>IFERROR(IF(OR(BQ455=1,BQ455=2,BQ455=3),N(INDEX(Parameter!$I$5:$I$7,BQ455)),0),0)</f>
        <v/>
      </c>
    </row>
    <row r="456">
      <c r="A456" s="53" t="inlineStr">
        <is>
          <t>001158</t>
        </is>
      </c>
      <c r="B456" s="53" t="inlineStr">
        <is>
          <t>Industrie Etikett PVC, weiss 100x45mm</t>
        </is>
      </c>
      <c r="C456" s="53" t="inlineStr">
        <is>
          <t>F</t>
        </is>
      </c>
      <c r="D456" s="53" t="inlineStr">
        <is>
          <t>KTL</t>
        </is>
      </c>
      <c r="E456" s="53" t="inlineStr">
        <is>
          <t>C</t>
        </is>
      </c>
      <c r="F456" s="54" t="n">
        <v>53.1</v>
      </c>
      <c r="G456" s="55">
        <f>MAX(0,IF(Parameter!$B$20="Jahresanfang 2025 + Export",BG456+BF456,BF456))</f>
        <v/>
      </c>
      <c r="H456" s="55">
        <f>G456*F456</f>
        <v/>
      </c>
      <c r="I456" s="55">
        <f>BI456*Parameter!$B$18</f>
        <v/>
      </c>
      <c r="J456" s="56" t="n">
        <v>20</v>
      </c>
      <c r="K456" s="57" t="n">
        <v>0.05</v>
      </c>
      <c r="L456" s="55" t="n">
        <v>0</v>
      </c>
      <c r="M456" s="55" t="n">
        <v>1</v>
      </c>
      <c r="N456" s="58" t="n">
        <v>21</v>
      </c>
      <c r="O456" s="53" t="inlineStr">
        <is>
          <t>S21</t>
        </is>
      </c>
      <c r="P456" s="55" t="n">
        <v>100</v>
      </c>
      <c r="Q456" s="59">
        <f>IF(BO456=1,0,IFERROR(VLOOKUP(BM456,'Gebinde-Kategorie'!$A$5:$G$45,6,0)+0,0))</f>
        <v/>
      </c>
      <c r="R456" s="60" t="n"/>
      <c r="S456" s="61" t="n"/>
      <c r="T456" s="61" t="n"/>
      <c r="U456" s="53">
        <f>IF(A456="","",IF(IFERROR(VLOOKUP(D456,Parameter!$A$35:$C$64,2,0),"Nein")="2+3",IF(ISNUMBER(SEARCH("grosser Artikel",BJ456)),2,IFERROR(VLOOKUP(BM456,Parameter!$F$35:$G$64,2,0),2)),IF(OR(IFERROR(VLOOKUP(D456,Parameter!$A$35:$C$64,2,0),"Nein")="Nein",IFERROR(VLOOKUP(D456,Parameter!$A$35:$C$64,2,0),"Nein")=""),"-",VLOOKUP(D456,Parameter!$A$35:$C$64,2,0))))</f>
        <v/>
      </c>
      <c r="V456" s="61" t="n"/>
      <c r="W456" s="62" t="n"/>
      <c r="X456" s="55">
        <f>AM456</f>
        <v/>
      </c>
      <c r="Y456" s="55">
        <f>MAX(AM456,G456)</f>
        <v/>
      </c>
      <c r="Z456" s="63" t="n"/>
      <c r="AA456" s="55">
        <f>IF(LEFT(Cockpit!$C$5,1)="A",G456,IF(BT456=1,BU456,IF(LEFT(Cockpit!$C$5,1)="B",AE456,MAX(AE456,G456))))</f>
        <v/>
      </c>
      <c r="AB456" s="55">
        <f>IF(BO456=1,0,ROUNDUP(AA456/BN456,0))</f>
        <v/>
      </c>
      <c r="AC456" s="64">
        <f>IF(BO456=1,IF(AA456&lt;=0,0,BP456*MAX(1,IF(G456&gt;0,AA456/G456,1))),AB456*Q456)</f>
        <v/>
      </c>
      <c r="AD456" s="55">
        <f>AA456*F456</f>
        <v/>
      </c>
      <c r="AE456" s="55">
        <f>ROUNDUP(MAX(I456/IF(BS456&gt;0,BS456,MAX(0.1,N(Cockpit!$C$6))),BV456)/BN456,0)*BN456</f>
        <v/>
      </c>
      <c r="AF456" s="56">
        <f>IF(AC456&gt;0,I456/AC456,-1)</f>
        <v/>
      </c>
      <c r="AG456" s="56">
        <f>IF(AND(OR(BR456="L1",BR456="L23"),AC456&gt;0),SUMIFS($AC$7:$AC$1570,$BR$7:$BR$1570,BR456,$AF$7:$AF$1570,"&gt;"&amp;AF456)+SUMIFS($AC$7:$AC$1570,$BR$7:$BR$1570,BR456,$AF$7:$AF$1570,AF456,$BL$7:$BL$1570,"&lt;="&amp;BL456),"")</f>
        <v/>
      </c>
      <c r="AH456" s="65">
        <f>IF(AG456="",0,MAX(0,MIN(1,(IF(BR456="L1",Parameter!$K$5,Parameter!$K$6+Parameter!$K$7)-(AG456-AC456))/AC456)))</f>
        <v/>
      </c>
      <c r="AI456" s="55">
        <f>IF(LEFT(Cockpit!$I$5,1)="A",G456,IF(BT456=1,BU456,IF(LEFT(Cockpit!$I$5,1)="B",AM456,MAX(AM456,G456))))</f>
        <v/>
      </c>
      <c r="AJ456" s="55">
        <f>IF(BO456=1,0,ROUNDUP(AI456/BN456,0))</f>
        <v/>
      </c>
      <c r="AK456" s="64">
        <f>IF(BO456=1,IF(AI456&lt;=0,0,BP456*MAX(1,IF(G456&gt;0,AI456/G456,1))),AJ456*Q456)</f>
        <v/>
      </c>
      <c r="AL456" s="55">
        <f>AI456*F456</f>
        <v/>
      </c>
      <c r="AM456" s="55">
        <f>ROUNDUP(MAX(I456/IF(BS456&gt;0,BS456,MAX(0.1,N(Cockpit!$I$6))),BV456)/BN456,0)*BN456</f>
        <v/>
      </c>
      <c r="AN456" s="56">
        <f>IF(AK456&gt;0,I456/AK456,-1)</f>
        <v/>
      </c>
      <c r="AO456" s="56">
        <f>IF(AND(OR(BR456="L1",BR456="L23"),AK456&gt;0),SUMIFS($AK$7:$AK$1570,$BR$7:$BR$1570,BR456,$AN$7:$AN$1570,"&gt;"&amp;AN456)+SUMIFS($AK$7:$AK$1570,$BR$7:$BR$1570,BR456,$AN$7:$AN$1570,AN456,$BL$7:$BL$1570,"&lt;="&amp;BL456),"")</f>
        <v/>
      </c>
      <c r="AP456" s="65">
        <f>IF(AO456="",0,MAX(0,MIN(1,(IF(BR456="L1",Parameter!$K$5,Parameter!$K$6+Parameter!$K$7)-(AO456-AK456))/AK456)))</f>
        <v/>
      </c>
      <c r="AQ456" s="55">
        <f>IF(LEFT(Cockpit!$O$5,1)="A",G456,IF(BT456=1,BU456,IF(LEFT(Cockpit!$O$5,1)="B",AU456,MAX(AU456,G456))))</f>
        <v/>
      </c>
      <c r="AR456" s="55">
        <f>IF(BO456=1,0,ROUNDUP(AQ456/BN456,0))</f>
        <v/>
      </c>
      <c r="AS456" s="64">
        <f>IF(BO456=1,IF(AQ456&lt;=0,0,BP456*MAX(1,IF(G456&gt;0,AQ456/G456,1))),AR456*Q456)</f>
        <v/>
      </c>
      <c r="AT456" s="55">
        <f>AQ456*F456</f>
        <v/>
      </c>
      <c r="AU456" s="55">
        <f>ROUNDUP(MAX(I456/IF(BS456&gt;0,BS456,MAX(0.1,N(Cockpit!$O$6))),BV456)/BN456,0)*BN456</f>
        <v/>
      </c>
      <c r="AV456" s="56">
        <f>IF(AS456&gt;0,I456/AS456,-1)</f>
        <v/>
      </c>
      <c r="AW456" s="56">
        <f>IF(AND(OR(BR456="L1",BR456="L23"),AS456&gt;0),SUMIFS($AS$7:$AS$1570,$BR$7:$BR$1570,BR456,$AV$7:$AV$1570,"&gt;"&amp;AV456)+SUMIFS($AS$7:$AS$1570,$BR$7:$BR$1570,BR456,$AV$7:$AV$1570,AV456,$BL$7:$BL$1570,"&lt;="&amp;BL456),"")</f>
        <v/>
      </c>
      <c r="AX456" s="65">
        <f>IF(AW456="",0,MAX(0,MIN(1,(IF(BR456="L1",Parameter!$K$5,Parameter!$K$6+Parameter!$K$7)-(AW456-AS456))/AS456)))</f>
        <v/>
      </c>
      <c r="AY456" s="53">
        <f>IF(AC456&lt;=0,"",IF(BR456="Aussen","Aussenlager",IF(BR456="-","Nicht im Lift",IF(AH456&gt;=1,"Lift",IF(AH456&lt;=0,"Aussenlager","teilweise")))))</f>
        <v/>
      </c>
      <c r="AZ456" s="53">
        <f>IF(AK456&lt;=0,"",IF(BR456="Aussen","Aussenlager",IF(BR456="-","Nicht im Lift",IF(AP456&gt;=1,"Lift",IF(AP456&lt;=0,"Aussenlager","teilweise")))))</f>
        <v/>
      </c>
      <c r="BA456" s="53">
        <f>IF(AS456&lt;=0,"",IF(BR456="Aussen","Aussenlager",IF(BR456="-","Nicht im Lift",IF(AX456&gt;=1,"Lift",IF(AX456&lt;=0,"Aussenlager","teilweise")))))</f>
        <v/>
      </c>
      <c r="BB456" s="53">
        <f>IF(A456="","",IF(BK456=1,"Neu; ","")&amp;IF(AND(BK456=0,BF456&lt;0),"negativer Bestand (Export "&amp;BF456&amp;"); ","")&amp;IF(I456&lt;=0,"Kein Verbrauch; ","")&amp;IF(BO456=1,"Lose – Fläche geschätzt; ","")&amp;IF(G456&gt;AM456,"Überbestand "&amp;ROUND(G456-AM456,0)&amp;" Stk / CHF "&amp;ROUND((G456-AM456)*F456,0)&amp;"; ","")&amp;IF(AND(BT456=1,BU456&lt;BV456),"MAX &lt; MB+LG; ","")&amp;IF(AND(BZ456&gt;0,BY456*10&gt;BZ456),"zu hoch für Tablar; ","")&amp;IF(AND(BK456=0,OR(BT456=1,V456&lt;&gt;"",S456&lt;&gt;"",T456&lt;&gt;"",W456&lt;&gt;"")),"manuell übersteuert; ","")&amp;IF(AND(BO456=0,Q456=0),"Gebinde unbekannt; ","")&amp;IF(AND(BO456=0,N(T456)&lt;=0,N(P456)&lt;=0),"Menge pro Gebinde fehlt (Ist = 1 Gebinde); ","")&amp;BJ456)</f>
        <v/>
      </c>
      <c r="BC456" s="53" t="n"/>
      <c r="BD456" s="53" t="n"/>
      <c r="BE456" s="61" t="n"/>
      <c r="BF456" s="55" t="n">
        <v>0</v>
      </c>
      <c r="BG456" s="55" t="n">
        <v>20</v>
      </c>
      <c r="BH456" s="54" t="n">
        <v>61</v>
      </c>
      <c r="BI456" s="55" t="n">
        <v>1</v>
      </c>
      <c r="BJ456" s="53" t="inlineStr">
        <is>
          <t>Verb.Lager</t>
        </is>
      </c>
      <c r="BK456" s="58" t="n">
        <v>0</v>
      </c>
      <c r="BL456" s="58" t="n">
        <v>456</v>
      </c>
      <c r="BM456" s="53">
        <f>IF(S456&lt;&gt;"",UPPER(TRIM(S456)),IF(O456="","LOSE",O456))</f>
        <v/>
      </c>
      <c r="BN456" s="55">
        <f>IF(BM456="LOSE",1,IF(N(T456)&gt;0,T456,IF(N(P456)&gt;0,P456,MAX(1,G456))))</f>
        <v/>
      </c>
      <c r="BO456" s="58">
        <f>IF(BM456="LOSE",1,0)</f>
        <v/>
      </c>
      <c r="BP456" s="64">
        <f>IF(BO456=0,0,IF(N(R456)&gt;0,R456,IFERROR(VLOOKUP(D456,Parameter!$A$35:$C$64,3,0)+0,0)))</f>
        <v/>
      </c>
      <c r="BQ456" s="53">
        <f>IF(V456&lt;&gt;"",V456,U456)</f>
        <v/>
      </c>
      <c r="BR456" s="53">
        <f>IF(BQ456=1,"L1",IF(OR(BQ456=2,BQ456=3),"L23",IF(BQ456="Aussen","Aussen","-")))</f>
        <v/>
      </c>
      <c r="BS456" s="66">
        <f>IF(N(W456)&gt;0,W456,0)</f>
        <v/>
      </c>
      <c r="BT456" s="58">
        <f>IF(ISNUMBER(Z456),1,0)</f>
        <v/>
      </c>
      <c r="BU456" s="55">
        <f>N(Z456)</f>
        <v/>
      </c>
      <c r="BV456" s="55">
        <f>N(L456)+N(M456)</f>
        <v/>
      </c>
      <c r="BW456" s="55">
        <f>ROUNDUP(G456/BN456,0)</f>
        <v/>
      </c>
      <c r="BX456" s="55">
        <f>ROUNDUP(BU456/BN456,0)</f>
        <v/>
      </c>
      <c r="BY456" s="58">
        <f>IF(BO456=1,0,IFERROR(VLOOKUP(BM456,'Gebinde-Kategorie'!$A$5:$G$45,5,0)+0,0))</f>
        <v/>
      </c>
      <c r="BZ456" s="58">
        <f>IFERROR(IF(OR(BQ456=1,BQ456=2,BQ456=3),N(INDEX(Parameter!$I$5:$I$7,BQ456)),0),0)</f>
        <v/>
      </c>
    </row>
    <row r="457">
      <c r="A457" s="53" t="inlineStr">
        <is>
          <t>108698</t>
        </is>
      </c>
      <c r="B457" s="53" t="inlineStr">
        <is>
          <t>Schwenkstutzen</t>
        </is>
      </c>
      <c r="C457" s="53" t="inlineStr">
        <is>
          <t>F</t>
        </is>
      </c>
      <c r="D457" s="53" t="inlineStr">
        <is>
          <t>KTL</t>
        </is>
      </c>
      <c r="E457" s="53" t="inlineStr">
        <is>
          <t>C</t>
        </is>
      </c>
      <c r="F457" s="54" t="n">
        <v>24.9</v>
      </c>
      <c r="G457" s="55">
        <f>MAX(0,IF(Parameter!$B$20="Jahresanfang 2025 + Export",BG457+BF457,BF457))</f>
        <v/>
      </c>
      <c r="H457" s="55">
        <f>G457*F457</f>
        <v/>
      </c>
      <c r="I457" s="55">
        <f>BI457*Parameter!$B$18</f>
        <v/>
      </c>
      <c r="J457" s="56" t="n">
        <v>3</v>
      </c>
      <c r="K457" s="57" t="n">
        <v>0.3333333333333333</v>
      </c>
      <c r="L457" s="55" t="n">
        <v>2</v>
      </c>
      <c r="M457" s="55" t="n">
        <v>1</v>
      </c>
      <c r="N457" s="58" t="n">
        <v>28</v>
      </c>
      <c r="O457" s="53" t="inlineStr">
        <is>
          <t>S51</t>
        </is>
      </c>
      <c r="P457" s="55" t="n">
        <v>4</v>
      </c>
      <c r="Q457" s="59">
        <f>IF(BO457=1,0,IFERROR(VLOOKUP(BM457,'Gebinde-Kategorie'!$A$5:$G$45,6,0)+0,0))</f>
        <v/>
      </c>
      <c r="R457" s="60" t="n"/>
      <c r="S457" s="61" t="n"/>
      <c r="T457" s="61" t="n"/>
      <c r="U457" s="53">
        <f>IF(A457="","",IF(IFERROR(VLOOKUP(D457,Parameter!$A$35:$C$64,2,0),"Nein")="2+3",IF(ISNUMBER(SEARCH("grosser Artikel",BJ457)),2,IFERROR(VLOOKUP(BM457,Parameter!$F$35:$G$64,2,0),2)),IF(OR(IFERROR(VLOOKUP(D457,Parameter!$A$35:$C$64,2,0),"Nein")="Nein",IFERROR(VLOOKUP(D457,Parameter!$A$35:$C$64,2,0),"Nein")=""),"-",VLOOKUP(D457,Parameter!$A$35:$C$64,2,0))))</f>
        <v/>
      </c>
      <c r="V457" s="61" t="n"/>
      <c r="W457" s="62" t="n"/>
      <c r="X457" s="55">
        <f>AM457</f>
        <v/>
      </c>
      <c r="Y457" s="55">
        <f>MAX(AM457,G457)</f>
        <v/>
      </c>
      <c r="Z457" s="63" t="n"/>
      <c r="AA457" s="55">
        <f>IF(LEFT(Cockpit!$C$5,1)="A",G457,IF(BT457=1,BU457,IF(LEFT(Cockpit!$C$5,1)="B",AE457,MAX(AE457,G457))))</f>
        <v/>
      </c>
      <c r="AB457" s="55">
        <f>IF(BO457=1,0,ROUNDUP(AA457/BN457,0))</f>
        <v/>
      </c>
      <c r="AC457" s="64">
        <f>IF(BO457=1,IF(AA457&lt;=0,0,BP457*MAX(1,IF(G457&gt;0,AA457/G457,1))),AB457*Q457)</f>
        <v/>
      </c>
      <c r="AD457" s="55">
        <f>AA457*F457</f>
        <v/>
      </c>
      <c r="AE457" s="55">
        <f>ROUNDUP(MAX(I457/IF(BS457&gt;0,BS457,MAX(0.1,N(Cockpit!$C$6))),BV457)/BN457,0)*BN457</f>
        <v/>
      </c>
      <c r="AF457" s="56">
        <f>IF(AC457&gt;0,I457/AC457,-1)</f>
        <v/>
      </c>
      <c r="AG457" s="56">
        <f>IF(AND(OR(BR457="L1",BR457="L23"),AC457&gt;0),SUMIFS($AC$7:$AC$1570,$BR$7:$BR$1570,BR457,$AF$7:$AF$1570,"&gt;"&amp;AF457)+SUMIFS($AC$7:$AC$1570,$BR$7:$BR$1570,BR457,$AF$7:$AF$1570,AF457,$BL$7:$BL$1570,"&lt;="&amp;BL457),"")</f>
        <v/>
      </c>
      <c r="AH457" s="65">
        <f>IF(AG457="",0,MAX(0,MIN(1,(IF(BR457="L1",Parameter!$K$5,Parameter!$K$6+Parameter!$K$7)-(AG457-AC457))/AC457)))</f>
        <v/>
      </c>
      <c r="AI457" s="55">
        <f>IF(LEFT(Cockpit!$I$5,1)="A",G457,IF(BT457=1,BU457,IF(LEFT(Cockpit!$I$5,1)="B",AM457,MAX(AM457,G457))))</f>
        <v/>
      </c>
      <c r="AJ457" s="55">
        <f>IF(BO457=1,0,ROUNDUP(AI457/BN457,0))</f>
        <v/>
      </c>
      <c r="AK457" s="64">
        <f>IF(BO457=1,IF(AI457&lt;=0,0,BP457*MAX(1,IF(G457&gt;0,AI457/G457,1))),AJ457*Q457)</f>
        <v/>
      </c>
      <c r="AL457" s="55">
        <f>AI457*F457</f>
        <v/>
      </c>
      <c r="AM457" s="55">
        <f>ROUNDUP(MAX(I457/IF(BS457&gt;0,BS457,MAX(0.1,N(Cockpit!$I$6))),BV457)/BN457,0)*BN457</f>
        <v/>
      </c>
      <c r="AN457" s="56">
        <f>IF(AK457&gt;0,I457/AK457,-1)</f>
        <v/>
      </c>
      <c r="AO457" s="56">
        <f>IF(AND(OR(BR457="L1",BR457="L23"),AK457&gt;0),SUMIFS($AK$7:$AK$1570,$BR$7:$BR$1570,BR457,$AN$7:$AN$1570,"&gt;"&amp;AN457)+SUMIFS($AK$7:$AK$1570,$BR$7:$BR$1570,BR457,$AN$7:$AN$1570,AN457,$BL$7:$BL$1570,"&lt;="&amp;BL457),"")</f>
        <v/>
      </c>
      <c r="AP457" s="65">
        <f>IF(AO457="",0,MAX(0,MIN(1,(IF(BR457="L1",Parameter!$K$5,Parameter!$K$6+Parameter!$K$7)-(AO457-AK457))/AK457)))</f>
        <v/>
      </c>
      <c r="AQ457" s="55">
        <f>IF(LEFT(Cockpit!$O$5,1)="A",G457,IF(BT457=1,BU457,IF(LEFT(Cockpit!$O$5,1)="B",AU457,MAX(AU457,G457))))</f>
        <v/>
      </c>
      <c r="AR457" s="55">
        <f>IF(BO457=1,0,ROUNDUP(AQ457/BN457,0))</f>
        <v/>
      </c>
      <c r="AS457" s="64">
        <f>IF(BO457=1,IF(AQ457&lt;=0,0,BP457*MAX(1,IF(G457&gt;0,AQ457/G457,1))),AR457*Q457)</f>
        <v/>
      </c>
      <c r="AT457" s="55">
        <f>AQ457*F457</f>
        <v/>
      </c>
      <c r="AU457" s="55">
        <f>ROUNDUP(MAX(I457/IF(BS457&gt;0,BS457,MAX(0.1,N(Cockpit!$O$6))),BV457)/BN457,0)*BN457</f>
        <v/>
      </c>
      <c r="AV457" s="56">
        <f>IF(AS457&gt;0,I457/AS457,-1)</f>
        <v/>
      </c>
      <c r="AW457" s="56">
        <f>IF(AND(OR(BR457="L1",BR457="L23"),AS457&gt;0),SUMIFS($AS$7:$AS$1570,$BR$7:$BR$1570,BR457,$AV$7:$AV$1570,"&gt;"&amp;AV457)+SUMIFS($AS$7:$AS$1570,$BR$7:$BR$1570,BR457,$AV$7:$AV$1570,AV457,$BL$7:$BL$1570,"&lt;="&amp;BL457),"")</f>
        <v/>
      </c>
      <c r="AX457" s="65">
        <f>IF(AW457="",0,MAX(0,MIN(1,(IF(BR457="L1",Parameter!$K$5,Parameter!$K$6+Parameter!$K$7)-(AW457-AS457))/AS457)))</f>
        <v/>
      </c>
      <c r="AY457" s="53">
        <f>IF(AC457&lt;=0,"",IF(BR457="Aussen","Aussenlager",IF(BR457="-","Nicht im Lift",IF(AH457&gt;=1,"Lift",IF(AH457&lt;=0,"Aussenlager","teilweise")))))</f>
        <v/>
      </c>
      <c r="AZ457" s="53">
        <f>IF(AK457&lt;=0,"",IF(BR457="Aussen","Aussenlager",IF(BR457="-","Nicht im Lift",IF(AP457&gt;=1,"Lift",IF(AP457&lt;=0,"Aussenlager","teilweise")))))</f>
        <v/>
      </c>
      <c r="BA457" s="53">
        <f>IF(AS457&lt;=0,"",IF(BR457="Aussen","Aussenlager",IF(BR457="-","Nicht im Lift",IF(AX457&gt;=1,"Lift",IF(AX457&lt;=0,"Aussenlager","teilweise")))))</f>
        <v/>
      </c>
      <c r="BB457" s="53">
        <f>IF(A457="","",IF(BK457=1,"Neu; ","")&amp;IF(AND(BK457=0,BF457&lt;0),"negativer Bestand (Export "&amp;BF457&amp;"); ","")&amp;IF(I457&lt;=0,"Kein Verbrauch; ","")&amp;IF(BO457=1,"Lose – Fläche geschätzt; ","")&amp;IF(G457&gt;AM457,"Überbestand "&amp;ROUND(G457-AM457,0)&amp;" Stk / CHF "&amp;ROUND((G457-AM457)*F457,0)&amp;"; ","")&amp;IF(AND(BT457=1,BU457&lt;BV457),"MAX &lt; MB+LG; ","")&amp;IF(AND(BZ457&gt;0,BY457*10&gt;BZ457),"zu hoch für Tablar; ","")&amp;IF(AND(BK457=0,OR(BT457=1,V457&lt;&gt;"",S457&lt;&gt;"",T457&lt;&gt;"",W457&lt;&gt;"")),"manuell übersteuert; ","")&amp;IF(AND(BO457=0,Q457=0),"Gebinde unbekannt; ","")&amp;IF(AND(BO457=0,N(T457)&lt;=0,N(P457)&lt;=0),"Menge pro Gebinde fehlt (Ist = 1 Gebinde); ","")&amp;BJ457)</f>
        <v/>
      </c>
      <c r="BC457" s="53" t="n"/>
      <c r="BD457" s="53" t="n"/>
      <c r="BE457" s="61" t="n"/>
      <c r="BF457" s="55" t="n">
        <v>2</v>
      </c>
      <c r="BG457" s="55" t="n">
        <v>3</v>
      </c>
      <c r="BH457" s="54" t="n">
        <v>60.28999999999999</v>
      </c>
      <c r="BI457" s="55" t="n">
        <v>1</v>
      </c>
      <c r="BJ457" s="53" t="inlineStr">
        <is>
          <t>Neu</t>
        </is>
      </c>
      <c r="BK457" s="58" t="n">
        <v>0</v>
      </c>
      <c r="BL457" s="58" t="n">
        <v>457</v>
      </c>
      <c r="BM457" s="53">
        <f>IF(S457&lt;&gt;"",UPPER(TRIM(S457)),IF(O457="","LOSE",O457))</f>
        <v/>
      </c>
      <c r="BN457" s="55">
        <f>IF(BM457="LOSE",1,IF(N(T457)&gt;0,T457,IF(N(P457)&gt;0,P457,MAX(1,G457))))</f>
        <v/>
      </c>
      <c r="BO457" s="58">
        <f>IF(BM457="LOSE",1,0)</f>
        <v/>
      </c>
      <c r="BP457" s="64">
        <f>IF(BO457=0,0,IF(N(R457)&gt;0,R457,IFERROR(VLOOKUP(D457,Parameter!$A$35:$C$64,3,0)+0,0)))</f>
        <v/>
      </c>
      <c r="BQ457" s="53">
        <f>IF(V457&lt;&gt;"",V457,U457)</f>
        <v/>
      </c>
      <c r="BR457" s="53">
        <f>IF(BQ457=1,"L1",IF(OR(BQ457=2,BQ457=3),"L23",IF(BQ457="Aussen","Aussen","-")))</f>
        <v/>
      </c>
      <c r="BS457" s="66">
        <f>IF(N(W457)&gt;0,W457,0)</f>
        <v/>
      </c>
      <c r="BT457" s="58">
        <f>IF(ISNUMBER(Z457),1,0)</f>
        <v/>
      </c>
      <c r="BU457" s="55">
        <f>N(Z457)</f>
        <v/>
      </c>
      <c r="BV457" s="55">
        <f>N(L457)+N(M457)</f>
        <v/>
      </c>
      <c r="BW457" s="55">
        <f>ROUNDUP(G457/BN457,0)</f>
        <v/>
      </c>
      <c r="BX457" s="55">
        <f>ROUNDUP(BU457/BN457,0)</f>
        <v/>
      </c>
      <c r="BY457" s="58">
        <f>IF(BO457=1,0,IFERROR(VLOOKUP(BM457,'Gebinde-Kategorie'!$A$5:$G$45,5,0)+0,0))</f>
        <v/>
      </c>
      <c r="BZ457" s="58">
        <f>IFERROR(IF(OR(BQ457=1,BQ457=2,BQ457=3),N(INDEX(Parameter!$I$5:$I$7,BQ457)),0),0)</f>
        <v/>
      </c>
    </row>
    <row r="458">
      <c r="A458" s="53" t="inlineStr">
        <is>
          <t>005140</t>
        </is>
      </c>
      <c r="B458" s="53" t="inlineStr">
        <is>
          <t>Leuchtdrucktaster</t>
        </is>
      </c>
      <c r="C458" s="53" t="inlineStr">
        <is>
          <t>F</t>
        </is>
      </c>
      <c r="D458" s="53" t="inlineStr">
        <is>
          <t>KTL</t>
        </is>
      </c>
      <c r="E458" s="53" t="inlineStr">
        <is>
          <t>C</t>
        </is>
      </c>
      <c r="F458" s="54" t="n">
        <v>29.6</v>
      </c>
      <c r="G458" s="55">
        <f>MAX(0,IF(Parameter!$B$20="Jahresanfang 2025 + Export",BG458+BF458,BF458))</f>
        <v/>
      </c>
      <c r="H458" s="55">
        <f>G458*F458</f>
        <v/>
      </c>
      <c r="I458" s="55">
        <f>BI458*Parameter!$B$18</f>
        <v/>
      </c>
      <c r="J458" s="56" t="n">
        <v>12.5</v>
      </c>
      <c r="K458" s="57" t="n">
        <v>0</v>
      </c>
      <c r="L458" s="55" t="n">
        <v>0</v>
      </c>
      <c r="M458" s="55" t="n">
        <v>1</v>
      </c>
      <c r="N458" s="58" t="n">
        <v>14</v>
      </c>
      <c r="O458" s="53" t="inlineStr">
        <is>
          <t>S33</t>
        </is>
      </c>
      <c r="P458" s="55" t="n">
        <v>16</v>
      </c>
      <c r="Q458" s="59">
        <f>IF(BO458=1,0,IFERROR(VLOOKUP(BM458,'Gebinde-Kategorie'!$A$5:$G$45,6,0)+0,0))</f>
        <v/>
      </c>
      <c r="R458" s="60" t="n"/>
      <c r="S458" s="61" t="n"/>
      <c r="T458" s="61" t="n"/>
      <c r="U458" s="53">
        <f>IF(A458="","",IF(IFERROR(VLOOKUP(D458,Parameter!$A$35:$C$64,2,0),"Nein")="2+3",IF(ISNUMBER(SEARCH("grosser Artikel",BJ458)),2,IFERROR(VLOOKUP(BM458,Parameter!$F$35:$G$64,2,0),2)),IF(OR(IFERROR(VLOOKUP(D458,Parameter!$A$35:$C$64,2,0),"Nein")="Nein",IFERROR(VLOOKUP(D458,Parameter!$A$35:$C$64,2,0),"Nein")=""),"-",VLOOKUP(D458,Parameter!$A$35:$C$64,2,0))))</f>
        <v/>
      </c>
      <c r="V458" s="61" t="n"/>
      <c r="W458" s="62" t="n"/>
      <c r="X458" s="55">
        <f>AM458</f>
        <v/>
      </c>
      <c r="Y458" s="55">
        <f>MAX(AM458,G458)</f>
        <v/>
      </c>
      <c r="Z458" s="63" t="n"/>
      <c r="AA458" s="55">
        <f>IF(LEFT(Cockpit!$C$5,1)="A",G458,IF(BT458=1,BU458,IF(LEFT(Cockpit!$C$5,1)="B",AE458,MAX(AE458,G458))))</f>
        <v/>
      </c>
      <c r="AB458" s="55">
        <f>IF(BO458=1,0,ROUNDUP(AA458/BN458,0))</f>
        <v/>
      </c>
      <c r="AC458" s="64">
        <f>IF(BO458=1,IF(AA458&lt;=0,0,BP458*MAX(1,IF(G458&gt;0,AA458/G458,1))),AB458*Q458)</f>
        <v/>
      </c>
      <c r="AD458" s="55">
        <f>AA458*F458</f>
        <v/>
      </c>
      <c r="AE458" s="55">
        <f>ROUNDUP(MAX(I458/IF(BS458&gt;0,BS458,MAX(0.1,N(Cockpit!$C$6))),BV458)/BN458,0)*BN458</f>
        <v/>
      </c>
      <c r="AF458" s="56">
        <f>IF(AC458&gt;0,I458/AC458,-1)</f>
        <v/>
      </c>
      <c r="AG458" s="56">
        <f>IF(AND(OR(BR458="L1",BR458="L23"),AC458&gt;0),SUMIFS($AC$7:$AC$1570,$BR$7:$BR$1570,BR458,$AF$7:$AF$1570,"&gt;"&amp;AF458)+SUMIFS($AC$7:$AC$1570,$BR$7:$BR$1570,BR458,$AF$7:$AF$1570,AF458,$BL$7:$BL$1570,"&lt;="&amp;BL458),"")</f>
        <v/>
      </c>
      <c r="AH458" s="65">
        <f>IF(AG458="",0,MAX(0,MIN(1,(IF(BR458="L1",Parameter!$K$5,Parameter!$K$6+Parameter!$K$7)-(AG458-AC458))/AC458)))</f>
        <v/>
      </c>
      <c r="AI458" s="55">
        <f>IF(LEFT(Cockpit!$I$5,1)="A",G458,IF(BT458=1,BU458,IF(LEFT(Cockpit!$I$5,1)="B",AM458,MAX(AM458,G458))))</f>
        <v/>
      </c>
      <c r="AJ458" s="55">
        <f>IF(BO458=1,0,ROUNDUP(AI458/BN458,0))</f>
        <v/>
      </c>
      <c r="AK458" s="64">
        <f>IF(BO458=1,IF(AI458&lt;=0,0,BP458*MAX(1,IF(G458&gt;0,AI458/G458,1))),AJ458*Q458)</f>
        <v/>
      </c>
      <c r="AL458" s="55">
        <f>AI458*F458</f>
        <v/>
      </c>
      <c r="AM458" s="55">
        <f>ROUNDUP(MAX(I458/IF(BS458&gt;0,BS458,MAX(0.1,N(Cockpit!$I$6))),BV458)/BN458,0)*BN458</f>
        <v/>
      </c>
      <c r="AN458" s="56">
        <f>IF(AK458&gt;0,I458/AK458,-1)</f>
        <v/>
      </c>
      <c r="AO458" s="56">
        <f>IF(AND(OR(BR458="L1",BR458="L23"),AK458&gt;0),SUMIFS($AK$7:$AK$1570,$BR$7:$BR$1570,BR458,$AN$7:$AN$1570,"&gt;"&amp;AN458)+SUMIFS($AK$7:$AK$1570,$BR$7:$BR$1570,BR458,$AN$7:$AN$1570,AN458,$BL$7:$BL$1570,"&lt;="&amp;BL458),"")</f>
        <v/>
      </c>
      <c r="AP458" s="65">
        <f>IF(AO458="",0,MAX(0,MIN(1,(IF(BR458="L1",Parameter!$K$5,Parameter!$K$6+Parameter!$K$7)-(AO458-AK458))/AK458)))</f>
        <v/>
      </c>
      <c r="AQ458" s="55">
        <f>IF(LEFT(Cockpit!$O$5,1)="A",G458,IF(BT458=1,BU458,IF(LEFT(Cockpit!$O$5,1)="B",AU458,MAX(AU458,G458))))</f>
        <v/>
      </c>
      <c r="AR458" s="55">
        <f>IF(BO458=1,0,ROUNDUP(AQ458/BN458,0))</f>
        <v/>
      </c>
      <c r="AS458" s="64">
        <f>IF(BO458=1,IF(AQ458&lt;=0,0,BP458*MAX(1,IF(G458&gt;0,AQ458/G458,1))),AR458*Q458)</f>
        <v/>
      </c>
      <c r="AT458" s="55">
        <f>AQ458*F458</f>
        <v/>
      </c>
      <c r="AU458" s="55">
        <f>ROUNDUP(MAX(I458/IF(BS458&gt;0,BS458,MAX(0.1,N(Cockpit!$O$6))),BV458)/BN458,0)*BN458</f>
        <v/>
      </c>
      <c r="AV458" s="56">
        <f>IF(AS458&gt;0,I458/AS458,-1)</f>
        <v/>
      </c>
      <c r="AW458" s="56">
        <f>IF(AND(OR(BR458="L1",BR458="L23"),AS458&gt;0),SUMIFS($AS$7:$AS$1570,$BR$7:$BR$1570,BR458,$AV$7:$AV$1570,"&gt;"&amp;AV458)+SUMIFS($AS$7:$AS$1570,$BR$7:$BR$1570,BR458,$AV$7:$AV$1570,AV458,$BL$7:$BL$1570,"&lt;="&amp;BL458),"")</f>
        <v/>
      </c>
      <c r="AX458" s="65">
        <f>IF(AW458="",0,MAX(0,MIN(1,(IF(BR458="L1",Parameter!$K$5,Parameter!$K$6+Parameter!$K$7)-(AW458-AS458))/AS458)))</f>
        <v/>
      </c>
      <c r="AY458" s="53">
        <f>IF(AC458&lt;=0,"",IF(BR458="Aussen","Aussenlager",IF(BR458="-","Nicht im Lift",IF(AH458&gt;=1,"Lift",IF(AH458&lt;=0,"Aussenlager","teilweise")))))</f>
        <v/>
      </c>
      <c r="AZ458" s="53">
        <f>IF(AK458&lt;=0,"",IF(BR458="Aussen","Aussenlager",IF(BR458="-","Nicht im Lift",IF(AP458&gt;=1,"Lift",IF(AP458&lt;=0,"Aussenlager","teilweise")))))</f>
        <v/>
      </c>
      <c r="BA458" s="53">
        <f>IF(AS458&lt;=0,"",IF(BR458="Aussen","Aussenlager",IF(BR458="-","Nicht im Lift",IF(AX458&gt;=1,"Lift",IF(AX458&lt;=0,"Aussenlager","teilweise")))))</f>
        <v/>
      </c>
      <c r="BB458" s="53">
        <f>IF(A458="","",IF(BK458=1,"Neu; ","")&amp;IF(AND(BK458=0,BF458&lt;0),"negativer Bestand (Export "&amp;BF458&amp;"); ","")&amp;IF(I458&lt;=0,"Kein Verbrauch; ","")&amp;IF(BO458=1,"Lose – Fläche geschätzt; ","")&amp;IF(G458&gt;AM458,"Überbestand "&amp;ROUND(G458-AM458,0)&amp;" Stk / CHF "&amp;ROUND((G458-AM458)*F458,0)&amp;"; ","")&amp;IF(AND(BT458=1,BU458&lt;BV458),"MAX &lt; MB+LG; ","")&amp;IF(AND(BZ458&gt;0,BY458*10&gt;BZ458),"zu hoch für Tablar; ","")&amp;IF(AND(BK458=0,OR(BT458=1,V458&lt;&gt;"",S458&lt;&gt;"",T458&lt;&gt;"",W458&lt;&gt;"")),"manuell übersteuert; ","")&amp;IF(AND(BO458=0,Q458=0),"Gebinde unbekannt; ","")&amp;IF(AND(BO458=0,N(T458)&lt;=0,N(P458)&lt;=0),"Menge pro Gebinde fehlt (Ist = 1 Gebinde); ","")&amp;BJ458)</f>
        <v/>
      </c>
      <c r="BC458" s="53" t="n"/>
      <c r="BD458" s="53" t="n"/>
      <c r="BE458" s="61" t="n"/>
      <c r="BF458" s="55" t="n">
        <v>2</v>
      </c>
      <c r="BG458" s="55" t="n">
        <v>12</v>
      </c>
      <c r="BH458" s="54" t="n">
        <v>59.2</v>
      </c>
      <c r="BI458" s="55" t="n">
        <v>0</v>
      </c>
      <c r="BJ458" s="53" t="inlineStr">
        <is>
          <t>Überbestand</t>
        </is>
      </c>
      <c r="BK458" s="58" t="n">
        <v>0</v>
      </c>
      <c r="BL458" s="58" t="n">
        <v>458</v>
      </c>
      <c r="BM458" s="53">
        <f>IF(S458&lt;&gt;"",UPPER(TRIM(S458)),IF(O458="","LOSE",O458))</f>
        <v/>
      </c>
      <c r="BN458" s="55">
        <f>IF(BM458="LOSE",1,IF(N(T458)&gt;0,T458,IF(N(P458)&gt;0,P458,MAX(1,G458))))</f>
        <v/>
      </c>
      <c r="BO458" s="58">
        <f>IF(BM458="LOSE",1,0)</f>
        <v/>
      </c>
      <c r="BP458" s="64">
        <f>IF(BO458=0,0,IF(N(R458)&gt;0,R458,IFERROR(VLOOKUP(D458,Parameter!$A$35:$C$64,3,0)+0,0)))</f>
        <v/>
      </c>
      <c r="BQ458" s="53">
        <f>IF(V458&lt;&gt;"",V458,U458)</f>
        <v/>
      </c>
      <c r="BR458" s="53">
        <f>IF(BQ458=1,"L1",IF(OR(BQ458=2,BQ458=3),"L23",IF(BQ458="Aussen","Aussen","-")))</f>
        <v/>
      </c>
      <c r="BS458" s="66">
        <f>IF(N(W458)&gt;0,W458,0)</f>
        <v/>
      </c>
      <c r="BT458" s="58">
        <f>IF(ISNUMBER(Z458),1,0)</f>
        <v/>
      </c>
      <c r="BU458" s="55">
        <f>N(Z458)</f>
        <v/>
      </c>
      <c r="BV458" s="55">
        <f>N(L458)+N(M458)</f>
        <v/>
      </c>
      <c r="BW458" s="55">
        <f>ROUNDUP(G458/BN458,0)</f>
        <v/>
      </c>
      <c r="BX458" s="55">
        <f>ROUNDUP(BU458/BN458,0)</f>
        <v/>
      </c>
      <c r="BY458" s="58">
        <f>IF(BO458=1,0,IFERROR(VLOOKUP(BM458,'Gebinde-Kategorie'!$A$5:$G$45,5,0)+0,0))</f>
        <v/>
      </c>
      <c r="BZ458" s="58">
        <f>IFERROR(IF(OR(BQ458=1,BQ458=2,BQ458=3),N(INDEX(Parameter!$I$5:$I$7,BQ458)),0),0)</f>
        <v/>
      </c>
    </row>
    <row r="459">
      <c r="A459" s="53" t="inlineStr">
        <is>
          <t>001153</t>
        </is>
      </c>
      <c r="B459" s="53" t="inlineStr">
        <is>
          <t>Kabelbinder transparent (weiss)</t>
        </is>
      </c>
      <c r="C459" s="53" t="inlineStr">
        <is>
          <t>F</t>
        </is>
      </c>
      <c r="D459" s="53" t="inlineStr">
        <is>
          <t>KTL</t>
        </is>
      </c>
      <c r="E459" s="53" t="inlineStr">
        <is>
          <t>C</t>
        </is>
      </c>
      <c r="F459" s="54" t="n">
        <v>0.09</v>
      </c>
      <c r="G459" s="55">
        <f>MAX(0,IF(Parameter!$B$20="Jahresanfang 2025 + Export",BG459+BF459,BF459))</f>
        <v/>
      </c>
      <c r="H459" s="55">
        <f>G459*F459</f>
        <v/>
      </c>
      <c r="I459" s="55">
        <f>BI459*Parameter!$B$18</f>
        <v/>
      </c>
      <c r="J459" s="56" t="n">
        <v>1405</v>
      </c>
      <c r="K459" s="57" t="n">
        <v>0.0711743772241993</v>
      </c>
      <c r="L459" s="55" t="n">
        <v>5</v>
      </c>
      <c r="M459" s="55" t="n">
        <v>100</v>
      </c>
      <c r="N459" s="58" t="n">
        <v>21</v>
      </c>
      <c r="O459" s="53" t="inlineStr">
        <is>
          <t>S51</t>
        </is>
      </c>
      <c r="P459" s="55" t="n">
        <v>2900</v>
      </c>
      <c r="Q459" s="59">
        <f>IF(BO459=1,0,IFERROR(VLOOKUP(BM459,'Gebinde-Kategorie'!$A$5:$G$45,6,0)+0,0))</f>
        <v/>
      </c>
      <c r="R459" s="60" t="n"/>
      <c r="S459" s="61" t="n"/>
      <c r="T459" s="61" t="n"/>
      <c r="U459" s="53">
        <f>IF(A459="","",IF(IFERROR(VLOOKUP(D459,Parameter!$A$35:$C$64,2,0),"Nein")="2+3",IF(ISNUMBER(SEARCH("grosser Artikel",BJ459)),2,IFERROR(VLOOKUP(BM459,Parameter!$F$35:$G$64,2,0),2)),IF(OR(IFERROR(VLOOKUP(D459,Parameter!$A$35:$C$64,2,0),"Nein")="Nein",IFERROR(VLOOKUP(D459,Parameter!$A$35:$C$64,2,0),"Nein")=""),"-",VLOOKUP(D459,Parameter!$A$35:$C$64,2,0))))</f>
        <v/>
      </c>
      <c r="V459" s="61" t="n"/>
      <c r="W459" s="62" t="n"/>
      <c r="X459" s="55">
        <f>AM459</f>
        <v/>
      </c>
      <c r="Y459" s="55">
        <f>MAX(AM459,G459)</f>
        <v/>
      </c>
      <c r="Z459" s="63" t="n"/>
      <c r="AA459" s="55">
        <f>IF(LEFT(Cockpit!$C$5,1)="A",G459,IF(BT459=1,BU459,IF(LEFT(Cockpit!$C$5,1)="B",AE459,MAX(AE459,G459))))</f>
        <v/>
      </c>
      <c r="AB459" s="55">
        <f>IF(BO459=1,0,ROUNDUP(AA459/BN459,0))</f>
        <v/>
      </c>
      <c r="AC459" s="64">
        <f>IF(BO459=1,IF(AA459&lt;=0,0,BP459*MAX(1,IF(G459&gt;0,AA459/G459,1))),AB459*Q459)</f>
        <v/>
      </c>
      <c r="AD459" s="55">
        <f>AA459*F459</f>
        <v/>
      </c>
      <c r="AE459" s="55">
        <f>ROUNDUP(MAX(I459/IF(BS459&gt;0,BS459,MAX(0.1,N(Cockpit!$C$6))),BV459)/BN459,0)*BN459</f>
        <v/>
      </c>
      <c r="AF459" s="56">
        <f>IF(AC459&gt;0,I459/AC459,-1)</f>
        <v/>
      </c>
      <c r="AG459" s="56">
        <f>IF(AND(OR(BR459="L1",BR459="L23"),AC459&gt;0),SUMIFS($AC$7:$AC$1570,$BR$7:$BR$1570,BR459,$AF$7:$AF$1570,"&gt;"&amp;AF459)+SUMIFS($AC$7:$AC$1570,$BR$7:$BR$1570,BR459,$AF$7:$AF$1570,AF459,$BL$7:$BL$1570,"&lt;="&amp;BL459),"")</f>
        <v/>
      </c>
      <c r="AH459" s="65">
        <f>IF(AG459="",0,MAX(0,MIN(1,(IF(BR459="L1",Parameter!$K$5,Parameter!$K$6+Parameter!$K$7)-(AG459-AC459))/AC459)))</f>
        <v/>
      </c>
      <c r="AI459" s="55">
        <f>IF(LEFT(Cockpit!$I$5,1)="A",G459,IF(BT459=1,BU459,IF(LEFT(Cockpit!$I$5,1)="B",AM459,MAX(AM459,G459))))</f>
        <v/>
      </c>
      <c r="AJ459" s="55">
        <f>IF(BO459=1,0,ROUNDUP(AI459/BN459,0))</f>
        <v/>
      </c>
      <c r="AK459" s="64">
        <f>IF(BO459=1,IF(AI459&lt;=0,0,BP459*MAX(1,IF(G459&gt;0,AI459/G459,1))),AJ459*Q459)</f>
        <v/>
      </c>
      <c r="AL459" s="55">
        <f>AI459*F459</f>
        <v/>
      </c>
      <c r="AM459" s="55">
        <f>ROUNDUP(MAX(I459/IF(BS459&gt;0,BS459,MAX(0.1,N(Cockpit!$I$6))),BV459)/BN459,0)*BN459</f>
        <v/>
      </c>
      <c r="AN459" s="56">
        <f>IF(AK459&gt;0,I459/AK459,-1)</f>
        <v/>
      </c>
      <c r="AO459" s="56">
        <f>IF(AND(OR(BR459="L1",BR459="L23"),AK459&gt;0),SUMIFS($AK$7:$AK$1570,$BR$7:$BR$1570,BR459,$AN$7:$AN$1570,"&gt;"&amp;AN459)+SUMIFS($AK$7:$AK$1570,$BR$7:$BR$1570,BR459,$AN$7:$AN$1570,AN459,$BL$7:$BL$1570,"&lt;="&amp;BL459),"")</f>
        <v/>
      </c>
      <c r="AP459" s="65">
        <f>IF(AO459="",0,MAX(0,MIN(1,(IF(BR459="L1",Parameter!$K$5,Parameter!$K$6+Parameter!$K$7)-(AO459-AK459))/AK459)))</f>
        <v/>
      </c>
      <c r="AQ459" s="55">
        <f>IF(LEFT(Cockpit!$O$5,1)="A",G459,IF(BT459=1,BU459,IF(LEFT(Cockpit!$O$5,1)="B",AU459,MAX(AU459,G459))))</f>
        <v/>
      </c>
      <c r="AR459" s="55">
        <f>IF(BO459=1,0,ROUNDUP(AQ459/BN459,0))</f>
        <v/>
      </c>
      <c r="AS459" s="64">
        <f>IF(BO459=1,IF(AQ459&lt;=0,0,BP459*MAX(1,IF(G459&gt;0,AQ459/G459,1))),AR459*Q459)</f>
        <v/>
      </c>
      <c r="AT459" s="55">
        <f>AQ459*F459</f>
        <v/>
      </c>
      <c r="AU459" s="55">
        <f>ROUNDUP(MAX(I459/IF(BS459&gt;0,BS459,MAX(0.1,N(Cockpit!$O$6))),BV459)/BN459,0)*BN459</f>
        <v/>
      </c>
      <c r="AV459" s="56">
        <f>IF(AS459&gt;0,I459/AS459,-1)</f>
        <v/>
      </c>
      <c r="AW459" s="56">
        <f>IF(AND(OR(BR459="L1",BR459="L23"),AS459&gt;0),SUMIFS($AS$7:$AS$1570,$BR$7:$BR$1570,BR459,$AV$7:$AV$1570,"&gt;"&amp;AV459)+SUMIFS($AS$7:$AS$1570,$BR$7:$BR$1570,BR459,$AV$7:$AV$1570,AV459,$BL$7:$BL$1570,"&lt;="&amp;BL459),"")</f>
        <v/>
      </c>
      <c r="AX459" s="65">
        <f>IF(AW459="",0,MAX(0,MIN(1,(IF(BR459="L1",Parameter!$K$5,Parameter!$K$6+Parameter!$K$7)-(AW459-AS459))/AS459)))</f>
        <v/>
      </c>
      <c r="AY459" s="53">
        <f>IF(AC459&lt;=0,"",IF(BR459="Aussen","Aussenlager",IF(BR459="-","Nicht im Lift",IF(AH459&gt;=1,"Lift",IF(AH459&lt;=0,"Aussenlager","teilweise")))))</f>
        <v/>
      </c>
      <c r="AZ459" s="53">
        <f>IF(AK459&lt;=0,"",IF(BR459="Aussen","Aussenlager",IF(BR459="-","Nicht im Lift",IF(AP459&gt;=1,"Lift",IF(AP459&lt;=0,"Aussenlager","teilweise")))))</f>
        <v/>
      </c>
      <c r="BA459" s="53">
        <f>IF(AS459&lt;=0,"",IF(BR459="Aussen","Aussenlager",IF(BR459="-","Nicht im Lift",IF(AX459&gt;=1,"Lift",IF(AX459&lt;=0,"Aussenlager","teilweise")))))</f>
        <v/>
      </c>
      <c r="BB459" s="53">
        <f>IF(A459="","",IF(BK459=1,"Neu; ","")&amp;IF(AND(BK459=0,BF459&lt;0),"negativer Bestand (Export "&amp;BF459&amp;"); ","")&amp;IF(I459&lt;=0,"Kein Verbrauch; ","")&amp;IF(BO459=1,"Lose – Fläche geschätzt; ","")&amp;IF(G459&gt;AM459,"Überbestand "&amp;ROUND(G459-AM459,0)&amp;" Stk / CHF "&amp;ROUND((G459-AM459)*F459,0)&amp;"; ","")&amp;IF(AND(BT459=1,BU459&lt;BV459),"MAX &lt; MB+LG; ","")&amp;IF(AND(BZ459&gt;0,BY459*10&gt;BZ459),"zu hoch für Tablar; ","")&amp;IF(AND(BK459=0,OR(BT459=1,V459&lt;&gt;"",S459&lt;&gt;"",T459&lt;&gt;"",W459&lt;&gt;"")),"manuell übersteuert; ","")&amp;IF(AND(BO459=0,Q459=0),"Gebinde unbekannt; ","")&amp;IF(AND(BO459=0,N(T459)&lt;=0,N(P459)&lt;=0),"Menge pro Gebinde fehlt (Ist = 1 Gebinde); ","")&amp;BJ459)</f>
        <v/>
      </c>
      <c r="BC459" s="53" t="n"/>
      <c r="BD459" s="53" t="n"/>
      <c r="BE459" s="61" t="n"/>
      <c r="BF459" s="55" t="n">
        <v>-349</v>
      </c>
      <c r="BG459" s="55" t="n">
        <v>1800</v>
      </c>
      <c r="BH459" s="54" t="n">
        <v>58.59</v>
      </c>
      <c r="BI459" s="55" t="n">
        <v>100</v>
      </c>
      <c r="BJ459" s="53" t="inlineStr">
        <is>
          <t>Verb.Lager</t>
        </is>
      </c>
      <c r="BK459" s="58" t="n">
        <v>0</v>
      </c>
      <c r="BL459" s="58" t="n">
        <v>459</v>
      </c>
      <c r="BM459" s="53">
        <f>IF(S459&lt;&gt;"",UPPER(TRIM(S459)),IF(O459="","LOSE",O459))</f>
        <v/>
      </c>
      <c r="BN459" s="55">
        <f>IF(BM459="LOSE",1,IF(N(T459)&gt;0,T459,IF(N(P459)&gt;0,P459,MAX(1,G459))))</f>
        <v/>
      </c>
      <c r="BO459" s="58">
        <f>IF(BM459="LOSE",1,0)</f>
        <v/>
      </c>
      <c r="BP459" s="64">
        <f>IF(BO459=0,0,IF(N(R459)&gt;0,R459,IFERROR(VLOOKUP(D459,Parameter!$A$35:$C$64,3,0)+0,0)))</f>
        <v/>
      </c>
      <c r="BQ459" s="53">
        <f>IF(V459&lt;&gt;"",V459,U459)</f>
        <v/>
      </c>
      <c r="BR459" s="53">
        <f>IF(BQ459=1,"L1",IF(OR(BQ459=2,BQ459=3),"L23",IF(BQ459="Aussen","Aussen","-")))</f>
        <v/>
      </c>
      <c r="BS459" s="66">
        <f>IF(N(W459)&gt;0,W459,0)</f>
        <v/>
      </c>
      <c r="BT459" s="58">
        <f>IF(ISNUMBER(Z459),1,0)</f>
        <v/>
      </c>
      <c r="BU459" s="55">
        <f>N(Z459)</f>
        <v/>
      </c>
      <c r="BV459" s="55">
        <f>N(L459)+N(M459)</f>
        <v/>
      </c>
      <c r="BW459" s="55">
        <f>ROUNDUP(G459/BN459,0)</f>
        <v/>
      </c>
      <c r="BX459" s="55">
        <f>ROUNDUP(BU459/BN459,0)</f>
        <v/>
      </c>
      <c r="BY459" s="58">
        <f>IF(BO459=1,0,IFERROR(VLOOKUP(BM459,'Gebinde-Kategorie'!$A$5:$G$45,5,0)+0,0))</f>
        <v/>
      </c>
      <c r="BZ459" s="58">
        <f>IFERROR(IF(OR(BQ459=1,BQ459=2,BQ459=3),N(INDEX(Parameter!$I$5:$I$7,BQ459)),0),0)</f>
        <v/>
      </c>
    </row>
    <row r="460">
      <c r="A460" s="53" t="inlineStr">
        <is>
          <t>106136</t>
        </is>
      </c>
      <c r="B460" s="53" t="inlineStr">
        <is>
          <t>Zylinderschraube mit Innensechskant</t>
        </is>
      </c>
      <c r="C460" s="53" t="inlineStr">
        <is>
          <t>F</t>
        </is>
      </c>
      <c r="D460" s="53" t="inlineStr">
        <is>
          <t>KTL</t>
        </is>
      </c>
      <c r="E460" s="53" t="inlineStr">
        <is>
          <t>C</t>
        </is>
      </c>
      <c r="F460" s="54" t="n">
        <v>0.13</v>
      </c>
      <c r="G460" s="55">
        <f>MAX(0,IF(Parameter!$B$20="Jahresanfang 2025 + Export",BG460+BF460,BF460))</f>
        <v/>
      </c>
      <c r="H460" s="55">
        <f>G460*F460</f>
        <v/>
      </c>
      <c r="I460" s="55">
        <f>BI460*Parameter!$B$18</f>
        <v/>
      </c>
      <c r="J460" s="56" t="n">
        <v>310</v>
      </c>
      <c r="K460" s="57" t="n">
        <v>4.651612903225806</v>
      </c>
      <c r="L460" s="55" t="n">
        <v>84</v>
      </c>
      <c r="M460" s="55" t="n">
        <v>500</v>
      </c>
      <c r="N460" s="58" t="n">
        <v>21</v>
      </c>
      <c r="O460" s="53" t="inlineStr">
        <is>
          <t>S51</t>
        </is>
      </c>
      <c r="P460" s="55" t="n">
        <v>271</v>
      </c>
      <c r="Q460" s="59">
        <f>IF(BO460=1,0,IFERROR(VLOOKUP(BM460,'Gebinde-Kategorie'!$A$5:$G$45,6,0)+0,0))</f>
        <v/>
      </c>
      <c r="R460" s="60" t="n"/>
      <c r="S460" s="61" t="n"/>
      <c r="T460" s="61" t="n"/>
      <c r="U460" s="53">
        <f>IF(A460="","",IF(IFERROR(VLOOKUP(D460,Parameter!$A$35:$C$64,2,0),"Nein")="2+3",IF(ISNUMBER(SEARCH("grosser Artikel",BJ460)),2,IFERROR(VLOOKUP(BM460,Parameter!$F$35:$G$64,2,0),2)),IF(OR(IFERROR(VLOOKUP(D460,Parameter!$A$35:$C$64,2,0),"Nein")="Nein",IFERROR(VLOOKUP(D460,Parameter!$A$35:$C$64,2,0),"Nein")=""),"-",VLOOKUP(D460,Parameter!$A$35:$C$64,2,0))))</f>
        <v/>
      </c>
      <c r="V460" s="61" t="n"/>
      <c r="W460" s="62" t="n"/>
      <c r="X460" s="55">
        <f>AM460</f>
        <v/>
      </c>
      <c r="Y460" s="55">
        <f>MAX(AM460,G460)</f>
        <v/>
      </c>
      <c r="Z460" s="63" t="n"/>
      <c r="AA460" s="55">
        <f>IF(LEFT(Cockpit!$C$5,1)="A",G460,IF(BT460=1,BU460,IF(LEFT(Cockpit!$C$5,1)="B",AE460,MAX(AE460,G460))))</f>
        <v/>
      </c>
      <c r="AB460" s="55">
        <f>IF(BO460=1,0,ROUNDUP(AA460/BN460,0))</f>
        <v/>
      </c>
      <c r="AC460" s="64">
        <f>IF(BO460=1,IF(AA460&lt;=0,0,BP460*MAX(1,IF(G460&gt;0,AA460/G460,1))),AB460*Q460)</f>
        <v/>
      </c>
      <c r="AD460" s="55">
        <f>AA460*F460</f>
        <v/>
      </c>
      <c r="AE460" s="55">
        <f>ROUNDUP(MAX(I460/IF(BS460&gt;0,BS460,MAX(0.1,N(Cockpit!$C$6))),BV460)/BN460,0)*BN460</f>
        <v/>
      </c>
      <c r="AF460" s="56">
        <f>IF(AC460&gt;0,I460/AC460,-1)</f>
        <v/>
      </c>
      <c r="AG460" s="56">
        <f>IF(AND(OR(BR460="L1",BR460="L23"),AC460&gt;0),SUMIFS($AC$7:$AC$1570,$BR$7:$BR$1570,BR460,$AF$7:$AF$1570,"&gt;"&amp;AF460)+SUMIFS($AC$7:$AC$1570,$BR$7:$BR$1570,BR460,$AF$7:$AF$1570,AF460,$BL$7:$BL$1570,"&lt;="&amp;BL460),"")</f>
        <v/>
      </c>
      <c r="AH460" s="65">
        <f>IF(AG460="",0,MAX(0,MIN(1,(IF(BR460="L1",Parameter!$K$5,Parameter!$K$6+Parameter!$K$7)-(AG460-AC460))/AC460)))</f>
        <v/>
      </c>
      <c r="AI460" s="55">
        <f>IF(LEFT(Cockpit!$I$5,1)="A",G460,IF(BT460=1,BU460,IF(LEFT(Cockpit!$I$5,1)="B",AM460,MAX(AM460,G460))))</f>
        <v/>
      </c>
      <c r="AJ460" s="55">
        <f>IF(BO460=1,0,ROUNDUP(AI460/BN460,0))</f>
        <v/>
      </c>
      <c r="AK460" s="64">
        <f>IF(BO460=1,IF(AI460&lt;=0,0,BP460*MAX(1,IF(G460&gt;0,AI460/G460,1))),AJ460*Q460)</f>
        <v/>
      </c>
      <c r="AL460" s="55">
        <f>AI460*F460</f>
        <v/>
      </c>
      <c r="AM460" s="55">
        <f>ROUNDUP(MAX(I460/IF(BS460&gt;0,BS460,MAX(0.1,N(Cockpit!$I$6))),BV460)/BN460,0)*BN460</f>
        <v/>
      </c>
      <c r="AN460" s="56">
        <f>IF(AK460&gt;0,I460/AK460,-1)</f>
        <v/>
      </c>
      <c r="AO460" s="56">
        <f>IF(AND(OR(BR460="L1",BR460="L23"),AK460&gt;0),SUMIFS($AK$7:$AK$1570,$BR$7:$BR$1570,BR460,$AN$7:$AN$1570,"&gt;"&amp;AN460)+SUMIFS($AK$7:$AK$1570,$BR$7:$BR$1570,BR460,$AN$7:$AN$1570,AN460,$BL$7:$BL$1570,"&lt;="&amp;BL460),"")</f>
        <v/>
      </c>
      <c r="AP460" s="65">
        <f>IF(AO460="",0,MAX(0,MIN(1,(IF(BR460="L1",Parameter!$K$5,Parameter!$K$6+Parameter!$K$7)-(AO460-AK460))/AK460)))</f>
        <v/>
      </c>
      <c r="AQ460" s="55">
        <f>IF(LEFT(Cockpit!$O$5,1)="A",G460,IF(BT460=1,BU460,IF(LEFT(Cockpit!$O$5,1)="B",AU460,MAX(AU460,G460))))</f>
        <v/>
      </c>
      <c r="AR460" s="55">
        <f>IF(BO460=1,0,ROUNDUP(AQ460/BN460,0))</f>
        <v/>
      </c>
      <c r="AS460" s="64">
        <f>IF(BO460=1,IF(AQ460&lt;=0,0,BP460*MAX(1,IF(G460&gt;0,AQ460/G460,1))),AR460*Q460)</f>
        <v/>
      </c>
      <c r="AT460" s="55">
        <f>AQ460*F460</f>
        <v/>
      </c>
      <c r="AU460" s="55">
        <f>ROUNDUP(MAX(I460/IF(BS460&gt;0,BS460,MAX(0.1,N(Cockpit!$O$6))),BV460)/BN460,0)*BN460</f>
        <v/>
      </c>
      <c r="AV460" s="56">
        <f>IF(AS460&gt;0,I460/AS460,-1)</f>
        <v/>
      </c>
      <c r="AW460" s="56">
        <f>IF(AND(OR(BR460="L1",BR460="L23"),AS460&gt;0),SUMIFS($AS$7:$AS$1570,$BR$7:$BR$1570,BR460,$AV$7:$AV$1570,"&gt;"&amp;AV460)+SUMIFS($AS$7:$AS$1570,$BR$7:$BR$1570,BR460,$AV$7:$AV$1570,AV460,$BL$7:$BL$1570,"&lt;="&amp;BL460),"")</f>
        <v/>
      </c>
      <c r="AX460" s="65">
        <f>IF(AW460="",0,MAX(0,MIN(1,(IF(BR460="L1",Parameter!$K$5,Parameter!$K$6+Parameter!$K$7)-(AW460-AS460))/AS460)))</f>
        <v/>
      </c>
      <c r="AY460" s="53">
        <f>IF(AC460&lt;=0,"",IF(BR460="Aussen","Aussenlager",IF(BR460="-","Nicht im Lift",IF(AH460&gt;=1,"Lift",IF(AH460&lt;=0,"Aussenlager","teilweise")))))</f>
        <v/>
      </c>
      <c r="AZ460" s="53">
        <f>IF(AK460&lt;=0,"",IF(BR460="Aussen","Aussenlager",IF(BR460="-","Nicht im Lift",IF(AP460&gt;=1,"Lift",IF(AP460&lt;=0,"Aussenlager","teilweise")))))</f>
        <v/>
      </c>
      <c r="BA460" s="53">
        <f>IF(AS460&lt;=0,"",IF(BR460="Aussen","Aussenlager",IF(BR460="-","Nicht im Lift",IF(AX460&gt;=1,"Lift",IF(AX460&lt;=0,"Aussenlager","teilweise")))))</f>
        <v/>
      </c>
      <c r="BB460" s="53">
        <f>IF(A460="","",IF(BK460=1,"Neu; ","")&amp;IF(AND(BK460=0,BF460&lt;0),"negativer Bestand (Export "&amp;BF460&amp;"); ","")&amp;IF(I460&lt;=0,"Kein Verbrauch; ","")&amp;IF(BO460=1,"Lose – Fläche geschätzt; ","")&amp;IF(G460&gt;AM460,"Überbestand "&amp;ROUND(G460-AM460,0)&amp;" Stk / CHF "&amp;ROUND((G460-AM460)*F460,0)&amp;"; ","")&amp;IF(AND(BT460=1,BU460&lt;BV460),"MAX &lt; MB+LG; ","")&amp;IF(AND(BZ460&gt;0,BY460*10&gt;BZ460),"zu hoch für Tablar; ","")&amp;IF(AND(BK460=0,OR(BT460=1,V460&lt;&gt;"",S460&lt;&gt;"",T460&lt;&gt;"",W460&lt;&gt;"")),"manuell übersteuert; ","")&amp;IF(AND(BO460=0,Q460=0),"Gebinde unbekannt; ","")&amp;IF(AND(BO460=0,N(T460)&lt;=0,N(P460)&lt;=0),"Menge pro Gebinde fehlt (Ist = 1 Gebinde); ","")&amp;BJ460)</f>
        <v/>
      </c>
      <c r="BC460" s="53" t="n"/>
      <c r="BD460" s="53" t="n"/>
      <c r="BE460" s="61" t="n"/>
      <c r="BF460" s="55" t="n">
        <v>424</v>
      </c>
      <c r="BG460" s="55" t="n">
        <v>290</v>
      </c>
      <c r="BH460" s="54" t="n">
        <v>57.94000000000001</v>
      </c>
      <c r="BI460" s="55" t="n">
        <v>1442</v>
      </c>
      <c r="BJ460" s="53" t="inlineStr"/>
      <c r="BK460" s="58" t="n">
        <v>0</v>
      </c>
      <c r="BL460" s="58" t="n">
        <v>460</v>
      </c>
      <c r="BM460" s="53">
        <f>IF(S460&lt;&gt;"",UPPER(TRIM(S460)),IF(O460="","LOSE",O460))</f>
        <v/>
      </c>
      <c r="BN460" s="55">
        <f>IF(BM460="LOSE",1,IF(N(T460)&gt;0,T460,IF(N(P460)&gt;0,P460,MAX(1,G460))))</f>
        <v/>
      </c>
      <c r="BO460" s="58">
        <f>IF(BM460="LOSE",1,0)</f>
        <v/>
      </c>
      <c r="BP460" s="64">
        <f>IF(BO460=0,0,IF(N(R460)&gt;0,R460,IFERROR(VLOOKUP(D460,Parameter!$A$35:$C$64,3,0)+0,0)))</f>
        <v/>
      </c>
      <c r="BQ460" s="53">
        <f>IF(V460&lt;&gt;"",V460,U460)</f>
        <v/>
      </c>
      <c r="BR460" s="53">
        <f>IF(BQ460=1,"L1",IF(OR(BQ460=2,BQ460=3),"L23",IF(BQ460="Aussen","Aussen","-")))</f>
        <v/>
      </c>
      <c r="BS460" s="66">
        <f>IF(N(W460)&gt;0,W460,0)</f>
        <v/>
      </c>
      <c r="BT460" s="58">
        <f>IF(ISNUMBER(Z460),1,0)</f>
        <v/>
      </c>
      <c r="BU460" s="55">
        <f>N(Z460)</f>
        <v/>
      </c>
      <c r="BV460" s="55">
        <f>N(L460)+N(M460)</f>
        <v/>
      </c>
      <c r="BW460" s="55">
        <f>ROUNDUP(G460/BN460,0)</f>
        <v/>
      </c>
      <c r="BX460" s="55">
        <f>ROUNDUP(BU460/BN460,0)</f>
        <v/>
      </c>
      <c r="BY460" s="58">
        <f>IF(BO460=1,0,IFERROR(VLOOKUP(BM460,'Gebinde-Kategorie'!$A$5:$G$45,5,0)+0,0))</f>
        <v/>
      </c>
      <c r="BZ460" s="58">
        <f>IFERROR(IF(OR(BQ460=1,BQ460=2,BQ460=3),N(INDEX(Parameter!$I$5:$I$7,BQ460)),0),0)</f>
        <v/>
      </c>
    </row>
    <row r="461">
      <c r="A461" s="53" t="inlineStr">
        <is>
          <t>107134</t>
        </is>
      </c>
      <c r="B461" s="53" t="inlineStr">
        <is>
          <t>Führungsbüchse</t>
        </is>
      </c>
      <c r="C461" s="53" t="inlineStr">
        <is>
          <t>F</t>
        </is>
      </c>
      <c r="D461" s="53" t="inlineStr">
        <is>
          <t>KTL</t>
        </is>
      </c>
      <c r="E461" s="53" t="inlineStr">
        <is>
          <t>C</t>
        </is>
      </c>
      <c r="F461" s="54" t="n">
        <v>31.29</v>
      </c>
      <c r="G461" s="55">
        <f>MAX(0,IF(Parameter!$B$20="Jahresanfang 2025 + Export",BG461+BF461,BF461))</f>
        <v/>
      </c>
      <c r="H461" s="55">
        <f>G461*F461</f>
        <v/>
      </c>
      <c r="I461" s="55">
        <f>BI461*Parameter!$B$18</f>
        <v/>
      </c>
      <c r="J461" s="56" t="n">
        <v>137</v>
      </c>
      <c r="K461" s="57" t="n">
        <v>1.474452554744526</v>
      </c>
      <c r="L461" s="55" t="n">
        <v>11</v>
      </c>
      <c r="M461" s="55" t="n">
        <v>150</v>
      </c>
      <c r="N461" s="58" t="n">
        <v>21</v>
      </c>
      <c r="O461" s="53" t="inlineStr">
        <is>
          <t>S63</t>
        </is>
      </c>
      <c r="P461" s="55" t="n">
        <v>228</v>
      </c>
      <c r="Q461" s="59">
        <f>IF(BO461=1,0,IFERROR(VLOOKUP(BM461,'Gebinde-Kategorie'!$A$5:$G$45,6,0)+0,0))</f>
        <v/>
      </c>
      <c r="R461" s="60" t="n"/>
      <c r="S461" s="61" t="n"/>
      <c r="T461" s="61" t="n"/>
      <c r="U461" s="53">
        <f>IF(A461="","",IF(IFERROR(VLOOKUP(D461,Parameter!$A$35:$C$64,2,0),"Nein")="2+3",IF(ISNUMBER(SEARCH("grosser Artikel",BJ461)),2,IFERROR(VLOOKUP(BM461,Parameter!$F$35:$G$64,2,0),2)),IF(OR(IFERROR(VLOOKUP(D461,Parameter!$A$35:$C$64,2,0),"Nein")="Nein",IFERROR(VLOOKUP(D461,Parameter!$A$35:$C$64,2,0),"Nein")=""),"-",VLOOKUP(D461,Parameter!$A$35:$C$64,2,0))))</f>
        <v/>
      </c>
      <c r="V461" s="61" t="n"/>
      <c r="W461" s="62" t="n"/>
      <c r="X461" s="55">
        <f>AM461</f>
        <v/>
      </c>
      <c r="Y461" s="55">
        <f>MAX(AM461,G461)</f>
        <v/>
      </c>
      <c r="Z461" s="63" t="n"/>
      <c r="AA461" s="55">
        <f>IF(LEFT(Cockpit!$C$5,1)="A",G461,IF(BT461=1,BU461,IF(LEFT(Cockpit!$C$5,1)="B",AE461,MAX(AE461,G461))))</f>
        <v/>
      </c>
      <c r="AB461" s="55">
        <f>IF(BO461=1,0,ROUNDUP(AA461/BN461,0))</f>
        <v/>
      </c>
      <c r="AC461" s="64">
        <f>IF(BO461=1,IF(AA461&lt;=0,0,BP461*MAX(1,IF(G461&gt;0,AA461/G461,1))),AB461*Q461)</f>
        <v/>
      </c>
      <c r="AD461" s="55">
        <f>AA461*F461</f>
        <v/>
      </c>
      <c r="AE461" s="55">
        <f>ROUNDUP(MAX(I461/IF(BS461&gt;0,BS461,MAX(0.1,N(Cockpit!$C$6))),BV461)/BN461,0)*BN461</f>
        <v/>
      </c>
      <c r="AF461" s="56">
        <f>IF(AC461&gt;0,I461/AC461,-1)</f>
        <v/>
      </c>
      <c r="AG461" s="56">
        <f>IF(AND(OR(BR461="L1",BR461="L23"),AC461&gt;0),SUMIFS($AC$7:$AC$1570,$BR$7:$BR$1570,BR461,$AF$7:$AF$1570,"&gt;"&amp;AF461)+SUMIFS($AC$7:$AC$1570,$BR$7:$BR$1570,BR461,$AF$7:$AF$1570,AF461,$BL$7:$BL$1570,"&lt;="&amp;BL461),"")</f>
        <v/>
      </c>
      <c r="AH461" s="65">
        <f>IF(AG461="",0,MAX(0,MIN(1,(IF(BR461="L1",Parameter!$K$5,Parameter!$K$6+Parameter!$K$7)-(AG461-AC461))/AC461)))</f>
        <v/>
      </c>
      <c r="AI461" s="55">
        <f>IF(LEFT(Cockpit!$I$5,1)="A",G461,IF(BT461=1,BU461,IF(LEFT(Cockpit!$I$5,1)="B",AM461,MAX(AM461,G461))))</f>
        <v/>
      </c>
      <c r="AJ461" s="55">
        <f>IF(BO461=1,0,ROUNDUP(AI461/BN461,0))</f>
        <v/>
      </c>
      <c r="AK461" s="64">
        <f>IF(BO461=1,IF(AI461&lt;=0,0,BP461*MAX(1,IF(G461&gt;0,AI461/G461,1))),AJ461*Q461)</f>
        <v/>
      </c>
      <c r="AL461" s="55">
        <f>AI461*F461</f>
        <v/>
      </c>
      <c r="AM461" s="55">
        <f>ROUNDUP(MAX(I461/IF(BS461&gt;0,BS461,MAX(0.1,N(Cockpit!$I$6))),BV461)/BN461,0)*BN461</f>
        <v/>
      </c>
      <c r="AN461" s="56">
        <f>IF(AK461&gt;0,I461/AK461,-1)</f>
        <v/>
      </c>
      <c r="AO461" s="56">
        <f>IF(AND(OR(BR461="L1",BR461="L23"),AK461&gt;0),SUMIFS($AK$7:$AK$1570,$BR$7:$BR$1570,BR461,$AN$7:$AN$1570,"&gt;"&amp;AN461)+SUMIFS($AK$7:$AK$1570,$BR$7:$BR$1570,BR461,$AN$7:$AN$1570,AN461,$BL$7:$BL$1570,"&lt;="&amp;BL461),"")</f>
        <v/>
      </c>
      <c r="AP461" s="65">
        <f>IF(AO461="",0,MAX(0,MIN(1,(IF(BR461="L1",Parameter!$K$5,Parameter!$K$6+Parameter!$K$7)-(AO461-AK461))/AK461)))</f>
        <v/>
      </c>
      <c r="AQ461" s="55">
        <f>IF(LEFT(Cockpit!$O$5,1)="A",G461,IF(BT461=1,BU461,IF(LEFT(Cockpit!$O$5,1)="B",AU461,MAX(AU461,G461))))</f>
        <v/>
      </c>
      <c r="AR461" s="55">
        <f>IF(BO461=1,0,ROUNDUP(AQ461/BN461,0))</f>
        <v/>
      </c>
      <c r="AS461" s="64">
        <f>IF(BO461=1,IF(AQ461&lt;=0,0,BP461*MAX(1,IF(G461&gt;0,AQ461/G461,1))),AR461*Q461)</f>
        <v/>
      </c>
      <c r="AT461" s="55">
        <f>AQ461*F461</f>
        <v/>
      </c>
      <c r="AU461" s="55">
        <f>ROUNDUP(MAX(I461/IF(BS461&gt;0,BS461,MAX(0.1,N(Cockpit!$O$6))),BV461)/BN461,0)*BN461</f>
        <v/>
      </c>
      <c r="AV461" s="56">
        <f>IF(AS461&gt;0,I461/AS461,-1)</f>
        <v/>
      </c>
      <c r="AW461" s="56">
        <f>IF(AND(OR(BR461="L1",BR461="L23"),AS461&gt;0),SUMIFS($AS$7:$AS$1570,$BR$7:$BR$1570,BR461,$AV$7:$AV$1570,"&gt;"&amp;AV461)+SUMIFS($AS$7:$AS$1570,$BR$7:$BR$1570,BR461,$AV$7:$AV$1570,AV461,$BL$7:$BL$1570,"&lt;="&amp;BL461),"")</f>
        <v/>
      </c>
      <c r="AX461" s="65">
        <f>IF(AW461="",0,MAX(0,MIN(1,(IF(BR461="L1",Parameter!$K$5,Parameter!$K$6+Parameter!$K$7)-(AW461-AS461))/AS461)))</f>
        <v/>
      </c>
      <c r="AY461" s="53">
        <f>IF(AC461&lt;=0,"",IF(BR461="Aussen","Aussenlager",IF(BR461="-","Nicht im Lift",IF(AH461&gt;=1,"Lift",IF(AH461&lt;=0,"Aussenlager","teilweise")))))</f>
        <v/>
      </c>
      <c r="AZ461" s="53">
        <f>IF(AK461&lt;=0,"",IF(BR461="Aussen","Aussenlager",IF(BR461="-","Nicht im Lift",IF(AP461&gt;=1,"Lift",IF(AP461&lt;=0,"Aussenlager","teilweise")))))</f>
        <v/>
      </c>
      <c r="BA461" s="53">
        <f>IF(AS461&lt;=0,"",IF(BR461="Aussen","Aussenlager",IF(BR461="-","Nicht im Lift",IF(AX461&gt;=1,"Lift",IF(AX461&lt;=0,"Aussenlager","teilweise")))))</f>
        <v/>
      </c>
      <c r="BB461" s="53">
        <f>IF(A461="","",IF(BK461=1,"Neu; ","")&amp;IF(AND(BK461=0,BF461&lt;0),"negativer Bestand (Export "&amp;BF461&amp;"); ","")&amp;IF(I461&lt;=0,"Kein Verbrauch; ","")&amp;IF(BO461=1,"Lose – Fläche geschätzt; ","")&amp;IF(G461&gt;AM461,"Überbestand "&amp;ROUND(G461-AM461,0)&amp;" Stk / CHF "&amp;ROUND((G461-AM461)*F461,0)&amp;"; ","")&amp;IF(AND(BT461=1,BU461&lt;BV461),"MAX &lt; MB+LG; ","")&amp;IF(AND(BZ461&gt;0,BY461*10&gt;BZ461),"zu hoch für Tablar; ","")&amp;IF(AND(BK461=0,OR(BT461=1,V461&lt;&gt;"",S461&lt;&gt;"",T461&lt;&gt;"",W461&lt;&gt;"")),"manuell übersteuert; ","")&amp;IF(AND(BO461=0,Q461=0),"Gebinde unbekannt; ","")&amp;IF(AND(BO461=0,N(T461)&lt;=0,N(P461)&lt;=0),"Menge pro Gebinde fehlt (Ist = 1 Gebinde); ","")&amp;BJ461)</f>
        <v/>
      </c>
      <c r="BC461" s="53" t="n"/>
      <c r="BD461" s="53" t="n"/>
      <c r="BE461" s="61" t="n"/>
      <c r="BF461" s="55" t="n">
        <v>25</v>
      </c>
      <c r="BG461" s="55" t="n">
        <v>159</v>
      </c>
      <c r="BH461" s="54" t="n">
        <v>57.61000000000377</v>
      </c>
      <c r="BI461" s="55" t="n">
        <v>202</v>
      </c>
      <c r="BJ461" s="53" t="inlineStr"/>
      <c r="BK461" s="58" t="n">
        <v>0</v>
      </c>
      <c r="BL461" s="58" t="n">
        <v>461</v>
      </c>
      <c r="BM461" s="53">
        <f>IF(S461&lt;&gt;"",UPPER(TRIM(S461)),IF(O461="","LOSE",O461))</f>
        <v/>
      </c>
      <c r="BN461" s="55">
        <f>IF(BM461="LOSE",1,IF(N(T461)&gt;0,T461,IF(N(P461)&gt;0,P461,MAX(1,G461))))</f>
        <v/>
      </c>
      <c r="BO461" s="58">
        <f>IF(BM461="LOSE",1,0)</f>
        <v/>
      </c>
      <c r="BP461" s="64">
        <f>IF(BO461=0,0,IF(N(R461)&gt;0,R461,IFERROR(VLOOKUP(D461,Parameter!$A$35:$C$64,3,0)+0,0)))</f>
        <v/>
      </c>
      <c r="BQ461" s="53">
        <f>IF(V461&lt;&gt;"",V461,U461)</f>
        <v/>
      </c>
      <c r="BR461" s="53">
        <f>IF(BQ461=1,"L1",IF(OR(BQ461=2,BQ461=3),"L23",IF(BQ461="Aussen","Aussen","-")))</f>
        <v/>
      </c>
      <c r="BS461" s="66">
        <f>IF(N(W461)&gt;0,W461,0)</f>
        <v/>
      </c>
      <c r="BT461" s="58">
        <f>IF(ISNUMBER(Z461),1,0)</f>
        <v/>
      </c>
      <c r="BU461" s="55">
        <f>N(Z461)</f>
        <v/>
      </c>
      <c r="BV461" s="55">
        <f>N(L461)+N(M461)</f>
        <v/>
      </c>
      <c r="BW461" s="55">
        <f>ROUNDUP(G461/BN461,0)</f>
        <v/>
      </c>
      <c r="BX461" s="55">
        <f>ROUNDUP(BU461/BN461,0)</f>
        <v/>
      </c>
      <c r="BY461" s="58">
        <f>IF(BO461=1,0,IFERROR(VLOOKUP(BM461,'Gebinde-Kategorie'!$A$5:$G$45,5,0)+0,0))</f>
        <v/>
      </c>
      <c r="BZ461" s="58">
        <f>IFERROR(IF(OR(BQ461=1,BQ461=2,BQ461=3),N(INDEX(Parameter!$I$5:$I$7,BQ461)),0),0)</f>
        <v/>
      </c>
    </row>
    <row r="462">
      <c r="A462" s="53" t="inlineStr">
        <is>
          <t>108069</t>
        </is>
      </c>
      <c r="B462" s="53" t="inlineStr">
        <is>
          <t>Sicherheitsventil 1. Stufe AC260</t>
        </is>
      </c>
      <c r="C462" s="53" t="inlineStr">
        <is>
          <t>F</t>
        </is>
      </c>
      <c r="D462" s="53" t="inlineStr">
        <is>
          <t>KTL</t>
        </is>
      </c>
      <c r="E462" s="53" t="inlineStr">
        <is>
          <t>C</t>
        </is>
      </c>
      <c r="F462" s="54" t="n">
        <v>42.77</v>
      </c>
      <c r="G462" s="55">
        <f>MAX(0,IF(Parameter!$B$20="Jahresanfang 2025 + Export",BG462+BF462,BF462))</f>
        <v/>
      </c>
      <c r="H462" s="55">
        <f>G462*F462</f>
        <v/>
      </c>
      <c r="I462" s="55">
        <f>BI462*Parameter!$B$18</f>
        <v/>
      </c>
      <c r="J462" s="56" t="n">
        <v>7.5</v>
      </c>
      <c r="K462" s="57" t="n">
        <v>0.4</v>
      </c>
      <c r="L462" s="55" t="n">
        <v>0</v>
      </c>
      <c r="M462" s="55" t="n">
        <v>5</v>
      </c>
      <c r="N462" s="58" t="n">
        <v>21</v>
      </c>
      <c r="O462" s="53" t="inlineStr">
        <is>
          <t>S32</t>
        </is>
      </c>
      <c r="P462" s="55" t="n">
        <v>11</v>
      </c>
      <c r="Q462" s="59">
        <f>IF(BO462=1,0,IFERROR(VLOOKUP(BM462,'Gebinde-Kategorie'!$A$5:$G$45,6,0)+0,0))</f>
        <v/>
      </c>
      <c r="R462" s="60" t="n"/>
      <c r="S462" s="61" t="n"/>
      <c r="T462" s="61" t="n"/>
      <c r="U462" s="53">
        <f>IF(A462="","",IF(IFERROR(VLOOKUP(D462,Parameter!$A$35:$C$64,2,0),"Nein")="2+3",IF(ISNUMBER(SEARCH("grosser Artikel",BJ462)),2,IFERROR(VLOOKUP(BM462,Parameter!$F$35:$G$64,2,0),2)),IF(OR(IFERROR(VLOOKUP(D462,Parameter!$A$35:$C$64,2,0),"Nein")="Nein",IFERROR(VLOOKUP(D462,Parameter!$A$35:$C$64,2,0),"Nein")=""),"-",VLOOKUP(D462,Parameter!$A$35:$C$64,2,0))))</f>
        <v/>
      </c>
      <c r="V462" s="61" t="n"/>
      <c r="W462" s="62" t="n"/>
      <c r="X462" s="55">
        <f>AM462</f>
        <v/>
      </c>
      <c r="Y462" s="55">
        <f>MAX(AM462,G462)</f>
        <v/>
      </c>
      <c r="Z462" s="63" t="n"/>
      <c r="AA462" s="55">
        <f>IF(LEFT(Cockpit!$C$5,1)="A",G462,IF(BT462=1,BU462,IF(LEFT(Cockpit!$C$5,1)="B",AE462,MAX(AE462,G462))))</f>
        <v/>
      </c>
      <c r="AB462" s="55">
        <f>IF(BO462=1,0,ROUNDUP(AA462/BN462,0))</f>
        <v/>
      </c>
      <c r="AC462" s="64">
        <f>IF(BO462=1,IF(AA462&lt;=0,0,BP462*MAX(1,IF(G462&gt;0,AA462/G462,1))),AB462*Q462)</f>
        <v/>
      </c>
      <c r="AD462" s="55">
        <f>AA462*F462</f>
        <v/>
      </c>
      <c r="AE462" s="55">
        <f>ROUNDUP(MAX(I462/IF(BS462&gt;0,BS462,MAX(0.1,N(Cockpit!$C$6))),BV462)/BN462,0)*BN462</f>
        <v/>
      </c>
      <c r="AF462" s="56">
        <f>IF(AC462&gt;0,I462/AC462,-1)</f>
        <v/>
      </c>
      <c r="AG462" s="56">
        <f>IF(AND(OR(BR462="L1",BR462="L23"),AC462&gt;0),SUMIFS($AC$7:$AC$1570,$BR$7:$BR$1570,BR462,$AF$7:$AF$1570,"&gt;"&amp;AF462)+SUMIFS($AC$7:$AC$1570,$BR$7:$BR$1570,BR462,$AF$7:$AF$1570,AF462,$BL$7:$BL$1570,"&lt;="&amp;BL462),"")</f>
        <v/>
      </c>
      <c r="AH462" s="65">
        <f>IF(AG462="",0,MAX(0,MIN(1,(IF(BR462="L1",Parameter!$K$5,Parameter!$K$6+Parameter!$K$7)-(AG462-AC462))/AC462)))</f>
        <v/>
      </c>
      <c r="AI462" s="55">
        <f>IF(LEFT(Cockpit!$I$5,1)="A",G462,IF(BT462=1,BU462,IF(LEFT(Cockpit!$I$5,1)="B",AM462,MAX(AM462,G462))))</f>
        <v/>
      </c>
      <c r="AJ462" s="55">
        <f>IF(BO462=1,0,ROUNDUP(AI462/BN462,0))</f>
        <v/>
      </c>
      <c r="AK462" s="64">
        <f>IF(BO462=1,IF(AI462&lt;=0,0,BP462*MAX(1,IF(G462&gt;0,AI462/G462,1))),AJ462*Q462)</f>
        <v/>
      </c>
      <c r="AL462" s="55">
        <f>AI462*F462</f>
        <v/>
      </c>
      <c r="AM462" s="55">
        <f>ROUNDUP(MAX(I462/IF(BS462&gt;0,BS462,MAX(0.1,N(Cockpit!$I$6))),BV462)/BN462,0)*BN462</f>
        <v/>
      </c>
      <c r="AN462" s="56">
        <f>IF(AK462&gt;0,I462/AK462,-1)</f>
        <v/>
      </c>
      <c r="AO462" s="56">
        <f>IF(AND(OR(BR462="L1",BR462="L23"),AK462&gt;0),SUMIFS($AK$7:$AK$1570,$BR$7:$BR$1570,BR462,$AN$7:$AN$1570,"&gt;"&amp;AN462)+SUMIFS($AK$7:$AK$1570,$BR$7:$BR$1570,BR462,$AN$7:$AN$1570,AN462,$BL$7:$BL$1570,"&lt;="&amp;BL462),"")</f>
        <v/>
      </c>
      <c r="AP462" s="65">
        <f>IF(AO462="",0,MAX(0,MIN(1,(IF(BR462="L1",Parameter!$K$5,Parameter!$K$6+Parameter!$K$7)-(AO462-AK462))/AK462)))</f>
        <v/>
      </c>
      <c r="AQ462" s="55">
        <f>IF(LEFT(Cockpit!$O$5,1)="A",G462,IF(BT462=1,BU462,IF(LEFT(Cockpit!$O$5,1)="B",AU462,MAX(AU462,G462))))</f>
        <v/>
      </c>
      <c r="AR462" s="55">
        <f>IF(BO462=1,0,ROUNDUP(AQ462/BN462,0))</f>
        <v/>
      </c>
      <c r="AS462" s="64">
        <f>IF(BO462=1,IF(AQ462&lt;=0,0,BP462*MAX(1,IF(G462&gt;0,AQ462/G462,1))),AR462*Q462)</f>
        <v/>
      </c>
      <c r="AT462" s="55">
        <f>AQ462*F462</f>
        <v/>
      </c>
      <c r="AU462" s="55">
        <f>ROUNDUP(MAX(I462/IF(BS462&gt;0,BS462,MAX(0.1,N(Cockpit!$O$6))),BV462)/BN462,0)*BN462</f>
        <v/>
      </c>
      <c r="AV462" s="56">
        <f>IF(AS462&gt;0,I462/AS462,-1)</f>
        <v/>
      </c>
      <c r="AW462" s="56">
        <f>IF(AND(OR(BR462="L1",BR462="L23"),AS462&gt;0),SUMIFS($AS$7:$AS$1570,$BR$7:$BR$1570,BR462,$AV$7:$AV$1570,"&gt;"&amp;AV462)+SUMIFS($AS$7:$AS$1570,$BR$7:$BR$1570,BR462,$AV$7:$AV$1570,AV462,$BL$7:$BL$1570,"&lt;="&amp;BL462),"")</f>
        <v/>
      </c>
      <c r="AX462" s="65">
        <f>IF(AW462="",0,MAX(0,MIN(1,(IF(BR462="L1",Parameter!$K$5,Parameter!$K$6+Parameter!$K$7)-(AW462-AS462))/AS462)))</f>
        <v/>
      </c>
      <c r="AY462" s="53">
        <f>IF(AC462&lt;=0,"",IF(BR462="Aussen","Aussenlager",IF(BR462="-","Nicht im Lift",IF(AH462&gt;=1,"Lift",IF(AH462&lt;=0,"Aussenlager","teilweise")))))</f>
        <v/>
      </c>
      <c r="AZ462" s="53">
        <f>IF(AK462&lt;=0,"",IF(BR462="Aussen","Aussenlager",IF(BR462="-","Nicht im Lift",IF(AP462&gt;=1,"Lift",IF(AP462&lt;=0,"Aussenlager","teilweise")))))</f>
        <v/>
      </c>
      <c r="BA462" s="53">
        <f>IF(AS462&lt;=0,"",IF(BR462="Aussen","Aussenlager",IF(BR462="-","Nicht im Lift",IF(AX462&gt;=1,"Lift",IF(AX462&lt;=0,"Aussenlager","teilweise")))))</f>
        <v/>
      </c>
      <c r="BB462" s="53">
        <f>IF(A462="","",IF(BK462=1,"Neu; ","")&amp;IF(AND(BK462=0,BF462&lt;0),"negativer Bestand (Export "&amp;BF462&amp;"); ","")&amp;IF(I462&lt;=0,"Kein Verbrauch; ","")&amp;IF(BO462=1,"Lose – Fläche geschätzt; ","")&amp;IF(G462&gt;AM462,"Überbestand "&amp;ROUND(G462-AM462,0)&amp;" Stk / CHF "&amp;ROUND((G462-AM462)*F462,0)&amp;"; ","")&amp;IF(AND(BT462=1,BU462&lt;BV462),"MAX &lt; MB+LG; ","")&amp;IF(AND(BZ462&gt;0,BY462*10&gt;BZ462),"zu hoch für Tablar; ","")&amp;IF(AND(BK462=0,OR(BT462=1,V462&lt;&gt;"",S462&lt;&gt;"",T462&lt;&gt;"",W462&lt;&gt;"")),"manuell übersteuert; ","")&amp;IF(AND(BO462=0,Q462=0),"Gebinde unbekannt; ","")&amp;IF(AND(BO462=0,N(T462)&lt;=0,N(P462)&lt;=0),"Menge pro Gebinde fehlt (Ist = 1 Gebinde); ","")&amp;BJ462)</f>
        <v/>
      </c>
      <c r="BC462" s="53" t="n"/>
      <c r="BD462" s="53" t="n"/>
      <c r="BE462" s="61" t="n"/>
      <c r="BF462" s="55" t="n">
        <v>1</v>
      </c>
      <c r="BG462" s="55" t="n">
        <v>7</v>
      </c>
      <c r="BH462" s="54" t="n">
        <v>57.46999999999997</v>
      </c>
      <c r="BI462" s="55" t="n">
        <v>3</v>
      </c>
      <c r="BJ462" s="53" t="inlineStr">
        <is>
          <t>Neu</t>
        </is>
      </c>
      <c r="BK462" s="58" t="n">
        <v>0</v>
      </c>
      <c r="BL462" s="58" t="n">
        <v>462</v>
      </c>
      <c r="BM462" s="53">
        <f>IF(S462&lt;&gt;"",UPPER(TRIM(S462)),IF(O462="","LOSE",O462))</f>
        <v/>
      </c>
      <c r="BN462" s="55">
        <f>IF(BM462="LOSE",1,IF(N(T462)&gt;0,T462,IF(N(P462)&gt;0,P462,MAX(1,G462))))</f>
        <v/>
      </c>
      <c r="BO462" s="58">
        <f>IF(BM462="LOSE",1,0)</f>
        <v/>
      </c>
      <c r="BP462" s="64">
        <f>IF(BO462=0,0,IF(N(R462)&gt;0,R462,IFERROR(VLOOKUP(D462,Parameter!$A$35:$C$64,3,0)+0,0)))</f>
        <v/>
      </c>
      <c r="BQ462" s="53">
        <f>IF(V462&lt;&gt;"",V462,U462)</f>
        <v/>
      </c>
      <c r="BR462" s="53">
        <f>IF(BQ462=1,"L1",IF(OR(BQ462=2,BQ462=3),"L23",IF(BQ462="Aussen","Aussen","-")))</f>
        <v/>
      </c>
      <c r="BS462" s="66">
        <f>IF(N(W462)&gt;0,W462,0)</f>
        <v/>
      </c>
      <c r="BT462" s="58">
        <f>IF(ISNUMBER(Z462),1,0)</f>
        <v/>
      </c>
      <c r="BU462" s="55">
        <f>N(Z462)</f>
        <v/>
      </c>
      <c r="BV462" s="55">
        <f>N(L462)+N(M462)</f>
        <v/>
      </c>
      <c r="BW462" s="55">
        <f>ROUNDUP(G462/BN462,0)</f>
        <v/>
      </c>
      <c r="BX462" s="55">
        <f>ROUNDUP(BU462/BN462,0)</f>
        <v/>
      </c>
      <c r="BY462" s="58">
        <f>IF(BO462=1,0,IFERROR(VLOOKUP(BM462,'Gebinde-Kategorie'!$A$5:$G$45,5,0)+0,0))</f>
        <v/>
      </c>
      <c r="BZ462" s="58">
        <f>IFERROR(IF(OR(BQ462=1,BQ462=2,BQ462=3),N(INDEX(Parameter!$I$5:$I$7,BQ462)),0),0)</f>
        <v/>
      </c>
    </row>
    <row r="463">
      <c r="A463" s="53" t="inlineStr">
        <is>
          <t>109481</t>
        </is>
      </c>
      <c r="B463" s="53" t="inlineStr">
        <is>
          <t>Manometer</t>
        </is>
      </c>
      <c r="C463" s="53" t="inlineStr">
        <is>
          <t>F</t>
        </is>
      </c>
      <c r="D463" s="53" t="inlineStr">
        <is>
          <t>KTL</t>
        </is>
      </c>
      <c r="E463" s="53" t="inlineStr">
        <is>
          <t>C</t>
        </is>
      </c>
      <c r="F463" s="54" t="n">
        <v>57.39</v>
      </c>
      <c r="G463" s="55">
        <f>MAX(0,IF(Parameter!$B$20="Jahresanfang 2025 + Export",BG463+BF463,BF463))</f>
        <v/>
      </c>
      <c r="H463" s="55">
        <f>G463*F463</f>
        <v/>
      </c>
      <c r="I463" s="55">
        <f>BI463*Parameter!$B$18</f>
        <v/>
      </c>
      <c r="J463" s="56" t="n">
        <v>2.5</v>
      </c>
      <c r="K463" s="57" t="n">
        <v>0.4</v>
      </c>
      <c r="L463" s="55" t="n">
        <v>0</v>
      </c>
      <c r="M463" s="55" t="n">
        <v>1</v>
      </c>
      <c r="N463" s="58" t="n">
        <v>28</v>
      </c>
      <c r="O463" s="53" t="inlineStr">
        <is>
          <t>S41</t>
        </is>
      </c>
      <c r="P463" s="55" t="n">
        <v>3</v>
      </c>
      <c r="Q463" s="59">
        <f>IF(BO463=1,0,IFERROR(VLOOKUP(BM463,'Gebinde-Kategorie'!$A$5:$G$45,6,0)+0,0))</f>
        <v/>
      </c>
      <c r="R463" s="60" t="n"/>
      <c r="S463" s="61" t="n"/>
      <c r="T463" s="61" t="n"/>
      <c r="U463" s="53">
        <f>IF(A463="","",IF(IFERROR(VLOOKUP(D463,Parameter!$A$35:$C$64,2,0),"Nein")="2+3",IF(ISNUMBER(SEARCH("grosser Artikel",BJ463)),2,IFERROR(VLOOKUP(BM463,Parameter!$F$35:$G$64,2,0),2)),IF(OR(IFERROR(VLOOKUP(D463,Parameter!$A$35:$C$64,2,0),"Nein")="Nein",IFERROR(VLOOKUP(D463,Parameter!$A$35:$C$64,2,0),"Nein")=""),"-",VLOOKUP(D463,Parameter!$A$35:$C$64,2,0))))</f>
        <v/>
      </c>
      <c r="V463" s="61" t="n"/>
      <c r="W463" s="62" t="n"/>
      <c r="X463" s="55">
        <f>AM463</f>
        <v/>
      </c>
      <c r="Y463" s="55">
        <f>MAX(AM463,G463)</f>
        <v/>
      </c>
      <c r="Z463" s="63" t="n"/>
      <c r="AA463" s="55">
        <f>IF(LEFT(Cockpit!$C$5,1)="A",G463,IF(BT463=1,BU463,IF(LEFT(Cockpit!$C$5,1)="B",AE463,MAX(AE463,G463))))</f>
        <v/>
      </c>
      <c r="AB463" s="55">
        <f>IF(BO463=1,0,ROUNDUP(AA463/BN463,0))</f>
        <v/>
      </c>
      <c r="AC463" s="64">
        <f>IF(BO463=1,IF(AA463&lt;=0,0,BP463*MAX(1,IF(G463&gt;0,AA463/G463,1))),AB463*Q463)</f>
        <v/>
      </c>
      <c r="AD463" s="55">
        <f>AA463*F463</f>
        <v/>
      </c>
      <c r="AE463" s="55">
        <f>ROUNDUP(MAX(I463/IF(BS463&gt;0,BS463,MAX(0.1,N(Cockpit!$C$6))),BV463)/BN463,0)*BN463</f>
        <v/>
      </c>
      <c r="AF463" s="56">
        <f>IF(AC463&gt;0,I463/AC463,-1)</f>
        <v/>
      </c>
      <c r="AG463" s="56">
        <f>IF(AND(OR(BR463="L1",BR463="L23"),AC463&gt;0),SUMIFS($AC$7:$AC$1570,$BR$7:$BR$1570,BR463,$AF$7:$AF$1570,"&gt;"&amp;AF463)+SUMIFS($AC$7:$AC$1570,$BR$7:$BR$1570,BR463,$AF$7:$AF$1570,AF463,$BL$7:$BL$1570,"&lt;="&amp;BL463),"")</f>
        <v/>
      </c>
      <c r="AH463" s="65">
        <f>IF(AG463="",0,MAX(0,MIN(1,(IF(BR463="L1",Parameter!$K$5,Parameter!$K$6+Parameter!$K$7)-(AG463-AC463))/AC463)))</f>
        <v/>
      </c>
      <c r="AI463" s="55">
        <f>IF(LEFT(Cockpit!$I$5,1)="A",G463,IF(BT463=1,BU463,IF(LEFT(Cockpit!$I$5,1)="B",AM463,MAX(AM463,G463))))</f>
        <v/>
      </c>
      <c r="AJ463" s="55">
        <f>IF(BO463=1,0,ROUNDUP(AI463/BN463,0))</f>
        <v/>
      </c>
      <c r="AK463" s="64">
        <f>IF(BO463=1,IF(AI463&lt;=0,0,BP463*MAX(1,IF(G463&gt;0,AI463/G463,1))),AJ463*Q463)</f>
        <v/>
      </c>
      <c r="AL463" s="55">
        <f>AI463*F463</f>
        <v/>
      </c>
      <c r="AM463" s="55">
        <f>ROUNDUP(MAX(I463/IF(BS463&gt;0,BS463,MAX(0.1,N(Cockpit!$I$6))),BV463)/BN463,0)*BN463</f>
        <v/>
      </c>
      <c r="AN463" s="56">
        <f>IF(AK463&gt;0,I463/AK463,-1)</f>
        <v/>
      </c>
      <c r="AO463" s="56">
        <f>IF(AND(OR(BR463="L1",BR463="L23"),AK463&gt;0),SUMIFS($AK$7:$AK$1570,$BR$7:$BR$1570,BR463,$AN$7:$AN$1570,"&gt;"&amp;AN463)+SUMIFS($AK$7:$AK$1570,$BR$7:$BR$1570,BR463,$AN$7:$AN$1570,AN463,$BL$7:$BL$1570,"&lt;="&amp;BL463),"")</f>
        <v/>
      </c>
      <c r="AP463" s="65">
        <f>IF(AO463="",0,MAX(0,MIN(1,(IF(BR463="L1",Parameter!$K$5,Parameter!$K$6+Parameter!$K$7)-(AO463-AK463))/AK463)))</f>
        <v/>
      </c>
      <c r="AQ463" s="55">
        <f>IF(LEFT(Cockpit!$O$5,1)="A",G463,IF(BT463=1,BU463,IF(LEFT(Cockpit!$O$5,1)="B",AU463,MAX(AU463,G463))))</f>
        <v/>
      </c>
      <c r="AR463" s="55">
        <f>IF(BO463=1,0,ROUNDUP(AQ463/BN463,0))</f>
        <v/>
      </c>
      <c r="AS463" s="64">
        <f>IF(BO463=1,IF(AQ463&lt;=0,0,BP463*MAX(1,IF(G463&gt;0,AQ463/G463,1))),AR463*Q463)</f>
        <v/>
      </c>
      <c r="AT463" s="55">
        <f>AQ463*F463</f>
        <v/>
      </c>
      <c r="AU463" s="55">
        <f>ROUNDUP(MAX(I463/IF(BS463&gt;0,BS463,MAX(0.1,N(Cockpit!$O$6))),BV463)/BN463,0)*BN463</f>
        <v/>
      </c>
      <c r="AV463" s="56">
        <f>IF(AS463&gt;0,I463/AS463,-1)</f>
        <v/>
      </c>
      <c r="AW463" s="56">
        <f>IF(AND(OR(BR463="L1",BR463="L23"),AS463&gt;0),SUMIFS($AS$7:$AS$1570,$BR$7:$BR$1570,BR463,$AV$7:$AV$1570,"&gt;"&amp;AV463)+SUMIFS($AS$7:$AS$1570,$BR$7:$BR$1570,BR463,$AV$7:$AV$1570,AV463,$BL$7:$BL$1570,"&lt;="&amp;BL463),"")</f>
        <v/>
      </c>
      <c r="AX463" s="65">
        <f>IF(AW463="",0,MAX(0,MIN(1,(IF(BR463="L1",Parameter!$K$5,Parameter!$K$6+Parameter!$K$7)-(AW463-AS463))/AS463)))</f>
        <v/>
      </c>
      <c r="AY463" s="53">
        <f>IF(AC463&lt;=0,"",IF(BR463="Aussen","Aussenlager",IF(BR463="-","Nicht im Lift",IF(AH463&gt;=1,"Lift",IF(AH463&lt;=0,"Aussenlager","teilweise")))))</f>
        <v/>
      </c>
      <c r="AZ463" s="53">
        <f>IF(AK463&lt;=0,"",IF(BR463="Aussen","Aussenlager",IF(BR463="-","Nicht im Lift",IF(AP463&gt;=1,"Lift",IF(AP463&lt;=0,"Aussenlager","teilweise")))))</f>
        <v/>
      </c>
      <c r="BA463" s="53">
        <f>IF(AS463&lt;=0,"",IF(BR463="Aussen","Aussenlager",IF(BR463="-","Nicht im Lift",IF(AX463&gt;=1,"Lift",IF(AX463&lt;=0,"Aussenlager","teilweise")))))</f>
        <v/>
      </c>
      <c r="BB463" s="53">
        <f>IF(A463="","",IF(BK463=1,"Neu; ","")&amp;IF(AND(BK463=0,BF463&lt;0),"negativer Bestand (Export "&amp;BF463&amp;"); ","")&amp;IF(I463&lt;=0,"Kein Verbrauch; ","")&amp;IF(BO463=1,"Lose – Fläche geschätzt; ","")&amp;IF(G463&gt;AM463,"Überbestand "&amp;ROUND(G463-AM463,0)&amp;" Stk / CHF "&amp;ROUND((G463-AM463)*F463,0)&amp;"; ","")&amp;IF(AND(BT463=1,BU463&lt;BV463),"MAX &lt; MB+LG; ","")&amp;IF(AND(BZ463&gt;0,BY463*10&gt;BZ463),"zu hoch für Tablar; ","")&amp;IF(AND(BK463=0,OR(BT463=1,V463&lt;&gt;"",S463&lt;&gt;"",T463&lt;&gt;"",W463&lt;&gt;"")),"manuell übersteuert; ","")&amp;IF(AND(BO463=0,Q463=0),"Gebinde unbekannt; ","")&amp;IF(AND(BO463=0,N(T463)&lt;=0,N(P463)&lt;=0),"Menge pro Gebinde fehlt (Ist = 1 Gebinde); ","")&amp;BJ463)</f>
        <v/>
      </c>
      <c r="BC463" s="53" t="n"/>
      <c r="BD463" s="53" t="n"/>
      <c r="BE463" s="61" t="n"/>
      <c r="BF463" s="55" t="n">
        <v>1</v>
      </c>
      <c r="BG463" s="55" t="n">
        <v>2</v>
      </c>
      <c r="BH463" s="54" t="n">
        <v>57.39</v>
      </c>
      <c r="BI463" s="55" t="n">
        <v>1</v>
      </c>
      <c r="BJ463" s="53" t="inlineStr"/>
      <c r="BK463" s="58" t="n">
        <v>0</v>
      </c>
      <c r="BL463" s="58" t="n">
        <v>463</v>
      </c>
      <c r="BM463" s="53">
        <f>IF(S463&lt;&gt;"",UPPER(TRIM(S463)),IF(O463="","LOSE",O463))</f>
        <v/>
      </c>
      <c r="BN463" s="55">
        <f>IF(BM463="LOSE",1,IF(N(T463)&gt;0,T463,IF(N(P463)&gt;0,P463,MAX(1,G463))))</f>
        <v/>
      </c>
      <c r="BO463" s="58">
        <f>IF(BM463="LOSE",1,0)</f>
        <v/>
      </c>
      <c r="BP463" s="64">
        <f>IF(BO463=0,0,IF(N(R463)&gt;0,R463,IFERROR(VLOOKUP(D463,Parameter!$A$35:$C$64,3,0)+0,0)))</f>
        <v/>
      </c>
      <c r="BQ463" s="53">
        <f>IF(V463&lt;&gt;"",V463,U463)</f>
        <v/>
      </c>
      <c r="BR463" s="53">
        <f>IF(BQ463=1,"L1",IF(OR(BQ463=2,BQ463=3),"L23",IF(BQ463="Aussen","Aussen","-")))</f>
        <v/>
      </c>
      <c r="BS463" s="66">
        <f>IF(N(W463)&gt;0,W463,0)</f>
        <v/>
      </c>
      <c r="BT463" s="58">
        <f>IF(ISNUMBER(Z463),1,0)</f>
        <v/>
      </c>
      <c r="BU463" s="55">
        <f>N(Z463)</f>
        <v/>
      </c>
      <c r="BV463" s="55">
        <f>N(L463)+N(M463)</f>
        <v/>
      </c>
      <c r="BW463" s="55">
        <f>ROUNDUP(G463/BN463,0)</f>
        <v/>
      </c>
      <c r="BX463" s="55">
        <f>ROUNDUP(BU463/BN463,0)</f>
        <v/>
      </c>
      <c r="BY463" s="58">
        <f>IF(BO463=1,0,IFERROR(VLOOKUP(BM463,'Gebinde-Kategorie'!$A$5:$G$45,5,0)+0,0))</f>
        <v/>
      </c>
      <c r="BZ463" s="58">
        <f>IFERROR(IF(OR(BQ463=1,BQ463=2,BQ463=3),N(INDEX(Parameter!$I$5:$I$7,BQ463)),0),0)</f>
        <v/>
      </c>
    </row>
    <row r="464">
      <c r="A464" s="53" t="inlineStr">
        <is>
          <t>108030</t>
        </is>
      </c>
      <c r="B464" s="53" t="inlineStr">
        <is>
          <t>Blende</t>
        </is>
      </c>
      <c r="C464" s="53" t="inlineStr">
        <is>
          <t>F</t>
        </is>
      </c>
      <c r="D464" s="53" t="inlineStr">
        <is>
          <t>KTL</t>
        </is>
      </c>
      <c r="E464" s="53" t="inlineStr">
        <is>
          <t>C</t>
        </is>
      </c>
      <c r="F464" s="54" t="n">
        <v>2.2</v>
      </c>
      <c r="G464" s="55">
        <f>MAX(0,IF(Parameter!$B$20="Jahresanfang 2025 + Export",BG464+BF464,BF464))</f>
        <v/>
      </c>
      <c r="H464" s="55">
        <f>G464*F464</f>
        <v/>
      </c>
      <c r="I464" s="55">
        <f>BI464*Parameter!$B$18</f>
        <v/>
      </c>
      <c r="J464" s="56" t="n">
        <v>21</v>
      </c>
      <c r="K464" s="57" t="n">
        <v>0.5238095238095238</v>
      </c>
      <c r="L464" s="55" t="n">
        <v>1</v>
      </c>
      <c r="M464" s="55" t="n">
        <v>10</v>
      </c>
      <c r="N464" s="58" t="n">
        <v>21</v>
      </c>
      <c r="O464" s="53" t="inlineStr">
        <is>
          <t>S21</t>
        </is>
      </c>
      <c r="P464" s="55" t="n">
        <v>48</v>
      </c>
      <c r="Q464" s="59">
        <f>IF(BO464=1,0,IFERROR(VLOOKUP(BM464,'Gebinde-Kategorie'!$A$5:$G$45,6,0)+0,0))</f>
        <v/>
      </c>
      <c r="R464" s="60" t="n"/>
      <c r="S464" s="61" t="n"/>
      <c r="T464" s="61" t="n"/>
      <c r="U464" s="53">
        <f>IF(A464="","",IF(IFERROR(VLOOKUP(D464,Parameter!$A$35:$C$64,2,0),"Nein")="2+3",IF(ISNUMBER(SEARCH("grosser Artikel",BJ464)),2,IFERROR(VLOOKUP(BM464,Parameter!$F$35:$G$64,2,0),2)),IF(OR(IFERROR(VLOOKUP(D464,Parameter!$A$35:$C$64,2,0),"Nein")="Nein",IFERROR(VLOOKUP(D464,Parameter!$A$35:$C$64,2,0),"Nein")=""),"-",VLOOKUP(D464,Parameter!$A$35:$C$64,2,0))))</f>
        <v/>
      </c>
      <c r="V464" s="61" t="n"/>
      <c r="W464" s="62" t="n"/>
      <c r="X464" s="55">
        <f>AM464</f>
        <v/>
      </c>
      <c r="Y464" s="55">
        <f>MAX(AM464,G464)</f>
        <v/>
      </c>
      <c r="Z464" s="63" t="n"/>
      <c r="AA464" s="55">
        <f>IF(LEFT(Cockpit!$C$5,1)="A",G464,IF(BT464=1,BU464,IF(LEFT(Cockpit!$C$5,1)="B",AE464,MAX(AE464,G464))))</f>
        <v/>
      </c>
      <c r="AB464" s="55">
        <f>IF(BO464=1,0,ROUNDUP(AA464/BN464,0))</f>
        <v/>
      </c>
      <c r="AC464" s="64">
        <f>IF(BO464=1,IF(AA464&lt;=0,0,BP464*MAX(1,IF(G464&gt;0,AA464/G464,1))),AB464*Q464)</f>
        <v/>
      </c>
      <c r="AD464" s="55">
        <f>AA464*F464</f>
        <v/>
      </c>
      <c r="AE464" s="55">
        <f>ROUNDUP(MAX(I464/IF(BS464&gt;0,BS464,MAX(0.1,N(Cockpit!$C$6))),BV464)/BN464,0)*BN464</f>
        <v/>
      </c>
      <c r="AF464" s="56">
        <f>IF(AC464&gt;0,I464/AC464,-1)</f>
        <v/>
      </c>
      <c r="AG464" s="56">
        <f>IF(AND(OR(BR464="L1",BR464="L23"),AC464&gt;0),SUMIFS($AC$7:$AC$1570,$BR$7:$BR$1570,BR464,$AF$7:$AF$1570,"&gt;"&amp;AF464)+SUMIFS($AC$7:$AC$1570,$BR$7:$BR$1570,BR464,$AF$7:$AF$1570,AF464,$BL$7:$BL$1570,"&lt;="&amp;BL464),"")</f>
        <v/>
      </c>
      <c r="AH464" s="65">
        <f>IF(AG464="",0,MAX(0,MIN(1,(IF(BR464="L1",Parameter!$K$5,Parameter!$K$6+Parameter!$K$7)-(AG464-AC464))/AC464)))</f>
        <v/>
      </c>
      <c r="AI464" s="55">
        <f>IF(LEFT(Cockpit!$I$5,1)="A",G464,IF(BT464=1,BU464,IF(LEFT(Cockpit!$I$5,1)="B",AM464,MAX(AM464,G464))))</f>
        <v/>
      </c>
      <c r="AJ464" s="55">
        <f>IF(BO464=1,0,ROUNDUP(AI464/BN464,0))</f>
        <v/>
      </c>
      <c r="AK464" s="64">
        <f>IF(BO464=1,IF(AI464&lt;=0,0,BP464*MAX(1,IF(G464&gt;0,AI464/G464,1))),AJ464*Q464)</f>
        <v/>
      </c>
      <c r="AL464" s="55">
        <f>AI464*F464</f>
        <v/>
      </c>
      <c r="AM464" s="55">
        <f>ROUNDUP(MAX(I464/IF(BS464&gt;0,BS464,MAX(0.1,N(Cockpit!$I$6))),BV464)/BN464,0)*BN464</f>
        <v/>
      </c>
      <c r="AN464" s="56">
        <f>IF(AK464&gt;0,I464/AK464,-1)</f>
        <v/>
      </c>
      <c r="AO464" s="56">
        <f>IF(AND(OR(BR464="L1",BR464="L23"),AK464&gt;0),SUMIFS($AK$7:$AK$1570,$BR$7:$BR$1570,BR464,$AN$7:$AN$1570,"&gt;"&amp;AN464)+SUMIFS($AK$7:$AK$1570,$BR$7:$BR$1570,BR464,$AN$7:$AN$1570,AN464,$BL$7:$BL$1570,"&lt;="&amp;BL464),"")</f>
        <v/>
      </c>
      <c r="AP464" s="65">
        <f>IF(AO464="",0,MAX(0,MIN(1,(IF(BR464="L1",Parameter!$K$5,Parameter!$K$6+Parameter!$K$7)-(AO464-AK464))/AK464)))</f>
        <v/>
      </c>
      <c r="AQ464" s="55">
        <f>IF(LEFT(Cockpit!$O$5,1)="A",G464,IF(BT464=1,BU464,IF(LEFT(Cockpit!$O$5,1)="B",AU464,MAX(AU464,G464))))</f>
        <v/>
      </c>
      <c r="AR464" s="55">
        <f>IF(BO464=1,0,ROUNDUP(AQ464/BN464,0))</f>
        <v/>
      </c>
      <c r="AS464" s="64">
        <f>IF(BO464=1,IF(AQ464&lt;=0,0,BP464*MAX(1,IF(G464&gt;0,AQ464/G464,1))),AR464*Q464)</f>
        <v/>
      </c>
      <c r="AT464" s="55">
        <f>AQ464*F464</f>
        <v/>
      </c>
      <c r="AU464" s="55">
        <f>ROUNDUP(MAX(I464/IF(BS464&gt;0,BS464,MAX(0.1,N(Cockpit!$O$6))),BV464)/BN464,0)*BN464</f>
        <v/>
      </c>
      <c r="AV464" s="56">
        <f>IF(AS464&gt;0,I464/AS464,-1)</f>
        <v/>
      </c>
      <c r="AW464" s="56">
        <f>IF(AND(OR(BR464="L1",BR464="L23"),AS464&gt;0),SUMIFS($AS$7:$AS$1570,$BR$7:$BR$1570,BR464,$AV$7:$AV$1570,"&gt;"&amp;AV464)+SUMIFS($AS$7:$AS$1570,$BR$7:$BR$1570,BR464,$AV$7:$AV$1570,AV464,$BL$7:$BL$1570,"&lt;="&amp;BL464),"")</f>
        <v/>
      </c>
      <c r="AX464" s="65">
        <f>IF(AW464="",0,MAX(0,MIN(1,(IF(BR464="L1",Parameter!$K$5,Parameter!$K$6+Parameter!$K$7)-(AW464-AS464))/AS464)))</f>
        <v/>
      </c>
      <c r="AY464" s="53">
        <f>IF(AC464&lt;=0,"",IF(BR464="Aussen","Aussenlager",IF(BR464="-","Nicht im Lift",IF(AH464&gt;=1,"Lift",IF(AH464&lt;=0,"Aussenlager","teilweise")))))</f>
        <v/>
      </c>
      <c r="AZ464" s="53">
        <f>IF(AK464&lt;=0,"",IF(BR464="Aussen","Aussenlager",IF(BR464="-","Nicht im Lift",IF(AP464&gt;=1,"Lift",IF(AP464&lt;=0,"Aussenlager","teilweise")))))</f>
        <v/>
      </c>
      <c r="BA464" s="53">
        <f>IF(AS464&lt;=0,"",IF(BR464="Aussen","Aussenlager",IF(BR464="-","Nicht im Lift",IF(AX464&gt;=1,"Lift",IF(AX464&lt;=0,"Aussenlager","teilweise")))))</f>
        <v/>
      </c>
      <c r="BB464" s="53">
        <f>IF(A464="","",IF(BK464=1,"Neu; ","")&amp;IF(AND(BK464=0,BF464&lt;0),"negativer Bestand (Export "&amp;BF464&amp;"); ","")&amp;IF(I464&lt;=0,"Kein Verbrauch; ","")&amp;IF(BO464=1,"Lose – Fläche geschätzt; ","")&amp;IF(G464&gt;AM464,"Überbestand "&amp;ROUND(G464-AM464,0)&amp;" Stk / CHF "&amp;ROUND((G464-AM464)*F464,0)&amp;"; ","")&amp;IF(AND(BT464=1,BU464&lt;BV464),"MAX &lt; MB+LG; ","")&amp;IF(AND(BZ464&gt;0,BY464*10&gt;BZ464),"zu hoch für Tablar; ","")&amp;IF(AND(BK464=0,OR(BT464=1,V464&lt;&gt;"",S464&lt;&gt;"",T464&lt;&gt;"",W464&lt;&gt;"")),"manuell übersteuert; ","")&amp;IF(AND(BO464=0,Q464=0),"Gebinde unbekannt; ","")&amp;IF(AND(BO464=0,N(T464)&lt;=0,N(P464)&lt;=0),"Menge pro Gebinde fehlt (Ist = 1 Gebinde); ","")&amp;BJ464)</f>
        <v/>
      </c>
      <c r="BC464" s="53" t="n"/>
      <c r="BD464" s="53" t="n"/>
      <c r="BE464" s="61" t="n"/>
      <c r="BF464" s="55" t="n">
        <v>26</v>
      </c>
      <c r="BG464" s="55" t="n">
        <v>24</v>
      </c>
      <c r="BH464" s="54" t="n">
        <v>57.2</v>
      </c>
      <c r="BI464" s="55" t="n">
        <v>11</v>
      </c>
      <c r="BJ464" s="53" t="inlineStr"/>
      <c r="BK464" s="58" t="n">
        <v>0</v>
      </c>
      <c r="BL464" s="58" t="n">
        <v>464</v>
      </c>
      <c r="BM464" s="53">
        <f>IF(S464&lt;&gt;"",UPPER(TRIM(S464)),IF(O464="","LOSE",O464))</f>
        <v/>
      </c>
      <c r="BN464" s="55">
        <f>IF(BM464="LOSE",1,IF(N(T464)&gt;0,T464,IF(N(P464)&gt;0,P464,MAX(1,G464))))</f>
        <v/>
      </c>
      <c r="BO464" s="58">
        <f>IF(BM464="LOSE",1,0)</f>
        <v/>
      </c>
      <c r="BP464" s="64">
        <f>IF(BO464=0,0,IF(N(R464)&gt;0,R464,IFERROR(VLOOKUP(D464,Parameter!$A$35:$C$64,3,0)+0,0)))</f>
        <v/>
      </c>
      <c r="BQ464" s="53">
        <f>IF(V464&lt;&gt;"",V464,U464)</f>
        <v/>
      </c>
      <c r="BR464" s="53">
        <f>IF(BQ464=1,"L1",IF(OR(BQ464=2,BQ464=3),"L23",IF(BQ464="Aussen","Aussen","-")))</f>
        <v/>
      </c>
      <c r="BS464" s="66">
        <f>IF(N(W464)&gt;0,W464,0)</f>
        <v/>
      </c>
      <c r="BT464" s="58">
        <f>IF(ISNUMBER(Z464),1,0)</f>
        <v/>
      </c>
      <c r="BU464" s="55">
        <f>N(Z464)</f>
        <v/>
      </c>
      <c r="BV464" s="55">
        <f>N(L464)+N(M464)</f>
        <v/>
      </c>
      <c r="BW464" s="55">
        <f>ROUNDUP(G464/BN464,0)</f>
        <v/>
      </c>
      <c r="BX464" s="55">
        <f>ROUNDUP(BU464/BN464,0)</f>
        <v/>
      </c>
      <c r="BY464" s="58">
        <f>IF(BO464=1,0,IFERROR(VLOOKUP(BM464,'Gebinde-Kategorie'!$A$5:$G$45,5,0)+0,0))</f>
        <v/>
      </c>
      <c r="BZ464" s="58">
        <f>IFERROR(IF(OR(BQ464=1,BQ464=2,BQ464=3),N(INDEX(Parameter!$I$5:$I$7,BQ464)),0),0)</f>
        <v/>
      </c>
    </row>
    <row r="465">
      <c r="A465" s="53" t="inlineStr">
        <is>
          <t>111768</t>
        </is>
      </c>
      <c r="B465" s="53" t="inlineStr">
        <is>
          <t>Blende</t>
        </is>
      </c>
      <c r="C465" s="53" t="inlineStr">
        <is>
          <t>F</t>
        </is>
      </c>
      <c r="D465" s="53" t="inlineStr">
        <is>
          <t>KTL</t>
        </is>
      </c>
      <c r="E465" s="53" t="inlineStr">
        <is>
          <t>C</t>
        </is>
      </c>
      <c r="F465" s="54" t="n">
        <v>1.9</v>
      </c>
      <c r="G465" s="55">
        <f>MAX(0,IF(Parameter!$B$20="Jahresanfang 2025 + Export",BG465+BF465,BF465))</f>
        <v/>
      </c>
      <c r="H465" s="55">
        <f>G465*F465</f>
        <v/>
      </c>
      <c r="I465" s="55">
        <f>BI465*Parameter!$B$18</f>
        <v/>
      </c>
      <c r="J465" s="56" t="n">
        <v>0</v>
      </c>
      <c r="K465" s="57" t="n">
        <v>0</v>
      </c>
      <c r="L465" s="55" t="n">
        <v>0</v>
      </c>
      <c r="M465" s="55" t="n">
        <v>30</v>
      </c>
      <c r="N465" s="58" t="n">
        <v>9999</v>
      </c>
      <c r="O465" s="53" t="inlineStr">
        <is>
          <t>LOSE</t>
        </is>
      </c>
      <c r="P465" s="55" t="n"/>
      <c r="Q465" s="59">
        <f>IF(BO465=1,0,IFERROR(VLOOKUP(BM465,'Gebinde-Kategorie'!$A$5:$G$45,6,0)+0,0))</f>
        <v/>
      </c>
      <c r="R465" s="60" t="n"/>
      <c r="S465" s="61" t="n"/>
      <c r="T465" s="61" t="n"/>
      <c r="U465" s="53">
        <f>IF(A465="","",IF(IFERROR(VLOOKUP(D465,Parameter!$A$35:$C$64,2,0),"Nein")="2+3",IF(ISNUMBER(SEARCH("grosser Artikel",BJ465)),2,IFERROR(VLOOKUP(BM465,Parameter!$F$35:$G$64,2,0),2)),IF(OR(IFERROR(VLOOKUP(D465,Parameter!$A$35:$C$64,2,0),"Nein")="Nein",IFERROR(VLOOKUP(D465,Parameter!$A$35:$C$64,2,0),"Nein")=""),"-",VLOOKUP(D465,Parameter!$A$35:$C$64,2,0))))</f>
        <v/>
      </c>
      <c r="V465" s="61" t="n"/>
      <c r="W465" s="62" t="n"/>
      <c r="X465" s="55">
        <f>AM465</f>
        <v/>
      </c>
      <c r="Y465" s="55">
        <f>MAX(AM465,G465)</f>
        <v/>
      </c>
      <c r="Z465" s="63" t="n"/>
      <c r="AA465" s="55">
        <f>IF(LEFT(Cockpit!$C$5,1)="A",G465,IF(BT465=1,BU465,IF(LEFT(Cockpit!$C$5,1)="B",AE465,MAX(AE465,G465))))</f>
        <v/>
      </c>
      <c r="AB465" s="55">
        <f>IF(BO465=1,0,ROUNDUP(AA465/BN465,0))</f>
        <v/>
      </c>
      <c r="AC465" s="64">
        <f>IF(BO465=1,IF(AA465&lt;=0,0,BP465*MAX(1,IF(G465&gt;0,AA465/G465,1))),AB465*Q465)</f>
        <v/>
      </c>
      <c r="AD465" s="55">
        <f>AA465*F465</f>
        <v/>
      </c>
      <c r="AE465" s="55">
        <f>ROUNDUP(MAX(I465/IF(BS465&gt;0,BS465,MAX(0.1,N(Cockpit!$C$6))),BV465)/BN465,0)*BN465</f>
        <v/>
      </c>
      <c r="AF465" s="56">
        <f>IF(AC465&gt;0,I465/AC465,-1)</f>
        <v/>
      </c>
      <c r="AG465" s="56">
        <f>IF(AND(OR(BR465="L1",BR465="L23"),AC465&gt;0),SUMIFS($AC$7:$AC$1570,$BR$7:$BR$1570,BR465,$AF$7:$AF$1570,"&gt;"&amp;AF465)+SUMIFS($AC$7:$AC$1570,$BR$7:$BR$1570,BR465,$AF$7:$AF$1570,AF465,$BL$7:$BL$1570,"&lt;="&amp;BL465),"")</f>
        <v/>
      </c>
      <c r="AH465" s="65">
        <f>IF(AG465="",0,MAX(0,MIN(1,(IF(BR465="L1",Parameter!$K$5,Parameter!$K$6+Parameter!$K$7)-(AG465-AC465))/AC465)))</f>
        <v/>
      </c>
      <c r="AI465" s="55">
        <f>IF(LEFT(Cockpit!$I$5,1)="A",G465,IF(BT465=1,BU465,IF(LEFT(Cockpit!$I$5,1)="B",AM465,MAX(AM465,G465))))</f>
        <v/>
      </c>
      <c r="AJ465" s="55">
        <f>IF(BO465=1,0,ROUNDUP(AI465/BN465,0))</f>
        <v/>
      </c>
      <c r="AK465" s="64">
        <f>IF(BO465=1,IF(AI465&lt;=0,0,BP465*MAX(1,IF(G465&gt;0,AI465/G465,1))),AJ465*Q465)</f>
        <v/>
      </c>
      <c r="AL465" s="55">
        <f>AI465*F465</f>
        <v/>
      </c>
      <c r="AM465" s="55">
        <f>ROUNDUP(MAX(I465/IF(BS465&gt;0,BS465,MAX(0.1,N(Cockpit!$I$6))),BV465)/BN465,0)*BN465</f>
        <v/>
      </c>
      <c r="AN465" s="56">
        <f>IF(AK465&gt;0,I465/AK465,-1)</f>
        <v/>
      </c>
      <c r="AO465" s="56">
        <f>IF(AND(OR(BR465="L1",BR465="L23"),AK465&gt;0),SUMIFS($AK$7:$AK$1570,$BR$7:$BR$1570,BR465,$AN$7:$AN$1570,"&gt;"&amp;AN465)+SUMIFS($AK$7:$AK$1570,$BR$7:$BR$1570,BR465,$AN$7:$AN$1570,AN465,$BL$7:$BL$1570,"&lt;="&amp;BL465),"")</f>
        <v/>
      </c>
      <c r="AP465" s="65">
        <f>IF(AO465="",0,MAX(0,MIN(1,(IF(BR465="L1",Parameter!$K$5,Parameter!$K$6+Parameter!$K$7)-(AO465-AK465))/AK465)))</f>
        <v/>
      </c>
      <c r="AQ465" s="55">
        <f>IF(LEFT(Cockpit!$O$5,1)="A",G465,IF(BT465=1,BU465,IF(LEFT(Cockpit!$O$5,1)="B",AU465,MAX(AU465,G465))))</f>
        <v/>
      </c>
      <c r="AR465" s="55">
        <f>IF(BO465=1,0,ROUNDUP(AQ465/BN465,0))</f>
        <v/>
      </c>
      <c r="AS465" s="64">
        <f>IF(BO465=1,IF(AQ465&lt;=0,0,BP465*MAX(1,IF(G465&gt;0,AQ465/G465,1))),AR465*Q465)</f>
        <v/>
      </c>
      <c r="AT465" s="55">
        <f>AQ465*F465</f>
        <v/>
      </c>
      <c r="AU465" s="55">
        <f>ROUNDUP(MAX(I465/IF(BS465&gt;0,BS465,MAX(0.1,N(Cockpit!$O$6))),BV465)/BN465,0)*BN465</f>
        <v/>
      </c>
      <c r="AV465" s="56">
        <f>IF(AS465&gt;0,I465/AS465,-1)</f>
        <v/>
      </c>
      <c r="AW465" s="56">
        <f>IF(AND(OR(BR465="L1",BR465="L23"),AS465&gt;0),SUMIFS($AS$7:$AS$1570,$BR$7:$BR$1570,BR465,$AV$7:$AV$1570,"&gt;"&amp;AV465)+SUMIFS($AS$7:$AS$1570,$BR$7:$BR$1570,BR465,$AV$7:$AV$1570,AV465,$BL$7:$BL$1570,"&lt;="&amp;BL465),"")</f>
        <v/>
      </c>
      <c r="AX465" s="65">
        <f>IF(AW465="",0,MAX(0,MIN(1,(IF(BR465="L1",Parameter!$K$5,Parameter!$K$6+Parameter!$K$7)-(AW465-AS465))/AS465)))</f>
        <v/>
      </c>
      <c r="AY465" s="53">
        <f>IF(AC465&lt;=0,"",IF(BR465="Aussen","Aussenlager",IF(BR465="-","Nicht im Lift",IF(AH465&gt;=1,"Lift",IF(AH465&lt;=0,"Aussenlager","teilweise")))))</f>
        <v/>
      </c>
      <c r="AZ465" s="53">
        <f>IF(AK465&lt;=0,"",IF(BR465="Aussen","Aussenlager",IF(BR465="-","Nicht im Lift",IF(AP465&gt;=1,"Lift",IF(AP465&lt;=0,"Aussenlager","teilweise")))))</f>
        <v/>
      </c>
      <c r="BA465" s="53">
        <f>IF(AS465&lt;=0,"",IF(BR465="Aussen","Aussenlager",IF(BR465="-","Nicht im Lift",IF(AX465&gt;=1,"Lift",IF(AX465&lt;=0,"Aussenlager","teilweise")))))</f>
        <v/>
      </c>
      <c r="BB465" s="53">
        <f>IF(A465="","",IF(BK465=1,"Neu; ","")&amp;IF(AND(BK465=0,BF465&lt;0),"negativer Bestand (Export "&amp;BF465&amp;"); ","")&amp;IF(I465&lt;=0,"Kein Verbrauch; ","")&amp;IF(BO465=1,"Lose – Fläche geschätzt; ","")&amp;IF(G465&gt;AM465,"Überbestand "&amp;ROUND(G465-AM465,0)&amp;" Stk / CHF "&amp;ROUND((G465-AM465)*F465,0)&amp;"; ","")&amp;IF(AND(BT465=1,BU465&lt;BV465),"MAX &lt; MB+LG; ","")&amp;IF(AND(BZ465&gt;0,BY465*10&gt;BZ465),"zu hoch für Tablar; ","")&amp;IF(AND(BK465=0,OR(BT465=1,V465&lt;&gt;"",S465&lt;&gt;"",T465&lt;&gt;"",W465&lt;&gt;"")),"manuell übersteuert; ","")&amp;IF(AND(BO465=0,Q465=0),"Gebinde unbekannt; ","")&amp;IF(AND(BO465=0,N(T465)&lt;=0,N(P465)&lt;=0),"Menge pro Gebinde fehlt (Ist = 1 Gebinde); ","")&amp;BJ465)</f>
        <v/>
      </c>
      <c r="BC465" s="53" t="n"/>
      <c r="BD465" s="53" t="n"/>
      <c r="BE465" s="61" t="n"/>
      <c r="BF465" s="55" t="n">
        <v>30</v>
      </c>
      <c r="BG465" s="55" t="n">
        <v>0</v>
      </c>
      <c r="BH465" s="54" t="n">
        <v>57</v>
      </c>
      <c r="BI465" s="55" t="n">
        <v>0</v>
      </c>
      <c r="BJ465" s="53" t="inlineStr"/>
      <c r="BK465" s="58" t="n">
        <v>0</v>
      </c>
      <c r="BL465" s="58" t="n">
        <v>465</v>
      </c>
      <c r="BM465" s="53">
        <f>IF(S465&lt;&gt;"",UPPER(TRIM(S465)),IF(O465="","LOSE",O465))</f>
        <v/>
      </c>
      <c r="BN465" s="55">
        <f>IF(BM465="LOSE",1,IF(N(T465)&gt;0,T465,IF(N(P465)&gt;0,P465,MAX(1,G465))))</f>
        <v/>
      </c>
      <c r="BO465" s="58">
        <f>IF(BM465="LOSE",1,0)</f>
        <v/>
      </c>
      <c r="BP465" s="64">
        <f>IF(BO465=0,0,IF(N(R465)&gt;0,R465,IFERROR(VLOOKUP(D465,Parameter!$A$35:$C$64,3,0)+0,0)))</f>
        <v/>
      </c>
      <c r="BQ465" s="53">
        <f>IF(V465&lt;&gt;"",V465,U465)</f>
        <v/>
      </c>
      <c r="BR465" s="53">
        <f>IF(BQ465=1,"L1",IF(OR(BQ465=2,BQ465=3),"L23",IF(BQ465="Aussen","Aussen","-")))</f>
        <v/>
      </c>
      <c r="BS465" s="66">
        <f>IF(N(W465)&gt;0,W465,0)</f>
        <v/>
      </c>
      <c r="BT465" s="58">
        <f>IF(ISNUMBER(Z465),1,0)</f>
        <v/>
      </c>
      <c r="BU465" s="55">
        <f>N(Z465)</f>
        <v/>
      </c>
      <c r="BV465" s="55">
        <f>N(L465)+N(M465)</f>
        <v/>
      </c>
      <c r="BW465" s="55">
        <f>ROUNDUP(G465/BN465,0)</f>
        <v/>
      </c>
      <c r="BX465" s="55">
        <f>ROUNDUP(BU465/BN465,0)</f>
        <v/>
      </c>
      <c r="BY465" s="58">
        <f>IF(BO465=1,0,IFERROR(VLOOKUP(BM465,'Gebinde-Kategorie'!$A$5:$G$45,5,0)+0,0))</f>
        <v/>
      </c>
      <c r="BZ465" s="58">
        <f>IFERROR(IF(OR(BQ465=1,BQ465=2,BQ465=3),N(INDEX(Parameter!$I$5:$I$7,BQ465)),0),0)</f>
        <v/>
      </c>
    </row>
    <row r="466">
      <c r="A466" s="53" t="inlineStr">
        <is>
          <t>100040</t>
        </is>
      </c>
      <c r="B466" s="53" t="inlineStr">
        <is>
          <t>Sicherungsscheibe</t>
        </is>
      </c>
      <c r="C466" s="53" t="inlineStr">
        <is>
          <t>F</t>
        </is>
      </c>
      <c r="D466" s="53" t="inlineStr">
        <is>
          <t>KTL</t>
        </is>
      </c>
      <c r="E466" s="53" t="inlineStr">
        <is>
          <t>C</t>
        </is>
      </c>
      <c r="F466" s="54" t="n">
        <v>0.17</v>
      </c>
      <c r="G466" s="55">
        <f>MAX(0,IF(Parameter!$B$20="Jahresanfang 2025 + Export",BG466+BF466,BF466))</f>
        <v/>
      </c>
      <c r="H466" s="55">
        <f>G466*F466</f>
        <v/>
      </c>
      <c r="I466" s="55">
        <f>BI466*Parameter!$B$18</f>
        <v/>
      </c>
      <c r="J466" s="56" t="n">
        <v>709</v>
      </c>
      <c r="K466" s="57" t="n">
        <v>4.045133991537377</v>
      </c>
      <c r="L466" s="55" t="n">
        <v>167</v>
      </c>
      <c r="M466" s="55" t="n">
        <v>2000</v>
      </c>
      <c r="N466" s="58" t="n">
        <v>21</v>
      </c>
      <c r="O466" s="53" t="inlineStr">
        <is>
          <t>S41</t>
        </is>
      </c>
      <c r="P466" s="55" t="n">
        <v>895</v>
      </c>
      <c r="Q466" s="59">
        <f>IF(BO466=1,0,IFERROR(VLOOKUP(BM466,'Gebinde-Kategorie'!$A$5:$G$45,6,0)+0,0))</f>
        <v/>
      </c>
      <c r="R466" s="60" t="n"/>
      <c r="S466" s="61" t="n"/>
      <c r="T466" s="61" t="n"/>
      <c r="U466" s="53">
        <f>IF(A466="","",IF(IFERROR(VLOOKUP(D466,Parameter!$A$35:$C$64,2,0),"Nein")="2+3",IF(ISNUMBER(SEARCH("grosser Artikel",BJ466)),2,IFERROR(VLOOKUP(BM466,Parameter!$F$35:$G$64,2,0),2)),IF(OR(IFERROR(VLOOKUP(D466,Parameter!$A$35:$C$64,2,0),"Nein")="Nein",IFERROR(VLOOKUP(D466,Parameter!$A$35:$C$64,2,0),"Nein")=""),"-",VLOOKUP(D466,Parameter!$A$35:$C$64,2,0))))</f>
        <v/>
      </c>
      <c r="V466" s="61" t="n"/>
      <c r="W466" s="62" t="n"/>
      <c r="X466" s="55">
        <f>AM466</f>
        <v/>
      </c>
      <c r="Y466" s="55">
        <f>MAX(AM466,G466)</f>
        <v/>
      </c>
      <c r="Z466" s="63" t="n"/>
      <c r="AA466" s="55">
        <f>IF(LEFT(Cockpit!$C$5,1)="A",G466,IF(BT466=1,BU466,IF(LEFT(Cockpit!$C$5,1)="B",AE466,MAX(AE466,G466))))</f>
        <v/>
      </c>
      <c r="AB466" s="55">
        <f>IF(BO466=1,0,ROUNDUP(AA466/BN466,0))</f>
        <v/>
      </c>
      <c r="AC466" s="64">
        <f>IF(BO466=1,IF(AA466&lt;=0,0,BP466*MAX(1,IF(G466&gt;0,AA466/G466,1))),AB466*Q466)</f>
        <v/>
      </c>
      <c r="AD466" s="55">
        <f>AA466*F466</f>
        <v/>
      </c>
      <c r="AE466" s="55">
        <f>ROUNDUP(MAX(I466/IF(BS466&gt;0,BS466,MAX(0.1,N(Cockpit!$C$6))),BV466)/BN466,0)*BN466</f>
        <v/>
      </c>
      <c r="AF466" s="56">
        <f>IF(AC466&gt;0,I466/AC466,-1)</f>
        <v/>
      </c>
      <c r="AG466" s="56">
        <f>IF(AND(OR(BR466="L1",BR466="L23"),AC466&gt;0),SUMIFS($AC$7:$AC$1570,$BR$7:$BR$1570,BR466,$AF$7:$AF$1570,"&gt;"&amp;AF466)+SUMIFS($AC$7:$AC$1570,$BR$7:$BR$1570,BR466,$AF$7:$AF$1570,AF466,$BL$7:$BL$1570,"&lt;="&amp;BL466),"")</f>
        <v/>
      </c>
      <c r="AH466" s="65">
        <f>IF(AG466="",0,MAX(0,MIN(1,(IF(BR466="L1",Parameter!$K$5,Parameter!$K$6+Parameter!$K$7)-(AG466-AC466))/AC466)))</f>
        <v/>
      </c>
      <c r="AI466" s="55">
        <f>IF(LEFT(Cockpit!$I$5,1)="A",G466,IF(BT466=1,BU466,IF(LEFT(Cockpit!$I$5,1)="B",AM466,MAX(AM466,G466))))</f>
        <v/>
      </c>
      <c r="AJ466" s="55">
        <f>IF(BO466=1,0,ROUNDUP(AI466/BN466,0))</f>
        <v/>
      </c>
      <c r="AK466" s="64">
        <f>IF(BO466=1,IF(AI466&lt;=0,0,BP466*MAX(1,IF(G466&gt;0,AI466/G466,1))),AJ466*Q466)</f>
        <v/>
      </c>
      <c r="AL466" s="55">
        <f>AI466*F466</f>
        <v/>
      </c>
      <c r="AM466" s="55">
        <f>ROUNDUP(MAX(I466/IF(BS466&gt;0,BS466,MAX(0.1,N(Cockpit!$I$6))),BV466)/BN466,0)*BN466</f>
        <v/>
      </c>
      <c r="AN466" s="56">
        <f>IF(AK466&gt;0,I466/AK466,-1)</f>
        <v/>
      </c>
      <c r="AO466" s="56">
        <f>IF(AND(OR(BR466="L1",BR466="L23"),AK466&gt;0),SUMIFS($AK$7:$AK$1570,$BR$7:$BR$1570,BR466,$AN$7:$AN$1570,"&gt;"&amp;AN466)+SUMIFS($AK$7:$AK$1570,$BR$7:$BR$1570,BR466,$AN$7:$AN$1570,AN466,$BL$7:$BL$1570,"&lt;="&amp;BL466),"")</f>
        <v/>
      </c>
      <c r="AP466" s="65">
        <f>IF(AO466="",0,MAX(0,MIN(1,(IF(BR466="L1",Parameter!$K$5,Parameter!$K$6+Parameter!$K$7)-(AO466-AK466))/AK466)))</f>
        <v/>
      </c>
      <c r="AQ466" s="55">
        <f>IF(LEFT(Cockpit!$O$5,1)="A",G466,IF(BT466=1,BU466,IF(LEFT(Cockpit!$O$5,1)="B",AU466,MAX(AU466,G466))))</f>
        <v/>
      </c>
      <c r="AR466" s="55">
        <f>IF(BO466=1,0,ROUNDUP(AQ466/BN466,0))</f>
        <v/>
      </c>
      <c r="AS466" s="64">
        <f>IF(BO466=1,IF(AQ466&lt;=0,0,BP466*MAX(1,IF(G466&gt;0,AQ466/G466,1))),AR466*Q466)</f>
        <v/>
      </c>
      <c r="AT466" s="55">
        <f>AQ466*F466</f>
        <v/>
      </c>
      <c r="AU466" s="55">
        <f>ROUNDUP(MAX(I466/IF(BS466&gt;0,BS466,MAX(0.1,N(Cockpit!$O$6))),BV466)/BN466,0)*BN466</f>
        <v/>
      </c>
      <c r="AV466" s="56">
        <f>IF(AS466&gt;0,I466/AS466,-1)</f>
        <v/>
      </c>
      <c r="AW466" s="56">
        <f>IF(AND(OR(BR466="L1",BR466="L23"),AS466&gt;0),SUMIFS($AS$7:$AS$1570,$BR$7:$BR$1570,BR466,$AV$7:$AV$1570,"&gt;"&amp;AV466)+SUMIFS($AS$7:$AS$1570,$BR$7:$BR$1570,BR466,$AV$7:$AV$1570,AV466,$BL$7:$BL$1570,"&lt;="&amp;BL466),"")</f>
        <v/>
      </c>
      <c r="AX466" s="65">
        <f>IF(AW466="",0,MAX(0,MIN(1,(IF(BR466="L1",Parameter!$K$5,Parameter!$K$6+Parameter!$K$7)-(AW466-AS466))/AS466)))</f>
        <v/>
      </c>
      <c r="AY466" s="53">
        <f>IF(AC466&lt;=0,"",IF(BR466="Aussen","Aussenlager",IF(BR466="-","Nicht im Lift",IF(AH466&gt;=1,"Lift",IF(AH466&lt;=0,"Aussenlager","teilweise")))))</f>
        <v/>
      </c>
      <c r="AZ466" s="53">
        <f>IF(AK466&lt;=0,"",IF(BR466="Aussen","Aussenlager",IF(BR466="-","Nicht im Lift",IF(AP466&gt;=1,"Lift",IF(AP466&lt;=0,"Aussenlager","teilweise")))))</f>
        <v/>
      </c>
      <c r="BA466" s="53">
        <f>IF(AS466&lt;=0,"",IF(BR466="Aussen","Aussenlager",IF(BR466="-","Nicht im Lift",IF(AX466&gt;=1,"Lift",IF(AX466&lt;=0,"Aussenlager","teilweise")))))</f>
        <v/>
      </c>
      <c r="BB466" s="53">
        <f>IF(A466="","",IF(BK466=1,"Neu; ","")&amp;IF(AND(BK466=0,BF466&lt;0),"negativer Bestand (Export "&amp;BF466&amp;"); ","")&amp;IF(I466&lt;=0,"Kein Verbrauch; ","")&amp;IF(BO466=1,"Lose – Fläche geschätzt; ","")&amp;IF(G466&gt;AM466,"Überbestand "&amp;ROUND(G466-AM466,0)&amp;" Stk / CHF "&amp;ROUND((G466-AM466)*F466,0)&amp;"; ","")&amp;IF(AND(BT466=1,BU466&lt;BV466),"MAX &lt; MB+LG; ","")&amp;IF(AND(BZ466&gt;0,BY466*10&gt;BZ466),"zu hoch für Tablar; ","")&amp;IF(AND(BK466=0,OR(BT466=1,V466&lt;&gt;"",S466&lt;&gt;"",T466&lt;&gt;"",W466&lt;&gt;"")),"manuell übersteuert; ","")&amp;IF(AND(BO466=0,Q466=0),"Gebinde unbekannt; ","")&amp;IF(AND(BO466=0,N(T466)&lt;=0,N(P466)&lt;=0),"Menge pro Gebinde fehlt (Ist = 1 Gebinde); ","")&amp;BJ466)</f>
        <v/>
      </c>
      <c r="BC466" s="53" t="n"/>
      <c r="BD466" s="53" t="n"/>
      <c r="BE466" s="61" t="n"/>
      <c r="BF466" s="55" t="n">
        <v>334</v>
      </c>
      <c r="BG466" s="55" t="n">
        <v>524</v>
      </c>
      <c r="BH466" s="54" t="n">
        <v>56.77999999999987</v>
      </c>
      <c r="BI466" s="55" t="n">
        <v>2868</v>
      </c>
      <c r="BJ466" s="53" t="inlineStr"/>
      <c r="BK466" s="58" t="n">
        <v>0</v>
      </c>
      <c r="BL466" s="58" t="n">
        <v>466</v>
      </c>
      <c r="BM466" s="53">
        <f>IF(S466&lt;&gt;"",UPPER(TRIM(S466)),IF(O466="","LOSE",O466))</f>
        <v/>
      </c>
      <c r="BN466" s="55">
        <f>IF(BM466="LOSE",1,IF(N(T466)&gt;0,T466,IF(N(P466)&gt;0,P466,MAX(1,G466))))</f>
        <v/>
      </c>
      <c r="BO466" s="58">
        <f>IF(BM466="LOSE",1,0)</f>
        <v/>
      </c>
      <c r="BP466" s="64">
        <f>IF(BO466=0,0,IF(N(R466)&gt;0,R466,IFERROR(VLOOKUP(D466,Parameter!$A$35:$C$64,3,0)+0,0)))</f>
        <v/>
      </c>
      <c r="BQ466" s="53">
        <f>IF(V466&lt;&gt;"",V466,U466)</f>
        <v/>
      </c>
      <c r="BR466" s="53">
        <f>IF(BQ466=1,"L1",IF(OR(BQ466=2,BQ466=3),"L23",IF(BQ466="Aussen","Aussen","-")))</f>
        <v/>
      </c>
      <c r="BS466" s="66">
        <f>IF(N(W466)&gt;0,W466,0)</f>
        <v/>
      </c>
      <c r="BT466" s="58">
        <f>IF(ISNUMBER(Z466),1,0)</f>
        <v/>
      </c>
      <c r="BU466" s="55">
        <f>N(Z466)</f>
        <v/>
      </c>
      <c r="BV466" s="55">
        <f>N(L466)+N(M466)</f>
        <v/>
      </c>
      <c r="BW466" s="55">
        <f>ROUNDUP(G466/BN466,0)</f>
        <v/>
      </c>
      <c r="BX466" s="55">
        <f>ROUNDUP(BU466/BN466,0)</f>
        <v/>
      </c>
      <c r="BY466" s="58">
        <f>IF(BO466=1,0,IFERROR(VLOOKUP(BM466,'Gebinde-Kategorie'!$A$5:$G$45,5,0)+0,0))</f>
        <v/>
      </c>
      <c r="BZ466" s="58">
        <f>IFERROR(IF(OR(BQ466=1,BQ466=2,BQ466=3),N(INDEX(Parameter!$I$5:$I$7,BQ466)),0),0)</f>
        <v/>
      </c>
    </row>
    <row r="467">
      <c r="A467" s="53" t="inlineStr">
        <is>
          <t>106115</t>
        </is>
      </c>
      <c r="B467" s="53" t="inlineStr">
        <is>
          <t>O-Ring</t>
        </is>
      </c>
      <c r="C467" s="53" t="inlineStr">
        <is>
          <t>F</t>
        </is>
      </c>
      <c r="D467" s="53" t="inlineStr">
        <is>
          <t>KTL</t>
        </is>
      </c>
      <c r="E467" s="53" t="inlineStr">
        <is>
          <t>C</t>
        </is>
      </c>
      <c r="F467" s="54" t="n">
        <v>0.15</v>
      </c>
      <c r="G467" s="55">
        <f>MAX(0,IF(Parameter!$B$20="Jahresanfang 2025 + Export",BG467+BF467,BF467))</f>
        <v/>
      </c>
      <c r="H467" s="55">
        <f>G467*F467</f>
        <v/>
      </c>
      <c r="I467" s="55">
        <f>BI467*Parameter!$B$18</f>
        <v/>
      </c>
      <c r="J467" s="56" t="n">
        <v>234.5</v>
      </c>
      <c r="K467" s="57" t="n">
        <v>3.044776119402985</v>
      </c>
      <c r="L467" s="55" t="n">
        <v>27</v>
      </c>
      <c r="M467" s="55" t="n">
        <v>715</v>
      </c>
      <c r="N467" s="58" t="n">
        <v>14</v>
      </c>
      <c r="O467" s="53" t="inlineStr">
        <is>
          <t>S22</t>
        </is>
      </c>
      <c r="P467" s="55" t="n">
        <v>194</v>
      </c>
      <c r="Q467" s="59">
        <f>IF(BO467=1,0,IFERROR(VLOOKUP(BM467,'Gebinde-Kategorie'!$A$5:$G$45,6,0)+0,0))</f>
        <v/>
      </c>
      <c r="R467" s="60" t="n"/>
      <c r="S467" s="61" t="n"/>
      <c r="T467" s="61" t="n"/>
      <c r="U467" s="53">
        <f>IF(A467="","",IF(IFERROR(VLOOKUP(D467,Parameter!$A$35:$C$64,2,0),"Nein")="2+3",IF(ISNUMBER(SEARCH("grosser Artikel",BJ467)),2,IFERROR(VLOOKUP(BM467,Parameter!$F$35:$G$64,2,0),2)),IF(OR(IFERROR(VLOOKUP(D467,Parameter!$A$35:$C$64,2,0),"Nein")="Nein",IFERROR(VLOOKUP(D467,Parameter!$A$35:$C$64,2,0),"Nein")=""),"-",VLOOKUP(D467,Parameter!$A$35:$C$64,2,0))))</f>
        <v/>
      </c>
      <c r="V467" s="61" t="n"/>
      <c r="W467" s="62" t="n"/>
      <c r="X467" s="55">
        <f>AM467</f>
        <v/>
      </c>
      <c r="Y467" s="55">
        <f>MAX(AM467,G467)</f>
        <v/>
      </c>
      <c r="Z467" s="63" t="n"/>
      <c r="AA467" s="55">
        <f>IF(LEFT(Cockpit!$C$5,1)="A",G467,IF(BT467=1,BU467,IF(LEFT(Cockpit!$C$5,1)="B",AE467,MAX(AE467,G467))))</f>
        <v/>
      </c>
      <c r="AB467" s="55">
        <f>IF(BO467=1,0,ROUNDUP(AA467/BN467,0))</f>
        <v/>
      </c>
      <c r="AC467" s="64">
        <f>IF(BO467=1,IF(AA467&lt;=0,0,BP467*MAX(1,IF(G467&gt;0,AA467/G467,1))),AB467*Q467)</f>
        <v/>
      </c>
      <c r="AD467" s="55">
        <f>AA467*F467</f>
        <v/>
      </c>
      <c r="AE467" s="55">
        <f>ROUNDUP(MAX(I467/IF(BS467&gt;0,BS467,MAX(0.1,N(Cockpit!$C$6))),BV467)/BN467,0)*BN467</f>
        <v/>
      </c>
      <c r="AF467" s="56">
        <f>IF(AC467&gt;0,I467/AC467,-1)</f>
        <v/>
      </c>
      <c r="AG467" s="56">
        <f>IF(AND(OR(BR467="L1",BR467="L23"),AC467&gt;0),SUMIFS($AC$7:$AC$1570,$BR$7:$BR$1570,BR467,$AF$7:$AF$1570,"&gt;"&amp;AF467)+SUMIFS($AC$7:$AC$1570,$BR$7:$BR$1570,BR467,$AF$7:$AF$1570,AF467,$BL$7:$BL$1570,"&lt;="&amp;BL467),"")</f>
        <v/>
      </c>
      <c r="AH467" s="65">
        <f>IF(AG467="",0,MAX(0,MIN(1,(IF(BR467="L1",Parameter!$K$5,Parameter!$K$6+Parameter!$K$7)-(AG467-AC467))/AC467)))</f>
        <v/>
      </c>
      <c r="AI467" s="55">
        <f>IF(LEFT(Cockpit!$I$5,1)="A",G467,IF(BT467=1,BU467,IF(LEFT(Cockpit!$I$5,1)="B",AM467,MAX(AM467,G467))))</f>
        <v/>
      </c>
      <c r="AJ467" s="55">
        <f>IF(BO467=1,0,ROUNDUP(AI467/BN467,0))</f>
        <v/>
      </c>
      <c r="AK467" s="64">
        <f>IF(BO467=1,IF(AI467&lt;=0,0,BP467*MAX(1,IF(G467&gt;0,AI467/G467,1))),AJ467*Q467)</f>
        <v/>
      </c>
      <c r="AL467" s="55">
        <f>AI467*F467</f>
        <v/>
      </c>
      <c r="AM467" s="55">
        <f>ROUNDUP(MAX(I467/IF(BS467&gt;0,BS467,MAX(0.1,N(Cockpit!$I$6))),BV467)/BN467,0)*BN467</f>
        <v/>
      </c>
      <c r="AN467" s="56">
        <f>IF(AK467&gt;0,I467/AK467,-1)</f>
        <v/>
      </c>
      <c r="AO467" s="56">
        <f>IF(AND(OR(BR467="L1",BR467="L23"),AK467&gt;0),SUMIFS($AK$7:$AK$1570,$BR$7:$BR$1570,BR467,$AN$7:$AN$1570,"&gt;"&amp;AN467)+SUMIFS($AK$7:$AK$1570,$BR$7:$BR$1570,BR467,$AN$7:$AN$1570,AN467,$BL$7:$BL$1570,"&lt;="&amp;BL467),"")</f>
        <v/>
      </c>
      <c r="AP467" s="65">
        <f>IF(AO467="",0,MAX(0,MIN(1,(IF(BR467="L1",Parameter!$K$5,Parameter!$K$6+Parameter!$K$7)-(AO467-AK467))/AK467)))</f>
        <v/>
      </c>
      <c r="AQ467" s="55">
        <f>IF(LEFT(Cockpit!$O$5,1)="A",G467,IF(BT467=1,BU467,IF(LEFT(Cockpit!$O$5,1)="B",AU467,MAX(AU467,G467))))</f>
        <v/>
      </c>
      <c r="AR467" s="55">
        <f>IF(BO467=1,0,ROUNDUP(AQ467/BN467,0))</f>
        <v/>
      </c>
      <c r="AS467" s="64">
        <f>IF(BO467=1,IF(AQ467&lt;=0,0,BP467*MAX(1,IF(G467&gt;0,AQ467/G467,1))),AR467*Q467)</f>
        <v/>
      </c>
      <c r="AT467" s="55">
        <f>AQ467*F467</f>
        <v/>
      </c>
      <c r="AU467" s="55">
        <f>ROUNDUP(MAX(I467/IF(BS467&gt;0,BS467,MAX(0.1,N(Cockpit!$O$6))),BV467)/BN467,0)*BN467</f>
        <v/>
      </c>
      <c r="AV467" s="56">
        <f>IF(AS467&gt;0,I467/AS467,-1)</f>
        <v/>
      </c>
      <c r="AW467" s="56">
        <f>IF(AND(OR(BR467="L1",BR467="L23"),AS467&gt;0),SUMIFS($AS$7:$AS$1570,$BR$7:$BR$1570,BR467,$AV$7:$AV$1570,"&gt;"&amp;AV467)+SUMIFS($AS$7:$AS$1570,$BR$7:$BR$1570,BR467,$AV$7:$AV$1570,AV467,$BL$7:$BL$1570,"&lt;="&amp;BL467),"")</f>
        <v/>
      </c>
      <c r="AX467" s="65">
        <f>IF(AW467="",0,MAX(0,MIN(1,(IF(BR467="L1",Parameter!$K$5,Parameter!$K$6+Parameter!$K$7)-(AW467-AS467))/AS467)))</f>
        <v/>
      </c>
      <c r="AY467" s="53">
        <f>IF(AC467&lt;=0,"",IF(BR467="Aussen","Aussenlager",IF(BR467="-","Nicht im Lift",IF(AH467&gt;=1,"Lift",IF(AH467&lt;=0,"Aussenlager","teilweise")))))</f>
        <v/>
      </c>
      <c r="AZ467" s="53">
        <f>IF(AK467&lt;=0,"",IF(BR467="Aussen","Aussenlager",IF(BR467="-","Nicht im Lift",IF(AP467&gt;=1,"Lift",IF(AP467&lt;=0,"Aussenlager","teilweise")))))</f>
        <v/>
      </c>
      <c r="BA467" s="53">
        <f>IF(AS467&lt;=0,"",IF(BR467="Aussen","Aussenlager",IF(BR467="-","Nicht im Lift",IF(AX467&gt;=1,"Lift",IF(AX467&lt;=0,"Aussenlager","teilweise")))))</f>
        <v/>
      </c>
      <c r="BB467" s="53">
        <f>IF(A467="","",IF(BK467=1,"Neu; ","")&amp;IF(AND(BK467=0,BF467&lt;0),"negativer Bestand (Export "&amp;BF467&amp;"); ","")&amp;IF(I467&lt;=0,"Kein Verbrauch; ","")&amp;IF(BO467=1,"Lose – Fläche geschätzt; ","")&amp;IF(G467&gt;AM467,"Überbestand "&amp;ROUND(G467-AM467,0)&amp;" Stk / CHF "&amp;ROUND((G467-AM467)*F467,0)&amp;"; ","")&amp;IF(AND(BT467=1,BU467&lt;BV467),"MAX &lt; MB+LG; ","")&amp;IF(AND(BZ467&gt;0,BY467*10&gt;BZ467),"zu hoch für Tablar; ","")&amp;IF(AND(BK467=0,OR(BT467=1,V467&lt;&gt;"",S467&lt;&gt;"",T467&lt;&gt;"",W467&lt;&gt;"")),"manuell übersteuert; ","")&amp;IF(AND(BO467=0,Q467=0),"Gebinde unbekannt; ","")&amp;IF(AND(BO467=0,N(T467)&lt;=0,N(P467)&lt;=0),"Menge pro Gebinde fehlt (Ist = 1 Gebinde); ","")&amp;BJ467)</f>
        <v/>
      </c>
      <c r="BC467" s="53" t="n"/>
      <c r="BD467" s="53" t="n"/>
      <c r="BE467" s="61" t="n"/>
      <c r="BF467" s="55" t="n">
        <v>392</v>
      </c>
      <c r="BG467" s="55" t="n">
        <v>145</v>
      </c>
      <c r="BH467" s="54" t="n">
        <v>55.98000000000001</v>
      </c>
      <c r="BI467" s="55" t="n">
        <v>714</v>
      </c>
      <c r="BJ467" s="53" t="inlineStr"/>
      <c r="BK467" s="58" t="n">
        <v>0</v>
      </c>
      <c r="BL467" s="58" t="n">
        <v>467</v>
      </c>
      <c r="BM467" s="53">
        <f>IF(S467&lt;&gt;"",UPPER(TRIM(S467)),IF(O467="","LOSE",O467))</f>
        <v/>
      </c>
      <c r="BN467" s="55">
        <f>IF(BM467="LOSE",1,IF(N(T467)&gt;0,T467,IF(N(P467)&gt;0,P467,MAX(1,G467))))</f>
        <v/>
      </c>
      <c r="BO467" s="58">
        <f>IF(BM467="LOSE",1,0)</f>
        <v/>
      </c>
      <c r="BP467" s="64">
        <f>IF(BO467=0,0,IF(N(R467)&gt;0,R467,IFERROR(VLOOKUP(D467,Parameter!$A$35:$C$64,3,0)+0,0)))</f>
        <v/>
      </c>
      <c r="BQ467" s="53">
        <f>IF(V467&lt;&gt;"",V467,U467)</f>
        <v/>
      </c>
      <c r="BR467" s="53">
        <f>IF(BQ467=1,"L1",IF(OR(BQ467=2,BQ467=3),"L23",IF(BQ467="Aussen","Aussen","-")))</f>
        <v/>
      </c>
      <c r="BS467" s="66">
        <f>IF(N(W467)&gt;0,W467,0)</f>
        <v/>
      </c>
      <c r="BT467" s="58">
        <f>IF(ISNUMBER(Z467),1,0)</f>
        <v/>
      </c>
      <c r="BU467" s="55">
        <f>N(Z467)</f>
        <v/>
      </c>
      <c r="BV467" s="55">
        <f>N(L467)+N(M467)</f>
        <v/>
      </c>
      <c r="BW467" s="55">
        <f>ROUNDUP(G467/BN467,0)</f>
        <v/>
      </c>
      <c r="BX467" s="55">
        <f>ROUNDUP(BU467/BN467,0)</f>
        <v/>
      </c>
      <c r="BY467" s="58">
        <f>IF(BO467=1,0,IFERROR(VLOOKUP(BM467,'Gebinde-Kategorie'!$A$5:$G$45,5,0)+0,0))</f>
        <v/>
      </c>
      <c r="BZ467" s="58">
        <f>IFERROR(IF(OR(BQ467=1,BQ467=2,BQ467=3),N(INDEX(Parameter!$I$5:$I$7,BQ467)),0),0)</f>
        <v/>
      </c>
    </row>
    <row r="468">
      <c r="A468" s="53" t="inlineStr">
        <is>
          <t>005632</t>
        </is>
      </c>
      <c r="B468" s="53" t="inlineStr">
        <is>
          <t>Schaltschrank-Schlüssel</t>
        </is>
      </c>
      <c r="C468" s="53" t="inlineStr">
        <is>
          <t>F</t>
        </is>
      </c>
      <c r="D468" s="53" t="inlineStr">
        <is>
          <t>KTL</t>
        </is>
      </c>
      <c r="E468" s="53" t="inlineStr">
        <is>
          <t>C</t>
        </is>
      </c>
      <c r="F468" s="54" t="n">
        <v>7.36</v>
      </c>
      <c r="G468" s="55">
        <f>MAX(0,IF(Parameter!$B$20="Jahresanfang 2025 + Export",BG468+BF468,BF468))</f>
        <v/>
      </c>
      <c r="H468" s="55">
        <f>G468*F468</f>
        <v/>
      </c>
      <c r="I468" s="55">
        <f>BI468*Parameter!$B$18</f>
        <v/>
      </c>
      <c r="J468" s="56" t="n">
        <v>7.5</v>
      </c>
      <c r="K468" s="57" t="n">
        <v>0.1333333333333333</v>
      </c>
      <c r="L468" s="55" t="n">
        <v>0</v>
      </c>
      <c r="M468" s="55" t="n">
        <v>1</v>
      </c>
      <c r="N468" s="58" t="n">
        <v>21</v>
      </c>
      <c r="O468" s="53" t="inlineStr">
        <is>
          <t>LOSE</t>
        </is>
      </c>
      <c r="P468" s="55" t="n"/>
      <c r="Q468" s="59">
        <f>IF(BO468=1,0,IFERROR(VLOOKUP(BM468,'Gebinde-Kategorie'!$A$5:$G$45,6,0)+0,0))</f>
        <v/>
      </c>
      <c r="R468" s="60" t="n"/>
      <c r="S468" s="61" t="n"/>
      <c r="T468" s="61" t="n"/>
      <c r="U468" s="53">
        <f>IF(A468="","",IF(IFERROR(VLOOKUP(D468,Parameter!$A$35:$C$64,2,0),"Nein")="2+3",IF(ISNUMBER(SEARCH("grosser Artikel",BJ468)),2,IFERROR(VLOOKUP(BM468,Parameter!$F$35:$G$64,2,0),2)),IF(OR(IFERROR(VLOOKUP(D468,Parameter!$A$35:$C$64,2,0),"Nein")="Nein",IFERROR(VLOOKUP(D468,Parameter!$A$35:$C$64,2,0),"Nein")=""),"-",VLOOKUP(D468,Parameter!$A$35:$C$64,2,0))))</f>
        <v/>
      </c>
      <c r="V468" s="61" t="n"/>
      <c r="W468" s="62" t="n"/>
      <c r="X468" s="55">
        <f>AM468</f>
        <v/>
      </c>
      <c r="Y468" s="55">
        <f>MAX(AM468,G468)</f>
        <v/>
      </c>
      <c r="Z468" s="63" t="n"/>
      <c r="AA468" s="55">
        <f>IF(LEFT(Cockpit!$C$5,1)="A",G468,IF(BT468=1,BU468,IF(LEFT(Cockpit!$C$5,1)="B",AE468,MAX(AE468,G468))))</f>
        <v/>
      </c>
      <c r="AB468" s="55">
        <f>IF(BO468=1,0,ROUNDUP(AA468/BN468,0))</f>
        <v/>
      </c>
      <c r="AC468" s="64">
        <f>IF(BO468=1,IF(AA468&lt;=0,0,BP468*MAX(1,IF(G468&gt;0,AA468/G468,1))),AB468*Q468)</f>
        <v/>
      </c>
      <c r="AD468" s="55">
        <f>AA468*F468</f>
        <v/>
      </c>
      <c r="AE468" s="55">
        <f>ROUNDUP(MAX(I468/IF(BS468&gt;0,BS468,MAX(0.1,N(Cockpit!$C$6))),BV468)/BN468,0)*BN468</f>
        <v/>
      </c>
      <c r="AF468" s="56">
        <f>IF(AC468&gt;0,I468/AC468,-1)</f>
        <v/>
      </c>
      <c r="AG468" s="56">
        <f>IF(AND(OR(BR468="L1",BR468="L23"),AC468&gt;0),SUMIFS($AC$7:$AC$1570,$BR$7:$BR$1570,BR468,$AF$7:$AF$1570,"&gt;"&amp;AF468)+SUMIFS($AC$7:$AC$1570,$BR$7:$BR$1570,BR468,$AF$7:$AF$1570,AF468,$BL$7:$BL$1570,"&lt;="&amp;BL468),"")</f>
        <v/>
      </c>
      <c r="AH468" s="65">
        <f>IF(AG468="",0,MAX(0,MIN(1,(IF(BR468="L1",Parameter!$K$5,Parameter!$K$6+Parameter!$K$7)-(AG468-AC468))/AC468)))</f>
        <v/>
      </c>
      <c r="AI468" s="55">
        <f>IF(LEFT(Cockpit!$I$5,1)="A",G468,IF(BT468=1,BU468,IF(LEFT(Cockpit!$I$5,1)="B",AM468,MAX(AM468,G468))))</f>
        <v/>
      </c>
      <c r="AJ468" s="55">
        <f>IF(BO468=1,0,ROUNDUP(AI468/BN468,0))</f>
        <v/>
      </c>
      <c r="AK468" s="64">
        <f>IF(BO468=1,IF(AI468&lt;=0,0,BP468*MAX(1,IF(G468&gt;0,AI468/G468,1))),AJ468*Q468)</f>
        <v/>
      </c>
      <c r="AL468" s="55">
        <f>AI468*F468</f>
        <v/>
      </c>
      <c r="AM468" s="55">
        <f>ROUNDUP(MAX(I468/IF(BS468&gt;0,BS468,MAX(0.1,N(Cockpit!$I$6))),BV468)/BN468,0)*BN468</f>
        <v/>
      </c>
      <c r="AN468" s="56">
        <f>IF(AK468&gt;0,I468/AK468,-1)</f>
        <v/>
      </c>
      <c r="AO468" s="56">
        <f>IF(AND(OR(BR468="L1",BR468="L23"),AK468&gt;0),SUMIFS($AK$7:$AK$1570,$BR$7:$BR$1570,BR468,$AN$7:$AN$1570,"&gt;"&amp;AN468)+SUMIFS($AK$7:$AK$1570,$BR$7:$BR$1570,BR468,$AN$7:$AN$1570,AN468,$BL$7:$BL$1570,"&lt;="&amp;BL468),"")</f>
        <v/>
      </c>
      <c r="AP468" s="65">
        <f>IF(AO468="",0,MAX(0,MIN(1,(IF(BR468="L1",Parameter!$K$5,Parameter!$K$6+Parameter!$K$7)-(AO468-AK468))/AK468)))</f>
        <v/>
      </c>
      <c r="AQ468" s="55">
        <f>IF(LEFT(Cockpit!$O$5,1)="A",G468,IF(BT468=1,BU468,IF(LEFT(Cockpit!$O$5,1)="B",AU468,MAX(AU468,G468))))</f>
        <v/>
      </c>
      <c r="AR468" s="55">
        <f>IF(BO468=1,0,ROUNDUP(AQ468/BN468,0))</f>
        <v/>
      </c>
      <c r="AS468" s="64">
        <f>IF(BO468=1,IF(AQ468&lt;=0,0,BP468*MAX(1,IF(G468&gt;0,AQ468/G468,1))),AR468*Q468)</f>
        <v/>
      </c>
      <c r="AT468" s="55">
        <f>AQ468*F468</f>
        <v/>
      </c>
      <c r="AU468" s="55">
        <f>ROUNDUP(MAX(I468/IF(BS468&gt;0,BS468,MAX(0.1,N(Cockpit!$O$6))),BV468)/BN468,0)*BN468</f>
        <v/>
      </c>
      <c r="AV468" s="56">
        <f>IF(AS468&gt;0,I468/AS468,-1)</f>
        <v/>
      </c>
      <c r="AW468" s="56">
        <f>IF(AND(OR(BR468="L1",BR468="L23"),AS468&gt;0),SUMIFS($AS$7:$AS$1570,$BR$7:$BR$1570,BR468,$AV$7:$AV$1570,"&gt;"&amp;AV468)+SUMIFS($AS$7:$AS$1570,$BR$7:$BR$1570,BR468,$AV$7:$AV$1570,AV468,$BL$7:$BL$1570,"&lt;="&amp;BL468),"")</f>
        <v/>
      </c>
      <c r="AX468" s="65">
        <f>IF(AW468="",0,MAX(0,MIN(1,(IF(BR468="L1",Parameter!$K$5,Parameter!$K$6+Parameter!$K$7)-(AW468-AS468))/AS468)))</f>
        <v/>
      </c>
      <c r="AY468" s="53">
        <f>IF(AC468&lt;=0,"",IF(BR468="Aussen","Aussenlager",IF(BR468="-","Nicht im Lift",IF(AH468&gt;=1,"Lift",IF(AH468&lt;=0,"Aussenlager","teilweise")))))</f>
        <v/>
      </c>
      <c r="AZ468" s="53">
        <f>IF(AK468&lt;=0,"",IF(BR468="Aussen","Aussenlager",IF(BR468="-","Nicht im Lift",IF(AP468&gt;=1,"Lift",IF(AP468&lt;=0,"Aussenlager","teilweise")))))</f>
        <v/>
      </c>
      <c r="BA468" s="53">
        <f>IF(AS468&lt;=0,"",IF(BR468="Aussen","Aussenlager",IF(BR468="-","Nicht im Lift",IF(AX468&gt;=1,"Lift",IF(AX468&lt;=0,"Aussenlager","teilweise")))))</f>
        <v/>
      </c>
      <c r="BB468" s="53">
        <f>IF(A468="","",IF(BK468=1,"Neu; ","")&amp;IF(AND(BK468=0,BF468&lt;0),"negativer Bestand (Export "&amp;BF468&amp;"); ","")&amp;IF(I468&lt;=0,"Kein Verbrauch; ","")&amp;IF(BO468=1,"Lose – Fläche geschätzt; ","")&amp;IF(G468&gt;AM468,"Überbestand "&amp;ROUND(G468-AM468,0)&amp;" Stk / CHF "&amp;ROUND((G468-AM468)*F468,0)&amp;"; ","")&amp;IF(AND(BT468=1,BU468&lt;BV468),"MAX &lt; MB+LG; ","")&amp;IF(AND(BZ468&gt;0,BY468*10&gt;BZ468),"zu hoch für Tablar; ","")&amp;IF(AND(BK468=0,OR(BT468=1,V468&lt;&gt;"",S468&lt;&gt;"",T468&lt;&gt;"",W468&lt;&gt;"")),"manuell übersteuert; ","")&amp;IF(AND(BO468=0,Q468=0),"Gebinde unbekannt; ","")&amp;IF(AND(BO468=0,N(T468)&lt;=0,N(P468)&lt;=0),"Menge pro Gebinde fehlt (Ist = 1 Gebinde); ","")&amp;BJ468)</f>
        <v/>
      </c>
      <c r="BC468" s="53" t="n"/>
      <c r="BD468" s="53" t="n"/>
      <c r="BE468" s="61" t="n"/>
      <c r="BF468" s="55" t="n">
        <v>9</v>
      </c>
      <c r="BG468" s="55" t="n">
        <v>8</v>
      </c>
      <c r="BH468" s="54" t="n">
        <v>55.35999999999999</v>
      </c>
      <c r="BI468" s="55" t="n">
        <v>1</v>
      </c>
      <c r="BJ468" s="53" t="inlineStr"/>
      <c r="BK468" s="58" t="n">
        <v>0</v>
      </c>
      <c r="BL468" s="58" t="n">
        <v>468</v>
      </c>
      <c r="BM468" s="53">
        <f>IF(S468&lt;&gt;"",UPPER(TRIM(S468)),IF(O468="","LOSE",O468))</f>
        <v/>
      </c>
      <c r="BN468" s="55">
        <f>IF(BM468="LOSE",1,IF(N(T468)&gt;0,T468,IF(N(P468)&gt;0,P468,MAX(1,G468))))</f>
        <v/>
      </c>
      <c r="BO468" s="58">
        <f>IF(BM468="LOSE",1,0)</f>
        <v/>
      </c>
      <c r="BP468" s="64">
        <f>IF(BO468=0,0,IF(N(R468)&gt;0,R468,IFERROR(VLOOKUP(D468,Parameter!$A$35:$C$64,3,0)+0,0)))</f>
        <v/>
      </c>
      <c r="BQ468" s="53">
        <f>IF(V468&lt;&gt;"",V468,U468)</f>
        <v/>
      </c>
      <c r="BR468" s="53">
        <f>IF(BQ468=1,"L1",IF(OR(BQ468=2,BQ468=3),"L23",IF(BQ468="Aussen","Aussen","-")))</f>
        <v/>
      </c>
      <c r="BS468" s="66">
        <f>IF(N(W468)&gt;0,W468,0)</f>
        <v/>
      </c>
      <c r="BT468" s="58">
        <f>IF(ISNUMBER(Z468),1,0)</f>
        <v/>
      </c>
      <c r="BU468" s="55">
        <f>N(Z468)</f>
        <v/>
      </c>
      <c r="BV468" s="55">
        <f>N(L468)+N(M468)</f>
        <v/>
      </c>
      <c r="BW468" s="55">
        <f>ROUNDUP(G468/BN468,0)</f>
        <v/>
      </c>
      <c r="BX468" s="55">
        <f>ROUNDUP(BU468/BN468,0)</f>
        <v/>
      </c>
      <c r="BY468" s="58">
        <f>IF(BO468=1,0,IFERROR(VLOOKUP(BM468,'Gebinde-Kategorie'!$A$5:$G$45,5,0)+0,0))</f>
        <v/>
      </c>
      <c r="BZ468" s="58">
        <f>IFERROR(IF(OR(BQ468=1,BQ468=2,BQ468=3),N(INDEX(Parameter!$I$5:$I$7,BQ468)),0),0)</f>
        <v/>
      </c>
    </row>
    <row r="469">
      <c r="A469" s="53" t="inlineStr">
        <is>
          <t>110649</t>
        </is>
      </c>
      <c r="B469" s="53" t="inlineStr">
        <is>
          <t>Zuleitungskabel Temperatursensor</t>
        </is>
      </c>
      <c r="C469" s="53" t="inlineStr">
        <is>
          <t>F</t>
        </is>
      </c>
      <c r="D469" s="53" t="inlineStr">
        <is>
          <t>PAL</t>
        </is>
      </c>
      <c r="E469" s="53" t="inlineStr">
        <is>
          <t>C</t>
        </is>
      </c>
      <c r="F469" s="54" t="n">
        <v>54.97</v>
      </c>
      <c r="G469" s="55">
        <f>MAX(0,IF(Parameter!$B$20="Jahresanfang 2025 + Export",BG469+BF469,BF469))</f>
        <v/>
      </c>
      <c r="H469" s="55">
        <f>G469*F469</f>
        <v/>
      </c>
      <c r="I469" s="55">
        <f>BI469*Parameter!$B$18</f>
        <v/>
      </c>
      <c r="J469" s="56" t="n">
        <v>0.5</v>
      </c>
      <c r="K469" s="57" t="n">
        <v>0</v>
      </c>
      <c r="L469" s="55" t="n">
        <v>0</v>
      </c>
      <c r="M469" s="55" t="n">
        <v>1</v>
      </c>
      <c r="N469" s="58" t="n">
        <v>63</v>
      </c>
      <c r="O469" s="53" t="inlineStr">
        <is>
          <t>LOSE</t>
        </is>
      </c>
      <c r="P469" s="55" t="n"/>
      <c r="Q469" s="59">
        <f>IF(BO469=1,0,IFERROR(VLOOKUP(BM469,'Gebinde-Kategorie'!$A$5:$G$45,6,0)+0,0))</f>
        <v/>
      </c>
      <c r="R469" s="60" t="n"/>
      <c r="S469" s="61" t="n"/>
      <c r="T469" s="61" t="n"/>
      <c r="U469" s="53">
        <f>IF(A469="","",IF(IFERROR(VLOOKUP(D469,Parameter!$A$35:$C$64,2,0),"Nein")="2+3",IF(ISNUMBER(SEARCH("grosser Artikel",BJ469)),2,IFERROR(VLOOKUP(BM469,Parameter!$F$35:$G$64,2,0),2)),IF(OR(IFERROR(VLOOKUP(D469,Parameter!$A$35:$C$64,2,0),"Nein")="Nein",IFERROR(VLOOKUP(D469,Parameter!$A$35:$C$64,2,0),"Nein")=""),"-",VLOOKUP(D469,Parameter!$A$35:$C$64,2,0))))</f>
        <v/>
      </c>
      <c r="V469" s="61" t="n"/>
      <c r="W469" s="62" t="n"/>
      <c r="X469" s="55">
        <f>AM469</f>
        <v/>
      </c>
      <c r="Y469" s="55">
        <f>MAX(AM469,G469)</f>
        <v/>
      </c>
      <c r="Z469" s="63" t="n"/>
      <c r="AA469" s="55">
        <f>IF(LEFT(Cockpit!$C$5,1)="A",G469,IF(BT469=1,BU469,IF(LEFT(Cockpit!$C$5,1)="B",AE469,MAX(AE469,G469))))</f>
        <v/>
      </c>
      <c r="AB469" s="55">
        <f>IF(BO469=1,0,ROUNDUP(AA469/BN469,0))</f>
        <v/>
      </c>
      <c r="AC469" s="64">
        <f>IF(BO469=1,IF(AA469&lt;=0,0,BP469*MAX(1,IF(G469&gt;0,AA469/G469,1))),AB469*Q469)</f>
        <v/>
      </c>
      <c r="AD469" s="55">
        <f>AA469*F469</f>
        <v/>
      </c>
      <c r="AE469" s="55">
        <f>ROUNDUP(MAX(I469/IF(BS469&gt;0,BS469,MAX(0.1,N(Cockpit!$C$6))),BV469)/BN469,0)*BN469</f>
        <v/>
      </c>
      <c r="AF469" s="56">
        <f>IF(AC469&gt;0,I469/AC469,-1)</f>
        <v/>
      </c>
      <c r="AG469" s="56">
        <f>IF(AND(OR(BR469="L1",BR469="L23"),AC469&gt;0),SUMIFS($AC$7:$AC$1570,$BR$7:$BR$1570,BR469,$AF$7:$AF$1570,"&gt;"&amp;AF469)+SUMIFS($AC$7:$AC$1570,$BR$7:$BR$1570,BR469,$AF$7:$AF$1570,AF469,$BL$7:$BL$1570,"&lt;="&amp;BL469),"")</f>
        <v/>
      </c>
      <c r="AH469" s="65">
        <f>IF(AG469="",0,MAX(0,MIN(1,(IF(BR469="L1",Parameter!$K$5,Parameter!$K$6+Parameter!$K$7)-(AG469-AC469))/AC469)))</f>
        <v/>
      </c>
      <c r="AI469" s="55">
        <f>IF(LEFT(Cockpit!$I$5,1)="A",G469,IF(BT469=1,BU469,IF(LEFT(Cockpit!$I$5,1)="B",AM469,MAX(AM469,G469))))</f>
        <v/>
      </c>
      <c r="AJ469" s="55">
        <f>IF(BO469=1,0,ROUNDUP(AI469/BN469,0))</f>
        <v/>
      </c>
      <c r="AK469" s="64">
        <f>IF(BO469=1,IF(AI469&lt;=0,0,BP469*MAX(1,IF(G469&gt;0,AI469/G469,1))),AJ469*Q469)</f>
        <v/>
      </c>
      <c r="AL469" s="55">
        <f>AI469*F469</f>
        <v/>
      </c>
      <c r="AM469" s="55">
        <f>ROUNDUP(MAX(I469/IF(BS469&gt;0,BS469,MAX(0.1,N(Cockpit!$I$6))),BV469)/BN469,0)*BN469</f>
        <v/>
      </c>
      <c r="AN469" s="56">
        <f>IF(AK469&gt;0,I469/AK469,-1)</f>
        <v/>
      </c>
      <c r="AO469" s="56">
        <f>IF(AND(OR(BR469="L1",BR469="L23"),AK469&gt;0),SUMIFS($AK$7:$AK$1570,$BR$7:$BR$1570,BR469,$AN$7:$AN$1570,"&gt;"&amp;AN469)+SUMIFS($AK$7:$AK$1570,$BR$7:$BR$1570,BR469,$AN$7:$AN$1570,AN469,$BL$7:$BL$1570,"&lt;="&amp;BL469),"")</f>
        <v/>
      </c>
      <c r="AP469" s="65">
        <f>IF(AO469="",0,MAX(0,MIN(1,(IF(BR469="L1",Parameter!$K$5,Parameter!$K$6+Parameter!$K$7)-(AO469-AK469))/AK469)))</f>
        <v/>
      </c>
      <c r="AQ469" s="55">
        <f>IF(LEFT(Cockpit!$O$5,1)="A",G469,IF(BT469=1,BU469,IF(LEFT(Cockpit!$O$5,1)="B",AU469,MAX(AU469,G469))))</f>
        <v/>
      </c>
      <c r="AR469" s="55">
        <f>IF(BO469=1,0,ROUNDUP(AQ469/BN469,0))</f>
        <v/>
      </c>
      <c r="AS469" s="64">
        <f>IF(BO469=1,IF(AQ469&lt;=0,0,BP469*MAX(1,IF(G469&gt;0,AQ469/G469,1))),AR469*Q469)</f>
        <v/>
      </c>
      <c r="AT469" s="55">
        <f>AQ469*F469</f>
        <v/>
      </c>
      <c r="AU469" s="55">
        <f>ROUNDUP(MAX(I469/IF(BS469&gt;0,BS469,MAX(0.1,N(Cockpit!$O$6))),BV469)/BN469,0)*BN469</f>
        <v/>
      </c>
      <c r="AV469" s="56">
        <f>IF(AS469&gt;0,I469/AS469,-1)</f>
        <v/>
      </c>
      <c r="AW469" s="56">
        <f>IF(AND(OR(BR469="L1",BR469="L23"),AS469&gt;0),SUMIFS($AS$7:$AS$1570,$BR$7:$BR$1570,BR469,$AV$7:$AV$1570,"&gt;"&amp;AV469)+SUMIFS($AS$7:$AS$1570,$BR$7:$BR$1570,BR469,$AV$7:$AV$1570,AV469,$BL$7:$BL$1570,"&lt;="&amp;BL469),"")</f>
        <v/>
      </c>
      <c r="AX469" s="65">
        <f>IF(AW469="",0,MAX(0,MIN(1,(IF(BR469="L1",Parameter!$K$5,Parameter!$K$6+Parameter!$K$7)-(AW469-AS469))/AS469)))</f>
        <v/>
      </c>
      <c r="AY469" s="53">
        <f>IF(AC469&lt;=0,"",IF(BR469="Aussen","Aussenlager",IF(BR469="-","Nicht im Lift",IF(AH469&gt;=1,"Lift",IF(AH469&lt;=0,"Aussenlager","teilweise")))))</f>
        <v/>
      </c>
      <c r="AZ469" s="53">
        <f>IF(AK469&lt;=0,"",IF(BR469="Aussen","Aussenlager",IF(BR469="-","Nicht im Lift",IF(AP469&gt;=1,"Lift",IF(AP469&lt;=0,"Aussenlager","teilweise")))))</f>
        <v/>
      </c>
      <c r="BA469" s="53">
        <f>IF(AS469&lt;=0,"",IF(BR469="Aussen","Aussenlager",IF(BR469="-","Nicht im Lift",IF(AX469&gt;=1,"Lift",IF(AX469&lt;=0,"Aussenlager","teilweise")))))</f>
        <v/>
      </c>
      <c r="BB469" s="53">
        <f>IF(A469="","",IF(BK469=1,"Neu; ","")&amp;IF(AND(BK469=0,BF469&lt;0),"negativer Bestand (Export "&amp;BF469&amp;"); ","")&amp;IF(I469&lt;=0,"Kein Verbrauch; ","")&amp;IF(BO469=1,"Lose – Fläche geschätzt; ","")&amp;IF(G469&gt;AM469,"Überbestand "&amp;ROUND(G469-AM469,0)&amp;" Stk / CHF "&amp;ROUND((G469-AM469)*F469,0)&amp;"; ","")&amp;IF(AND(BT469=1,BU469&lt;BV469),"MAX &lt; MB+LG; ","")&amp;IF(AND(BZ469&gt;0,BY469*10&gt;BZ469),"zu hoch für Tablar; ","")&amp;IF(AND(BK469=0,OR(BT469=1,V469&lt;&gt;"",S469&lt;&gt;"",T469&lt;&gt;"",W469&lt;&gt;"")),"manuell übersteuert; ","")&amp;IF(AND(BO469=0,Q469=0),"Gebinde unbekannt; ","")&amp;IF(AND(BO469=0,N(T469)&lt;=0,N(P469)&lt;=0),"Menge pro Gebinde fehlt (Ist = 1 Gebinde); ","")&amp;BJ469)</f>
        <v/>
      </c>
      <c r="BC469" s="53" t="n"/>
      <c r="BD469" s="53" t="n"/>
      <c r="BE469" s="61" t="n"/>
      <c r="BF469" s="55" t="n">
        <v>1</v>
      </c>
      <c r="BG469" s="55" t="n">
        <v>0</v>
      </c>
      <c r="BH469" s="54" t="n">
        <v>54.97</v>
      </c>
      <c r="BI469" s="55" t="n">
        <v>0</v>
      </c>
      <c r="BJ469" s="53" t="inlineStr"/>
      <c r="BK469" s="58" t="n">
        <v>0</v>
      </c>
      <c r="BL469" s="58" t="n">
        <v>469</v>
      </c>
      <c r="BM469" s="53">
        <f>IF(S469&lt;&gt;"",UPPER(TRIM(S469)),IF(O469="","LOSE",O469))</f>
        <v/>
      </c>
      <c r="BN469" s="55">
        <f>IF(BM469="LOSE",1,IF(N(T469)&gt;0,T469,IF(N(P469)&gt;0,P469,MAX(1,G469))))</f>
        <v/>
      </c>
      <c r="BO469" s="58">
        <f>IF(BM469="LOSE",1,0)</f>
        <v/>
      </c>
      <c r="BP469" s="64">
        <f>IF(BO469=0,0,IF(N(R469)&gt;0,R469,IFERROR(VLOOKUP(D469,Parameter!$A$35:$C$64,3,0)+0,0)))</f>
        <v/>
      </c>
      <c r="BQ469" s="53">
        <f>IF(V469&lt;&gt;"",V469,U469)</f>
        <v/>
      </c>
      <c r="BR469" s="53">
        <f>IF(BQ469=1,"L1",IF(OR(BQ469=2,BQ469=3),"L23",IF(BQ469="Aussen","Aussen","-")))</f>
        <v/>
      </c>
      <c r="BS469" s="66">
        <f>IF(N(W469)&gt;0,W469,0)</f>
        <v/>
      </c>
      <c r="BT469" s="58">
        <f>IF(ISNUMBER(Z469),1,0)</f>
        <v/>
      </c>
      <c r="BU469" s="55">
        <f>N(Z469)</f>
        <v/>
      </c>
      <c r="BV469" s="55">
        <f>N(L469)+N(M469)</f>
        <v/>
      </c>
      <c r="BW469" s="55">
        <f>ROUNDUP(G469/BN469,0)</f>
        <v/>
      </c>
      <c r="BX469" s="55">
        <f>ROUNDUP(BU469/BN469,0)</f>
        <v/>
      </c>
      <c r="BY469" s="58">
        <f>IF(BO469=1,0,IFERROR(VLOOKUP(BM469,'Gebinde-Kategorie'!$A$5:$G$45,5,0)+0,0))</f>
        <v/>
      </c>
      <c r="BZ469" s="58">
        <f>IFERROR(IF(OR(BQ469=1,BQ469=2,BQ469=3),N(INDEX(Parameter!$I$5:$I$7,BQ469)),0),0)</f>
        <v/>
      </c>
    </row>
    <row r="470">
      <c r="A470" s="53" t="inlineStr">
        <is>
          <t>106907</t>
        </is>
      </c>
      <c r="B470" s="53" t="inlineStr">
        <is>
          <t>Basis Busmodul</t>
        </is>
      </c>
      <c r="C470" s="53" t="inlineStr">
        <is>
          <t>F</t>
        </is>
      </c>
      <c r="D470" s="53" t="inlineStr">
        <is>
          <t>KTL</t>
        </is>
      </c>
      <c r="E470" s="53" t="inlineStr">
        <is>
          <t>C</t>
        </is>
      </c>
      <c r="F470" s="54" t="n">
        <v>54.56</v>
      </c>
      <c r="G470" s="55">
        <f>MAX(0,IF(Parameter!$B$20="Jahresanfang 2025 + Export",BG470+BF470,BF470))</f>
        <v/>
      </c>
      <c r="H470" s="55">
        <f>G470*F470</f>
        <v/>
      </c>
      <c r="I470" s="55">
        <f>BI470*Parameter!$B$18</f>
        <v/>
      </c>
      <c r="J470" s="56" t="n">
        <v>31.5</v>
      </c>
      <c r="K470" s="57" t="n">
        <v>0</v>
      </c>
      <c r="L470" s="55" t="n">
        <v>0</v>
      </c>
      <c r="M470" s="55" t="n">
        <v>1</v>
      </c>
      <c r="N470" s="58" t="n">
        <v>28</v>
      </c>
      <c r="O470" s="53" t="inlineStr">
        <is>
          <t>S63</t>
        </is>
      </c>
      <c r="P470" s="55" t="n">
        <v>40</v>
      </c>
      <c r="Q470" s="59">
        <f>IF(BO470=1,0,IFERROR(VLOOKUP(BM470,'Gebinde-Kategorie'!$A$5:$G$45,6,0)+0,0))</f>
        <v/>
      </c>
      <c r="R470" s="60" t="n"/>
      <c r="S470" s="61" t="n"/>
      <c r="T470" s="61" t="n"/>
      <c r="U470" s="53">
        <f>IF(A470="","",IF(IFERROR(VLOOKUP(D470,Parameter!$A$35:$C$64,2,0),"Nein")="2+3",IF(ISNUMBER(SEARCH("grosser Artikel",BJ470)),2,IFERROR(VLOOKUP(BM470,Parameter!$F$35:$G$64,2,0),2)),IF(OR(IFERROR(VLOOKUP(D470,Parameter!$A$35:$C$64,2,0),"Nein")="Nein",IFERROR(VLOOKUP(D470,Parameter!$A$35:$C$64,2,0),"Nein")=""),"-",VLOOKUP(D470,Parameter!$A$35:$C$64,2,0))))</f>
        <v/>
      </c>
      <c r="V470" s="61" t="n"/>
      <c r="W470" s="62" t="n"/>
      <c r="X470" s="55">
        <f>AM470</f>
        <v/>
      </c>
      <c r="Y470" s="55">
        <f>MAX(AM470,G470)</f>
        <v/>
      </c>
      <c r="Z470" s="63" t="n"/>
      <c r="AA470" s="55">
        <f>IF(LEFT(Cockpit!$C$5,1)="A",G470,IF(BT470=1,BU470,IF(LEFT(Cockpit!$C$5,1)="B",AE470,MAX(AE470,G470))))</f>
        <v/>
      </c>
      <c r="AB470" s="55">
        <f>IF(BO470=1,0,ROUNDUP(AA470/BN470,0))</f>
        <v/>
      </c>
      <c r="AC470" s="64">
        <f>IF(BO470=1,IF(AA470&lt;=0,0,BP470*MAX(1,IF(G470&gt;0,AA470/G470,1))),AB470*Q470)</f>
        <v/>
      </c>
      <c r="AD470" s="55">
        <f>AA470*F470</f>
        <v/>
      </c>
      <c r="AE470" s="55">
        <f>ROUNDUP(MAX(I470/IF(BS470&gt;0,BS470,MAX(0.1,N(Cockpit!$C$6))),BV470)/BN470,0)*BN470</f>
        <v/>
      </c>
      <c r="AF470" s="56">
        <f>IF(AC470&gt;0,I470/AC470,-1)</f>
        <v/>
      </c>
      <c r="AG470" s="56">
        <f>IF(AND(OR(BR470="L1",BR470="L23"),AC470&gt;0),SUMIFS($AC$7:$AC$1570,$BR$7:$BR$1570,BR470,$AF$7:$AF$1570,"&gt;"&amp;AF470)+SUMIFS($AC$7:$AC$1570,$BR$7:$BR$1570,BR470,$AF$7:$AF$1570,AF470,$BL$7:$BL$1570,"&lt;="&amp;BL470),"")</f>
        <v/>
      </c>
      <c r="AH470" s="65">
        <f>IF(AG470="",0,MAX(0,MIN(1,(IF(BR470="L1",Parameter!$K$5,Parameter!$K$6+Parameter!$K$7)-(AG470-AC470))/AC470)))</f>
        <v/>
      </c>
      <c r="AI470" s="55">
        <f>IF(LEFT(Cockpit!$I$5,1)="A",G470,IF(BT470=1,BU470,IF(LEFT(Cockpit!$I$5,1)="B",AM470,MAX(AM470,G470))))</f>
        <v/>
      </c>
      <c r="AJ470" s="55">
        <f>IF(BO470=1,0,ROUNDUP(AI470/BN470,0))</f>
        <v/>
      </c>
      <c r="AK470" s="64">
        <f>IF(BO470=1,IF(AI470&lt;=0,0,BP470*MAX(1,IF(G470&gt;0,AI470/G470,1))),AJ470*Q470)</f>
        <v/>
      </c>
      <c r="AL470" s="55">
        <f>AI470*F470</f>
        <v/>
      </c>
      <c r="AM470" s="55">
        <f>ROUNDUP(MAX(I470/IF(BS470&gt;0,BS470,MAX(0.1,N(Cockpit!$I$6))),BV470)/BN470,0)*BN470</f>
        <v/>
      </c>
      <c r="AN470" s="56">
        <f>IF(AK470&gt;0,I470/AK470,-1)</f>
        <v/>
      </c>
      <c r="AO470" s="56">
        <f>IF(AND(OR(BR470="L1",BR470="L23"),AK470&gt;0),SUMIFS($AK$7:$AK$1570,$BR$7:$BR$1570,BR470,$AN$7:$AN$1570,"&gt;"&amp;AN470)+SUMIFS($AK$7:$AK$1570,$BR$7:$BR$1570,BR470,$AN$7:$AN$1570,AN470,$BL$7:$BL$1570,"&lt;="&amp;BL470),"")</f>
        <v/>
      </c>
      <c r="AP470" s="65">
        <f>IF(AO470="",0,MAX(0,MIN(1,(IF(BR470="L1",Parameter!$K$5,Parameter!$K$6+Parameter!$K$7)-(AO470-AK470))/AK470)))</f>
        <v/>
      </c>
      <c r="AQ470" s="55">
        <f>IF(LEFT(Cockpit!$O$5,1)="A",G470,IF(BT470=1,BU470,IF(LEFT(Cockpit!$O$5,1)="B",AU470,MAX(AU470,G470))))</f>
        <v/>
      </c>
      <c r="AR470" s="55">
        <f>IF(BO470=1,0,ROUNDUP(AQ470/BN470,0))</f>
        <v/>
      </c>
      <c r="AS470" s="64">
        <f>IF(BO470=1,IF(AQ470&lt;=0,0,BP470*MAX(1,IF(G470&gt;0,AQ470/G470,1))),AR470*Q470)</f>
        <v/>
      </c>
      <c r="AT470" s="55">
        <f>AQ470*F470</f>
        <v/>
      </c>
      <c r="AU470" s="55">
        <f>ROUNDUP(MAX(I470/IF(BS470&gt;0,BS470,MAX(0.1,N(Cockpit!$O$6))),BV470)/BN470,0)*BN470</f>
        <v/>
      </c>
      <c r="AV470" s="56">
        <f>IF(AS470&gt;0,I470/AS470,-1)</f>
        <v/>
      </c>
      <c r="AW470" s="56">
        <f>IF(AND(OR(BR470="L1",BR470="L23"),AS470&gt;0),SUMIFS($AS$7:$AS$1570,$BR$7:$BR$1570,BR470,$AV$7:$AV$1570,"&gt;"&amp;AV470)+SUMIFS($AS$7:$AS$1570,$BR$7:$BR$1570,BR470,$AV$7:$AV$1570,AV470,$BL$7:$BL$1570,"&lt;="&amp;BL470),"")</f>
        <v/>
      </c>
      <c r="AX470" s="65">
        <f>IF(AW470="",0,MAX(0,MIN(1,(IF(BR470="L1",Parameter!$K$5,Parameter!$K$6+Parameter!$K$7)-(AW470-AS470))/AS470)))</f>
        <v/>
      </c>
      <c r="AY470" s="53">
        <f>IF(AC470&lt;=0,"",IF(BR470="Aussen","Aussenlager",IF(BR470="-","Nicht im Lift",IF(AH470&gt;=1,"Lift",IF(AH470&lt;=0,"Aussenlager","teilweise")))))</f>
        <v/>
      </c>
      <c r="AZ470" s="53">
        <f>IF(AK470&lt;=0,"",IF(BR470="Aussen","Aussenlager",IF(BR470="-","Nicht im Lift",IF(AP470&gt;=1,"Lift",IF(AP470&lt;=0,"Aussenlager","teilweise")))))</f>
        <v/>
      </c>
      <c r="BA470" s="53">
        <f>IF(AS470&lt;=0,"",IF(BR470="Aussen","Aussenlager",IF(BR470="-","Nicht im Lift",IF(AX470&gt;=1,"Lift",IF(AX470&lt;=0,"Aussenlager","teilweise")))))</f>
        <v/>
      </c>
      <c r="BB470" s="53">
        <f>IF(A470="","",IF(BK470=1,"Neu; ","")&amp;IF(AND(BK470=0,BF470&lt;0),"negativer Bestand (Export "&amp;BF470&amp;"); ","")&amp;IF(I470&lt;=0,"Kein Verbrauch; ","")&amp;IF(BO470=1,"Lose – Fläche geschätzt; ","")&amp;IF(G470&gt;AM470,"Überbestand "&amp;ROUND(G470-AM470,0)&amp;" Stk / CHF "&amp;ROUND((G470-AM470)*F470,0)&amp;"; ","")&amp;IF(AND(BT470=1,BU470&lt;BV470),"MAX &lt; MB+LG; ","")&amp;IF(AND(BZ470&gt;0,BY470*10&gt;BZ470),"zu hoch für Tablar; ","")&amp;IF(AND(BK470=0,OR(BT470=1,V470&lt;&gt;"",S470&lt;&gt;"",T470&lt;&gt;"",W470&lt;&gt;"")),"manuell übersteuert; ","")&amp;IF(AND(BO470=0,Q470=0),"Gebinde unbekannt; ","")&amp;IF(AND(BO470=0,N(T470)&lt;=0,N(P470)&lt;=0),"Menge pro Gebinde fehlt (Ist = 1 Gebinde); ","")&amp;BJ470)</f>
        <v/>
      </c>
      <c r="BC470" s="53" t="n"/>
      <c r="BD470" s="53" t="n"/>
      <c r="BE470" s="61" t="n"/>
      <c r="BF470" s="55" t="n">
        <v>1</v>
      </c>
      <c r="BG470" s="55" t="n">
        <v>31</v>
      </c>
      <c r="BH470" s="54" t="n">
        <v>54.56</v>
      </c>
      <c r="BI470" s="55" t="n">
        <v>0</v>
      </c>
      <c r="BJ470" s="53" t="inlineStr"/>
      <c r="BK470" s="58" t="n">
        <v>0</v>
      </c>
      <c r="BL470" s="58" t="n">
        <v>470</v>
      </c>
      <c r="BM470" s="53">
        <f>IF(S470&lt;&gt;"",UPPER(TRIM(S470)),IF(O470="","LOSE",O470))</f>
        <v/>
      </c>
      <c r="BN470" s="55">
        <f>IF(BM470="LOSE",1,IF(N(T470)&gt;0,T470,IF(N(P470)&gt;0,P470,MAX(1,G470))))</f>
        <v/>
      </c>
      <c r="BO470" s="58">
        <f>IF(BM470="LOSE",1,0)</f>
        <v/>
      </c>
      <c r="BP470" s="64">
        <f>IF(BO470=0,0,IF(N(R470)&gt;0,R470,IFERROR(VLOOKUP(D470,Parameter!$A$35:$C$64,3,0)+0,0)))</f>
        <v/>
      </c>
      <c r="BQ470" s="53">
        <f>IF(V470&lt;&gt;"",V470,U470)</f>
        <v/>
      </c>
      <c r="BR470" s="53">
        <f>IF(BQ470=1,"L1",IF(OR(BQ470=2,BQ470=3),"L23",IF(BQ470="Aussen","Aussen","-")))</f>
        <v/>
      </c>
      <c r="BS470" s="66">
        <f>IF(N(W470)&gt;0,W470,0)</f>
        <v/>
      </c>
      <c r="BT470" s="58">
        <f>IF(ISNUMBER(Z470),1,0)</f>
        <v/>
      </c>
      <c r="BU470" s="55">
        <f>N(Z470)</f>
        <v/>
      </c>
      <c r="BV470" s="55">
        <f>N(L470)+N(M470)</f>
        <v/>
      </c>
      <c r="BW470" s="55">
        <f>ROUNDUP(G470/BN470,0)</f>
        <v/>
      </c>
      <c r="BX470" s="55">
        <f>ROUNDUP(BU470/BN470,0)</f>
        <v/>
      </c>
      <c r="BY470" s="58">
        <f>IF(BO470=1,0,IFERROR(VLOOKUP(BM470,'Gebinde-Kategorie'!$A$5:$G$45,5,0)+0,0))</f>
        <v/>
      </c>
      <c r="BZ470" s="58">
        <f>IFERROR(IF(OR(BQ470=1,BQ470=2,BQ470=3),N(INDEX(Parameter!$I$5:$I$7,BQ470)),0),0)</f>
        <v/>
      </c>
    </row>
    <row r="471">
      <c r="A471" s="53" t="inlineStr">
        <is>
          <t>109174</t>
        </is>
      </c>
      <c r="B471" s="53" t="inlineStr">
        <is>
          <t>Adapter Bündelanschluss Brenngas</t>
        </is>
      </c>
      <c r="C471" s="53" t="inlineStr">
        <is>
          <t>F</t>
        </is>
      </c>
      <c r="D471" s="53" t="inlineStr">
        <is>
          <t>KTL</t>
        </is>
      </c>
      <c r="E471" s="53" t="inlineStr">
        <is>
          <t>C</t>
        </is>
      </c>
      <c r="F471" s="54" t="n">
        <v>43.08</v>
      </c>
      <c r="G471" s="55">
        <f>MAX(0,IF(Parameter!$B$20="Jahresanfang 2025 + Export",BG471+BF471,BF471))</f>
        <v/>
      </c>
      <c r="H471" s="55">
        <f>G471*F471</f>
        <v/>
      </c>
      <c r="I471" s="55">
        <f>BI471*Parameter!$B$18</f>
        <v/>
      </c>
      <c r="J471" s="56" t="n">
        <v>17.5</v>
      </c>
      <c r="K471" s="57" t="n">
        <v>0.4571428571428571</v>
      </c>
      <c r="L471" s="55" t="n">
        <v>0</v>
      </c>
      <c r="M471" s="55" t="n">
        <v>10</v>
      </c>
      <c r="N471" s="58" t="n">
        <v>35</v>
      </c>
      <c r="O471" s="53" t="inlineStr">
        <is>
          <t>S22</t>
        </is>
      </c>
      <c r="P471" s="55" t="n">
        <v>11</v>
      </c>
      <c r="Q471" s="59">
        <f>IF(BO471=1,0,IFERROR(VLOOKUP(BM471,'Gebinde-Kategorie'!$A$5:$G$45,6,0)+0,0))</f>
        <v/>
      </c>
      <c r="R471" s="60" t="n"/>
      <c r="S471" s="61" t="n"/>
      <c r="T471" s="61" t="n"/>
      <c r="U471" s="53">
        <f>IF(A471="","",IF(IFERROR(VLOOKUP(D471,Parameter!$A$35:$C$64,2,0),"Nein")="2+3",IF(ISNUMBER(SEARCH("grosser Artikel",BJ471)),2,IFERROR(VLOOKUP(BM471,Parameter!$F$35:$G$64,2,0),2)),IF(OR(IFERROR(VLOOKUP(D471,Parameter!$A$35:$C$64,2,0),"Nein")="Nein",IFERROR(VLOOKUP(D471,Parameter!$A$35:$C$64,2,0),"Nein")=""),"-",VLOOKUP(D471,Parameter!$A$35:$C$64,2,0))))</f>
        <v/>
      </c>
      <c r="V471" s="61" t="n"/>
      <c r="W471" s="62" t="n"/>
      <c r="X471" s="55">
        <f>AM471</f>
        <v/>
      </c>
      <c r="Y471" s="55">
        <f>MAX(AM471,G471)</f>
        <v/>
      </c>
      <c r="Z471" s="63" t="n"/>
      <c r="AA471" s="55">
        <f>IF(LEFT(Cockpit!$C$5,1)="A",G471,IF(BT471=1,BU471,IF(LEFT(Cockpit!$C$5,1)="B",AE471,MAX(AE471,G471))))</f>
        <v/>
      </c>
      <c r="AB471" s="55">
        <f>IF(BO471=1,0,ROUNDUP(AA471/BN471,0))</f>
        <v/>
      </c>
      <c r="AC471" s="64">
        <f>IF(BO471=1,IF(AA471&lt;=0,0,BP471*MAX(1,IF(G471&gt;0,AA471/G471,1))),AB471*Q471)</f>
        <v/>
      </c>
      <c r="AD471" s="55">
        <f>AA471*F471</f>
        <v/>
      </c>
      <c r="AE471" s="55">
        <f>ROUNDUP(MAX(I471/IF(BS471&gt;0,BS471,MAX(0.1,N(Cockpit!$C$6))),BV471)/BN471,0)*BN471</f>
        <v/>
      </c>
      <c r="AF471" s="56">
        <f>IF(AC471&gt;0,I471/AC471,-1)</f>
        <v/>
      </c>
      <c r="AG471" s="56">
        <f>IF(AND(OR(BR471="L1",BR471="L23"),AC471&gt;0),SUMIFS($AC$7:$AC$1570,$BR$7:$BR$1570,BR471,$AF$7:$AF$1570,"&gt;"&amp;AF471)+SUMIFS($AC$7:$AC$1570,$BR$7:$BR$1570,BR471,$AF$7:$AF$1570,AF471,$BL$7:$BL$1570,"&lt;="&amp;BL471),"")</f>
        <v/>
      </c>
      <c r="AH471" s="65">
        <f>IF(AG471="",0,MAX(0,MIN(1,(IF(BR471="L1",Parameter!$K$5,Parameter!$K$6+Parameter!$K$7)-(AG471-AC471))/AC471)))</f>
        <v/>
      </c>
      <c r="AI471" s="55">
        <f>IF(LEFT(Cockpit!$I$5,1)="A",G471,IF(BT471=1,BU471,IF(LEFT(Cockpit!$I$5,1)="B",AM471,MAX(AM471,G471))))</f>
        <v/>
      </c>
      <c r="AJ471" s="55">
        <f>IF(BO471=1,0,ROUNDUP(AI471/BN471,0))</f>
        <v/>
      </c>
      <c r="AK471" s="64">
        <f>IF(BO471=1,IF(AI471&lt;=0,0,BP471*MAX(1,IF(G471&gt;0,AI471/G471,1))),AJ471*Q471)</f>
        <v/>
      </c>
      <c r="AL471" s="55">
        <f>AI471*F471</f>
        <v/>
      </c>
      <c r="AM471" s="55">
        <f>ROUNDUP(MAX(I471/IF(BS471&gt;0,BS471,MAX(0.1,N(Cockpit!$I$6))),BV471)/BN471,0)*BN471</f>
        <v/>
      </c>
      <c r="AN471" s="56">
        <f>IF(AK471&gt;0,I471/AK471,-1)</f>
        <v/>
      </c>
      <c r="AO471" s="56">
        <f>IF(AND(OR(BR471="L1",BR471="L23"),AK471&gt;0),SUMIFS($AK$7:$AK$1570,$BR$7:$BR$1570,BR471,$AN$7:$AN$1570,"&gt;"&amp;AN471)+SUMIFS($AK$7:$AK$1570,$BR$7:$BR$1570,BR471,$AN$7:$AN$1570,AN471,$BL$7:$BL$1570,"&lt;="&amp;BL471),"")</f>
        <v/>
      </c>
      <c r="AP471" s="65">
        <f>IF(AO471="",0,MAX(0,MIN(1,(IF(BR471="L1",Parameter!$K$5,Parameter!$K$6+Parameter!$K$7)-(AO471-AK471))/AK471)))</f>
        <v/>
      </c>
      <c r="AQ471" s="55">
        <f>IF(LEFT(Cockpit!$O$5,1)="A",G471,IF(BT471=1,BU471,IF(LEFT(Cockpit!$O$5,1)="B",AU471,MAX(AU471,G471))))</f>
        <v/>
      </c>
      <c r="AR471" s="55">
        <f>IF(BO471=1,0,ROUNDUP(AQ471/BN471,0))</f>
        <v/>
      </c>
      <c r="AS471" s="64">
        <f>IF(BO471=1,IF(AQ471&lt;=0,0,BP471*MAX(1,IF(G471&gt;0,AQ471/G471,1))),AR471*Q471)</f>
        <v/>
      </c>
      <c r="AT471" s="55">
        <f>AQ471*F471</f>
        <v/>
      </c>
      <c r="AU471" s="55">
        <f>ROUNDUP(MAX(I471/IF(BS471&gt;0,BS471,MAX(0.1,N(Cockpit!$O$6))),BV471)/BN471,0)*BN471</f>
        <v/>
      </c>
      <c r="AV471" s="56">
        <f>IF(AS471&gt;0,I471/AS471,-1)</f>
        <v/>
      </c>
      <c r="AW471" s="56">
        <f>IF(AND(OR(BR471="L1",BR471="L23"),AS471&gt;0),SUMIFS($AS$7:$AS$1570,$BR$7:$BR$1570,BR471,$AV$7:$AV$1570,"&gt;"&amp;AV471)+SUMIFS($AS$7:$AS$1570,$BR$7:$BR$1570,BR471,$AV$7:$AV$1570,AV471,$BL$7:$BL$1570,"&lt;="&amp;BL471),"")</f>
        <v/>
      </c>
      <c r="AX471" s="65">
        <f>IF(AW471="",0,MAX(0,MIN(1,(IF(BR471="L1",Parameter!$K$5,Parameter!$K$6+Parameter!$K$7)-(AW471-AS471))/AS471)))</f>
        <v/>
      </c>
      <c r="AY471" s="53">
        <f>IF(AC471&lt;=0,"",IF(BR471="Aussen","Aussenlager",IF(BR471="-","Nicht im Lift",IF(AH471&gt;=1,"Lift",IF(AH471&lt;=0,"Aussenlager","teilweise")))))</f>
        <v/>
      </c>
      <c r="AZ471" s="53">
        <f>IF(AK471&lt;=0,"",IF(BR471="Aussen","Aussenlager",IF(BR471="-","Nicht im Lift",IF(AP471&gt;=1,"Lift",IF(AP471&lt;=0,"Aussenlager","teilweise")))))</f>
        <v/>
      </c>
      <c r="BA471" s="53">
        <f>IF(AS471&lt;=0,"",IF(BR471="Aussen","Aussenlager",IF(BR471="-","Nicht im Lift",IF(AX471&gt;=1,"Lift",IF(AX471&lt;=0,"Aussenlager","teilweise")))))</f>
        <v/>
      </c>
      <c r="BB471" s="53">
        <f>IF(A471="","",IF(BK471=1,"Neu; ","")&amp;IF(AND(BK471=0,BF471&lt;0),"negativer Bestand (Export "&amp;BF471&amp;"); ","")&amp;IF(I471&lt;=0,"Kein Verbrauch; ","")&amp;IF(BO471=1,"Lose – Fläche geschätzt; ","")&amp;IF(G471&gt;AM471,"Überbestand "&amp;ROUND(G471-AM471,0)&amp;" Stk / CHF "&amp;ROUND((G471-AM471)*F471,0)&amp;"; ","")&amp;IF(AND(BT471=1,BU471&lt;BV471),"MAX &lt; MB+LG; ","")&amp;IF(AND(BZ471&gt;0,BY471*10&gt;BZ471),"zu hoch für Tablar; ","")&amp;IF(AND(BK471=0,OR(BT471=1,V471&lt;&gt;"",S471&lt;&gt;"",T471&lt;&gt;"",W471&lt;&gt;"")),"manuell übersteuert; ","")&amp;IF(AND(BO471=0,Q471=0),"Gebinde unbekannt; ","")&amp;IF(AND(BO471=0,N(T471)&lt;=0,N(P471)&lt;=0),"Menge pro Gebinde fehlt (Ist = 1 Gebinde); ","")&amp;BJ471)</f>
        <v/>
      </c>
      <c r="BC471" s="53" t="n"/>
      <c r="BD471" s="53" t="n"/>
      <c r="BE471" s="61" t="n"/>
      <c r="BF471" s="55" t="n">
        <v>1</v>
      </c>
      <c r="BG471" s="55" t="n">
        <v>14</v>
      </c>
      <c r="BH471" s="54" t="n">
        <v>53.86000000000013</v>
      </c>
      <c r="BI471" s="55" t="n">
        <v>8</v>
      </c>
      <c r="BJ471" s="53" t="inlineStr"/>
      <c r="BK471" s="58" t="n">
        <v>0</v>
      </c>
      <c r="BL471" s="58" t="n">
        <v>471</v>
      </c>
      <c r="BM471" s="53">
        <f>IF(S471&lt;&gt;"",UPPER(TRIM(S471)),IF(O471="","LOSE",O471))</f>
        <v/>
      </c>
      <c r="BN471" s="55">
        <f>IF(BM471="LOSE",1,IF(N(T471)&gt;0,T471,IF(N(P471)&gt;0,P471,MAX(1,G471))))</f>
        <v/>
      </c>
      <c r="BO471" s="58">
        <f>IF(BM471="LOSE",1,0)</f>
        <v/>
      </c>
      <c r="BP471" s="64">
        <f>IF(BO471=0,0,IF(N(R471)&gt;0,R471,IFERROR(VLOOKUP(D471,Parameter!$A$35:$C$64,3,0)+0,0)))</f>
        <v/>
      </c>
      <c r="BQ471" s="53">
        <f>IF(V471&lt;&gt;"",V471,U471)</f>
        <v/>
      </c>
      <c r="BR471" s="53">
        <f>IF(BQ471=1,"L1",IF(OR(BQ471=2,BQ471=3),"L23",IF(BQ471="Aussen","Aussen","-")))</f>
        <v/>
      </c>
      <c r="BS471" s="66">
        <f>IF(N(W471)&gt;0,W471,0)</f>
        <v/>
      </c>
      <c r="BT471" s="58">
        <f>IF(ISNUMBER(Z471),1,0)</f>
        <v/>
      </c>
      <c r="BU471" s="55">
        <f>N(Z471)</f>
        <v/>
      </c>
      <c r="BV471" s="55">
        <f>N(L471)+N(M471)</f>
        <v/>
      </c>
      <c r="BW471" s="55">
        <f>ROUNDUP(G471/BN471,0)</f>
        <v/>
      </c>
      <c r="BX471" s="55">
        <f>ROUNDUP(BU471/BN471,0)</f>
        <v/>
      </c>
      <c r="BY471" s="58">
        <f>IF(BO471=1,0,IFERROR(VLOOKUP(BM471,'Gebinde-Kategorie'!$A$5:$G$45,5,0)+0,0))</f>
        <v/>
      </c>
      <c r="BZ471" s="58">
        <f>IFERROR(IF(OR(BQ471=1,BQ471=2,BQ471=3),N(INDEX(Parameter!$I$5:$I$7,BQ471)),0),0)</f>
        <v/>
      </c>
    </row>
    <row r="472">
      <c r="A472" s="53" t="inlineStr">
        <is>
          <t>002072</t>
        </is>
      </c>
      <c r="B472" s="53" t="inlineStr">
        <is>
          <t>Nylon-Strickhandschuh</t>
        </is>
      </c>
      <c r="C472" s="53" t="inlineStr">
        <is>
          <t>F</t>
        </is>
      </c>
      <c r="D472" s="53" t="inlineStr">
        <is>
          <t>VERB-P</t>
        </is>
      </c>
      <c r="E472" s="53" t="inlineStr">
        <is>
          <t>C</t>
        </is>
      </c>
      <c r="F472" s="54" t="n">
        <v>4.4</v>
      </c>
      <c r="G472" s="55">
        <f>MAX(0,IF(Parameter!$B$20="Jahresanfang 2025 + Export",BG472+BF472,BF472))</f>
        <v/>
      </c>
      <c r="H472" s="55">
        <f>G472*F472</f>
        <v/>
      </c>
      <c r="I472" s="55">
        <f>BI472*Parameter!$B$18</f>
        <v/>
      </c>
      <c r="J472" s="56" t="n">
        <v>0</v>
      </c>
      <c r="K472" s="57" t="n">
        <v>0</v>
      </c>
      <c r="L472" s="55" t="n">
        <v>0</v>
      </c>
      <c r="M472" s="55" t="n">
        <v>12</v>
      </c>
      <c r="N472" s="58" t="n">
        <v>14</v>
      </c>
      <c r="O472" s="53" t="inlineStr">
        <is>
          <t>S52</t>
        </is>
      </c>
      <c r="P472" s="55" t="n">
        <v>131</v>
      </c>
      <c r="Q472" s="59">
        <f>IF(BO472=1,0,IFERROR(VLOOKUP(BM472,'Gebinde-Kategorie'!$A$5:$G$45,6,0)+0,0))</f>
        <v/>
      </c>
      <c r="R472" s="60" t="n"/>
      <c r="S472" s="61" t="n"/>
      <c r="T472" s="61" t="n"/>
      <c r="U472" s="53">
        <f>IF(A472="","",IF(IFERROR(VLOOKUP(D472,Parameter!$A$35:$C$64,2,0),"Nein")="2+3",IF(ISNUMBER(SEARCH("grosser Artikel",BJ472)),2,IFERROR(VLOOKUP(BM472,Parameter!$F$35:$G$64,2,0),2)),IF(OR(IFERROR(VLOOKUP(D472,Parameter!$A$35:$C$64,2,0),"Nein")="Nein",IFERROR(VLOOKUP(D472,Parameter!$A$35:$C$64,2,0),"Nein")=""),"-",VLOOKUP(D472,Parameter!$A$35:$C$64,2,0))))</f>
        <v/>
      </c>
      <c r="V472" s="61" t="n"/>
      <c r="W472" s="62" t="n"/>
      <c r="X472" s="55">
        <f>AM472</f>
        <v/>
      </c>
      <c r="Y472" s="55">
        <f>MAX(AM472,G472)</f>
        <v/>
      </c>
      <c r="Z472" s="63" t="n"/>
      <c r="AA472" s="55">
        <f>IF(LEFT(Cockpit!$C$5,1)="A",G472,IF(BT472=1,BU472,IF(LEFT(Cockpit!$C$5,1)="B",AE472,MAX(AE472,G472))))</f>
        <v/>
      </c>
      <c r="AB472" s="55">
        <f>IF(BO472=1,0,ROUNDUP(AA472/BN472,0))</f>
        <v/>
      </c>
      <c r="AC472" s="64">
        <f>IF(BO472=1,IF(AA472&lt;=0,0,BP472*MAX(1,IF(G472&gt;0,AA472/G472,1))),AB472*Q472)</f>
        <v/>
      </c>
      <c r="AD472" s="55">
        <f>AA472*F472</f>
        <v/>
      </c>
      <c r="AE472" s="55">
        <f>ROUNDUP(MAX(I472/IF(BS472&gt;0,BS472,MAX(0.1,N(Cockpit!$C$6))),BV472)/BN472,0)*BN472</f>
        <v/>
      </c>
      <c r="AF472" s="56">
        <f>IF(AC472&gt;0,I472/AC472,-1)</f>
        <v/>
      </c>
      <c r="AG472" s="56">
        <f>IF(AND(OR(BR472="L1",BR472="L23"),AC472&gt;0),SUMIFS($AC$7:$AC$1570,$BR$7:$BR$1570,BR472,$AF$7:$AF$1570,"&gt;"&amp;AF472)+SUMIFS($AC$7:$AC$1570,$BR$7:$BR$1570,BR472,$AF$7:$AF$1570,AF472,$BL$7:$BL$1570,"&lt;="&amp;BL472),"")</f>
        <v/>
      </c>
      <c r="AH472" s="65">
        <f>IF(AG472="",0,MAX(0,MIN(1,(IF(BR472="L1",Parameter!$K$5,Parameter!$K$6+Parameter!$K$7)-(AG472-AC472))/AC472)))</f>
        <v/>
      </c>
      <c r="AI472" s="55">
        <f>IF(LEFT(Cockpit!$I$5,1)="A",G472,IF(BT472=1,BU472,IF(LEFT(Cockpit!$I$5,1)="B",AM472,MAX(AM472,G472))))</f>
        <v/>
      </c>
      <c r="AJ472" s="55">
        <f>IF(BO472=1,0,ROUNDUP(AI472/BN472,0))</f>
        <v/>
      </c>
      <c r="AK472" s="64">
        <f>IF(BO472=1,IF(AI472&lt;=0,0,BP472*MAX(1,IF(G472&gt;0,AI472/G472,1))),AJ472*Q472)</f>
        <v/>
      </c>
      <c r="AL472" s="55">
        <f>AI472*F472</f>
        <v/>
      </c>
      <c r="AM472" s="55">
        <f>ROUNDUP(MAX(I472/IF(BS472&gt;0,BS472,MAX(0.1,N(Cockpit!$I$6))),BV472)/BN472,0)*BN472</f>
        <v/>
      </c>
      <c r="AN472" s="56">
        <f>IF(AK472&gt;0,I472/AK472,-1)</f>
        <v/>
      </c>
      <c r="AO472" s="56">
        <f>IF(AND(OR(BR472="L1",BR472="L23"),AK472&gt;0),SUMIFS($AK$7:$AK$1570,$BR$7:$BR$1570,BR472,$AN$7:$AN$1570,"&gt;"&amp;AN472)+SUMIFS($AK$7:$AK$1570,$BR$7:$BR$1570,BR472,$AN$7:$AN$1570,AN472,$BL$7:$BL$1570,"&lt;="&amp;BL472),"")</f>
        <v/>
      </c>
      <c r="AP472" s="65">
        <f>IF(AO472="",0,MAX(0,MIN(1,(IF(BR472="L1",Parameter!$K$5,Parameter!$K$6+Parameter!$K$7)-(AO472-AK472))/AK472)))</f>
        <v/>
      </c>
      <c r="AQ472" s="55">
        <f>IF(LEFT(Cockpit!$O$5,1)="A",G472,IF(BT472=1,BU472,IF(LEFT(Cockpit!$O$5,1)="B",AU472,MAX(AU472,G472))))</f>
        <v/>
      </c>
      <c r="AR472" s="55">
        <f>IF(BO472=1,0,ROUNDUP(AQ472/BN472,0))</f>
        <v/>
      </c>
      <c r="AS472" s="64">
        <f>IF(BO472=1,IF(AQ472&lt;=0,0,BP472*MAX(1,IF(G472&gt;0,AQ472/G472,1))),AR472*Q472)</f>
        <v/>
      </c>
      <c r="AT472" s="55">
        <f>AQ472*F472</f>
        <v/>
      </c>
      <c r="AU472" s="55">
        <f>ROUNDUP(MAX(I472/IF(BS472&gt;0,BS472,MAX(0.1,N(Cockpit!$O$6))),BV472)/BN472,0)*BN472</f>
        <v/>
      </c>
      <c r="AV472" s="56">
        <f>IF(AS472&gt;0,I472/AS472,-1)</f>
        <v/>
      </c>
      <c r="AW472" s="56">
        <f>IF(AND(OR(BR472="L1",BR472="L23"),AS472&gt;0),SUMIFS($AS$7:$AS$1570,$BR$7:$BR$1570,BR472,$AV$7:$AV$1570,"&gt;"&amp;AV472)+SUMIFS($AS$7:$AS$1570,$BR$7:$BR$1570,BR472,$AV$7:$AV$1570,AV472,$BL$7:$BL$1570,"&lt;="&amp;BL472),"")</f>
        <v/>
      </c>
      <c r="AX472" s="65">
        <f>IF(AW472="",0,MAX(0,MIN(1,(IF(BR472="L1",Parameter!$K$5,Parameter!$K$6+Parameter!$K$7)-(AW472-AS472))/AS472)))</f>
        <v/>
      </c>
      <c r="AY472" s="53">
        <f>IF(AC472&lt;=0,"",IF(BR472="Aussen","Aussenlager",IF(BR472="-","Nicht im Lift",IF(AH472&gt;=1,"Lift",IF(AH472&lt;=0,"Aussenlager","teilweise")))))</f>
        <v/>
      </c>
      <c r="AZ472" s="53">
        <f>IF(AK472&lt;=0,"",IF(BR472="Aussen","Aussenlager",IF(BR472="-","Nicht im Lift",IF(AP472&gt;=1,"Lift",IF(AP472&lt;=0,"Aussenlager","teilweise")))))</f>
        <v/>
      </c>
      <c r="BA472" s="53">
        <f>IF(AS472&lt;=0,"",IF(BR472="Aussen","Aussenlager",IF(BR472="-","Nicht im Lift",IF(AX472&gt;=1,"Lift",IF(AX472&lt;=0,"Aussenlager","teilweise")))))</f>
        <v/>
      </c>
      <c r="BB472" s="53">
        <f>IF(A472="","",IF(BK472=1,"Neu; ","")&amp;IF(AND(BK472=0,BF472&lt;0),"negativer Bestand (Export "&amp;BF472&amp;"); ","")&amp;IF(I472&lt;=0,"Kein Verbrauch; ","")&amp;IF(BO472=1,"Lose – Fläche geschätzt; ","")&amp;IF(G472&gt;AM472,"Überbestand "&amp;ROUND(G472-AM472,0)&amp;" Stk / CHF "&amp;ROUND((G472-AM472)*F472,0)&amp;"; ","")&amp;IF(AND(BT472=1,BU472&lt;BV472),"MAX &lt; MB+LG; ","")&amp;IF(AND(BZ472&gt;0,BY472*10&gt;BZ472),"zu hoch für Tablar; ","")&amp;IF(AND(BK472=0,OR(BT472=1,V472&lt;&gt;"",S472&lt;&gt;"",T472&lt;&gt;"",W472&lt;&gt;"")),"manuell übersteuert; ","")&amp;IF(AND(BO472=0,Q472=0),"Gebinde unbekannt; ","")&amp;IF(AND(BO472=0,N(T472)&lt;=0,N(P472)&lt;=0),"Menge pro Gebinde fehlt (Ist = 1 Gebinde); ","")&amp;BJ472)</f>
        <v/>
      </c>
      <c r="BC472" s="53" t="n"/>
      <c r="BD472" s="53" t="n"/>
      <c r="BE472" s="61" t="n"/>
      <c r="BF472" s="55" t="n">
        <v>12</v>
      </c>
      <c r="BG472" s="55" t="n">
        <v>0</v>
      </c>
      <c r="BH472" s="54" t="n">
        <v>52.8</v>
      </c>
      <c r="BI472" s="55" t="n">
        <v>60</v>
      </c>
      <c r="BJ472" s="53" t="inlineStr"/>
      <c r="BK472" s="58" t="n">
        <v>0</v>
      </c>
      <c r="BL472" s="58" t="n">
        <v>472</v>
      </c>
      <c r="BM472" s="53">
        <f>IF(S472&lt;&gt;"",UPPER(TRIM(S472)),IF(O472="","LOSE",O472))</f>
        <v/>
      </c>
      <c r="BN472" s="55">
        <f>IF(BM472="LOSE",1,IF(N(T472)&gt;0,T472,IF(N(P472)&gt;0,P472,MAX(1,G472))))</f>
        <v/>
      </c>
      <c r="BO472" s="58">
        <f>IF(BM472="LOSE",1,0)</f>
        <v/>
      </c>
      <c r="BP472" s="64">
        <f>IF(BO472=0,0,IF(N(R472)&gt;0,R472,IFERROR(VLOOKUP(D472,Parameter!$A$35:$C$64,3,0)+0,0)))</f>
        <v/>
      </c>
      <c r="BQ472" s="53">
        <f>IF(V472&lt;&gt;"",V472,U472)</f>
        <v/>
      </c>
      <c r="BR472" s="53">
        <f>IF(BQ472=1,"L1",IF(OR(BQ472=2,BQ472=3),"L23",IF(BQ472="Aussen","Aussen","-")))</f>
        <v/>
      </c>
      <c r="BS472" s="66">
        <f>IF(N(W472)&gt;0,W472,0)</f>
        <v/>
      </c>
      <c r="BT472" s="58">
        <f>IF(ISNUMBER(Z472),1,0)</f>
        <v/>
      </c>
      <c r="BU472" s="55">
        <f>N(Z472)</f>
        <v/>
      </c>
      <c r="BV472" s="55">
        <f>N(L472)+N(M472)</f>
        <v/>
      </c>
      <c r="BW472" s="55">
        <f>ROUNDUP(G472/BN472,0)</f>
        <v/>
      </c>
      <c r="BX472" s="55">
        <f>ROUNDUP(BU472/BN472,0)</f>
        <v/>
      </c>
      <c r="BY472" s="58">
        <f>IF(BO472=1,0,IFERROR(VLOOKUP(BM472,'Gebinde-Kategorie'!$A$5:$G$45,5,0)+0,0))</f>
        <v/>
      </c>
      <c r="BZ472" s="58">
        <f>IFERROR(IF(OR(BQ472=1,BQ472=2,BQ472=3),N(INDEX(Parameter!$I$5:$I$7,BQ472)),0),0)</f>
        <v/>
      </c>
    </row>
    <row r="473">
      <c r="A473" s="53" t="inlineStr">
        <is>
          <t>110869</t>
        </is>
      </c>
      <c r="B473" s="53" t="inlineStr">
        <is>
          <t>Adapter</t>
        </is>
      </c>
      <c r="C473" s="53" t="inlineStr">
        <is>
          <t>F</t>
        </is>
      </c>
      <c r="D473" s="53" t="inlineStr">
        <is>
          <t>KTL</t>
        </is>
      </c>
      <c r="E473" s="53" t="inlineStr">
        <is>
          <t>C</t>
        </is>
      </c>
      <c r="F473" s="54" t="n">
        <v>2.4</v>
      </c>
      <c r="G473" s="55">
        <f>MAX(0,IF(Parameter!$B$20="Jahresanfang 2025 + Export",BG473+BF473,BF473))</f>
        <v/>
      </c>
      <c r="H473" s="55">
        <f>G473*F473</f>
        <v/>
      </c>
      <c r="I473" s="55">
        <f>BI473*Parameter!$B$18</f>
        <v/>
      </c>
      <c r="J473" s="56" t="n">
        <v>3</v>
      </c>
      <c r="K473" s="57" t="n">
        <v>1.333333333333333</v>
      </c>
      <c r="L473" s="55" t="n">
        <v>0</v>
      </c>
      <c r="M473" s="55" t="n">
        <v>5</v>
      </c>
      <c r="N473" s="58" t="n">
        <v>14</v>
      </c>
      <c r="O473" s="53" t="inlineStr">
        <is>
          <t>S21</t>
        </is>
      </c>
      <c r="P473" s="55" t="n">
        <v>3</v>
      </c>
      <c r="Q473" s="59">
        <f>IF(BO473=1,0,IFERROR(VLOOKUP(BM473,'Gebinde-Kategorie'!$A$5:$G$45,6,0)+0,0))</f>
        <v/>
      </c>
      <c r="R473" s="60" t="n"/>
      <c r="S473" s="61" t="n"/>
      <c r="T473" s="61" t="n"/>
      <c r="U473" s="53">
        <f>IF(A473="","",IF(IFERROR(VLOOKUP(D473,Parameter!$A$35:$C$64,2,0),"Nein")="2+3",IF(ISNUMBER(SEARCH("grosser Artikel",BJ473)),2,IFERROR(VLOOKUP(BM473,Parameter!$F$35:$G$64,2,0),2)),IF(OR(IFERROR(VLOOKUP(D473,Parameter!$A$35:$C$64,2,0),"Nein")="Nein",IFERROR(VLOOKUP(D473,Parameter!$A$35:$C$64,2,0),"Nein")=""),"-",VLOOKUP(D473,Parameter!$A$35:$C$64,2,0))))</f>
        <v/>
      </c>
      <c r="V473" s="61" t="n"/>
      <c r="W473" s="62" t="n"/>
      <c r="X473" s="55">
        <f>AM473</f>
        <v/>
      </c>
      <c r="Y473" s="55">
        <f>MAX(AM473,G473)</f>
        <v/>
      </c>
      <c r="Z473" s="63" t="n"/>
      <c r="AA473" s="55">
        <f>IF(LEFT(Cockpit!$C$5,1)="A",G473,IF(BT473=1,BU473,IF(LEFT(Cockpit!$C$5,1)="B",AE473,MAX(AE473,G473))))</f>
        <v/>
      </c>
      <c r="AB473" s="55">
        <f>IF(BO473=1,0,ROUNDUP(AA473/BN473,0))</f>
        <v/>
      </c>
      <c r="AC473" s="64">
        <f>IF(BO473=1,IF(AA473&lt;=0,0,BP473*MAX(1,IF(G473&gt;0,AA473/G473,1))),AB473*Q473)</f>
        <v/>
      </c>
      <c r="AD473" s="55">
        <f>AA473*F473</f>
        <v/>
      </c>
      <c r="AE473" s="55">
        <f>ROUNDUP(MAX(I473/IF(BS473&gt;0,BS473,MAX(0.1,N(Cockpit!$C$6))),BV473)/BN473,0)*BN473</f>
        <v/>
      </c>
      <c r="AF473" s="56">
        <f>IF(AC473&gt;0,I473/AC473,-1)</f>
        <v/>
      </c>
      <c r="AG473" s="56">
        <f>IF(AND(OR(BR473="L1",BR473="L23"),AC473&gt;0),SUMIFS($AC$7:$AC$1570,$BR$7:$BR$1570,BR473,$AF$7:$AF$1570,"&gt;"&amp;AF473)+SUMIFS($AC$7:$AC$1570,$BR$7:$BR$1570,BR473,$AF$7:$AF$1570,AF473,$BL$7:$BL$1570,"&lt;="&amp;BL473),"")</f>
        <v/>
      </c>
      <c r="AH473" s="65">
        <f>IF(AG473="",0,MAX(0,MIN(1,(IF(BR473="L1",Parameter!$K$5,Parameter!$K$6+Parameter!$K$7)-(AG473-AC473))/AC473)))</f>
        <v/>
      </c>
      <c r="AI473" s="55">
        <f>IF(LEFT(Cockpit!$I$5,1)="A",G473,IF(BT473=1,BU473,IF(LEFT(Cockpit!$I$5,1)="B",AM473,MAX(AM473,G473))))</f>
        <v/>
      </c>
      <c r="AJ473" s="55">
        <f>IF(BO473=1,0,ROUNDUP(AI473/BN473,0))</f>
        <v/>
      </c>
      <c r="AK473" s="64">
        <f>IF(BO473=1,IF(AI473&lt;=0,0,BP473*MAX(1,IF(G473&gt;0,AI473/G473,1))),AJ473*Q473)</f>
        <v/>
      </c>
      <c r="AL473" s="55">
        <f>AI473*F473</f>
        <v/>
      </c>
      <c r="AM473" s="55">
        <f>ROUNDUP(MAX(I473/IF(BS473&gt;0,BS473,MAX(0.1,N(Cockpit!$I$6))),BV473)/BN473,0)*BN473</f>
        <v/>
      </c>
      <c r="AN473" s="56">
        <f>IF(AK473&gt;0,I473/AK473,-1)</f>
        <v/>
      </c>
      <c r="AO473" s="56">
        <f>IF(AND(OR(BR473="L1",BR473="L23"),AK473&gt;0),SUMIFS($AK$7:$AK$1570,$BR$7:$BR$1570,BR473,$AN$7:$AN$1570,"&gt;"&amp;AN473)+SUMIFS($AK$7:$AK$1570,$BR$7:$BR$1570,BR473,$AN$7:$AN$1570,AN473,$BL$7:$BL$1570,"&lt;="&amp;BL473),"")</f>
        <v/>
      </c>
      <c r="AP473" s="65">
        <f>IF(AO473="",0,MAX(0,MIN(1,(IF(BR473="L1",Parameter!$K$5,Parameter!$K$6+Parameter!$K$7)-(AO473-AK473))/AK473)))</f>
        <v/>
      </c>
      <c r="AQ473" s="55">
        <f>IF(LEFT(Cockpit!$O$5,1)="A",G473,IF(BT473=1,BU473,IF(LEFT(Cockpit!$O$5,1)="B",AU473,MAX(AU473,G473))))</f>
        <v/>
      </c>
      <c r="AR473" s="55">
        <f>IF(BO473=1,0,ROUNDUP(AQ473/BN473,0))</f>
        <v/>
      </c>
      <c r="AS473" s="64">
        <f>IF(BO473=1,IF(AQ473&lt;=0,0,BP473*MAX(1,IF(G473&gt;0,AQ473/G473,1))),AR473*Q473)</f>
        <v/>
      </c>
      <c r="AT473" s="55">
        <f>AQ473*F473</f>
        <v/>
      </c>
      <c r="AU473" s="55">
        <f>ROUNDUP(MAX(I473/IF(BS473&gt;0,BS473,MAX(0.1,N(Cockpit!$O$6))),BV473)/BN473,0)*BN473</f>
        <v/>
      </c>
      <c r="AV473" s="56">
        <f>IF(AS473&gt;0,I473/AS473,-1)</f>
        <v/>
      </c>
      <c r="AW473" s="56">
        <f>IF(AND(OR(BR473="L1",BR473="L23"),AS473&gt;0),SUMIFS($AS$7:$AS$1570,$BR$7:$BR$1570,BR473,$AV$7:$AV$1570,"&gt;"&amp;AV473)+SUMIFS($AS$7:$AS$1570,$BR$7:$BR$1570,BR473,$AV$7:$AV$1570,AV473,$BL$7:$BL$1570,"&lt;="&amp;BL473),"")</f>
        <v/>
      </c>
      <c r="AX473" s="65">
        <f>IF(AW473="",0,MAX(0,MIN(1,(IF(BR473="L1",Parameter!$K$5,Parameter!$K$6+Parameter!$K$7)-(AW473-AS473))/AS473)))</f>
        <v/>
      </c>
      <c r="AY473" s="53">
        <f>IF(AC473&lt;=0,"",IF(BR473="Aussen","Aussenlager",IF(BR473="-","Nicht im Lift",IF(AH473&gt;=1,"Lift",IF(AH473&lt;=0,"Aussenlager","teilweise")))))</f>
        <v/>
      </c>
      <c r="AZ473" s="53">
        <f>IF(AK473&lt;=0,"",IF(BR473="Aussen","Aussenlager",IF(BR473="-","Nicht im Lift",IF(AP473&gt;=1,"Lift",IF(AP473&lt;=0,"Aussenlager","teilweise")))))</f>
        <v/>
      </c>
      <c r="BA473" s="53">
        <f>IF(AS473&lt;=0,"",IF(BR473="Aussen","Aussenlager",IF(BR473="-","Nicht im Lift",IF(AX473&gt;=1,"Lift",IF(AX473&lt;=0,"Aussenlager","teilweise")))))</f>
        <v/>
      </c>
      <c r="BB473" s="53">
        <f>IF(A473="","",IF(BK473=1,"Neu; ","")&amp;IF(AND(BK473=0,BF473&lt;0),"negativer Bestand (Export "&amp;BF473&amp;"); ","")&amp;IF(I473&lt;=0,"Kein Verbrauch; ","")&amp;IF(BO473=1,"Lose – Fläche geschätzt; ","")&amp;IF(G473&gt;AM473,"Überbestand "&amp;ROUND(G473-AM473,0)&amp;" Stk / CHF "&amp;ROUND((G473-AM473)*F473,0)&amp;"; ","")&amp;IF(AND(BT473=1,BU473&lt;BV473),"MAX &lt; MB+LG; ","")&amp;IF(AND(BZ473&gt;0,BY473*10&gt;BZ473),"zu hoch für Tablar; ","")&amp;IF(AND(BK473=0,OR(BT473=1,V473&lt;&gt;"",S473&lt;&gt;"",T473&lt;&gt;"",W473&lt;&gt;"")),"manuell übersteuert; ","")&amp;IF(AND(BO473=0,Q473=0),"Gebinde unbekannt; ","")&amp;IF(AND(BO473=0,N(T473)&lt;=0,N(P473)&lt;=0),"Menge pro Gebinde fehlt (Ist = 1 Gebinde); ","")&amp;BJ473)</f>
        <v/>
      </c>
      <c r="BC473" s="53" t="n"/>
      <c r="BD473" s="53" t="n"/>
      <c r="BE473" s="61" t="n"/>
      <c r="BF473" s="55" t="n">
        <v>22</v>
      </c>
      <c r="BG473" s="55" t="n">
        <v>0</v>
      </c>
      <c r="BH473" s="54" t="n">
        <v>52.79999999999998</v>
      </c>
      <c r="BI473" s="55" t="n">
        <v>4</v>
      </c>
      <c r="BJ473" s="53" t="inlineStr"/>
      <c r="BK473" s="58" t="n">
        <v>0</v>
      </c>
      <c r="BL473" s="58" t="n">
        <v>473</v>
      </c>
      <c r="BM473" s="53">
        <f>IF(S473&lt;&gt;"",UPPER(TRIM(S473)),IF(O473="","LOSE",O473))</f>
        <v/>
      </c>
      <c r="BN473" s="55">
        <f>IF(BM473="LOSE",1,IF(N(T473)&gt;0,T473,IF(N(P473)&gt;0,P473,MAX(1,G473))))</f>
        <v/>
      </c>
      <c r="BO473" s="58">
        <f>IF(BM473="LOSE",1,0)</f>
        <v/>
      </c>
      <c r="BP473" s="64">
        <f>IF(BO473=0,0,IF(N(R473)&gt;0,R473,IFERROR(VLOOKUP(D473,Parameter!$A$35:$C$64,3,0)+0,0)))</f>
        <v/>
      </c>
      <c r="BQ473" s="53">
        <f>IF(V473&lt;&gt;"",V473,U473)</f>
        <v/>
      </c>
      <c r="BR473" s="53">
        <f>IF(BQ473=1,"L1",IF(OR(BQ473=2,BQ473=3),"L23",IF(BQ473="Aussen","Aussen","-")))</f>
        <v/>
      </c>
      <c r="BS473" s="66">
        <f>IF(N(W473)&gt;0,W473,0)</f>
        <v/>
      </c>
      <c r="BT473" s="58">
        <f>IF(ISNUMBER(Z473),1,0)</f>
        <v/>
      </c>
      <c r="BU473" s="55">
        <f>N(Z473)</f>
        <v/>
      </c>
      <c r="BV473" s="55">
        <f>N(L473)+N(M473)</f>
        <v/>
      </c>
      <c r="BW473" s="55">
        <f>ROUNDUP(G473/BN473,0)</f>
        <v/>
      </c>
      <c r="BX473" s="55">
        <f>ROUNDUP(BU473/BN473,0)</f>
        <v/>
      </c>
      <c r="BY473" s="58">
        <f>IF(BO473=1,0,IFERROR(VLOOKUP(BM473,'Gebinde-Kategorie'!$A$5:$G$45,5,0)+0,0))</f>
        <v/>
      </c>
      <c r="BZ473" s="58">
        <f>IFERROR(IF(OR(BQ473=1,BQ473=2,BQ473=3),N(INDEX(Parameter!$I$5:$I$7,BQ473)),0),0)</f>
        <v/>
      </c>
    </row>
    <row r="474">
      <c r="A474" s="53" t="inlineStr">
        <is>
          <t>002065</t>
        </is>
      </c>
      <c r="B474" s="53" t="inlineStr">
        <is>
          <t>Batterie AA</t>
        </is>
      </c>
      <c r="C474" s="53" t="inlineStr">
        <is>
          <t>F</t>
        </is>
      </c>
      <c r="D474" s="53" t="inlineStr">
        <is>
          <t>KTL</t>
        </is>
      </c>
      <c r="E474" s="53" t="inlineStr">
        <is>
          <t>C</t>
        </is>
      </c>
      <c r="F474" s="54" t="n">
        <v>1.13</v>
      </c>
      <c r="G474" s="55">
        <f>MAX(0,IF(Parameter!$B$20="Jahresanfang 2025 + Export",BG474+BF474,BF474))</f>
        <v/>
      </c>
      <c r="H474" s="55">
        <f>G474*F474</f>
        <v/>
      </c>
      <c r="I474" s="55">
        <f>BI474*Parameter!$B$18</f>
        <v/>
      </c>
      <c r="J474" s="56" t="n">
        <v>56.5</v>
      </c>
      <c r="K474" s="57" t="n">
        <v>1.256637168141593</v>
      </c>
      <c r="L474" s="55" t="n">
        <v>2</v>
      </c>
      <c r="M474" s="55" t="n">
        <v>70</v>
      </c>
      <c r="N474" s="58" t="n">
        <v>14</v>
      </c>
      <c r="O474" s="53" t="inlineStr">
        <is>
          <t>S22</t>
        </is>
      </c>
      <c r="P474" s="55" t="n">
        <v>40</v>
      </c>
      <c r="Q474" s="59">
        <f>IF(BO474=1,0,IFERROR(VLOOKUP(BM474,'Gebinde-Kategorie'!$A$5:$G$45,6,0)+0,0))</f>
        <v/>
      </c>
      <c r="R474" s="60" t="n"/>
      <c r="S474" s="61" t="n"/>
      <c r="T474" s="61" t="n"/>
      <c r="U474" s="53">
        <f>IF(A474="","",IF(IFERROR(VLOOKUP(D474,Parameter!$A$35:$C$64,2,0),"Nein")="2+3",IF(ISNUMBER(SEARCH("grosser Artikel",BJ474)),2,IFERROR(VLOOKUP(BM474,Parameter!$F$35:$G$64,2,0),2)),IF(OR(IFERROR(VLOOKUP(D474,Parameter!$A$35:$C$64,2,0),"Nein")="Nein",IFERROR(VLOOKUP(D474,Parameter!$A$35:$C$64,2,0),"Nein")=""),"-",VLOOKUP(D474,Parameter!$A$35:$C$64,2,0))))</f>
        <v/>
      </c>
      <c r="V474" s="61" t="n"/>
      <c r="W474" s="62" t="n"/>
      <c r="X474" s="55">
        <f>AM474</f>
        <v/>
      </c>
      <c r="Y474" s="55">
        <f>MAX(AM474,G474)</f>
        <v/>
      </c>
      <c r="Z474" s="63" t="n"/>
      <c r="AA474" s="55">
        <f>IF(LEFT(Cockpit!$C$5,1)="A",G474,IF(BT474=1,BU474,IF(LEFT(Cockpit!$C$5,1)="B",AE474,MAX(AE474,G474))))</f>
        <v/>
      </c>
      <c r="AB474" s="55">
        <f>IF(BO474=1,0,ROUNDUP(AA474/BN474,0))</f>
        <v/>
      </c>
      <c r="AC474" s="64">
        <f>IF(BO474=1,IF(AA474&lt;=0,0,BP474*MAX(1,IF(G474&gt;0,AA474/G474,1))),AB474*Q474)</f>
        <v/>
      </c>
      <c r="AD474" s="55">
        <f>AA474*F474</f>
        <v/>
      </c>
      <c r="AE474" s="55">
        <f>ROUNDUP(MAX(I474/IF(BS474&gt;0,BS474,MAX(0.1,N(Cockpit!$C$6))),BV474)/BN474,0)*BN474</f>
        <v/>
      </c>
      <c r="AF474" s="56">
        <f>IF(AC474&gt;0,I474/AC474,-1)</f>
        <v/>
      </c>
      <c r="AG474" s="56">
        <f>IF(AND(OR(BR474="L1",BR474="L23"),AC474&gt;0),SUMIFS($AC$7:$AC$1570,$BR$7:$BR$1570,BR474,$AF$7:$AF$1570,"&gt;"&amp;AF474)+SUMIFS($AC$7:$AC$1570,$BR$7:$BR$1570,BR474,$AF$7:$AF$1570,AF474,$BL$7:$BL$1570,"&lt;="&amp;BL474),"")</f>
        <v/>
      </c>
      <c r="AH474" s="65">
        <f>IF(AG474="",0,MAX(0,MIN(1,(IF(BR474="L1",Parameter!$K$5,Parameter!$K$6+Parameter!$K$7)-(AG474-AC474))/AC474)))</f>
        <v/>
      </c>
      <c r="AI474" s="55">
        <f>IF(LEFT(Cockpit!$I$5,1)="A",G474,IF(BT474=1,BU474,IF(LEFT(Cockpit!$I$5,1)="B",AM474,MAX(AM474,G474))))</f>
        <v/>
      </c>
      <c r="AJ474" s="55">
        <f>IF(BO474=1,0,ROUNDUP(AI474/BN474,0))</f>
        <v/>
      </c>
      <c r="AK474" s="64">
        <f>IF(BO474=1,IF(AI474&lt;=0,0,BP474*MAX(1,IF(G474&gt;0,AI474/G474,1))),AJ474*Q474)</f>
        <v/>
      </c>
      <c r="AL474" s="55">
        <f>AI474*F474</f>
        <v/>
      </c>
      <c r="AM474" s="55">
        <f>ROUNDUP(MAX(I474/IF(BS474&gt;0,BS474,MAX(0.1,N(Cockpit!$I$6))),BV474)/BN474,0)*BN474</f>
        <v/>
      </c>
      <c r="AN474" s="56">
        <f>IF(AK474&gt;0,I474/AK474,-1)</f>
        <v/>
      </c>
      <c r="AO474" s="56">
        <f>IF(AND(OR(BR474="L1",BR474="L23"),AK474&gt;0),SUMIFS($AK$7:$AK$1570,$BR$7:$BR$1570,BR474,$AN$7:$AN$1570,"&gt;"&amp;AN474)+SUMIFS($AK$7:$AK$1570,$BR$7:$BR$1570,BR474,$AN$7:$AN$1570,AN474,$BL$7:$BL$1570,"&lt;="&amp;BL474),"")</f>
        <v/>
      </c>
      <c r="AP474" s="65">
        <f>IF(AO474="",0,MAX(0,MIN(1,(IF(BR474="L1",Parameter!$K$5,Parameter!$K$6+Parameter!$K$7)-(AO474-AK474))/AK474)))</f>
        <v/>
      </c>
      <c r="AQ474" s="55">
        <f>IF(LEFT(Cockpit!$O$5,1)="A",G474,IF(BT474=1,BU474,IF(LEFT(Cockpit!$O$5,1)="B",AU474,MAX(AU474,G474))))</f>
        <v/>
      </c>
      <c r="AR474" s="55">
        <f>IF(BO474=1,0,ROUNDUP(AQ474/BN474,0))</f>
        <v/>
      </c>
      <c r="AS474" s="64">
        <f>IF(BO474=1,IF(AQ474&lt;=0,0,BP474*MAX(1,IF(G474&gt;0,AQ474/G474,1))),AR474*Q474)</f>
        <v/>
      </c>
      <c r="AT474" s="55">
        <f>AQ474*F474</f>
        <v/>
      </c>
      <c r="AU474" s="55">
        <f>ROUNDUP(MAX(I474/IF(BS474&gt;0,BS474,MAX(0.1,N(Cockpit!$O$6))),BV474)/BN474,0)*BN474</f>
        <v/>
      </c>
      <c r="AV474" s="56">
        <f>IF(AS474&gt;0,I474/AS474,-1)</f>
        <v/>
      </c>
      <c r="AW474" s="56">
        <f>IF(AND(OR(BR474="L1",BR474="L23"),AS474&gt;0),SUMIFS($AS$7:$AS$1570,$BR$7:$BR$1570,BR474,$AV$7:$AV$1570,"&gt;"&amp;AV474)+SUMIFS($AS$7:$AS$1570,$BR$7:$BR$1570,BR474,$AV$7:$AV$1570,AV474,$BL$7:$BL$1570,"&lt;="&amp;BL474),"")</f>
        <v/>
      </c>
      <c r="AX474" s="65">
        <f>IF(AW474="",0,MAX(0,MIN(1,(IF(BR474="L1",Parameter!$K$5,Parameter!$K$6+Parameter!$K$7)-(AW474-AS474))/AS474)))</f>
        <v/>
      </c>
      <c r="AY474" s="53">
        <f>IF(AC474&lt;=0,"",IF(BR474="Aussen","Aussenlager",IF(BR474="-","Nicht im Lift",IF(AH474&gt;=1,"Lift",IF(AH474&lt;=0,"Aussenlager","teilweise")))))</f>
        <v/>
      </c>
      <c r="AZ474" s="53">
        <f>IF(AK474&lt;=0,"",IF(BR474="Aussen","Aussenlager",IF(BR474="-","Nicht im Lift",IF(AP474&gt;=1,"Lift",IF(AP474&lt;=0,"Aussenlager","teilweise")))))</f>
        <v/>
      </c>
      <c r="BA474" s="53">
        <f>IF(AS474&lt;=0,"",IF(BR474="Aussen","Aussenlager",IF(BR474="-","Nicht im Lift",IF(AX474&gt;=1,"Lift",IF(AX474&lt;=0,"Aussenlager","teilweise")))))</f>
        <v/>
      </c>
      <c r="BB474" s="53">
        <f>IF(A474="","",IF(BK474=1,"Neu; ","")&amp;IF(AND(BK474=0,BF474&lt;0),"negativer Bestand (Export "&amp;BF474&amp;"); ","")&amp;IF(I474&lt;=0,"Kein Verbrauch; ","")&amp;IF(BO474=1,"Lose – Fläche geschätzt; ","")&amp;IF(G474&gt;AM474,"Überbestand "&amp;ROUND(G474-AM474,0)&amp;" Stk / CHF "&amp;ROUND((G474-AM474)*F474,0)&amp;"; ","")&amp;IF(AND(BT474=1,BU474&lt;BV474),"MAX &lt; MB+LG; ","")&amp;IF(AND(BZ474&gt;0,BY474*10&gt;BZ474),"zu hoch für Tablar; ","")&amp;IF(AND(BK474=0,OR(BT474=1,V474&lt;&gt;"",S474&lt;&gt;"",T474&lt;&gt;"",W474&lt;&gt;"")),"manuell übersteuert; ","")&amp;IF(AND(BO474=0,Q474=0),"Gebinde unbekannt; ","")&amp;IF(AND(BO474=0,N(T474)&lt;=0,N(P474)&lt;=0),"Menge pro Gebinde fehlt (Ist = 1 Gebinde); ","")&amp;BJ474)</f>
        <v/>
      </c>
      <c r="BC474" s="53" t="n"/>
      <c r="BD474" s="53" t="n"/>
      <c r="BE474" s="61" t="n"/>
      <c r="BF474" s="55" t="n">
        <v>46</v>
      </c>
      <c r="BG474" s="55" t="n">
        <v>14</v>
      </c>
      <c r="BH474" s="54" t="n">
        <v>52.67999999999997</v>
      </c>
      <c r="BI474" s="55" t="n">
        <v>71</v>
      </c>
      <c r="BJ474" s="53" t="inlineStr"/>
      <c r="BK474" s="58" t="n">
        <v>0</v>
      </c>
      <c r="BL474" s="58" t="n">
        <v>474</v>
      </c>
      <c r="BM474" s="53">
        <f>IF(S474&lt;&gt;"",UPPER(TRIM(S474)),IF(O474="","LOSE",O474))</f>
        <v/>
      </c>
      <c r="BN474" s="55">
        <f>IF(BM474="LOSE",1,IF(N(T474)&gt;0,T474,IF(N(P474)&gt;0,P474,MAX(1,G474))))</f>
        <v/>
      </c>
      <c r="BO474" s="58">
        <f>IF(BM474="LOSE",1,0)</f>
        <v/>
      </c>
      <c r="BP474" s="64">
        <f>IF(BO474=0,0,IF(N(R474)&gt;0,R474,IFERROR(VLOOKUP(D474,Parameter!$A$35:$C$64,3,0)+0,0)))</f>
        <v/>
      </c>
      <c r="BQ474" s="53">
        <f>IF(V474&lt;&gt;"",V474,U474)</f>
        <v/>
      </c>
      <c r="BR474" s="53">
        <f>IF(BQ474=1,"L1",IF(OR(BQ474=2,BQ474=3),"L23",IF(BQ474="Aussen","Aussen","-")))</f>
        <v/>
      </c>
      <c r="BS474" s="66">
        <f>IF(N(W474)&gt;0,W474,0)</f>
        <v/>
      </c>
      <c r="BT474" s="58">
        <f>IF(ISNUMBER(Z474),1,0)</f>
        <v/>
      </c>
      <c r="BU474" s="55">
        <f>N(Z474)</f>
        <v/>
      </c>
      <c r="BV474" s="55">
        <f>N(L474)+N(M474)</f>
        <v/>
      </c>
      <c r="BW474" s="55">
        <f>ROUNDUP(G474/BN474,0)</f>
        <v/>
      </c>
      <c r="BX474" s="55">
        <f>ROUNDUP(BU474/BN474,0)</f>
        <v/>
      </c>
      <c r="BY474" s="58">
        <f>IF(BO474=1,0,IFERROR(VLOOKUP(BM474,'Gebinde-Kategorie'!$A$5:$G$45,5,0)+0,0))</f>
        <v/>
      </c>
      <c r="BZ474" s="58">
        <f>IFERROR(IF(OR(BQ474=1,BQ474=2,BQ474=3),N(INDEX(Parameter!$I$5:$I$7,BQ474)),0),0)</f>
        <v/>
      </c>
    </row>
    <row r="475">
      <c r="A475" s="53" t="inlineStr">
        <is>
          <t>110955</t>
        </is>
      </c>
      <c r="B475" s="53" t="inlineStr">
        <is>
          <t>Stiftschraube</t>
        </is>
      </c>
      <c r="C475" s="53" t="inlineStr">
        <is>
          <t>F</t>
        </is>
      </c>
      <c r="D475" s="53" t="inlineStr">
        <is>
          <t>A-BEZ</t>
        </is>
      </c>
      <c r="E475" s="53" t="inlineStr">
        <is>
          <t>C</t>
        </is>
      </c>
      <c r="F475" s="54" t="n">
        <v>1.63</v>
      </c>
      <c r="G475" s="55">
        <f>MAX(0,IF(Parameter!$B$20="Jahresanfang 2025 + Export",BG475+BF475,BF475))</f>
        <v/>
      </c>
      <c r="H475" s="55">
        <f>G475*F475</f>
        <v/>
      </c>
      <c r="I475" s="55">
        <f>BI475*Parameter!$B$18</f>
        <v/>
      </c>
      <c r="J475" s="56" t="n">
        <v>16</v>
      </c>
      <c r="K475" s="57" t="n">
        <v>7.375</v>
      </c>
      <c r="L475" s="55" t="n">
        <v>0</v>
      </c>
      <c r="M475" s="55" t="n">
        <v>50</v>
      </c>
      <c r="N475" s="58" t="n">
        <v>21</v>
      </c>
      <c r="O475" s="53" t="inlineStr">
        <is>
          <t>LOSE</t>
        </is>
      </c>
      <c r="P475" s="55" t="n"/>
      <c r="Q475" s="59">
        <f>IF(BO475=1,0,IFERROR(VLOOKUP(BM475,'Gebinde-Kategorie'!$A$5:$G$45,6,0)+0,0))</f>
        <v/>
      </c>
      <c r="R475" s="60" t="n"/>
      <c r="S475" s="61" t="n"/>
      <c r="T475" s="61" t="n"/>
      <c r="U475" s="53">
        <f>IF(A475="","",IF(IFERROR(VLOOKUP(D475,Parameter!$A$35:$C$64,2,0),"Nein")="2+3",IF(ISNUMBER(SEARCH("grosser Artikel",BJ475)),2,IFERROR(VLOOKUP(BM475,Parameter!$F$35:$G$64,2,0),2)),IF(OR(IFERROR(VLOOKUP(D475,Parameter!$A$35:$C$64,2,0),"Nein")="Nein",IFERROR(VLOOKUP(D475,Parameter!$A$35:$C$64,2,0),"Nein")=""),"-",VLOOKUP(D475,Parameter!$A$35:$C$64,2,0))))</f>
        <v/>
      </c>
      <c r="V475" s="61" t="n"/>
      <c r="W475" s="62" t="n"/>
      <c r="X475" s="55">
        <f>AM475</f>
        <v/>
      </c>
      <c r="Y475" s="55">
        <f>MAX(AM475,G475)</f>
        <v/>
      </c>
      <c r="Z475" s="63" t="n"/>
      <c r="AA475" s="55">
        <f>IF(LEFT(Cockpit!$C$5,1)="A",G475,IF(BT475=1,BU475,IF(LEFT(Cockpit!$C$5,1)="B",AE475,MAX(AE475,G475))))</f>
        <v/>
      </c>
      <c r="AB475" s="55">
        <f>IF(BO475=1,0,ROUNDUP(AA475/BN475,0))</f>
        <v/>
      </c>
      <c r="AC475" s="64">
        <f>IF(BO475=1,IF(AA475&lt;=0,0,BP475*MAX(1,IF(G475&gt;0,AA475/G475,1))),AB475*Q475)</f>
        <v/>
      </c>
      <c r="AD475" s="55">
        <f>AA475*F475</f>
        <v/>
      </c>
      <c r="AE475" s="55">
        <f>ROUNDUP(MAX(I475/IF(BS475&gt;0,BS475,MAX(0.1,N(Cockpit!$C$6))),BV475)/BN475,0)*BN475</f>
        <v/>
      </c>
      <c r="AF475" s="56">
        <f>IF(AC475&gt;0,I475/AC475,-1)</f>
        <v/>
      </c>
      <c r="AG475" s="56">
        <f>IF(AND(OR(BR475="L1",BR475="L23"),AC475&gt;0),SUMIFS($AC$7:$AC$1570,$BR$7:$BR$1570,BR475,$AF$7:$AF$1570,"&gt;"&amp;AF475)+SUMIFS($AC$7:$AC$1570,$BR$7:$BR$1570,BR475,$AF$7:$AF$1570,AF475,$BL$7:$BL$1570,"&lt;="&amp;BL475),"")</f>
        <v/>
      </c>
      <c r="AH475" s="65">
        <f>IF(AG475="",0,MAX(0,MIN(1,(IF(BR475="L1",Parameter!$K$5,Parameter!$K$6+Parameter!$K$7)-(AG475-AC475))/AC475)))</f>
        <v/>
      </c>
      <c r="AI475" s="55">
        <f>IF(LEFT(Cockpit!$I$5,1)="A",G475,IF(BT475=1,BU475,IF(LEFT(Cockpit!$I$5,1)="B",AM475,MAX(AM475,G475))))</f>
        <v/>
      </c>
      <c r="AJ475" s="55">
        <f>IF(BO475=1,0,ROUNDUP(AI475/BN475,0))</f>
        <v/>
      </c>
      <c r="AK475" s="64">
        <f>IF(BO475=1,IF(AI475&lt;=0,0,BP475*MAX(1,IF(G475&gt;0,AI475/G475,1))),AJ475*Q475)</f>
        <v/>
      </c>
      <c r="AL475" s="55">
        <f>AI475*F475</f>
        <v/>
      </c>
      <c r="AM475" s="55">
        <f>ROUNDUP(MAX(I475/IF(BS475&gt;0,BS475,MAX(0.1,N(Cockpit!$I$6))),BV475)/BN475,0)*BN475</f>
        <v/>
      </c>
      <c r="AN475" s="56">
        <f>IF(AK475&gt;0,I475/AK475,-1)</f>
        <v/>
      </c>
      <c r="AO475" s="56">
        <f>IF(AND(OR(BR475="L1",BR475="L23"),AK475&gt;0),SUMIFS($AK$7:$AK$1570,$BR$7:$BR$1570,BR475,$AN$7:$AN$1570,"&gt;"&amp;AN475)+SUMIFS($AK$7:$AK$1570,$BR$7:$BR$1570,BR475,$AN$7:$AN$1570,AN475,$BL$7:$BL$1570,"&lt;="&amp;BL475),"")</f>
        <v/>
      </c>
      <c r="AP475" s="65">
        <f>IF(AO475="",0,MAX(0,MIN(1,(IF(BR475="L1",Parameter!$K$5,Parameter!$K$6+Parameter!$K$7)-(AO475-AK475))/AK475)))</f>
        <v/>
      </c>
      <c r="AQ475" s="55">
        <f>IF(LEFT(Cockpit!$O$5,1)="A",G475,IF(BT475=1,BU475,IF(LEFT(Cockpit!$O$5,1)="B",AU475,MAX(AU475,G475))))</f>
        <v/>
      </c>
      <c r="AR475" s="55">
        <f>IF(BO475=1,0,ROUNDUP(AQ475/BN475,0))</f>
        <v/>
      </c>
      <c r="AS475" s="64">
        <f>IF(BO475=1,IF(AQ475&lt;=0,0,BP475*MAX(1,IF(G475&gt;0,AQ475/G475,1))),AR475*Q475)</f>
        <v/>
      </c>
      <c r="AT475" s="55">
        <f>AQ475*F475</f>
        <v/>
      </c>
      <c r="AU475" s="55">
        <f>ROUNDUP(MAX(I475/IF(BS475&gt;0,BS475,MAX(0.1,N(Cockpit!$O$6))),BV475)/BN475,0)*BN475</f>
        <v/>
      </c>
      <c r="AV475" s="56">
        <f>IF(AS475&gt;0,I475/AS475,-1)</f>
        <v/>
      </c>
      <c r="AW475" s="56">
        <f>IF(AND(OR(BR475="L1",BR475="L23"),AS475&gt;0),SUMIFS($AS$7:$AS$1570,$BR$7:$BR$1570,BR475,$AV$7:$AV$1570,"&gt;"&amp;AV475)+SUMIFS($AS$7:$AS$1570,$BR$7:$BR$1570,BR475,$AV$7:$AV$1570,AV475,$BL$7:$BL$1570,"&lt;="&amp;BL475),"")</f>
        <v/>
      </c>
      <c r="AX475" s="65">
        <f>IF(AW475="",0,MAX(0,MIN(1,(IF(BR475="L1",Parameter!$K$5,Parameter!$K$6+Parameter!$K$7)-(AW475-AS475))/AS475)))</f>
        <v/>
      </c>
      <c r="AY475" s="53">
        <f>IF(AC475&lt;=0,"",IF(BR475="Aussen","Aussenlager",IF(BR475="-","Nicht im Lift",IF(AH475&gt;=1,"Lift",IF(AH475&lt;=0,"Aussenlager","teilweise")))))</f>
        <v/>
      </c>
      <c r="AZ475" s="53">
        <f>IF(AK475&lt;=0,"",IF(BR475="Aussen","Aussenlager",IF(BR475="-","Nicht im Lift",IF(AP475&gt;=1,"Lift",IF(AP475&lt;=0,"Aussenlager","teilweise")))))</f>
        <v/>
      </c>
      <c r="BA475" s="53">
        <f>IF(AS475&lt;=0,"",IF(BR475="Aussen","Aussenlager",IF(BR475="-","Nicht im Lift",IF(AX475&gt;=1,"Lift",IF(AX475&lt;=0,"Aussenlager","teilweise")))))</f>
        <v/>
      </c>
      <c r="BB475" s="53">
        <f>IF(A475="","",IF(BK475=1,"Neu; ","")&amp;IF(AND(BK475=0,BF475&lt;0),"negativer Bestand (Export "&amp;BF475&amp;"); ","")&amp;IF(I475&lt;=0,"Kein Verbrauch; ","")&amp;IF(BO475=1,"Lose – Fläche geschätzt; ","")&amp;IF(G475&gt;AM475,"Überbestand "&amp;ROUND(G475-AM475,0)&amp;" Stk / CHF "&amp;ROUND((G475-AM475)*F475,0)&amp;"; ","")&amp;IF(AND(BT475=1,BU475&lt;BV475),"MAX &lt; MB+LG; ","")&amp;IF(AND(BZ475&gt;0,BY475*10&gt;BZ475),"zu hoch für Tablar; ","")&amp;IF(AND(BK475=0,OR(BT475=1,V475&lt;&gt;"",S475&lt;&gt;"",T475&lt;&gt;"",W475&lt;&gt;"")),"manuell übersteuert; ","")&amp;IF(AND(BO475=0,Q475=0),"Gebinde unbekannt; ","")&amp;IF(AND(BO475=0,N(T475)&lt;=0,N(P475)&lt;=0),"Menge pro Gebinde fehlt (Ist = 1 Gebinde); ","")&amp;BJ475)</f>
        <v/>
      </c>
      <c r="BC475" s="53" t="n"/>
      <c r="BD475" s="53" t="n"/>
      <c r="BE475" s="61" t="n"/>
      <c r="BF475" s="55" t="n">
        <v>32</v>
      </c>
      <c r="BG475" s="55" t="n">
        <v>0</v>
      </c>
      <c r="BH475" s="54" t="n">
        <v>52.16</v>
      </c>
      <c r="BI475" s="55" t="n">
        <v>118</v>
      </c>
      <c r="BJ475" s="53" t="inlineStr"/>
      <c r="BK475" s="58" t="n">
        <v>0</v>
      </c>
      <c r="BL475" s="58" t="n">
        <v>475</v>
      </c>
      <c r="BM475" s="53">
        <f>IF(S475&lt;&gt;"",UPPER(TRIM(S475)),IF(O475="","LOSE",O475))</f>
        <v/>
      </c>
      <c r="BN475" s="55">
        <f>IF(BM475="LOSE",1,IF(N(T475)&gt;0,T475,IF(N(P475)&gt;0,P475,MAX(1,G475))))</f>
        <v/>
      </c>
      <c r="BO475" s="58">
        <f>IF(BM475="LOSE",1,0)</f>
        <v/>
      </c>
      <c r="BP475" s="64">
        <f>IF(BO475=0,0,IF(N(R475)&gt;0,R475,IFERROR(VLOOKUP(D475,Parameter!$A$35:$C$64,3,0)+0,0)))</f>
        <v/>
      </c>
      <c r="BQ475" s="53">
        <f>IF(V475&lt;&gt;"",V475,U475)</f>
        <v/>
      </c>
      <c r="BR475" s="53">
        <f>IF(BQ475=1,"L1",IF(OR(BQ475=2,BQ475=3),"L23",IF(BQ475="Aussen","Aussen","-")))</f>
        <v/>
      </c>
      <c r="BS475" s="66">
        <f>IF(N(W475)&gt;0,W475,0)</f>
        <v/>
      </c>
      <c r="BT475" s="58">
        <f>IF(ISNUMBER(Z475),1,0)</f>
        <v/>
      </c>
      <c r="BU475" s="55">
        <f>N(Z475)</f>
        <v/>
      </c>
      <c r="BV475" s="55">
        <f>N(L475)+N(M475)</f>
        <v/>
      </c>
      <c r="BW475" s="55">
        <f>ROUNDUP(G475/BN475,0)</f>
        <v/>
      </c>
      <c r="BX475" s="55">
        <f>ROUNDUP(BU475/BN475,0)</f>
        <v/>
      </c>
      <c r="BY475" s="58">
        <f>IF(BO475=1,0,IFERROR(VLOOKUP(BM475,'Gebinde-Kategorie'!$A$5:$G$45,5,0)+0,0))</f>
        <v/>
      </c>
      <c r="BZ475" s="58">
        <f>IFERROR(IF(OR(BQ475=1,BQ475=2,BQ475=3),N(INDEX(Parameter!$I$5:$I$7,BQ475)),0),0)</f>
        <v/>
      </c>
    </row>
    <row r="476">
      <c r="A476" s="53" t="inlineStr">
        <is>
          <t>100402</t>
        </is>
      </c>
      <c r="B476" s="53" t="inlineStr">
        <is>
          <t>Rohrleitung</t>
        </is>
      </c>
      <c r="C476" s="53" t="inlineStr">
        <is>
          <t>F</t>
        </is>
      </c>
      <c r="D476" s="53" t="inlineStr">
        <is>
          <t>KTL</t>
        </is>
      </c>
      <c r="E476" s="53" t="inlineStr">
        <is>
          <t>C</t>
        </is>
      </c>
      <c r="F476" s="54" t="n">
        <v>51.57</v>
      </c>
      <c r="G476" s="55">
        <f>MAX(0,IF(Parameter!$B$20="Jahresanfang 2025 + Export",BG476+BF476,BF476))</f>
        <v/>
      </c>
      <c r="H476" s="55">
        <f>G476*F476</f>
        <v/>
      </c>
      <c r="I476" s="55">
        <f>BI476*Parameter!$B$18</f>
        <v/>
      </c>
      <c r="J476" s="56" t="n">
        <v>0.5</v>
      </c>
      <c r="K476" s="57" t="n">
        <v>2</v>
      </c>
      <c r="L476" s="55" t="n">
        <v>0</v>
      </c>
      <c r="M476" s="55" t="n">
        <v>1</v>
      </c>
      <c r="N476" s="58" t="n">
        <v>28</v>
      </c>
      <c r="O476" s="53" t="inlineStr">
        <is>
          <t>LOSE</t>
        </is>
      </c>
      <c r="P476" s="55" t="n"/>
      <c r="Q476" s="59">
        <f>IF(BO476=1,0,IFERROR(VLOOKUP(BM476,'Gebinde-Kategorie'!$A$5:$G$45,6,0)+0,0))</f>
        <v/>
      </c>
      <c r="R476" s="60" t="n"/>
      <c r="S476" s="61" t="n"/>
      <c r="T476" s="61" t="n"/>
      <c r="U476" s="53">
        <f>IF(A476="","",IF(IFERROR(VLOOKUP(D476,Parameter!$A$35:$C$64,2,0),"Nein")="2+3",IF(ISNUMBER(SEARCH("grosser Artikel",BJ476)),2,IFERROR(VLOOKUP(BM476,Parameter!$F$35:$G$64,2,0),2)),IF(OR(IFERROR(VLOOKUP(D476,Parameter!$A$35:$C$64,2,0),"Nein")="Nein",IFERROR(VLOOKUP(D476,Parameter!$A$35:$C$64,2,0),"Nein")=""),"-",VLOOKUP(D476,Parameter!$A$35:$C$64,2,0))))</f>
        <v/>
      </c>
      <c r="V476" s="61" t="n"/>
      <c r="W476" s="62" t="n"/>
      <c r="X476" s="55">
        <f>AM476</f>
        <v/>
      </c>
      <c r="Y476" s="55">
        <f>MAX(AM476,G476)</f>
        <v/>
      </c>
      <c r="Z476" s="63" t="n"/>
      <c r="AA476" s="55">
        <f>IF(LEFT(Cockpit!$C$5,1)="A",G476,IF(BT476=1,BU476,IF(LEFT(Cockpit!$C$5,1)="B",AE476,MAX(AE476,G476))))</f>
        <v/>
      </c>
      <c r="AB476" s="55">
        <f>IF(BO476=1,0,ROUNDUP(AA476/BN476,0))</f>
        <v/>
      </c>
      <c r="AC476" s="64">
        <f>IF(BO476=1,IF(AA476&lt;=0,0,BP476*MAX(1,IF(G476&gt;0,AA476/G476,1))),AB476*Q476)</f>
        <v/>
      </c>
      <c r="AD476" s="55">
        <f>AA476*F476</f>
        <v/>
      </c>
      <c r="AE476" s="55">
        <f>ROUNDUP(MAX(I476/IF(BS476&gt;0,BS476,MAX(0.1,N(Cockpit!$C$6))),BV476)/BN476,0)*BN476</f>
        <v/>
      </c>
      <c r="AF476" s="56">
        <f>IF(AC476&gt;0,I476/AC476,-1)</f>
        <v/>
      </c>
      <c r="AG476" s="56">
        <f>IF(AND(OR(BR476="L1",BR476="L23"),AC476&gt;0),SUMIFS($AC$7:$AC$1570,$BR$7:$BR$1570,BR476,$AF$7:$AF$1570,"&gt;"&amp;AF476)+SUMIFS($AC$7:$AC$1570,$BR$7:$BR$1570,BR476,$AF$7:$AF$1570,AF476,$BL$7:$BL$1570,"&lt;="&amp;BL476),"")</f>
        <v/>
      </c>
      <c r="AH476" s="65">
        <f>IF(AG476="",0,MAX(0,MIN(1,(IF(BR476="L1",Parameter!$K$5,Parameter!$K$6+Parameter!$K$7)-(AG476-AC476))/AC476)))</f>
        <v/>
      </c>
      <c r="AI476" s="55">
        <f>IF(LEFT(Cockpit!$I$5,1)="A",G476,IF(BT476=1,BU476,IF(LEFT(Cockpit!$I$5,1)="B",AM476,MAX(AM476,G476))))</f>
        <v/>
      </c>
      <c r="AJ476" s="55">
        <f>IF(BO476=1,0,ROUNDUP(AI476/BN476,0))</f>
        <v/>
      </c>
      <c r="AK476" s="64">
        <f>IF(BO476=1,IF(AI476&lt;=0,0,BP476*MAX(1,IF(G476&gt;0,AI476/G476,1))),AJ476*Q476)</f>
        <v/>
      </c>
      <c r="AL476" s="55">
        <f>AI476*F476</f>
        <v/>
      </c>
      <c r="AM476" s="55">
        <f>ROUNDUP(MAX(I476/IF(BS476&gt;0,BS476,MAX(0.1,N(Cockpit!$I$6))),BV476)/BN476,0)*BN476</f>
        <v/>
      </c>
      <c r="AN476" s="56">
        <f>IF(AK476&gt;0,I476/AK476,-1)</f>
        <v/>
      </c>
      <c r="AO476" s="56">
        <f>IF(AND(OR(BR476="L1",BR476="L23"),AK476&gt;0),SUMIFS($AK$7:$AK$1570,$BR$7:$BR$1570,BR476,$AN$7:$AN$1570,"&gt;"&amp;AN476)+SUMIFS($AK$7:$AK$1570,$BR$7:$BR$1570,BR476,$AN$7:$AN$1570,AN476,$BL$7:$BL$1570,"&lt;="&amp;BL476),"")</f>
        <v/>
      </c>
      <c r="AP476" s="65">
        <f>IF(AO476="",0,MAX(0,MIN(1,(IF(BR476="L1",Parameter!$K$5,Parameter!$K$6+Parameter!$K$7)-(AO476-AK476))/AK476)))</f>
        <v/>
      </c>
      <c r="AQ476" s="55">
        <f>IF(LEFT(Cockpit!$O$5,1)="A",G476,IF(BT476=1,BU476,IF(LEFT(Cockpit!$O$5,1)="B",AU476,MAX(AU476,G476))))</f>
        <v/>
      </c>
      <c r="AR476" s="55">
        <f>IF(BO476=1,0,ROUNDUP(AQ476/BN476,0))</f>
        <v/>
      </c>
      <c r="AS476" s="64">
        <f>IF(BO476=1,IF(AQ476&lt;=0,0,BP476*MAX(1,IF(G476&gt;0,AQ476/G476,1))),AR476*Q476)</f>
        <v/>
      </c>
      <c r="AT476" s="55">
        <f>AQ476*F476</f>
        <v/>
      </c>
      <c r="AU476" s="55">
        <f>ROUNDUP(MAX(I476/IF(BS476&gt;0,BS476,MAX(0.1,N(Cockpit!$O$6))),BV476)/BN476,0)*BN476</f>
        <v/>
      </c>
      <c r="AV476" s="56">
        <f>IF(AS476&gt;0,I476/AS476,-1)</f>
        <v/>
      </c>
      <c r="AW476" s="56">
        <f>IF(AND(OR(BR476="L1",BR476="L23"),AS476&gt;0),SUMIFS($AS$7:$AS$1570,$BR$7:$BR$1570,BR476,$AV$7:$AV$1570,"&gt;"&amp;AV476)+SUMIFS($AS$7:$AS$1570,$BR$7:$BR$1570,BR476,$AV$7:$AV$1570,AV476,$BL$7:$BL$1570,"&lt;="&amp;BL476),"")</f>
        <v/>
      </c>
      <c r="AX476" s="65">
        <f>IF(AW476="",0,MAX(0,MIN(1,(IF(BR476="L1",Parameter!$K$5,Parameter!$K$6+Parameter!$K$7)-(AW476-AS476))/AS476)))</f>
        <v/>
      </c>
      <c r="AY476" s="53">
        <f>IF(AC476&lt;=0,"",IF(BR476="Aussen","Aussenlager",IF(BR476="-","Nicht im Lift",IF(AH476&gt;=1,"Lift",IF(AH476&lt;=0,"Aussenlager","teilweise")))))</f>
        <v/>
      </c>
      <c r="AZ476" s="53">
        <f>IF(AK476&lt;=0,"",IF(BR476="Aussen","Aussenlager",IF(BR476="-","Nicht im Lift",IF(AP476&gt;=1,"Lift",IF(AP476&lt;=0,"Aussenlager","teilweise")))))</f>
        <v/>
      </c>
      <c r="BA476" s="53">
        <f>IF(AS476&lt;=0,"",IF(BR476="Aussen","Aussenlager",IF(BR476="-","Nicht im Lift",IF(AX476&gt;=1,"Lift",IF(AX476&lt;=0,"Aussenlager","teilweise")))))</f>
        <v/>
      </c>
      <c r="BB476" s="53">
        <f>IF(A476="","",IF(BK476=1,"Neu; ","")&amp;IF(AND(BK476=0,BF476&lt;0),"negativer Bestand (Export "&amp;BF476&amp;"); ","")&amp;IF(I476&lt;=0,"Kein Verbrauch; ","")&amp;IF(BO476=1,"Lose – Fläche geschätzt; ","")&amp;IF(G476&gt;AM476,"Überbestand "&amp;ROUND(G476-AM476,0)&amp;" Stk / CHF "&amp;ROUND((G476-AM476)*F476,0)&amp;"; ","")&amp;IF(AND(BT476=1,BU476&lt;BV476),"MAX &lt; MB+LG; ","")&amp;IF(AND(BZ476&gt;0,BY476*10&gt;BZ476),"zu hoch für Tablar; ","")&amp;IF(AND(BK476=0,OR(BT476=1,V476&lt;&gt;"",S476&lt;&gt;"",T476&lt;&gt;"",W476&lt;&gt;"")),"manuell übersteuert; ","")&amp;IF(AND(BO476=0,Q476=0),"Gebinde unbekannt; ","")&amp;IF(AND(BO476=0,N(T476)&lt;=0,N(P476)&lt;=0),"Menge pro Gebinde fehlt (Ist = 1 Gebinde); ","")&amp;BJ476)</f>
        <v/>
      </c>
      <c r="BC476" s="53" t="n"/>
      <c r="BD476" s="53" t="n"/>
      <c r="BE476" s="61" t="n"/>
      <c r="BF476" s="55" t="n">
        <v>1</v>
      </c>
      <c r="BG476" s="55" t="n">
        <v>0</v>
      </c>
      <c r="BH476" s="54" t="n">
        <v>51.57000000000001</v>
      </c>
      <c r="BI476" s="55" t="n">
        <v>1</v>
      </c>
      <c r="BJ476" s="53" t="inlineStr"/>
      <c r="BK476" s="58" t="n">
        <v>0</v>
      </c>
      <c r="BL476" s="58" t="n">
        <v>476</v>
      </c>
      <c r="BM476" s="53">
        <f>IF(S476&lt;&gt;"",UPPER(TRIM(S476)),IF(O476="","LOSE",O476))</f>
        <v/>
      </c>
      <c r="BN476" s="55">
        <f>IF(BM476="LOSE",1,IF(N(T476)&gt;0,T476,IF(N(P476)&gt;0,P476,MAX(1,G476))))</f>
        <v/>
      </c>
      <c r="BO476" s="58">
        <f>IF(BM476="LOSE",1,0)</f>
        <v/>
      </c>
      <c r="BP476" s="64">
        <f>IF(BO476=0,0,IF(N(R476)&gt;0,R476,IFERROR(VLOOKUP(D476,Parameter!$A$35:$C$64,3,0)+0,0)))</f>
        <v/>
      </c>
      <c r="BQ476" s="53">
        <f>IF(V476&lt;&gt;"",V476,U476)</f>
        <v/>
      </c>
      <c r="BR476" s="53">
        <f>IF(BQ476=1,"L1",IF(OR(BQ476=2,BQ476=3),"L23",IF(BQ476="Aussen","Aussen","-")))</f>
        <v/>
      </c>
      <c r="BS476" s="66">
        <f>IF(N(W476)&gt;0,W476,0)</f>
        <v/>
      </c>
      <c r="BT476" s="58">
        <f>IF(ISNUMBER(Z476),1,0)</f>
        <v/>
      </c>
      <c r="BU476" s="55">
        <f>N(Z476)</f>
        <v/>
      </c>
      <c r="BV476" s="55">
        <f>N(L476)+N(M476)</f>
        <v/>
      </c>
      <c r="BW476" s="55">
        <f>ROUNDUP(G476/BN476,0)</f>
        <v/>
      </c>
      <c r="BX476" s="55">
        <f>ROUNDUP(BU476/BN476,0)</f>
        <v/>
      </c>
      <c r="BY476" s="58">
        <f>IF(BO476=1,0,IFERROR(VLOOKUP(BM476,'Gebinde-Kategorie'!$A$5:$G$45,5,0)+0,0))</f>
        <v/>
      </c>
      <c r="BZ476" s="58">
        <f>IFERROR(IF(OR(BQ476=1,BQ476=2,BQ476=3),N(INDEX(Parameter!$I$5:$I$7,BQ476)),0),0)</f>
        <v/>
      </c>
    </row>
    <row r="477">
      <c r="A477" s="53" t="inlineStr">
        <is>
          <t>108368</t>
        </is>
      </c>
      <c r="B477" s="53" t="inlineStr">
        <is>
          <t>Lenkrolle mit Feststeller</t>
        </is>
      </c>
      <c r="C477" s="53" t="inlineStr">
        <is>
          <t>F</t>
        </is>
      </c>
      <c r="D477" s="53" t="inlineStr">
        <is>
          <t>KTL</t>
        </is>
      </c>
      <c r="E477" s="53" t="inlineStr">
        <is>
          <t>C</t>
        </is>
      </c>
      <c r="F477" s="54" t="n">
        <v>51</v>
      </c>
      <c r="G477" s="55">
        <f>MAX(0,IF(Parameter!$B$20="Jahresanfang 2025 + Export",BG477+BF477,BF477))</f>
        <v/>
      </c>
      <c r="H477" s="55">
        <f>G477*F477</f>
        <v/>
      </c>
      <c r="I477" s="55">
        <f>BI477*Parameter!$B$18</f>
        <v/>
      </c>
      <c r="J477" s="56" t="n">
        <v>7.5</v>
      </c>
      <c r="K477" s="57" t="n">
        <v>0</v>
      </c>
      <c r="L477" s="55" t="n">
        <v>0</v>
      </c>
      <c r="M477" s="55" t="n">
        <v>1</v>
      </c>
      <c r="N477" s="58" t="n">
        <v>28</v>
      </c>
      <c r="O477" s="53" t="inlineStr">
        <is>
          <t>S52</t>
        </is>
      </c>
      <c r="P477" s="55" t="n">
        <v>10</v>
      </c>
      <c r="Q477" s="59">
        <f>IF(BO477=1,0,IFERROR(VLOOKUP(BM477,'Gebinde-Kategorie'!$A$5:$G$45,6,0)+0,0))</f>
        <v/>
      </c>
      <c r="R477" s="60" t="n"/>
      <c r="S477" s="61" t="n"/>
      <c r="T477" s="61" t="n"/>
      <c r="U477" s="53">
        <f>IF(A477="","",IF(IFERROR(VLOOKUP(D477,Parameter!$A$35:$C$64,2,0),"Nein")="2+3",IF(ISNUMBER(SEARCH("grosser Artikel",BJ477)),2,IFERROR(VLOOKUP(BM477,Parameter!$F$35:$G$64,2,0),2)),IF(OR(IFERROR(VLOOKUP(D477,Parameter!$A$35:$C$64,2,0),"Nein")="Nein",IFERROR(VLOOKUP(D477,Parameter!$A$35:$C$64,2,0),"Nein")=""),"-",VLOOKUP(D477,Parameter!$A$35:$C$64,2,0))))</f>
        <v/>
      </c>
      <c r="V477" s="61" t="n"/>
      <c r="W477" s="62" t="n"/>
      <c r="X477" s="55">
        <f>AM477</f>
        <v/>
      </c>
      <c r="Y477" s="55">
        <f>MAX(AM477,G477)</f>
        <v/>
      </c>
      <c r="Z477" s="63" t="n"/>
      <c r="AA477" s="55">
        <f>IF(LEFT(Cockpit!$C$5,1)="A",G477,IF(BT477=1,BU477,IF(LEFT(Cockpit!$C$5,1)="B",AE477,MAX(AE477,G477))))</f>
        <v/>
      </c>
      <c r="AB477" s="55">
        <f>IF(BO477=1,0,ROUNDUP(AA477/BN477,0))</f>
        <v/>
      </c>
      <c r="AC477" s="64">
        <f>IF(BO477=1,IF(AA477&lt;=0,0,BP477*MAX(1,IF(G477&gt;0,AA477/G477,1))),AB477*Q477)</f>
        <v/>
      </c>
      <c r="AD477" s="55">
        <f>AA477*F477</f>
        <v/>
      </c>
      <c r="AE477" s="55">
        <f>ROUNDUP(MAX(I477/IF(BS477&gt;0,BS477,MAX(0.1,N(Cockpit!$C$6))),BV477)/BN477,0)*BN477</f>
        <v/>
      </c>
      <c r="AF477" s="56">
        <f>IF(AC477&gt;0,I477/AC477,-1)</f>
        <v/>
      </c>
      <c r="AG477" s="56">
        <f>IF(AND(OR(BR477="L1",BR477="L23"),AC477&gt;0),SUMIFS($AC$7:$AC$1570,$BR$7:$BR$1570,BR477,$AF$7:$AF$1570,"&gt;"&amp;AF477)+SUMIFS($AC$7:$AC$1570,$BR$7:$BR$1570,BR477,$AF$7:$AF$1570,AF477,$BL$7:$BL$1570,"&lt;="&amp;BL477),"")</f>
        <v/>
      </c>
      <c r="AH477" s="65">
        <f>IF(AG477="",0,MAX(0,MIN(1,(IF(BR477="L1",Parameter!$K$5,Parameter!$K$6+Parameter!$K$7)-(AG477-AC477))/AC477)))</f>
        <v/>
      </c>
      <c r="AI477" s="55">
        <f>IF(LEFT(Cockpit!$I$5,1)="A",G477,IF(BT477=1,BU477,IF(LEFT(Cockpit!$I$5,1)="B",AM477,MAX(AM477,G477))))</f>
        <v/>
      </c>
      <c r="AJ477" s="55">
        <f>IF(BO477=1,0,ROUNDUP(AI477/BN477,0))</f>
        <v/>
      </c>
      <c r="AK477" s="64">
        <f>IF(BO477=1,IF(AI477&lt;=0,0,BP477*MAX(1,IF(G477&gt;0,AI477/G477,1))),AJ477*Q477)</f>
        <v/>
      </c>
      <c r="AL477" s="55">
        <f>AI477*F477</f>
        <v/>
      </c>
      <c r="AM477" s="55">
        <f>ROUNDUP(MAX(I477/IF(BS477&gt;0,BS477,MAX(0.1,N(Cockpit!$I$6))),BV477)/BN477,0)*BN477</f>
        <v/>
      </c>
      <c r="AN477" s="56">
        <f>IF(AK477&gt;0,I477/AK477,-1)</f>
        <v/>
      </c>
      <c r="AO477" s="56">
        <f>IF(AND(OR(BR477="L1",BR477="L23"),AK477&gt;0),SUMIFS($AK$7:$AK$1570,$BR$7:$BR$1570,BR477,$AN$7:$AN$1570,"&gt;"&amp;AN477)+SUMIFS($AK$7:$AK$1570,$BR$7:$BR$1570,BR477,$AN$7:$AN$1570,AN477,$BL$7:$BL$1570,"&lt;="&amp;BL477),"")</f>
        <v/>
      </c>
      <c r="AP477" s="65">
        <f>IF(AO477="",0,MAX(0,MIN(1,(IF(BR477="L1",Parameter!$K$5,Parameter!$K$6+Parameter!$K$7)-(AO477-AK477))/AK477)))</f>
        <v/>
      </c>
      <c r="AQ477" s="55">
        <f>IF(LEFT(Cockpit!$O$5,1)="A",G477,IF(BT477=1,BU477,IF(LEFT(Cockpit!$O$5,1)="B",AU477,MAX(AU477,G477))))</f>
        <v/>
      </c>
      <c r="AR477" s="55">
        <f>IF(BO477=1,0,ROUNDUP(AQ477/BN477,0))</f>
        <v/>
      </c>
      <c r="AS477" s="64">
        <f>IF(BO477=1,IF(AQ477&lt;=0,0,BP477*MAX(1,IF(G477&gt;0,AQ477/G477,1))),AR477*Q477)</f>
        <v/>
      </c>
      <c r="AT477" s="55">
        <f>AQ477*F477</f>
        <v/>
      </c>
      <c r="AU477" s="55">
        <f>ROUNDUP(MAX(I477/IF(BS477&gt;0,BS477,MAX(0.1,N(Cockpit!$O$6))),BV477)/BN477,0)*BN477</f>
        <v/>
      </c>
      <c r="AV477" s="56">
        <f>IF(AS477&gt;0,I477/AS477,-1)</f>
        <v/>
      </c>
      <c r="AW477" s="56">
        <f>IF(AND(OR(BR477="L1",BR477="L23"),AS477&gt;0),SUMIFS($AS$7:$AS$1570,$BR$7:$BR$1570,BR477,$AV$7:$AV$1570,"&gt;"&amp;AV477)+SUMIFS($AS$7:$AS$1570,$BR$7:$BR$1570,BR477,$AV$7:$AV$1570,AV477,$BL$7:$BL$1570,"&lt;="&amp;BL477),"")</f>
        <v/>
      </c>
      <c r="AX477" s="65">
        <f>IF(AW477="",0,MAX(0,MIN(1,(IF(BR477="L1",Parameter!$K$5,Parameter!$K$6+Parameter!$K$7)-(AW477-AS477))/AS477)))</f>
        <v/>
      </c>
      <c r="AY477" s="53">
        <f>IF(AC477&lt;=0,"",IF(BR477="Aussen","Aussenlager",IF(BR477="-","Nicht im Lift",IF(AH477&gt;=1,"Lift",IF(AH477&lt;=0,"Aussenlager","teilweise")))))</f>
        <v/>
      </c>
      <c r="AZ477" s="53">
        <f>IF(AK477&lt;=0,"",IF(BR477="Aussen","Aussenlager",IF(BR477="-","Nicht im Lift",IF(AP477&gt;=1,"Lift",IF(AP477&lt;=0,"Aussenlager","teilweise")))))</f>
        <v/>
      </c>
      <c r="BA477" s="53">
        <f>IF(AS477&lt;=0,"",IF(BR477="Aussen","Aussenlager",IF(BR477="-","Nicht im Lift",IF(AX477&gt;=1,"Lift",IF(AX477&lt;=0,"Aussenlager","teilweise")))))</f>
        <v/>
      </c>
      <c r="BB477" s="53">
        <f>IF(A477="","",IF(BK477=1,"Neu; ","")&amp;IF(AND(BK477=0,BF477&lt;0),"negativer Bestand (Export "&amp;BF477&amp;"); ","")&amp;IF(I477&lt;=0,"Kein Verbrauch; ","")&amp;IF(BO477=1,"Lose – Fläche geschätzt; ","")&amp;IF(G477&gt;AM477,"Überbestand "&amp;ROUND(G477-AM477,0)&amp;" Stk / CHF "&amp;ROUND((G477-AM477)*F477,0)&amp;"; ","")&amp;IF(AND(BT477=1,BU477&lt;BV477),"MAX &lt; MB+LG; ","")&amp;IF(AND(BZ477&gt;0,BY477*10&gt;BZ477),"zu hoch für Tablar; ","")&amp;IF(AND(BK477=0,OR(BT477=1,V477&lt;&gt;"",S477&lt;&gt;"",T477&lt;&gt;"",W477&lt;&gt;"")),"manuell übersteuert; ","")&amp;IF(AND(BO477=0,Q477=0),"Gebinde unbekannt; ","")&amp;IF(AND(BO477=0,N(T477)&lt;=0,N(P477)&lt;=0),"Menge pro Gebinde fehlt (Ist = 1 Gebinde); ","")&amp;BJ477)</f>
        <v/>
      </c>
      <c r="BC477" s="53" t="n"/>
      <c r="BD477" s="53" t="n"/>
      <c r="BE477" s="61" t="n"/>
      <c r="BF477" s="55" t="n">
        <v>1</v>
      </c>
      <c r="BG477" s="55" t="n">
        <v>7</v>
      </c>
      <c r="BH477" s="54" t="n">
        <v>51</v>
      </c>
      <c r="BI477" s="55" t="n">
        <v>0</v>
      </c>
      <c r="BJ477" s="53" t="inlineStr">
        <is>
          <t>Neuer Art.</t>
        </is>
      </c>
      <c r="BK477" s="58" t="n">
        <v>0</v>
      </c>
      <c r="BL477" s="58" t="n">
        <v>477</v>
      </c>
      <c r="BM477" s="53">
        <f>IF(S477&lt;&gt;"",UPPER(TRIM(S477)),IF(O477="","LOSE",O477))</f>
        <v/>
      </c>
      <c r="BN477" s="55">
        <f>IF(BM477="LOSE",1,IF(N(T477)&gt;0,T477,IF(N(P477)&gt;0,P477,MAX(1,G477))))</f>
        <v/>
      </c>
      <c r="BO477" s="58">
        <f>IF(BM477="LOSE",1,0)</f>
        <v/>
      </c>
      <c r="BP477" s="64">
        <f>IF(BO477=0,0,IF(N(R477)&gt;0,R477,IFERROR(VLOOKUP(D477,Parameter!$A$35:$C$64,3,0)+0,0)))</f>
        <v/>
      </c>
      <c r="BQ477" s="53">
        <f>IF(V477&lt;&gt;"",V477,U477)</f>
        <v/>
      </c>
      <c r="BR477" s="53">
        <f>IF(BQ477=1,"L1",IF(OR(BQ477=2,BQ477=3),"L23",IF(BQ477="Aussen","Aussen","-")))</f>
        <v/>
      </c>
      <c r="BS477" s="66">
        <f>IF(N(W477)&gt;0,W477,0)</f>
        <v/>
      </c>
      <c r="BT477" s="58">
        <f>IF(ISNUMBER(Z477),1,0)</f>
        <v/>
      </c>
      <c r="BU477" s="55">
        <f>N(Z477)</f>
        <v/>
      </c>
      <c r="BV477" s="55">
        <f>N(L477)+N(M477)</f>
        <v/>
      </c>
      <c r="BW477" s="55">
        <f>ROUNDUP(G477/BN477,0)</f>
        <v/>
      </c>
      <c r="BX477" s="55">
        <f>ROUNDUP(BU477/BN477,0)</f>
        <v/>
      </c>
      <c r="BY477" s="58">
        <f>IF(BO477=1,0,IFERROR(VLOOKUP(BM477,'Gebinde-Kategorie'!$A$5:$G$45,5,0)+0,0))</f>
        <v/>
      </c>
      <c r="BZ477" s="58">
        <f>IFERROR(IF(OR(BQ477=1,BQ477=2,BQ477=3),N(INDEX(Parameter!$I$5:$I$7,BQ477)),0),0)</f>
        <v/>
      </c>
    </row>
    <row r="478">
      <c r="A478" s="53" t="inlineStr">
        <is>
          <t>107234</t>
        </is>
      </c>
      <c r="B478" s="53" t="inlineStr">
        <is>
          <t>Klingenmesser</t>
        </is>
      </c>
      <c r="C478" s="53" t="inlineStr">
        <is>
          <t>F</t>
        </is>
      </c>
      <c r="D478" s="53" t="inlineStr">
        <is>
          <t>KTL</t>
        </is>
      </c>
      <c r="E478" s="53" t="inlineStr">
        <is>
          <t>C</t>
        </is>
      </c>
      <c r="F478" s="54" t="n">
        <v>6.71</v>
      </c>
      <c r="G478" s="55">
        <f>MAX(0,IF(Parameter!$B$20="Jahresanfang 2025 + Export",BG478+BF478,BF478))</f>
        <v/>
      </c>
      <c r="H478" s="55">
        <f>G478*F478</f>
        <v/>
      </c>
      <c r="I478" s="55">
        <f>BI478*Parameter!$B$18</f>
        <v/>
      </c>
      <c r="J478" s="56" t="n">
        <v>2.5</v>
      </c>
      <c r="K478" s="57" t="n">
        <v>4.8</v>
      </c>
      <c r="L478" s="55" t="n">
        <v>0</v>
      </c>
      <c r="M478" s="55" t="n">
        <v>10</v>
      </c>
      <c r="N478" s="58" t="n">
        <v>14</v>
      </c>
      <c r="O478" s="53" t="inlineStr">
        <is>
          <t>S33</t>
        </is>
      </c>
      <c r="P478" s="55" t="n">
        <v>15</v>
      </c>
      <c r="Q478" s="59">
        <f>IF(BO478=1,0,IFERROR(VLOOKUP(BM478,'Gebinde-Kategorie'!$A$5:$G$45,6,0)+0,0))</f>
        <v/>
      </c>
      <c r="R478" s="60" t="n"/>
      <c r="S478" s="61" t="n"/>
      <c r="T478" s="61" t="n"/>
      <c r="U478" s="53">
        <f>IF(A478="","",IF(IFERROR(VLOOKUP(D478,Parameter!$A$35:$C$64,2,0),"Nein")="2+3",IF(ISNUMBER(SEARCH("grosser Artikel",BJ478)),2,IFERROR(VLOOKUP(BM478,Parameter!$F$35:$G$64,2,0),2)),IF(OR(IFERROR(VLOOKUP(D478,Parameter!$A$35:$C$64,2,0),"Nein")="Nein",IFERROR(VLOOKUP(D478,Parameter!$A$35:$C$64,2,0),"Nein")=""),"-",VLOOKUP(D478,Parameter!$A$35:$C$64,2,0))))</f>
        <v/>
      </c>
      <c r="V478" s="61" t="n"/>
      <c r="W478" s="62" t="n"/>
      <c r="X478" s="55">
        <f>AM478</f>
        <v/>
      </c>
      <c r="Y478" s="55">
        <f>MAX(AM478,G478)</f>
        <v/>
      </c>
      <c r="Z478" s="63" t="n"/>
      <c r="AA478" s="55">
        <f>IF(LEFT(Cockpit!$C$5,1)="A",G478,IF(BT478=1,BU478,IF(LEFT(Cockpit!$C$5,1)="B",AE478,MAX(AE478,G478))))</f>
        <v/>
      </c>
      <c r="AB478" s="55">
        <f>IF(BO478=1,0,ROUNDUP(AA478/BN478,0))</f>
        <v/>
      </c>
      <c r="AC478" s="64">
        <f>IF(BO478=1,IF(AA478&lt;=0,0,BP478*MAX(1,IF(G478&gt;0,AA478/G478,1))),AB478*Q478)</f>
        <v/>
      </c>
      <c r="AD478" s="55">
        <f>AA478*F478</f>
        <v/>
      </c>
      <c r="AE478" s="55">
        <f>ROUNDUP(MAX(I478/IF(BS478&gt;0,BS478,MAX(0.1,N(Cockpit!$C$6))),BV478)/BN478,0)*BN478</f>
        <v/>
      </c>
      <c r="AF478" s="56">
        <f>IF(AC478&gt;0,I478/AC478,-1)</f>
        <v/>
      </c>
      <c r="AG478" s="56">
        <f>IF(AND(OR(BR478="L1",BR478="L23"),AC478&gt;0),SUMIFS($AC$7:$AC$1570,$BR$7:$BR$1570,BR478,$AF$7:$AF$1570,"&gt;"&amp;AF478)+SUMIFS($AC$7:$AC$1570,$BR$7:$BR$1570,BR478,$AF$7:$AF$1570,AF478,$BL$7:$BL$1570,"&lt;="&amp;BL478),"")</f>
        <v/>
      </c>
      <c r="AH478" s="65">
        <f>IF(AG478="",0,MAX(0,MIN(1,(IF(BR478="L1",Parameter!$K$5,Parameter!$K$6+Parameter!$K$7)-(AG478-AC478))/AC478)))</f>
        <v/>
      </c>
      <c r="AI478" s="55">
        <f>IF(LEFT(Cockpit!$I$5,1)="A",G478,IF(BT478=1,BU478,IF(LEFT(Cockpit!$I$5,1)="B",AM478,MAX(AM478,G478))))</f>
        <v/>
      </c>
      <c r="AJ478" s="55">
        <f>IF(BO478=1,0,ROUNDUP(AI478/BN478,0))</f>
        <v/>
      </c>
      <c r="AK478" s="64">
        <f>IF(BO478=1,IF(AI478&lt;=0,0,BP478*MAX(1,IF(G478&gt;0,AI478/G478,1))),AJ478*Q478)</f>
        <v/>
      </c>
      <c r="AL478" s="55">
        <f>AI478*F478</f>
        <v/>
      </c>
      <c r="AM478" s="55">
        <f>ROUNDUP(MAX(I478/IF(BS478&gt;0,BS478,MAX(0.1,N(Cockpit!$I$6))),BV478)/BN478,0)*BN478</f>
        <v/>
      </c>
      <c r="AN478" s="56">
        <f>IF(AK478&gt;0,I478/AK478,-1)</f>
        <v/>
      </c>
      <c r="AO478" s="56">
        <f>IF(AND(OR(BR478="L1",BR478="L23"),AK478&gt;0),SUMIFS($AK$7:$AK$1570,$BR$7:$BR$1570,BR478,$AN$7:$AN$1570,"&gt;"&amp;AN478)+SUMIFS($AK$7:$AK$1570,$BR$7:$BR$1570,BR478,$AN$7:$AN$1570,AN478,$BL$7:$BL$1570,"&lt;="&amp;BL478),"")</f>
        <v/>
      </c>
      <c r="AP478" s="65">
        <f>IF(AO478="",0,MAX(0,MIN(1,(IF(BR478="L1",Parameter!$K$5,Parameter!$K$6+Parameter!$K$7)-(AO478-AK478))/AK478)))</f>
        <v/>
      </c>
      <c r="AQ478" s="55">
        <f>IF(LEFT(Cockpit!$O$5,1)="A",G478,IF(BT478=1,BU478,IF(LEFT(Cockpit!$O$5,1)="B",AU478,MAX(AU478,G478))))</f>
        <v/>
      </c>
      <c r="AR478" s="55">
        <f>IF(BO478=1,0,ROUNDUP(AQ478/BN478,0))</f>
        <v/>
      </c>
      <c r="AS478" s="64">
        <f>IF(BO478=1,IF(AQ478&lt;=0,0,BP478*MAX(1,IF(G478&gt;0,AQ478/G478,1))),AR478*Q478)</f>
        <v/>
      </c>
      <c r="AT478" s="55">
        <f>AQ478*F478</f>
        <v/>
      </c>
      <c r="AU478" s="55">
        <f>ROUNDUP(MAX(I478/IF(BS478&gt;0,BS478,MAX(0.1,N(Cockpit!$O$6))),BV478)/BN478,0)*BN478</f>
        <v/>
      </c>
      <c r="AV478" s="56">
        <f>IF(AS478&gt;0,I478/AS478,-1)</f>
        <v/>
      </c>
      <c r="AW478" s="56">
        <f>IF(AND(OR(BR478="L1",BR478="L23"),AS478&gt;0),SUMIFS($AS$7:$AS$1570,$BR$7:$BR$1570,BR478,$AV$7:$AV$1570,"&gt;"&amp;AV478)+SUMIFS($AS$7:$AS$1570,$BR$7:$BR$1570,BR478,$AV$7:$AV$1570,AV478,$BL$7:$BL$1570,"&lt;="&amp;BL478),"")</f>
        <v/>
      </c>
      <c r="AX478" s="65">
        <f>IF(AW478="",0,MAX(0,MIN(1,(IF(BR478="L1",Parameter!$K$5,Parameter!$K$6+Parameter!$K$7)-(AW478-AS478))/AS478)))</f>
        <v/>
      </c>
      <c r="AY478" s="53">
        <f>IF(AC478&lt;=0,"",IF(BR478="Aussen","Aussenlager",IF(BR478="-","Nicht im Lift",IF(AH478&gt;=1,"Lift",IF(AH478&lt;=0,"Aussenlager","teilweise")))))</f>
        <v/>
      </c>
      <c r="AZ478" s="53">
        <f>IF(AK478&lt;=0,"",IF(BR478="Aussen","Aussenlager",IF(BR478="-","Nicht im Lift",IF(AP478&gt;=1,"Lift",IF(AP478&lt;=0,"Aussenlager","teilweise")))))</f>
        <v/>
      </c>
      <c r="BA478" s="53">
        <f>IF(AS478&lt;=0,"",IF(BR478="Aussen","Aussenlager",IF(BR478="-","Nicht im Lift",IF(AX478&gt;=1,"Lift",IF(AX478&lt;=0,"Aussenlager","teilweise")))))</f>
        <v/>
      </c>
      <c r="BB478" s="53">
        <f>IF(A478="","",IF(BK478=1,"Neu; ","")&amp;IF(AND(BK478=0,BF478&lt;0),"negativer Bestand (Export "&amp;BF478&amp;"); ","")&amp;IF(I478&lt;=0,"Kein Verbrauch; ","")&amp;IF(BO478=1,"Lose – Fläche geschätzt; ","")&amp;IF(G478&gt;AM478,"Überbestand "&amp;ROUND(G478-AM478,0)&amp;" Stk / CHF "&amp;ROUND((G478-AM478)*F478,0)&amp;"; ","")&amp;IF(AND(BT478=1,BU478&lt;BV478),"MAX &lt; MB+LG; ","")&amp;IF(AND(BZ478&gt;0,BY478*10&gt;BZ478),"zu hoch für Tablar; ","")&amp;IF(AND(BK478=0,OR(BT478=1,V478&lt;&gt;"",S478&lt;&gt;"",T478&lt;&gt;"",W478&lt;&gt;"")),"manuell übersteuert; ","")&amp;IF(AND(BO478=0,Q478=0),"Gebinde unbekannt; ","")&amp;IF(AND(BO478=0,N(T478)&lt;=0,N(P478)&lt;=0),"Menge pro Gebinde fehlt (Ist = 1 Gebinde); ","")&amp;BJ478)</f>
        <v/>
      </c>
      <c r="BC478" s="53" t="n"/>
      <c r="BD478" s="53" t="n"/>
      <c r="BE478" s="61" t="n"/>
      <c r="BF478" s="55" t="n">
        <v>7</v>
      </c>
      <c r="BG478" s="55" t="n">
        <v>3</v>
      </c>
      <c r="BH478" s="54" t="n">
        <v>50.20999999999998</v>
      </c>
      <c r="BI478" s="55" t="n">
        <v>12</v>
      </c>
      <c r="BJ478" s="53" t="inlineStr"/>
      <c r="BK478" s="58" t="n">
        <v>0</v>
      </c>
      <c r="BL478" s="58" t="n">
        <v>478</v>
      </c>
      <c r="BM478" s="53">
        <f>IF(S478&lt;&gt;"",UPPER(TRIM(S478)),IF(O478="","LOSE",O478))</f>
        <v/>
      </c>
      <c r="BN478" s="55">
        <f>IF(BM478="LOSE",1,IF(N(T478)&gt;0,T478,IF(N(P478)&gt;0,P478,MAX(1,G478))))</f>
        <v/>
      </c>
      <c r="BO478" s="58">
        <f>IF(BM478="LOSE",1,0)</f>
        <v/>
      </c>
      <c r="BP478" s="64">
        <f>IF(BO478=0,0,IF(N(R478)&gt;0,R478,IFERROR(VLOOKUP(D478,Parameter!$A$35:$C$64,3,0)+0,0)))</f>
        <v/>
      </c>
      <c r="BQ478" s="53">
        <f>IF(V478&lt;&gt;"",V478,U478)</f>
        <v/>
      </c>
      <c r="BR478" s="53">
        <f>IF(BQ478=1,"L1",IF(OR(BQ478=2,BQ478=3),"L23",IF(BQ478="Aussen","Aussen","-")))</f>
        <v/>
      </c>
      <c r="BS478" s="66">
        <f>IF(N(W478)&gt;0,W478,0)</f>
        <v/>
      </c>
      <c r="BT478" s="58">
        <f>IF(ISNUMBER(Z478),1,0)</f>
        <v/>
      </c>
      <c r="BU478" s="55">
        <f>N(Z478)</f>
        <v/>
      </c>
      <c r="BV478" s="55">
        <f>N(L478)+N(M478)</f>
        <v/>
      </c>
      <c r="BW478" s="55">
        <f>ROUNDUP(G478/BN478,0)</f>
        <v/>
      </c>
      <c r="BX478" s="55">
        <f>ROUNDUP(BU478/BN478,0)</f>
        <v/>
      </c>
      <c r="BY478" s="58">
        <f>IF(BO478=1,0,IFERROR(VLOOKUP(BM478,'Gebinde-Kategorie'!$A$5:$G$45,5,0)+0,0))</f>
        <v/>
      </c>
      <c r="BZ478" s="58">
        <f>IFERROR(IF(OR(BQ478=1,BQ478=2,BQ478=3),N(INDEX(Parameter!$I$5:$I$7,BQ478)),0),0)</f>
        <v/>
      </c>
    </row>
    <row r="479">
      <c r="A479" s="53" t="inlineStr">
        <is>
          <t>108044</t>
        </is>
      </c>
      <c r="B479" s="53" t="inlineStr">
        <is>
          <t>Kabelverschraubung</t>
        </is>
      </c>
      <c r="C479" s="53" t="inlineStr">
        <is>
          <t>F</t>
        </is>
      </c>
      <c r="D479" s="53" t="inlineStr">
        <is>
          <t>KTL</t>
        </is>
      </c>
      <c r="E479" s="53" t="inlineStr">
        <is>
          <t>C</t>
        </is>
      </c>
      <c r="F479" s="54" t="n">
        <v>6.27</v>
      </c>
      <c r="G479" s="55">
        <f>MAX(0,IF(Parameter!$B$20="Jahresanfang 2025 + Export",BG479+BF479,BF479))</f>
        <v/>
      </c>
      <c r="H479" s="55">
        <f>G479*F479</f>
        <v/>
      </c>
      <c r="I479" s="55">
        <f>BI479*Parameter!$B$18</f>
        <v/>
      </c>
      <c r="J479" s="56" t="n">
        <v>204.5</v>
      </c>
      <c r="K479" s="57" t="n">
        <v>0</v>
      </c>
      <c r="L479" s="55" t="n">
        <v>0</v>
      </c>
      <c r="M479" s="55" t="n">
        <v>1</v>
      </c>
      <c r="N479" s="58" t="n">
        <v>35</v>
      </c>
      <c r="O479" s="53" t="inlineStr">
        <is>
          <t>S61</t>
        </is>
      </c>
      <c r="P479" s="55" t="n">
        <v>210</v>
      </c>
      <c r="Q479" s="59">
        <f>IF(BO479=1,0,IFERROR(VLOOKUP(BM479,'Gebinde-Kategorie'!$A$5:$G$45,6,0)+0,0))</f>
        <v/>
      </c>
      <c r="R479" s="60" t="n"/>
      <c r="S479" s="61" t="n"/>
      <c r="T479" s="61" t="n"/>
      <c r="U479" s="53">
        <f>IF(A479="","",IF(IFERROR(VLOOKUP(D479,Parameter!$A$35:$C$64,2,0),"Nein")="2+3",IF(ISNUMBER(SEARCH("grosser Artikel",BJ479)),2,IFERROR(VLOOKUP(BM479,Parameter!$F$35:$G$64,2,0),2)),IF(OR(IFERROR(VLOOKUP(D479,Parameter!$A$35:$C$64,2,0),"Nein")="Nein",IFERROR(VLOOKUP(D479,Parameter!$A$35:$C$64,2,0),"Nein")=""),"-",VLOOKUP(D479,Parameter!$A$35:$C$64,2,0))))</f>
        <v/>
      </c>
      <c r="V479" s="61" t="n"/>
      <c r="W479" s="62" t="n"/>
      <c r="X479" s="55">
        <f>AM479</f>
        <v/>
      </c>
      <c r="Y479" s="55">
        <f>MAX(AM479,G479)</f>
        <v/>
      </c>
      <c r="Z479" s="63" t="n"/>
      <c r="AA479" s="55">
        <f>IF(LEFT(Cockpit!$C$5,1)="A",G479,IF(BT479=1,BU479,IF(LEFT(Cockpit!$C$5,1)="B",AE479,MAX(AE479,G479))))</f>
        <v/>
      </c>
      <c r="AB479" s="55">
        <f>IF(BO479=1,0,ROUNDUP(AA479/BN479,0))</f>
        <v/>
      </c>
      <c r="AC479" s="64">
        <f>IF(BO479=1,IF(AA479&lt;=0,0,BP479*MAX(1,IF(G479&gt;0,AA479/G479,1))),AB479*Q479)</f>
        <v/>
      </c>
      <c r="AD479" s="55">
        <f>AA479*F479</f>
        <v/>
      </c>
      <c r="AE479" s="55">
        <f>ROUNDUP(MAX(I479/IF(BS479&gt;0,BS479,MAX(0.1,N(Cockpit!$C$6))),BV479)/BN479,0)*BN479</f>
        <v/>
      </c>
      <c r="AF479" s="56">
        <f>IF(AC479&gt;0,I479/AC479,-1)</f>
        <v/>
      </c>
      <c r="AG479" s="56">
        <f>IF(AND(OR(BR479="L1",BR479="L23"),AC479&gt;0),SUMIFS($AC$7:$AC$1570,$BR$7:$BR$1570,BR479,$AF$7:$AF$1570,"&gt;"&amp;AF479)+SUMIFS($AC$7:$AC$1570,$BR$7:$BR$1570,BR479,$AF$7:$AF$1570,AF479,$BL$7:$BL$1570,"&lt;="&amp;BL479),"")</f>
        <v/>
      </c>
      <c r="AH479" s="65">
        <f>IF(AG479="",0,MAX(0,MIN(1,(IF(BR479="L1",Parameter!$K$5,Parameter!$K$6+Parameter!$K$7)-(AG479-AC479))/AC479)))</f>
        <v/>
      </c>
      <c r="AI479" s="55">
        <f>IF(LEFT(Cockpit!$I$5,1)="A",G479,IF(BT479=1,BU479,IF(LEFT(Cockpit!$I$5,1)="B",AM479,MAX(AM479,G479))))</f>
        <v/>
      </c>
      <c r="AJ479" s="55">
        <f>IF(BO479=1,0,ROUNDUP(AI479/BN479,0))</f>
        <v/>
      </c>
      <c r="AK479" s="64">
        <f>IF(BO479=1,IF(AI479&lt;=0,0,BP479*MAX(1,IF(G479&gt;0,AI479/G479,1))),AJ479*Q479)</f>
        <v/>
      </c>
      <c r="AL479" s="55">
        <f>AI479*F479</f>
        <v/>
      </c>
      <c r="AM479" s="55">
        <f>ROUNDUP(MAX(I479/IF(BS479&gt;0,BS479,MAX(0.1,N(Cockpit!$I$6))),BV479)/BN479,0)*BN479</f>
        <v/>
      </c>
      <c r="AN479" s="56">
        <f>IF(AK479&gt;0,I479/AK479,-1)</f>
        <v/>
      </c>
      <c r="AO479" s="56">
        <f>IF(AND(OR(BR479="L1",BR479="L23"),AK479&gt;0),SUMIFS($AK$7:$AK$1570,$BR$7:$BR$1570,BR479,$AN$7:$AN$1570,"&gt;"&amp;AN479)+SUMIFS($AK$7:$AK$1570,$BR$7:$BR$1570,BR479,$AN$7:$AN$1570,AN479,$BL$7:$BL$1570,"&lt;="&amp;BL479),"")</f>
        <v/>
      </c>
      <c r="AP479" s="65">
        <f>IF(AO479="",0,MAX(0,MIN(1,(IF(BR479="L1",Parameter!$K$5,Parameter!$K$6+Parameter!$K$7)-(AO479-AK479))/AK479)))</f>
        <v/>
      </c>
      <c r="AQ479" s="55">
        <f>IF(LEFT(Cockpit!$O$5,1)="A",G479,IF(BT479=1,BU479,IF(LEFT(Cockpit!$O$5,1)="B",AU479,MAX(AU479,G479))))</f>
        <v/>
      </c>
      <c r="AR479" s="55">
        <f>IF(BO479=1,0,ROUNDUP(AQ479/BN479,0))</f>
        <v/>
      </c>
      <c r="AS479" s="64">
        <f>IF(BO479=1,IF(AQ479&lt;=0,0,BP479*MAX(1,IF(G479&gt;0,AQ479/G479,1))),AR479*Q479)</f>
        <v/>
      </c>
      <c r="AT479" s="55">
        <f>AQ479*F479</f>
        <v/>
      </c>
      <c r="AU479" s="55">
        <f>ROUNDUP(MAX(I479/IF(BS479&gt;0,BS479,MAX(0.1,N(Cockpit!$O$6))),BV479)/BN479,0)*BN479</f>
        <v/>
      </c>
      <c r="AV479" s="56">
        <f>IF(AS479&gt;0,I479/AS479,-1)</f>
        <v/>
      </c>
      <c r="AW479" s="56">
        <f>IF(AND(OR(BR479="L1",BR479="L23"),AS479&gt;0),SUMIFS($AS$7:$AS$1570,$BR$7:$BR$1570,BR479,$AV$7:$AV$1570,"&gt;"&amp;AV479)+SUMIFS($AS$7:$AS$1570,$BR$7:$BR$1570,BR479,$AV$7:$AV$1570,AV479,$BL$7:$BL$1570,"&lt;="&amp;BL479),"")</f>
        <v/>
      </c>
      <c r="AX479" s="65">
        <f>IF(AW479="",0,MAX(0,MIN(1,(IF(BR479="L1",Parameter!$K$5,Parameter!$K$6+Parameter!$K$7)-(AW479-AS479))/AS479)))</f>
        <v/>
      </c>
      <c r="AY479" s="53">
        <f>IF(AC479&lt;=0,"",IF(BR479="Aussen","Aussenlager",IF(BR479="-","Nicht im Lift",IF(AH479&gt;=1,"Lift",IF(AH479&lt;=0,"Aussenlager","teilweise")))))</f>
        <v/>
      </c>
      <c r="AZ479" s="53">
        <f>IF(AK479&lt;=0,"",IF(BR479="Aussen","Aussenlager",IF(BR479="-","Nicht im Lift",IF(AP479&gt;=1,"Lift",IF(AP479&lt;=0,"Aussenlager","teilweise")))))</f>
        <v/>
      </c>
      <c r="BA479" s="53">
        <f>IF(AS479&lt;=0,"",IF(BR479="Aussen","Aussenlager",IF(BR479="-","Nicht im Lift",IF(AX479&gt;=1,"Lift",IF(AX479&lt;=0,"Aussenlager","teilweise")))))</f>
        <v/>
      </c>
      <c r="BB479" s="53">
        <f>IF(A479="","",IF(BK479=1,"Neu; ","")&amp;IF(AND(BK479=0,BF479&lt;0),"negativer Bestand (Export "&amp;BF479&amp;"); ","")&amp;IF(I479&lt;=0,"Kein Verbrauch; ","")&amp;IF(BO479=1,"Lose – Fläche geschätzt; ","")&amp;IF(G479&gt;AM479,"Überbestand "&amp;ROUND(G479-AM479,0)&amp;" Stk / CHF "&amp;ROUND((G479-AM479)*F479,0)&amp;"; ","")&amp;IF(AND(BT479=1,BU479&lt;BV479),"MAX &lt; MB+LG; ","")&amp;IF(AND(BZ479&gt;0,BY479*10&gt;BZ479),"zu hoch für Tablar; ","")&amp;IF(AND(BK479=0,OR(BT479=1,V479&lt;&gt;"",S479&lt;&gt;"",T479&lt;&gt;"",W479&lt;&gt;"")),"manuell übersteuert; ","")&amp;IF(AND(BO479=0,Q479=0),"Gebinde unbekannt; ","")&amp;IF(AND(BO479=0,N(T479)&lt;=0,N(P479)&lt;=0),"Menge pro Gebinde fehlt (Ist = 1 Gebinde); ","")&amp;BJ479)</f>
        <v/>
      </c>
      <c r="BC479" s="53" t="n"/>
      <c r="BD479" s="53" t="n"/>
      <c r="BE479" s="61" t="n"/>
      <c r="BF479" s="55" t="n">
        <v>8</v>
      </c>
      <c r="BG479" s="55" t="n">
        <v>200</v>
      </c>
      <c r="BH479" s="54" t="n">
        <v>50.16</v>
      </c>
      <c r="BI479" s="55" t="n">
        <v>0</v>
      </c>
      <c r="BJ479" s="53" t="inlineStr"/>
      <c r="BK479" s="58" t="n">
        <v>0</v>
      </c>
      <c r="BL479" s="58" t="n">
        <v>479</v>
      </c>
      <c r="BM479" s="53">
        <f>IF(S479&lt;&gt;"",UPPER(TRIM(S479)),IF(O479="","LOSE",O479))</f>
        <v/>
      </c>
      <c r="BN479" s="55">
        <f>IF(BM479="LOSE",1,IF(N(T479)&gt;0,T479,IF(N(P479)&gt;0,P479,MAX(1,G479))))</f>
        <v/>
      </c>
      <c r="BO479" s="58">
        <f>IF(BM479="LOSE",1,0)</f>
        <v/>
      </c>
      <c r="BP479" s="64">
        <f>IF(BO479=0,0,IF(N(R479)&gt;0,R479,IFERROR(VLOOKUP(D479,Parameter!$A$35:$C$64,3,0)+0,0)))</f>
        <v/>
      </c>
      <c r="BQ479" s="53">
        <f>IF(V479&lt;&gt;"",V479,U479)</f>
        <v/>
      </c>
      <c r="BR479" s="53">
        <f>IF(BQ479=1,"L1",IF(OR(BQ479=2,BQ479=3),"L23",IF(BQ479="Aussen","Aussen","-")))</f>
        <v/>
      </c>
      <c r="BS479" s="66">
        <f>IF(N(W479)&gt;0,W479,0)</f>
        <v/>
      </c>
      <c r="BT479" s="58">
        <f>IF(ISNUMBER(Z479),1,0)</f>
        <v/>
      </c>
      <c r="BU479" s="55">
        <f>N(Z479)</f>
        <v/>
      </c>
      <c r="BV479" s="55">
        <f>N(L479)+N(M479)</f>
        <v/>
      </c>
      <c r="BW479" s="55">
        <f>ROUNDUP(G479/BN479,0)</f>
        <v/>
      </c>
      <c r="BX479" s="55">
        <f>ROUNDUP(BU479/BN479,0)</f>
        <v/>
      </c>
      <c r="BY479" s="58">
        <f>IF(BO479=1,0,IFERROR(VLOOKUP(BM479,'Gebinde-Kategorie'!$A$5:$G$45,5,0)+0,0))</f>
        <v/>
      </c>
      <c r="BZ479" s="58">
        <f>IFERROR(IF(OR(BQ479=1,BQ479=2,BQ479=3),N(INDEX(Parameter!$I$5:$I$7,BQ479)),0),0)</f>
        <v/>
      </c>
    </row>
    <row r="480">
      <c r="A480" s="53" t="inlineStr">
        <is>
          <t>111992</t>
        </is>
      </c>
      <c r="B480" s="53" t="inlineStr">
        <is>
          <t>Aufkleber Gehörschutzsymbol</t>
        </is>
      </c>
      <c r="C480" s="53" t="inlineStr">
        <is>
          <t>F</t>
        </is>
      </c>
      <c r="D480" s="53" t="inlineStr">
        <is>
          <t>KTL</t>
        </is>
      </c>
      <c r="E480" s="53" t="inlineStr">
        <is>
          <t>C</t>
        </is>
      </c>
      <c r="F480" s="54" t="n">
        <v>2</v>
      </c>
      <c r="G480" s="55">
        <f>MAX(0,IF(Parameter!$B$20="Jahresanfang 2025 + Export",BG480+BF480,BF480))</f>
        <v/>
      </c>
      <c r="H480" s="55">
        <f>G480*F480</f>
        <v/>
      </c>
      <c r="I480" s="55">
        <f>BI480*Parameter!$B$18</f>
        <v/>
      </c>
      <c r="J480" s="56" t="n">
        <v>0</v>
      </c>
      <c r="K480" s="57" t="n">
        <v>0</v>
      </c>
      <c r="L480" s="55" t="n">
        <v>0</v>
      </c>
      <c r="M480" s="55" t="n">
        <v>5</v>
      </c>
      <c r="N480" s="58" t="n">
        <v>9999</v>
      </c>
      <c r="O480" s="53" t="inlineStr">
        <is>
          <t>LOSE</t>
        </is>
      </c>
      <c r="P480" s="55" t="n"/>
      <c r="Q480" s="59">
        <f>IF(BO480=1,0,IFERROR(VLOOKUP(BM480,'Gebinde-Kategorie'!$A$5:$G$45,6,0)+0,0))</f>
        <v/>
      </c>
      <c r="R480" s="60" t="n"/>
      <c r="S480" s="61" t="n"/>
      <c r="T480" s="61" t="n"/>
      <c r="U480" s="53">
        <f>IF(A480="","",IF(IFERROR(VLOOKUP(D480,Parameter!$A$35:$C$64,2,0),"Nein")="2+3",IF(ISNUMBER(SEARCH("grosser Artikel",BJ480)),2,IFERROR(VLOOKUP(BM480,Parameter!$F$35:$G$64,2,0),2)),IF(OR(IFERROR(VLOOKUP(D480,Parameter!$A$35:$C$64,2,0),"Nein")="Nein",IFERROR(VLOOKUP(D480,Parameter!$A$35:$C$64,2,0),"Nein")=""),"-",VLOOKUP(D480,Parameter!$A$35:$C$64,2,0))))</f>
        <v/>
      </c>
      <c r="V480" s="61" t="n"/>
      <c r="W480" s="62" t="n"/>
      <c r="X480" s="55">
        <f>AM480</f>
        <v/>
      </c>
      <c r="Y480" s="55">
        <f>MAX(AM480,G480)</f>
        <v/>
      </c>
      <c r="Z480" s="63" t="n"/>
      <c r="AA480" s="55">
        <f>IF(LEFT(Cockpit!$C$5,1)="A",G480,IF(BT480=1,BU480,IF(LEFT(Cockpit!$C$5,1)="B",AE480,MAX(AE480,G480))))</f>
        <v/>
      </c>
      <c r="AB480" s="55">
        <f>IF(BO480=1,0,ROUNDUP(AA480/BN480,0))</f>
        <v/>
      </c>
      <c r="AC480" s="64">
        <f>IF(BO480=1,IF(AA480&lt;=0,0,BP480*MAX(1,IF(G480&gt;0,AA480/G480,1))),AB480*Q480)</f>
        <v/>
      </c>
      <c r="AD480" s="55">
        <f>AA480*F480</f>
        <v/>
      </c>
      <c r="AE480" s="55">
        <f>ROUNDUP(MAX(I480/IF(BS480&gt;0,BS480,MAX(0.1,N(Cockpit!$C$6))),BV480)/BN480,0)*BN480</f>
        <v/>
      </c>
      <c r="AF480" s="56">
        <f>IF(AC480&gt;0,I480/AC480,-1)</f>
        <v/>
      </c>
      <c r="AG480" s="56">
        <f>IF(AND(OR(BR480="L1",BR480="L23"),AC480&gt;0),SUMIFS($AC$7:$AC$1570,$BR$7:$BR$1570,BR480,$AF$7:$AF$1570,"&gt;"&amp;AF480)+SUMIFS($AC$7:$AC$1570,$BR$7:$BR$1570,BR480,$AF$7:$AF$1570,AF480,$BL$7:$BL$1570,"&lt;="&amp;BL480),"")</f>
        <v/>
      </c>
      <c r="AH480" s="65">
        <f>IF(AG480="",0,MAX(0,MIN(1,(IF(BR480="L1",Parameter!$K$5,Parameter!$K$6+Parameter!$K$7)-(AG480-AC480))/AC480)))</f>
        <v/>
      </c>
      <c r="AI480" s="55">
        <f>IF(LEFT(Cockpit!$I$5,1)="A",G480,IF(BT480=1,BU480,IF(LEFT(Cockpit!$I$5,1)="B",AM480,MAX(AM480,G480))))</f>
        <v/>
      </c>
      <c r="AJ480" s="55">
        <f>IF(BO480=1,0,ROUNDUP(AI480/BN480,0))</f>
        <v/>
      </c>
      <c r="AK480" s="64">
        <f>IF(BO480=1,IF(AI480&lt;=0,0,BP480*MAX(1,IF(G480&gt;0,AI480/G480,1))),AJ480*Q480)</f>
        <v/>
      </c>
      <c r="AL480" s="55">
        <f>AI480*F480</f>
        <v/>
      </c>
      <c r="AM480" s="55">
        <f>ROUNDUP(MAX(I480/IF(BS480&gt;0,BS480,MAX(0.1,N(Cockpit!$I$6))),BV480)/BN480,0)*BN480</f>
        <v/>
      </c>
      <c r="AN480" s="56">
        <f>IF(AK480&gt;0,I480/AK480,-1)</f>
        <v/>
      </c>
      <c r="AO480" s="56">
        <f>IF(AND(OR(BR480="L1",BR480="L23"),AK480&gt;0),SUMIFS($AK$7:$AK$1570,$BR$7:$BR$1570,BR480,$AN$7:$AN$1570,"&gt;"&amp;AN480)+SUMIFS($AK$7:$AK$1570,$BR$7:$BR$1570,BR480,$AN$7:$AN$1570,AN480,$BL$7:$BL$1570,"&lt;="&amp;BL480),"")</f>
        <v/>
      </c>
      <c r="AP480" s="65">
        <f>IF(AO480="",0,MAX(0,MIN(1,(IF(BR480="L1",Parameter!$K$5,Parameter!$K$6+Parameter!$K$7)-(AO480-AK480))/AK480)))</f>
        <v/>
      </c>
      <c r="AQ480" s="55">
        <f>IF(LEFT(Cockpit!$O$5,1)="A",G480,IF(BT480=1,BU480,IF(LEFT(Cockpit!$O$5,1)="B",AU480,MAX(AU480,G480))))</f>
        <v/>
      </c>
      <c r="AR480" s="55">
        <f>IF(BO480=1,0,ROUNDUP(AQ480/BN480,0))</f>
        <v/>
      </c>
      <c r="AS480" s="64">
        <f>IF(BO480=1,IF(AQ480&lt;=0,0,BP480*MAX(1,IF(G480&gt;0,AQ480/G480,1))),AR480*Q480)</f>
        <v/>
      </c>
      <c r="AT480" s="55">
        <f>AQ480*F480</f>
        <v/>
      </c>
      <c r="AU480" s="55">
        <f>ROUNDUP(MAX(I480/IF(BS480&gt;0,BS480,MAX(0.1,N(Cockpit!$O$6))),BV480)/BN480,0)*BN480</f>
        <v/>
      </c>
      <c r="AV480" s="56">
        <f>IF(AS480&gt;0,I480/AS480,-1)</f>
        <v/>
      </c>
      <c r="AW480" s="56">
        <f>IF(AND(OR(BR480="L1",BR480="L23"),AS480&gt;0),SUMIFS($AS$7:$AS$1570,$BR$7:$BR$1570,BR480,$AV$7:$AV$1570,"&gt;"&amp;AV480)+SUMIFS($AS$7:$AS$1570,$BR$7:$BR$1570,BR480,$AV$7:$AV$1570,AV480,$BL$7:$BL$1570,"&lt;="&amp;BL480),"")</f>
        <v/>
      </c>
      <c r="AX480" s="65">
        <f>IF(AW480="",0,MAX(0,MIN(1,(IF(BR480="L1",Parameter!$K$5,Parameter!$K$6+Parameter!$K$7)-(AW480-AS480))/AS480)))</f>
        <v/>
      </c>
      <c r="AY480" s="53">
        <f>IF(AC480&lt;=0,"",IF(BR480="Aussen","Aussenlager",IF(BR480="-","Nicht im Lift",IF(AH480&gt;=1,"Lift",IF(AH480&lt;=0,"Aussenlager","teilweise")))))</f>
        <v/>
      </c>
      <c r="AZ480" s="53">
        <f>IF(AK480&lt;=0,"",IF(BR480="Aussen","Aussenlager",IF(BR480="-","Nicht im Lift",IF(AP480&gt;=1,"Lift",IF(AP480&lt;=0,"Aussenlager","teilweise")))))</f>
        <v/>
      </c>
      <c r="BA480" s="53">
        <f>IF(AS480&lt;=0,"",IF(BR480="Aussen","Aussenlager",IF(BR480="-","Nicht im Lift",IF(AX480&gt;=1,"Lift",IF(AX480&lt;=0,"Aussenlager","teilweise")))))</f>
        <v/>
      </c>
      <c r="BB480" s="53">
        <f>IF(A480="","",IF(BK480=1,"Neu; ","")&amp;IF(AND(BK480=0,BF480&lt;0),"negativer Bestand (Export "&amp;BF480&amp;"); ","")&amp;IF(I480&lt;=0,"Kein Verbrauch; ","")&amp;IF(BO480=1,"Lose – Fläche geschätzt; ","")&amp;IF(G480&gt;AM480,"Überbestand "&amp;ROUND(G480-AM480,0)&amp;" Stk / CHF "&amp;ROUND((G480-AM480)*F480,0)&amp;"; ","")&amp;IF(AND(BT480=1,BU480&lt;BV480),"MAX &lt; MB+LG; ","")&amp;IF(AND(BZ480&gt;0,BY480*10&gt;BZ480),"zu hoch für Tablar; ","")&amp;IF(AND(BK480=0,OR(BT480=1,V480&lt;&gt;"",S480&lt;&gt;"",T480&lt;&gt;"",W480&lt;&gt;"")),"manuell übersteuert; ","")&amp;IF(AND(BO480=0,Q480=0),"Gebinde unbekannt; ","")&amp;IF(AND(BO480=0,N(T480)&lt;=0,N(P480)&lt;=0),"Menge pro Gebinde fehlt (Ist = 1 Gebinde); ","")&amp;BJ480)</f>
        <v/>
      </c>
      <c r="BC480" s="53" t="n"/>
      <c r="BD480" s="53" t="n"/>
      <c r="BE480" s="61" t="n"/>
      <c r="BF480" s="55" t="n">
        <v>25</v>
      </c>
      <c r="BG480" s="55" t="n">
        <v>0</v>
      </c>
      <c r="BH480" s="54" t="n">
        <v>50</v>
      </c>
      <c r="BI480" s="55" t="n">
        <v>0</v>
      </c>
      <c r="BJ480" s="53" t="inlineStr"/>
      <c r="BK480" s="58" t="n">
        <v>0</v>
      </c>
      <c r="BL480" s="58" t="n">
        <v>480</v>
      </c>
      <c r="BM480" s="53">
        <f>IF(S480&lt;&gt;"",UPPER(TRIM(S480)),IF(O480="","LOSE",O480))</f>
        <v/>
      </c>
      <c r="BN480" s="55">
        <f>IF(BM480="LOSE",1,IF(N(T480)&gt;0,T480,IF(N(P480)&gt;0,P480,MAX(1,G480))))</f>
        <v/>
      </c>
      <c r="BO480" s="58">
        <f>IF(BM480="LOSE",1,0)</f>
        <v/>
      </c>
      <c r="BP480" s="64">
        <f>IF(BO480=0,0,IF(N(R480)&gt;0,R480,IFERROR(VLOOKUP(D480,Parameter!$A$35:$C$64,3,0)+0,0)))</f>
        <v/>
      </c>
      <c r="BQ480" s="53">
        <f>IF(V480&lt;&gt;"",V480,U480)</f>
        <v/>
      </c>
      <c r="BR480" s="53">
        <f>IF(BQ480=1,"L1",IF(OR(BQ480=2,BQ480=3),"L23",IF(BQ480="Aussen","Aussen","-")))</f>
        <v/>
      </c>
      <c r="BS480" s="66">
        <f>IF(N(W480)&gt;0,W480,0)</f>
        <v/>
      </c>
      <c r="BT480" s="58">
        <f>IF(ISNUMBER(Z480),1,0)</f>
        <v/>
      </c>
      <c r="BU480" s="55">
        <f>N(Z480)</f>
        <v/>
      </c>
      <c r="BV480" s="55">
        <f>N(L480)+N(M480)</f>
        <v/>
      </c>
      <c r="BW480" s="55">
        <f>ROUNDUP(G480/BN480,0)</f>
        <v/>
      </c>
      <c r="BX480" s="55">
        <f>ROUNDUP(BU480/BN480,0)</f>
        <v/>
      </c>
      <c r="BY480" s="58">
        <f>IF(BO480=1,0,IFERROR(VLOOKUP(BM480,'Gebinde-Kategorie'!$A$5:$G$45,5,0)+0,0))</f>
        <v/>
      </c>
      <c r="BZ480" s="58">
        <f>IFERROR(IF(OR(BQ480=1,BQ480=2,BQ480=3),N(INDEX(Parameter!$I$5:$I$7,BQ480)),0),0)</f>
        <v/>
      </c>
    </row>
    <row r="481">
      <c r="A481" s="53" t="inlineStr">
        <is>
          <t>107701</t>
        </is>
      </c>
      <c r="B481" s="53" t="inlineStr">
        <is>
          <t>Ringeinsatz</t>
        </is>
      </c>
      <c r="C481" s="53" t="inlineStr">
        <is>
          <t>F</t>
        </is>
      </c>
      <c r="D481" s="53" t="inlineStr">
        <is>
          <t>KTL</t>
        </is>
      </c>
      <c r="E481" s="53" t="inlineStr">
        <is>
          <t>C</t>
        </is>
      </c>
      <c r="F481" s="54" t="n">
        <v>45.76</v>
      </c>
      <c r="G481" s="55">
        <f>MAX(0,IF(Parameter!$B$20="Jahresanfang 2025 + Export",BG481+BF481,BF481))</f>
        <v/>
      </c>
      <c r="H481" s="55">
        <f>G481*F481</f>
        <v/>
      </c>
      <c r="I481" s="55">
        <f>BI481*Parameter!$B$18</f>
        <v/>
      </c>
      <c r="J481" s="56" t="n">
        <v>12.5</v>
      </c>
      <c r="K481" s="57" t="n">
        <v>1.6</v>
      </c>
      <c r="L481" s="55" t="n">
        <v>1</v>
      </c>
      <c r="M481" s="55" t="n">
        <v>20</v>
      </c>
      <c r="N481" s="58" t="n">
        <v>18</v>
      </c>
      <c r="O481" s="53" t="inlineStr">
        <is>
          <t>S33</t>
        </is>
      </c>
      <c r="P481" s="55" t="n">
        <v>15</v>
      </c>
      <c r="Q481" s="59">
        <f>IF(BO481=1,0,IFERROR(VLOOKUP(BM481,'Gebinde-Kategorie'!$A$5:$G$45,6,0)+0,0))</f>
        <v/>
      </c>
      <c r="R481" s="60" t="n"/>
      <c r="S481" s="61" t="n"/>
      <c r="T481" s="61" t="n"/>
      <c r="U481" s="53">
        <f>IF(A481="","",IF(IFERROR(VLOOKUP(D481,Parameter!$A$35:$C$64,2,0),"Nein")="2+3",IF(ISNUMBER(SEARCH("grosser Artikel",BJ481)),2,IFERROR(VLOOKUP(BM481,Parameter!$F$35:$G$64,2,0),2)),IF(OR(IFERROR(VLOOKUP(D481,Parameter!$A$35:$C$64,2,0),"Nein")="Nein",IFERROR(VLOOKUP(D481,Parameter!$A$35:$C$64,2,0),"Nein")=""),"-",VLOOKUP(D481,Parameter!$A$35:$C$64,2,0))))</f>
        <v/>
      </c>
      <c r="V481" s="61" t="n"/>
      <c r="W481" s="62" t="n"/>
      <c r="X481" s="55">
        <f>AM481</f>
        <v/>
      </c>
      <c r="Y481" s="55">
        <f>MAX(AM481,G481)</f>
        <v/>
      </c>
      <c r="Z481" s="63" t="n"/>
      <c r="AA481" s="55">
        <f>IF(LEFT(Cockpit!$C$5,1)="A",G481,IF(BT481=1,BU481,IF(LEFT(Cockpit!$C$5,1)="B",AE481,MAX(AE481,G481))))</f>
        <v/>
      </c>
      <c r="AB481" s="55">
        <f>IF(BO481=1,0,ROUNDUP(AA481/BN481,0))</f>
        <v/>
      </c>
      <c r="AC481" s="64">
        <f>IF(BO481=1,IF(AA481&lt;=0,0,BP481*MAX(1,IF(G481&gt;0,AA481/G481,1))),AB481*Q481)</f>
        <v/>
      </c>
      <c r="AD481" s="55">
        <f>AA481*F481</f>
        <v/>
      </c>
      <c r="AE481" s="55">
        <f>ROUNDUP(MAX(I481/IF(BS481&gt;0,BS481,MAX(0.1,N(Cockpit!$C$6))),BV481)/BN481,0)*BN481</f>
        <v/>
      </c>
      <c r="AF481" s="56">
        <f>IF(AC481&gt;0,I481/AC481,-1)</f>
        <v/>
      </c>
      <c r="AG481" s="56">
        <f>IF(AND(OR(BR481="L1",BR481="L23"),AC481&gt;0),SUMIFS($AC$7:$AC$1570,$BR$7:$BR$1570,BR481,$AF$7:$AF$1570,"&gt;"&amp;AF481)+SUMIFS($AC$7:$AC$1570,$BR$7:$BR$1570,BR481,$AF$7:$AF$1570,AF481,$BL$7:$BL$1570,"&lt;="&amp;BL481),"")</f>
        <v/>
      </c>
      <c r="AH481" s="65">
        <f>IF(AG481="",0,MAX(0,MIN(1,(IF(BR481="L1",Parameter!$K$5,Parameter!$K$6+Parameter!$K$7)-(AG481-AC481))/AC481)))</f>
        <v/>
      </c>
      <c r="AI481" s="55">
        <f>IF(LEFT(Cockpit!$I$5,1)="A",G481,IF(BT481=1,BU481,IF(LEFT(Cockpit!$I$5,1)="B",AM481,MAX(AM481,G481))))</f>
        <v/>
      </c>
      <c r="AJ481" s="55">
        <f>IF(BO481=1,0,ROUNDUP(AI481/BN481,0))</f>
        <v/>
      </c>
      <c r="AK481" s="64">
        <f>IF(BO481=1,IF(AI481&lt;=0,0,BP481*MAX(1,IF(G481&gt;0,AI481/G481,1))),AJ481*Q481)</f>
        <v/>
      </c>
      <c r="AL481" s="55">
        <f>AI481*F481</f>
        <v/>
      </c>
      <c r="AM481" s="55">
        <f>ROUNDUP(MAX(I481/IF(BS481&gt;0,BS481,MAX(0.1,N(Cockpit!$I$6))),BV481)/BN481,0)*BN481</f>
        <v/>
      </c>
      <c r="AN481" s="56">
        <f>IF(AK481&gt;0,I481/AK481,-1)</f>
        <v/>
      </c>
      <c r="AO481" s="56">
        <f>IF(AND(OR(BR481="L1",BR481="L23"),AK481&gt;0),SUMIFS($AK$7:$AK$1570,$BR$7:$BR$1570,BR481,$AN$7:$AN$1570,"&gt;"&amp;AN481)+SUMIFS($AK$7:$AK$1570,$BR$7:$BR$1570,BR481,$AN$7:$AN$1570,AN481,$BL$7:$BL$1570,"&lt;="&amp;BL481),"")</f>
        <v/>
      </c>
      <c r="AP481" s="65">
        <f>IF(AO481="",0,MAX(0,MIN(1,(IF(BR481="L1",Parameter!$K$5,Parameter!$K$6+Parameter!$K$7)-(AO481-AK481))/AK481)))</f>
        <v/>
      </c>
      <c r="AQ481" s="55">
        <f>IF(LEFT(Cockpit!$O$5,1)="A",G481,IF(BT481=1,BU481,IF(LEFT(Cockpit!$O$5,1)="B",AU481,MAX(AU481,G481))))</f>
        <v/>
      </c>
      <c r="AR481" s="55">
        <f>IF(BO481=1,0,ROUNDUP(AQ481/BN481,0))</f>
        <v/>
      </c>
      <c r="AS481" s="64">
        <f>IF(BO481=1,IF(AQ481&lt;=0,0,BP481*MAX(1,IF(G481&gt;0,AQ481/G481,1))),AR481*Q481)</f>
        <v/>
      </c>
      <c r="AT481" s="55">
        <f>AQ481*F481</f>
        <v/>
      </c>
      <c r="AU481" s="55">
        <f>ROUNDUP(MAX(I481/IF(BS481&gt;0,BS481,MAX(0.1,N(Cockpit!$O$6))),BV481)/BN481,0)*BN481</f>
        <v/>
      </c>
      <c r="AV481" s="56">
        <f>IF(AS481&gt;0,I481/AS481,-1)</f>
        <v/>
      </c>
      <c r="AW481" s="56">
        <f>IF(AND(OR(BR481="L1",BR481="L23"),AS481&gt;0),SUMIFS($AS$7:$AS$1570,$BR$7:$BR$1570,BR481,$AV$7:$AV$1570,"&gt;"&amp;AV481)+SUMIFS($AS$7:$AS$1570,$BR$7:$BR$1570,BR481,$AV$7:$AV$1570,AV481,$BL$7:$BL$1570,"&lt;="&amp;BL481),"")</f>
        <v/>
      </c>
      <c r="AX481" s="65">
        <f>IF(AW481="",0,MAX(0,MIN(1,(IF(BR481="L1",Parameter!$K$5,Parameter!$K$6+Parameter!$K$7)-(AW481-AS481))/AS481)))</f>
        <v/>
      </c>
      <c r="AY481" s="53">
        <f>IF(AC481&lt;=0,"",IF(BR481="Aussen","Aussenlager",IF(BR481="-","Nicht im Lift",IF(AH481&gt;=1,"Lift",IF(AH481&lt;=0,"Aussenlager","teilweise")))))</f>
        <v/>
      </c>
      <c r="AZ481" s="53">
        <f>IF(AK481&lt;=0,"",IF(BR481="Aussen","Aussenlager",IF(BR481="-","Nicht im Lift",IF(AP481&gt;=1,"Lift",IF(AP481&lt;=0,"Aussenlager","teilweise")))))</f>
        <v/>
      </c>
      <c r="BA481" s="53">
        <f>IF(AS481&lt;=0,"",IF(BR481="Aussen","Aussenlager",IF(BR481="-","Nicht im Lift",IF(AX481&gt;=1,"Lift",IF(AX481&lt;=0,"Aussenlager","teilweise")))))</f>
        <v/>
      </c>
      <c r="BB481" s="53">
        <f>IF(A481="","",IF(BK481=1,"Neu; ","")&amp;IF(AND(BK481=0,BF481&lt;0),"negativer Bestand (Export "&amp;BF481&amp;"); ","")&amp;IF(I481&lt;=0,"Kein Verbrauch; ","")&amp;IF(BO481=1,"Lose – Fläche geschätzt; ","")&amp;IF(G481&gt;AM481,"Überbestand "&amp;ROUND(G481-AM481,0)&amp;" Stk / CHF "&amp;ROUND((G481-AM481)*F481,0)&amp;"; ","")&amp;IF(AND(BT481=1,BU481&lt;BV481),"MAX &lt; MB+LG; ","")&amp;IF(AND(BZ481&gt;0,BY481*10&gt;BZ481),"zu hoch für Tablar; ","")&amp;IF(AND(BK481=0,OR(BT481=1,V481&lt;&gt;"",S481&lt;&gt;"",T481&lt;&gt;"",W481&lt;&gt;"")),"manuell übersteuert; ","")&amp;IF(AND(BO481=0,Q481=0),"Gebinde unbekannt; ","")&amp;IF(AND(BO481=0,N(T481)&lt;=0,N(P481)&lt;=0),"Menge pro Gebinde fehlt (Ist = 1 Gebinde); ","")&amp;BJ481)</f>
        <v/>
      </c>
      <c r="BC481" s="53" t="n"/>
      <c r="BD481" s="53" t="n"/>
      <c r="BE481" s="61" t="n"/>
      <c r="BF481" s="55" t="n">
        <v>1</v>
      </c>
      <c r="BG481" s="55" t="n">
        <v>15</v>
      </c>
      <c r="BH481" s="54" t="n">
        <v>48.31</v>
      </c>
      <c r="BI481" s="55" t="n">
        <v>20</v>
      </c>
      <c r="BJ481" s="53" t="inlineStr"/>
      <c r="BK481" s="58" t="n">
        <v>0</v>
      </c>
      <c r="BL481" s="58" t="n">
        <v>481</v>
      </c>
      <c r="BM481" s="53">
        <f>IF(S481&lt;&gt;"",UPPER(TRIM(S481)),IF(O481="","LOSE",O481))</f>
        <v/>
      </c>
      <c r="BN481" s="55">
        <f>IF(BM481="LOSE",1,IF(N(T481)&gt;0,T481,IF(N(P481)&gt;0,P481,MAX(1,G481))))</f>
        <v/>
      </c>
      <c r="BO481" s="58">
        <f>IF(BM481="LOSE",1,0)</f>
        <v/>
      </c>
      <c r="BP481" s="64">
        <f>IF(BO481=0,0,IF(N(R481)&gt;0,R481,IFERROR(VLOOKUP(D481,Parameter!$A$35:$C$64,3,0)+0,0)))</f>
        <v/>
      </c>
      <c r="BQ481" s="53">
        <f>IF(V481&lt;&gt;"",V481,U481)</f>
        <v/>
      </c>
      <c r="BR481" s="53">
        <f>IF(BQ481=1,"L1",IF(OR(BQ481=2,BQ481=3),"L23",IF(BQ481="Aussen","Aussen","-")))</f>
        <v/>
      </c>
      <c r="BS481" s="66">
        <f>IF(N(W481)&gt;0,W481,0)</f>
        <v/>
      </c>
      <c r="BT481" s="58">
        <f>IF(ISNUMBER(Z481),1,0)</f>
        <v/>
      </c>
      <c r="BU481" s="55">
        <f>N(Z481)</f>
        <v/>
      </c>
      <c r="BV481" s="55">
        <f>N(L481)+N(M481)</f>
        <v/>
      </c>
      <c r="BW481" s="55">
        <f>ROUNDUP(G481/BN481,0)</f>
        <v/>
      </c>
      <c r="BX481" s="55">
        <f>ROUNDUP(BU481/BN481,0)</f>
        <v/>
      </c>
      <c r="BY481" s="58">
        <f>IF(BO481=1,0,IFERROR(VLOOKUP(BM481,'Gebinde-Kategorie'!$A$5:$G$45,5,0)+0,0))</f>
        <v/>
      </c>
      <c r="BZ481" s="58">
        <f>IFERROR(IF(OR(BQ481=1,BQ481=2,BQ481=3),N(INDEX(Parameter!$I$5:$I$7,BQ481)),0),0)</f>
        <v/>
      </c>
    </row>
    <row r="482">
      <c r="A482" s="53" t="inlineStr">
        <is>
          <t>111916</t>
        </is>
      </c>
      <c r="B482" s="53" t="inlineStr">
        <is>
          <t>Verschlussstopfen</t>
        </is>
      </c>
      <c r="C482" s="53" t="inlineStr">
        <is>
          <t>F</t>
        </is>
      </c>
      <c r="D482" s="53" t="inlineStr">
        <is>
          <t>KTL</t>
        </is>
      </c>
      <c r="E482" s="53" t="inlineStr">
        <is>
          <t>C</t>
        </is>
      </c>
      <c r="F482" s="54" t="n">
        <v>1.92</v>
      </c>
      <c r="G482" s="55">
        <f>MAX(0,IF(Parameter!$B$20="Jahresanfang 2025 + Export",BG482+BF482,BF482))</f>
        <v/>
      </c>
      <c r="H482" s="55">
        <f>G482*F482</f>
        <v/>
      </c>
      <c r="I482" s="55">
        <f>BI482*Parameter!$B$18</f>
        <v/>
      </c>
      <c r="J482" s="56" t="n">
        <v>0</v>
      </c>
      <c r="K482" s="57" t="n">
        <v>0</v>
      </c>
      <c r="L482" s="55" t="n">
        <v>0</v>
      </c>
      <c r="M482" s="55" t="n">
        <v>1</v>
      </c>
      <c r="N482" s="58" t="n">
        <v>9999</v>
      </c>
      <c r="O482" s="53" t="inlineStr">
        <is>
          <t>LOSE</t>
        </is>
      </c>
      <c r="P482" s="55" t="n"/>
      <c r="Q482" s="59">
        <f>IF(BO482=1,0,IFERROR(VLOOKUP(BM482,'Gebinde-Kategorie'!$A$5:$G$45,6,0)+0,0))</f>
        <v/>
      </c>
      <c r="R482" s="60" t="n"/>
      <c r="S482" s="61" t="n"/>
      <c r="T482" s="61" t="n"/>
      <c r="U482" s="53">
        <f>IF(A482="","",IF(IFERROR(VLOOKUP(D482,Parameter!$A$35:$C$64,2,0),"Nein")="2+3",IF(ISNUMBER(SEARCH("grosser Artikel",BJ482)),2,IFERROR(VLOOKUP(BM482,Parameter!$F$35:$G$64,2,0),2)),IF(OR(IFERROR(VLOOKUP(D482,Parameter!$A$35:$C$64,2,0),"Nein")="Nein",IFERROR(VLOOKUP(D482,Parameter!$A$35:$C$64,2,0),"Nein")=""),"-",VLOOKUP(D482,Parameter!$A$35:$C$64,2,0))))</f>
        <v/>
      </c>
      <c r="V482" s="61" t="n"/>
      <c r="W482" s="62" t="n"/>
      <c r="X482" s="55">
        <f>AM482</f>
        <v/>
      </c>
      <c r="Y482" s="55">
        <f>MAX(AM482,G482)</f>
        <v/>
      </c>
      <c r="Z482" s="63" t="n"/>
      <c r="AA482" s="55">
        <f>IF(LEFT(Cockpit!$C$5,1)="A",G482,IF(BT482=1,BU482,IF(LEFT(Cockpit!$C$5,1)="B",AE482,MAX(AE482,G482))))</f>
        <v/>
      </c>
      <c r="AB482" s="55">
        <f>IF(BO482=1,0,ROUNDUP(AA482/BN482,0))</f>
        <v/>
      </c>
      <c r="AC482" s="64">
        <f>IF(BO482=1,IF(AA482&lt;=0,0,BP482*MAX(1,IF(G482&gt;0,AA482/G482,1))),AB482*Q482)</f>
        <v/>
      </c>
      <c r="AD482" s="55">
        <f>AA482*F482</f>
        <v/>
      </c>
      <c r="AE482" s="55">
        <f>ROUNDUP(MAX(I482/IF(BS482&gt;0,BS482,MAX(0.1,N(Cockpit!$C$6))),BV482)/BN482,0)*BN482</f>
        <v/>
      </c>
      <c r="AF482" s="56">
        <f>IF(AC482&gt;0,I482/AC482,-1)</f>
        <v/>
      </c>
      <c r="AG482" s="56">
        <f>IF(AND(OR(BR482="L1",BR482="L23"),AC482&gt;0),SUMIFS($AC$7:$AC$1570,$BR$7:$BR$1570,BR482,$AF$7:$AF$1570,"&gt;"&amp;AF482)+SUMIFS($AC$7:$AC$1570,$BR$7:$BR$1570,BR482,$AF$7:$AF$1570,AF482,$BL$7:$BL$1570,"&lt;="&amp;BL482),"")</f>
        <v/>
      </c>
      <c r="AH482" s="65">
        <f>IF(AG482="",0,MAX(0,MIN(1,(IF(BR482="L1",Parameter!$K$5,Parameter!$K$6+Parameter!$K$7)-(AG482-AC482))/AC482)))</f>
        <v/>
      </c>
      <c r="AI482" s="55">
        <f>IF(LEFT(Cockpit!$I$5,1)="A",G482,IF(BT482=1,BU482,IF(LEFT(Cockpit!$I$5,1)="B",AM482,MAX(AM482,G482))))</f>
        <v/>
      </c>
      <c r="AJ482" s="55">
        <f>IF(BO482=1,0,ROUNDUP(AI482/BN482,0))</f>
        <v/>
      </c>
      <c r="AK482" s="64">
        <f>IF(BO482=1,IF(AI482&lt;=0,0,BP482*MAX(1,IF(G482&gt;0,AI482/G482,1))),AJ482*Q482)</f>
        <v/>
      </c>
      <c r="AL482" s="55">
        <f>AI482*F482</f>
        <v/>
      </c>
      <c r="AM482" s="55">
        <f>ROUNDUP(MAX(I482/IF(BS482&gt;0,BS482,MAX(0.1,N(Cockpit!$I$6))),BV482)/BN482,0)*BN482</f>
        <v/>
      </c>
      <c r="AN482" s="56">
        <f>IF(AK482&gt;0,I482/AK482,-1)</f>
        <v/>
      </c>
      <c r="AO482" s="56">
        <f>IF(AND(OR(BR482="L1",BR482="L23"),AK482&gt;0),SUMIFS($AK$7:$AK$1570,$BR$7:$BR$1570,BR482,$AN$7:$AN$1570,"&gt;"&amp;AN482)+SUMIFS($AK$7:$AK$1570,$BR$7:$BR$1570,BR482,$AN$7:$AN$1570,AN482,$BL$7:$BL$1570,"&lt;="&amp;BL482),"")</f>
        <v/>
      </c>
      <c r="AP482" s="65">
        <f>IF(AO482="",0,MAX(0,MIN(1,(IF(BR482="L1",Parameter!$K$5,Parameter!$K$6+Parameter!$K$7)-(AO482-AK482))/AK482)))</f>
        <v/>
      </c>
      <c r="AQ482" s="55">
        <f>IF(LEFT(Cockpit!$O$5,1)="A",G482,IF(BT482=1,BU482,IF(LEFT(Cockpit!$O$5,1)="B",AU482,MAX(AU482,G482))))</f>
        <v/>
      </c>
      <c r="AR482" s="55">
        <f>IF(BO482=1,0,ROUNDUP(AQ482/BN482,0))</f>
        <v/>
      </c>
      <c r="AS482" s="64">
        <f>IF(BO482=1,IF(AQ482&lt;=0,0,BP482*MAX(1,IF(G482&gt;0,AQ482/G482,1))),AR482*Q482)</f>
        <v/>
      </c>
      <c r="AT482" s="55">
        <f>AQ482*F482</f>
        <v/>
      </c>
      <c r="AU482" s="55">
        <f>ROUNDUP(MAX(I482/IF(BS482&gt;0,BS482,MAX(0.1,N(Cockpit!$O$6))),BV482)/BN482,0)*BN482</f>
        <v/>
      </c>
      <c r="AV482" s="56">
        <f>IF(AS482&gt;0,I482/AS482,-1)</f>
        <v/>
      </c>
      <c r="AW482" s="56">
        <f>IF(AND(OR(BR482="L1",BR482="L23"),AS482&gt;0),SUMIFS($AS$7:$AS$1570,$BR$7:$BR$1570,BR482,$AV$7:$AV$1570,"&gt;"&amp;AV482)+SUMIFS($AS$7:$AS$1570,$BR$7:$BR$1570,BR482,$AV$7:$AV$1570,AV482,$BL$7:$BL$1570,"&lt;="&amp;BL482),"")</f>
        <v/>
      </c>
      <c r="AX482" s="65">
        <f>IF(AW482="",0,MAX(0,MIN(1,(IF(BR482="L1",Parameter!$K$5,Parameter!$K$6+Parameter!$K$7)-(AW482-AS482))/AS482)))</f>
        <v/>
      </c>
      <c r="AY482" s="53">
        <f>IF(AC482&lt;=0,"",IF(BR482="Aussen","Aussenlager",IF(BR482="-","Nicht im Lift",IF(AH482&gt;=1,"Lift",IF(AH482&lt;=0,"Aussenlager","teilweise")))))</f>
        <v/>
      </c>
      <c r="AZ482" s="53">
        <f>IF(AK482&lt;=0,"",IF(BR482="Aussen","Aussenlager",IF(BR482="-","Nicht im Lift",IF(AP482&gt;=1,"Lift",IF(AP482&lt;=0,"Aussenlager","teilweise")))))</f>
        <v/>
      </c>
      <c r="BA482" s="53">
        <f>IF(AS482&lt;=0,"",IF(BR482="Aussen","Aussenlager",IF(BR482="-","Nicht im Lift",IF(AX482&gt;=1,"Lift",IF(AX482&lt;=0,"Aussenlager","teilweise")))))</f>
        <v/>
      </c>
      <c r="BB482" s="53">
        <f>IF(A482="","",IF(BK482=1,"Neu; ","")&amp;IF(AND(BK482=0,BF482&lt;0),"negativer Bestand (Export "&amp;BF482&amp;"); ","")&amp;IF(I482&lt;=0,"Kein Verbrauch; ","")&amp;IF(BO482=1,"Lose – Fläche geschätzt; ","")&amp;IF(G482&gt;AM482,"Überbestand "&amp;ROUND(G482-AM482,0)&amp;" Stk / CHF "&amp;ROUND((G482-AM482)*F482,0)&amp;"; ","")&amp;IF(AND(BT482=1,BU482&lt;BV482),"MAX &lt; MB+LG; ","")&amp;IF(AND(BZ482&gt;0,BY482*10&gt;BZ482),"zu hoch für Tablar; ","")&amp;IF(AND(BK482=0,OR(BT482=1,V482&lt;&gt;"",S482&lt;&gt;"",T482&lt;&gt;"",W482&lt;&gt;"")),"manuell übersteuert; ","")&amp;IF(AND(BO482=0,Q482=0),"Gebinde unbekannt; ","")&amp;IF(AND(BO482=0,N(T482)&lt;=0,N(P482)&lt;=0),"Menge pro Gebinde fehlt (Ist = 1 Gebinde); ","")&amp;BJ482)</f>
        <v/>
      </c>
      <c r="BC482" s="53" t="n"/>
      <c r="BD482" s="53" t="n"/>
      <c r="BE482" s="61" t="n"/>
      <c r="BF482" s="55" t="n">
        <v>25</v>
      </c>
      <c r="BG482" s="55" t="n">
        <v>0</v>
      </c>
      <c r="BH482" s="54" t="n">
        <v>48</v>
      </c>
      <c r="BI482" s="55" t="n">
        <v>0</v>
      </c>
      <c r="BJ482" s="53" t="inlineStr"/>
      <c r="BK482" s="58" t="n">
        <v>0</v>
      </c>
      <c r="BL482" s="58" t="n">
        <v>482</v>
      </c>
      <c r="BM482" s="53">
        <f>IF(S482&lt;&gt;"",UPPER(TRIM(S482)),IF(O482="","LOSE",O482))</f>
        <v/>
      </c>
      <c r="BN482" s="55">
        <f>IF(BM482="LOSE",1,IF(N(T482)&gt;0,T482,IF(N(P482)&gt;0,P482,MAX(1,G482))))</f>
        <v/>
      </c>
      <c r="BO482" s="58">
        <f>IF(BM482="LOSE",1,0)</f>
        <v/>
      </c>
      <c r="BP482" s="64">
        <f>IF(BO482=0,0,IF(N(R482)&gt;0,R482,IFERROR(VLOOKUP(D482,Parameter!$A$35:$C$64,3,0)+0,0)))</f>
        <v/>
      </c>
      <c r="BQ482" s="53">
        <f>IF(V482&lt;&gt;"",V482,U482)</f>
        <v/>
      </c>
      <c r="BR482" s="53">
        <f>IF(BQ482=1,"L1",IF(OR(BQ482=2,BQ482=3),"L23",IF(BQ482="Aussen","Aussen","-")))</f>
        <v/>
      </c>
      <c r="BS482" s="66">
        <f>IF(N(W482)&gt;0,W482,0)</f>
        <v/>
      </c>
      <c r="BT482" s="58">
        <f>IF(ISNUMBER(Z482),1,0)</f>
        <v/>
      </c>
      <c r="BU482" s="55">
        <f>N(Z482)</f>
        <v/>
      </c>
      <c r="BV482" s="55">
        <f>N(L482)+N(M482)</f>
        <v/>
      </c>
      <c r="BW482" s="55">
        <f>ROUNDUP(G482/BN482,0)</f>
        <v/>
      </c>
      <c r="BX482" s="55">
        <f>ROUNDUP(BU482/BN482,0)</f>
        <v/>
      </c>
      <c r="BY482" s="58">
        <f>IF(BO482=1,0,IFERROR(VLOOKUP(BM482,'Gebinde-Kategorie'!$A$5:$G$45,5,0)+0,0))</f>
        <v/>
      </c>
      <c r="BZ482" s="58">
        <f>IFERROR(IF(OR(BQ482=1,BQ482=2,BQ482=3),N(INDEX(Parameter!$I$5:$I$7,BQ482)),0),0)</f>
        <v/>
      </c>
    </row>
    <row r="483">
      <c r="A483" s="53" t="inlineStr">
        <is>
          <t>002048</t>
        </is>
      </c>
      <c r="B483" s="53" t="inlineStr">
        <is>
          <t>Metallsägeband</t>
        </is>
      </c>
      <c r="C483" s="53" t="inlineStr">
        <is>
          <t>F</t>
        </is>
      </c>
      <c r="D483" s="53" t="inlineStr">
        <is>
          <t>PAL</t>
        </is>
      </c>
      <c r="E483" s="53" t="inlineStr">
        <is>
          <t>C</t>
        </is>
      </c>
      <c r="F483" s="54" t="n">
        <v>48</v>
      </c>
      <c r="G483" s="55">
        <f>MAX(0,IF(Parameter!$B$20="Jahresanfang 2025 + Export",BG483+BF483,BF483))</f>
        <v/>
      </c>
      <c r="H483" s="55">
        <f>G483*F483</f>
        <v/>
      </c>
      <c r="I483" s="55">
        <f>BI483*Parameter!$B$18</f>
        <v/>
      </c>
      <c r="J483" s="56" t="n">
        <v>3.5</v>
      </c>
      <c r="K483" s="57" t="n">
        <v>0</v>
      </c>
      <c r="L483" s="55" t="n">
        <v>0</v>
      </c>
      <c r="M483" s="55" t="n">
        <v>1</v>
      </c>
      <c r="N483" s="58" t="n">
        <v>21</v>
      </c>
      <c r="O483" s="53" t="inlineStr">
        <is>
          <t>LOSE</t>
        </is>
      </c>
      <c r="P483" s="55" t="n"/>
      <c r="Q483" s="59">
        <f>IF(BO483=1,0,IFERROR(VLOOKUP(BM483,'Gebinde-Kategorie'!$A$5:$G$45,6,0)+0,0))</f>
        <v/>
      </c>
      <c r="R483" s="60" t="n"/>
      <c r="S483" s="61" t="n"/>
      <c r="T483" s="61" t="n"/>
      <c r="U483" s="53">
        <f>IF(A483="","",IF(IFERROR(VLOOKUP(D483,Parameter!$A$35:$C$64,2,0),"Nein")="2+3",IF(ISNUMBER(SEARCH("grosser Artikel",BJ483)),2,IFERROR(VLOOKUP(BM483,Parameter!$F$35:$G$64,2,0),2)),IF(OR(IFERROR(VLOOKUP(D483,Parameter!$A$35:$C$64,2,0),"Nein")="Nein",IFERROR(VLOOKUP(D483,Parameter!$A$35:$C$64,2,0),"Nein")=""),"-",VLOOKUP(D483,Parameter!$A$35:$C$64,2,0))))</f>
        <v/>
      </c>
      <c r="V483" s="61" t="n"/>
      <c r="W483" s="62" t="n"/>
      <c r="X483" s="55">
        <f>AM483</f>
        <v/>
      </c>
      <c r="Y483" s="55">
        <f>MAX(AM483,G483)</f>
        <v/>
      </c>
      <c r="Z483" s="63" t="n"/>
      <c r="AA483" s="55">
        <f>IF(LEFT(Cockpit!$C$5,1)="A",G483,IF(BT483=1,BU483,IF(LEFT(Cockpit!$C$5,1)="B",AE483,MAX(AE483,G483))))</f>
        <v/>
      </c>
      <c r="AB483" s="55">
        <f>IF(BO483=1,0,ROUNDUP(AA483/BN483,0))</f>
        <v/>
      </c>
      <c r="AC483" s="64">
        <f>IF(BO483=1,IF(AA483&lt;=0,0,BP483*MAX(1,IF(G483&gt;0,AA483/G483,1))),AB483*Q483)</f>
        <v/>
      </c>
      <c r="AD483" s="55">
        <f>AA483*F483</f>
        <v/>
      </c>
      <c r="AE483" s="55">
        <f>ROUNDUP(MAX(I483/IF(BS483&gt;0,BS483,MAX(0.1,N(Cockpit!$C$6))),BV483)/BN483,0)*BN483</f>
        <v/>
      </c>
      <c r="AF483" s="56">
        <f>IF(AC483&gt;0,I483/AC483,-1)</f>
        <v/>
      </c>
      <c r="AG483" s="56">
        <f>IF(AND(OR(BR483="L1",BR483="L23"),AC483&gt;0),SUMIFS($AC$7:$AC$1570,$BR$7:$BR$1570,BR483,$AF$7:$AF$1570,"&gt;"&amp;AF483)+SUMIFS($AC$7:$AC$1570,$BR$7:$BR$1570,BR483,$AF$7:$AF$1570,AF483,$BL$7:$BL$1570,"&lt;="&amp;BL483),"")</f>
        <v/>
      </c>
      <c r="AH483" s="65">
        <f>IF(AG483="",0,MAX(0,MIN(1,(IF(BR483="L1",Parameter!$K$5,Parameter!$K$6+Parameter!$K$7)-(AG483-AC483))/AC483)))</f>
        <v/>
      </c>
      <c r="AI483" s="55">
        <f>IF(LEFT(Cockpit!$I$5,1)="A",G483,IF(BT483=1,BU483,IF(LEFT(Cockpit!$I$5,1)="B",AM483,MAX(AM483,G483))))</f>
        <v/>
      </c>
      <c r="AJ483" s="55">
        <f>IF(BO483=1,0,ROUNDUP(AI483/BN483,0))</f>
        <v/>
      </c>
      <c r="AK483" s="64">
        <f>IF(BO483=1,IF(AI483&lt;=0,0,BP483*MAX(1,IF(G483&gt;0,AI483/G483,1))),AJ483*Q483)</f>
        <v/>
      </c>
      <c r="AL483" s="55">
        <f>AI483*F483</f>
        <v/>
      </c>
      <c r="AM483" s="55">
        <f>ROUNDUP(MAX(I483/IF(BS483&gt;0,BS483,MAX(0.1,N(Cockpit!$I$6))),BV483)/BN483,0)*BN483</f>
        <v/>
      </c>
      <c r="AN483" s="56">
        <f>IF(AK483&gt;0,I483/AK483,-1)</f>
        <v/>
      </c>
      <c r="AO483" s="56">
        <f>IF(AND(OR(BR483="L1",BR483="L23"),AK483&gt;0),SUMIFS($AK$7:$AK$1570,$BR$7:$BR$1570,BR483,$AN$7:$AN$1570,"&gt;"&amp;AN483)+SUMIFS($AK$7:$AK$1570,$BR$7:$BR$1570,BR483,$AN$7:$AN$1570,AN483,$BL$7:$BL$1570,"&lt;="&amp;BL483),"")</f>
        <v/>
      </c>
      <c r="AP483" s="65">
        <f>IF(AO483="",0,MAX(0,MIN(1,(IF(BR483="L1",Parameter!$K$5,Parameter!$K$6+Parameter!$K$7)-(AO483-AK483))/AK483)))</f>
        <v/>
      </c>
      <c r="AQ483" s="55">
        <f>IF(LEFT(Cockpit!$O$5,1)="A",G483,IF(BT483=1,BU483,IF(LEFT(Cockpit!$O$5,1)="B",AU483,MAX(AU483,G483))))</f>
        <v/>
      </c>
      <c r="AR483" s="55">
        <f>IF(BO483=1,0,ROUNDUP(AQ483/BN483,0))</f>
        <v/>
      </c>
      <c r="AS483" s="64">
        <f>IF(BO483=1,IF(AQ483&lt;=0,0,BP483*MAX(1,IF(G483&gt;0,AQ483/G483,1))),AR483*Q483)</f>
        <v/>
      </c>
      <c r="AT483" s="55">
        <f>AQ483*F483</f>
        <v/>
      </c>
      <c r="AU483" s="55">
        <f>ROUNDUP(MAX(I483/IF(BS483&gt;0,BS483,MAX(0.1,N(Cockpit!$O$6))),BV483)/BN483,0)*BN483</f>
        <v/>
      </c>
      <c r="AV483" s="56">
        <f>IF(AS483&gt;0,I483/AS483,-1)</f>
        <v/>
      </c>
      <c r="AW483" s="56">
        <f>IF(AND(OR(BR483="L1",BR483="L23"),AS483&gt;0),SUMIFS($AS$7:$AS$1570,$BR$7:$BR$1570,BR483,$AV$7:$AV$1570,"&gt;"&amp;AV483)+SUMIFS($AS$7:$AS$1570,$BR$7:$BR$1570,BR483,$AV$7:$AV$1570,AV483,$BL$7:$BL$1570,"&lt;="&amp;BL483),"")</f>
        <v/>
      </c>
      <c r="AX483" s="65">
        <f>IF(AW483="",0,MAX(0,MIN(1,(IF(BR483="L1",Parameter!$K$5,Parameter!$K$6+Parameter!$K$7)-(AW483-AS483))/AS483)))</f>
        <v/>
      </c>
      <c r="AY483" s="53">
        <f>IF(AC483&lt;=0,"",IF(BR483="Aussen","Aussenlager",IF(BR483="-","Nicht im Lift",IF(AH483&gt;=1,"Lift",IF(AH483&lt;=0,"Aussenlager","teilweise")))))</f>
        <v/>
      </c>
      <c r="AZ483" s="53">
        <f>IF(AK483&lt;=0,"",IF(BR483="Aussen","Aussenlager",IF(BR483="-","Nicht im Lift",IF(AP483&gt;=1,"Lift",IF(AP483&lt;=0,"Aussenlager","teilweise")))))</f>
        <v/>
      </c>
      <c r="BA483" s="53">
        <f>IF(AS483&lt;=0,"",IF(BR483="Aussen","Aussenlager",IF(BR483="-","Nicht im Lift",IF(AX483&gt;=1,"Lift",IF(AX483&lt;=0,"Aussenlager","teilweise")))))</f>
        <v/>
      </c>
      <c r="BB483" s="53">
        <f>IF(A483="","",IF(BK483=1,"Neu; ","")&amp;IF(AND(BK483=0,BF483&lt;0),"negativer Bestand (Export "&amp;BF483&amp;"); ","")&amp;IF(I483&lt;=0,"Kein Verbrauch; ","")&amp;IF(BO483=1,"Lose – Fläche geschätzt; ","")&amp;IF(G483&gt;AM483,"Überbestand "&amp;ROUND(G483-AM483,0)&amp;" Stk / CHF "&amp;ROUND((G483-AM483)*F483,0)&amp;"; ","")&amp;IF(AND(BT483=1,BU483&lt;BV483),"MAX &lt; MB+LG; ","")&amp;IF(AND(BZ483&gt;0,BY483*10&gt;BZ483),"zu hoch für Tablar; ","")&amp;IF(AND(BK483=0,OR(BT483=1,V483&lt;&gt;"",S483&lt;&gt;"",T483&lt;&gt;"",W483&lt;&gt;"")),"manuell übersteuert; ","")&amp;IF(AND(BO483=0,Q483=0),"Gebinde unbekannt; ","")&amp;IF(AND(BO483=0,N(T483)&lt;=0,N(P483)&lt;=0),"Menge pro Gebinde fehlt (Ist = 1 Gebinde); ","")&amp;BJ483)</f>
        <v/>
      </c>
      <c r="BC483" s="53" t="n"/>
      <c r="BD483" s="53" t="n"/>
      <c r="BE483" s="61" t="n"/>
      <c r="BF483" s="55" t="n">
        <v>1</v>
      </c>
      <c r="BG483" s="55" t="n">
        <v>3</v>
      </c>
      <c r="BH483" s="54" t="n">
        <v>48</v>
      </c>
      <c r="BI483" s="55" t="n">
        <v>0</v>
      </c>
      <c r="BJ483" s="53" t="inlineStr"/>
      <c r="BK483" s="58" t="n">
        <v>0</v>
      </c>
      <c r="BL483" s="58" t="n">
        <v>483</v>
      </c>
      <c r="BM483" s="53">
        <f>IF(S483&lt;&gt;"",UPPER(TRIM(S483)),IF(O483="","LOSE",O483))</f>
        <v/>
      </c>
      <c r="BN483" s="55">
        <f>IF(BM483="LOSE",1,IF(N(T483)&gt;0,T483,IF(N(P483)&gt;0,P483,MAX(1,G483))))</f>
        <v/>
      </c>
      <c r="BO483" s="58">
        <f>IF(BM483="LOSE",1,0)</f>
        <v/>
      </c>
      <c r="BP483" s="64">
        <f>IF(BO483=0,0,IF(N(R483)&gt;0,R483,IFERROR(VLOOKUP(D483,Parameter!$A$35:$C$64,3,0)+0,0)))</f>
        <v/>
      </c>
      <c r="BQ483" s="53">
        <f>IF(V483&lt;&gt;"",V483,U483)</f>
        <v/>
      </c>
      <c r="BR483" s="53">
        <f>IF(BQ483=1,"L1",IF(OR(BQ483=2,BQ483=3),"L23",IF(BQ483="Aussen","Aussen","-")))</f>
        <v/>
      </c>
      <c r="BS483" s="66">
        <f>IF(N(W483)&gt;0,W483,0)</f>
        <v/>
      </c>
      <c r="BT483" s="58">
        <f>IF(ISNUMBER(Z483),1,0)</f>
        <v/>
      </c>
      <c r="BU483" s="55">
        <f>N(Z483)</f>
        <v/>
      </c>
      <c r="BV483" s="55">
        <f>N(L483)+N(M483)</f>
        <v/>
      </c>
      <c r="BW483" s="55">
        <f>ROUNDUP(G483/BN483,0)</f>
        <v/>
      </c>
      <c r="BX483" s="55">
        <f>ROUNDUP(BU483/BN483,0)</f>
        <v/>
      </c>
      <c r="BY483" s="58">
        <f>IF(BO483=1,0,IFERROR(VLOOKUP(BM483,'Gebinde-Kategorie'!$A$5:$G$45,5,0)+0,0))</f>
        <v/>
      </c>
      <c r="BZ483" s="58">
        <f>IFERROR(IF(OR(BQ483=1,BQ483=2,BQ483=3),N(INDEX(Parameter!$I$5:$I$7,BQ483)),0),0)</f>
        <v/>
      </c>
    </row>
    <row r="484">
      <c r="A484" s="53" t="inlineStr">
        <is>
          <t>110130</t>
        </is>
      </c>
      <c r="B484" s="53" t="inlineStr">
        <is>
          <t>Steckverbinder</t>
        </is>
      </c>
      <c r="C484" s="53" t="inlineStr">
        <is>
          <t>F</t>
        </is>
      </c>
      <c r="D484" s="53" t="inlineStr">
        <is>
          <t>KTL</t>
        </is>
      </c>
      <c r="E484" s="53" t="inlineStr">
        <is>
          <t>C</t>
        </is>
      </c>
      <c r="F484" s="54" t="n">
        <v>9.109999999999999</v>
      </c>
      <c r="G484" s="55">
        <f>MAX(0,IF(Parameter!$B$20="Jahresanfang 2025 + Export",BG484+BF484,BF484))</f>
        <v/>
      </c>
      <c r="H484" s="55">
        <f>G484*F484</f>
        <v/>
      </c>
      <c r="I484" s="55">
        <f>BI484*Parameter!$B$18</f>
        <v/>
      </c>
      <c r="J484" s="56" t="n">
        <v>2.5</v>
      </c>
      <c r="K484" s="57" t="n">
        <v>6</v>
      </c>
      <c r="L484" s="55" t="n">
        <v>1</v>
      </c>
      <c r="M484" s="55" t="n">
        <v>15</v>
      </c>
      <c r="N484" s="58" t="n">
        <v>28</v>
      </c>
      <c r="O484" s="53" t="inlineStr">
        <is>
          <t>S41</t>
        </is>
      </c>
      <c r="P484" s="55" t="n">
        <v>10</v>
      </c>
      <c r="Q484" s="59">
        <f>IF(BO484=1,0,IFERROR(VLOOKUP(BM484,'Gebinde-Kategorie'!$A$5:$G$45,6,0)+0,0))</f>
        <v/>
      </c>
      <c r="R484" s="60" t="n"/>
      <c r="S484" s="61" t="n"/>
      <c r="T484" s="61" t="n"/>
      <c r="U484" s="53">
        <f>IF(A484="","",IF(IFERROR(VLOOKUP(D484,Parameter!$A$35:$C$64,2,0),"Nein")="2+3",IF(ISNUMBER(SEARCH("grosser Artikel",BJ484)),2,IFERROR(VLOOKUP(BM484,Parameter!$F$35:$G$64,2,0),2)),IF(OR(IFERROR(VLOOKUP(D484,Parameter!$A$35:$C$64,2,0),"Nein")="Nein",IFERROR(VLOOKUP(D484,Parameter!$A$35:$C$64,2,0),"Nein")=""),"-",VLOOKUP(D484,Parameter!$A$35:$C$64,2,0))))</f>
        <v/>
      </c>
      <c r="V484" s="61" t="n"/>
      <c r="W484" s="62" t="n"/>
      <c r="X484" s="55">
        <f>AM484</f>
        <v/>
      </c>
      <c r="Y484" s="55">
        <f>MAX(AM484,G484)</f>
        <v/>
      </c>
      <c r="Z484" s="63" t="n"/>
      <c r="AA484" s="55">
        <f>IF(LEFT(Cockpit!$C$5,1)="A",G484,IF(BT484=1,BU484,IF(LEFT(Cockpit!$C$5,1)="B",AE484,MAX(AE484,G484))))</f>
        <v/>
      </c>
      <c r="AB484" s="55">
        <f>IF(BO484=1,0,ROUNDUP(AA484/BN484,0))</f>
        <v/>
      </c>
      <c r="AC484" s="64">
        <f>IF(BO484=1,IF(AA484&lt;=0,0,BP484*MAX(1,IF(G484&gt;0,AA484/G484,1))),AB484*Q484)</f>
        <v/>
      </c>
      <c r="AD484" s="55">
        <f>AA484*F484</f>
        <v/>
      </c>
      <c r="AE484" s="55">
        <f>ROUNDUP(MAX(I484/IF(BS484&gt;0,BS484,MAX(0.1,N(Cockpit!$C$6))),BV484)/BN484,0)*BN484</f>
        <v/>
      </c>
      <c r="AF484" s="56">
        <f>IF(AC484&gt;0,I484/AC484,-1)</f>
        <v/>
      </c>
      <c r="AG484" s="56">
        <f>IF(AND(OR(BR484="L1",BR484="L23"),AC484&gt;0),SUMIFS($AC$7:$AC$1570,$BR$7:$BR$1570,BR484,$AF$7:$AF$1570,"&gt;"&amp;AF484)+SUMIFS($AC$7:$AC$1570,$BR$7:$BR$1570,BR484,$AF$7:$AF$1570,AF484,$BL$7:$BL$1570,"&lt;="&amp;BL484),"")</f>
        <v/>
      </c>
      <c r="AH484" s="65">
        <f>IF(AG484="",0,MAX(0,MIN(1,(IF(BR484="L1",Parameter!$K$5,Parameter!$K$6+Parameter!$K$7)-(AG484-AC484))/AC484)))</f>
        <v/>
      </c>
      <c r="AI484" s="55">
        <f>IF(LEFT(Cockpit!$I$5,1)="A",G484,IF(BT484=1,BU484,IF(LEFT(Cockpit!$I$5,1)="B",AM484,MAX(AM484,G484))))</f>
        <v/>
      </c>
      <c r="AJ484" s="55">
        <f>IF(BO484=1,0,ROUNDUP(AI484/BN484,0))</f>
        <v/>
      </c>
      <c r="AK484" s="64">
        <f>IF(BO484=1,IF(AI484&lt;=0,0,BP484*MAX(1,IF(G484&gt;0,AI484/G484,1))),AJ484*Q484)</f>
        <v/>
      </c>
      <c r="AL484" s="55">
        <f>AI484*F484</f>
        <v/>
      </c>
      <c r="AM484" s="55">
        <f>ROUNDUP(MAX(I484/IF(BS484&gt;0,BS484,MAX(0.1,N(Cockpit!$I$6))),BV484)/BN484,0)*BN484</f>
        <v/>
      </c>
      <c r="AN484" s="56">
        <f>IF(AK484&gt;0,I484/AK484,-1)</f>
        <v/>
      </c>
      <c r="AO484" s="56">
        <f>IF(AND(OR(BR484="L1",BR484="L23"),AK484&gt;0),SUMIFS($AK$7:$AK$1570,$BR$7:$BR$1570,BR484,$AN$7:$AN$1570,"&gt;"&amp;AN484)+SUMIFS($AK$7:$AK$1570,$BR$7:$BR$1570,BR484,$AN$7:$AN$1570,AN484,$BL$7:$BL$1570,"&lt;="&amp;BL484),"")</f>
        <v/>
      </c>
      <c r="AP484" s="65">
        <f>IF(AO484="",0,MAX(0,MIN(1,(IF(BR484="L1",Parameter!$K$5,Parameter!$K$6+Parameter!$K$7)-(AO484-AK484))/AK484)))</f>
        <v/>
      </c>
      <c r="AQ484" s="55">
        <f>IF(LEFT(Cockpit!$O$5,1)="A",G484,IF(BT484=1,BU484,IF(LEFT(Cockpit!$O$5,1)="B",AU484,MAX(AU484,G484))))</f>
        <v/>
      </c>
      <c r="AR484" s="55">
        <f>IF(BO484=1,0,ROUNDUP(AQ484/BN484,0))</f>
        <v/>
      </c>
      <c r="AS484" s="64">
        <f>IF(BO484=1,IF(AQ484&lt;=0,0,BP484*MAX(1,IF(G484&gt;0,AQ484/G484,1))),AR484*Q484)</f>
        <v/>
      </c>
      <c r="AT484" s="55">
        <f>AQ484*F484</f>
        <v/>
      </c>
      <c r="AU484" s="55">
        <f>ROUNDUP(MAX(I484/IF(BS484&gt;0,BS484,MAX(0.1,N(Cockpit!$O$6))),BV484)/BN484,0)*BN484</f>
        <v/>
      </c>
      <c r="AV484" s="56">
        <f>IF(AS484&gt;0,I484/AS484,-1)</f>
        <v/>
      </c>
      <c r="AW484" s="56">
        <f>IF(AND(OR(BR484="L1",BR484="L23"),AS484&gt;0),SUMIFS($AS$7:$AS$1570,$BR$7:$BR$1570,BR484,$AV$7:$AV$1570,"&gt;"&amp;AV484)+SUMIFS($AS$7:$AS$1570,$BR$7:$BR$1570,BR484,$AV$7:$AV$1570,AV484,$BL$7:$BL$1570,"&lt;="&amp;BL484),"")</f>
        <v/>
      </c>
      <c r="AX484" s="65">
        <f>IF(AW484="",0,MAX(0,MIN(1,(IF(BR484="L1",Parameter!$K$5,Parameter!$K$6+Parameter!$K$7)-(AW484-AS484))/AS484)))</f>
        <v/>
      </c>
      <c r="AY484" s="53">
        <f>IF(AC484&lt;=0,"",IF(BR484="Aussen","Aussenlager",IF(BR484="-","Nicht im Lift",IF(AH484&gt;=1,"Lift",IF(AH484&lt;=0,"Aussenlager","teilweise")))))</f>
        <v/>
      </c>
      <c r="AZ484" s="53">
        <f>IF(AK484&lt;=0,"",IF(BR484="Aussen","Aussenlager",IF(BR484="-","Nicht im Lift",IF(AP484&gt;=1,"Lift",IF(AP484&lt;=0,"Aussenlager","teilweise")))))</f>
        <v/>
      </c>
      <c r="BA484" s="53">
        <f>IF(AS484&lt;=0,"",IF(BR484="Aussen","Aussenlager",IF(BR484="-","Nicht im Lift",IF(AX484&gt;=1,"Lift",IF(AX484&lt;=0,"Aussenlager","teilweise")))))</f>
        <v/>
      </c>
      <c r="BB484" s="53">
        <f>IF(A484="","",IF(BK484=1,"Neu; ","")&amp;IF(AND(BK484=0,BF484&lt;0),"negativer Bestand (Export "&amp;BF484&amp;"); ","")&amp;IF(I484&lt;=0,"Kein Verbrauch; ","")&amp;IF(BO484=1,"Lose – Fläche geschätzt; ","")&amp;IF(G484&gt;AM484,"Überbestand "&amp;ROUND(G484-AM484,0)&amp;" Stk / CHF "&amp;ROUND((G484-AM484)*F484,0)&amp;"; ","")&amp;IF(AND(BT484=1,BU484&lt;BV484),"MAX &lt; MB+LG; ","")&amp;IF(AND(BZ484&gt;0,BY484*10&gt;BZ484),"zu hoch für Tablar; ","")&amp;IF(AND(BK484=0,OR(BT484=1,V484&lt;&gt;"",S484&lt;&gt;"",T484&lt;&gt;"",W484&lt;&gt;"")),"manuell übersteuert; ","")&amp;IF(AND(BO484=0,Q484=0),"Gebinde unbekannt; ","")&amp;IF(AND(BO484=0,N(T484)&lt;=0,N(P484)&lt;=0),"Menge pro Gebinde fehlt (Ist = 1 Gebinde); ","")&amp;BJ484)</f>
        <v/>
      </c>
      <c r="BC484" s="53" t="n"/>
      <c r="BD484" s="53" t="n"/>
      <c r="BE484" s="61" t="n"/>
      <c r="BF484" s="55" t="n">
        <v>5</v>
      </c>
      <c r="BG484" s="55" t="n">
        <v>0</v>
      </c>
      <c r="BH484" s="54" t="n">
        <v>45.55</v>
      </c>
      <c r="BI484" s="55" t="n">
        <v>15</v>
      </c>
      <c r="BJ484" s="53" t="inlineStr"/>
      <c r="BK484" s="58" t="n">
        <v>0</v>
      </c>
      <c r="BL484" s="58" t="n">
        <v>484</v>
      </c>
      <c r="BM484" s="53">
        <f>IF(S484&lt;&gt;"",UPPER(TRIM(S484)),IF(O484="","LOSE",O484))</f>
        <v/>
      </c>
      <c r="BN484" s="55">
        <f>IF(BM484="LOSE",1,IF(N(T484)&gt;0,T484,IF(N(P484)&gt;0,P484,MAX(1,G484))))</f>
        <v/>
      </c>
      <c r="BO484" s="58">
        <f>IF(BM484="LOSE",1,0)</f>
        <v/>
      </c>
      <c r="BP484" s="64">
        <f>IF(BO484=0,0,IF(N(R484)&gt;0,R484,IFERROR(VLOOKUP(D484,Parameter!$A$35:$C$64,3,0)+0,0)))</f>
        <v/>
      </c>
      <c r="BQ484" s="53">
        <f>IF(V484&lt;&gt;"",V484,U484)</f>
        <v/>
      </c>
      <c r="BR484" s="53">
        <f>IF(BQ484=1,"L1",IF(OR(BQ484=2,BQ484=3),"L23",IF(BQ484="Aussen","Aussen","-")))</f>
        <v/>
      </c>
      <c r="BS484" s="66">
        <f>IF(N(W484)&gt;0,W484,0)</f>
        <v/>
      </c>
      <c r="BT484" s="58">
        <f>IF(ISNUMBER(Z484),1,0)</f>
        <v/>
      </c>
      <c r="BU484" s="55">
        <f>N(Z484)</f>
        <v/>
      </c>
      <c r="BV484" s="55">
        <f>N(L484)+N(M484)</f>
        <v/>
      </c>
      <c r="BW484" s="55">
        <f>ROUNDUP(G484/BN484,0)</f>
        <v/>
      </c>
      <c r="BX484" s="55">
        <f>ROUNDUP(BU484/BN484,0)</f>
        <v/>
      </c>
      <c r="BY484" s="58">
        <f>IF(BO484=1,0,IFERROR(VLOOKUP(BM484,'Gebinde-Kategorie'!$A$5:$G$45,5,0)+0,0))</f>
        <v/>
      </c>
      <c r="BZ484" s="58">
        <f>IFERROR(IF(OR(BQ484=1,BQ484=2,BQ484=3),N(INDEX(Parameter!$I$5:$I$7,BQ484)),0),0)</f>
        <v/>
      </c>
    </row>
    <row r="485">
      <c r="A485" s="53" t="inlineStr">
        <is>
          <t>005633</t>
        </is>
      </c>
      <c r="B485" s="53" t="inlineStr">
        <is>
          <t>Schiebemutter M8</t>
        </is>
      </c>
      <c r="C485" s="53" t="inlineStr">
        <is>
          <t>F</t>
        </is>
      </c>
      <c r="D485" s="53" t="inlineStr">
        <is>
          <t>KTL</t>
        </is>
      </c>
      <c r="E485" s="53" t="inlineStr">
        <is>
          <t>C</t>
        </is>
      </c>
      <c r="F485" s="54" t="n">
        <v>0.66</v>
      </c>
      <c r="G485" s="55">
        <f>MAX(0,IF(Parameter!$B$20="Jahresanfang 2025 + Export",BG485+BF485,BF485))</f>
        <v/>
      </c>
      <c r="H485" s="55">
        <f>G485*F485</f>
        <v/>
      </c>
      <c r="I485" s="55">
        <f>BI485*Parameter!$B$18</f>
        <v/>
      </c>
      <c r="J485" s="56" t="n">
        <v>110.5</v>
      </c>
      <c r="K485" s="57" t="n">
        <v>0.334841628959276</v>
      </c>
      <c r="L485" s="55" t="n">
        <v>1</v>
      </c>
      <c r="M485" s="55" t="n">
        <v>35</v>
      </c>
      <c r="N485" s="58" t="n">
        <v>14</v>
      </c>
      <c r="O485" s="53" t="inlineStr">
        <is>
          <t>S32</t>
        </is>
      </c>
      <c r="P485" s="55" t="n">
        <v>94</v>
      </c>
      <c r="Q485" s="59">
        <f>IF(BO485=1,0,IFERROR(VLOOKUP(BM485,'Gebinde-Kategorie'!$A$5:$G$45,6,0)+0,0))</f>
        <v/>
      </c>
      <c r="R485" s="60" t="n"/>
      <c r="S485" s="61" t="n"/>
      <c r="T485" s="61" t="n"/>
      <c r="U485" s="53">
        <f>IF(A485="","",IF(IFERROR(VLOOKUP(D485,Parameter!$A$35:$C$64,2,0),"Nein")="2+3",IF(ISNUMBER(SEARCH("grosser Artikel",BJ485)),2,IFERROR(VLOOKUP(BM485,Parameter!$F$35:$G$64,2,0),2)),IF(OR(IFERROR(VLOOKUP(D485,Parameter!$A$35:$C$64,2,0),"Nein")="Nein",IFERROR(VLOOKUP(D485,Parameter!$A$35:$C$64,2,0),"Nein")=""),"-",VLOOKUP(D485,Parameter!$A$35:$C$64,2,0))))</f>
        <v/>
      </c>
      <c r="V485" s="61" t="n"/>
      <c r="W485" s="62" t="n"/>
      <c r="X485" s="55">
        <f>AM485</f>
        <v/>
      </c>
      <c r="Y485" s="55">
        <f>MAX(AM485,G485)</f>
        <v/>
      </c>
      <c r="Z485" s="63" t="n"/>
      <c r="AA485" s="55">
        <f>IF(LEFT(Cockpit!$C$5,1)="A",G485,IF(BT485=1,BU485,IF(LEFT(Cockpit!$C$5,1)="B",AE485,MAX(AE485,G485))))</f>
        <v/>
      </c>
      <c r="AB485" s="55">
        <f>IF(BO485=1,0,ROUNDUP(AA485/BN485,0))</f>
        <v/>
      </c>
      <c r="AC485" s="64">
        <f>IF(BO485=1,IF(AA485&lt;=0,0,BP485*MAX(1,IF(G485&gt;0,AA485/G485,1))),AB485*Q485)</f>
        <v/>
      </c>
      <c r="AD485" s="55">
        <f>AA485*F485</f>
        <v/>
      </c>
      <c r="AE485" s="55">
        <f>ROUNDUP(MAX(I485/IF(BS485&gt;0,BS485,MAX(0.1,N(Cockpit!$C$6))),BV485)/BN485,0)*BN485</f>
        <v/>
      </c>
      <c r="AF485" s="56">
        <f>IF(AC485&gt;0,I485/AC485,-1)</f>
        <v/>
      </c>
      <c r="AG485" s="56">
        <f>IF(AND(OR(BR485="L1",BR485="L23"),AC485&gt;0),SUMIFS($AC$7:$AC$1570,$BR$7:$BR$1570,BR485,$AF$7:$AF$1570,"&gt;"&amp;AF485)+SUMIFS($AC$7:$AC$1570,$BR$7:$BR$1570,BR485,$AF$7:$AF$1570,AF485,$BL$7:$BL$1570,"&lt;="&amp;BL485),"")</f>
        <v/>
      </c>
      <c r="AH485" s="65">
        <f>IF(AG485="",0,MAX(0,MIN(1,(IF(BR485="L1",Parameter!$K$5,Parameter!$K$6+Parameter!$K$7)-(AG485-AC485))/AC485)))</f>
        <v/>
      </c>
      <c r="AI485" s="55">
        <f>IF(LEFT(Cockpit!$I$5,1)="A",G485,IF(BT485=1,BU485,IF(LEFT(Cockpit!$I$5,1)="B",AM485,MAX(AM485,G485))))</f>
        <v/>
      </c>
      <c r="AJ485" s="55">
        <f>IF(BO485=1,0,ROUNDUP(AI485/BN485,0))</f>
        <v/>
      </c>
      <c r="AK485" s="64">
        <f>IF(BO485=1,IF(AI485&lt;=0,0,BP485*MAX(1,IF(G485&gt;0,AI485/G485,1))),AJ485*Q485)</f>
        <v/>
      </c>
      <c r="AL485" s="55">
        <f>AI485*F485</f>
        <v/>
      </c>
      <c r="AM485" s="55">
        <f>ROUNDUP(MAX(I485/IF(BS485&gt;0,BS485,MAX(0.1,N(Cockpit!$I$6))),BV485)/BN485,0)*BN485</f>
        <v/>
      </c>
      <c r="AN485" s="56">
        <f>IF(AK485&gt;0,I485/AK485,-1)</f>
        <v/>
      </c>
      <c r="AO485" s="56">
        <f>IF(AND(OR(BR485="L1",BR485="L23"),AK485&gt;0),SUMIFS($AK$7:$AK$1570,$BR$7:$BR$1570,BR485,$AN$7:$AN$1570,"&gt;"&amp;AN485)+SUMIFS($AK$7:$AK$1570,$BR$7:$BR$1570,BR485,$AN$7:$AN$1570,AN485,$BL$7:$BL$1570,"&lt;="&amp;BL485),"")</f>
        <v/>
      </c>
      <c r="AP485" s="65">
        <f>IF(AO485="",0,MAX(0,MIN(1,(IF(BR485="L1",Parameter!$K$5,Parameter!$K$6+Parameter!$K$7)-(AO485-AK485))/AK485)))</f>
        <v/>
      </c>
      <c r="AQ485" s="55">
        <f>IF(LEFT(Cockpit!$O$5,1)="A",G485,IF(BT485=1,BU485,IF(LEFT(Cockpit!$O$5,1)="B",AU485,MAX(AU485,G485))))</f>
        <v/>
      </c>
      <c r="AR485" s="55">
        <f>IF(BO485=1,0,ROUNDUP(AQ485/BN485,0))</f>
        <v/>
      </c>
      <c r="AS485" s="64">
        <f>IF(BO485=1,IF(AQ485&lt;=0,0,BP485*MAX(1,IF(G485&gt;0,AQ485/G485,1))),AR485*Q485)</f>
        <v/>
      </c>
      <c r="AT485" s="55">
        <f>AQ485*F485</f>
        <v/>
      </c>
      <c r="AU485" s="55">
        <f>ROUNDUP(MAX(I485/IF(BS485&gt;0,BS485,MAX(0.1,N(Cockpit!$O$6))),BV485)/BN485,0)*BN485</f>
        <v/>
      </c>
      <c r="AV485" s="56">
        <f>IF(AS485&gt;0,I485/AS485,-1)</f>
        <v/>
      </c>
      <c r="AW485" s="56">
        <f>IF(AND(OR(BR485="L1",BR485="L23"),AS485&gt;0),SUMIFS($AS$7:$AS$1570,$BR$7:$BR$1570,BR485,$AV$7:$AV$1570,"&gt;"&amp;AV485)+SUMIFS($AS$7:$AS$1570,$BR$7:$BR$1570,BR485,$AV$7:$AV$1570,AV485,$BL$7:$BL$1570,"&lt;="&amp;BL485),"")</f>
        <v/>
      </c>
      <c r="AX485" s="65">
        <f>IF(AW485="",0,MAX(0,MIN(1,(IF(BR485="L1",Parameter!$K$5,Parameter!$K$6+Parameter!$K$7)-(AW485-AS485))/AS485)))</f>
        <v/>
      </c>
      <c r="AY485" s="53">
        <f>IF(AC485&lt;=0,"",IF(BR485="Aussen","Aussenlager",IF(BR485="-","Nicht im Lift",IF(AH485&gt;=1,"Lift",IF(AH485&lt;=0,"Aussenlager","teilweise")))))</f>
        <v/>
      </c>
      <c r="AZ485" s="53">
        <f>IF(AK485&lt;=0,"",IF(BR485="Aussen","Aussenlager",IF(BR485="-","Nicht im Lift",IF(AP485&gt;=1,"Lift",IF(AP485&lt;=0,"Aussenlager","teilweise")))))</f>
        <v/>
      </c>
      <c r="BA485" s="53">
        <f>IF(AS485&lt;=0,"",IF(BR485="Aussen","Aussenlager",IF(BR485="-","Nicht im Lift",IF(AX485&gt;=1,"Lift",IF(AX485&lt;=0,"Aussenlager","teilweise")))))</f>
        <v/>
      </c>
      <c r="BB485" s="53">
        <f>IF(A485="","",IF(BK485=1,"Neu; ","")&amp;IF(AND(BK485=0,BF485&lt;0),"negativer Bestand (Export "&amp;BF485&amp;"); ","")&amp;IF(I485&lt;=0,"Kein Verbrauch; ","")&amp;IF(BO485=1,"Lose – Fläche geschätzt; ","")&amp;IF(G485&gt;AM485,"Überbestand "&amp;ROUND(G485-AM485,0)&amp;" Stk / CHF "&amp;ROUND((G485-AM485)*F485,0)&amp;"; ","")&amp;IF(AND(BT485=1,BU485&lt;BV485),"MAX &lt; MB+LG; ","")&amp;IF(AND(BZ485&gt;0,BY485*10&gt;BZ485),"zu hoch für Tablar; ","")&amp;IF(AND(BK485=0,OR(BT485=1,V485&lt;&gt;"",S485&lt;&gt;"",T485&lt;&gt;"",W485&lt;&gt;"")),"manuell übersteuert; ","")&amp;IF(AND(BO485=0,Q485=0),"Gebinde unbekannt; ","")&amp;IF(AND(BO485=0,N(T485)&lt;=0,N(P485)&lt;=0),"Menge pro Gebinde fehlt (Ist = 1 Gebinde); ","")&amp;BJ485)</f>
        <v/>
      </c>
      <c r="BC485" s="53" t="n"/>
      <c r="BD485" s="53" t="n"/>
      <c r="BE485" s="61" t="n"/>
      <c r="BF485" s="55" t="n">
        <v>93</v>
      </c>
      <c r="BG485" s="55" t="n">
        <v>160</v>
      </c>
      <c r="BH485" s="54" t="n">
        <v>45.38000000000001</v>
      </c>
      <c r="BI485" s="55" t="n">
        <v>37</v>
      </c>
      <c r="BJ485" s="53" t="inlineStr"/>
      <c r="BK485" s="58" t="n">
        <v>0</v>
      </c>
      <c r="BL485" s="58" t="n">
        <v>485</v>
      </c>
      <c r="BM485" s="53">
        <f>IF(S485&lt;&gt;"",UPPER(TRIM(S485)),IF(O485="","LOSE",O485))</f>
        <v/>
      </c>
      <c r="BN485" s="55">
        <f>IF(BM485="LOSE",1,IF(N(T485)&gt;0,T485,IF(N(P485)&gt;0,P485,MAX(1,G485))))</f>
        <v/>
      </c>
      <c r="BO485" s="58">
        <f>IF(BM485="LOSE",1,0)</f>
        <v/>
      </c>
      <c r="BP485" s="64">
        <f>IF(BO485=0,0,IF(N(R485)&gt;0,R485,IFERROR(VLOOKUP(D485,Parameter!$A$35:$C$64,3,0)+0,0)))</f>
        <v/>
      </c>
      <c r="BQ485" s="53">
        <f>IF(V485&lt;&gt;"",V485,U485)</f>
        <v/>
      </c>
      <c r="BR485" s="53">
        <f>IF(BQ485=1,"L1",IF(OR(BQ485=2,BQ485=3),"L23",IF(BQ485="Aussen","Aussen","-")))</f>
        <v/>
      </c>
      <c r="BS485" s="66">
        <f>IF(N(W485)&gt;0,W485,0)</f>
        <v/>
      </c>
      <c r="BT485" s="58">
        <f>IF(ISNUMBER(Z485),1,0)</f>
        <v/>
      </c>
      <c r="BU485" s="55">
        <f>N(Z485)</f>
        <v/>
      </c>
      <c r="BV485" s="55">
        <f>N(L485)+N(M485)</f>
        <v/>
      </c>
      <c r="BW485" s="55">
        <f>ROUNDUP(G485/BN485,0)</f>
        <v/>
      </c>
      <c r="BX485" s="55">
        <f>ROUNDUP(BU485/BN485,0)</f>
        <v/>
      </c>
      <c r="BY485" s="58">
        <f>IF(BO485=1,0,IFERROR(VLOOKUP(BM485,'Gebinde-Kategorie'!$A$5:$G$45,5,0)+0,0))</f>
        <v/>
      </c>
      <c r="BZ485" s="58">
        <f>IFERROR(IF(OR(BQ485=1,BQ485=2,BQ485=3),N(INDEX(Parameter!$I$5:$I$7,BQ485)),0),0)</f>
        <v/>
      </c>
    </row>
    <row r="486">
      <c r="A486" s="53" t="inlineStr">
        <is>
          <t>005451</t>
        </is>
      </c>
      <c r="B486" s="53" t="inlineStr">
        <is>
          <t>Aderendhülse isoliert pink</t>
        </is>
      </c>
      <c r="C486" s="53" t="inlineStr">
        <is>
          <t>F</t>
        </is>
      </c>
      <c r="D486" s="53" t="inlineStr">
        <is>
          <t>PAL</t>
        </is>
      </c>
      <c r="E486" s="53" t="inlineStr">
        <is>
          <t>C</t>
        </is>
      </c>
      <c r="F486" s="54" t="n">
        <v>0.09</v>
      </c>
      <c r="G486" s="55">
        <f>MAX(0,IF(Parameter!$B$20="Jahresanfang 2025 + Export",BG486+BF486,BF486))</f>
        <v/>
      </c>
      <c r="H486" s="55">
        <f>G486*F486</f>
        <v/>
      </c>
      <c r="I486" s="55">
        <f>BI486*Parameter!$B$18</f>
        <v/>
      </c>
      <c r="J486" s="56" t="n">
        <v>250</v>
      </c>
      <c r="K486" s="57" t="n">
        <v>0</v>
      </c>
      <c r="L486" s="55" t="n">
        <v>0</v>
      </c>
      <c r="M486" s="55" t="n">
        <v>1</v>
      </c>
      <c r="N486" s="58" t="n">
        <v>105</v>
      </c>
      <c r="O486" s="53" t="inlineStr">
        <is>
          <t>LOSE</t>
        </is>
      </c>
      <c r="P486" s="55" t="n"/>
      <c r="Q486" s="59">
        <f>IF(BO486=1,0,IFERROR(VLOOKUP(BM486,'Gebinde-Kategorie'!$A$5:$G$45,6,0)+0,0))</f>
        <v/>
      </c>
      <c r="R486" s="60" t="n"/>
      <c r="S486" s="61" t="n"/>
      <c r="T486" s="61" t="n"/>
      <c r="U486" s="53">
        <f>IF(A486="","",IF(IFERROR(VLOOKUP(D486,Parameter!$A$35:$C$64,2,0),"Nein")="2+3",IF(ISNUMBER(SEARCH("grosser Artikel",BJ486)),2,IFERROR(VLOOKUP(BM486,Parameter!$F$35:$G$64,2,0),2)),IF(OR(IFERROR(VLOOKUP(D486,Parameter!$A$35:$C$64,2,0),"Nein")="Nein",IFERROR(VLOOKUP(D486,Parameter!$A$35:$C$64,2,0),"Nein")=""),"-",VLOOKUP(D486,Parameter!$A$35:$C$64,2,0))))</f>
        <v/>
      </c>
      <c r="V486" s="61" t="n"/>
      <c r="W486" s="62" t="n"/>
      <c r="X486" s="55">
        <f>AM486</f>
        <v/>
      </c>
      <c r="Y486" s="55">
        <f>MAX(AM486,G486)</f>
        <v/>
      </c>
      <c r="Z486" s="63" t="n"/>
      <c r="AA486" s="55">
        <f>IF(LEFT(Cockpit!$C$5,1)="A",G486,IF(BT486=1,BU486,IF(LEFT(Cockpit!$C$5,1)="B",AE486,MAX(AE486,G486))))</f>
        <v/>
      </c>
      <c r="AB486" s="55">
        <f>IF(BO486=1,0,ROUNDUP(AA486/BN486,0))</f>
        <v/>
      </c>
      <c r="AC486" s="64">
        <f>IF(BO486=1,IF(AA486&lt;=0,0,BP486*MAX(1,IF(G486&gt;0,AA486/G486,1))),AB486*Q486)</f>
        <v/>
      </c>
      <c r="AD486" s="55">
        <f>AA486*F486</f>
        <v/>
      </c>
      <c r="AE486" s="55">
        <f>ROUNDUP(MAX(I486/IF(BS486&gt;0,BS486,MAX(0.1,N(Cockpit!$C$6))),BV486)/BN486,0)*BN486</f>
        <v/>
      </c>
      <c r="AF486" s="56">
        <f>IF(AC486&gt;0,I486/AC486,-1)</f>
        <v/>
      </c>
      <c r="AG486" s="56">
        <f>IF(AND(OR(BR486="L1",BR486="L23"),AC486&gt;0),SUMIFS($AC$7:$AC$1570,$BR$7:$BR$1570,BR486,$AF$7:$AF$1570,"&gt;"&amp;AF486)+SUMIFS($AC$7:$AC$1570,$BR$7:$BR$1570,BR486,$AF$7:$AF$1570,AF486,$BL$7:$BL$1570,"&lt;="&amp;BL486),"")</f>
        <v/>
      </c>
      <c r="AH486" s="65">
        <f>IF(AG486="",0,MAX(0,MIN(1,(IF(BR486="L1",Parameter!$K$5,Parameter!$K$6+Parameter!$K$7)-(AG486-AC486))/AC486)))</f>
        <v/>
      </c>
      <c r="AI486" s="55">
        <f>IF(LEFT(Cockpit!$I$5,1)="A",G486,IF(BT486=1,BU486,IF(LEFT(Cockpit!$I$5,1)="B",AM486,MAX(AM486,G486))))</f>
        <v/>
      </c>
      <c r="AJ486" s="55">
        <f>IF(BO486=1,0,ROUNDUP(AI486/BN486,0))</f>
        <v/>
      </c>
      <c r="AK486" s="64">
        <f>IF(BO486=1,IF(AI486&lt;=0,0,BP486*MAX(1,IF(G486&gt;0,AI486/G486,1))),AJ486*Q486)</f>
        <v/>
      </c>
      <c r="AL486" s="55">
        <f>AI486*F486</f>
        <v/>
      </c>
      <c r="AM486" s="55">
        <f>ROUNDUP(MAX(I486/IF(BS486&gt;0,BS486,MAX(0.1,N(Cockpit!$I$6))),BV486)/BN486,0)*BN486</f>
        <v/>
      </c>
      <c r="AN486" s="56">
        <f>IF(AK486&gt;0,I486/AK486,-1)</f>
        <v/>
      </c>
      <c r="AO486" s="56">
        <f>IF(AND(OR(BR486="L1",BR486="L23"),AK486&gt;0),SUMIFS($AK$7:$AK$1570,$BR$7:$BR$1570,BR486,$AN$7:$AN$1570,"&gt;"&amp;AN486)+SUMIFS($AK$7:$AK$1570,$BR$7:$BR$1570,BR486,$AN$7:$AN$1570,AN486,$BL$7:$BL$1570,"&lt;="&amp;BL486),"")</f>
        <v/>
      </c>
      <c r="AP486" s="65">
        <f>IF(AO486="",0,MAX(0,MIN(1,(IF(BR486="L1",Parameter!$K$5,Parameter!$K$6+Parameter!$K$7)-(AO486-AK486))/AK486)))</f>
        <v/>
      </c>
      <c r="AQ486" s="55">
        <f>IF(LEFT(Cockpit!$O$5,1)="A",G486,IF(BT486=1,BU486,IF(LEFT(Cockpit!$O$5,1)="B",AU486,MAX(AU486,G486))))</f>
        <v/>
      </c>
      <c r="AR486" s="55">
        <f>IF(BO486=1,0,ROUNDUP(AQ486/BN486,0))</f>
        <v/>
      </c>
      <c r="AS486" s="64">
        <f>IF(BO486=1,IF(AQ486&lt;=0,0,BP486*MAX(1,IF(G486&gt;0,AQ486/G486,1))),AR486*Q486)</f>
        <v/>
      </c>
      <c r="AT486" s="55">
        <f>AQ486*F486</f>
        <v/>
      </c>
      <c r="AU486" s="55">
        <f>ROUNDUP(MAX(I486/IF(BS486&gt;0,BS486,MAX(0.1,N(Cockpit!$O$6))),BV486)/BN486,0)*BN486</f>
        <v/>
      </c>
      <c r="AV486" s="56">
        <f>IF(AS486&gt;0,I486/AS486,-1)</f>
        <v/>
      </c>
      <c r="AW486" s="56">
        <f>IF(AND(OR(BR486="L1",BR486="L23"),AS486&gt;0),SUMIFS($AS$7:$AS$1570,$BR$7:$BR$1570,BR486,$AV$7:$AV$1570,"&gt;"&amp;AV486)+SUMIFS($AS$7:$AS$1570,$BR$7:$BR$1570,BR486,$AV$7:$AV$1570,AV486,$BL$7:$BL$1570,"&lt;="&amp;BL486),"")</f>
        <v/>
      </c>
      <c r="AX486" s="65">
        <f>IF(AW486="",0,MAX(0,MIN(1,(IF(BR486="L1",Parameter!$K$5,Parameter!$K$6+Parameter!$K$7)-(AW486-AS486))/AS486)))</f>
        <v/>
      </c>
      <c r="AY486" s="53">
        <f>IF(AC486&lt;=0,"",IF(BR486="Aussen","Aussenlager",IF(BR486="-","Nicht im Lift",IF(AH486&gt;=1,"Lift",IF(AH486&lt;=0,"Aussenlager","teilweise")))))</f>
        <v/>
      </c>
      <c r="AZ486" s="53">
        <f>IF(AK486&lt;=0,"",IF(BR486="Aussen","Aussenlager",IF(BR486="-","Nicht im Lift",IF(AP486&gt;=1,"Lift",IF(AP486&lt;=0,"Aussenlager","teilweise")))))</f>
        <v/>
      </c>
      <c r="BA486" s="53">
        <f>IF(AS486&lt;=0,"",IF(BR486="Aussen","Aussenlager",IF(BR486="-","Nicht im Lift",IF(AX486&gt;=1,"Lift",IF(AX486&lt;=0,"Aussenlager","teilweise")))))</f>
        <v/>
      </c>
      <c r="BB486" s="53">
        <f>IF(A486="","",IF(BK486=1,"Neu; ","")&amp;IF(AND(BK486=0,BF486&lt;0),"negativer Bestand (Export "&amp;BF486&amp;"); ","")&amp;IF(I486&lt;=0,"Kein Verbrauch; ","")&amp;IF(BO486=1,"Lose – Fläche geschätzt; ","")&amp;IF(G486&gt;AM486,"Überbestand "&amp;ROUND(G486-AM486,0)&amp;" Stk / CHF "&amp;ROUND((G486-AM486)*F486,0)&amp;"; ","")&amp;IF(AND(BT486=1,BU486&lt;BV486),"MAX &lt; MB+LG; ","")&amp;IF(AND(BZ486&gt;0,BY486*10&gt;BZ486),"zu hoch für Tablar; ","")&amp;IF(AND(BK486=0,OR(BT486=1,V486&lt;&gt;"",S486&lt;&gt;"",T486&lt;&gt;"",W486&lt;&gt;"")),"manuell übersteuert; ","")&amp;IF(AND(BO486=0,Q486=0),"Gebinde unbekannt; ","")&amp;IF(AND(BO486=0,N(T486)&lt;=0,N(P486)&lt;=0),"Menge pro Gebinde fehlt (Ist = 1 Gebinde); ","")&amp;BJ486)</f>
        <v/>
      </c>
      <c r="BC486" s="53" t="n"/>
      <c r="BD486" s="53" t="n"/>
      <c r="BE486" s="61" t="n"/>
      <c r="BF486" s="55" t="n">
        <v>500</v>
      </c>
      <c r="BG486" s="55" t="n">
        <v>0</v>
      </c>
      <c r="BH486" s="54" t="n">
        <v>45</v>
      </c>
      <c r="BI486" s="55" t="n">
        <v>0</v>
      </c>
      <c r="BJ486" s="53" t="inlineStr"/>
      <c r="BK486" s="58" t="n">
        <v>0</v>
      </c>
      <c r="BL486" s="58" t="n">
        <v>486</v>
      </c>
      <c r="BM486" s="53">
        <f>IF(S486&lt;&gt;"",UPPER(TRIM(S486)),IF(O486="","LOSE",O486))</f>
        <v/>
      </c>
      <c r="BN486" s="55">
        <f>IF(BM486="LOSE",1,IF(N(T486)&gt;0,T486,IF(N(P486)&gt;0,P486,MAX(1,G486))))</f>
        <v/>
      </c>
      <c r="BO486" s="58">
        <f>IF(BM486="LOSE",1,0)</f>
        <v/>
      </c>
      <c r="BP486" s="64">
        <f>IF(BO486=0,0,IF(N(R486)&gt;0,R486,IFERROR(VLOOKUP(D486,Parameter!$A$35:$C$64,3,0)+0,0)))</f>
        <v/>
      </c>
      <c r="BQ486" s="53">
        <f>IF(V486&lt;&gt;"",V486,U486)</f>
        <v/>
      </c>
      <c r="BR486" s="53">
        <f>IF(BQ486=1,"L1",IF(OR(BQ486=2,BQ486=3),"L23",IF(BQ486="Aussen","Aussen","-")))</f>
        <v/>
      </c>
      <c r="BS486" s="66">
        <f>IF(N(W486)&gt;0,W486,0)</f>
        <v/>
      </c>
      <c r="BT486" s="58">
        <f>IF(ISNUMBER(Z486),1,0)</f>
        <v/>
      </c>
      <c r="BU486" s="55">
        <f>N(Z486)</f>
        <v/>
      </c>
      <c r="BV486" s="55">
        <f>N(L486)+N(M486)</f>
        <v/>
      </c>
      <c r="BW486" s="55">
        <f>ROUNDUP(G486/BN486,0)</f>
        <v/>
      </c>
      <c r="BX486" s="55">
        <f>ROUNDUP(BU486/BN486,0)</f>
        <v/>
      </c>
      <c r="BY486" s="58">
        <f>IF(BO486=1,0,IFERROR(VLOOKUP(BM486,'Gebinde-Kategorie'!$A$5:$G$45,5,0)+0,0))</f>
        <v/>
      </c>
      <c r="BZ486" s="58">
        <f>IFERROR(IF(OR(BQ486=1,BQ486=2,BQ486=3),N(INDEX(Parameter!$I$5:$I$7,BQ486)),0),0)</f>
        <v/>
      </c>
    </row>
    <row r="487">
      <c r="A487" s="53" t="inlineStr">
        <is>
          <t>111908</t>
        </is>
      </c>
      <c r="B487" s="53" t="inlineStr">
        <is>
          <t>Reduzieradapter</t>
        </is>
      </c>
      <c r="C487" s="53" t="inlineStr">
        <is>
          <t>F</t>
        </is>
      </c>
      <c r="D487" s="53" t="inlineStr">
        <is>
          <t>KTL</t>
        </is>
      </c>
      <c r="E487" s="53" t="inlineStr">
        <is>
          <t>C</t>
        </is>
      </c>
      <c r="F487" s="54" t="n">
        <v>1.49</v>
      </c>
      <c r="G487" s="55">
        <f>MAX(0,IF(Parameter!$B$20="Jahresanfang 2025 + Export",BG487+BF487,BF487))</f>
        <v/>
      </c>
      <c r="H487" s="55">
        <f>G487*F487</f>
        <v/>
      </c>
      <c r="I487" s="55">
        <f>BI487*Parameter!$B$18</f>
        <v/>
      </c>
      <c r="J487" s="56" t="n">
        <v>0</v>
      </c>
      <c r="K487" s="57" t="n">
        <v>0</v>
      </c>
      <c r="L487" s="55" t="n">
        <v>0</v>
      </c>
      <c r="M487" s="55" t="n">
        <v>10</v>
      </c>
      <c r="N487" s="58" t="n">
        <v>9999</v>
      </c>
      <c r="O487" s="53" t="inlineStr">
        <is>
          <t>LOSE</t>
        </is>
      </c>
      <c r="P487" s="55" t="n"/>
      <c r="Q487" s="59">
        <f>IF(BO487=1,0,IFERROR(VLOOKUP(BM487,'Gebinde-Kategorie'!$A$5:$G$45,6,0)+0,0))</f>
        <v/>
      </c>
      <c r="R487" s="60" t="n"/>
      <c r="S487" s="61" t="n"/>
      <c r="T487" s="61" t="n"/>
      <c r="U487" s="53">
        <f>IF(A487="","",IF(IFERROR(VLOOKUP(D487,Parameter!$A$35:$C$64,2,0),"Nein")="2+3",IF(ISNUMBER(SEARCH("grosser Artikel",BJ487)),2,IFERROR(VLOOKUP(BM487,Parameter!$F$35:$G$64,2,0),2)),IF(OR(IFERROR(VLOOKUP(D487,Parameter!$A$35:$C$64,2,0),"Nein")="Nein",IFERROR(VLOOKUP(D487,Parameter!$A$35:$C$64,2,0),"Nein")=""),"-",VLOOKUP(D487,Parameter!$A$35:$C$64,2,0))))</f>
        <v/>
      </c>
      <c r="V487" s="61" t="n"/>
      <c r="W487" s="62" t="n"/>
      <c r="X487" s="55">
        <f>AM487</f>
        <v/>
      </c>
      <c r="Y487" s="55">
        <f>MAX(AM487,G487)</f>
        <v/>
      </c>
      <c r="Z487" s="63" t="n"/>
      <c r="AA487" s="55">
        <f>IF(LEFT(Cockpit!$C$5,1)="A",G487,IF(BT487=1,BU487,IF(LEFT(Cockpit!$C$5,1)="B",AE487,MAX(AE487,G487))))</f>
        <v/>
      </c>
      <c r="AB487" s="55">
        <f>IF(BO487=1,0,ROUNDUP(AA487/BN487,0))</f>
        <v/>
      </c>
      <c r="AC487" s="64">
        <f>IF(BO487=1,IF(AA487&lt;=0,0,BP487*MAX(1,IF(G487&gt;0,AA487/G487,1))),AB487*Q487)</f>
        <v/>
      </c>
      <c r="AD487" s="55">
        <f>AA487*F487</f>
        <v/>
      </c>
      <c r="AE487" s="55">
        <f>ROUNDUP(MAX(I487/IF(BS487&gt;0,BS487,MAX(0.1,N(Cockpit!$C$6))),BV487)/BN487,0)*BN487</f>
        <v/>
      </c>
      <c r="AF487" s="56">
        <f>IF(AC487&gt;0,I487/AC487,-1)</f>
        <v/>
      </c>
      <c r="AG487" s="56">
        <f>IF(AND(OR(BR487="L1",BR487="L23"),AC487&gt;0),SUMIFS($AC$7:$AC$1570,$BR$7:$BR$1570,BR487,$AF$7:$AF$1570,"&gt;"&amp;AF487)+SUMIFS($AC$7:$AC$1570,$BR$7:$BR$1570,BR487,$AF$7:$AF$1570,AF487,$BL$7:$BL$1570,"&lt;="&amp;BL487),"")</f>
        <v/>
      </c>
      <c r="AH487" s="65">
        <f>IF(AG487="",0,MAX(0,MIN(1,(IF(BR487="L1",Parameter!$K$5,Parameter!$K$6+Parameter!$K$7)-(AG487-AC487))/AC487)))</f>
        <v/>
      </c>
      <c r="AI487" s="55">
        <f>IF(LEFT(Cockpit!$I$5,1)="A",G487,IF(BT487=1,BU487,IF(LEFT(Cockpit!$I$5,1)="B",AM487,MAX(AM487,G487))))</f>
        <v/>
      </c>
      <c r="AJ487" s="55">
        <f>IF(BO487=1,0,ROUNDUP(AI487/BN487,0))</f>
        <v/>
      </c>
      <c r="AK487" s="64">
        <f>IF(BO487=1,IF(AI487&lt;=0,0,BP487*MAX(1,IF(G487&gt;0,AI487/G487,1))),AJ487*Q487)</f>
        <v/>
      </c>
      <c r="AL487" s="55">
        <f>AI487*F487</f>
        <v/>
      </c>
      <c r="AM487" s="55">
        <f>ROUNDUP(MAX(I487/IF(BS487&gt;0,BS487,MAX(0.1,N(Cockpit!$I$6))),BV487)/BN487,0)*BN487</f>
        <v/>
      </c>
      <c r="AN487" s="56">
        <f>IF(AK487&gt;0,I487/AK487,-1)</f>
        <v/>
      </c>
      <c r="AO487" s="56">
        <f>IF(AND(OR(BR487="L1",BR487="L23"),AK487&gt;0),SUMIFS($AK$7:$AK$1570,$BR$7:$BR$1570,BR487,$AN$7:$AN$1570,"&gt;"&amp;AN487)+SUMIFS($AK$7:$AK$1570,$BR$7:$BR$1570,BR487,$AN$7:$AN$1570,AN487,$BL$7:$BL$1570,"&lt;="&amp;BL487),"")</f>
        <v/>
      </c>
      <c r="AP487" s="65">
        <f>IF(AO487="",0,MAX(0,MIN(1,(IF(BR487="L1",Parameter!$K$5,Parameter!$K$6+Parameter!$K$7)-(AO487-AK487))/AK487)))</f>
        <v/>
      </c>
      <c r="AQ487" s="55">
        <f>IF(LEFT(Cockpit!$O$5,1)="A",G487,IF(BT487=1,BU487,IF(LEFT(Cockpit!$O$5,1)="B",AU487,MAX(AU487,G487))))</f>
        <v/>
      </c>
      <c r="AR487" s="55">
        <f>IF(BO487=1,0,ROUNDUP(AQ487/BN487,0))</f>
        <v/>
      </c>
      <c r="AS487" s="64">
        <f>IF(BO487=1,IF(AQ487&lt;=0,0,BP487*MAX(1,IF(G487&gt;0,AQ487/G487,1))),AR487*Q487)</f>
        <v/>
      </c>
      <c r="AT487" s="55">
        <f>AQ487*F487</f>
        <v/>
      </c>
      <c r="AU487" s="55">
        <f>ROUNDUP(MAX(I487/IF(BS487&gt;0,BS487,MAX(0.1,N(Cockpit!$O$6))),BV487)/BN487,0)*BN487</f>
        <v/>
      </c>
      <c r="AV487" s="56">
        <f>IF(AS487&gt;0,I487/AS487,-1)</f>
        <v/>
      </c>
      <c r="AW487" s="56">
        <f>IF(AND(OR(BR487="L1",BR487="L23"),AS487&gt;0),SUMIFS($AS$7:$AS$1570,$BR$7:$BR$1570,BR487,$AV$7:$AV$1570,"&gt;"&amp;AV487)+SUMIFS($AS$7:$AS$1570,$BR$7:$BR$1570,BR487,$AV$7:$AV$1570,AV487,$BL$7:$BL$1570,"&lt;="&amp;BL487),"")</f>
        <v/>
      </c>
      <c r="AX487" s="65">
        <f>IF(AW487="",0,MAX(0,MIN(1,(IF(BR487="L1",Parameter!$K$5,Parameter!$K$6+Parameter!$K$7)-(AW487-AS487))/AS487)))</f>
        <v/>
      </c>
      <c r="AY487" s="53">
        <f>IF(AC487&lt;=0,"",IF(BR487="Aussen","Aussenlager",IF(BR487="-","Nicht im Lift",IF(AH487&gt;=1,"Lift",IF(AH487&lt;=0,"Aussenlager","teilweise")))))</f>
        <v/>
      </c>
      <c r="AZ487" s="53">
        <f>IF(AK487&lt;=0,"",IF(BR487="Aussen","Aussenlager",IF(BR487="-","Nicht im Lift",IF(AP487&gt;=1,"Lift",IF(AP487&lt;=0,"Aussenlager","teilweise")))))</f>
        <v/>
      </c>
      <c r="BA487" s="53">
        <f>IF(AS487&lt;=0,"",IF(BR487="Aussen","Aussenlager",IF(BR487="-","Nicht im Lift",IF(AX487&gt;=1,"Lift",IF(AX487&lt;=0,"Aussenlager","teilweise")))))</f>
        <v/>
      </c>
      <c r="BB487" s="53">
        <f>IF(A487="","",IF(BK487=1,"Neu; ","")&amp;IF(AND(BK487=0,BF487&lt;0),"negativer Bestand (Export "&amp;BF487&amp;"); ","")&amp;IF(I487&lt;=0,"Kein Verbrauch; ","")&amp;IF(BO487=1,"Lose – Fläche geschätzt; ","")&amp;IF(G487&gt;AM487,"Überbestand "&amp;ROUND(G487-AM487,0)&amp;" Stk / CHF "&amp;ROUND((G487-AM487)*F487,0)&amp;"; ","")&amp;IF(AND(BT487=1,BU487&lt;BV487),"MAX &lt; MB+LG; ","")&amp;IF(AND(BZ487&gt;0,BY487*10&gt;BZ487),"zu hoch für Tablar; ","")&amp;IF(AND(BK487=0,OR(BT487=1,V487&lt;&gt;"",S487&lt;&gt;"",T487&lt;&gt;"",W487&lt;&gt;"")),"manuell übersteuert; ","")&amp;IF(AND(BO487=0,Q487=0),"Gebinde unbekannt; ","")&amp;IF(AND(BO487=0,N(T487)&lt;=0,N(P487)&lt;=0),"Menge pro Gebinde fehlt (Ist = 1 Gebinde); ","")&amp;BJ487)</f>
        <v/>
      </c>
      <c r="BC487" s="53" t="n"/>
      <c r="BD487" s="53" t="n"/>
      <c r="BE487" s="61" t="n"/>
      <c r="BF487" s="55" t="n">
        <v>30</v>
      </c>
      <c r="BG487" s="55" t="n">
        <v>0</v>
      </c>
      <c r="BH487" s="54" t="n">
        <v>44.7</v>
      </c>
      <c r="BI487" s="55" t="n">
        <v>0</v>
      </c>
      <c r="BJ487" s="53" t="inlineStr"/>
      <c r="BK487" s="58" t="n">
        <v>0</v>
      </c>
      <c r="BL487" s="58" t="n">
        <v>487</v>
      </c>
      <c r="BM487" s="53">
        <f>IF(S487&lt;&gt;"",UPPER(TRIM(S487)),IF(O487="","LOSE",O487))</f>
        <v/>
      </c>
      <c r="BN487" s="55">
        <f>IF(BM487="LOSE",1,IF(N(T487)&gt;0,T487,IF(N(P487)&gt;0,P487,MAX(1,G487))))</f>
        <v/>
      </c>
      <c r="BO487" s="58">
        <f>IF(BM487="LOSE",1,0)</f>
        <v/>
      </c>
      <c r="BP487" s="64">
        <f>IF(BO487=0,0,IF(N(R487)&gt;0,R487,IFERROR(VLOOKUP(D487,Parameter!$A$35:$C$64,3,0)+0,0)))</f>
        <v/>
      </c>
      <c r="BQ487" s="53">
        <f>IF(V487&lt;&gt;"",V487,U487)</f>
        <v/>
      </c>
      <c r="BR487" s="53">
        <f>IF(BQ487=1,"L1",IF(OR(BQ487=2,BQ487=3),"L23",IF(BQ487="Aussen","Aussen","-")))</f>
        <v/>
      </c>
      <c r="BS487" s="66">
        <f>IF(N(W487)&gt;0,W487,0)</f>
        <v/>
      </c>
      <c r="BT487" s="58">
        <f>IF(ISNUMBER(Z487),1,0)</f>
        <v/>
      </c>
      <c r="BU487" s="55">
        <f>N(Z487)</f>
        <v/>
      </c>
      <c r="BV487" s="55">
        <f>N(L487)+N(M487)</f>
        <v/>
      </c>
      <c r="BW487" s="55">
        <f>ROUNDUP(G487/BN487,0)</f>
        <v/>
      </c>
      <c r="BX487" s="55">
        <f>ROUNDUP(BU487/BN487,0)</f>
        <v/>
      </c>
      <c r="BY487" s="58">
        <f>IF(BO487=1,0,IFERROR(VLOOKUP(BM487,'Gebinde-Kategorie'!$A$5:$G$45,5,0)+0,0))</f>
        <v/>
      </c>
      <c r="BZ487" s="58">
        <f>IFERROR(IF(OR(BQ487=1,BQ487=2,BQ487=3),N(INDEX(Parameter!$I$5:$I$7,BQ487)),0),0)</f>
        <v/>
      </c>
    </row>
    <row r="488">
      <c r="A488" s="53" t="inlineStr">
        <is>
          <t>106746</t>
        </is>
      </c>
      <c r="B488" s="53" t="inlineStr">
        <is>
          <t>Sensorkabel</t>
        </is>
      </c>
      <c r="C488" s="53" t="inlineStr">
        <is>
          <t>A</t>
        </is>
      </c>
      <c r="D488" s="53" t="inlineStr">
        <is>
          <t>KTL</t>
        </is>
      </c>
      <c r="E488" s="53" t="inlineStr">
        <is>
          <t>C</t>
        </is>
      </c>
      <c r="F488" s="54" t="n">
        <v>14.75</v>
      </c>
      <c r="G488" s="55">
        <f>MAX(0,IF(Parameter!$B$20="Jahresanfang 2025 + Export",BG488+BF488,BF488))</f>
        <v/>
      </c>
      <c r="H488" s="55">
        <f>G488*F488</f>
        <v/>
      </c>
      <c r="I488" s="55">
        <f>BI488*Parameter!$B$18</f>
        <v/>
      </c>
      <c r="J488" s="56" t="n">
        <v>43.5</v>
      </c>
      <c r="K488" s="57" t="n">
        <v>0</v>
      </c>
      <c r="L488" s="55" t="n">
        <v>0</v>
      </c>
      <c r="M488" s="55" t="n">
        <v>1</v>
      </c>
      <c r="N488" s="58" t="n">
        <v>21</v>
      </c>
      <c r="O488" s="53" t="inlineStr">
        <is>
          <t>LOSE</t>
        </is>
      </c>
      <c r="P488" s="55" t="n"/>
      <c r="Q488" s="59">
        <f>IF(BO488=1,0,IFERROR(VLOOKUP(BM488,'Gebinde-Kategorie'!$A$5:$G$45,6,0)+0,0))</f>
        <v/>
      </c>
      <c r="R488" s="60" t="n"/>
      <c r="S488" s="61" t="n"/>
      <c r="T488" s="61" t="n"/>
      <c r="U488" s="53">
        <f>IF(A488="","",IF(IFERROR(VLOOKUP(D488,Parameter!$A$35:$C$64,2,0),"Nein")="2+3",IF(ISNUMBER(SEARCH("grosser Artikel",BJ488)),2,IFERROR(VLOOKUP(BM488,Parameter!$F$35:$G$64,2,0),2)),IF(OR(IFERROR(VLOOKUP(D488,Parameter!$A$35:$C$64,2,0),"Nein")="Nein",IFERROR(VLOOKUP(D488,Parameter!$A$35:$C$64,2,0),"Nein")=""),"-",VLOOKUP(D488,Parameter!$A$35:$C$64,2,0))))</f>
        <v/>
      </c>
      <c r="V488" s="61" t="n"/>
      <c r="W488" s="62" t="n"/>
      <c r="X488" s="55">
        <f>AM488</f>
        <v/>
      </c>
      <c r="Y488" s="55">
        <f>MAX(AM488,G488)</f>
        <v/>
      </c>
      <c r="Z488" s="63" t="n"/>
      <c r="AA488" s="55">
        <f>IF(LEFT(Cockpit!$C$5,1)="A",G488,IF(BT488=1,BU488,IF(LEFT(Cockpit!$C$5,1)="B",AE488,MAX(AE488,G488))))</f>
        <v/>
      </c>
      <c r="AB488" s="55">
        <f>IF(BO488=1,0,ROUNDUP(AA488/BN488,0))</f>
        <v/>
      </c>
      <c r="AC488" s="64">
        <f>IF(BO488=1,IF(AA488&lt;=0,0,BP488*MAX(1,IF(G488&gt;0,AA488/G488,1))),AB488*Q488)</f>
        <v/>
      </c>
      <c r="AD488" s="55">
        <f>AA488*F488</f>
        <v/>
      </c>
      <c r="AE488" s="55">
        <f>ROUNDUP(MAX(I488/IF(BS488&gt;0,BS488,MAX(0.1,N(Cockpit!$C$6))),BV488)/BN488,0)*BN488</f>
        <v/>
      </c>
      <c r="AF488" s="56">
        <f>IF(AC488&gt;0,I488/AC488,-1)</f>
        <v/>
      </c>
      <c r="AG488" s="56">
        <f>IF(AND(OR(BR488="L1",BR488="L23"),AC488&gt;0),SUMIFS($AC$7:$AC$1570,$BR$7:$BR$1570,BR488,$AF$7:$AF$1570,"&gt;"&amp;AF488)+SUMIFS($AC$7:$AC$1570,$BR$7:$BR$1570,BR488,$AF$7:$AF$1570,AF488,$BL$7:$BL$1570,"&lt;="&amp;BL488),"")</f>
        <v/>
      </c>
      <c r="AH488" s="65">
        <f>IF(AG488="",0,MAX(0,MIN(1,(IF(BR488="L1",Parameter!$K$5,Parameter!$K$6+Parameter!$K$7)-(AG488-AC488))/AC488)))</f>
        <v/>
      </c>
      <c r="AI488" s="55">
        <f>IF(LEFT(Cockpit!$I$5,1)="A",G488,IF(BT488=1,BU488,IF(LEFT(Cockpit!$I$5,1)="B",AM488,MAX(AM488,G488))))</f>
        <v/>
      </c>
      <c r="AJ488" s="55">
        <f>IF(BO488=1,0,ROUNDUP(AI488/BN488,0))</f>
        <v/>
      </c>
      <c r="AK488" s="64">
        <f>IF(BO488=1,IF(AI488&lt;=0,0,BP488*MAX(1,IF(G488&gt;0,AI488/G488,1))),AJ488*Q488)</f>
        <v/>
      </c>
      <c r="AL488" s="55">
        <f>AI488*F488</f>
        <v/>
      </c>
      <c r="AM488" s="55">
        <f>ROUNDUP(MAX(I488/IF(BS488&gt;0,BS488,MAX(0.1,N(Cockpit!$I$6))),BV488)/BN488,0)*BN488</f>
        <v/>
      </c>
      <c r="AN488" s="56">
        <f>IF(AK488&gt;0,I488/AK488,-1)</f>
        <v/>
      </c>
      <c r="AO488" s="56">
        <f>IF(AND(OR(BR488="L1",BR488="L23"),AK488&gt;0),SUMIFS($AK$7:$AK$1570,$BR$7:$BR$1570,BR488,$AN$7:$AN$1570,"&gt;"&amp;AN488)+SUMIFS($AK$7:$AK$1570,$BR$7:$BR$1570,BR488,$AN$7:$AN$1570,AN488,$BL$7:$BL$1570,"&lt;="&amp;BL488),"")</f>
        <v/>
      </c>
      <c r="AP488" s="65">
        <f>IF(AO488="",0,MAX(0,MIN(1,(IF(BR488="L1",Parameter!$K$5,Parameter!$K$6+Parameter!$K$7)-(AO488-AK488))/AK488)))</f>
        <v/>
      </c>
      <c r="AQ488" s="55">
        <f>IF(LEFT(Cockpit!$O$5,1)="A",G488,IF(BT488=1,BU488,IF(LEFT(Cockpit!$O$5,1)="B",AU488,MAX(AU488,G488))))</f>
        <v/>
      </c>
      <c r="AR488" s="55">
        <f>IF(BO488=1,0,ROUNDUP(AQ488/BN488,0))</f>
        <v/>
      </c>
      <c r="AS488" s="64">
        <f>IF(BO488=1,IF(AQ488&lt;=0,0,BP488*MAX(1,IF(G488&gt;0,AQ488/G488,1))),AR488*Q488)</f>
        <v/>
      </c>
      <c r="AT488" s="55">
        <f>AQ488*F488</f>
        <v/>
      </c>
      <c r="AU488" s="55">
        <f>ROUNDUP(MAX(I488/IF(BS488&gt;0,BS488,MAX(0.1,N(Cockpit!$O$6))),BV488)/BN488,0)*BN488</f>
        <v/>
      </c>
      <c r="AV488" s="56">
        <f>IF(AS488&gt;0,I488/AS488,-1)</f>
        <v/>
      </c>
      <c r="AW488" s="56">
        <f>IF(AND(OR(BR488="L1",BR488="L23"),AS488&gt;0),SUMIFS($AS$7:$AS$1570,$BR$7:$BR$1570,BR488,$AV$7:$AV$1570,"&gt;"&amp;AV488)+SUMIFS($AS$7:$AS$1570,$BR$7:$BR$1570,BR488,$AV$7:$AV$1570,AV488,$BL$7:$BL$1570,"&lt;="&amp;BL488),"")</f>
        <v/>
      </c>
      <c r="AX488" s="65">
        <f>IF(AW488="",0,MAX(0,MIN(1,(IF(BR488="L1",Parameter!$K$5,Parameter!$K$6+Parameter!$K$7)-(AW488-AS488))/AS488)))</f>
        <v/>
      </c>
      <c r="AY488" s="53">
        <f>IF(AC488&lt;=0,"",IF(BR488="Aussen","Aussenlager",IF(BR488="-","Nicht im Lift",IF(AH488&gt;=1,"Lift",IF(AH488&lt;=0,"Aussenlager","teilweise")))))</f>
        <v/>
      </c>
      <c r="AZ488" s="53">
        <f>IF(AK488&lt;=0,"",IF(BR488="Aussen","Aussenlager",IF(BR488="-","Nicht im Lift",IF(AP488&gt;=1,"Lift",IF(AP488&lt;=0,"Aussenlager","teilweise")))))</f>
        <v/>
      </c>
      <c r="BA488" s="53">
        <f>IF(AS488&lt;=0,"",IF(BR488="Aussen","Aussenlager",IF(BR488="-","Nicht im Lift",IF(AX488&gt;=1,"Lift",IF(AX488&lt;=0,"Aussenlager","teilweise")))))</f>
        <v/>
      </c>
      <c r="BB488" s="53">
        <f>IF(A488="","",IF(BK488=1,"Neu; ","")&amp;IF(AND(BK488=0,BF488&lt;0),"negativer Bestand (Export "&amp;BF488&amp;"); ","")&amp;IF(I488&lt;=0,"Kein Verbrauch; ","")&amp;IF(BO488=1,"Lose – Fläche geschätzt; ","")&amp;IF(G488&gt;AM488,"Überbestand "&amp;ROUND(G488-AM488,0)&amp;" Stk / CHF "&amp;ROUND((G488-AM488)*F488,0)&amp;"; ","")&amp;IF(AND(BT488=1,BU488&lt;BV488),"MAX &lt; MB+LG; ","")&amp;IF(AND(BZ488&gt;0,BY488*10&gt;BZ488),"zu hoch für Tablar; ","")&amp;IF(AND(BK488=0,OR(BT488=1,V488&lt;&gt;"",S488&lt;&gt;"",T488&lt;&gt;"",W488&lt;&gt;"")),"manuell übersteuert; ","")&amp;IF(AND(BO488=0,Q488=0),"Gebinde unbekannt; ","")&amp;IF(AND(BO488=0,N(T488)&lt;=0,N(P488)&lt;=0),"Menge pro Gebinde fehlt (Ist = 1 Gebinde); ","")&amp;BJ488)</f>
        <v/>
      </c>
      <c r="BC488" s="53" t="n"/>
      <c r="BD488" s="53" t="n"/>
      <c r="BE488" s="61" t="n"/>
      <c r="BF488" s="55" t="n">
        <v>3</v>
      </c>
      <c r="BG488" s="55" t="n">
        <v>42</v>
      </c>
      <c r="BH488" s="54" t="n">
        <v>44.25</v>
      </c>
      <c r="BI488" s="55" t="n">
        <v>0</v>
      </c>
      <c r="BJ488" s="53" t="inlineStr"/>
      <c r="BK488" s="58" t="n">
        <v>0</v>
      </c>
      <c r="BL488" s="58" t="n">
        <v>488</v>
      </c>
      <c r="BM488" s="53">
        <f>IF(S488&lt;&gt;"",UPPER(TRIM(S488)),IF(O488="","LOSE",O488))</f>
        <v/>
      </c>
      <c r="BN488" s="55">
        <f>IF(BM488="LOSE",1,IF(N(T488)&gt;0,T488,IF(N(P488)&gt;0,P488,MAX(1,G488))))</f>
        <v/>
      </c>
      <c r="BO488" s="58">
        <f>IF(BM488="LOSE",1,0)</f>
        <v/>
      </c>
      <c r="BP488" s="64">
        <f>IF(BO488=0,0,IF(N(R488)&gt;0,R488,IFERROR(VLOOKUP(D488,Parameter!$A$35:$C$64,3,0)+0,0)))</f>
        <v/>
      </c>
      <c r="BQ488" s="53">
        <f>IF(V488&lt;&gt;"",V488,U488)</f>
        <v/>
      </c>
      <c r="BR488" s="53">
        <f>IF(BQ488=1,"L1",IF(OR(BQ488=2,BQ488=3),"L23",IF(BQ488="Aussen","Aussen","-")))</f>
        <v/>
      </c>
      <c r="BS488" s="66">
        <f>IF(N(W488)&gt;0,W488,0)</f>
        <v/>
      </c>
      <c r="BT488" s="58">
        <f>IF(ISNUMBER(Z488),1,0)</f>
        <v/>
      </c>
      <c r="BU488" s="55">
        <f>N(Z488)</f>
        <v/>
      </c>
      <c r="BV488" s="55">
        <f>N(L488)+N(M488)</f>
        <v/>
      </c>
      <c r="BW488" s="55">
        <f>ROUNDUP(G488/BN488,0)</f>
        <v/>
      </c>
      <c r="BX488" s="55">
        <f>ROUNDUP(BU488/BN488,0)</f>
        <v/>
      </c>
      <c r="BY488" s="58">
        <f>IF(BO488=1,0,IFERROR(VLOOKUP(BM488,'Gebinde-Kategorie'!$A$5:$G$45,5,0)+0,0))</f>
        <v/>
      </c>
      <c r="BZ488" s="58">
        <f>IFERROR(IF(OR(BQ488=1,BQ488=2,BQ488=3),N(INDEX(Parameter!$I$5:$I$7,BQ488)),0),0)</f>
        <v/>
      </c>
    </row>
    <row r="489">
      <c r="A489" s="53" t="inlineStr">
        <is>
          <t>107661</t>
        </is>
      </c>
      <c r="B489" s="53" t="inlineStr">
        <is>
          <t>Etikette Ölwechsel</t>
        </is>
      </c>
      <c r="C489" s="53" t="inlineStr">
        <is>
          <t>F</t>
        </is>
      </c>
      <c r="D489" s="53" t="inlineStr">
        <is>
          <t>KTL</t>
        </is>
      </c>
      <c r="E489" s="53" t="inlineStr">
        <is>
          <t>C</t>
        </is>
      </c>
      <c r="F489" s="54" t="n">
        <v>3.74</v>
      </c>
      <c r="G489" s="55">
        <f>MAX(0,IF(Parameter!$B$20="Jahresanfang 2025 + Export",BG489+BF489,BF489))</f>
        <v/>
      </c>
      <c r="H489" s="55">
        <f>G489*F489</f>
        <v/>
      </c>
      <c r="I489" s="55">
        <f>BI489*Parameter!$B$18</f>
        <v/>
      </c>
      <c r="J489" s="56" t="n">
        <v>55</v>
      </c>
      <c r="K489" s="57" t="n">
        <v>0.2909090909090909</v>
      </c>
      <c r="L489" s="55" t="n">
        <v>2</v>
      </c>
      <c r="M489" s="55" t="n">
        <v>50</v>
      </c>
      <c r="N489" s="58" t="n">
        <v>35</v>
      </c>
      <c r="O489" s="53" t="inlineStr">
        <is>
          <t>S41</t>
        </is>
      </c>
      <c r="P489" s="55" t="n">
        <v>78</v>
      </c>
      <c r="Q489" s="59">
        <f>IF(BO489=1,0,IFERROR(VLOOKUP(BM489,'Gebinde-Kategorie'!$A$5:$G$45,6,0)+0,0))</f>
        <v/>
      </c>
      <c r="R489" s="60" t="n"/>
      <c r="S489" s="61" t="n"/>
      <c r="T489" s="61" t="n"/>
      <c r="U489" s="53">
        <f>IF(A489="","",IF(IFERROR(VLOOKUP(D489,Parameter!$A$35:$C$64,2,0),"Nein")="2+3",IF(ISNUMBER(SEARCH("grosser Artikel",BJ489)),2,IFERROR(VLOOKUP(BM489,Parameter!$F$35:$G$64,2,0),2)),IF(OR(IFERROR(VLOOKUP(D489,Parameter!$A$35:$C$64,2,0),"Nein")="Nein",IFERROR(VLOOKUP(D489,Parameter!$A$35:$C$64,2,0),"Nein")=""),"-",VLOOKUP(D489,Parameter!$A$35:$C$64,2,0))))</f>
        <v/>
      </c>
      <c r="V489" s="61" t="n"/>
      <c r="W489" s="62" t="n"/>
      <c r="X489" s="55">
        <f>AM489</f>
        <v/>
      </c>
      <c r="Y489" s="55">
        <f>MAX(AM489,G489)</f>
        <v/>
      </c>
      <c r="Z489" s="63" t="n"/>
      <c r="AA489" s="55">
        <f>IF(LEFT(Cockpit!$C$5,1)="A",G489,IF(BT489=1,BU489,IF(LEFT(Cockpit!$C$5,1)="B",AE489,MAX(AE489,G489))))</f>
        <v/>
      </c>
      <c r="AB489" s="55">
        <f>IF(BO489=1,0,ROUNDUP(AA489/BN489,0))</f>
        <v/>
      </c>
      <c r="AC489" s="64">
        <f>IF(BO489=1,IF(AA489&lt;=0,0,BP489*MAX(1,IF(G489&gt;0,AA489/G489,1))),AB489*Q489)</f>
        <v/>
      </c>
      <c r="AD489" s="55">
        <f>AA489*F489</f>
        <v/>
      </c>
      <c r="AE489" s="55">
        <f>ROUNDUP(MAX(I489/IF(BS489&gt;0,BS489,MAX(0.1,N(Cockpit!$C$6))),BV489)/BN489,0)*BN489</f>
        <v/>
      </c>
      <c r="AF489" s="56">
        <f>IF(AC489&gt;0,I489/AC489,-1)</f>
        <v/>
      </c>
      <c r="AG489" s="56">
        <f>IF(AND(OR(BR489="L1",BR489="L23"),AC489&gt;0),SUMIFS($AC$7:$AC$1570,$BR$7:$BR$1570,BR489,$AF$7:$AF$1570,"&gt;"&amp;AF489)+SUMIFS($AC$7:$AC$1570,$BR$7:$BR$1570,BR489,$AF$7:$AF$1570,AF489,$BL$7:$BL$1570,"&lt;="&amp;BL489),"")</f>
        <v/>
      </c>
      <c r="AH489" s="65">
        <f>IF(AG489="",0,MAX(0,MIN(1,(IF(BR489="L1",Parameter!$K$5,Parameter!$K$6+Parameter!$K$7)-(AG489-AC489))/AC489)))</f>
        <v/>
      </c>
      <c r="AI489" s="55">
        <f>IF(LEFT(Cockpit!$I$5,1)="A",G489,IF(BT489=1,BU489,IF(LEFT(Cockpit!$I$5,1)="B",AM489,MAX(AM489,G489))))</f>
        <v/>
      </c>
      <c r="AJ489" s="55">
        <f>IF(BO489=1,0,ROUNDUP(AI489/BN489,0))</f>
        <v/>
      </c>
      <c r="AK489" s="64">
        <f>IF(BO489=1,IF(AI489&lt;=0,0,BP489*MAX(1,IF(G489&gt;0,AI489/G489,1))),AJ489*Q489)</f>
        <v/>
      </c>
      <c r="AL489" s="55">
        <f>AI489*F489</f>
        <v/>
      </c>
      <c r="AM489" s="55">
        <f>ROUNDUP(MAX(I489/IF(BS489&gt;0,BS489,MAX(0.1,N(Cockpit!$I$6))),BV489)/BN489,0)*BN489</f>
        <v/>
      </c>
      <c r="AN489" s="56">
        <f>IF(AK489&gt;0,I489/AK489,-1)</f>
        <v/>
      </c>
      <c r="AO489" s="56">
        <f>IF(AND(OR(BR489="L1",BR489="L23"),AK489&gt;0),SUMIFS($AK$7:$AK$1570,$BR$7:$BR$1570,BR489,$AN$7:$AN$1570,"&gt;"&amp;AN489)+SUMIFS($AK$7:$AK$1570,$BR$7:$BR$1570,BR489,$AN$7:$AN$1570,AN489,$BL$7:$BL$1570,"&lt;="&amp;BL489),"")</f>
        <v/>
      </c>
      <c r="AP489" s="65">
        <f>IF(AO489="",0,MAX(0,MIN(1,(IF(BR489="L1",Parameter!$K$5,Parameter!$K$6+Parameter!$K$7)-(AO489-AK489))/AK489)))</f>
        <v/>
      </c>
      <c r="AQ489" s="55">
        <f>IF(LEFT(Cockpit!$O$5,1)="A",G489,IF(BT489=1,BU489,IF(LEFT(Cockpit!$O$5,1)="B",AU489,MAX(AU489,G489))))</f>
        <v/>
      </c>
      <c r="AR489" s="55">
        <f>IF(BO489=1,0,ROUNDUP(AQ489/BN489,0))</f>
        <v/>
      </c>
      <c r="AS489" s="64">
        <f>IF(BO489=1,IF(AQ489&lt;=0,0,BP489*MAX(1,IF(G489&gt;0,AQ489/G489,1))),AR489*Q489)</f>
        <v/>
      </c>
      <c r="AT489" s="55">
        <f>AQ489*F489</f>
        <v/>
      </c>
      <c r="AU489" s="55">
        <f>ROUNDUP(MAX(I489/IF(BS489&gt;0,BS489,MAX(0.1,N(Cockpit!$O$6))),BV489)/BN489,0)*BN489</f>
        <v/>
      </c>
      <c r="AV489" s="56">
        <f>IF(AS489&gt;0,I489/AS489,-1)</f>
        <v/>
      </c>
      <c r="AW489" s="56">
        <f>IF(AND(OR(BR489="L1",BR489="L23"),AS489&gt;0),SUMIFS($AS$7:$AS$1570,$BR$7:$BR$1570,BR489,$AV$7:$AV$1570,"&gt;"&amp;AV489)+SUMIFS($AS$7:$AS$1570,$BR$7:$BR$1570,BR489,$AV$7:$AV$1570,AV489,$BL$7:$BL$1570,"&lt;="&amp;BL489),"")</f>
        <v/>
      </c>
      <c r="AX489" s="65">
        <f>IF(AW489="",0,MAX(0,MIN(1,(IF(BR489="L1",Parameter!$K$5,Parameter!$K$6+Parameter!$K$7)-(AW489-AS489))/AS489)))</f>
        <v/>
      </c>
      <c r="AY489" s="53">
        <f>IF(AC489&lt;=0,"",IF(BR489="Aussen","Aussenlager",IF(BR489="-","Nicht im Lift",IF(AH489&gt;=1,"Lift",IF(AH489&lt;=0,"Aussenlager","teilweise")))))</f>
        <v/>
      </c>
      <c r="AZ489" s="53">
        <f>IF(AK489&lt;=0,"",IF(BR489="Aussen","Aussenlager",IF(BR489="-","Nicht im Lift",IF(AP489&gt;=1,"Lift",IF(AP489&lt;=0,"Aussenlager","teilweise")))))</f>
        <v/>
      </c>
      <c r="BA489" s="53">
        <f>IF(AS489&lt;=0,"",IF(BR489="Aussen","Aussenlager",IF(BR489="-","Nicht im Lift",IF(AX489&gt;=1,"Lift",IF(AX489&lt;=0,"Aussenlager","teilweise")))))</f>
        <v/>
      </c>
      <c r="BB489" s="53">
        <f>IF(A489="","",IF(BK489=1,"Neu; ","")&amp;IF(AND(BK489=0,BF489&lt;0),"negativer Bestand (Export "&amp;BF489&amp;"); ","")&amp;IF(I489&lt;=0,"Kein Verbrauch; ","")&amp;IF(BO489=1,"Lose – Fläche geschätzt; ","")&amp;IF(G489&gt;AM489,"Überbestand "&amp;ROUND(G489-AM489,0)&amp;" Stk / CHF "&amp;ROUND((G489-AM489)*F489,0)&amp;"; ","")&amp;IF(AND(BT489=1,BU489&lt;BV489),"MAX &lt; MB+LG; ","")&amp;IF(AND(BZ489&gt;0,BY489*10&gt;BZ489),"zu hoch für Tablar; ","")&amp;IF(AND(BK489=0,OR(BT489=1,V489&lt;&gt;"",S489&lt;&gt;"",T489&lt;&gt;"",W489&lt;&gt;"")),"manuell übersteuert; ","")&amp;IF(AND(BO489=0,Q489=0),"Gebinde unbekannt; ","")&amp;IF(AND(BO489=0,N(T489)&lt;=0,N(P489)&lt;=0),"Menge pro Gebinde fehlt (Ist = 1 Gebinde); ","")&amp;BJ489)</f>
        <v/>
      </c>
      <c r="BC489" s="53" t="n"/>
      <c r="BD489" s="53" t="n"/>
      <c r="BE489" s="61" t="n"/>
      <c r="BF489" s="55" t="n">
        <v>10</v>
      </c>
      <c r="BG489" s="55" t="n">
        <v>42</v>
      </c>
      <c r="BH489" s="54" t="n">
        <v>44.11999999999996</v>
      </c>
      <c r="BI489" s="55" t="n">
        <v>16</v>
      </c>
      <c r="BJ489" s="53" t="inlineStr">
        <is>
          <t>Neu</t>
        </is>
      </c>
      <c r="BK489" s="58" t="n">
        <v>0</v>
      </c>
      <c r="BL489" s="58" t="n">
        <v>489</v>
      </c>
      <c r="BM489" s="53">
        <f>IF(S489&lt;&gt;"",UPPER(TRIM(S489)),IF(O489="","LOSE",O489))</f>
        <v/>
      </c>
      <c r="BN489" s="55">
        <f>IF(BM489="LOSE",1,IF(N(T489)&gt;0,T489,IF(N(P489)&gt;0,P489,MAX(1,G489))))</f>
        <v/>
      </c>
      <c r="BO489" s="58">
        <f>IF(BM489="LOSE",1,0)</f>
        <v/>
      </c>
      <c r="BP489" s="64">
        <f>IF(BO489=0,0,IF(N(R489)&gt;0,R489,IFERROR(VLOOKUP(D489,Parameter!$A$35:$C$64,3,0)+0,0)))</f>
        <v/>
      </c>
      <c r="BQ489" s="53">
        <f>IF(V489&lt;&gt;"",V489,U489)</f>
        <v/>
      </c>
      <c r="BR489" s="53">
        <f>IF(BQ489=1,"L1",IF(OR(BQ489=2,BQ489=3),"L23",IF(BQ489="Aussen","Aussen","-")))</f>
        <v/>
      </c>
      <c r="BS489" s="66">
        <f>IF(N(W489)&gt;0,W489,0)</f>
        <v/>
      </c>
      <c r="BT489" s="58">
        <f>IF(ISNUMBER(Z489),1,0)</f>
        <v/>
      </c>
      <c r="BU489" s="55">
        <f>N(Z489)</f>
        <v/>
      </c>
      <c r="BV489" s="55">
        <f>N(L489)+N(M489)</f>
        <v/>
      </c>
      <c r="BW489" s="55">
        <f>ROUNDUP(G489/BN489,0)</f>
        <v/>
      </c>
      <c r="BX489" s="55">
        <f>ROUNDUP(BU489/BN489,0)</f>
        <v/>
      </c>
      <c r="BY489" s="58">
        <f>IF(BO489=1,0,IFERROR(VLOOKUP(BM489,'Gebinde-Kategorie'!$A$5:$G$45,5,0)+0,0))</f>
        <v/>
      </c>
      <c r="BZ489" s="58">
        <f>IFERROR(IF(OR(BQ489=1,BQ489=2,BQ489=3),N(INDEX(Parameter!$I$5:$I$7,BQ489)),0),0)</f>
        <v/>
      </c>
    </row>
    <row r="490">
      <c r="A490" s="53" t="inlineStr">
        <is>
          <t>103765</t>
        </is>
      </c>
      <c r="B490" s="53" t="inlineStr">
        <is>
          <t>Adapter Stahl verzinkt</t>
        </is>
      </c>
      <c r="C490" s="53" t="inlineStr">
        <is>
          <t>F</t>
        </is>
      </c>
      <c r="D490" s="53" t="inlineStr">
        <is>
          <t>KTL</t>
        </is>
      </c>
      <c r="E490" s="53" t="inlineStr">
        <is>
          <t>C</t>
        </is>
      </c>
      <c r="F490" s="54" t="n">
        <v>2.3</v>
      </c>
      <c r="G490" s="55">
        <f>MAX(0,IF(Parameter!$B$20="Jahresanfang 2025 + Export",BG490+BF490,BF490))</f>
        <v/>
      </c>
      <c r="H490" s="55">
        <f>G490*F490</f>
        <v/>
      </c>
      <c r="I490" s="55">
        <f>BI490*Parameter!$B$18</f>
        <v/>
      </c>
      <c r="J490" s="56" t="n">
        <v>85</v>
      </c>
      <c r="K490" s="57" t="n">
        <v>1.364705882352941</v>
      </c>
      <c r="L490" s="55" t="n">
        <v>6</v>
      </c>
      <c r="M490" s="55" t="n">
        <v>115</v>
      </c>
      <c r="N490" s="58" t="n">
        <v>21</v>
      </c>
      <c r="O490" s="53" t="inlineStr">
        <is>
          <t>S51</t>
        </is>
      </c>
      <c r="P490" s="55" t="n">
        <v>295</v>
      </c>
      <c r="Q490" s="59">
        <f>IF(BO490=1,0,IFERROR(VLOOKUP(BM490,'Gebinde-Kategorie'!$A$5:$G$45,6,0)+0,0))</f>
        <v/>
      </c>
      <c r="R490" s="60" t="n"/>
      <c r="S490" s="61" t="n"/>
      <c r="T490" s="61" t="n"/>
      <c r="U490" s="53">
        <f>IF(A490="","",IF(IFERROR(VLOOKUP(D490,Parameter!$A$35:$C$64,2,0),"Nein")="2+3",IF(ISNUMBER(SEARCH("grosser Artikel",BJ490)),2,IFERROR(VLOOKUP(BM490,Parameter!$F$35:$G$64,2,0),2)),IF(OR(IFERROR(VLOOKUP(D490,Parameter!$A$35:$C$64,2,0),"Nein")="Nein",IFERROR(VLOOKUP(D490,Parameter!$A$35:$C$64,2,0),"Nein")=""),"-",VLOOKUP(D490,Parameter!$A$35:$C$64,2,0))))</f>
        <v/>
      </c>
      <c r="V490" s="61" t="n"/>
      <c r="W490" s="62" t="n"/>
      <c r="X490" s="55">
        <f>AM490</f>
        <v/>
      </c>
      <c r="Y490" s="55">
        <f>MAX(AM490,G490)</f>
        <v/>
      </c>
      <c r="Z490" s="63" t="n"/>
      <c r="AA490" s="55">
        <f>IF(LEFT(Cockpit!$C$5,1)="A",G490,IF(BT490=1,BU490,IF(LEFT(Cockpit!$C$5,1)="B",AE490,MAX(AE490,G490))))</f>
        <v/>
      </c>
      <c r="AB490" s="55">
        <f>IF(BO490=1,0,ROUNDUP(AA490/BN490,0))</f>
        <v/>
      </c>
      <c r="AC490" s="64">
        <f>IF(BO490=1,IF(AA490&lt;=0,0,BP490*MAX(1,IF(G490&gt;0,AA490/G490,1))),AB490*Q490)</f>
        <v/>
      </c>
      <c r="AD490" s="55">
        <f>AA490*F490</f>
        <v/>
      </c>
      <c r="AE490" s="55">
        <f>ROUNDUP(MAX(I490/IF(BS490&gt;0,BS490,MAX(0.1,N(Cockpit!$C$6))),BV490)/BN490,0)*BN490</f>
        <v/>
      </c>
      <c r="AF490" s="56">
        <f>IF(AC490&gt;0,I490/AC490,-1)</f>
        <v/>
      </c>
      <c r="AG490" s="56">
        <f>IF(AND(OR(BR490="L1",BR490="L23"),AC490&gt;0),SUMIFS($AC$7:$AC$1570,$BR$7:$BR$1570,BR490,$AF$7:$AF$1570,"&gt;"&amp;AF490)+SUMIFS($AC$7:$AC$1570,$BR$7:$BR$1570,BR490,$AF$7:$AF$1570,AF490,$BL$7:$BL$1570,"&lt;="&amp;BL490),"")</f>
        <v/>
      </c>
      <c r="AH490" s="65">
        <f>IF(AG490="",0,MAX(0,MIN(1,(IF(BR490="L1",Parameter!$K$5,Parameter!$K$6+Parameter!$K$7)-(AG490-AC490))/AC490)))</f>
        <v/>
      </c>
      <c r="AI490" s="55">
        <f>IF(LEFT(Cockpit!$I$5,1)="A",G490,IF(BT490=1,BU490,IF(LEFT(Cockpit!$I$5,1)="B",AM490,MAX(AM490,G490))))</f>
        <v/>
      </c>
      <c r="AJ490" s="55">
        <f>IF(BO490=1,0,ROUNDUP(AI490/BN490,0))</f>
        <v/>
      </c>
      <c r="AK490" s="64">
        <f>IF(BO490=1,IF(AI490&lt;=0,0,BP490*MAX(1,IF(G490&gt;0,AI490/G490,1))),AJ490*Q490)</f>
        <v/>
      </c>
      <c r="AL490" s="55">
        <f>AI490*F490</f>
        <v/>
      </c>
      <c r="AM490" s="55">
        <f>ROUNDUP(MAX(I490/IF(BS490&gt;0,BS490,MAX(0.1,N(Cockpit!$I$6))),BV490)/BN490,0)*BN490</f>
        <v/>
      </c>
      <c r="AN490" s="56">
        <f>IF(AK490&gt;0,I490/AK490,-1)</f>
        <v/>
      </c>
      <c r="AO490" s="56">
        <f>IF(AND(OR(BR490="L1",BR490="L23"),AK490&gt;0),SUMIFS($AK$7:$AK$1570,$BR$7:$BR$1570,BR490,$AN$7:$AN$1570,"&gt;"&amp;AN490)+SUMIFS($AK$7:$AK$1570,$BR$7:$BR$1570,BR490,$AN$7:$AN$1570,AN490,$BL$7:$BL$1570,"&lt;="&amp;BL490),"")</f>
        <v/>
      </c>
      <c r="AP490" s="65">
        <f>IF(AO490="",0,MAX(0,MIN(1,(IF(BR490="L1",Parameter!$K$5,Parameter!$K$6+Parameter!$K$7)-(AO490-AK490))/AK490)))</f>
        <v/>
      </c>
      <c r="AQ490" s="55">
        <f>IF(LEFT(Cockpit!$O$5,1)="A",G490,IF(BT490=1,BU490,IF(LEFT(Cockpit!$O$5,1)="B",AU490,MAX(AU490,G490))))</f>
        <v/>
      </c>
      <c r="AR490" s="55">
        <f>IF(BO490=1,0,ROUNDUP(AQ490/BN490,0))</f>
        <v/>
      </c>
      <c r="AS490" s="64">
        <f>IF(BO490=1,IF(AQ490&lt;=0,0,BP490*MAX(1,IF(G490&gt;0,AQ490/G490,1))),AR490*Q490)</f>
        <v/>
      </c>
      <c r="AT490" s="55">
        <f>AQ490*F490</f>
        <v/>
      </c>
      <c r="AU490" s="55">
        <f>ROUNDUP(MAX(I490/IF(BS490&gt;0,BS490,MAX(0.1,N(Cockpit!$O$6))),BV490)/BN490,0)*BN490</f>
        <v/>
      </c>
      <c r="AV490" s="56">
        <f>IF(AS490&gt;0,I490/AS490,-1)</f>
        <v/>
      </c>
      <c r="AW490" s="56">
        <f>IF(AND(OR(BR490="L1",BR490="L23"),AS490&gt;0),SUMIFS($AS$7:$AS$1570,$BR$7:$BR$1570,BR490,$AV$7:$AV$1570,"&gt;"&amp;AV490)+SUMIFS($AS$7:$AS$1570,$BR$7:$BR$1570,BR490,$AV$7:$AV$1570,AV490,$BL$7:$BL$1570,"&lt;="&amp;BL490),"")</f>
        <v/>
      </c>
      <c r="AX490" s="65">
        <f>IF(AW490="",0,MAX(0,MIN(1,(IF(BR490="L1",Parameter!$K$5,Parameter!$K$6+Parameter!$K$7)-(AW490-AS490))/AS490)))</f>
        <v/>
      </c>
      <c r="AY490" s="53">
        <f>IF(AC490&lt;=0,"",IF(BR490="Aussen","Aussenlager",IF(BR490="-","Nicht im Lift",IF(AH490&gt;=1,"Lift",IF(AH490&lt;=0,"Aussenlager","teilweise")))))</f>
        <v/>
      </c>
      <c r="AZ490" s="53">
        <f>IF(AK490&lt;=0,"",IF(BR490="Aussen","Aussenlager",IF(BR490="-","Nicht im Lift",IF(AP490&gt;=1,"Lift",IF(AP490&lt;=0,"Aussenlager","teilweise")))))</f>
        <v/>
      </c>
      <c r="BA490" s="53">
        <f>IF(AS490&lt;=0,"",IF(BR490="Aussen","Aussenlager",IF(BR490="-","Nicht im Lift",IF(AX490&gt;=1,"Lift",IF(AX490&lt;=0,"Aussenlager","teilweise")))))</f>
        <v/>
      </c>
      <c r="BB490" s="53">
        <f>IF(A490="","",IF(BK490=1,"Neu; ","")&amp;IF(AND(BK490=0,BF490&lt;0),"negativer Bestand (Export "&amp;BF490&amp;"); ","")&amp;IF(I490&lt;=0,"Kein Verbrauch; ","")&amp;IF(BO490=1,"Lose – Fläche geschätzt; ","")&amp;IF(G490&gt;AM490,"Überbestand "&amp;ROUND(G490-AM490,0)&amp;" Stk / CHF "&amp;ROUND((G490-AM490)*F490,0)&amp;"; ","")&amp;IF(AND(BT490=1,BU490&lt;BV490),"MAX &lt; MB+LG; ","")&amp;IF(AND(BZ490&gt;0,BY490*10&gt;BZ490),"zu hoch für Tablar; ","")&amp;IF(AND(BK490=0,OR(BT490=1,V490&lt;&gt;"",S490&lt;&gt;"",T490&lt;&gt;"",W490&lt;&gt;"")),"manuell übersteuert; ","")&amp;IF(AND(BO490=0,Q490=0),"Gebinde unbekannt; ","")&amp;IF(AND(BO490=0,N(T490)&lt;=0,N(P490)&lt;=0),"Menge pro Gebinde fehlt (Ist = 1 Gebinde); ","")&amp;BJ490)</f>
        <v/>
      </c>
      <c r="BC490" s="53" t="n"/>
      <c r="BD490" s="53" t="n"/>
      <c r="BE490" s="61" t="n"/>
      <c r="BF490" s="55" t="n">
        <v>26</v>
      </c>
      <c r="BG490" s="55" t="n">
        <v>43</v>
      </c>
      <c r="BH490" s="54" t="n">
        <v>42.83999999999935</v>
      </c>
      <c r="BI490" s="55" t="n">
        <v>116</v>
      </c>
      <c r="BJ490" s="53" t="inlineStr"/>
      <c r="BK490" s="58" t="n">
        <v>0</v>
      </c>
      <c r="BL490" s="58" t="n">
        <v>490</v>
      </c>
      <c r="BM490" s="53">
        <f>IF(S490&lt;&gt;"",UPPER(TRIM(S490)),IF(O490="","LOSE",O490))</f>
        <v/>
      </c>
      <c r="BN490" s="55">
        <f>IF(BM490="LOSE",1,IF(N(T490)&gt;0,T490,IF(N(P490)&gt;0,P490,MAX(1,G490))))</f>
        <v/>
      </c>
      <c r="BO490" s="58">
        <f>IF(BM490="LOSE",1,0)</f>
        <v/>
      </c>
      <c r="BP490" s="64">
        <f>IF(BO490=0,0,IF(N(R490)&gt;0,R490,IFERROR(VLOOKUP(D490,Parameter!$A$35:$C$64,3,0)+0,0)))</f>
        <v/>
      </c>
      <c r="BQ490" s="53">
        <f>IF(V490&lt;&gt;"",V490,U490)</f>
        <v/>
      </c>
      <c r="BR490" s="53">
        <f>IF(BQ490=1,"L1",IF(OR(BQ490=2,BQ490=3),"L23",IF(BQ490="Aussen","Aussen","-")))</f>
        <v/>
      </c>
      <c r="BS490" s="66">
        <f>IF(N(W490)&gt;0,W490,0)</f>
        <v/>
      </c>
      <c r="BT490" s="58">
        <f>IF(ISNUMBER(Z490),1,0)</f>
        <v/>
      </c>
      <c r="BU490" s="55">
        <f>N(Z490)</f>
        <v/>
      </c>
      <c r="BV490" s="55">
        <f>N(L490)+N(M490)</f>
        <v/>
      </c>
      <c r="BW490" s="55">
        <f>ROUNDUP(G490/BN490,0)</f>
        <v/>
      </c>
      <c r="BX490" s="55">
        <f>ROUNDUP(BU490/BN490,0)</f>
        <v/>
      </c>
      <c r="BY490" s="58">
        <f>IF(BO490=1,0,IFERROR(VLOOKUP(BM490,'Gebinde-Kategorie'!$A$5:$G$45,5,0)+0,0))</f>
        <v/>
      </c>
      <c r="BZ490" s="58">
        <f>IFERROR(IF(OR(BQ490=1,BQ490=2,BQ490=3),N(INDEX(Parameter!$I$5:$I$7,BQ490)),0),0)</f>
        <v/>
      </c>
    </row>
    <row r="491">
      <c r="A491" s="53" t="inlineStr">
        <is>
          <t>103266</t>
        </is>
      </c>
      <c r="B491" s="53" t="inlineStr">
        <is>
          <t>Zylinderschraube mit Innensechskant</t>
        </is>
      </c>
      <c r="C491" s="53" t="inlineStr">
        <is>
          <t>F</t>
        </is>
      </c>
      <c r="D491" s="53" t="inlineStr">
        <is>
          <t>KTL</t>
        </is>
      </c>
      <c r="E491" s="53" t="inlineStr">
        <is>
          <t>C</t>
        </is>
      </c>
      <c r="F491" s="54" t="n">
        <v>0.36</v>
      </c>
      <c r="G491" s="55">
        <f>MAX(0,IF(Parameter!$B$20="Jahresanfang 2025 + Export",BG491+BF491,BF491))</f>
        <v/>
      </c>
      <c r="H491" s="55">
        <f>G491*F491</f>
        <v/>
      </c>
      <c r="I491" s="55">
        <f>BI491*Parameter!$B$18</f>
        <v/>
      </c>
      <c r="J491" s="56" t="n">
        <v>105.5</v>
      </c>
      <c r="K491" s="57" t="n">
        <v>2.104265402843602</v>
      </c>
      <c r="L491" s="55" t="n">
        <v>12</v>
      </c>
      <c r="M491" s="55" t="n">
        <v>225</v>
      </c>
      <c r="N491" s="58" t="n">
        <v>21</v>
      </c>
      <c r="O491" s="53" t="inlineStr">
        <is>
          <t>S51</t>
        </is>
      </c>
      <c r="P491" s="55" t="n">
        <v>90</v>
      </c>
      <c r="Q491" s="59">
        <f>IF(BO491=1,0,IFERROR(VLOOKUP(BM491,'Gebinde-Kategorie'!$A$5:$G$45,6,0)+0,0))</f>
        <v/>
      </c>
      <c r="R491" s="60" t="n"/>
      <c r="S491" s="61" t="n"/>
      <c r="T491" s="61" t="n"/>
      <c r="U491" s="53">
        <f>IF(A491="","",IF(IFERROR(VLOOKUP(D491,Parameter!$A$35:$C$64,2,0),"Nein")="2+3",IF(ISNUMBER(SEARCH("grosser Artikel",BJ491)),2,IFERROR(VLOOKUP(BM491,Parameter!$F$35:$G$64,2,0),2)),IF(OR(IFERROR(VLOOKUP(D491,Parameter!$A$35:$C$64,2,0),"Nein")="Nein",IFERROR(VLOOKUP(D491,Parameter!$A$35:$C$64,2,0),"Nein")=""),"-",VLOOKUP(D491,Parameter!$A$35:$C$64,2,0))))</f>
        <v/>
      </c>
      <c r="V491" s="61" t="n"/>
      <c r="W491" s="62" t="n"/>
      <c r="X491" s="55">
        <f>AM491</f>
        <v/>
      </c>
      <c r="Y491" s="55">
        <f>MAX(AM491,G491)</f>
        <v/>
      </c>
      <c r="Z491" s="63" t="n"/>
      <c r="AA491" s="55">
        <f>IF(LEFT(Cockpit!$C$5,1)="A",G491,IF(BT491=1,BU491,IF(LEFT(Cockpit!$C$5,1)="B",AE491,MAX(AE491,G491))))</f>
        <v/>
      </c>
      <c r="AB491" s="55">
        <f>IF(BO491=1,0,ROUNDUP(AA491/BN491,0))</f>
        <v/>
      </c>
      <c r="AC491" s="64">
        <f>IF(BO491=1,IF(AA491&lt;=0,0,BP491*MAX(1,IF(G491&gt;0,AA491/G491,1))),AB491*Q491)</f>
        <v/>
      </c>
      <c r="AD491" s="55">
        <f>AA491*F491</f>
        <v/>
      </c>
      <c r="AE491" s="55">
        <f>ROUNDUP(MAX(I491/IF(BS491&gt;0,BS491,MAX(0.1,N(Cockpit!$C$6))),BV491)/BN491,0)*BN491</f>
        <v/>
      </c>
      <c r="AF491" s="56">
        <f>IF(AC491&gt;0,I491/AC491,-1)</f>
        <v/>
      </c>
      <c r="AG491" s="56">
        <f>IF(AND(OR(BR491="L1",BR491="L23"),AC491&gt;0),SUMIFS($AC$7:$AC$1570,$BR$7:$BR$1570,BR491,$AF$7:$AF$1570,"&gt;"&amp;AF491)+SUMIFS($AC$7:$AC$1570,$BR$7:$BR$1570,BR491,$AF$7:$AF$1570,AF491,$BL$7:$BL$1570,"&lt;="&amp;BL491),"")</f>
        <v/>
      </c>
      <c r="AH491" s="65">
        <f>IF(AG491="",0,MAX(0,MIN(1,(IF(BR491="L1",Parameter!$K$5,Parameter!$K$6+Parameter!$K$7)-(AG491-AC491))/AC491)))</f>
        <v/>
      </c>
      <c r="AI491" s="55">
        <f>IF(LEFT(Cockpit!$I$5,1)="A",G491,IF(BT491=1,BU491,IF(LEFT(Cockpit!$I$5,1)="B",AM491,MAX(AM491,G491))))</f>
        <v/>
      </c>
      <c r="AJ491" s="55">
        <f>IF(BO491=1,0,ROUNDUP(AI491/BN491,0))</f>
        <v/>
      </c>
      <c r="AK491" s="64">
        <f>IF(BO491=1,IF(AI491&lt;=0,0,BP491*MAX(1,IF(G491&gt;0,AI491/G491,1))),AJ491*Q491)</f>
        <v/>
      </c>
      <c r="AL491" s="55">
        <f>AI491*F491</f>
        <v/>
      </c>
      <c r="AM491" s="55">
        <f>ROUNDUP(MAX(I491/IF(BS491&gt;0,BS491,MAX(0.1,N(Cockpit!$I$6))),BV491)/BN491,0)*BN491</f>
        <v/>
      </c>
      <c r="AN491" s="56">
        <f>IF(AK491&gt;0,I491/AK491,-1)</f>
        <v/>
      </c>
      <c r="AO491" s="56">
        <f>IF(AND(OR(BR491="L1",BR491="L23"),AK491&gt;0),SUMIFS($AK$7:$AK$1570,$BR$7:$BR$1570,BR491,$AN$7:$AN$1570,"&gt;"&amp;AN491)+SUMIFS($AK$7:$AK$1570,$BR$7:$BR$1570,BR491,$AN$7:$AN$1570,AN491,$BL$7:$BL$1570,"&lt;="&amp;BL491),"")</f>
        <v/>
      </c>
      <c r="AP491" s="65">
        <f>IF(AO491="",0,MAX(0,MIN(1,(IF(BR491="L1",Parameter!$K$5,Parameter!$K$6+Parameter!$K$7)-(AO491-AK491))/AK491)))</f>
        <v/>
      </c>
      <c r="AQ491" s="55">
        <f>IF(LEFT(Cockpit!$O$5,1)="A",G491,IF(BT491=1,BU491,IF(LEFT(Cockpit!$O$5,1)="B",AU491,MAX(AU491,G491))))</f>
        <v/>
      </c>
      <c r="AR491" s="55">
        <f>IF(BO491=1,0,ROUNDUP(AQ491/BN491,0))</f>
        <v/>
      </c>
      <c r="AS491" s="64">
        <f>IF(BO491=1,IF(AQ491&lt;=0,0,BP491*MAX(1,IF(G491&gt;0,AQ491/G491,1))),AR491*Q491)</f>
        <v/>
      </c>
      <c r="AT491" s="55">
        <f>AQ491*F491</f>
        <v/>
      </c>
      <c r="AU491" s="55">
        <f>ROUNDUP(MAX(I491/IF(BS491&gt;0,BS491,MAX(0.1,N(Cockpit!$O$6))),BV491)/BN491,0)*BN491</f>
        <v/>
      </c>
      <c r="AV491" s="56">
        <f>IF(AS491&gt;0,I491/AS491,-1)</f>
        <v/>
      </c>
      <c r="AW491" s="56">
        <f>IF(AND(OR(BR491="L1",BR491="L23"),AS491&gt;0),SUMIFS($AS$7:$AS$1570,$BR$7:$BR$1570,BR491,$AV$7:$AV$1570,"&gt;"&amp;AV491)+SUMIFS($AS$7:$AS$1570,$BR$7:$BR$1570,BR491,$AV$7:$AV$1570,AV491,$BL$7:$BL$1570,"&lt;="&amp;BL491),"")</f>
        <v/>
      </c>
      <c r="AX491" s="65">
        <f>IF(AW491="",0,MAX(0,MIN(1,(IF(BR491="L1",Parameter!$K$5,Parameter!$K$6+Parameter!$K$7)-(AW491-AS491))/AS491)))</f>
        <v/>
      </c>
      <c r="AY491" s="53">
        <f>IF(AC491&lt;=0,"",IF(BR491="Aussen","Aussenlager",IF(BR491="-","Nicht im Lift",IF(AH491&gt;=1,"Lift",IF(AH491&lt;=0,"Aussenlager","teilweise")))))</f>
        <v/>
      </c>
      <c r="AZ491" s="53">
        <f>IF(AK491&lt;=0,"",IF(BR491="Aussen","Aussenlager",IF(BR491="-","Nicht im Lift",IF(AP491&gt;=1,"Lift",IF(AP491&lt;=0,"Aussenlager","teilweise")))))</f>
        <v/>
      </c>
      <c r="BA491" s="53">
        <f>IF(AS491&lt;=0,"",IF(BR491="Aussen","Aussenlager",IF(BR491="-","Nicht im Lift",IF(AX491&gt;=1,"Lift",IF(AX491&lt;=0,"Aussenlager","teilweise")))))</f>
        <v/>
      </c>
      <c r="BB491" s="53">
        <f>IF(A491="","",IF(BK491=1,"Neu; ","")&amp;IF(AND(BK491=0,BF491&lt;0),"negativer Bestand (Export "&amp;BF491&amp;"); ","")&amp;IF(I491&lt;=0,"Kein Verbrauch; ","")&amp;IF(BO491=1,"Lose – Fläche geschätzt; ","")&amp;IF(G491&gt;AM491,"Überbestand "&amp;ROUND(G491-AM491,0)&amp;" Stk / CHF "&amp;ROUND((G491-AM491)*F491,0)&amp;"; ","")&amp;IF(AND(BT491=1,BU491&lt;BV491),"MAX &lt; MB+LG; ","")&amp;IF(AND(BZ491&gt;0,BY491*10&gt;BZ491),"zu hoch für Tablar; ","")&amp;IF(AND(BK491=0,OR(BT491=1,V491&lt;&gt;"",S491&lt;&gt;"",T491&lt;&gt;"",W491&lt;&gt;"")),"manuell übersteuert; ","")&amp;IF(AND(BO491=0,Q491=0),"Gebinde unbekannt; ","")&amp;IF(AND(BO491=0,N(T491)&lt;=0,N(P491)&lt;=0),"Menge pro Gebinde fehlt (Ist = 1 Gebinde); ","")&amp;BJ491)</f>
        <v/>
      </c>
      <c r="BC491" s="53" t="n"/>
      <c r="BD491" s="53" t="n"/>
      <c r="BE491" s="61" t="n"/>
      <c r="BF491" s="55" t="n">
        <v>117</v>
      </c>
      <c r="BG491" s="55" t="n">
        <v>92</v>
      </c>
      <c r="BH491" s="54" t="n">
        <v>42.12000000000004</v>
      </c>
      <c r="BI491" s="55" t="n">
        <v>222</v>
      </c>
      <c r="BJ491" s="53" t="inlineStr"/>
      <c r="BK491" s="58" t="n">
        <v>0</v>
      </c>
      <c r="BL491" s="58" t="n">
        <v>491</v>
      </c>
      <c r="BM491" s="53">
        <f>IF(S491&lt;&gt;"",UPPER(TRIM(S491)),IF(O491="","LOSE",O491))</f>
        <v/>
      </c>
      <c r="BN491" s="55">
        <f>IF(BM491="LOSE",1,IF(N(T491)&gt;0,T491,IF(N(P491)&gt;0,P491,MAX(1,G491))))</f>
        <v/>
      </c>
      <c r="BO491" s="58">
        <f>IF(BM491="LOSE",1,0)</f>
        <v/>
      </c>
      <c r="BP491" s="64">
        <f>IF(BO491=0,0,IF(N(R491)&gt;0,R491,IFERROR(VLOOKUP(D491,Parameter!$A$35:$C$64,3,0)+0,0)))</f>
        <v/>
      </c>
      <c r="BQ491" s="53">
        <f>IF(V491&lt;&gt;"",V491,U491)</f>
        <v/>
      </c>
      <c r="BR491" s="53">
        <f>IF(BQ491=1,"L1",IF(OR(BQ491=2,BQ491=3),"L23",IF(BQ491="Aussen","Aussen","-")))</f>
        <v/>
      </c>
      <c r="BS491" s="66">
        <f>IF(N(W491)&gt;0,W491,0)</f>
        <v/>
      </c>
      <c r="BT491" s="58">
        <f>IF(ISNUMBER(Z491),1,0)</f>
        <v/>
      </c>
      <c r="BU491" s="55">
        <f>N(Z491)</f>
        <v/>
      </c>
      <c r="BV491" s="55">
        <f>N(L491)+N(M491)</f>
        <v/>
      </c>
      <c r="BW491" s="55">
        <f>ROUNDUP(G491/BN491,0)</f>
        <v/>
      </c>
      <c r="BX491" s="55">
        <f>ROUNDUP(BU491/BN491,0)</f>
        <v/>
      </c>
      <c r="BY491" s="58">
        <f>IF(BO491=1,0,IFERROR(VLOOKUP(BM491,'Gebinde-Kategorie'!$A$5:$G$45,5,0)+0,0))</f>
        <v/>
      </c>
      <c r="BZ491" s="58">
        <f>IFERROR(IF(OR(BQ491=1,BQ491=2,BQ491=3),N(INDEX(Parameter!$I$5:$I$7,BQ491)),0),0)</f>
        <v/>
      </c>
    </row>
    <row r="492">
      <c r="A492" s="53" t="inlineStr">
        <is>
          <t>107198</t>
        </is>
      </c>
      <c r="B492" s="53" t="inlineStr">
        <is>
          <t>Abdeckung</t>
        </is>
      </c>
      <c r="C492" s="53" t="inlineStr">
        <is>
          <t>F</t>
        </is>
      </c>
      <c r="D492" s="53" t="inlineStr">
        <is>
          <t>KTL</t>
        </is>
      </c>
      <c r="E492" s="53" t="inlineStr">
        <is>
          <t>C</t>
        </is>
      </c>
      <c r="F492" s="54" t="n">
        <v>16.51</v>
      </c>
      <c r="G492" s="55">
        <f>MAX(0,IF(Parameter!$B$20="Jahresanfang 2025 + Export",BG492+BF492,BF492))</f>
        <v/>
      </c>
      <c r="H492" s="55">
        <f>G492*F492</f>
        <v/>
      </c>
      <c r="I492" s="55">
        <f>BI492*Parameter!$B$18</f>
        <v/>
      </c>
      <c r="J492" s="56" t="n">
        <v>18.5</v>
      </c>
      <c r="K492" s="57" t="n">
        <v>0.7027027027027027</v>
      </c>
      <c r="L492" s="55" t="n">
        <v>1</v>
      </c>
      <c r="M492" s="55" t="n">
        <v>15</v>
      </c>
      <c r="N492" s="58" t="n">
        <v>28</v>
      </c>
      <c r="O492" s="53" t="inlineStr">
        <is>
          <t>S52</t>
        </is>
      </c>
      <c r="P492" s="55" t="n">
        <v>32</v>
      </c>
      <c r="Q492" s="59">
        <f>IF(BO492=1,0,IFERROR(VLOOKUP(BM492,'Gebinde-Kategorie'!$A$5:$G$45,6,0)+0,0))</f>
        <v/>
      </c>
      <c r="R492" s="60" t="n"/>
      <c r="S492" s="61" t="n"/>
      <c r="T492" s="61" t="n"/>
      <c r="U492" s="53">
        <f>IF(A492="","",IF(IFERROR(VLOOKUP(D492,Parameter!$A$35:$C$64,2,0),"Nein")="2+3",IF(ISNUMBER(SEARCH("grosser Artikel",BJ492)),2,IFERROR(VLOOKUP(BM492,Parameter!$F$35:$G$64,2,0),2)),IF(OR(IFERROR(VLOOKUP(D492,Parameter!$A$35:$C$64,2,0),"Nein")="Nein",IFERROR(VLOOKUP(D492,Parameter!$A$35:$C$64,2,0),"Nein")=""),"-",VLOOKUP(D492,Parameter!$A$35:$C$64,2,0))))</f>
        <v/>
      </c>
      <c r="V492" s="61" t="n"/>
      <c r="W492" s="62" t="n"/>
      <c r="X492" s="55">
        <f>AM492</f>
        <v/>
      </c>
      <c r="Y492" s="55">
        <f>MAX(AM492,G492)</f>
        <v/>
      </c>
      <c r="Z492" s="63" t="n"/>
      <c r="AA492" s="55">
        <f>IF(LEFT(Cockpit!$C$5,1)="A",G492,IF(BT492=1,BU492,IF(LEFT(Cockpit!$C$5,1)="B",AE492,MAX(AE492,G492))))</f>
        <v/>
      </c>
      <c r="AB492" s="55">
        <f>IF(BO492=1,0,ROUNDUP(AA492/BN492,0))</f>
        <v/>
      </c>
      <c r="AC492" s="64">
        <f>IF(BO492=1,IF(AA492&lt;=0,0,BP492*MAX(1,IF(G492&gt;0,AA492/G492,1))),AB492*Q492)</f>
        <v/>
      </c>
      <c r="AD492" s="55">
        <f>AA492*F492</f>
        <v/>
      </c>
      <c r="AE492" s="55">
        <f>ROUNDUP(MAX(I492/IF(BS492&gt;0,BS492,MAX(0.1,N(Cockpit!$C$6))),BV492)/BN492,0)*BN492</f>
        <v/>
      </c>
      <c r="AF492" s="56">
        <f>IF(AC492&gt;0,I492/AC492,-1)</f>
        <v/>
      </c>
      <c r="AG492" s="56">
        <f>IF(AND(OR(BR492="L1",BR492="L23"),AC492&gt;0),SUMIFS($AC$7:$AC$1570,$BR$7:$BR$1570,BR492,$AF$7:$AF$1570,"&gt;"&amp;AF492)+SUMIFS($AC$7:$AC$1570,$BR$7:$BR$1570,BR492,$AF$7:$AF$1570,AF492,$BL$7:$BL$1570,"&lt;="&amp;BL492),"")</f>
        <v/>
      </c>
      <c r="AH492" s="65">
        <f>IF(AG492="",0,MAX(0,MIN(1,(IF(BR492="L1",Parameter!$K$5,Parameter!$K$6+Parameter!$K$7)-(AG492-AC492))/AC492)))</f>
        <v/>
      </c>
      <c r="AI492" s="55">
        <f>IF(LEFT(Cockpit!$I$5,1)="A",G492,IF(BT492=1,BU492,IF(LEFT(Cockpit!$I$5,1)="B",AM492,MAX(AM492,G492))))</f>
        <v/>
      </c>
      <c r="AJ492" s="55">
        <f>IF(BO492=1,0,ROUNDUP(AI492/BN492,0))</f>
        <v/>
      </c>
      <c r="AK492" s="64">
        <f>IF(BO492=1,IF(AI492&lt;=0,0,BP492*MAX(1,IF(G492&gt;0,AI492/G492,1))),AJ492*Q492)</f>
        <v/>
      </c>
      <c r="AL492" s="55">
        <f>AI492*F492</f>
        <v/>
      </c>
      <c r="AM492" s="55">
        <f>ROUNDUP(MAX(I492/IF(BS492&gt;0,BS492,MAX(0.1,N(Cockpit!$I$6))),BV492)/BN492,0)*BN492</f>
        <v/>
      </c>
      <c r="AN492" s="56">
        <f>IF(AK492&gt;0,I492/AK492,-1)</f>
        <v/>
      </c>
      <c r="AO492" s="56">
        <f>IF(AND(OR(BR492="L1",BR492="L23"),AK492&gt;0),SUMIFS($AK$7:$AK$1570,$BR$7:$BR$1570,BR492,$AN$7:$AN$1570,"&gt;"&amp;AN492)+SUMIFS($AK$7:$AK$1570,$BR$7:$BR$1570,BR492,$AN$7:$AN$1570,AN492,$BL$7:$BL$1570,"&lt;="&amp;BL492),"")</f>
        <v/>
      </c>
      <c r="AP492" s="65">
        <f>IF(AO492="",0,MAX(0,MIN(1,(IF(BR492="L1",Parameter!$K$5,Parameter!$K$6+Parameter!$K$7)-(AO492-AK492))/AK492)))</f>
        <v/>
      </c>
      <c r="AQ492" s="55">
        <f>IF(LEFT(Cockpit!$O$5,1)="A",G492,IF(BT492=1,BU492,IF(LEFT(Cockpit!$O$5,1)="B",AU492,MAX(AU492,G492))))</f>
        <v/>
      </c>
      <c r="AR492" s="55">
        <f>IF(BO492=1,0,ROUNDUP(AQ492/BN492,0))</f>
        <v/>
      </c>
      <c r="AS492" s="64">
        <f>IF(BO492=1,IF(AQ492&lt;=0,0,BP492*MAX(1,IF(G492&gt;0,AQ492/G492,1))),AR492*Q492)</f>
        <v/>
      </c>
      <c r="AT492" s="55">
        <f>AQ492*F492</f>
        <v/>
      </c>
      <c r="AU492" s="55">
        <f>ROUNDUP(MAX(I492/IF(BS492&gt;0,BS492,MAX(0.1,N(Cockpit!$O$6))),BV492)/BN492,0)*BN492</f>
        <v/>
      </c>
      <c r="AV492" s="56">
        <f>IF(AS492&gt;0,I492/AS492,-1)</f>
        <v/>
      </c>
      <c r="AW492" s="56">
        <f>IF(AND(OR(BR492="L1",BR492="L23"),AS492&gt;0),SUMIFS($AS$7:$AS$1570,$BR$7:$BR$1570,BR492,$AV$7:$AV$1570,"&gt;"&amp;AV492)+SUMIFS($AS$7:$AS$1570,$BR$7:$BR$1570,BR492,$AV$7:$AV$1570,AV492,$BL$7:$BL$1570,"&lt;="&amp;BL492),"")</f>
        <v/>
      </c>
      <c r="AX492" s="65">
        <f>IF(AW492="",0,MAX(0,MIN(1,(IF(BR492="L1",Parameter!$K$5,Parameter!$K$6+Parameter!$K$7)-(AW492-AS492))/AS492)))</f>
        <v/>
      </c>
      <c r="AY492" s="53">
        <f>IF(AC492&lt;=0,"",IF(BR492="Aussen","Aussenlager",IF(BR492="-","Nicht im Lift",IF(AH492&gt;=1,"Lift",IF(AH492&lt;=0,"Aussenlager","teilweise")))))</f>
        <v/>
      </c>
      <c r="AZ492" s="53">
        <f>IF(AK492&lt;=0,"",IF(BR492="Aussen","Aussenlager",IF(BR492="-","Nicht im Lift",IF(AP492&gt;=1,"Lift",IF(AP492&lt;=0,"Aussenlager","teilweise")))))</f>
        <v/>
      </c>
      <c r="BA492" s="53">
        <f>IF(AS492&lt;=0,"",IF(BR492="Aussen","Aussenlager",IF(BR492="-","Nicht im Lift",IF(AX492&gt;=1,"Lift",IF(AX492&lt;=0,"Aussenlager","teilweise")))))</f>
        <v/>
      </c>
      <c r="BB492" s="53">
        <f>IF(A492="","",IF(BK492=1,"Neu; ","")&amp;IF(AND(BK492=0,BF492&lt;0),"negativer Bestand (Export "&amp;BF492&amp;"); ","")&amp;IF(I492&lt;=0,"Kein Verbrauch; ","")&amp;IF(BO492=1,"Lose – Fläche geschätzt; ","")&amp;IF(G492&gt;AM492,"Überbestand "&amp;ROUND(G492-AM492,0)&amp;" Stk / CHF "&amp;ROUND((G492-AM492)*F492,0)&amp;"; ","")&amp;IF(AND(BT492=1,BU492&lt;BV492),"MAX &lt; MB+LG; ","")&amp;IF(AND(BZ492&gt;0,BY492*10&gt;BZ492),"zu hoch für Tablar; ","")&amp;IF(AND(BK492=0,OR(BT492=1,V492&lt;&gt;"",S492&lt;&gt;"",T492&lt;&gt;"",W492&lt;&gt;"")),"manuell übersteuert; ","")&amp;IF(AND(BO492=0,Q492=0),"Gebinde unbekannt; ","")&amp;IF(AND(BO492=0,N(T492)&lt;=0,N(P492)&lt;=0),"Menge pro Gebinde fehlt (Ist = 1 Gebinde); ","")&amp;BJ492)</f>
        <v/>
      </c>
      <c r="BC492" s="53" t="n"/>
      <c r="BD492" s="53" t="n"/>
      <c r="BE492" s="61" t="n"/>
      <c r="BF492" s="55" t="n">
        <v>3</v>
      </c>
      <c r="BG492" s="55" t="n">
        <v>25</v>
      </c>
      <c r="BH492" s="54" t="n">
        <v>41.53000000000014</v>
      </c>
      <c r="BI492" s="55" t="n">
        <v>13</v>
      </c>
      <c r="BJ492" s="53" t="inlineStr"/>
      <c r="BK492" s="58" t="n">
        <v>0</v>
      </c>
      <c r="BL492" s="58" t="n">
        <v>492</v>
      </c>
      <c r="BM492" s="53">
        <f>IF(S492&lt;&gt;"",UPPER(TRIM(S492)),IF(O492="","LOSE",O492))</f>
        <v/>
      </c>
      <c r="BN492" s="55">
        <f>IF(BM492="LOSE",1,IF(N(T492)&gt;0,T492,IF(N(P492)&gt;0,P492,MAX(1,G492))))</f>
        <v/>
      </c>
      <c r="BO492" s="58">
        <f>IF(BM492="LOSE",1,0)</f>
        <v/>
      </c>
      <c r="BP492" s="64">
        <f>IF(BO492=0,0,IF(N(R492)&gt;0,R492,IFERROR(VLOOKUP(D492,Parameter!$A$35:$C$64,3,0)+0,0)))</f>
        <v/>
      </c>
      <c r="BQ492" s="53">
        <f>IF(V492&lt;&gt;"",V492,U492)</f>
        <v/>
      </c>
      <c r="BR492" s="53">
        <f>IF(BQ492=1,"L1",IF(OR(BQ492=2,BQ492=3),"L23",IF(BQ492="Aussen","Aussen","-")))</f>
        <v/>
      </c>
      <c r="BS492" s="66">
        <f>IF(N(W492)&gt;0,W492,0)</f>
        <v/>
      </c>
      <c r="BT492" s="58">
        <f>IF(ISNUMBER(Z492),1,0)</f>
        <v/>
      </c>
      <c r="BU492" s="55">
        <f>N(Z492)</f>
        <v/>
      </c>
      <c r="BV492" s="55">
        <f>N(L492)+N(M492)</f>
        <v/>
      </c>
      <c r="BW492" s="55">
        <f>ROUNDUP(G492/BN492,0)</f>
        <v/>
      </c>
      <c r="BX492" s="55">
        <f>ROUNDUP(BU492/BN492,0)</f>
        <v/>
      </c>
      <c r="BY492" s="58">
        <f>IF(BO492=1,0,IFERROR(VLOOKUP(BM492,'Gebinde-Kategorie'!$A$5:$G$45,5,0)+0,0))</f>
        <v/>
      </c>
      <c r="BZ492" s="58">
        <f>IFERROR(IF(OR(BQ492=1,BQ492=2,BQ492=3),N(INDEX(Parameter!$I$5:$I$7,BQ492)),0),0)</f>
        <v/>
      </c>
    </row>
    <row r="493">
      <c r="A493" s="53" t="inlineStr">
        <is>
          <t>001152</t>
        </is>
      </c>
      <c r="B493" s="53" t="inlineStr">
        <is>
          <t>Kabelbinder transparent (weiss)</t>
        </is>
      </c>
      <c r="C493" s="53" t="inlineStr">
        <is>
          <t>F</t>
        </is>
      </c>
      <c r="D493" s="53" t="inlineStr">
        <is>
          <t>KTL</t>
        </is>
      </c>
      <c r="E493" s="53" t="inlineStr">
        <is>
          <t>C</t>
        </is>
      </c>
      <c r="F493" s="54" t="n">
        <v>0.03</v>
      </c>
      <c r="G493" s="55">
        <f>MAX(0,IF(Parameter!$B$20="Jahresanfang 2025 + Export",BG493+BF493,BF493))</f>
        <v/>
      </c>
      <c r="H493" s="55">
        <f>G493*F493</f>
        <v/>
      </c>
      <c r="I493" s="55">
        <f>BI493*Parameter!$B$18</f>
        <v/>
      </c>
      <c r="J493" s="56" t="n">
        <v>1870</v>
      </c>
      <c r="K493" s="57" t="n">
        <v>0.053475935828877</v>
      </c>
      <c r="L493" s="55" t="n">
        <v>3</v>
      </c>
      <c r="M493" s="55" t="n">
        <v>100</v>
      </c>
      <c r="N493" s="58" t="n">
        <v>14</v>
      </c>
      <c r="O493" s="53" t="inlineStr">
        <is>
          <t>S51</t>
        </is>
      </c>
      <c r="P493" s="55" t="n">
        <v>4200</v>
      </c>
      <c r="Q493" s="59">
        <f>IF(BO493=1,0,IFERROR(VLOOKUP(BM493,'Gebinde-Kategorie'!$A$5:$G$45,6,0)+0,0))</f>
        <v/>
      </c>
      <c r="R493" s="60" t="n"/>
      <c r="S493" s="61" t="n"/>
      <c r="T493" s="61" t="n"/>
      <c r="U493" s="53">
        <f>IF(A493="","",IF(IFERROR(VLOOKUP(D493,Parameter!$A$35:$C$64,2,0),"Nein")="2+3",IF(ISNUMBER(SEARCH("grosser Artikel",BJ493)),2,IFERROR(VLOOKUP(BM493,Parameter!$F$35:$G$64,2,0),2)),IF(OR(IFERROR(VLOOKUP(D493,Parameter!$A$35:$C$64,2,0),"Nein")="Nein",IFERROR(VLOOKUP(D493,Parameter!$A$35:$C$64,2,0),"Nein")=""),"-",VLOOKUP(D493,Parameter!$A$35:$C$64,2,0))))</f>
        <v/>
      </c>
      <c r="V493" s="61" t="n"/>
      <c r="W493" s="62" t="n"/>
      <c r="X493" s="55">
        <f>AM493</f>
        <v/>
      </c>
      <c r="Y493" s="55">
        <f>MAX(AM493,G493)</f>
        <v/>
      </c>
      <c r="Z493" s="63" t="n"/>
      <c r="AA493" s="55">
        <f>IF(LEFT(Cockpit!$C$5,1)="A",G493,IF(BT493=1,BU493,IF(LEFT(Cockpit!$C$5,1)="B",AE493,MAX(AE493,G493))))</f>
        <v/>
      </c>
      <c r="AB493" s="55">
        <f>IF(BO493=1,0,ROUNDUP(AA493/BN493,0))</f>
        <v/>
      </c>
      <c r="AC493" s="64">
        <f>IF(BO493=1,IF(AA493&lt;=0,0,BP493*MAX(1,IF(G493&gt;0,AA493/G493,1))),AB493*Q493)</f>
        <v/>
      </c>
      <c r="AD493" s="55">
        <f>AA493*F493</f>
        <v/>
      </c>
      <c r="AE493" s="55">
        <f>ROUNDUP(MAX(I493/IF(BS493&gt;0,BS493,MAX(0.1,N(Cockpit!$C$6))),BV493)/BN493,0)*BN493</f>
        <v/>
      </c>
      <c r="AF493" s="56">
        <f>IF(AC493&gt;0,I493/AC493,-1)</f>
        <v/>
      </c>
      <c r="AG493" s="56">
        <f>IF(AND(OR(BR493="L1",BR493="L23"),AC493&gt;0),SUMIFS($AC$7:$AC$1570,$BR$7:$BR$1570,BR493,$AF$7:$AF$1570,"&gt;"&amp;AF493)+SUMIFS($AC$7:$AC$1570,$BR$7:$BR$1570,BR493,$AF$7:$AF$1570,AF493,$BL$7:$BL$1570,"&lt;="&amp;BL493),"")</f>
        <v/>
      </c>
      <c r="AH493" s="65">
        <f>IF(AG493="",0,MAX(0,MIN(1,(IF(BR493="L1",Parameter!$K$5,Parameter!$K$6+Parameter!$K$7)-(AG493-AC493))/AC493)))</f>
        <v/>
      </c>
      <c r="AI493" s="55">
        <f>IF(LEFT(Cockpit!$I$5,1)="A",G493,IF(BT493=1,BU493,IF(LEFT(Cockpit!$I$5,1)="B",AM493,MAX(AM493,G493))))</f>
        <v/>
      </c>
      <c r="AJ493" s="55">
        <f>IF(BO493=1,0,ROUNDUP(AI493/BN493,0))</f>
        <v/>
      </c>
      <c r="AK493" s="64">
        <f>IF(BO493=1,IF(AI493&lt;=0,0,BP493*MAX(1,IF(G493&gt;0,AI493/G493,1))),AJ493*Q493)</f>
        <v/>
      </c>
      <c r="AL493" s="55">
        <f>AI493*F493</f>
        <v/>
      </c>
      <c r="AM493" s="55">
        <f>ROUNDUP(MAX(I493/IF(BS493&gt;0,BS493,MAX(0.1,N(Cockpit!$I$6))),BV493)/BN493,0)*BN493</f>
        <v/>
      </c>
      <c r="AN493" s="56">
        <f>IF(AK493&gt;0,I493/AK493,-1)</f>
        <v/>
      </c>
      <c r="AO493" s="56">
        <f>IF(AND(OR(BR493="L1",BR493="L23"),AK493&gt;0),SUMIFS($AK$7:$AK$1570,$BR$7:$BR$1570,BR493,$AN$7:$AN$1570,"&gt;"&amp;AN493)+SUMIFS($AK$7:$AK$1570,$BR$7:$BR$1570,BR493,$AN$7:$AN$1570,AN493,$BL$7:$BL$1570,"&lt;="&amp;BL493),"")</f>
        <v/>
      </c>
      <c r="AP493" s="65">
        <f>IF(AO493="",0,MAX(0,MIN(1,(IF(BR493="L1",Parameter!$K$5,Parameter!$K$6+Parameter!$K$7)-(AO493-AK493))/AK493)))</f>
        <v/>
      </c>
      <c r="AQ493" s="55">
        <f>IF(LEFT(Cockpit!$O$5,1)="A",G493,IF(BT493=1,BU493,IF(LEFT(Cockpit!$O$5,1)="B",AU493,MAX(AU493,G493))))</f>
        <v/>
      </c>
      <c r="AR493" s="55">
        <f>IF(BO493=1,0,ROUNDUP(AQ493/BN493,0))</f>
        <v/>
      </c>
      <c r="AS493" s="64">
        <f>IF(BO493=1,IF(AQ493&lt;=0,0,BP493*MAX(1,IF(G493&gt;0,AQ493/G493,1))),AR493*Q493)</f>
        <v/>
      </c>
      <c r="AT493" s="55">
        <f>AQ493*F493</f>
        <v/>
      </c>
      <c r="AU493" s="55">
        <f>ROUNDUP(MAX(I493/IF(BS493&gt;0,BS493,MAX(0.1,N(Cockpit!$O$6))),BV493)/BN493,0)*BN493</f>
        <v/>
      </c>
      <c r="AV493" s="56">
        <f>IF(AS493&gt;0,I493/AS493,-1)</f>
        <v/>
      </c>
      <c r="AW493" s="56">
        <f>IF(AND(OR(BR493="L1",BR493="L23"),AS493&gt;0),SUMIFS($AS$7:$AS$1570,$BR$7:$BR$1570,BR493,$AV$7:$AV$1570,"&gt;"&amp;AV493)+SUMIFS($AS$7:$AS$1570,$BR$7:$BR$1570,BR493,$AV$7:$AV$1570,AV493,$BL$7:$BL$1570,"&lt;="&amp;BL493),"")</f>
        <v/>
      </c>
      <c r="AX493" s="65">
        <f>IF(AW493="",0,MAX(0,MIN(1,(IF(BR493="L1",Parameter!$K$5,Parameter!$K$6+Parameter!$K$7)-(AW493-AS493))/AS493)))</f>
        <v/>
      </c>
      <c r="AY493" s="53">
        <f>IF(AC493&lt;=0,"",IF(BR493="Aussen","Aussenlager",IF(BR493="-","Nicht im Lift",IF(AH493&gt;=1,"Lift",IF(AH493&lt;=0,"Aussenlager","teilweise")))))</f>
        <v/>
      </c>
      <c r="AZ493" s="53">
        <f>IF(AK493&lt;=0,"",IF(BR493="Aussen","Aussenlager",IF(BR493="-","Nicht im Lift",IF(AP493&gt;=1,"Lift",IF(AP493&lt;=0,"Aussenlager","teilweise")))))</f>
        <v/>
      </c>
      <c r="BA493" s="53">
        <f>IF(AS493&lt;=0,"",IF(BR493="Aussen","Aussenlager",IF(BR493="-","Nicht im Lift",IF(AX493&gt;=1,"Lift",IF(AX493&lt;=0,"Aussenlager","teilweise")))))</f>
        <v/>
      </c>
      <c r="BB493" s="53">
        <f>IF(A493="","",IF(BK493=1,"Neu; ","")&amp;IF(AND(BK493=0,BF493&lt;0),"negativer Bestand (Export "&amp;BF493&amp;"); ","")&amp;IF(I493&lt;=0,"Kein Verbrauch; ","")&amp;IF(BO493=1,"Lose – Fläche geschätzt; ","")&amp;IF(G493&gt;AM493,"Überbestand "&amp;ROUND(G493-AM493,0)&amp;" Stk / CHF "&amp;ROUND((G493-AM493)*F493,0)&amp;"; ","")&amp;IF(AND(BT493=1,BU493&lt;BV493),"MAX &lt; MB+LG; ","")&amp;IF(AND(BZ493&gt;0,BY493*10&gt;BZ493),"zu hoch für Tablar; ","")&amp;IF(AND(BK493=0,OR(BT493=1,V493&lt;&gt;"",S493&lt;&gt;"",T493&lt;&gt;"",W493&lt;&gt;"")),"manuell übersteuert; ","")&amp;IF(AND(BO493=0,Q493=0),"Gebinde unbekannt; ","")&amp;IF(AND(BO493=0,N(T493)&lt;=0,N(P493)&lt;=0),"Menge pro Gebinde fehlt (Ist = 1 Gebinde); ","")&amp;BJ493)</f>
        <v/>
      </c>
      <c r="BC493" s="53" t="n"/>
      <c r="BD493" s="53" t="n"/>
      <c r="BE493" s="61" t="n"/>
      <c r="BF493" s="55" t="n">
        <v>191</v>
      </c>
      <c r="BG493" s="55" t="n">
        <v>3500</v>
      </c>
      <c r="BH493" s="54" t="n">
        <v>40.73</v>
      </c>
      <c r="BI493" s="55" t="n">
        <v>100</v>
      </c>
      <c r="BJ493" s="53" t="inlineStr">
        <is>
          <t>Verb.Lager</t>
        </is>
      </c>
      <c r="BK493" s="58" t="n">
        <v>0</v>
      </c>
      <c r="BL493" s="58" t="n">
        <v>493</v>
      </c>
      <c r="BM493" s="53">
        <f>IF(S493&lt;&gt;"",UPPER(TRIM(S493)),IF(O493="","LOSE",O493))</f>
        <v/>
      </c>
      <c r="BN493" s="55">
        <f>IF(BM493="LOSE",1,IF(N(T493)&gt;0,T493,IF(N(P493)&gt;0,P493,MAX(1,G493))))</f>
        <v/>
      </c>
      <c r="BO493" s="58">
        <f>IF(BM493="LOSE",1,0)</f>
        <v/>
      </c>
      <c r="BP493" s="64">
        <f>IF(BO493=0,0,IF(N(R493)&gt;0,R493,IFERROR(VLOOKUP(D493,Parameter!$A$35:$C$64,3,0)+0,0)))</f>
        <v/>
      </c>
      <c r="BQ493" s="53">
        <f>IF(V493&lt;&gt;"",V493,U493)</f>
        <v/>
      </c>
      <c r="BR493" s="53">
        <f>IF(BQ493=1,"L1",IF(OR(BQ493=2,BQ493=3),"L23",IF(BQ493="Aussen","Aussen","-")))</f>
        <v/>
      </c>
      <c r="BS493" s="66">
        <f>IF(N(W493)&gt;0,W493,0)</f>
        <v/>
      </c>
      <c r="BT493" s="58">
        <f>IF(ISNUMBER(Z493),1,0)</f>
        <v/>
      </c>
      <c r="BU493" s="55">
        <f>N(Z493)</f>
        <v/>
      </c>
      <c r="BV493" s="55">
        <f>N(L493)+N(M493)</f>
        <v/>
      </c>
      <c r="BW493" s="55">
        <f>ROUNDUP(G493/BN493,0)</f>
        <v/>
      </c>
      <c r="BX493" s="55">
        <f>ROUNDUP(BU493/BN493,0)</f>
        <v/>
      </c>
      <c r="BY493" s="58">
        <f>IF(BO493=1,0,IFERROR(VLOOKUP(BM493,'Gebinde-Kategorie'!$A$5:$G$45,5,0)+0,0))</f>
        <v/>
      </c>
      <c r="BZ493" s="58">
        <f>IFERROR(IF(OR(BQ493=1,BQ493=2,BQ493=3),N(INDEX(Parameter!$I$5:$I$7,BQ493)),0),0)</f>
        <v/>
      </c>
    </row>
    <row r="494">
      <c r="A494" s="53" t="inlineStr">
        <is>
          <t>110867</t>
        </is>
      </c>
      <c r="B494" s="53" t="inlineStr">
        <is>
          <t>L-Adapter</t>
        </is>
      </c>
      <c r="C494" s="53" t="inlineStr">
        <is>
          <t>F</t>
        </is>
      </c>
      <c r="D494" s="53" t="inlineStr">
        <is>
          <t>KTL</t>
        </is>
      </c>
      <c r="E494" s="53" t="inlineStr">
        <is>
          <t>C</t>
        </is>
      </c>
      <c r="F494" s="54" t="n">
        <v>13.45</v>
      </c>
      <c r="G494" s="55">
        <f>MAX(0,IF(Parameter!$B$20="Jahresanfang 2025 + Export",BG494+BF494,BF494))</f>
        <v/>
      </c>
      <c r="H494" s="55">
        <f>G494*F494</f>
        <v/>
      </c>
      <c r="I494" s="55">
        <f>BI494*Parameter!$B$18</f>
        <v/>
      </c>
      <c r="J494" s="56" t="n">
        <v>3</v>
      </c>
      <c r="K494" s="57" t="n">
        <v>1.333333333333333</v>
      </c>
      <c r="L494" s="55" t="n">
        <v>0</v>
      </c>
      <c r="M494" s="55" t="n">
        <v>5</v>
      </c>
      <c r="N494" s="58" t="n">
        <v>14</v>
      </c>
      <c r="O494" s="53" t="inlineStr">
        <is>
          <t>S21</t>
        </is>
      </c>
      <c r="P494" s="55" t="n">
        <v>4</v>
      </c>
      <c r="Q494" s="59">
        <f>IF(BO494=1,0,IFERROR(VLOOKUP(BM494,'Gebinde-Kategorie'!$A$5:$G$45,6,0)+0,0))</f>
        <v/>
      </c>
      <c r="R494" s="60" t="n"/>
      <c r="S494" s="61" t="n"/>
      <c r="T494" s="61" t="n"/>
      <c r="U494" s="53">
        <f>IF(A494="","",IF(IFERROR(VLOOKUP(D494,Parameter!$A$35:$C$64,2,0),"Nein")="2+3",IF(ISNUMBER(SEARCH("grosser Artikel",BJ494)),2,IFERROR(VLOOKUP(BM494,Parameter!$F$35:$G$64,2,0),2)),IF(OR(IFERROR(VLOOKUP(D494,Parameter!$A$35:$C$64,2,0),"Nein")="Nein",IFERROR(VLOOKUP(D494,Parameter!$A$35:$C$64,2,0),"Nein")=""),"-",VLOOKUP(D494,Parameter!$A$35:$C$64,2,0))))</f>
        <v/>
      </c>
      <c r="V494" s="61" t="n"/>
      <c r="W494" s="62" t="n"/>
      <c r="X494" s="55">
        <f>AM494</f>
        <v/>
      </c>
      <c r="Y494" s="55">
        <f>MAX(AM494,G494)</f>
        <v/>
      </c>
      <c r="Z494" s="63" t="n"/>
      <c r="AA494" s="55">
        <f>IF(LEFT(Cockpit!$C$5,1)="A",G494,IF(BT494=1,BU494,IF(LEFT(Cockpit!$C$5,1)="B",AE494,MAX(AE494,G494))))</f>
        <v/>
      </c>
      <c r="AB494" s="55">
        <f>IF(BO494=1,0,ROUNDUP(AA494/BN494,0))</f>
        <v/>
      </c>
      <c r="AC494" s="64">
        <f>IF(BO494=1,IF(AA494&lt;=0,0,BP494*MAX(1,IF(G494&gt;0,AA494/G494,1))),AB494*Q494)</f>
        <v/>
      </c>
      <c r="AD494" s="55">
        <f>AA494*F494</f>
        <v/>
      </c>
      <c r="AE494" s="55">
        <f>ROUNDUP(MAX(I494/IF(BS494&gt;0,BS494,MAX(0.1,N(Cockpit!$C$6))),BV494)/BN494,0)*BN494</f>
        <v/>
      </c>
      <c r="AF494" s="56">
        <f>IF(AC494&gt;0,I494/AC494,-1)</f>
        <v/>
      </c>
      <c r="AG494" s="56">
        <f>IF(AND(OR(BR494="L1",BR494="L23"),AC494&gt;0),SUMIFS($AC$7:$AC$1570,$BR$7:$BR$1570,BR494,$AF$7:$AF$1570,"&gt;"&amp;AF494)+SUMIFS($AC$7:$AC$1570,$BR$7:$BR$1570,BR494,$AF$7:$AF$1570,AF494,$BL$7:$BL$1570,"&lt;="&amp;BL494),"")</f>
        <v/>
      </c>
      <c r="AH494" s="65">
        <f>IF(AG494="",0,MAX(0,MIN(1,(IF(BR494="L1",Parameter!$K$5,Parameter!$K$6+Parameter!$K$7)-(AG494-AC494))/AC494)))</f>
        <v/>
      </c>
      <c r="AI494" s="55">
        <f>IF(LEFT(Cockpit!$I$5,1)="A",G494,IF(BT494=1,BU494,IF(LEFT(Cockpit!$I$5,1)="B",AM494,MAX(AM494,G494))))</f>
        <v/>
      </c>
      <c r="AJ494" s="55">
        <f>IF(BO494=1,0,ROUNDUP(AI494/BN494,0))</f>
        <v/>
      </c>
      <c r="AK494" s="64">
        <f>IF(BO494=1,IF(AI494&lt;=0,0,BP494*MAX(1,IF(G494&gt;0,AI494/G494,1))),AJ494*Q494)</f>
        <v/>
      </c>
      <c r="AL494" s="55">
        <f>AI494*F494</f>
        <v/>
      </c>
      <c r="AM494" s="55">
        <f>ROUNDUP(MAX(I494/IF(BS494&gt;0,BS494,MAX(0.1,N(Cockpit!$I$6))),BV494)/BN494,0)*BN494</f>
        <v/>
      </c>
      <c r="AN494" s="56">
        <f>IF(AK494&gt;0,I494/AK494,-1)</f>
        <v/>
      </c>
      <c r="AO494" s="56">
        <f>IF(AND(OR(BR494="L1",BR494="L23"),AK494&gt;0),SUMIFS($AK$7:$AK$1570,$BR$7:$BR$1570,BR494,$AN$7:$AN$1570,"&gt;"&amp;AN494)+SUMIFS($AK$7:$AK$1570,$BR$7:$BR$1570,BR494,$AN$7:$AN$1570,AN494,$BL$7:$BL$1570,"&lt;="&amp;BL494),"")</f>
        <v/>
      </c>
      <c r="AP494" s="65">
        <f>IF(AO494="",0,MAX(0,MIN(1,(IF(BR494="L1",Parameter!$K$5,Parameter!$K$6+Parameter!$K$7)-(AO494-AK494))/AK494)))</f>
        <v/>
      </c>
      <c r="AQ494" s="55">
        <f>IF(LEFT(Cockpit!$O$5,1)="A",G494,IF(BT494=1,BU494,IF(LEFT(Cockpit!$O$5,1)="B",AU494,MAX(AU494,G494))))</f>
        <v/>
      </c>
      <c r="AR494" s="55">
        <f>IF(BO494=1,0,ROUNDUP(AQ494/BN494,0))</f>
        <v/>
      </c>
      <c r="AS494" s="64">
        <f>IF(BO494=1,IF(AQ494&lt;=0,0,BP494*MAX(1,IF(G494&gt;0,AQ494/G494,1))),AR494*Q494)</f>
        <v/>
      </c>
      <c r="AT494" s="55">
        <f>AQ494*F494</f>
        <v/>
      </c>
      <c r="AU494" s="55">
        <f>ROUNDUP(MAX(I494/IF(BS494&gt;0,BS494,MAX(0.1,N(Cockpit!$O$6))),BV494)/BN494,0)*BN494</f>
        <v/>
      </c>
      <c r="AV494" s="56">
        <f>IF(AS494&gt;0,I494/AS494,-1)</f>
        <v/>
      </c>
      <c r="AW494" s="56">
        <f>IF(AND(OR(BR494="L1",BR494="L23"),AS494&gt;0),SUMIFS($AS$7:$AS$1570,$BR$7:$BR$1570,BR494,$AV$7:$AV$1570,"&gt;"&amp;AV494)+SUMIFS($AS$7:$AS$1570,$BR$7:$BR$1570,BR494,$AV$7:$AV$1570,AV494,$BL$7:$BL$1570,"&lt;="&amp;BL494),"")</f>
        <v/>
      </c>
      <c r="AX494" s="65">
        <f>IF(AW494="",0,MAX(0,MIN(1,(IF(BR494="L1",Parameter!$K$5,Parameter!$K$6+Parameter!$K$7)-(AW494-AS494))/AS494)))</f>
        <v/>
      </c>
      <c r="AY494" s="53">
        <f>IF(AC494&lt;=0,"",IF(BR494="Aussen","Aussenlager",IF(BR494="-","Nicht im Lift",IF(AH494&gt;=1,"Lift",IF(AH494&lt;=0,"Aussenlager","teilweise")))))</f>
        <v/>
      </c>
      <c r="AZ494" s="53">
        <f>IF(AK494&lt;=0,"",IF(BR494="Aussen","Aussenlager",IF(BR494="-","Nicht im Lift",IF(AP494&gt;=1,"Lift",IF(AP494&lt;=0,"Aussenlager","teilweise")))))</f>
        <v/>
      </c>
      <c r="BA494" s="53">
        <f>IF(AS494&lt;=0,"",IF(BR494="Aussen","Aussenlager",IF(BR494="-","Nicht im Lift",IF(AX494&gt;=1,"Lift",IF(AX494&lt;=0,"Aussenlager","teilweise")))))</f>
        <v/>
      </c>
      <c r="BB494" s="53">
        <f>IF(A494="","",IF(BK494=1,"Neu; ","")&amp;IF(AND(BK494=0,BF494&lt;0),"negativer Bestand (Export "&amp;BF494&amp;"); ","")&amp;IF(I494&lt;=0,"Kein Verbrauch; ","")&amp;IF(BO494=1,"Lose – Fläche geschätzt; ","")&amp;IF(G494&gt;AM494,"Überbestand "&amp;ROUND(G494-AM494,0)&amp;" Stk / CHF "&amp;ROUND((G494-AM494)*F494,0)&amp;"; ","")&amp;IF(AND(BT494=1,BU494&lt;BV494),"MAX &lt; MB+LG; ","")&amp;IF(AND(BZ494&gt;0,BY494*10&gt;BZ494),"zu hoch für Tablar; ","")&amp;IF(AND(BK494=0,OR(BT494=1,V494&lt;&gt;"",S494&lt;&gt;"",T494&lt;&gt;"",W494&lt;&gt;"")),"manuell übersteuert; ","")&amp;IF(AND(BO494=0,Q494=0),"Gebinde unbekannt; ","")&amp;IF(AND(BO494=0,N(T494)&lt;=0,N(P494)&lt;=0),"Menge pro Gebinde fehlt (Ist = 1 Gebinde); ","")&amp;BJ494)</f>
        <v/>
      </c>
      <c r="BC494" s="53" t="n"/>
      <c r="BD494" s="53" t="n"/>
      <c r="BE494" s="61" t="n"/>
      <c r="BF494" s="55" t="n">
        <v>3</v>
      </c>
      <c r="BG494" s="55" t="n">
        <v>0</v>
      </c>
      <c r="BH494" s="54" t="n">
        <v>40.34999999999999</v>
      </c>
      <c r="BI494" s="55" t="n">
        <v>4</v>
      </c>
      <c r="BJ494" s="53" t="inlineStr"/>
      <c r="BK494" s="58" t="n">
        <v>0</v>
      </c>
      <c r="BL494" s="58" t="n">
        <v>494</v>
      </c>
      <c r="BM494" s="53">
        <f>IF(S494&lt;&gt;"",UPPER(TRIM(S494)),IF(O494="","LOSE",O494))</f>
        <v/>
      </c>
      <c r="BN494" s="55">
        <f>IF(BM494="LOSE",1,IF(N(T494)&gt;0,T494,IF(N(P494)&gt;0,P494,MAX(1,G494))))</f>
        <v/>
      </c>
      <c r="BO494" s="58">
        <f>IF(BM494="LOSE",1,0)</f>
        <v/>
      </c>
      <c r="BP494" s="64">
        <f>IF(BO494=0,0,IF(N(R494)&gt;0,R494,IFERROR(VLOOKUP(D494,Parameter!$A$35:$C$64,3,0)+0,0)))</f>
        <v/>
      </c>
      <c r="BQ494" s="53">
        <f>IF(V494&lt;&gt;"",V494,U494)</f>
        <v/>
      </c>
      <c r="BR494" s="53">
        <f>IF(BQ494=1,"L1",IF(OR(BQ494=2,BQ494=3),"L23",IF(BQ494="Aussen","Aussen","-")))</f>
        <v/>
      </c>
      <c r="BS494" s="66">
        <f>IF(N(W494)&gt;0,W494,0)</f>
        <v/>
      </c>
      <c r="BT494" s="58">
        <f>IF(ISNUMBER(Z494),1,0)</f>
        <v/>
      </c>
      <c r="BU494" s="55">
        <f>N(Z494)</f>
        <v/>
      </c>
      <c r="BV494" s="55">
        <f>N(L494)+N(M494)</f>
        <v/>
      </c>
      <c r="BW494" s="55">
        <f>ROUNDUP(G494/BN494,0)</f>
        <v/>
      </c>
      <c r="BX494" s="55">
        <f>ROUNDUP(BU494/BN494,0)</f>
        <v/>
      </c>
      <c r="BY494" s="58">
        <f>IF(BO494=1,0,IFERROR(VLOOKUP(BM494,'Gebinde-Kategorie'!$A$5:$G$45,5,0)+0,0))</f>
        <v/>
      </c>
      <c r="BZ494" s="58">
        <f>IFERROR(IF(OR(BQ494=1,BQ494=2,BQ494=3),N(INDEX(Parameter!$I$5:$I$7,BQ494)),0),0)</f>
        <v/>
      </c>
    </row>
    <row r="495">
      <c r="A495" s="53" t="inlineStr">
        <is>
          <t>002008</t>
        </is>
      </c>
      <c r="B495" s="53" t="inlineStr">
        <is>
          <t>Schraubenzieher flach</t>
        </is>
      </c>
      <c r="C495" s="53" t="inlineStr">
        <is>
          <t>F</t>
        </is>
      </c>
      <c r="D495" s="53" t="inlineStr">
        <is>
          <t>KTL</t>
        </is>
      </c>
      <c r="E495" s="53" t="inlineStr">
        <is>
          <t>C</t>
        </is>
      </c>
      <c r="F495" s="54" t="n">
        <v>5.09</v>
      </c>
      <c r="G495" s="55">
        <f>MAX(0,IF(Parameter!$B$20="Jahresanfang 2025 + Export",BG495+BF495,BF495))</f>
        <v/>
      </c>
      <c r="H495" s="55">
        <f>G495*F495</f>
        <v/>
      </c>
      <c r="I495" s="55">
        <f>BI495*Parameter!$B$18</f>
        <v/>
      </c>
      <c r="J495" s="56" t="n">
        <v>4</v>
      </c>
      <c r="K495" s="57" t="n">
        <v>1.5</v>
      </c>
      <c r="L495" s="55" t="n">
        <v>0</v>
      </c>
      <c r="M495" s="55" t="n">
        <v>10</v>
      </c>
      <c r="N495" s="58" t="n">
        <v>30</v>
      </c>
      <c r="O495" s="53" t="inlineStr">
        <is>
          <t>S32</t>
        </is>
      </c>
      <c r="P495" s="55" t="n">
        <v>6</v>
      </c>
      <c r="Q495" s="59">
        <f>IF(BO495=1,0,IFERROR(VLOOKUP(BM495,'Gebinde-Kategorie'!$A$5:$G$45,6,0)+0,0))</f>
        <v/>
      </c>
      <c r="R495" s="60" t="n"/>
      <c r="S495" s="61" t="n"/>
      <c r="T495" s="61" t="n"/>
      <c r="U495" s="53">
        <f>IF(A495="","",IF(IFERROR(VLOOKUP(D495,Parameter!$A$35:$C$64,2,0),"Nein")="2+3",IF(ISNUMBER(SEARCH("grosser Artikel",BJ495)),2,IFERROR(VLOOKUP(BM495,Parameter!$F$35:$G$64,2,0),2)),IF(OR(IFERROR(VLOOKUP(D495,Parameter!$A$35:$C$64,2,0),"Nein")="Nein",IFERROR(VLOOKUP(D495,Parameter!$A$35:$C$64,2,0),"Nein")=""),"-",VLOOKUP(D495,Parameter!$A$35:$C$64,2,0))))</f>
        <v/>
      </c>
      <c r="V495" s="61" t="n"/>
      <c r="W495" s="62" t="n"/>
      <c r="X495" s="55">
        <f>AM495</f>
        <v/>
      </c>
      <c r="Y495" s="55">
        <f>MAX(AM495,G495)</f>
        <v/>
      </c>
      <c r="Z495" s="63" t="n"/>
      <c r="AA495" s="55">
        <f>IF(LEFT(Cockpit!$C$5,1)="A",G495,IF(BT495=1,BU495,IF(LEFT(Cockpit!$C$5,1)="B",AE495,MAX(AE495,G495))))</f>
        <v/>
      </c>
      <c r="AB495" s="55">
        <f>IF(BO495=1,0,ROUNDUP(AA495/BN495,0))</f>
        <v/>
      </c>
      <c r="AC495" s="64">
        <f>IF(BO495=1,IF(AA495&lt;=0,0,BP495*MAX(1,IF(G495&gt;0,AA495/G495,1))),AB495*Q495)</f>
        <v/>
      </c>
      <c r="AD495" s="55">
        <f>AA495*F495</f>
        <v/>
      </c>
      <c r="AE495" s="55">
        <f>ROUNDUP(MAX(I495/IF(BS495&gt;0,BS495,MAX(0.1,N(Cockpit!$C$6))),BV495)/BN495,0)*BN495</f>
        <v/>
      </c>
      <c r="AF495" s="56">
        <f>IF(AC495&gt;0,I495/AC495,-1)</f>
        <v/>
      </c>
      <c r="AG495" s="56">
        <f>IF(AND(OR(BR495="L1",BR495="L23"),AC495&gt;0),SUMIFS($AC$7:$AC$1570,$BR$7:$BR$1570,BR495,$AF$7:$AF$1570,"&gt;"&amp;AF495)+SUMIFS($AC$7:$AC$1570,$BR$7:$BR$1570,BR495,$AF$7:$AF$1570,AF495,$BL$7:$BL$1570,"&lt;="&amp;BL495),"")</f>
        <v/>
      </c>
      <c r="AH495" s="65">
        <f>IF(AG495="",0,MAX(0,MIN(1,(IF(BR495="L1",Parameter!$K$5,Parameter!$K$6+Parameter!$K$7)-(AG495-AC495))/AC495)))</f>
        <v/>
      </c>
      <c r="AI495" s="55">
        <f>IF(LEFT(Cockpit!$I$5,1)="A",G495,IF(BT495=1,BU495,IF(LEFT(Cockpit!$I$5,1)="B",AM495,MAX(AM495,G495))))</f>
        <v/>
      </c>
      <c r="AJ495" s="55">
        <f>IF(BO495=1,0,ROUNDUP(AI495/BN495,0))</f>
        <v/>
      </c>
      <c r="AK495" s="64">
        <f>IF(BO495=1,IF(AI495&lt;=0,0,BP495*MAX(1,IF(G495&gt;0,AI495/G495,1))),AJ495*Q495)</f>
        <v/>
      </c>
      <c r="AL495" s="55">
        <f>AI495*F495</f>
        <v/>
      </c>
      <c r="AM495" s="55">
        <f>ROUNDUP(MAX(I495/IF(BS495&gt;0,BS495,MAX(0.1,N(Cockpit!$I$6))),BV495)/BN495,0)*BN495</f>
        <v/>
      </c>
      <c r="AN495" s="56">
        <f>IF(AK495&gt;0,I495/AK495,-1)</f>
        <v/>
      </c>
      <c r="AO495" s="56">
        <f>IF(AND(OR(BR495="L1",BR495="L23"),AK495&gt;0),SUMIFS($AK$7:$AK$1570,$BR$7:$BR$1570,BR495,$AN$7:$AN$1570,"&gt;"&amp;AN495)+SUMIFS($AK$7:$AK$1570,$BR$7:$BR$1570,BR495,$AN$7:$AN$1570,AN495,$BL$7:$BL$1570,"&lt;="&amp;BL495),"")</f>
        <v/>
      </c>
      <c r="AP495" s="65">
        <f>IF(AO495="",0,MAX(0,MIN(1,(IF(BR495="L1",Parameter!$K$5,Parameter!$K$6+Parameter!$K$7)-(AO495-AK495))/AK495)))</f>
        <v/>
      </c>
      <c r="AQ495" s="55">
        <f>IF(LEFT(Cockpit!$O$5,1)="A",G495,IF(BT495=1,BU495,IF(LEFT(Cockpit!$O$5,1)="B",AU495,MAX(AU495,G495))))</f>
        <v/>
      </c>
      <c r="AR495" s="55">
        <f>IF(BO495=1,0,ROUNDUP(AQ495/BN495,0))</f>
        <v/>
      </c>
      <c r="AS495" s="64">
        <f>IF(BO495=1,IF(AQ495&lt;=0,0,BP495*MAX(1,IF(G495&gt;0,AQ495/G495,1))),AR495*Q495)</f>
        <v/>
      </c>
      <c r="AT495" s="55">
        <f>AQ495*F495</f>
        <v/>
      </c>
      <c r="AU495" s="55">
        <f>ROUNDUP(MAX(I495/IF(BS495&gt;0,BS495,MAX(0.1,N(Cockpit!$O$6))),BV495)/BN495,0)*BN495</f>
        <v/>
      </c>
      <c r="AV495" s="56">
        <f>IF(AS495&gt;0,I495/AS495,-1)</f>
        <v/>
      </c>
      <c r="AW495" s="56">
        <f>IF(AND(OR(BR495="L1",BR495="L23"),AS495&gt;0),SUMIFS($AS$7:$AS$1570,$BR$7:$BR$1570,BR495,$AV$7:$AV$1570,"&gt;"&amp;AV495)+SUMIFS($AS$7:$AS$1570,$BR$7:$BR$1570,BR495,$AV$7:$AV$1570,AV495,$BL$7:$BL$1570,"&lt;="&amp;BL495),"")</f>
        <v/>
      </c>
      <c r="AX495" s="65">
        <f>IF(AW495="",0,MAX(0,MIN(1,(IF(BR495="L1",Parameter!$K$5,Parameter!$K$6+Parameter!$K$7)-(AW495-AS495))/AS495)))</f>
        <v/>
      </c>
      <c r="AY495" s="53">
        <f>IF(AC495&lt;=0,"",IF(BR495="Aussen","Aussenlager",IF(BR495="-","Nicht im Lift",IF(AH495&gt;=1,"Lift",IF(AH495&lt;=0,"Aussenlager","teilweise")))))</f>
        <v/>
      </c>
      <c r="AZ495" s="53">
        <f>IF(AK495&lt;=0,"",IF(BR495="Aussen","Aussenlager",IF(BR495="-","Nicht im Lift",IF(AP495&gt;=1,"Lift",IF(AP495&lt;=0,"Aussenlager","teilweise")))))</f>
        <v/>
      </c>
      <c r="BA495" s="53">
        <f>IF(AS495&lt;=0,"",IF(BR495="Aussen","Aussenlager",IF(BR495="-","Nicht im Lift",IF(AX495&gt;=1,"Lift",IF(AX495&lt;=0,"Aussenlager","teilweise")))))</f>
        <v/>
      </c>
      <c r="BB495" s="53">
        <f>IF(A495="","",IF(BK495=1,"Neu; ","")&amp;IF(AND(BK495=0,BF495&lt;0),"negativer Bestand (Export "&amp;BF495&amp;"); ","")&amp;IF(I495&lt;=0,"Kein Verbrauch; ","")&amp;IF(BO495=1,"Lose – Fläche geschätzt; ","")&amp;IF(G495&gt;AM495,"Überbestand "&amp;ROUND(G495-AM495,0)&amp;" Stk / CHF "&amp;ROUND((G495-AM495)*F495,0)&amp;"; ","")&amp;IF(AND(BT495=1,BU495&lt;BV495),"MAX &lt; MB+LG; ","")&amp;IF(AND(BZ495&gt;0,BY495*10&gt;BZ495),"zu hoch für Tablar; ","")&amp;IF(AND(BK495=0,OR(BT495=1,V495&lt;&gt;"",S495&lt;&gt;"",T495&lt;&gt;"",W495&lt;&gt;"")),"manuell übersteuert; ","")&amp;IF(AND(BO495=0,Q495=0),"Gebinde unbekannt; ","")&amp;IF(AND(BO495=0,N(T495)&lt;=0,N(P495)&lt;=0),"Menge pro Gebinde fehlt (Ist = 1 Gebinde); ","")&amp;BJ495)</f>
        <v/>
      </c>
      <c r="BC495" s="53" t="n"/>
      <c r="BD495" s="53" t="n"/>
      <c r="BE495" s="61" t="n"/>
      <c r="BF495" s="55" t="n">
        <v>8</v>
      </c>
      <c r="BG495" s="55" t="n">
        <v>3</v>
      </c>
      <c r="BH495" s="54" t="n">
        <v>40.18000000000001</v>
      </c>
      <c r="BI495" s="55" t="n">
        <v>6</v>
      </c>
      <c r="BJ495" s="53" t="inlineStr"/>
      <c r="BK495" s="58" t="n">
        <v>0</v>
      </c>
      <c r="BL495" s="58" t="n">
        <v>495</v>
      </c>
      <c r="BM495" s="53">
        <f>IF(S495&lt;&gt;"",UPPER(TRIM(S495)),IF(O495="","LOSE",O495))</f>
        <v/>
      </c>
      <c r="BN495" s="55">
        <f>IF(BM495="LOSE",1,IF(N(T495)&gt;0,T495,IF(N(P495)&gt;0,P495,MAX(1,G495))))</f>
        <v/>
      </c>
      <c r="BO495" s="58">
        <f>IF(BM495="LOSE",1,0)</f>
        <v/>
      </c>
      <c r="BP495" s="64">
        <f>IF(BO495=0,0,IF(N(R495)&gt;0,R495,IFERROR(VLOOKUP(D495,Parameter!$A$35:$C$64,3,0)+0,0)))</f>
        <v/>
      </c>
      <c r="BQ495" s="53">
        <f>IF(V495&lt;&gt;"",V495,U495)</f>
        <v/>
      </c>
      <c r="BR495" s="53">
        <f>IF(BQ495=1,"L1",IF(OR(BQ495=2,BQ495=3),"L23",IF(BQ495="Aussen","Aussen","-")))</f>
        <v/>
      </c>
      <c r="BS495" s="66">
        <f>IF(N(W495)&gt;0,W495,0)</f>
        <v/>
      </c>
      <c r="BT495" s="58">
        <f>IF(ISNUMBER(Z495),1,0)</f>
        <v/>
      </c>
      <c r="BU495" s="55">
        <f>N(Z495)</f>
        <v/>
      </c>
      <c r="BV495" s="55">
        <f>N(L495)+N(M495)</f>
        <v/>
      </c>
      <c r="BW495" s="55">
        <f>ROUNDUP(G495/BN495,0)</f>
        <v/>
      </c>
      <c r="BX495" s="55">
        <f>ROUNDUP(BU495/BN495,0)</f>
        <v/>
      </c>
      <c r="BY495" s="58">
        <f>IF(BO495=1,0,IFERROR(VLOOKUP(BM495,'Gebinde-Kategorie'!$A$5:$G$45,5,0)+0,0))</f>
        <v/>
      </c>
      <c r="BZ495" s="58">
        <f>IFERROR(IF(OR(BQ495=1,BQ495=2,BQ495=3),N(INDEX(Parameter!$I$5:$I$7,BQ495)),0),0)</f>
        <v/>
      </c>
    </row>
    <row r="496">
      <c r="A496" s="53" t="inlineStr">
        <is>
          <t>104265</t>
        </is>
      </c>
      <c r="B496" s="53" t="inlineStr">
        <is>
          <t>Befestigungsring</t>
        </is>
      </c>
      <c r="C496" s="53" t="inlineStr">
        <is>
          <t>F</t>
        </is>
      </c>
      <c r="D496" s="53" t="inlineStr">
        <is>
          <t>KTL</t>
        </is>
      </c>
      <c r="E496" s="53" t="inlineStr">
        <is>
          <t>C</t>
        </is>
      </c>
      <c r="F496" s="54" t="n">
        <v>32.17</v>
      </c>
      <c r="G496" s="55">
        <f>MAX(0,IF(Parameter!$B$20="Jahresanfang 2025 + Export",BG496+BF496,BF496))</f>
        <v/>
      </c>
      <c r="H496" s="55">
        <f>G496*F496</f>
        <v/>
      </c>
      <c r="I496" s="55">
        <f>BI496*Parameter!$B$18</f>
        <v/>
      </c>
      <c r="J496" s="56" t="n">
        <v>5.5</v>
      </c>
      <c r="K496" s="57" t="n">
        <v>1.454545454545455</v>
      </c>
      <c r="L496" s="55" t="n">
        <v>0</v>
      </c>
      <c r="M496" s="55" t="n">
        <v>10</v>
      </c>
      <c r="N496" s="58" t="n">
        <v>28</v>
      </c>
      <c r="O496" s="53" t="inlineStr">
        <is>
          <t>S41</t>
        </is>
      </c>
      <c r="P496" s="55" t="n">
        <v>14</v>
      </c>
      <c r="Q496" s="59">
        <f>IF(BO496=1,0,IFERROR(VLOOKUP(BM496,'Gebinde-Kategorie'!$A$5:$G$45,6,0)+0,0))</f>
        <v/>
      </c>
      <c r="R496" s="60" t="n"/>
      <c r="S496" s="61" t="n"/>
      <c r="T496" s="61" t="n"/>
      <c r="U496" s="53">
        <f>IF(A496="","",IF(IFERROR(VLOOKUP(D496,Parameter!$A$35:$C$64,2,0),"Nein")="2+3",IF(ISNUMBER(SEARCH("grosser Artikel",BJ496)),2,IFERROR(VLOOKUP(BM496,Parameter!$F$35:$G$64,2,0),2)),IF(OR(IFERROR(VLOOKUP(D496,Parameter!$A$35:$C$64,2,0),"Nein")="Nein",IFERROR(VLOOKUP(D496,Parameter!$A$35:$C$64,2,0),"Nein")=""),"-",VLOOKUP(D496,Parameter!$A$35:$C$64,2,0))))</f>
        <v/>
      </c>
      <c r="V496" s="61" t="n"/>
      <c r="W496" s="62" t="n"/>
      <c r="X496" s="55">
        <f>AM496</f>
        <v/>
      </c>
      <c r="Y496" s="55">
        <f>MAX(AM496,G496)</f>
        <v/>
      </c>
      <c r="Z496" s="63" t="n"/>
      <c r="AA496" s="55">
        <f>IF(LEFT(Cockpit!$C$5,1)="A",G496,IF(BT496=1,BU496,IF(LEFT(Cockpit!$C$5,1)="B",AE496,MAX(AE496,G496))))</f>
        <v/>
      </c>
      <c r="AB496" s="55">
        <f>IF(BO496=1,0,ROUNDUP(AA496/BN496,0))</f>
        <v/>
      </c>
      <c r="AC496" s="64">
        <f>IF(BO496=1,IF(AA496&lt;=0,0,BP496*MAX(1,IF(G496&gt;0,AA496/G496,1))),AB496*Q496)</f>
        <v/>
      </c>
      <c r="AD496" s="55">
        <f>AA496*F496</f>
        <v/>
      </c>
      <c r="AE496" s="55">
        <f>ROUNDUP(MAX(I496/IF(BS496&gt;0,BS496,MAX(0.1,N(Cockpit!$C$6))),BV496)/BN496,0)*BN496</f>
        <v/>
      </c>
      <c r="AF496" s="56">
        <f>IF(AC496&gt;0,I496/AC496,-1)</f>
        <v/>
      </c>
      <c r="AG496" s="56">
        <f>IF(AND(OR(BR496="L1",BR496="L23"),AC496&gt;0),SUMIFS($AC$7:$AC$1570,$BR$7:$BR$1570,BR496,$AF$7:$AF$1570,"&gt;"&amp;AF496)+SUMIFS($AC$7:$AC$1570,$BR$7:$BR$1570,BR496,$AF$7:$AF$1570,AF496,$BL$7:$BL$1570,"&lt;="&amp;BL496),"")</f>
        <v/>
      </c>
      <c r="AH496" s="65">
        <f>IF(AG496="",0,MAX(0,MIN(1,(IF(BR496="L1",Parameter!$K$5,Parameter!$K$6+Parameter!$K$7)-(AG496-AC496))/AC496)))</f>
        <v/>
      </c>
      <c r="AI496" s="55">
        <f>IF(LEFT(Cockpit!$I$5,1)="A",G496,IF(BT496=1,BU496,IF(LEFT(Cockpit!$I$5,1)="B",AM496,MAX(AM496,G496))))</f>
        <v/>
      </c>
      <c r="AJ496" s="55">
        <f>IF(BO496=1,0,ROUNDUP(AI496/BN496,0))</f>
        <v/>
      </c>
      <c r="AK496" s="64">
        <f>IF(BO496=1,IF(AI496&lt;=0,0,BP496*MAX(1,IF(G496&gt;0,AI496/G496,1))),AJ496*Q496)</f>
        <v/>
      </c>
      <c r="AL496" s="55">
        <f>AI496*F496</f>
        <v/>
      </c>
      <c r="AM496" s="55">
        <f>ROUNDUP(MAX(I496/IF(BS496&gt;0,BS496,MAX(0.1,N(Cockpit!$I$6))),BV496)/BN496,0)*BN496</f>
        <v/>
      </c>
      <c r="AN496" s="56">
        <f>IF(AK496&gt;0,I496/AK496,-1)</f>
        <v/>
      </c>
      <c r="AO496" s="56">
        <f>IF(AND(OR(BR496="L1",BR496="L23"),AK496&gt;0),SUMIFS($AK$7:$AK$1570,$BR$7:$BR$1570,BR496,$AN$7:$AN$1570,"&gt;"&amp;AN496)+SUMIFS($AK$7:$AK$1570,$BR$7:$BR$1570,BR496,$AN$7:$AN$1570,AN496,$BL$7:$BL$1570,"&lt;="&amp;BL496),"")</f>
        <v/>
      </c>
      <c r="AP496" s="65">
        <f>IF(AO496="",0,MAX(0,MIN(1,(IF(BR496="L1",Parameter!$K$5,Parameter!$K$6+Parameter!$K$7)-(AO496-AK496))/AK496)))</f>
        <v/>
      </c>
      <c r="AQ496" s="55">
        <f>IF(LEFT(Cockpit!$O$5,1)="A",G496,IF(BT496=1,BU496,IF(LEFT(Cockpit!$O$5,1)="B",AU496,MAX(AU496,G496))))</f>
        <v/>
      </c>
      <c r="AR496" s="55">
        <f>IF(BO496=1,0,ROUNDUP(AQ496/BN496,0))</f>
        <v/>
      </c>
      <c r="AS496" s="64">
        <f>IF(BO496=1,IF(AQ496&lt;=0,0,BP496*MAX(1,IF(G496&gt;0,AQ496/G496,1))),AR496*Q496)</f>
        <v/>
      </c>
      <c r="AT496" s="55">
        <f>AQ496*F496</f>
        <v/>
      </c>
      <c r="AU496" s="55">
        <f>ROUNDUP(MAX(I496/IF(BS496&gt;0,BS496,MAX(0.1,N(Cockpit!$O$6))),BV496)/BN496,0)*BN496</f>
        <v/>
      </c>
      <c r="AV496" s="56">
        <f>IF(AS496&gt;0,I496/AS496,-1)</f>
        <v/>
      </c>
      <c r="AW496" s="56">
        <f>IF(AND(OR(BR496="L1",BR496="L23"),AS496&gt;0),SUMIFS($AS$7:$AS$1570,$BR$7:$BR$1570,BR496,$AV$7:$AV$1570,"&gt;"&amp;AV496)+SUMIFS($AS$7:$AS$1570,$BR$7:$BR$1570,BR496,$AV$7:$AV$1570,AV496,$BL$7:$BL$1570,"&lt;="&amp;BL496),"")</f>
        <v/>
      </c>
      <c r="AX496" s="65">
        <f>IF(AW496="",0,MAX(0,MIN(1,(IF(BR496="L1",Parameter!$K$5,Parameter!$K$6+Parameter!$K$7)-(AW496-AS496))/AS496)))</f>
        <v/>
      </c>
      <c r="AY496" s="53">
        <f>IF(AC496&lt;=0,"",IF(BR496="Aussen","Aussenlager",IF(BR496="-","Nicht im Lift",IF(AH496&gt;=1,"Lift",IF(AH496&lt;=0,"Aussenlager","teilweise")))))</f>
        <v/>
      </c>
      <c r="AZ496" s="53">
        <f>IF(AK496&lt;=0,"",IF(BR496="Aussen","Aussenlager",IF(BR496="-","Nicht im Lift",IF(AP496&gt;=1,"Lift",IF(AP496&lt;=0,"Aussenlager","teilweise")))))</f>
        <v/>
      </c>
      <c r="BA496" s="53">
        <f>IF(AS496&lt;=0,"",IF(BR496="Aussen","Aussenlager",IF(BR496="-","Nicht im Lift",IF(AX496&gt;=1,"Lift",IF(AX496&lt;=0,"Aussenlager","teilweise")))))</f>
        <v/>
      </c>
      <c r="BB496" s="53">
        <f>IF(A496="","",IF(BK496=1,"Neu; ","")&amp;IF(AND(BK496=0,BF496&lt;0),"negativer Bestand (Export "&amp;BF496&amp;"); ","")&amp;IF(I496&lt;=0,"Kein Verbrauch; ","")&amp;IF(BO496=1,"Lose – Fläche geschätzt; ","")&amp;IF(G496&gt;AM496,"Überbestand "&amp;ROUND(G496-AM496,0)&amp;" Stk / CHF "&amp;ROUND((G496-AM496)*F496,0)&amp;"; ","")&amp;IF(AND(BT496=1,BU496&lt;BV496),"MAX &lt; MB+LG; ","")&amp;IF(AND(BZ496&gt;0,BY496*10&gt;BZ496),"zu hoch für Tablar; ","")&amp;IF(AND(BK496=0,OR(BT496=1,V496&lt;&gt;"",S496&lt;&gt;"",T496&lt;&gt;"",W496&lt;&gt;"")),"manuell übersteuert; ","")&amp;IF(AND(BO496=0,Q496=0),"Gebinde unbekannt; ","")&amp;IF(AND(BO496=0,N(T496)&lt;=0,N(P496)&lt;=0),"Menge pro Gebinde fehlt (Ist = 1 Gebinde); ","")&amp;BJ496)</f>
        <v/>
      </c>
      <c r="BC496" s="53" t="n"/>
      <c r="BD496" s="53" t="n"/>
      <c r="BE496" s="61" t="n"/>
      <c r="BF496" s="55" t="n">
        <v>-1</v>
      </c>
      <c r="BG496" s="55" t="n">
        <v>5</v>
      </c>
      <c r="BH496" s="54" t="n">
        <v>39.67999999999998</v>
      </c>
      <c r="BI496" s="55" t="n">
        <v>8</v>
      </c>
      <c r="BJ496" s="53" t="inlineStr"/>
      <c r="BK496" s="58" t="n">
        <v>0</v>
      </c>
      <c r="BL496" s="58" t="n">
        <v>496</v>
      </c>
      <c r="BM496" s="53">
        <f>IF(S496&lt;&gt;"",UPPER(TRIM(S496)),IF(O496="","LOSE",O496))</f>
        <v/>
      </c>
      <c r="BN496" s="55">
        <f>IF(BM496="LOSE",1,IF(N(T496)&gt;0,T496,IF(N(P496)&gt;0,P496,MAX(1,G496))))</f>
        <v/>
      </c>
      <c r="BO496" s="58">
        <f>IF(BM496="LOSE",1,0)</f>
        <v/>
      </c>
      <c r="BP496" s="64">
        <f>IF(BO496=0,0,IF(N(R496)&gt;0,R496,IFERROR(VLOOKUP(D496,Parameter!$A$35:$C$64,3,0)+0,0)))</f>
        <v/>
      </c>
      <c r="BQ496" s="53">
        <f>IF(V496&lt;&gt;"",V496,U496)</f>
        <v/>
      </c>
      <c r="BR496" s="53">
        <f>IF(BQ496=1,"L1",IF(OR(BQ496=2,BQ496=3),"L23",IF(BQ496="Aussen","Aussen","-")))</f>
        <v/>
      </c>
      <c r="BS496" s="66">
        <f>IF(N(W496)&gt;0,W496,0)</f>
        <v/>
      </c>
      <c r="BT496" s="58">
        <f>IF(ISNUMBER(Z496),1,0)</f>
        <v/>
      </c>
      <c r="BU496" s="55">
        <f>N(Z496)</f>
        <v/>
      </c>
      <c r="BV496" s="55">
        <f>N(L496)+N(M496)</f>
        <v/>
      </c>
      <c r="BW496" s="55">
        <f>ROUNDUP(G496/BN496,0)</f>
        <v/>
      </c>
      <c r="BX496" s="55">
        <f>ROUNDUP(BU496/BN496,0)</f>
        <v/>
      </c>
      <c r="BY496" s="58">
        <f>IF(BO496=1,0,IFERROR(VLOOKUP(BM496,'Gebinde-Kategorie'!$A$5:$G$45,5,0)+0,0))</f>
        <v/>
      </c>
      <c r="BZ496" s="58">
        <f>IFERROR(IF(OR(BQ496=1,BQ496=2,BQ496=3),N(INDEX(Parameter!$I$5:$I$7,BQ496)),0),0)</f>
        <v/>
      </c>
    </row>
    <row r="497">
      <c r="A497" s="53" t="inlineStr">
        <is>
          <t>110871</t>
        </is>
      </c>
      <c r="B497" s="53" t="inlineStr">
        <is>
          <t>Winkelverschraubung</t>
        </is>
      </c>
      <c r="C497" s="53" t="inlineStr">
        <is>
          <t>F</t>
        </is>
      </c>
      <c r="D497" s="53" t="inlineStr">
        <is>
          <t>KTL</t>
        </is>
      </c>
      <c r="E497" s="53" t="inlineStr">
        <is>
          <t>C</t>
        </is>
      </c>
      <c r="F497" s="54" t="n">
        <v>7.55</v>
      </c>
      <c r="G497" s="55">
        <f>MAX(0,IF(Parameter!$B$20="Jahresanfang 2025 + Export",BG497+BF497,BF497))</f>
        <v/>
      </c>
      <c r="H497" s="55">
        <f>G497*F497</f>
        <v/>
      </c>
      <c r="I497" s="55">
        <f>BI497*Parameter!$B$18</f>
        <v/>
      </c>
      <c r="J497" s="56" t="n">
        <v>1.5</v>
      </c>
      <c r="K497" s="57" t="n">
        <v>1.333333333333333</v>
      </c>
      <c r="L497" s="55" t="n">
        <v>0</v>
      </c>
      <c r="M497" s="55" t="n">
        <v>1</v>
      </c>
      <c r="N497" s="58" t="n">
        <v>14</v>
      </c>
      <c r="O497" s="53" t="inlineStr">
        <is>
          <t>S21</t>
        </is>
      </c>
      <c r="P497" s="55" t="n">
        <v>5</v>
      </c>
      <c r="Q497" s="59">
        <f>IF(BO497=1,0,IFERROR(VLOOKUP(BM497,'Gebinde-Kategorie'!$A$5:$G$45,6,0)+0,0))</f>
        <v/>
      </c>
      <c r="R497" s="60" t="n"/>
      <c r="S497" s="61" t="n"/>
      <c r="T497" s="61" t="n"/>
      <c r="U497" s="53">
        <f>IF(A497="","",IF(IFERROR(VLOOKUP(D497,Parameter!$A$35:$C$64,2,0),"Nein")="2+3",IF(ISNUMBER(SEARCH("grosser Artikel",BJ497)),2,IFERROR(VLOOKUP(BM497,Parameter!$F$35:$G$64,2,0),2)),IF(OR(IFERROR(VLOOKUP(D497,Parameter!$A$35:$C$64,2,0),"Nein")="Nein",IFERROR(VLOOKUP(D497,Parameter!$A$35:$C$64,2,0),"Nein")=""),"-",VLOOKUP(D497,Parameter!$A$35:$C$64,2,0))))</f>
        <v/>
      </c>
      <c r="V497" s="61" t="n"/>
      <c r="W497" s="62" t="n"/>
      <c r="X497" s="55">
        <f>AM497</f>
        <v/>
      </c>
      <c r="Y497" s="55">
        <f>MAX(AM497,G497)</f>
        <v/>
      </c>
      <c r="Z497" s="63" t="n"/>
      <c r="AA497" s="55">
        <f>IF(LEFT(Cockpit!$C$5,1)="A",G497,IF(BT497=1,BU497,IF(LEFT(Cockpit!$C$5,1)="B",AE497,MAX(AE497,G497))))</f>
        <v/>
      </c>
      <c r="AB497" s="55">
        <f>IF(BO497=1,0,ROUNDUP(AA497/BN497,0))</f>
        <v/>
      </c>
      <c r="AC497" s="64">
        <f>IF(BO497=1,IF(AA497&lt;=0,0,BP497*MAX(1,IF(G497&gt;0,AA497/G497,1))),AB497*Q497)</f>
        <v/>
      </c>
      <c r="AD497" s="55">
        <f>AA497*F497</f>
        <v/>
      </c>
      <c r="AE497" s="55">
        <f>ROUNDUP(MAX(I497/IF(BS497&gt;0,BS497,MAX(0.1,N(Cockpit!$C$6))),BV497)/BN497,0)*BN497</f>
        <v/>
      </c>
      <c r="AF497" s="56">
        <f>IF(AC497&gt;0,I497/AC497,-1)</f>
        <v/>
      </c>
      <c r="AG497" s="56">
        <f>IF(AND(OR(BR497="L1",BR497="L23"),AC497&gt;0),SUMIFS($AC$7:$AC$1570,$BR$7:$BR$1570,BR497,$AF$7:$AF$1570,"&gt;"&amp;AF497)+SUMIFS($AC$7:$AC$1570,$BR$7:$BR$1570,BR497,$AF$7:$AF$1570,AF497,$BL$7:$BL$1570,"&lt;="&amp;BL497),"")</f>
        <v/>
      </c>
      <c r="AH497" s="65">
        <f>IF(AG497="",0,MAX(0,MIN(1,(IF(BR497="L1",Parameter!$K$5,Parameter!$K$6+Parameter!$K$7)-(AG497-AC497))/AC497)))</f>
        <v/>
      </c>
      <c r="AI497" s="55">
        <f>IF(LEFT(Cockpit!$I$5,1)="A",G497,IF(BT497=1,BU497,IF(LEFT(Cockpit!$I$5,1)="B",AM497,MAX(AM497,G497))))</f>
        <v/>
      </c>
      <c r="AJ497" s="55">
        <f>IF(BO497=1,0,ROUNDUP(AI497/BN497,0))</f>
        <v/>
      </c>
      <c r="AK497" s="64">
        <f>IF(BO497=1,IF(AI497&lt;=0,0,BP497*MAX(1,IF(G497&gt;0,AI497/G497,1))),AJ497*Q497)</f>
        <v/>
      </c>
      <c r="AL497" s="55">
        <f>AI497*F497</f>
        <v/>
      </c>
      <c r="AM497" s="55">
        <f>ROUNDUP(MAX(I497/IF(BS497&gt;0,BS497,MAX(0.1,N(Cockpit!$I$6))),BV497)/BN497,0)*BN497</f>
        <v/>
      </c>
      <c r="AN497" s="56">
        <f>IF(AK497&gt;0,I497/AK497,-1)</f>
        <v/>
      </c>
      <c r="AO497" s="56">
        <f>IF(AND(OR(BR497="L1",BR497="L23"),AK497&gt;0),SUMIFS($AK$7:$AK$1570,$BR$7:$BR$1570,BR497,$AN$7:$AN$1570,"&gt;"&amp;AN497)+SUMIFS($AK$7:$AK$1570,$BR$7:$BR$1570,BR497,$AN$7:$AN$1570,AN497,$BL$7:$BL$1570,"&lt;="&amp;BL497),"")</f>
        <v/>
      </c>
      <c r="AP497" s="65">
        <f>IF(AO497="",0,MAX(0,MIN(1,(IF(BR497="L1",Parameter!$K$5,Parameter!$K$6+Parameter!$K$7)-(AO497-AK497))/AK497)))</f>
        <v/>
      </c>
      <c r="AQ497" s="55">
        <f>IF(LEFT(Cockpit!$O$5,1)="A",G497,IF(BT497=1,BU497,IF(LEFT(Cockpit!$O$5,1)="B",AU497,MAX(AU497,G497))))</f>
        <v/>
      </c>
      <c r="AR497" s="55">
        <f>IF(BO497=1,0,ROUNDUP(AQ497/BN497,0))</f>
        <v/>
      </c>
      <c r="AS497" s="64">
        <f>IF(BO497=1,IF(AQ497&lt;=0,0,BP497*MAX(1,IF(G497&gt;0,AQ497/G497,1))),AR497*Q497)</f>
        <v/>
      </c>
      <c r="AT497" s="55">
        <f>AQ497*F497</f>
        <v/>
      </c>
      <c r="AU497" s="55">
        <f>ROUNDUP(MAX(I497/IF(BS497&gt;0,BS497,MAX(0.1,N(Cockpit!$O$6))),BV497)/BN497,0)*BN497</f>
        <v/>
      </c>
      <c r="AV497" s="56">
        <f>IF(AS497&gt;0,I497/AS497,-1)</f>
        <v/>
      </c>
      <c r="AW497" s="56">
        <f>IF(AND(OR(BR497="L1",BR497="L23"),AS497&gt;0),SUMIFS($AS$7:$AS$1570,$BR$7:$BR$1570,BR497,$AV$7:$AV$1570,"&gt;"&amp;AV497)+SUMIFS($AS$7:$AS$1570,$BR$7:$BR$1570,BR497,$AV$7:$AV$1570,AV497,$BL$7:$BL$1570,"&lt;="&amp;BL497),"")</f>
        <v/>
      </c>
      <c r="AX497" s="65">
        <f>IF(AW497="",0,MAX(0,MIN(1,(IF(BR497="L1",Parameter!$K$5,Parameter!$K$6+Parameter!$K$7)-(AW497-AS497))/AS497)))</f>
        <v/>
      </c>
      <c r="AY497" s="53">
        <f>IF(AC497&lt;=0,"",IF(BR497="Aussen","Aussenlager",IF(BR497="-","Nicht im Lift",IF(AH497&gt;=1,"Lift",IF(AH497&lt;=0,"Aussenlager","teilweise")))))</f>
        <v/>
      </c>
      <c r="AZ497" s="53">
        <f>IF(AK497&lt;=0,"",IF(BR497="Aussen","Aussenlager",IF(BR497="-","Nicht im Lift",IF(AP497&gt;=1,"Lift",IF(AP497&lt;=0,"Aussenlager","teilweise")))))</f>
        <v/>
      </c>
      <c r="BA497" s="53">
        <f>IF(AS497&lt;=0,"",IF(BR497="Aussen","Aussenlager",IF(BR497="-","Nicht im Lift",IF(AX497&gt;=1,"Lift",IF(AX497&lt;=0,"Aussenlager","teilweise")))))</f>
        <v/>
      </c>
      <c r="BB497" s="53">
        <f>IF(A497="","",IF(BK497=1,"Neu; ","")&amp;IF(AND(BK497=0,BF497&lt;0),"negativer Bestand (Export "&amp;BF497&amp;"); ","")&amp;IF(I497&lt;=0,"Kein Verbrauch; ","")&amp;IF(BO497=1,"Lose – Fläche geschätzt; ","")&amp;IF(G497&gt;AM497,"Überbestand "&amp;ROUND(G497-AM497,0)&amp;" Stk / CHF "&amp;ROUND((G497-AM497)*F497,0)&amp;"; ","")&amp;IF(AND(BT497=1,BU497&lt;BV497),"MAX &lt; MB+LG; ","")&amp;IF(AND(BZ497&gt;0,BY497*10&gt;BZ497),"zu hoch für Tablar; ","")&amp;IF(AND(BK497=0,OR(BT497=1,V497&lt;&gt;"",S497&lt;&gt;"",T497&lt;&gt;"",W497&lt;&gt;"")),"manuell übersteuert; ","")&amp;IF(AND(BO497=0,Q497=0),"Gebinde unbekannt; ","")&amp;IF(AND(BO497=0,N(T497)&lt;=0,N(P497)&lt;=0),"Menge pro Gebinde fehlt (Ist = 1 Gebinde); ","")&amp;BJ497)</f>
        <v/>
      </c>
      <c r="BC497" s="53" t="n"/>
      <c r="BD497" s="53" t="n"/>
      <c r="BE497" s="61" t="n"/>
      <c r="BF497" s="55" t="n">
        <v>5</v>
      </c>
      <c r="BG497" s="55" t="n">
        <v>0</v>
      </c>
      <c r="BH497" s="54" t="n">
        <v>37.75</v>
      </c>
      <c r="BI497" s="55" t="n">
        <v>2</v>
      </c>
      <c r="BJ497" s="53" t="inlineStr"/>
      <c r="BK497" s="58" t="n">
        <v>0</v>
      </c>
      <c r="BL497" s="58" t="n">
        <v>497</v>
      </c>
      <c r="BM497" s="53">
        <f>IF(S497&lt;&gt;"",UPPER(TRIM(S497)),IF(O497="","LOSE",O497))</f>
        <v/>
      </c>
      <c r="BN497" s="55">
        <f>IF(BM497="LOSE",1,IF(N(T497)&gt;0,T497,IF(N(P497)&gt;0,P497,MAX(1,G497))))</f>
        <v/>
      </c>
      <c r="BO497" s="58">
        <f>IF(BM497="LOSE",1,0)</f>
        <v/>
      </c>
      <c r="BP497" s="64">
        <f>IF(BO497=0,0,IF(N(R497)&gt;0,R497,IFERROR(VLOOKUP(D497,Parameter!$A$35:$C$64,3,0)+0,0)))</f>
        <v/>
      </c>
      <c r="BQ497" s="53">
        <f>IF(V497&lt;&gt;"",V497,U497)</f>
        <v/>
      </c>
      <c r="BR497" s="53">
        <f>IF(BQ497=1,"L1",IF(OR(BQ497=2,BQ497=3),"L23",IF(BQ497="Aussen","Aussen","-")))</f>
        <v/>
      </c>
      <c r="BS497" s="66">
        <f>IF(N(W497)&gt;0,W497,0)</f>
        <v/>
      </c>
      <c r="BT497" s="58">
        <f>IF(ISNUMBER(Z497),1,0)</f>
        <v/>
      </c>
      <c r="BU497" s="55">
        <f>N(Z497)</f>
        <v/>
      </c>
      <c r="BV497" s="55">
        <f>N(L497)+N(M497)</f>
        <v/>
      </c>
      <c r="BW497" s="55">
        <f>ROUNDUP(G497/BN497,0)</f>
        <v/>
      </c>
      <c r="BX497" s="55">
        <f>ROUNDUP(BU497/BN497,0)</f>
        <v/>
      </c>
      <c r="BY497" s="58">
        <f>IF(BO497=1,0,IFERROR(VLOOKUP(BM497,'Gebinde-Kategorie'!$A$5:$G$45,5,0)+0,0))</f>
        <v/>
      </c>
      <c r="BZ497" s="58">
        <f>IFERROR(IF(OR(BQ497=1,BQ497=2,BQ497=3),N(INDEX(Parameter!$I$5:$I$7,BQ497)),0),0)</f>
        <v/>
      </c>
    </row>
    <row r="498">
      <c r="A498" s="53" t="inlineStr">
        <is>
          <t>001132</t>
        </is>
      </c>
      <c r="B498" s="53" t="inlineStr">
        <is>
          <t>Holzschraube</t>
        </is>
      </c>
      <c r="C498" s="53" t="inlineStr">
        <is>
          <t>F</t>
        </is>
      </c>
      <c r="D498" s="53" t="inlineStr">
        <is>
          <t>KTL</t>
        </is>
      </c>
      <c r="E498" s="53" t="inlineStr">
        <is>
          <t>C</t>
        </is>
      </c>
      <c r="F498" s="54" t="n">
        <v>0.05</v>
      </c>
      <c r="G498" s="55">
        <f>MAX(0,IF(Parameter!$B$20="Jahresanfang 2025 + Export",BG498+BF498,BF498))</f>
        <v/>
      </c>
      <c r="H498" s="55">
        <f>G498*F498</f>
        <v/>
      </c>
      <c r="I498" s="55">
        <f>BI498*Parameter!$B$18</f>
        <v/>
      </c>
      <c r="J498" s="56" t="n">
        <v>714.5</v>
      </c>
      <c r="K498" s="57" t="n">
        <v>3.002099370188943</v>
      </c>
      <c r="L498" s="55" t="n">
        <v>400</v>
      </c>
      <c r="M498" s="55" t="n">
        <v>500</v>
      </c>
      <c r="N498" s="58" t="n">
        <v>14</v>
      </c>
      <c r="O498" s="53" t="inlineStr">
        <is>
          <t>S51</t>
        </is>
      </c>
      <c r="P498" s="55" t="n">
        <v>600</v>
      </c>
      <c r="Q498" s="59">
        <f>IF(BO498=1,0,IFERROR(VLOOKUP(BM498,'Gebinde-Kategorie'!$A$5:$G$45,6,0)+0,0))</f>
        <v/>
      </c>
      <c r="R498" s="60" t="n"/>
      <c r="S498" s="61" t="n"/>
      <c r="T498" s="61" t="n"/>
      <c r="U498" s="53">
        <f>IF(A498="","",IF(IFERROR(VLOOKUP(D498,Parameter!$A$35:$C$64,2,0),"Nein")="2+3",IF(ISNUMBER(SEARCH("grosser Artikel",BJ498)),2,IFERROR(VLOOKUP(BM498,Parameter!$F$35:$G$64,2,0),2)),IF(OR(IFERROR(VLOOKUP(D498,Parameter!$A$35:$C$64,2,0),"Nein")="Nein",IFERROR(VLOOKUP(D498,Parameter!$A$35:$C$64,2,0),"Nein")=""),"-",VLOOKUP(D498,Parameter!$A$35:$C$64,2,0))))</f>
        <v/>
      </c>
      <c r="V498" s="61" t="n"/>
      <c r="W498" s="62" t="n"/>
      <c r="X498" s="55">
        <f>AM498</f>
        <v/>
      </c>
      <c r="Y498" s="55">
        <f>MAX(AM498,G498)</f>
        <v/>
      </c>
      <c r="Z498" s="63" t="n"/>
      <c r="AA498" s="55">
        <f>IF(LEFT(Cockpit!$C$5,1)="A",G498,IF(BT498=1,BU498,IF(LEFT(Cockpit!$C$5,1)="B",AE498,MAX(AE498,G498))))</f>
        <v/>
      </c>
      <c r="AB498" s="55">
        <f>IF(BO498=1,0,ROUNDUP(AA498/BN498,0))</f>
        <v/>
      </c>
      <c r="AC498" s="64">
        <f>IF(BO498=1,IF(AA498&lt;=0,0,BP498*MAX(1,IF(G498&gt;0,AA498/G498,1))),AB498*Q498)</f>
        <v/>
      </c>
      <c r="AD498" s="55">
        <f>AA498*F498</f>
        <v/>
      </c>
      <c r="AE498" s="55">
        <f>ROUNDUP(MAX(I498/IF(BS498&gt;0,BS498,MAX(0.1,N(Cockpit!$C$6))),BV498)/BN498,0)*BN498</f>
        <v/>
      </c>
      <c r="AF498" s="56">
        <f>IF(AC498&gt;0,I498/AC498,-1)</f>
        <v/>
      </c>
      <c r="AG498" s="56">
        <f>IF(AND(OR(BR498="L1",BR498="L23"),AC498&gt;0),SUMIFS($AC$7:$AC$1570,$BR$7:$BR$1570,BR498,$AF$7:$AF$1570,"&gt;"&amp;AF498)+SUMIFS($AC$7:$AC$1570,$BR$7:$BR$1570,BR498,$AF$7:$AF$1570,AF498,$BL$7:$BL$1570,"&lt;="&amp;BL498),"")</f>
        <v/>
      </c>
      <c r="AH498" s="65">
        <f>IF(AG498="",0,MAX(0,MIN(1,(IF(BR498="L1",Parameter!$K$5,Parameter!$K$6+Parameter!$K$7)-(AG498-AC498))/AC498)))</f>
        <v/>
      </c>
      <c r="AI498" s="55">
        <f>IF(LEFT(Cockpit!$I$5,1)="A",G498,IF(BT498=1,BU498,IF(LEFT(Cockpit!$I$5,1)="B",AM498,MAX(AM498,G498))))</f>
        <v/>
      </c>
      <c r="AJ498" s="55">
        <f>IF(BO498=1,0,ROUNDUP(AI498/BN498,0))</f>
        <v/>
      </c>
      <c r="AK498" s="64">
        <f>IF(BO498=1,IF(AI498&lt;=0,0,BP498*MAX(1,IF(G498&gt;0,AI498/G498,1))),AJ498*Q498)</f>
        <v/>
      </c>
      <c r="AL498" s="55">
        <f>AI498*F498</f>
        <v/>
      </c>
      <c r="AM498" s="55">
        <f>ROUNDUP(MAX(I498/IF(BS498&gt;0,BS498,MAX(0.1,N(Cockpit!$I$6))),BV498)/BN498,0)*BN498</f>
        <v/>
      </c>
      <c r="AN498" s="56">
        <f>IF(AK498&gt;0,I498/AK498,-1)</f>
        <v/>
      </c>
      <c r="AO498" s="56">
        <f>IF(AND(OR(BR498="L1",BR498="L23"),AK498&gt;0),SUMIFS($AK$7:$AK$1570,$BR$7:$BR$1570,BR498,$AN$7:$AN$1570,"&gt;"&amp;AN498)+SUMIFS($AK$7:$AK$1570,$BR$7:$BR$1570,BR498,$AN$7:$AN$1570,AN498,$BL$7:$BL$1570,"&lt;="&amp;BL498),"")</f>
        <v/>
      </c>
      <c r="AP498" s="65">
        <f>IF(AO498="",0,MAX(0,MIN(1,(IF(BR498="L1",Parameter!$K$5,Parameter!$K$6+Parameter!$K$7)-(AO498-AK498))/AK498)))</f>
        <v/>
      </c>
      <c r="AQ498" s="55">
        <f>IF(LEFT(Cockpit!$O$5,1)="A",G498,IF(BT498=1,BU498,IF(LEFT(Cockpit!$O$5,1)="B",AU498,MAX(AU498,G498))))</f>
        <v/>
      </c>
      <c r="AR498" s="55">
        <f>IF(BO498=1,0,ROUNDUP(AQ498/BN498,0))</f>
        <v/>
      </c>
      <c r="AS498" s="64">
        <f>IF(BO498=1,IF(AQ498&lt;=0,0,BP498*MAX(1,IF(G498&gt;0,AQ498/G498,1))),AR498*Q498)</f>
        <v/>
      </c>
      <c r="AT498" s="55">
        <f>AQ498*F498</f>
        <v/>
      </c>
      <c r="AU498" s="55">
        <f>ROUNDUP(MAX(I498/IF(BS498&gt;0,BS498,MAX(0.1,N(Cockpit!$O$6))),BV498)/BN498,0)*BN498</f>
        <v/>
      </c>
      <c r="AV498" s="56">
        <f>IF(AS498&gt;0,I498/AS498,-1)</f>
        <v/>
      </c>
      <c r="AW498" s="56">
        <f>IF(AND(OR(BR498="L1",BR498="L23"),AS498&gt;0),SUMIFS($AS$7:$AS$1570,$BR$7:$BR$1570,BR498,$AV$7:$AV$1570,"&gt;"&amp;AV498)+SUMIFS($AS$7:$AS$1570,$BR$7:$BR$1570,BR498,$AV$7:$AV$1570,AV498,$BL$7:$BL$1570,"&lt;="&amp;BL498),"")</f>
        <v/>
      </c>
      <c r="AX498" s="65">
        <f>IF(AW498="",0,MAX(0,MIN(1,(IF(BR498="L1",Parameter!$K$5,Parameter!$K$6+Parameter!$K$7)-(AW498-AS498))/AS498)))</f>
        <v/>
      </c>
      <c r="AY498" s="53">
        <f>IF(AC498&lt;=0,"",IF(BR498="Aussen","Aussenlager",IF(BR498="-","Nicht im Lift",IF(AH498&gt;=1,"Lift",IF(AH498&lt;=0,"Aussenlager","teilweise")))))</f>
        <v/>
      </c>
      <c r="AZ498" s="53">
        <f>IF(AK498&lt;=0,"",IF(BR498="Aussen","Aussenlager",IF(BR498="-","Nicht im Lift",IF(AP498&gt;=1,"Lift",IF(AP498&lt;=0,"Aussenlager","teilweise")))))</f>
        <v/>
      </c>
      <c r="BA498" s="53">
        <f>IF(AS498&lt;=0,"",IF(BR498="Aussen","Aussenlager",IF(BR498="-","Nicht im Lift",IF(AX498&gt;=1,"Lift",IF(AX498&lt;=0,"Aussenlager","teilweise")))))</f>
        <v/>
      </c>
      <c r="BB498" s="53">
        <f>IF(A498="","",IF(BK498=1,"Neu; ","")&amp;IF(AND(BK498=0,BF498&lt;0),"negativer Bestand (Export "&amp;BF498&amp;"); ","")&amp;IF(I498&lt;=0,"Kein Verbrauch; ","")&amp;IF(BO498=1,"Lose – Fläche geschätzt; ","")&amp;IF(G498&gt;AM498,"Überbestand "&amp;ROUND(G498-AM498,0)&amp;" Stk / CHF "&amp;ROUND((G498-AM498)*F498,0)&amp;"; ","")&amp;IF(AND(BT498=1,BU498&lt;BV498),"MAX &lt; MB+LG; ","")&amp;IF(AND(BZ498&gt;0,BY498*10&gt;BZ498),"zu hoch für Tablar; ","")&amp;IF(AND(BK498=0,OR(BT498=1,V498&lt;&gt;"",S498&lt;&gt;"",T498&lt;&gt;"",W498&lt;&gt;"")),"manuell übersteuert; ","")&amp;IF(AND(BO498=0,Q498=0),"Gebinde unbekannt; ","")&amp;IF(AND(BO498=0,N(T498)&lt;=0,N(P498)&lt;=0),"Menge pro Gebinde fehlt (Ist = 1 Gebinde); ","")&amp;BJ498)</f>
        <v/>
      </c>
      <c r="BC498" s="53" t="n"/>
      <c r="BD498" s="53" t="n"/>
      <c r="BE498" s="61" t="n"/>
      <c r="BF498" s="55" t="n">
        <v>755</v>
      </c>
      <c r="BG498" s="55" t="n">
        <v>337</v>
      </c>
      <c r="BH498" s="54" t="n">
        <v>37.75</v>
      </c>
      <c r="BI498" s="55" t="n">
        <v>2145</v>
      </c>
      <c r="BJ498" s="53" t="inlineStr"/>
      <c r="BK498" s="58" t="n">
        <v>0</v>
      </c>
      <c r="BL498" s="58" t="n">
        <v>498</v>
      </c>
      <c r="BM498" s="53">
        <f>IF(S498&lt;&gt;"",UPPER(TRIM(S498)),IF(O498="","LOSE",O498))</f>
        <v/>
      </c>
      <c r="BN498" s="55">
        <f>IF(BM498="LOSE",1,IF(N(T498)&gt;0,T498,IF(N(P498)&gt;0,P498,MAX(1,G498))))</f>
        <v/>
      </c>
      <c r="BO498" s="58">
        <f>IF(BM498="LOSE",1,0)</f>
        <v/>
      </c>
      <c r="BP498" s="64">
        <f>IF(BO498=0,0,IF(N(R498)&gt;0,R498,IFERROR(VLOOKUP(D498,Parameter!$A$35:$C$64,3,0)+0,0)))</f>
        <v/>
      </c>
      <c r="BQ498" s="53">
        <f>IF(V498&lt;&gt;"",V498,U498)</f>
        <v/>
      </c>
      <c r="BR498" s="53">
        <f>IF(BQ498=1,"L1",IF(OR(BQ498=2,BQ498=3),"L23",IF(BQ498="Aussen","Aussen","-")))</f>
        <v/>
      </c>
      <c r="BS498" s="66">
        <f>IF(N(W498)&gt;0,W498,0)</f>
        <v/>
      </c>
      <c r="BT498" s="58">
        <f>IF(ISNUMBER(Z498),1,0)</f>
        <v/>
      </c>
      <c r="BU498" s="55">
        <f>N(Z498)</f>
        <v/>
      </c>
      <c r="BV498" s="55">
        <f>N(L498)+N(M498)</f>
        <v/>
      </c>
      <c r="BW498" s="55">
        <f>ROUNDUP(G498/BN498,0)</f>
        <v/>
      </c>
      <c r="BX498" s="55">
        <f>ROUNDUP(BU498/BN498,0)</f>
        <v/>
      </c>
      <c r="BY498" s="58">
        <f>IF(BO498=1,0,IFERROR(VLOOKUP(BM498,'Gebinde-Kategorie'!$A$5:$G$45,5,0)+0,0))</f>
        <v/>
      </c>
      <c r="BZ498" s="58">
        <f>IFERROR(IF(OR(BQ498=1,BQ498=2,BQ498=3),N(INDEX(Parameter!$I$5:$I$7,BQ498)),0),0)</f>
        <v/>
      </c>
    </row>
    <row r="499">
      <c r="A499" s="53" t="inlineStr">
        <is>
          <t>107715</t>
        </is>
      </c>
      <c r="B499" s="53" t="inlineStr">
        <is>
          <t>Sechskant Stifteinsatz lang</t>
        </is>
      </c>
      <c r="C499" s="53" t="inlineStr">
        <is>
          <t>F</t>
        </is>
      </c>
      <c r="D499" s="53" t="inlineStr">
        <is>
          <t>KTL</t>
        </is>
      </c>
      <c r="E499" s="53" t="inlineStr">
        <is>
          <t>C</t>
        </is>
      </c>
      <c r="F499" s="54" t="n">
        <v>11.49</v>
      </c>
      <c r="G499" s="55">
        <f>MAX(0,IF(Parameter!$B$20="Jahresanfang 2025 + Export",BG499+BF499,BF499))</f>
        <v/>
      </c>
      <c r="H499" s="55">
        <f>G499*F499</f>
        <v/>
      </c>
      <c r="I499" s="55">
        <f>BI499*Parameter!$B$18</f>
        <v/>
      </c>
      <c r="J499" s="56" t="n">
        <v>4</v>
      </c>
      <c r="K499" s="57" t="n">
        <v>1.25</v>
      </c>
      <c r="L499" s="55" t="n">
        <v>0</v>
      </c>
      <c r="M499" s="55" t="n">
        <v>5</v>
      </c>
      <c r="N499" s="58" t="n">
        <v>14</v>
      </c>
      <c r="O499" s="53" t="inlineStr">
        <is>
          <t>S32</t>
        </is>
      </c>
      <c r="P499" s="55" t="n">
        <v>10</v>
      </c>
      <c r="Q499" s="59">
        <f>IF(BO499=1,0,IFERROR(VLOOKUP(BM499,'Gebinde-Kategorie'!$A$5:$G$45,6,0)+0,0))</f>
        <v/>
      </c>
      <c r="R499" s="60" t="n"/>
      <c r="S499" s="61" t="n"/>
      <c r="T499" s="61" t="n"/>
      <c r="U499" s="53">
        <f>IF(A499="","",IF(IFERROR(VLOOKUP(D499,Parameter!$A$35:$C$64,2,0),"Nein")="2+3",IF(ISNUMBER(SEARCH("grosser Artikel",BJ499)),2,IFERROR(VLOOKUP(BM499,Parameter!$F$35:$G$64,2,0),2)),IF(OR(IFERROR(VLOOKUP(D499,Parameter!$A$35:$C$64,2,0),"Nein")="Nein",IFERROR(VLOOKUP(D499,Parameter!$A$35:$C$64,2,0),"Nein")=""),"-",VLOOKUP(D499,Parameter!$A$35:$C$64,2,0))))</f>
        <v/>
      </c>
      <c r="V499" s="61" t="n"/>
      <c r="W499" s="62" t="n"/>
      <c r="X499" s="55">
        <f>AM499</f>
        <v/>
      </c>
      <c r="Y499" s="55">
        <f>MAX(AM499,G499)</f>
        <v/>
      </c>
      <c r="Z499" s="63" t="n"/>
      <c r="AA499" s="55">
        <f>IF(LEFT(Cockpit!$C$5,1)="A",G499,IF(BT499=1,BU499,IF(LEFT(Cockpit!$C$5,1)="B",AE499,MAX(AE499,G499))))</f>
        <v/>
      </c>
      <c r="AB499" s="55">
        <f>IF(BO499=1,0,ROUNDUP(AA499/BN499,0))</f>
        <v/>
      </c>
      <c r="AC499" s="64">
        <f>IF(BO499=1,IF(AA499&lt;=0,0,BP499*MAX(1,IF(G499&gt;0,AA499/G499,1))),AB499*Q499)</f>
        <v/>
      </c>
      <c r="AD499" s="55">
        <f>AA499*F499</f>
        <v/>
      </c>
      <c r="AE499" s="55">
        <f>ROUNDUP(MAX(I499/IF(BS499&gt;0,BS499,MAX(0.1,N(Cockpit!$C$6))),BV499)/BN499,0)*BN499</f>
        <v/>
      </c>
      <c r="AF499" s="56">
        <f>IF(AC499&gt;0,I499/AC499,-1)</f>
        <v/>
      </c>
      <c r="AG499" s="56">
        <f>IF(AND(OR(BR499="L1",BR499="L23"),AC499&gt;0),SUMIFS($AC$7:$AC$1570,$BR$7:$BR$1570,BR499,$AF$7:$AF$1570,"&gt;"&amp;AF499)+SUMIFS($AC$7:$AC$1570,$BR$7:$BR$1570,BR499,$AF$7:$AF$1570,AF499,$BL$7:$BL$1570,"&lt;="&amp;BL499),"")</f>
        <v/>
      </c>
      <c r="AH499" s="65">
        <f>IF(AG499="",0,MAX(0,MIN(1,(IF(BR499="L1",Parameter!$K$5,Parameter!$K$6+Parameter!$K$7)-(AG499-AC499))/AC499)))</f>
        <v/>
      </c>
      <c r="AI499" s="55">
        <f>IF(LEFT(Cockpit!$I$5,1)="A",G499,IF(BT499=1,BU499,IF(LEFT(Cockpit!$I$5,1)="B",AM499,MAX(AM499,G499))))</f>
        <v/>
      </c>
      <c r="AJ499" s="55">
        <f>IF(BO499=1,0,ROUNDUP(AI499/BN499,0))</f>
        <v/>
      </c>
      <c r="AK499" s="64">
        <f>IF(BO499=1,IF(AI499&lt;=0,0,BP499*MAX(1,IF(G499&gt;0,AI499/G499,1))),AJ499*Q499)</f>
        <v/>
      </c>
      <c r="AL499" s="55">
        <f>AI499*F499</f>
        <v/>
      </c>
      <c r="AM499" s="55">
        <f>ROUNDUP(MAX(I499/IF(BS499&gt;0,BS499,MAX(0.1,N(Cockpit!$I$6))),BV499)/BN499,0)*BN499</f>
        <v/>
      </c>
      <c r="AN499" s="56">
        <f>IF(AK499&gt;0,I499/AK499,-1)</f>
        <v/>
      </c>
      <c r="AO499" s="56">
        <f>IF(AND(OR(BR499="L1",BR499="L23"),AK499&gt;0),SUMIFS($AK$7:$AK$1570,$BR$7:$BR$1570,BR499,$AN$7:$AN$1570,"&gt;"&amp;AN499)+SUMIFS($AK$7:$AK$1570,$BR$7:$BR$1570,BR499,$AN$7:$AN$1570,AN499,$BL$7:$BL$1570,"&lt;="&amp;BL499),"")</f>
        <v/>
      </c>
      <c r="AP499" s="65">
        <f>IF(AO499="",0,MAX(0,MIN(1,(IF(BR499="L1",Parameter!$K$5,Parameter!$K$6+Parameter!$K$7)-(AO499-AK499))/AK499)))</f>
        <v/>
      </c>
      <c r="AQ499" s="55">
        <f>IF(LEFT(Cockpit!$O$5,1)="A",G499,IF(BT499=1,BU499,IF(LEFT(Cockpit!$O$5,1)="B",AU499,MAX(AU499,G499))))</f>
        <v/>
      </c>
      <c r="AR499" s="55">
        <f>IF(BO499=1,0,ROUNDUP(AQ499/BN499,0))</f>
        <v/>
      </c>
      <c r="AS499" s="64">
        <f>IF(BO499=1,IF(AQ499&lt;=0,0,BP499*MAX(1,IF(G499&gt;0,AQ499/G499,1))),AR499*Q499)</f>
        <v/>
      </c>
      <c r="AT499" s="55">
        <f>AQ499*F499</f>
        <v/>
      </c>
      <c r="AU499" s="55">
        <f>ROUNDUP(MAX(I499/IF(BS499&gt;0,BS499,MAX(0.1,N(Cockpit!$O$6))),BV499)/BN499,0)*BN499</f>
        <v/>
      </c>
      <c r="AV499" s="56">
        <f>IF(AS499&gt;0,I499/AS499,-1)</f>
        <v/>
      </c>
      <c r="AW499" s="56">
        <f>IF(AND(OR(BR499="L1",BR499="L23"),AS499&gt;0),SUMIFS($AS$7:$AS$1570,$BR$7:$BR$1570,BR499,$AV$7:$AV$1570,"&gt;"&amp;AV499)+SUMIFS($AS$7:$AS$1570,$BR$7:$BR$1570,BR499,$AV$7:$AV$1570,AV499,$BL$7:$BL$1570,"&lt;="&amp;BL499),"")</f>
        <v/>
      </c>
      <c r="AX499" s="65">
        <f>IF(AW499="",0,MAX(0,MIN(1,(IF(BR499="L1",Parameter!$K$5,Parameter!$K$6+Parameter!$K$7)-(AW499-AS499))/AS499)))</f>
        <v/>
      </c>
      <c r="AY499" s="53">
        <f>IF(AC499&lt;=0,"",IF(BR499="Aussen","Aussenlager",IF(BR499="-","Nicht im Lift",IF(AH499&gt;=1,"Lift",IF(AH499&lt;=0,"Aussenlager","teilweise")))))</f>
        <v/>
      </c>
      <c r="AZ499" s="53">
        <f>IF(AK499&lt;=0,"",IF(BR499="Aussen","Aussenlager",IF(BR499="-","Nicht im Lift",IF(AP499&gt;=1,"Lift",IF(AP499&lt;=0,"Aussenlager","teilweise")))))</f>
        <v/>
      </c>
      <c r="BA499" s="53">
        <f>IF(AS499&lt;=0,"",IF(BR499="Aussen","Aussenlager",IF(BR499="-","Nicht im Lift",IF(AX499&gt;=1,"Lift",IF(AX499&lt;=0,"Aussenlager","teilweise")))))</f>
        <v/>
      </c>
      <c r="BB499" s="53">
        <f>IF(A499="","",IF(BK499=1,"Neu; ","")&amp;IF(AND(BK499=0,BF499&lt;0),"negativer Bestand (Export "&amp;BF499&amp;"); ","")&amp;IF(I499&lt;=0,"Kein Verbrauch; ","")&amp;IF(BO499=1,"Lose – Fläche geschätzt; ","")&amp;IF(G499&gt;AM499,"Überbestand "&amp;ROUND(G499-AM499,0)&amp;" Stk / CHF "&amp;ROUND((G499-AM499)*F499,0)&amp;"; ","")&amp;IF(AND(BT499=1,BU499&lt;BV499),"MAX &lt; MB+LG; ","")&amp;IF(AND(BZ499&gt;0,BY499*10&gt;BZ499),"zu hoch für Tablar; ","")&amp;IF(AND(BK499=0,OR(BT499=1,V499&lt;&gt;"",S499&lt;&gt;"",T499&lt;&gt;"",W499&lt;&gt;"")),"manuell übersteuert; ","")&amp;IF(AND(BO499=0,Q499=0),"Gebinde unbekannt; ","")&amp;IF(AND(BO499=0,N(T499)&lt;=0,N(P499)&lt;=0),"Menge pro Gebinde fehlt (Ist = 1 Gebinde); ","")&amp;BJ499)</f>
        <v/>
      </c>
      <c r="BC499" s="53" t="n"/>
      <c r="BD499" s="53" t="n"/>
      <c r="BE499" s="61" t="n"/>
      <c r="BF499" s="55" t="n">
        <v>4</v>
      </c>
      <c r="BG499" s="55" t="n">
        <v>4</v>
      </c>
      <c r="BH499" s="54" t="n">
        <v>37.64000000000001</v>
      </c>
      <c r="BI499" s="55" t="n">
        <v>5</v>
      </c>
      <c r="BJ499" s="53" t="inlineStr"/>
      <c r="BK499" s="58" t="n">
        <v>0</v>
      </c>
      <c r="BL499" s="58" t="n">
        <v>499</v>
      </c>
      <c r="BM499" s="53">
        <f>IF(S499&lt;&gt;"",UPPER(TRIM(S499)),IF(O499="","LOSE",O499))</f>
        <v/>
      </c>
      <c r="BN499" s="55">
        <f>IF(BM499="LOSE",1,IF(N(T499)&gt;0,T499,IF(N(P499)&gt;0,P499,MAX(1,G499))))</f>
        <v/>
      </c>
      <c r="BO499" s="58">
        <f>IF(BM499="LOSE",1,0)</f>
        <v/>
      </c>
      <c r="BP499" s="64">
        <f>IF(BO499=0,0,IF(N(R499)&gt;0,R499,IFERROR(VLOOKUP(D499,Parameter!$A$35:$C$64,3,0)+0,0)))</f>
        <v/>
      </c>
      <c r="BQ499" s="53">
        <f>IF(V499&lt;&gt;"",V499,U499)</f>
        <v/>
      </c>
      <c r="BR499" s="53">
        <f>IF(BQ499=1,"L1",IF(OR(BQ499=2,BQ499=3),"L23",IF(BQ499="Aussen","Aussen","-")))</f>
        <v/>
      </c>
      <c r="BS499" s="66">
        <f>IF(N(W499)&gt;0,W499,0)</f>
        <v/>
      </c>
      <c r="BT499" s="58">
        <f>IF(ISNUMBER(Z499),1,0)</f>
        <v/>
      </c>
      <c r="BU499" s="55">
        <f>N(Z499)</f>
        <v/>
      </c>
      <c r="BV499" s="55">
        <f>N(L499)+N(M499)</f>
        <v/>
      </c>
      <c r="BW499" s="55">
        <f>ROUNDUP(G499/BN499,0)</f>
        <v/>
      </c>
      <c r="BX499" s="55">
        <f>ROUNDUP(BU499/BN499,0)</f>
        <v/>
      </c>
      <c r="BY499" s="58">
        <f>IF(BO499=1,0,IFERROR(VLOOKUP(BM499,'Gebinde-Kategorie'!$A$5:$G$45,5,0)+0,0))</f>
        <v/>
      </c>
      <c r="BZ499" s="58">
        <f>IFERROR(IF(OR(BQ499=1,BQ499=2,BQ499=3),N(INDEX(Parameter!$I$5:$I$7,BQ499)),0),0)</f>
        <v/>
      </c>
    </row>
    <row r="500">
      <c r="A500" s="53" t="inlineStr">
        <is>
          <t>106947</t>
        </is>
      </c>
      <c r="B500" s="53" t="inlineStr">
        <is>
          <t>Busmodul für X20 SafeIO Module</t>
        </is>
      </c>
      <c r="C500" s="53" t="inlineStr">
        <is>
          <t>F</t>
        </is>
      </c>
      <c r="D500" s="53" t="inlineStr">
        <is>
          <t>KTL</t>
        </is>
      </c>
      <c r="E500" s="53" t="inlineStr">
        <is>
          <t>C</t>
        </is>
      </c>
      <c r="F500" s="54" t="n">
        <v>22.94</v>
      </c>
      <c r="G500" s="55">
        <f>MAX(0,IF(Parameter!$B$20="Jahresanfang 2025 + Export",BG500+BF500,BF500))</f>
        <v/>
      </c>
      <c r="H500" s="55">
        <f>G500*F500</f>
        <v/>
      </c>
      <c r="I500" s="55">
        <f>BI500*Parameter!$B$18</f>
        <v/>
      </c>
      <c r="J500" s="56" t="n">
        <v>57</v>
      </c>
      <c r="K500" s="57" t="n">
        <v>0.01754385964912281</v>
      </c>
      <c r="L500" s="55" t="n">
        <v>0</v>
      </c>
      <c r="M500" s="55" t="n">
        <v>1</v>
      </c>
      <c r="N500" s="58" t="n">
        <v>63</v>
      </c>
      <c r="O500" s="53" t="inlineStr">
        <is>
          <t>S51</t>
        </is>
      </c>
      <c r="P500" s="55" t="n">
        <v>55</v>
      </c>
      <c r="Q500" s="59">
        <f>IF(BO500=1,0,IFERROR(VLOOKUP(BM500,'Gebinde-Kategorie'!$A$5:$G$45,6,0)+0,0))</f>
        <v/>
      </c>
      <c r="R500" s="60" t="n"/>
      <c r="S500" s="61" t="n"/>
      <c r="T500" s="61" t="n"/>
      <c r="U500" s="53">
        <f>IF(A500="","",IF(IFERROR(VLOOKUP(D500,Parameter!$A$35:$C$64,2,0),"Nein")="2+3",IF(ISNUMBER(SEARCH("grosser Artikel",BJ500)),2,IFERROR(VLOOKUP(BM500,Parameter!$F$35:$G$64,2,0),2)),IF(OR(IFERROR(VLOOKUP(D500,Parameter!$A$35:$C$64,2,0),"Nein")="Nein",IFERROR(VLOOKUP(D500,Parameter!$A$35:$C$64,2,0),"Nein")=""),"-",VLOOKUP(D500,Parameter!$A$35:$C$64,2,0))))</f>
        <v/>
      </c>
      <c r="V500" s="61" t="n"/>
      <c r="W500" s="62" t="n"/>
      <c r="X500" s="55">
        <f>AM500</f>
        <v/>
      </c>
      <c r="Y500" s="55">
        <f>MAX(AM500,G500)</f>
        <v/>
      </c>
      <c r="Z500" s="63" t="n"/>
      <c r="AA500" s="55">
        <f>IF(LEFT(Cockpit!$C$5,1)="A",G500,IF(BT500=1,BU500,IF(LEFT(Cockpit!$C$5,1)="B",AE500,MAX(AE500,G500))))</f>
        <v/>
      </c>
      <c r="AB500" s="55">
        <f>IF(BO500=1,0,ROUNDUP(AA500/BN500,0))</f>
        <v/>
      </c>
      <c r="AC500" s="64">
        <f>IF(BO500=1,IF(AA500&lt;=0,0,BP500*MAX(1,IF(G500&gt;0,AA500/G500,1))),AB500*Q500)</f>
        <v/>
      </c>
      <c r="AD500" s="55">
        <f>AA500*F500</f>
        <v/>
      </c>
      <c r="AE500" s="55">
        <f>ROUNDUP(MAX(I500/IF(BS500&gt;0,BS500,MAX(0.1,N(Cockpit!$C$6))),BV500)/BN500,0)*BN500</f>
        <v/>
      </c>
      <c r="AF500" s="56">
        <f>IF(AC500&gt;0,I500/AC500,-1)</f>
        <v/>
      </c>
      <c r="AG500" s="56">
        <f>IF(AND(OR(BR500="L1",BR500="L23"),AC500&gt;0),SUMIFS($AC$7:$AC$1570,$BR$7:$BR$1570,BR500,$AF$7:$AF$1570,"&gt;"&amp;AF500)+SUMIFS($AC$7:$AC$1570,$BR$7:$BR$1570,BR500,$AF$7:$AF$1570,AF500,$BL$7:$BL$1570,"&lt;="&amp;BL500),"")</f>
        <v/>
      </c>
      <c r="AH500" s="65">
        <f>IF(AG500="",0,MAX(0,MIN(1,(IF(BR500="L1",Parameter!$K$5,Parameter!$K$6+Parameter!$K$7)-(AG500-AC500))/AC500)))</f>
        <v/>
      </c>
      <c r="AI500" s="55">
        <f>IF(LEFT(Cockpit!$I$5,1)="A",G500,IF(BT500=1,BU500,IF(LEFT(Cockpit!$I$5,1)="B",AM500,MAX(AM500,G500))))</f>
        <v/>
      </c>
      <c r="AJ500" s="55">
        <f>IF(BO500=1,0,ROUNDUP(AI500/BN500,0))</f>
        <v/>
      </c>
      <c r="AK500" s="64">
        <f>IF(BO500=1,IF(AI500&lt;=0,0,BP500*MAX(1,IF(G500&gt;0,AI500/G500,1))),AJ500*Q500)</f>
        <v/>
      </c>
      <c r="AL500" s="55">
        <f>AI500*F500</f>
        <v/>
      </c>
      <c r="AM500" s="55">
        <f>ROUNDUP(MAX(I500/IF(BS500&gt;0,BS500,MAX(0.1,N(Cockpit!$I$6))),BV500)/BN500,0)*BN500</f>
        <v/>
      </c>
      <c r="AN500" s="56">
        <f>IF(AK500&gt;0,I500/AK500,-1)</f>
        <v/>
      </c>
      <c r="AO500" s="56">
        <f>IF(AND(OR(BR500="L1",BR500="L23"),AK500&gt;0),SUMIFS($AK$7:$AK$1570,$BR$7:$BR$1570,BR500,$AN$7:$AN$1570,"&gt;"&amp;AN500)+SUMIFS($AK$7:$AK$1570,$BR$7:$BR$1570,BR500,$AN$7:$AN$1570,AN500,$BL$7:$BL$1570,"&lt;="&amp;BL500),"")</f>
        <v/>
      </c>
      <c r="AP500" s="65">
        <f>IF(AO500="",0,MAX(0,MIN(1,(IF(BR500="L1",Parameter!$K$5,Parameter!$K$6+Parameter!$K$7)-(AO500-AK500))/AK500)))</f>
        <v/>
      </c>
      <c r="AQ500" s="55">
        <f>IF(LEFT(Cockpit!$O$5,1)="A",G500,IF(BT500=1,BU500,IF(LEFT(Cockpit!$O$5,1)="B",AU500,MAX(AU500,G500))))</f>
        <v/>
      </c>
      <c r="AR500" s="55">
        <f>IF(BO500=1,0,ROUNDUP(AQ500/BN500,0))</f>
        <v/>
      </c>
      <c r="AS500" s="64">
        <f>IF(BO500=1,IF(AQ500&lt;=0,0,BP500*MAX(1,IF(G500&gt;0,AQ500/G500,1))),AR500*Q500)</f>
        <v/>
      </c>
      <c r="AT500" s="55">
        <f>AQ500*F500</f>
        <v/>
      </c>
      <c r="AU500" s="55">
        <f>ROUNDUP(MAX(I500/IF(BS500&gt;0,BS500,MAX(0.1,N(Cockpit!$O$6))),BV500)/BN500,0)*BN500</f>
        <v/>
      </c>
      <c r="AV500" s="56">
        <f>IF(AS500&gt;0,I500/AS500,-1)</f>
        <v/>
      </c>
      <c r="AW500" s="56">
        <f>IF(AND(OR(BR500="L1",BR500="L23"),AS500&gt;0),SUMIFS($AS$7:$AS$1570,$BR$7:$BR$1570,BR500,$AV$7:$AV$1570,"&gt;"&amp;AV500)+SUMIFS($AS$7:$AS$1570,$BR$7:$BR$1570,BR500,$AV$7:$AV$1570,AV500,$BL$7:$BL$1570,"&lt;="&amp;BL500),"")</f>
        <v/>
      </c>
      <c r="AX500" s="65">
        <f>IF(AW500="",0,MAX(0,MIN(1,(IF(BR500="L1",Parameter!$K$5,Parameter!$K$6+Parameter!$K$7)-(AW500-AS500))/AS500)))</f>
        <v/>
      </c>
      <c r="AY500" s="53">
        <f>IF(AC500&lt;=0,"",IF(BR500="Aussen","Aussenlager",IF(BR500="-","Nicht im Lift",IF(AH500&gt;=1,"Lift",IF(AH500&lt;=0,"Aussenlager","teilweise")))))</f>
        <v/>
      </c>
      <c r="AZ500" s="53">
        <f>IF(AK500&lt;=0,"",IF(BR500="Aussen","Aussenlager",IF(BR500="-","Nicht im Lift",IF(AP500&gt;=1,"Lift",IF(AP500&lt;=0,"Aussenlager","teilweise")))))</f>
        <v/>
      </c>
      <c r="BA500" s="53">
        <f>IF(AS500&lt;=0,"",IF(BR500="Aussen","Aussenlager",IF(BR500="-","Nicht im Lift",IF(AX500&gt;=1,"Lift",IF(AX500&lt;=0,"Aussenlager","teilweise")))))</f>
        <v/>
      </c>
      <c r="BB500" s="53">
        <f>IF(A500="","",IF(BK500=1,"Neu; ","")&amp;IF(AND(BK500=0,BF500&lt;0),"negativer Bestand (Export "&amp;BF500&amp;"); ","")&amp;IF(I500&lt;=0,"Kein Verbrauch; ","")&amp;IF(BO500=1,"Lose – Fläche geschätzt; ","")&amp;IF(G500&gt;AM500,"Überbestand "&amp;ROUND(G500-AM500,0)&amp;" Stk / CHF "&amp;ROUND((G500-AM500)*F500,0)&amp;"; ","")&amp;IF(AND(BT500=1,BU500&lt;BV500),"MAX &lt; MB+LG; ","")&amp;IF(AND(BZ500&gt;0,BY500*10&gt;BZ500),"zu hoch für Tablar; ","")&amp;IF(AND(BK500=0,OR(BT500=1,V500&lt;&gt;"",S500&lt;&gt;"",T500&lt;&gt;"",W500&lt;&gt;"")),"manuell übersteuert; ","")&amp;IF(AND(BO500=0,Q500=0),"Gebinde unbekannt; ","")&amp;IF(AND(BO500=0,N(T500)&lt;=0,N(P500)&lt;=0),"Menge pro Gebinde fehlt (Ist = 1 Gebinde); ","")&amp;BJ500)</f>
        <v/>
      </c>
      <c r="BC500" s="53" t="n"/>
      <c r="BD500" s="53" t="n"/>
      <c r="BE500" s="61" t="n"/>
      <c r="BF500" s="55" t="n">
        <v>4</v>
      </c>
      <c r="BG500" s="55" t="n">
        <v>60</v>
      </c>
      <c r="BH500" s="54" t="n">
        <v>37.40000000000001</v>
      </c>
      <c r="BI500" s="55" t="n">
        <v>1</v>
      </c>
      <c r="BJ500" s="53" t="inlineStr"/>
      <c r="BK500" s="58" t="n">
        <v>0</v>
      </c>
      <c r="BL500" s="58" t="n">
        <v>500</v>
      </c>
      <c r="BM500" s="53">
        <f>IF(S500&lt;&gt;"",UPPER(TRIM(S500)),IF(O500="","LOSE",O500))</f>
        <v/>
      </c>
      <c r="BN500" s="55">
        <f>IF(BM500="LOSE",1,IF(N(T500)&gt;0,T500,IF(N(P500)&gt;0,P500,MAX(1,G500))))</f>
        <v/>
      </c>
      <c r="BO500" s="58">
        <f>IF(BM500="LOSE",1,0)</f>
        <v/>
      </c>
      <c r="BP500" s="64">
        <f>IF(BO500=0,0,IF(N(R500)&gt;0,R500,IFERROR(VLOOKUP(D500,Parameter!$A$35:$C$64,3,0)+0,0)))</f>
        <v/>
      </c>
      <c r="BQ500" s="53">
        <f>IF(V500&lt;&gt;"",V500,U500)</f>
        <v/>
      </c>
      <c r="BR500" s="53">
        <f>IF(BQ500=1,"L1",IF(OR(BQ500=2,BQ500=3),"L23",IF(BQ500="Aussen","Aussen","-")))</f>
        <v/>
      </c>
      <c r="BS500" s="66">
        <f>IF(N(W500)&gt;0,W500,0)</f>
        <v/>
      </c>
      <c r="BT500" s="58">
        <f>IF(ISNUMBER(Z500),1,0)</f>
        <v/>
      </c>
      <c r="BU500" s="55">
        <f>N(Z500)</f>
        <v/>
      </c>
      <c r="BV500" s="55">
        <f>N(L500)+N(M500)</f>
        <v/>
      </c>
      <c r="BW500" s="55">
        <f>ROUNDUP(G500/BN500,0)</f>
        <v/>
      </c>
      <c r="BX500" s="55">
        <f>ROUNDUP(BU500/BN500,0)</f>
        <v/>
      </c>
      <c r="BY500" s="58">
        <f>IF(BO500=1,0,IFERROR(VLOOKUP(BM500,'Gebinde-Kategorie'!$A$5:$G$45,5,0)+0,0))</f>
        <v/>
      </c>
      <c r="BZ500" s="58">
        <f>IFERROR(IF(OR(BQ500=1,BQ500=2,BQ500=3),N(INDEX(Parameter!$I$5:$I$7,BQ500)),0),0)</f>
        <v/>
      </c>
    </row>
    <row r="501">
      <c r="A501" s="53" t="inlineStr">
        <is>
          <t>100175</t>
        </is>
      </c>
      <c r="B501" s="53" t="inlineStr">
        <is>
          <t>Stopfen</t>
        </is>
      </c>
      <c r="C501" s="53" t="inlineStr">
        <is>
          <t>F</t>
        </is>
      </c>
      <c r="D501" s="53" t="inlineStr">
        <is>
          <t>KTL</t>
        </is>
      </c>
      <c r="E501" s="53" t="inlineStr">
        <is>
          <t>C</t>
        </is>
      </c>
      <c r="F501" s="54" t="n">
        <v>9.380000000000001</v>
      </c>
      <c r="G501" s="55">
        <f>MAX(0,IF(Parameter!$B$20="Jahresanfang 2025 + Export",BG501+BF501,BF501))</f>
        <v/>
      </c>
      <c r="H501" s="55">
        <f>G501*F501</f>
        <v/>
      </c>
      <c r="I501" s="55">
        <f>BI501*Parameter!$B$18</f>
        <v/>
      </c>
      <c r="J501" s="56" t="n">
        <v>95</v>
      </c>
      <c r="K501" s="57" t="n">
        <v>2.757894736842105</v>
      </c>
      <c r="L501" s="55" t="n">
        <v>15</v>
      </c>
      <c r="M501" s="55" t="n">
        <v>100</v>
      </c>
      <c r="N501" s="58" t="n">
        <v>21</v>
      </c>
      <c r="O501" s="53" t="inlineStr">
        <is>
          <t>S51</t>
        </is>
      </c>
      <c r="P501" s="55" t="n">
        <v>454</v>
      </c>
      <c r="Q501" s="59">
        <f>IF(BO501=1,0,IFERROR(VLOOKUP(BM501,'Gebinde-Kategorie'!$A$5:$G$45,6,0)+0,0))</f>
        <v/>
      </c>
      <c r="R501" s="60" t="n"/>
      <c r="S501" s="61" t="n"/>
      <c r="T501" s="61" t="n"/>
      <c r="U501" s="53">
        <f>IF(A501="","",IF(IFERROR(VLOOKUP(D501,Parameter!$A$35:$C$64,2,0),"Nein")="2+3",IF(ISNUMBER(SEARCH("grosser Artikel",BJ501)),2,IFERROR(VLOOKUP(BM501,Parameter!$F$35:$G$64,2,0),2)),IF(OR(IFERROR(VLOOKUP(D501,Parameter!$A$35:$C$64,2,0),"Nein")="Nein",IFERROR(VLOOKUP(D501,Parameter!$A$35:$C$64,2,0),"Nein")=""),"-",VLOOKUP(D501,Parameter!$A$35:$C$64,2,0))))</f>
        <v/>
      </c>
      <c r="V501" s="61" t="n"/>
      <c r="W501" s="62" t="n"/>
      <c r="X501" s="55">
        <f>AM501</f>
        <v/>
      </c>
      <c r="Y501" s="55">
        <f>MAX(AM501,G501)</f>
        <v/>
      </c>
      <c r="Z501" s="63" t="n"/>
      <c r="AA501" s="55">
        <f>IF(LEFT(Cockpit!$C$5,1)="A",G501,IF(BT501=1,BU501,IF(LEFT(Cockpit!$C$5,1)="B",AE501,MAX(AE501,G501))))</f>
        <v/>
      </c>
      <c r="AB501" s="55">
        <f>IF(BO501=1,0,ROUNDUP(AA501/BN501,0))</f>
        <v/>
      </c>
      <c r="AC501" s="64">
        <f>IF(BO501=1,IF(AA501&lt;=0,0,BP501*MAX(1,IF(G501&gt;0,AA501/G501,1))),AB501*Q501)</f>
        <v/>
      </c>
      <c r="AD501" s="55">
        <f>AA501*F501</f>
        <v/>
      </c>
      <c r="AE501" s="55">
        <f>ROUNDUP(MAX(I501/IF(BS501&gt;0,BS501,MAX(0.1,N(Cockpit!$C$6))),BV501)/BN501,0)*BN501</f>
        <v/>
      </c>
      <c r="AF501" s="56">
        <f>IF(AC501&gt;0,I501/AC501,-1)</f>
        <v/>
      </c>
      <c r="AG501" s="56">
        <f>IF(AND(OR(BR501="L1",BR501="L23"),AC501&gt;0),SUMIFS($AC$7:$AC$1570,$BR$7:$BR$1570,BR501,$AF$7:$AF$1570,"&gt;"&amp;AF501)+SUMIFS($AC$7:$AC$1570,$BR$7:$BR$1570,BR501,$AF$7:$AF$1570,AF501,$BL$7:$BL$1570,"&lt;="&amp;BL501),"")</f>
        <v/>
      </c>
      <c r="AH501" s="65">
        <f>IF(AG501="",0,MAX(0,MIN(1,(IF(BR501="L1",Parameter!$K$5,Parameter!$K$6+Parameter!$K$7)-(AG501-AC501))/AC501)))</f>
        <v/>
      </c>
      <c r="AI501" s="55">
        <f>IF(LEFT(Cockpit!$I$5,1)="A",G501,IF(BT501=1,BU501,IF(LEFT(Cockpit!$I$5,1)="B",AM501,MAX(AM501,G501))))</f>
        <v/>
      </c>
      <c r="AJ501" s="55">
        <f>IF(BO501=1,0,ROUNDUP(AI501/BN501,0))</f>
        <v/>
      </c>
      <c r="AK501" s="64">
        <f>IF(BO501=1,IF(AI501&lt;=0,0,BP501*MAX(1,IF(G501&gt;0,AI501/G501,1))),AJ501*Q501)</f>
        <v/>
      </c>
      <c r="AL501" s="55">
        <f>AI501*F501</f>
        <v/>
      </c>
      <c r="AM501" s="55">
        <f>ROUNDUP(MAX(I501/IF(BS501&gt;0,BS501,MAX(0.1,N(Cockpit!$I$6))),BV501)/BN501,0)*BN501</f>
        <v/>
      </c>
      <c r="AN501" s="56">
        <f>IF(AK501&gt;0,I501/AK501,-1)</f>
        <v/>
      </c>
      <c r="AO501" s="56">
        <f>IF(AND(OR(BR501="L1",BR501="L23"),AK501&gt;0),SUMIFS($AK$7:$AK$1570,$BR$7:$BR$1570,BR501,$AN$7:$AN$1570,"&gt;"&amp;AN501)+SUMIFS($AK$7:$AK$1570,$BR$7:$BR$1570,BR501,$AN$7:$AN$1570,AN501,$BL$7:$BL$1570,"&lt;="&amp;BL501),"")</f>
        <v/>
      </c>
      <c r="AP501" s="65">
        <f>IF(AO501="",0,MAX(0,MIN(1,(IF(BR501="L1",Parameter!$K$5,Parameter!$K$6+Parameter!$K$7)-(AO501-AK501))/AK501)))</f>
        <v/>
      </c>
      <c r="AQ501" s="55">
        <f>IF(LEFT(Cockpit!$O$5,1)="A",G501,IF(BT501=1,BU501,IF(LEFT(Cockpit!$O$5,1)="B",AU501,MAX(AU501,G501))))</f>
        <v/>
      </c>
      <c r="AR501" s="55">
        <f>IF(BO501=1,0,ROUNDUP(AQ501/BN501,0))</f>
        <v/>
      </c>
      <c r="AS501" s="64">
        <f>IF(BO501=1,IF(AQ501&lt;=0,0,BP501*MAX(1,IF(G501&gt;0,AQ501/G501,1))),AR501*Q501)</f>
        <v/>
      </c>
      <c r="AT501" s="55">
        <f>AQ501*F501</f>
        <v/>
      </c>
      <c r="AU501" s="55">
        <f>ROUNDUP(MAX(I501/IF(BS501&gt;0,BS501,MAX(0.1,N(Cockpit!$O$6))),BV501)/BN501,0)*BN501</f>
        <v/>
      </c>
      <c r="AV501" s="56">
        <f>IF(AS501&gt;0,I501/AS501,-1)</f>
        <v/>
      </c>
      <c r="AW501" s="56">
        <f>IF(AND(OR(BR501="L1",BR501="L23"),AS501&gt;0),SUMIFS($AS$7:$AS$1570,$BR$7:$BR$1570,BR501,$AV$7:$AV$1570,"&gt;"&amp;AV501)+SUMIFS($AS$7:$AS$1570,$BR$7:$BR$1570,BR501,$AV$7:$AV$1570,AV501,$BL$7:$BL$1570,"&lt;="&amp;BL501),"")</f>
        <v/>
      </c>
      <c r="AX501" s="65">
        <f>IF(AW501="",0,MAX(0,MIN(1,(IF(BR501="L1",Parameter!$K$5,Parameter!$K$6+Parameter!$K$7)-(AW501-AS501))/AS501)))</f>
        <v/>
      </c>
      <c r="AY501" s="53">
        <f>IF(AC501&lt;=0,"",IF(BR501="Aussen","Aussenlager",IF(BR501="-","Nicht im Lift",IF(AH501&gt;=1,"Lift",IF(AH501&lt;=0,"Aussenlager","teilweise")))))</f>
        <v/>
      </c>
      <c r="AZ501" s="53">
        <f>IF(AK501&lt;=0,"",IF(BR501="Aussen","Aussenlager",IF(BR501="-","Nicht im Lift",IF(AP501&gt;=1,"Lift",IF(AP501&lt;=0,"Aussenlager","teilweise")))))</f>
        <v/>
      </c>
      <c r="BA501" s="53">
        <f>IF(AS501&lt;=0,"",IF(BR501="Aussen","Aussenlager",IF(BR501="-","Nicht im Lift",IF(AX501&gt;=1,"Lift",IF(AX501&lt;=0,"Aussenlager","teilweise")))))</f>
        <v/>
      </c>
      <c r="BB501" s="53">
        <f>IF(A501="","",IF(BK501=1,"Neu; ","")&amp;IF(AND(BK501=0,BF501&lt;0),"negativer Bestand (Export "&amp;BF501&amp;"); ","")&amp;IF(I501&lt;=0,"Kein Verbrauch; ","")&amp;IF(BO501=1,"Lose – Fläche geschätzt; ","")&amp;IF(G501&gt;AM501,"Überbestand "&amp;ROUND(G501-AM501,0)&amp;" Stk / CHF "&amp;ROUND((G501-AM501)*F501,0)&amp;"; ","")&amp;IF(AND(BT501=1,BU501&lt;BV501),"MAX &lt; MB+LG; ","")&amp;IF(AND(BZ501&gt;0,BY501*10&gt;BZ501),"zu hoch für Tablar; ","")&amp;IF(AND(BK501=0,OR(BT501=1,V501&lt;&gt;"",S501&lt;&gt;"",T501&lt;&gt;"",W501&lt;&gt;"")),"manuell übersteuert; ","")&amp;IF(AND(BO501=0,Q501=0),"Gebinde unbekannt; ","")&amp;IF(AND(BO501=0,N(T501)&lt;=0,N(P501)&lt;=0),"Menge pro Gebinde fehlt (Ist = 1 Gebinde); ","")&amp;BJ501)</f>
        <v/>
      </c>
      <c r="BC501" s="53" t="n"/>
      <c r="BD501" s="53" t="n"/>
      <c r="BE501" s="61" t="n"/>
      <c r="BF501" s="55" t="n">
        <v>28</v>
      </c>
      <c r="BG501" s="55" t="n">
        <v>64</v>
      </c>
      <c r="BH501" s="54" t="n">
        <v>37.3599999999999</v>
      </c>
      <c r="BI501" s="55" t="n">
        <v>262</v>
      </c>
      <c r="BJ501" s="53" t="inlineStr"/>
      <c r="BK501" s="58" t="n">
        <v>0</v>
      </c>
      <c r="BL501" s="58" t="n">
        <v>501</v>
      </c>
      <c r="BM501" s="53">
        <f>IF(S501&lt;&gt;"",UPPER(TRIM(S501)),IF(O501="","LOSE",O501))</f>
        <v/>
      </c>
      <c r="BN501" s="55">
        <f>IF(BM501="LOSE",1,IF(N(T501)&gt;0,T501,IF(N(P501)&gt;0,P501,MAX(1,G501))))</f>
        <v/>
      </c>
      <c r="BO501" s="58">
        <f>IF(BM501="LOSE",1,0)</f>
        <v/>
      </c>
      <c r="BP501" s="64">
        <f>IF(BO501=0,0,IF(N(R501)&gt;0,R501,IFERROR(VLOOKUP(D501,Parameter!$A$35:$C$64,3,0)+0,0)))</f>
        <v/>
      </c>
      <c r="BQ501" s="53">
        <f>IF(V501&lt;&gt;"",V501,U501)</f>
        <v/>
      </c>
      <c r="BR501" s="53">
        <f>IF(BQ501=1,"L1",IF(OR(BQ501=2,BQ501=3),"L23",IF(BQ501="Aussen","Aussen","-")))</f>
        <v/>
      </c>
      <c r="BS501" s="66">
        <f>IF(N(W501)&gt;0,W501,0)</f>
        <v/>
      </c>
      <c r="BT501" s="58">
        <f>IF(ISNUMBER(Z501),1,0)</f>
        <v/>
      </c>
      <c r="BU501" s="55">
        <f>N(Z501)</f>
        <v/>
      </c>
      <c r="BV501" s="55">
        <f>N(L501)+N(M501)</f>
        <v/>
      </c>
      <c r="BW501" s="55">
        <f>ROUNDUP(G501/BN501,0)</f>
        <v/>
      </c>
      <c r="BX501" s="55">
        <f>ROUNDUP(BU501/BN501,0)</f>
        <v/>
      </c>
      <c r="BY501" s="58">
        <f>IF(BO501=1,0,IFERROR(VLOOKUP(BM501,'Gebinde-Kategorie'!$A$5:$G$45,5,0)+0,0))</f>
        <v/>
      </c>
      <c r="BZ501" s="58">
        <f>IFERROR(IF(OR(BQ501=1,BQ501=2,BQ501=3),N(INDEX(Parameter!$I$5:$I$7,BQ501)),0),0)</f>
        <v/>
      </c>
    </row>
    <row r="502">
      <c r="A502" s="53" t="inlineStr">
        <is>
          <t>005709</t>
        </is>
      </c>
      <c r="B502" s="53" t="inlineStr">
        <is>
          <t>Thermischer Geräteschutzschalter</t>
        </is>
      </c>
      <c r="C502" s="53" t="inlineStr">
        <is>
          <t>F</t>
        </is>
      </c>
      <c r="D502" s="53" t="inlineStr">
        <is>
          <t>KTL</t>
        </is>
      </c>
      <c r="E502" s="53" t="inlineStr">
        <is>
          <t>C</t>
        </is>
      </c>
      <c r="F502" s="54" t="n">
        <v>12.02</v>
      </c>
      <c r="G502" s="55">
        <f>MAX(0,IF(Parameter!$B$20="Jahresanfang 2025 + Export",BG502+BF502,BF502))</f>
        <v/>
      </c>
      <c r="H502" s="55">
        <f>G502*F502</f>
        <v/>
      </c>
      <c r="I502" s="55">
        <f>BI502*Parameter!$B$18</f>
        <v/>
      </c>
      <c r="J502" s="56" t="n">
        <v>22.5</v>
      </c>
      <c r="K502" s="57" t="n">
        <v>1.333333333333333</v>
      </c>
      <c r="L502" s="55" t="n">
        <v>2</v>
      </c>
      <c r="M502" s="55" t="n">
        <v>30</v>
      </c>
      <c r="N502" s="58" t="n">
        <v>28</v>
      </c>
      <c r="O502" s="53" t="inlineStr">
        <is>
          <t>S22</t>
        </is>
      </c>
      <c r="P502" s="55" t="n">
        <v>22</v>
      </c>
      <c r="Q502" s="59">
        <f>IF(BO502=1,0,IFERROR(VLOOKUP(BM502,'Gebinde-Kategorie'!$A$5:$G$45,6,0)+0,0))</f>
        <v/>
      </c>
      <c r="R502" s="60" t="n"/>
      <c r="S502" s="61" t="n"/>
      <c r="T502" s="61" t="n"/>
      <c r="U502" s="53">
        <f>IF(A502="","",IF(IFERROR(VLOOKUP(D502,Parameter!$A$35:$C$64,2,0),"Nein")="2+3",IF(ISNUMBER(SEARCH("grosser Artikel",BJ502)),2,IFERROR(VLOOKUP(BM502,Parameter!$F$35:$G$64,2,0),2)),IF(OR(IFERROR(VLOOKUP(D502,Parameter!$A$35:$C$64,2,0),"Nein")="Nein",IFERROR(VLOOKUP(D502,Parameter!$A$35:$C$64,2,0),"Nein")=""),"-",VLOOKUP(D502,Parameter!$A$35:$C$64,2,0))))</f>
        <v/>
      </c>
      <c r="V502" s="61" t="n"/>
      <c r="W502" s="62" t="n"/>
      <c r="X502" s="55">
        <f>AM502</f>
        <v/>
      </c>
      <c r="Y502" s="55">
        <f>MAX(AM502,G502)</f>
        <v/>
      </c>
      <c r="Z502" s="63" t="n"/>
      <c r="AA502" s="55">
        <f>IF(LEFT(Cockpit!$C$5,1)="A",G502,IF(BT502=1,BU502,IF(LEFT(Cockpit!$C$5,1)="B",AE502,MAX(AE502,G502))))</f>
        <v/>
      </c>
      <c r="AB502" s="55">
        <f>IF(BO502=1,0,ROUNDUP(AA502/BN502,0))</f>
        <v/>
      </c>
      <c r="AC502" s="64">
        <f>IF(BO502=1,IF(AA502&lt;=0,0,BP502*MAX(1,IF(G502&gt;0,AA502/G502,1))),AB502*Q502)</f>
        <v/>
      </c>
      <c r="AD502" s="55">
        <f>AA502*F502</f>
        <v/>
      </c>
      <c r="AE502" s="55">
        <f>ROUNDUP(MAX(I502/IF(BS502&gt;0,BS502,MAX(0.1,N(Cockpit!$C$6))),BV502)/BN502,0)*BN502</f>
        <v/>
      </c>
      <c r="AF502" s="56">
        <f>IF(AC502&gt;0,I502/AC502,-1)</f>
        <v/>
      </c>
      <c r="AG502" s="56">
        <f>IF(AND(OR(BR502="L1",BR502="L23"),AC502&gt;0),SUMIFS($AC$7:$AC$1570,$BR$7:$BR$1570,BR502,$AF$7:$AF$1570,"&gt;"&amp;AF502)+SUMIFS($AC$7:$AC$1570,$BR$7:$BR$1570,BR502,$AF$7:$AF$1570,AF502,$BL$7:$BL$1570,"&lt;="&amp;BL502),"")</f>
        <v/>
      </c>
      <c r="AH502" s="65">
        <f>IF(AG502="",0,MAX(0,MIN(1,(IF(BR502="L1",Parameter!$K$5,Parameter!$K$6+Parameter!$K$7)-(AG502-AC502))/AC502)))</f>
        <v/>
      </c>
      <c r="AI502" s="55">
        <f>IF(LEFT(Cockpit!$I$5,1)="A",G502,IF(BT502=1,BU502,IF(LEFT(Cockpit!$I$5,1)="B",AM502,MAX(AM502,G502))))</f>
        <v/>
      </c>
      <c r="AJ502" s="55">
        <f>IF(BO502=1,0,ROUNDUP(AI502/BN502,0))</f>
        <v/>
      </c>
      <c r="AK502" s="64">
        <f>IF(BO502=1,IF(AI502&lt;=0,0,BP502*MAX(1,IF(G502&gt;0,AI502/G502,1))),AJ502*Q502)</f>
        <v/>
      </c>
      <c r="AL502" s="55">
        <f>AI502*F502</f>
        <v/>
      </c>
      <c r="AM502" s="55">
        <f>ROUNDUP(MAX(I502/IF(BS502&gt;0,BS502,MAX(0.1,N(Cockpit!$I$6))),BV502)/BN502,0)*BN502</f>
        <v/>
      </c>
      <c r="AN502" s="56">
        <f>IF(AK502&gt;0,I502/AK502,-1)</f>
        <v/>
      </c>
      <c r="AO502" s="56">
        <f>IF(AND(OR(BR502="L1",BR502="L23"),AK502&gt;0),SUMIFS($AK$7:$AK$1570,$BR$7:$BR$1570,BR502,$AN$7:$AN$1570,"&gt;"&amp;AN502)+SUMIFS($AK$7:$AK$1570,$BR$7:$BR$1570,BR502,$AN$7:$AN$1570,AN502,$BL$7:$BL$1570,"&lt;="&amp;BL502),"")</f>
        <v/>
      </c>
      <c r="AP502" s="65">
        <f>IF(AO502="",0,MAX(0,MIN(1,(IF(BR502="L1",Parameter!$K$5,Parameter!$K$6+Parameter!$K$7)-(AO502-AK502))/AK502)))</f>
        <v/>
      </c>
      <c r="AQ502" s="55">
        <f>IF(LEFT(Cockpit!$O$5,1)="A",G502,IF(BT502=1,BU502,IF(LEFT(Cockpit!$O$5,1)="B",AU502,MAX(AU502,G502))))</f>
        <v/>
      </c>
      <c r="AR502" s="55">
        <f>IF(BO502=1,0,ROUNDUP(AQ502/BN502,0))</f>
        <v/>
      </c>
      <c r="AS502" s="64">
        <f>IF(BO502=1,IF(AQ502&lt;=0,0,BP502*MAX(1,IF(G502&gt;0,AQ502/G502,1))),AR502*Q502)</f>
        <v/>
      </c>
      <c r="AT502" s="55">
        <f>AQ502*F502</f>
        <v/>
      </c>
      <c r="AU502" s="55">
        <f>ROUNDUP(MAX(I502/IF(BS502&gt;0,BS502,MAX(0.1,N(Cockpit!$O$6))),BV502)/BN502,0)*BN502</f>
        <v/>
      </c>
      <c r="AV502" s="56">
        <f>IF(AS502&gt;0,I502/AS502,-1)</f>
        <v/>
      </c>
      <c r="AW502" s="56">
        <f>IF(AND(OR(BR502="L1",BR502="L23"),AS502&gt;0),SUMIFS($AS$7:$AS$1570,$BR$7:$BR$1570,BR502,$AV$7:$AV$1570,"&gt;"&amp;AV502)+SUMIFS($AS$7:$AS$1570,$BR$7:$BR$1570,BR502,$AV$7:$AV$1570,AV502,$BL$7:$BL$1570,"&lt;="&amp;BL502),"")</f>
        <v/>
      </c>
      <c r="AX502" s="65">
        <f>IF(AW502="",0,MAX(0,MIN(1,(IF(BR502="L1",Parameter!$K$5,Parameter!$K$6+Parameter!$K$7)-(AW502-AS502))/AS502)))</f>
        <v/>
      </c>
      <c r="AY502" s="53">
        <f>IF(AC502&lt;=0,"",IF(BR502="Aussen","Aussenlager",IF(BR502="-","Nicht im Lift",IF(AH502&gt;=1,"Lift",IF(AH502&lt;=0,"Aussenlager","teilweise")))))</f>
        <v/>
      </c>
      <c r="AZ502" s="53">
        <f>IF(AK502&lt;=0,"",IF(BR502="Aussen","Aussenlager",IF(BR502="-","Nicht im Lift",IF(AP502&gt;=1,"Lift",IF(AP502&lt;=0,"Aussenlager","teilweise")))))</f>
        <v/>
      </c>
      <c r="BA502" s="53">
        <f>IF(AS502&lt;=0,"",IF(BR502="Aussen","Aussenlager",IF(BR502="-","Nicht im Lift",IF(AX502&gt;=1,"Lift",IF(AX502&lt;=0,"Aussenlager","teilweise")))))</f>
        <v/>
      </c>
      <c r="BB502" s="53">
        <f>IF(A502="","",IF(BK502=1,"Neu; ","")&amp;IF(AND(BK502=0,BF502&lt;0),"negativer Bestand (Export "&amp;BF502&amp;"); ","")&amp;IF(I502&lt;=0,"Kein Verbrauch; ","")&amp;IF(BO502=1,"Lose – Fläche geschätzt; ","")&amp;IF(G502&gt;AM502,"Überbestand "&amp;ROUND(G502-AM502,0)&amp;" Stk / CHF "&amp;ROUND((G502-AM502)*F502,0)&amp;"; ","")&amp;IF(AND(BT502=1,BU502&lt;BV502),"MAX &lt; MB+LG; ","")&amp;IF(AND(BZ502&gt;0,BY502*10&gt;BZ502),"zu hoch für Tablar; ","")&amp;IF(AND(BK502=0,OR(BT502=1,V502&lt;&gt;"",S502&lt;&gt;"",T502&lt;&gt;"",W502&lt;&gt;"")),"manuell übersteuert; ","")&amp;IF(AND(BO502=0,Q502=0),"Gebinde unbekannt; ","")&amp;IF(AND(BO502=0,N(T502)&lt;=0,N(P502)&lt;=0),"Menge pro Gebinde fehlt (Ist = 1 Gebinde); ","")&amp;BJ502)</f>
        <v/>
      </c>
      <c r="BC502" s="53" t="n"/>
      <c r="BD502" s="53" t="n"/>
      <c r="BE502" s="61" t="n"/>
      <c r="BF502" s="55" t="n">
        <v>0</v>
      </c>
      <c r="BG502" s="55" t="n">
        <v>25</v>
      </c>
      <c r="BH502" s="54" t="n">
        <v>36.49999999999994</v>
      </c>
      <c r="BI502" s="55" t="n">
        <v>30</v>
      </c>
      <c r="BJ502" s="53" t="inlineStr"/>
      <c r="BK502" s="58" t="n">
        <v>0</v>
      </c>
      <c r="BL502" s="58" t="n">
        <v>502</v>
      </c>
      <c r="BM502" s="53">
        <f>IF(S502&lt;&gt;"",UPPER(TRIM(S502)),IF(O502="","LOSE",O502))</f>
        <v/>
      </c>
      <c r="BN502" s="55">
        <f>IF(BM502="LOSE",1,IF(N(T502)&gt;0,T502,IF(N(P502)&gt;0,P502,MAX(1,G502))))</f>
        <v/>
      </c>
      <c r="BO502" s="58">
        <f>IF(BM502="LOSE",1,0)</f>
        <v/>
      </c>
      <c r="BP502" s="64">
        <f>IF(BO502=0,0,IF(N(R502)&gt;0,R502,IFERROR(VLOOKUP(D502,Parameter!$A$35:$C$64,3,0)+0,0)))</f>
        <v/>
      </c>
      <c r="BQ502" s="53">
        <f>IF(V502&lt;&gt;"",V502,U502)</f>
        <v/>
      </c>
      <c r="BR502" s="53">
        <f>IF(BQ502=1,"L1",IF(OR(BQ502=2,BQ502=3),"L23",IF(BQ502="Aussen","Aussen","-")))</f>
        <v/>
      </c>
      <c r="BS502" s="66">
        <f>IF(N(W502)&gt;0,W502,0)</f>
        <v/>
      </c>
      <c r="BT502" s="58">
        <f>IF(ISNUMBER(Z502),1,0)</f>
        <v/>
      </c>
      <c r="BU502" s="55">
        <f>N(Z502)</f>
        <v/>
      </c>
      <c r="BV502" s="55">
        <f>N(L502)+N(M502)</f>
        <v/>
      </c>
      <c r="BW502" s="55">
        <f>ROUNDUP(G502/BN502,0)</f>
        <v/>
      </c>
      <c r="BX502" s="55">
        <f>ROUNDUP(BU502/BN502,0)</f>
        <v/>
      </c>
      <c r="BY502" s="58">
        <f>IF(BO502=1,0,IFERROR(VLOOKUP(BM502,'Gebinde-Kategorie'!$A$5:$G$45,5,0)+0,0))</f>
        <v/>
      </c>
      <c r="BZ502" s="58">
        <f>IFERROR(IF(OR(BQ502=1,BQ502=2,BQ502=3),N(INDEX(Parameter!$I$5:$I$7,BQ502)),0),0)</f>
        <v/>
      </c>
    </row>
    <row r="503">
      <c r="A503" s="53" t="inlineStr">
        <is>
          <t>108272</t>
        </is>
      </c>
      <c r="B503" s="53" t="inlineStr">
        <is>
          <t>Etikette Ölwechsel AC215</t>
        </is>
      </c>
      <c r="C503" s="53" t="inlineStr">
        <is>
          <t>F</t>
        </is>
      </c>
      <c r="D503" s="53" t="inlineStr">
        <is>
          <t>KTL</t>
        </is>
      </c>
      <c r="E503" s="53" t="inlineStr">
        <is>
          <t>C</t>
        </is>
      </c>
      <c r="F503" s="54" t="n">
        <v>2.38</v>
      </c>
      <c r="G503" s="55">
        <f>MAX(0,IF(Parameter!$B$20="Jahresanfang 2025 + Export",BG503+BF503,BF503))</f>
        <v/>
      </c>
      <c r="H503" s="55">
        <f>G503*F503</f>
        <v/>
      </c>
      <c r="I503" s="55">
        <f>BI503*Parameter!$B$18</f>
        <v/>
      </c>
      <c r="J503" s="56" t="n">
        <v>112.5</v>
      </c>
      <c r="K503" s="57" t="n">
        <v>0</v>
      </c>
      <c r="L503" s="55" t="n">
        <v>2</v>
      </c>
      <c r="M503" s="55" t="n">
        <v>50</v>
      </c>
      <c r="N503" s="58" t="n">
        <v>28</v>
      </c>
      <c r="O503" s="53" t="inlineStr">
        <is>
          <t>S41</t>
        </is>
      </c>
      <c r="P503" s="55" t="n">
        <v>106</v>
      </c>
      <c r="Q503" s="59">
        <f>IF(BO503=1,0,IFERROR(VLOOKUP(BM503,'Gebinde-Kategorie'!$A$5:$G$45,6,0)+0,0))</f>
        <v/>
      </c>
      <c r="R503" s="60" t="n"/>
      <c r="S503" s="61" t="n"/>
      <c r="T503" s="61" t="n"/>
      <c r="U503" s="53">
        <f>IF(A503="","",IF(IFERROR(VLOOKUP(D503,Parameter!$A$35:$C$64,2,0),"Nein")="2+3",IF(ISNUMBER(SEARCH("grosser Artikel",BJ503)),2,IFERROR(VLOOKUP(BM503,Parameter!$F$35:$G$64,2,0),2)),IF(OR(IFERROR(VLOOKUP(D503,Parameter!$A$35:$C$64,2,0),"Nein")="Nein",IFERROR(VLOOKUP(D503,Parameter!$A$35:$C$64,2,0),"Nein")=""),"-",VLOOKUP(D503,Parameter!$A$35:$C$64,2,0))))</f>
        <v/>
      </c>
      <c r="V503" s="61" t="n"/>
      <c r="W503" s="62" t="n"/>
      <c r="X503" s="55">
        <f>AM503</f>
        <v/>
      </c>
      <c r="Y503" s="55">
        <f>MAX(AM503,G503)</f>
        <v/>
      </c>
      <c r="Z503" s="63" t="n"/>
      <c r="AA503" s="55">
        <f>IF(LEFT(Cockpit!$C$5,1)="A",G503,IF(BT503=1,BU503,IF(LEFT(Cockpit!$C$5,1)="B",AE503,MAX(AE503,G503))))</f>
        <v/>
      </c>
      <c r="AB503" s="55">
        <f>IF(BO503=1,0,ROUNDUP(AA503/BN503,0))</f>
        <v/>
      </c>
      <c r="AC503" s="64">
        <f>IF(BO503=1,IF(AA503&lt;=0,0,BP503*MAX(1,IF(G503&gt;0,AA503/G503,1))),AB503*Q503)</f>
        <v/>
      </c>
      <c r="AD503" s="55">
        <f>AA503*F503</f>
        <v/>
      </c>
      <c r="AE503" s="55">
        <f>ROUNDUP(MAX(I503/IF(BS503&gt;0,BS503,MAX(0.1,N(Cockpit!$C$6))),BV503)/BN503,0)*BN503</f>
        <v/>
      </c>
      <c r="AF503" s="56">
        <f>IF(AC503&gt;0,I503/AC503,-1)</f>
        <v/>
      </c>
      <c r="AG503" s="56">
        <f>IF(AND(OR(BR503="L1",BR503="L23"),AC503&gt;0),SUMIFS($AC$7:$AC$1570,$BR$7:$BR$1570,BR503,$AF$7:$AF$1570,"&gt;"&amp;AF503)+SUMIFS($AC$7:$AC$1570,$BR$7:$BR$1570,BR503,$AF$7:$AF$1570,AF503,$BL$7:$BL$1570,"&lt;="&amp;BL503),"")</f>
        <v/>
      </c>
      <c r="AH503" s="65">
        <f>IF(AG503="",0,MAX(0,MIN(1,(IF(BR503="L1",Parameter!$K$5,Parameter!$K$6+Parameter!$K$7)-(AG503-AC503))/AC503)))</f>
        <v/>
      </c>
      <c r="AI503" s="55">
        <f>IF(LEFT(Cockpit!$I$5,1)="A",G503,IF(BT503=1,BU503,IF(LEFT(Cockpit!$I$5,1)="B",AM503,MAX(AM503,G503))))</f>
        <v/>
      </c>
      <c r="AJ503" s="55">
        <f>IF(BO503=1,0,ROUNDUP(AI503/BN503,0))</f>
        <v/>
      </c>
      <c r="AK503" s="64">
        <f>IF(BO503=1,IF(AI503&lt;=0,0,BP503*MAX(1,IF(G503&gt;0,AI503/G503,1))),AJ503*Q503)</f>
        <v/>
      </c>
      <c r="AL503" s="55">
        <f>AI503*F503</f>
        <v/>
      </c>
      <c r="AM503" s="55">
        <f>ROUNDUP(MAX(I503/IF(BS503&gt;0,BS503,MAX(0.1,N(Cockpit!$I$6))),BV503)/BN503,0)*BN503</f>
        <v/>
      </c>
      <c r="AN503" s="56">
        <f>IF(AK503&gt;0,I503/AK503,-1)</f>
        <v/>
      </c>
      <c r="AO503" s="56">
        <f>IF(AND(OR(BR503="L1",BR503="L23"),AK503&gt;0),SUMIFS($AK$7:$AK$1570,$BR$7:$BR$1570,BR503,$AN$7:$AN$1570,"&gt;"&amp;AN503)+SUMIFS($AK$7:$AK$1570,$BR$7:$BR$1570,BR503,$AN$7:$AN$1570,AN503,$BL$7:$BL$1570,"&lt;="&amp;BL503),"")</f>
        <v/>
      </c>
      <c r="AP503" s="65">
        <f>IF(AO503="",0,MAX(0,MIN(1,(IF(BR503="L1",Parameter!$K$5,Parameter!$K$6+Parameter!$K$7)-(AO503-AK503))/AK503)))</f>
        <v/>
      </c>
      <c r="AQ503" s="55">
        <f>IF(LEFT(Cockpit!$O$5,1)="A",G503,IF(BT503=1,BU503,IF(LEFT(Cockpit!$O$5,1)="B",AU503,MAX(AU503,G503))))</f>
        <v/>
      </c>
      <c r="AR503" s="55">
        <f>IF(BO503=1,0,ROUNDUP(AQ503/BN503,0))</f>
        <v/>
      </c>
      <c r="AS503" s="64">
        <f>IF(BO503=1,IF(AQ503&lt;=0,0,BP503*MAX(1,IF(G503&gt;0,AQ503/G503,1))),AR503*Q503)</f>
        <v/>
      </c>
      <c r="AT503" s="55">
        <f>AQ503*F503</f>
        <v/>
      </c>
      <c r="AU503" s="55">
        <f>ROUNDUP(MAX(I503/IF(BS503&gt;0,BS503,MAX(0.1,N(Cockpit!$O$6))),BV503)/BN503,0)*BN503</f>
        <v/>
      </c>
      <c r="AV503" s="56">
        <f>IF(AS503&gt;0,I503/AS503,-1)</f>
        <v/>
      </c>
      <c r="AW503" s="56">
        <f>IF(AND(OR(BR503="L1",BR503="L23"),AS503&gt;0),SUMIFS($AS$7:$AS$1570,$BR$7:$BR$1570,BR503,$AV$7:$AV$1570,"&gt;"&amp;AV503)+SUMIFS($AS$7:$AS$1570,$BR$7:$BR$1570,BR503,$AV$7:$AV$1570,AV503,$BL$7:$BL$1570,"&lt;="&amp;BL503),"")</f>
        <v/>
      </c>
      <c r="AX503" s="65">
        <f>IF(AW503="",0,MAX(0,MIN(1,(IF(BR503="L1",Parameter!$K$5,Parameter!$K$6+Parameter!$K$7)-(AW503-AS503))/AS503)))</f>
        <v/>
      </c>
      <c r="AY503" s="53">
        <f>IF(AC503&lt;=0,"",IF(BR503="Aussen","Aussenlager",IF(BR503="-","Nicht im Lift",IF(AH503&gt;=1,"Lift",IF(AH503&lt;=0,"Aussenlager","teilweise")))))</f>
        <v/>
      </c>
      <c r="AZ503" s="53">
        <f>IF(AK503&lt;=0,"",IF(BR503="Aussen","Aussenlager",IF(BR503="-","Nicht im Lift",IF(AP503&gt;=1,"Lift",IF(AP503&lt;=0,"Aussenlager","teilweise")))))</f>
        <v/>
      </c>
      <c r="BA503" s="53">
        <f>IF(AS503&lt;=0,"",IF(BR503="Aussen","Aussenlager",IF(BR503="-","Nicht im Lift",IF(AX503&gt;=1,"Lift",IF(AX503&lt;=0,"Aussenlager","teilweise")))))</f>
        <v/>
      </c>
      <c r="BB503" s="53">
        <f>IF(A503="","",IF(BK503=1,"Neu; ","")&amp;IF(AND(BK503=0,BF503&lt;0),"negativer Bestand (Export "&amp;BF503&amp;"); ","")&amp;IF(I503&lt;=0,"Kein Verbrauch; ","")&amp;IF(BO503=1,"Lose – Fläche geschätzt; ","")&amp;IF(G503&gt;AM503,"Überbestand "&amp;ROUND(G503-AM503,0)&amp;" Stk / CHF "&amp;ROUND((G503-AM503)*F503,0)&amp;"; ","")&amp;IF(AND(BT503=1,BU503&lt;BV503),"MAX &lt; MB+LG; ","")&amp;IF(AND(BZ503&gt;0,BY503*10&gt;BZ503),"zu hoch für Tablar; ","")&amp;IF(AND(BK503=0,OR(BT503=1,V503&lt;&gt;"",S503&lt;&gt;"",T503&lt;&gt;"",W503&lt;&gt;"")),"manuell übersteuert; ","")&amp;IF(AND(BO503=0,Q503=0),"Gebinde unbekannt; ","")&amp;IF(AND(BO503=0,N(T503)&lt;=0,N(P503)&lt;=0),"Menge pro Gebinde fehlt (Ist = 1 Gebinde); ","")&amp;BJ503)</f>
        <v/>
      </c>
      <c r="BC503" s="53" t="n"/>
      <c r="BD503" s="53" t="n"/>
      <c r="BE503" s="61" t="n"/>
      <c r="BF503" s="55" t="n">
        <v>15</v>
      </c>
      <c r="BG503" s="55" t="n">
        <v>105</v>
      </c>
      <c r="BH503" s="54" t="n">
        <v>35.7</v>
      </c>
      <c r="BI503" s="55" t="n">
        <v>0</v>
      </c>
      <c r="BJ503" s="53" t="inlineStr">
        <is>
          <t>Neu</t>
        </is>
      </c>
      <c r="BK503" s="58" t="n">
        <v>0</v>
      </c>
      <c r="BL503" s="58" t="n">
        <v>503</v>
      </c>
      <c r="BM503" s="53">
        <f>IF(S503&lt;&gt;"",UPPER(TRIM(S503)),IF(O503="","LOSE",O503))</f>
        <v/>
      </c>
      <c r="BN503" s="55">
        <f>IF(BM503="LOSE",1,IF(N(T503)&gt;0,T503,IF(N(P503)&gt;0,P503,MAX(1,G503))))</f>
        <v/>
      </c>
      <c r="BO503" s="58">
        <f>IF(BM503="LOSE",1,0)</f>
        <v/>
      </c>
      <c r="BP503" s="64">
        <f>IF(BO503=0,0,IF(N(R503)&gt;0,R503,IFERROR(VLOOKUP(D503,Parameter!$A$35:$C$64,3,0)+0,0)))</f>
        <v/>
      </c>
      <c r="BQ503" s="53">
        <f>IF(V503&lt;&gt;"",V503,U503)</f>
        <v/>
      </c>
      <c r="BR503" s="53">
        <f>IF(BQ503=1,"L1",IF(OR(BQ503=2,BQ503=3),"L23",IF(BQ503="Aussen","Aussen","-")))</f>
        <v/>
      </c>
      <c r="BS503" s="66">
        <f>IF(N(W503)&gt;0,W503,0)</f>
        <v/>
      </c>
      <c r="BT503" s="58">
        <f>IF(ISNUMBER(Z503),1,0)</f>
        <v/>
      </c>
      <c r="BU503" s="55">
        <f>N(Z503)</f>
        <v/>
      </c>
      <c r="BV503" s="55">
        <f>N(L503)+N(M503)</f>
        <v/>
      </c>
      <c r="BW503" s="55">
        <f>ROUNDUP(G503/BN503,0)</f>
        <v/>
      </c>
      <c r="BX503" s="55">
        <f>ROUNDUP(BU503/BN503,0)</f>
        <v/>
      </c>
      <c r="BY503" s="58">
        <f>IF(BO503=1,0,IFERROR(VLOOKUP(BM503,'Gebinde-Kategorie'!$A$5:$G$45,5,0)+0,0))</f>
        <v/>
      </c>
      <c r="BZ503" s="58">
        <f>IFERROR(IF(OR(BQ503=1,BQ503=2,BQ503=3),N(INDEX(Parameter!$I$5:$I$7,BQ503)),0),0)</f>
        <v/>
      </c>
    </row>
    <row r="504">
      <c r="A504" s="53" t="inlineStr">
        <is>
          <t>001139</t>
        </is>
      </c>
      <c r="B504" s="53" t="inlineStr">
        <is>
          <t>Klammern Typ G</t>
        </is>
      </c>
      <c r="C504" s="53" t="inlineStr">
        <is>
          <t>F</t>
        </is>
      </c>
      <c r="D504" s="53" t="inlineStr">
        <is>
          <t>KTL</t>
        </is>
      </c>
      <c r="E504" s="53" t="inlineStr">
        <is>
          <t>C</t>
        </is>
      </c>
      <c r="F504" s="54" t="n">
        <v>0.21</v>
      </c>
      <c r="G504" s="55">
        <f>MAX(0,IF(Parameter!$B$20="Jahresanfang 2025 + Export",BG504+BF504,BF504))</f>
        <v/>
      </c>
      <c r="H504" s="55">
        <f>G504*F504</f>
        <v/>
      </c>
      <c r="I504" s="55">
        <f>BI504*Parameter!$B$18</f>
        <v/>
      </c>
      <c r="J504" s="56" t="n">
        <v>1200</v>
      </c>
      <c r="K504" s="57" t="n">
        <v>0</v>
      </c>
      <c r="L504" s="55" t="n">
        <v>0</v>
      </c>
      <c r="M504" s="55" t="n">
        <v>1</v>
      </c>
      <c r="N504" s="58" t="n">
        <v>14</v>
      </c>
      <c r="O504" s="53" t="inlineStr">
        <is>
          <t>S22</t>
        </is>
      </c>
      <c r="P504" s="55" t="n">
        <v>8000</v>
      </c>
      <c r="Q504" s="59">
        <f>IF(BO504=1,0,IFERROR(VLOOKUP(BM504,'Gebinde-Kategorie'!$A$5:$G$45,6,0)+0,0))</f>
        <v/>
      </c>
      <c r="R504" s="60" t="n"/>
      <c r="S504" s="61" t="n"/>
      <c r="T504" s="61" t="n"/>
      <c r="U504" s="53">
        <f>IF(A504="","",IF(IFERROR(VLOOKUP(D504,Parameter!$A$35:$C$64,2,0),"Nein")="2+3",IF(ISNUMBER(SEARCH("grosser Artikel",BJ504)),2,IFERROR(VLOOKUP(BM504,Parameter!$F$35:$G$64,2,0),2)),IF(OR(IFERROR(VLOOKUP(D504,Parameter!$A$35:$C$64,2,0),"Nein")="Nein",IFERROR(VLOOKUP(D504,Parameter!$A$35:$C$64,2,0),"Nein")=""),"-",VLOOKUP(D504,Parameter!$A$35:$C$64,2,0))))</f>
        <v/>
      </c>
      <c r="V504" s="61" t="n"/>
      <c r="W504" s="62" t="n"/>
      <c r="X504" s="55">
        <f>AM504</f>
        <v/>
      </c>
      <c r="Y504" s="55">
        <f>MAX(AM504,G504)</f>
        <v/>
      </c>
      <c r="Z504" s="63" t="n"/>
      <c r="AA504" s="55">
        <f>IF(LEFT(Cockpit!$C$5,1)="A",G504,IF(BT504=1,BU504,IF(LEFT(Cockpit!$C$5,1)="B",AE504,MAX(AE504,G504))))</f>
        <v/>
      </c>
      <c r="AB504" s="55">
        <f>IF(BO504=1,0,ROUNDUP(AA504/BN504,0))</f>
        <v/>
      </c>
      <c r="AC504" s="64">
        <f>IF(BO504=1,IF(AA504&lt;=0,0,BP504*MAX(1,IF(G504&gt;0,AA504/G504,1))),AB504*Q504)</f>
        <v/>
      </c>
      <c r="AD504" s="55">
        <f>AA504*F504</f>
        <v/>
      </c>
      <c r="AE504" s="55">
        <f>ROUNDUP(MAX(I504/IF(BS504&gt;0,BS504,MAX(0.1,N(Cockpit!$C$6))),BV504)/BN504,0)*BN504</f>
        <v/>
      </c>
      <c r="AF504" s="56">
        <f>IF(AC504&gt;0,I504/AC504,-1)</f>
        <v/>
      </c>
      <c r="AG504" s="56">
        <f>IF(AND(OR(BR504="L1",BR504="L23"),AC504&gt;0),SUMIFS($AC$7:$AC$1570,$BR$7:$BR$1570,BR504,$AF$7:$AF$1570,"&gt;"&amp;AF504)+SUMIFS($AC$7:$AC$1570,$BR$7:$BR$1570,BR504,$AF$7:$AF$1570,AF504,$BL$7:$BL$1570,"&lt;="&amp;BL504),"")</f>
        <v/>
      </c>
      <c r="AH504" s="65">
        <f>IF(AG504="",0,MAX(0,MIN(1,(IF(BR504="L1",Parameter!$K$5,Parameter!$K$6+Parameter!$K$7)-(AG504-AC504))/AC504)))</f>
        <v/>
      </c>
      <c r="AI504" s="55">
        <f>IF(LEFT(Cockpit!$I$5,1)="A",G504,IF(BT504=1,BU504,IF(LEFT(Cockpit!$I$5,1)="B",AM504,MAX(AM504,G504))))</f>
        <v/>
      </c>
      <c r="AJ504" s="55">
        <f>IF(BO504=1,0,ROUNDUP(AI504/BN504,0))</f>
        <v/>
      </c>
      <c r="AK504" s="64">
        <f>IF(BO504=1,IF(AI504&lt;=0,0,BP504*MAX(1,IF(G504&gt;0,AI504/G504,1))),AJ504*Q504)</f>
        <v/>
      </c>
      <c r="AL504" s="55">
        <f>AI504*F504</f>
        <v/>
      </c>
      <c r="AM504" s="55">
        <f>ROUNDUP(MAX(I504/IF(BS504&gt;0,BS504,MAX(0.1,N(Cockpit!$I$6))),BV504)/BN504,0)*BN504</f>
        <v/>
      </c>
      <c r="AN504" s="56">
        <f>IF(AK504&gt;0,I504/AK504,-1)</f>
        <v/>
      </c>
      <c r="AO504" s="56">
        <f>IF(AND(OR(BR504="L1",BR504="L23"),AK504&gt;0),SUMIFS($AK$7:$AK$1570,$BR$7:$BR$1570,BR504,$AN$7:$AN$1570,"&gt;"&amp;AN504)+SUMIFS($AK$7:$AK$1570,$BR$7:$BR$1570,BR504,$AN$7:$AN$1570,AN504,$BL$7:$BL$1570,"&lt;="&amp;BL504),"")</f>
        <v/>
      </c>
      <c r="AP504" s="65">
        <f>IF(AO504="",0,MAX(0,MIN(1,(IF(BR504="L1",Parameter!$K$5,Parameter!$K$6+Parameter!$K$7)-(AO504-AK504))/AK504)))</f>
        <v/>
      </c>
      <c r="AQ504" s="55">
        <f>IF(LEFT(Cockpit!$O$5,1)="A",G504,IF(BT504=1,BU504,IF(LEFT(Cockpit!$O$5,1)="B",AU504,MAX(AU504,G504))))</f>
        <v/>
      </c>
      <c r="AR504" s="55">
        <f>IF(BO504=1,0,ROUNDUP(AQ504/BN504,0))</f>
        <v/>
      </c>
      <c r="AS504" s="64">
        <f>IF(BO504=1,IF(AQ504&lt;=0,0,BP504*MAX(1,IF(G504&gt;0,AQ504/G504,1))),AR504*Q504)</f>
        <v/>
      </c>
      <c r="AT504" s="55">
        <f>AQ504*F504</f>
        <v/>
      </c>
      <c r="AU504" s="55">
        <f>ROUNDUP(MAX(I504/IF(BS504&gt;0,BS504,MAX(0.1,N(Cockpit!$O$6))),BV504)/BN504,0)*BN504</f>
        <v/>
      </c>
      <c r="AV504" s="56">
        <f>IF(AS504&gt;0,I504/AS504,-1)</f>
        <v/>
      </c>
      <c r="AW504" s="56">
        <f>IF(AND(OR(BR504="L1",BR504="L23"),AS504&gt;0),SUMIFS($AS$7:$AS$1570,$BR$7:$BR$1570,BR504,$AV$7:$AV$1570,"&gt;"&amp;AV504)+SUMIFS($AS$7:$AS$1570,$BR$7:$BR$1570,BR504,$AV$7:$AV$1570,AV504,$BL$7:$BL$1570,"&lt;="&amp;BL504),"")</f>
        <v/>
      </c>
      <c r="AX504" s="65">
        <f>IF(AW504="",0,MAX(0,MIN(1,(IF(BR504="L1",Parameter!$K$5,Parameter!$K$6+Parameter!$K$7)-(AW504-AS504))/AS504)))</f>
        <v/>
      </c>
      <c r="AY504" s="53">
        <f>IF(AC504&lt;=0,"",IF(BR504="Aussen","Aussenlager",IF(BR504="-","Nicht im Lift",IF(AH504&gt;=1,"Lift",IF(AH504&lt;=0,"Aussenlager","teilweise")))))</f>
        <v/>
      </c>
      <c r="AZ504" s="53">
        <f>IF(AK504&lt;=0,"",IF(BR504="Aussen","Aussenlager",IF(BR504="-","Nicht im Lift",IF(AP504&gt;=1,"Lift",IF(AP504&lt;=0,"Aussenlager","teilweise")))))</f>
        <v/>
      </c>
      <c r="BA504" s="53">
        <f>IF(AS504&lt;=0,"",IF(BR504="Aussen","Aussenlager",IF(BR504="-","Nicht im Lift",IF(AX504&gt;=1,"Lift",IF(AX504&lt;=0,"Aussenlager","teilweise")))))</f>
        <v/>
      </c>
      <c r="BB504" s="53">
        <f>IF(A504="","",IF(BK504=1,"Neu; ","")&amp;IF(AND(BK504=0,BF504&lt;0),"negativer Bestand (Export "&amp;BF504&amp;"); ","")&amp;IF(I504&lt;=0,"Kein Verbrauch; ","")&amp;IF(BO504=1,"Lose – Fläche geschätzt; ","")&amp;IF(G504&gt;AM504,"Überbestand "&amp;ROUND(G504-AM504,0)&amp;" Stk / CHF "&amp;ROUND((G504-AM504)*F504,0)&amp;"; ","")&amp;IF(AND(BT504=1,BU504&lt;BV504),"MAX &lt; MB+LG; ","")&amp;IF(AND(BZ504&gt;0,BY504*10&gt;BZ504),"zu hoch für Tablar; ","")&amp;IF(AND(BK504=0,OR(BT504=1,V504&lt;&gt;"",S504&lt;&gt;"",T504&lt;&gt;"",W504&lt;&gt;"")),"manuell übersteuert; ","")&amp;IF(AND(BO504=0,Q504=0),"Gebinde unbekannt; ","")&amp;IF(AND(BO504=0,N(T504)&lt;=0,N(P504)&lt;=0),"Menge pro Gebinde fehlt (Ist = 1 Gebinde); ","")&amp;BJ504)</f>
        <v/>
      </c>
      <c r="BC504" s="53" t="n"/>
      <c r="BD504" s="53" t="n"/>
      <c r="BE504" s="61" t="n"/>
      <c r="BF504" s="55" t="n">
        <v>170</v>
      </c>
      <c r="BG504" s="55" t="n">
        <v>1400</v>
      </c>
      <c r="BH504" s="54" t="n">
        <v>35.7</v>
      </c>
      <c r="BI504" s="55" t="n">
        <v>0</v>
      </c>
      <c r="BJ504" s="53" t="inlineStr"/>
      <c r="BK504" s="58" t="n">
        <v>0</v>
      </c>
      <c r="BL504" s="58" t="n">
        <v>504</v>
      </c>
      <c r="BM504" s="53">
        <f>IF(S504&lt;&gt;"",UPPER(TRIM(S504)),IF(O504="","LOSE",O504))</f>
        <v/>
      </c>
      <c r="BN504" s="55">
        <f>IF(BM504="LOSE",1,IF(N(T504)&gt;0,T504,IF(N(P504)&gt;0,P504,MAX(1,G504))))</f>
        <v/>
      </c>
      <c r="BO504" s="58">
        <f>IF(BM504="LOSE",1,0)</f>
        <v/>
      </c>
      <c r="BP504" s="64">
        <f>IF(BO504=0,0,IF(N(R504)&gt;0,R504,IFERROR(VLOOKUP(D504,Parameter!$A$35:$C$64,3,0)+0,0)))</f>
        <v/>
      </c>
      <c r="BQ504" s="53">
        <f>IF(V504&lt;&gt;"",V504,U504)</f>
        <v/>
      </c>
      <c r="BR504" s="53">
        <f>IF(BQ504=1,"L1",IF(OR(BQ504=2,BQ504=3),"L23",IF(BQ504="Aussen","Aussen","-")))</f>
        <v/>
      </c>
      <c r="BS504" s="66">
        <f>IF(N(W504)&gt;0,W504,0)</f>
        <v/>
      </c>
      <c r="BT504" s="58">
        <f>IF(ISNUMBER(Z504),1,0)</f>
        <v/>
      </c>
      <c r="BU504" s="55">
        <f>N(Z504)</f>
        <v/>
      </c>
      <c r="BV504" s="55">
        <f>N(L504)+N(M504)</f>
        <v/>
      </c>
      <c r="BW504" s="55">
        <f>ROUNDUP(G504/BN504,0)</f>
        <v/>
      </c>
      <c r="BX504" s="55">
        <f>ROUNDUP(BU504/BN504,0)</f>
        <v/>
      </c>
      <c r="BY504" s="58">
        <f>IF(BO504=1,0,IFERROR(VLOOKUP(BM504,'Gebinde-Kategorie'!$A$5:$G$45,5,0)+0,0))</f>
        <v/>
      </c>
      <c r="BZ504" s="58">
        <f>IFERROR(IF(OR(BQ504=1,BQ504=2,BQ504=3),N(INDEX(Parameter!$I$5:$I$7,BQ504)),0),0)</f>
        <v/>
      </c>
    </row>
    <row r="505">
      <c r="A505" s="53" t="inlineStr">
        <is>
          <t>108346</t>
        </is>
      </c>
      <c r="B505" s="53" t="inlineStr">
        <is>
          <t>Blech zu PAM Verteilerbox</t>
        </is>
      </c>
      <c r="C505" s="53" t="inlineStr">
        <is>
          <t>F</t>
        </is>
      </c>
      <c r="D505" s="53" t="inlineStr">
        <is>
          <t>KTL</t>
        </is>
      </c>
      <c r="E505" s="53" t="inlineStr">
        <is>
          <t>C</t>
        </is>
      </c>
      <c r="F505" s="54" t="n">
        <v>17.5</v>
      </c>
      <c r="G505" s="55">
        <f>MAX(0,IF(Parameter!$B$20="Jahresanfang 2025 + Export",BG505+BF505,BF505))</f>
        <v/>
      </c>
      <c r="H505" s="55">
        <f>G505*F505</f>
        <v/>
      </c>
      <c r="I505" s="55">
        <f>BI505*Parameter!$B$18</f>
        <v/>
      </c>
      <c r="J505" s="56" t="n">
        <v>29</v>
      </c>
      <c r="K505" s="57" t="n">
        <v>0</v>
      </c>
      <c r="L505" s="55" t="n">
        <v>0</v>
      </c>
      <c r="M505" s="55" t="n">
        <v>1</v>
      </c>
      <c r="N505" s="58" t="n">
        <v>35</v>
      </c>
      <c r="O505" s="53" t="inlineStr">
        <is>
          <t>S41</t>
        </is>
      </c>
      <c r="P505" s="55" t="n">
        <v>30</v>
      </c>
      <c r="Q505" s="59">
        <f>IF(BO505=1,0,IFERROR(VLOOKUP(BM505,'Gebinde-Kategorie'!$A$5:$G$45,6,0)+0,0))</f>
        <v/>
      </c>
      <c r="R505" s="60" t="n"/>
      <c r="S505" s="61" t="n"/>
      <c r="T505" s="61" t="n"/>
      <c r="U505" s="53">
        <f>IF(A505="","",IF(IFERROR(VLOOKUP(D505,Parameter!$A$35:$C$64,2,0),"Nein")="2+3",IF(ISNUMBER(SEARCH("grosser Artikel",BJ505)),2,IFERROR(VLOOKUP(BM505,Parameter!$F$35:$G$64,2,0),2)),IF(OR(IFERROR(VLOOKUP(D505,Parameter!$A$35:$C$64,2,0),"Nein")="Nein",IFERROR(VLOOKUP(D505,Parameter!$A$35:$C$64,2,0),"Nein")=""),"-",VLOOKUP(D505,Parameter!$A$35:$C$64,2,0))))</f>
        <v/>
      </c>
      <c r="V505" s="61" t="n"/>
      <c r="W505" s="62" t="n"/>
      <c r="X505" s="55">
        <f>AM505</f>
        <v/>
      </c>
      <c r="Y505" s="55">
        <f>MAX(AM505,G505)</f>
        <v/>
      </c>
      <c r="Z505" s="63" t="n"/>
      <c r="AA505" s="55">
        <f>IF(LEFT(Cockpit!$C$5,1)="A",G505,IF(BT505=1,BU505,IF(LEFT(Cockpit!$C$5,1)="B",AE505,MAX(AE505,G505))))</f>
        <v/>
      </c>
      <c r="AB505" s="55">
        <f>IF(BO505=1,0,ROUNDUP(AA505/BN505,0))</f>
        <v/>
      </c>
      <c r="AC505" s="64">
        <f>IF(BO505=1,IF(AA505&lt;=0,0,BP505*MAX(1,IF(G505&gt;0,AA505/G505,1))),AB505*Q505)</f>
        <v/>
      </c>
      <c r="AD505" s="55">
        <f>AA505*F505</f>
        <v/>
      </c>
      <c r="AE505" s="55">
        <f>ROUNDUP(MAX(I505/IF(BS505&gt;0,BS505,MAX(0.1,N(Cockpit!$C$6))),BV505)/BN505,0)*BN505</f>
        <v/>
      </c>
      <c r="AF505" s="56">
        <f>IF(AC505&gt;0,I505/AC505,-1)</f>
        <v/>
      </c>
      <c r="AG505" s="56">
        <f>IF(AND(OR(BR505="L1",BR505="L23"),AC505&gt;0),SUMIFS($AC$7:$AC$1570,$BR$7:$BR$1570,BR505,$AF$7:$AF$1570,"&gt;"&amp;AF505)+SUMIFS($AC$7:$AC$1570,$BR$7:$BR$1570,BR505,$AF$7:$AF$1570,AF505,$BL$7:$BL$1570,"&lt;="&amp;BL505),"")</f>
        <v/>
      </c>
      <c r="AH505" s="65">
        <f>IF(AG505="",0,MAX(0,MIN(1,(IF(BR505="L1",Parameter!$K$5,Parameter!$K$6+Parameter!$K$7)-(AG505-AC505))/AC505)))</f>
        <v/>
      </c>
      <c r="AI505" s="55">
        <f>IF(LEFT(Cockpit!$I$5,1)="A",G505,IF(BT505=1,BU505,IF(LEFT(Cockpit!$I$5,1)="B",AM505,MAX(AM505,G505))))</f>
        <v/>
      </c>
      <c r="AJ505" s="55">
        <f>IF(BO505=1,0,ROUNDUP(AI505/BN505,0))</f>
        <v/>
      </c>
      <c r="AK505" s="64">
        <f>IF(BO505=1,IF(AI505&lt;=0,0,BP505*MAX(1,IF(G505&gt;0,AI505/G505,1))),AJ505*Q505)</f>
        <v/>
      </c>
      <c r="AL505" s="55">
        <f>AI505*F505</f>
        <v/>
      </c>
      <c r="AM505" s="55">
        <f>ROUNDUP(MAX(I505/IF(BS505&gt;0,BS505,MAX(0.1,N(Cockpit!$I$6))),BV505)/BN505,0)*BN505</f>
        <v/>
      </c>
      <c r="AN505" s="56">
        <f>IF(AK505&gt;0,I505/AK505,-1)</f>
        <v/>
      </c>
      <c r="AO505" s="56">
        <f>IF(AND(OR(BR505="L1",BR505="L23"),AK505&gt;0),SUMIFS($AK$7:$AK$1570,$BR$7:$BR$1570,BR505,$AN$7:$AN$1570,"&gt;"&amp;AN505)+SUMIFS($AK$7:$AK$1570,$BR$7:$BR$1570,BR505,$AN$7:$AN$1570,AN505,$BL$7:$BL$1570,"&lt;="&amp;BL505),"")</f>
        <v/>
      </c>
      <c r="AP505" s="65">
        <f>IF(AO505="",0,MAX(0,MIN(1,(IF(BR505="L1",Parameter!$K$5,Parameter!$K$6+Parameter!$K$7)-(AO505-AK505))/AK505)))</f>
        <v/>
      </c>
      <c r="AQ505" s="55">
        <f>IF(LEFT(Cockpit!$O$5,1)="A",G505,IF(BT505=1,BU505,IF(LEFT(Cockpit!$O$5,1)="B",AU505,MAX(AU505,G505))))</f>
        <v/>
      </c>
      <c r="AR505" s="55">
        <f>IF(BO505=1,0,ROUNDUP(AQ505/BN505,0))</f>
        <v/>
      </c>
      <c r="AS505" s="64">
        <f>IF(BO505=1,IF(AQ505&lt;=0,0,BP505*MAX(1,IF(G505&gt;0,AQ505/G505,1))),AR505*Q505)</f>
        <v/>
      </c>
      <c r="AT505" s="55">
        <f>AQ505*F505</f>
        <v/>
      </c>
      <c r="AU505" s="55">
        <f>ROUNDUP(MAX(I505/IF(BS505&gt;0,BS505,MAX(0.1,N(Cockpit!$O$6))),BV505)/BN505,0)*BN505</f>
        <v/>
      </c>
      <c r="AV505" s="56">
        <f>IF(AS505&gt;0,I505/AS505,-1)</f>
        <v/>
      </c>
      <c r="AW505" s="56">
        <f>IF(AND(OR(BR505="L1",BR505="L23"),AS505&gt;0),SUMIFS($AS$7:$AS$1570,$BR$7:$BR$1570,BR505,$AV$7:$AV$1570,"&gt;"&amp;AV505)+SUMIFS($AS$7:$AS$1570,$BR$7:$BR$1570,BR505,$AV$7:$AV$1570,AV505,$BL$7:$BL$1570,"&lt;="&amp;BL505),"")</f>
        <v/>
      </c>
      <c r="AX505" s="65">
        <f>IF(AW505="",0,MAX(0,MIN(1,(IF(BR505="L1",Parameter!$K$5,Parameter!$K$6+Parameter!$K$7)-(AW505-AS505))/AS505)))</f>
        <v/>
      </c>
      <c r="AY505" s="53">
        <f>IF(AC505&lt;=0,"",IF(BR505="Aussen","Aussenlager",IF(BR505="-","Nicht im Lift",IF(AH505&gt;=1,"Lift",IF(AH505&lt;=0,"Aussenlager","teilweise")))))</f>
        <v/>
      </c>
      <c r="AZ505" s="53">
        <f>IF(AK505&lt;=0,"",IF(BR505="Aussen","Aussenlager",IF(BR505="-","Nicht im Lift",IF(AP505&gt;=1,"Lift",IF(AP505&lt;=0,"Aussenlager","teilweise")))))</f>
        <v/>
      </c>
      <c r="BA505" s="53">
        <f>IF(AS505&lt;=0,"",IF(BR505="Aussen","Aussenlager",IF(BR505="-","Nicht im Lift",IF(AX505&gt;=1,"Lift",IF(AX505&lt;=0,"Aussenlager","teilweise")))))</f>
        <v/>
      </c>
      <c r="BB505" s="53">
        <f>IF(A505="","",IF(BK505=1,"Neu; ","")&amp;IF(AND(BK505=0,BF505&lt;0),"negativer Bestand (Export "&amp;BF505&amp;"); ","")&amp;IF(I505&lt;=0,"Kein Verbrauch; ","")&amp;IF(BO505=1,"Lose – Fläche geschätzt; ","")&amp;IF(G505&gt;AM505,"Überbestand "&amp;ROUND(G505-AM505,0)&amp;" Stk / CHF "&amp;ROUND((G505-AM505)*F505,0)&amp;"; ","")&amp;IF(AND(BT505=1,BU505&lt;BV505),"MAX &lt; MB+LG; ","")&amp;IF(AND(BZ505&gt;0,BY505*10&gt;BZ505),"zu hoch für Tablar; ","")&amp;IF(AND(BK505=0,OR(BT505=1,V505&lt;&gt;"",S505&lt;&gt;"",T505&lt;&gt;"",W505&lt;&gt;"")),"manuell übersteuert; ","")&amp;IF(AND(BO505=0,Q505=0),"Gebinde unbekannt; ","")&amp;IF(AND(BO505=0,N(T505)&lt;=0,N(P505)&lt;=0),"Menge pro Gebinde fehlt (Ist = 1 Gebinde); ","")&amp;BJ505)</f>
        <v/>
      </c>
      <c r="BC505" s="53" t="n"/>
      <c r="BD505" s="53" t="n"/>
      <c r="BE505" s="61" t="n"/>
      <c r="BF505" s="55" t="n">
        <v>2</v>
      </c>
      <c r="BG505" s="55" t="n">
        <v>28</v>
      </c>
      <c r="BH505" s="54" t="n">
        <v>35</v>
      </c>
      <c r="BI505" s="55" t="n">
        <v>0</v>
      </c>
      <c r="BJ505" s="53" t="inlineStr"/>
      <c r="BK505" s="58" t="n">
        <v>0</v>
      </c>
      <c r="BL505" s="58" t="n">
        <v>505</v>
      </c>
      <c r="BM505" s="53">
        <f>IF(S505&lt;&gt;"",UPPER(TRIM(S505)),IF(O505="","LOSE",O505))</f>
        <v/>
      </c>
      <c r="BN505" s="55">
        <f>IF(BM505="LOSE",1,IF(N(T505)&gt;0,T505,IF(N(P505)&gt;0,P505,MAX(1,G505))))</f>
        <v/>
      </c>
      <c r="BO505" s="58">
        <f>IF(BM505="LOSE",1,0)</f>
        <v/>
      </c>
      <c r="BP505" s="64">
        <f>IF(BO505=0,0,IF(N(R505)&gt;0,R505,IFERROR(VLOOKUP(D505,Parameter!$A$35:$C$64,3,0)+0,0)))</f>
        <v/>
      </c>
      <c r="BQ505" s="53">
        <f>IF(V505&lt;&gt;"",V505,U505)</f>
        <v/>
      </c>
      <c r="BR505" s="53">
        <f>IF(BQ505=1,"L1",IF(OR(BQ505=2,BQ505=3),"L23",IF(BQ505="Aussen","Aussen","-")))</f>
        <v/>
      </c>
      <c r="BS505" s="66">
        <f>IF(N(W505)&gt;0,W505,0)</f>
        <v/>
      </c>
      <c r="BT505" s="58">
        <f>IF(ISNUMBER(Z505),1,0)</f>
        <v/>
      </c>
      <c r="BU505" s="55">
        <f>N(Z505)</f>
        <v/>
      </c>
      <c r="BV505" s="55">
        <f>N(L505)+N(M505)</f>
        <v/>
      </c>
      <c r="BW505" s="55">
        <f>ROUNDUP(G505/BN505,0)</f>
        <v/>
      </c>
      <c r="BX505" s="55">
        <f>ROUNDUP(BU505/BN505,0)</f>
        <v/>
      </c>
      <c r="BY505" s="58">
        <f>IF(BO505=1,0,IFERROR(VLOOKUP(BM505,'Gebinde-Kategorie'!$A$5:$G$45,5,0)+0,0))</f>
        <v/>
      </c>
      <c r="BZ505" s="58">
        <f>IFERROR(IF(OR(BQ505=1,BQ505=2,BQ505=3),N(INDEX(Parameter!$I$5:$I$7,BQ505)),0),0)</f>
        <v/>
      </c>
    </row>
    <row r="506">
      <c r="A506" s="53" t="inlineStr">
        <is>
          <t>110311</t>
        </is>
      </c>
      <c r="B506" s="53" t="inlineStr">
        <is>
          <t>Sechskantschraube</t>
        </is>
      </c>
      <c r="C506" s="53" t="inlineStr">
        <is>
          <t>F</t>
        </is>
      </c>
      <c r="D506" s="53" t="inlineStr">
        <is>
          <t>A-BEZ</t>
        </is>
      </c>
      <c r="E506" s="53" t="inlineStr">
        <is>
          <t>C</t>
        </is>
      </c>
      <c r="F506" s="54" t="n">
        <v>0.82</v>
      </c>
      <c r="G506" s="55">
        <f>MAX(0,IF(Parameter!$B$20="Jahresanfang 2025 + Export",BG506+BF506,BF506))</f>
        <v/>
      </c>
      <c r="H506" s="55">
        <f>G506*F506</f>
        <v/>
      </c>
      <c r="I506" s="55">
        <f>BI506*Parameter!$B$18</f>
        <v/>
      </c>
      <c r="J506" s="56" t="n">
        <v>21</v>
      </c>
      <c r="K506" s="57" t="n">
        <v>7.523809523809524</v>
      </c>
      <c r="L506" s="55" t="n">
        <v>0</v>
      </c>
      <c r="M506" s="55" t="n">
        <v>100</v>
      </c>
      <c r="N506" s="58" t="n">
        <v>21</v>
      </c>
      <c r="O506" s="53" t="inlineStr">
        <is>
          <t>LOSE</t>
        </is>
      </c>
      <c r="P506" s="55" t="n"/>
      <c r="Q506" s="59">
        <f>IF(BO506=1,0,IFERROR(VLOOKUP(BM506,'Gebinde-Kategorie'!$A$5:$G$45,6,0)+0,0))</f>
        <v/>
      </c>
      <c r="R506" s="60" t="n"/>
      <c r="S506" s="61" t="n"/>
      <c r="T506" s="61" t="n"/>
      <c r="U506" s="53">
        <f>IF(A506="","",IF(IFERROR(VLOOKUP(D506,Parameter!$A$35:$C$64,2,0),"Nein")="2+3",IF(ISNUMBER(SEARCH("grosser Artikel",BJ506)),2,IFERROR(VLOOKUP(BM506,Parameter!$F$35:$G$64,2,0),2)),IF(OR(IFERROR(VLOOKUP(D506,Parameter!$A$35:$C$64,2,0),"Nein")="Nein",IFERROR(VLOOKUP(D506,Parameter!$A$35:$C$64,2,0),"Nein")=""),"-",VLOOKUP(D506,Parameter!$A$35:$C$64,2,0))))</f>
        <v/>
      </c>
      <c r="V506" s="61" t="n"/>
      <c r="W506" s="62" t="n"/>
      <c r="X506" s="55">
        <f>AM506</f>
        <v/>
      </c>
      <c r="Y506" s="55">
        <f>MAX(AM506,G506)</f>
        <v/>
      </c>
      <c r="Z506" s="63" t="n"/>
      <c r="AA506" s="55">
        <f>IF(LEFT(Cockpit!$C$5,1)="A",G506,IF(BT506=1,BU506,IF(LEFT(Cockpit!$C$5,1)="B",AE506,MAX(AE506,G506))))</f>
        <v/>
      </c>
      <c r="AB506" s="55">
        <f>IF(BO506=1,0,ROUNDUP(AA506/BN506,0))</f>
        <v/>
      </c>
      <c r="AC506" s="64">
        <f>IF(BO506=1,IF(AA506&lt;=0,0,BP506*MAX(1,IF(G506&gt;0,AA506/G506,1))),AB506*Q506)</f>
        <v/>
      </c>
      <c r="AD506" s="55">
        <f>AA506*F506</f>
        <v/>
      </c>
      <c r="AE506" s="55">
        <f>ROUNDUP(MAX(I506/IF(BS506&gt;0,BS506,MAX(0.1,N(Cockpit!$C$6))),BV506)/BN506,0)*BN506</f>
        <v/>
      </c>
      <c r="AF506" s="56">
        <f>IF(AC506&gt;0,I506/AC506,-1)</f>
        <v/>
      </c>
      <c r="AG506" s="56">
        <f>IF(AND(OR(BR506="L1",BR506="L23"),AC506&gt;0),SUMIFS($AC$7:$AC$1570,$BR$7:$BR$1570,BR506,$AF$7:$AF$1570,"&gt;"&amp;AF506)+SUMIFS($AC$7:$AC$1570,$BR$7:$BR$1570,BR506,$AF$7:$AF$1570,AF506,$BL$7:$BL$1570,"&lt;="&amp;BL506),"")</f>
        <v/>
      </c>
      <c r="AH506" s="65">
        <f>IF(AG506="",0,MAX(0,MIN(1,(IF(BR506="L1",Parameter!$K$5,Parameter!$K$6+Parameter!$K$7)-(AG506-AC506))/AC506)))</f>
        <v/>
      </c>
      <c r="AI506" s="55">
        <f>IF(LEFT(Cockpit!$I$5,1)="A",G506,IF(BT506=1,BU506,IF(LEFT(Cockpit!$I$5,1)="B",AM506,MAX(AM506,G506))))</f>
        <v/>
      </c>
      <c r="AJ506" s="55">
        <f>IF(BO506=1,0,ROUNDUP(AI506/BN506,0))</f>
        <v/>
      </c>
      <c r="AK506" s="64">
        <f>IF(BO506=1,IF(AI506&lt;=0,0,BP506*MAX(1,IF(G506&gt;0,AI506/G506,1))),AJ506*Q506)</f>
        <v/>
      </c>
      <c r="AL506" s="55">
        <f>AI506*F506</f>
        <v/>
      </c>
      <c r="AM506" s="55">
        <f>ROUNDUP(MAX(I506/IF(BS506&gt;0,BS506,MAX(0.1,N(Cockpit!$I$6))),BV506)/BN506,0)*BN506</f>
        <v/>
      </c>
      <c r="AN506" s="56">
        <f>IF(AK506&gt;0,I506/AK506,-1)</f>
        <v/>
      </c>
      <c r="AO506" s="56">
        <f>IF(AND(OR(BR506="L1",BR506="L23"),AK506&gt;0),SUMIFS($AK$7:$AK$1570,$BR$7:$BR$1570,BR506,$AN$7:$AN$1570,"&gt;"&amp;AN506)+SUMIFS($AK$7:$AK$1570,$BR$7:$BR$1570,BR506,$AN$7:$AN$1570,AN506,$BL$7:$BL$1570,"&lt;="&amp;BL506),"")</f>
        <v/>
      </c>
      <c r="AP506" s="65">
        <f>IF(AO506="",0,MAX(0,MIN(1,(IF(BR506="L1",Parameter!$K$5,Parameter!$K$6+Parameter!$K$7)-(AO506-AK506))/AK506)))</f>
        <v/>
      </c>
      <c r="AQ506" s="55">
        <f>IF(LEFT(Cockpit!$O$5,1)="A",G506,IF(BT506=1,BU506,IF(LEFT(Cockpit!$O$5,1)="B",AU506,MAX(AU506,G506))))</f>
        <v/>
      </c>
      <c r="AR506" s="55">
        <f>IF(BO506=1,0,ROUNDUP(AQ506/BN506,0))</f>
        <v/>
      </c>
      <c r="AS506" s="64">
        <f>IF(BO506=1,IF(AQ506&lt;=0,0,BP506*MAX(1,IF(G506&gt;0,AQ506/G506,1))),AR506*Q506)</f>
        <v/>
      </c>
      <c r="AT506" s="55">
        <f>AQ506*F506</f>
        <v/>
      </c>
      <c r="AU506" s="55">
        <f>ROUNDUP(MAX(I506/IF(BS506&gt;0,BS506,MAX(0.1,N(Cockpit!$O$6))),BV506)/BN506,0)*BN506</f>
        <v/>
      </c>
      <c r="AV506" s="56">
        <f>IF(AS506&gt;0,I506/AS506,-1)</f>
        <v/>
      </c>
      <c r="AW506" s="56">
        <f>IF(AND(OR(BR506="L1",BR506="L23"),AS506&gt;0),SUMIFS($AS$7:$AS$1570,$BR$7:$BR$1570,BR506,$AV$7:$AV$1570,"&gt;"&amp;AV506)+SUMIFS($AS$7:$AS$1570,$BR$7:$BR$1570,BR506,$AV$7:$AV$1570,AV506,$BL$7:$BL$1570,"&lt;="&amp;BL506),"")</f>
        <v/>
      </c>
      <c r="AX506" s="65">
        <f>IF(AW506="",0,MAX(0,MIN(1,(IF(BR506="L1",Parameter!$K$5,Parameter!$K$6+Parameter!$K$7)-(AW506-AS506))/AS506)))</f>
        <v/>
      </c>
      <c r="AY506" s="53">
        <f>IF(AC506&lt;=0,"",IF(BR506="Aussen","Aussenlager",IF(BR506="-","Nicht im Lift",IF(AH506&gt;=1,"Lift",IF(AH506&lt;=0,"Aussenlager","teilweise")))))</f>
        <v/>
      </c>
      <c r="AZ506" s="53">
        <f>IF(AK506&lt;=0,"",IF(BR506="Aussen","Aussenlager",IF(BR506="-","Nicht im Lift",IF(AP506&gt;=1,"Lift",IF(AP506&lt;=0,"Aussenlager","teilweise")))))</f>
        <v/>
      </c>
      <c r="BA506" s="53">
        <f>IF(AS506&lt;=0,"",IF(BR506="Aussen","Aussenlager",IF(BR506="-","Nicht im Lift",IF(AX506&gt;=1,"Lift",IF(AX506&lt;=0,"Aussenlager","teilweise")))))</f>
        <v/>
      </c>
      <c r="BB506" s="53">
        <f>IF(A506="","",IF(BK506=1,"Neu; ","")&amp;IF(AND(BK506=0,BF506&lt;0),"negativer Bestand (Export "&amp;BF506&amp;"); ","")&amp;IF(I506&lt;=0,"Kein Verbrauch; ","")&amp;IF(BO506=1,"Lose – Fläche geschätzt; ","")&amp;IF(G506&gt;AM506,"Überbestand "&amp;ROUND(G506-AM506,0)&amp;" Stk / CHF "&amp;ROUND((G506-AM506)*F506,0)&amp;"; ","")&amp;IF(AND(BT506=1,BU506&lt;BV506),"MAX &lt; MB+LG; ","")&amp;IF(AND(BZ506&gt;0,BY506*10&gt;BZ506),"zu hoch für Tablar; ","")&amp;IF(AND(BK506=0,OR(BT506=1,V506&lt;&gt;"",S506&lt;&gt;"",T506&lt;&gt;"",W506&lt;&gt;"")),"manuell übersteuert; ","")&amp;IF(AND(BO506=0,Q506=0),"Gebinde unbekannt; ","")&amp;IF(AND(BO506=0,N(T506)&lt;=0,N(P506)&lt;=0),"Menge pro Gebinde fehlt (Ist = 1 Gebinde); ","")&amp;BJ506)</f>
        <v/>
      </c>
      <c r="BC506" s="53" t="n"/>
      <c r="BD506" s="53" t="n"/>
      <c r="BE506" s="61" t="n"/>
      <c r="BF506" s="55" t="n">
        <v>42</v>
      </c>
      <c r="BG506" s="55" t="n">
        <v>0</v>
      </c>
      <c r="BH506" s="54" t="n">
        <v>34.44</v>
      </c>
      <c r="BI506" s="55" t="n">
        <v>158</v>
      </c>
      <c r="BJ506" s="53" t="inlineStr"/>
      <c r="BK506" s="58" t="n">
        <v>0</v>
      </c>
      <c r="BL506" s="58" t="n">
        <v>506</v>
      </c>
      <c r="BM506" s="53">
        <f>IF(S506&lt;&gt;"",UPPER(TRIM(S506)),IF(O506="","LOSE",O506))</f>
        <v/>
      </c>
      <c r="BN506" s="55">
        <f>IF(BM506="LOSE",1,IF(N(T506)&gt;0,T506,IF(N(P506)&gt;0,P506,MAX(1,G506))))</f>
        <v/>
      </c>
      <c r="BO506" s="58">
        <f>IF(BM506="LOSE",1,0)</f>
        <v/>
      </c>
      <c r="BP506" s="64">
        <f>IF(BO506=0,0,IF(N(R506)&gt;0,R506,IFERROR(VLOOKUP(D506,Parameter!$A$35:$C$64,3,0)+0,0)))</f>
        <v/>
      </c>
      <c r="BQ506" s="53">
        <f>IF(V506&lt;&gt;"",V506,U506)</f>
        <v/>
      </c>
      <c r="BR506" s="53">
        <f>IF(BQ506=1,"L1",IF(OR(BQ506=2,BQ506=3),"L23",IF(BQ506="Aussen","Aussen","-")))</f>
        <v/>
      </c>
      <c r="BS506" s="66">
        <f>IF(N(W506)&gt;0,W506,0)</f>
        <v/>
      </c>
      <c r="BT506" s="58">
        <f>IF(ISNUMBER(Z506),1,0)</f>
        <v/>
      </c>
      <c r="BU506" s="55">
        <f>N(Z506)</f>
        <v/>
      </c>
      <c r="BV506" s="55">
        <f>N(L506)+N(M506)</f>
        <v/>
      </c>
      <c r="BW506" s="55">
        <f>ROUNDUP(G506/BN506,0)</f>
        <v/>
      </c>
      <c r="BX506" s="55">
        <f>ROUNDUP(BU506/BN506,0)</f>
        <v/>
      </c>
      <c r="BY506" s="58">
        <f>IF(BO506=1,0,IFERROR(VLOOKUP(BM506,'Gebinde-Kategorie'!$A$5:$G$45,5,0)+0,0))</f>
        <v/>
      </c>
      <c r="BZ506" s="58">
        <f>IFERROR(IF(OR(BQ506=1,BQ506=2,BQ506=3),N(INDEX(Parameter!$I$5:$I$7,BQ506)),0),0)</f>
        <v/>
      </c>
    </row>
    <row r="507">
      <c r="A507" s="53" t="inlineStr">
        <is>
          <t>107399</t>
        </is>
      </c>
      <c r="B507" s="53" t="inlineStr">
        <is>
          <t>Ventilkabel Luft</t>
        </is>
      </c>
      <c r="C507" s="53" t="inlineStr">
        <is>
          <t>F</t>
        </is>
      </c>
      <c r="D507" s="53" t="inlineStr">
        <is>
          <t>PAL</t>
        </is>
      </c>
      <c r="E507" s="53" t="inlineStr">
        <is>
          <t>C</t>
        </is>
      </c>
      <c r="F507" s="54" t="n">
        <v>199.84</v>
      </c>
      <c r="G507" s="55">
        <f>MAX(0,IF(Parameter!$B$20="Jahresanfang 2025 + Export",BG507+BF507,BF507))</f>
        <v/>
      </c>
      <c r="H507" s="55">
        <f>G507*F507</f>
        <v/>
      </c>
      <c r="I507" s="55">
        <f>BI507*Parameter!$B$18</f>
        <v/>
      </c>
      <c r="J507" s="56" t="n">
        <v>30</v>
      </c>
      <c r="K507" s="57" t="n">
        <v>0.6</v>
      </c>
      <c r="L507" s="55" t="n">
        <v>2</v>
      </c>
      <c r="M507" s="55" t="n">
        <v>15</v>
      </c>
      <c r="N507" s="58" t="n">
        <v>44</v>
      </c>
      <c r="O507" s="53" t="inlineStr">
        <is>
          <t>S71</t>
        </is>
      </c>
      <c r="P507" s="55" t="n">
        <v>17</v>
      </c>
      <c r="Q507" s="59">
        <f>IF(BO507=1,0,IFERROR(VLOOKUP(BM507,'Gebinde-Kategorie'!$A$5:$G$45,6,0)+0,0))</f>
        <v/>
      </c>
      <c r="R507" s="60" t="n"/>
      <c r="S507" s="61" t="n"/>
      <c r="T507" s="61" t="n"/>
      <c r="U507" s="53">
        <f>IF(A507="","",IF(IFERROR(VLOOKUP(D507,Parameter!$A$35:$C$64,2,0),"Nein")="2+3",IF(ISNUMBER(SEARCH("grosser Artikel",BJ507)),2,IFERROR(VLOOKUP(BM507,Parameter!$F$35:$G$64,2,0),2)),IF(OR(IFERROR(VLOOKUP(D507,Parameter!$A$35:$C$64,2,0),"Nein")="Nein",IFERROR(VLOOKUP(D507,Parameter!$A$35:$C$64,2,0),"Nein")=""),"-",VLOOKUP(D507,Parameter!$A$35:$C$64,2,0))))</f>
        <v/>
      </c>
      <c r="V507" s="61" t="n"/>
      <c r="W507" s="62" t="n"/>
      <c r="X507" s="55">
        <f>AM507</f>
        <v/>
      </c>
      <c r="Y507" s="55">
        <f>MAX(AM507,G507)</f>
        <v/>
      </c>
      <c r="Z507" s="63" t="n"/>
      <c r="AA507" s="55">
        <f>IF(LEFT(Cockpit!$C$5,1)="A",G507,IF(BT507=1,BU507,IF(LEFT(Cockpit!$C$5,1)="B",AE507,MAX(AE507,G507))))</f>
        <v/>
      </c>
      <c r="AB507" s="55">
        <f>IF(BO507=1,0,ROUNDUP(AA507/BN507,0))</f>
        <v/>
      </c>
      <c r="AC507" s="64">
        <f>IF(BO507=1,IF(AA507&lt;=0,0,BP507*MAX(1,IF(G507&gt;0,AA507/G507,1))),AB507*Q507)</f>
        <v/>
      </c>
      <c r="AD507" s="55">
        <f>AA507*F507</f>
        <v/>
      </c>
      <c r="AE507" s="55">
        <f>ROUNDUP(MAX(I507/IF(BS507&gt;0,BS507,MAX(0.1,N(Cockpit!$C$6))),BV507)/BN507,0)*BN507</f>
        <v/>
      </c>
      <c r="AF507" s="56">
        <f>IF(AC507&gt;0,I507/AC507,-1)</f>
        <v/>
      </c>
      <c r="AG507" s="56">
        <f>IF(AND(OR(BR507="L1",BR507="L23"),AC507&gt;0),SUMIFS($AC$7:$AC$1570,$BR$7:$BR$1570,BR507,$AF$7:$AF$1570,"&gt;"&amp;AF507)+SUMIFS($AC$7:$AC$1570,$BR$7:$BR$1570,BR507,$AF$7:$AF$1570,AF507,$BL$7:$BL$1570,"&lt;="&amp;BL507),"")</f>
        <v/>
      </c>
      <c r="AH507" s="65">
        <f>IF(AG507="",0,MAX(0,MIN(1,(IF(BR507="L1",Parameter!$K$5,Parameter!$K$6+Parameter!$K$7)-(AG507-AC507))/AC507)))</f>
        <v/>
      </c>
      <c r="AI507" s="55">
        <f>IF(LEFT(Cockpit!$I$5,1)="A",G507,IF(BT507=1,BU507,IF(LEFT(Cockpit!$I$5,1)="B",AM507,MAX(AM507,G507))))</f>
        <v/>
      </c>
      <c r="AJ507" s="55">
        <f>IF(BO507=1,0,ROUNDUP(AI507/BN507,0))</f>
        <v/>
      </c>
      <c r="AK507" s="64">
        <f>IF(BO507=1,IF(AI507&lt;=0,0,BP507*MAX(1,IF(G507&gt;0,AI507/G507,1))),AJ507*Q507)</f>
        <v/>
      </c>
      <c r="AL507" s="55">
        <f>AI507*F507</f>
        <v/>
      </c>
      <c r="AM507" s="55">
        <f>ROUNDUP(MAX(I507/IF(BS507&gt;0,BS507,MAX(0.1,N(Cockpit!$I$6))),BV507)/BN507,0)*BN507</f>
        <v/>
      </c>
      <c r="AN507" s="56">
        <f>IF(AK507&gt;0,I507/AK507,-1)</f>
        <v/>
      </c>
      <c r="AO507" s="56">
        <f>IF(AND(OR(BR507="L1",BR507="L23"),AK507&gt;0),SUMIFS($AK$7:$AK$1570,$BR$7:$BR$1570,BR507,$AN$7:$AN$1570,"&gt;"&amp;AN507)+SUMIFS($AK$7:$AK$1570,$BR$7:$BR$1570,BR507,$AN$7:$AN$1570,AN507,$BL$7:$BL$1570,"&lt;="&amp;BL507),"")</f>
        <v/>
      </c>
      <c r="AP507" s="65">
        <f>IF(AO507="",0,MAX(0,MIN(1,(IF(BR507="L1",Parameter!$K$5,Parameter!$K$6+Parameter!$K$7)-(AO507-AK507))/AK507)))</f>
        <v/>
      </c>
      <c r="AQ507" s="55">
        <f>IF(LEFT(Cockpit!$O$5,1)="A",G507,IF(BT507=1,BU507,IF(LEFT(Cockpit!$O$5,1)="B",AU507,MAX(AU507,G507))))</f>
        <v/>
      </c>
      <c r="AR507" s="55">
        <f>IF(BO507=1,0,ROUNDUP(AQ507/BN507,0))</f>
        <v/>
      </c>
      <c r="AS507" s="64">
        <f>IF(BO507=1,IF(AQ507&lt;=0,0,BP507*MAX(1,IF(G507&gt;0,AQ507/G507,1))),AR507*Q507)</f>
        <v/>
      </c>
      <c r="AT507" s="55">
        <f>AQ507*F507</f>
        <v/>
      </c>
      <c r="AU507" s="55">
        <f>ROUNDUP(MAX(I507/IF(BS507&gt;0,BS507,MAX(0.1,N(Cockpit!$O$6))),BV507)/BN507,0)*BN507</f>
        <v/>
      </c>
      <c r="AV507" s="56">
        <f>IF(AS507&gt;0,I507/AS507,-1)</f>
        <v/>
      </c>
      <c r="AW507" s="56">
        <f>IF(AND(OR(BR507="L1",BR507="L23"),AS507&gt;0),SUMIFS($AS$7:$AS$1570,$BR$7:$BR$1570,BR507,$AV$7:$AV$1570,"&gt;"&amp;AV507)+SUMIFS($AS$7:$AS$1570,$BR$7:$BR$1570,BR507,$AV$7:$AV$1570,AV507,$BL$7:$BL$1570,"&lt;="&amp;BL507),"")</f>
        <v/>
      </c>
      <c r="AX507" s="65">
        <f>IF(AW507="",0,MAX(0,MIN(1,(IF(BR507="L1",Parameter!$K$5,Parameter!$K$6+Parameter!$K$7)-(AW507-AS507))/AS507)))</f>
        <v/>
      </c>
      <c r="AY507" s="53">
        <f>IF(AC507&lt;=0,"",IF(BR507="Aussen","Aussenlager",IF(BR507="-","Nicht im Lift",IF(AH507&gt;=1,"Lift",IF(AH507&lt;=0,"Aussenlager","teilweise")))))</f>
        <v/>
      </c>
      <c r="AZ507" s="53">
        <f>IF(AK507&lt;=0,"",IF(BR507="Aussen","Aussenlager",IF(BR507="-","Nicht im Lift",IF(AP507&gt;=1,"Lift",IF(AP507&lt;=0,"Aussenlager","teilweise")))))</f>
        <v/>
      </c>
      <c r="BA507" s="53">
        <f>IF(AS507&lt;=0,"",IF(BR507="Aussen","Aussenlager",IF(BR507="-","Nicht im Lift",IF(AX507&gt;=1,"Lift",IF(AX507&lt;=0,"Aussenlager","teilweise")))))</f>
        <v/>
      </c>
      <c r="BB507" s="53">
        <f>IF(A507="","",IF(BK507=1,"Neu; ","")&amp;IF(AND(BK507=0,BF507&lt;0),"negativer Bestand (Export "&amp;BF507&amp;"); ","")&amp;IF(I507&lt;=0,"Kein Verbrauch; ","")&amp;IF(BO507=1,"Lose – Fläche geschätzt; ","")&amp;IF(G507&gt;AM507,"Überbestand "&amp;ROUND(G507-AM507,0)&amp;" Stk / CHF "&amp;ROUND((G507-AM507)*F507,0)&amp;"; ","")&amp;IF(AND(BT507=1,BU507&lt;BV507),"MAX &lt; MB+LG; ","")&amp;IF(AND(BZ507&gt;0,BY507*10&gt;BZ507),"zu hoch für Tablar; ","")&amp;IF(AND(BK507=0,OR(BT507=1,V507&lt;&gt;"",S507&lt;&gt;"",T507&lt;&gt;"",W507&lt;&gt;"")),"manuell übersteuert; ","")&amp;IF(AND(BO507=0,Q507=0),"Gebinde unbekannt; ","")&amp;IF(AND(BO507=0,N(T507)&lt;=0,N(P507)&lt;=0),"Menge pro Gebinde fehlt (Ist = 1 Gebinde); ","")&amp;BJ507)</f>
        <v/>
      </c>
      <c r="BC507" s="53" t="n"/>
      <c r="BD507" s="53" t="n"/>
      <c r="BE507" s="61" t="n"/>
      <c r="BF507" s="55" t="n">
        <v>-2</v>
      </c>
      <c r="BG507" s="55" t="n">
        <v>19</v>
      </c>
      <c r="BH507" s="54" t="n">
        <v>34.2799999999952</v>
      </c>
      <c r="BI507" s="55" t="n">
        <v>18</v>
      </c>
      <c r="BJ507" s="53" t="inlineStr">
        <is>
          <t>grosser Artikel &amp; nicht im KTL</t>
        </is>
      </c>
      <c r="BK507" s="58" t="n">
        <v>0</v>
      </c>
      <c r="BL507" s="58" t="n">
        <v>507</v>
      </c>
      <c r="BM507" s="53">
        <f>IF(S507&lt;&gt;"",UPPER(TRIM(S507)),IF(O507="","LOSE",O507))</f>
        <v/>
      </c>
      <c r="BN507" s="55">
        <f>IF(BM507="LOSE",1,IF(N(T507)&gt;0,T507,IF(N(P507)&gt;0,P507,MAX(1,G507))))</f>
        <v/>
      </c>
      <c r="BO507" s="58">
        <f>IF(BM507="LOSE",1,0)</f>
        <v/>
      </c>
      <c r="BP507" s="64">
        <f>IF(BO507=0,0,IF(N(R507)&gt;0,R507,IFERROR(VLOOKUP(D507,Parameter!$A$35:$C$64,3,0)+0,0)))</f>
        <v/>
      </c>
      <c r="BQ507" s="53">
        <f>IF(V507&lt;&gt;"",V507,U507)</f>
        <v/>
      </c>
      <c r="BR507" s="53">
        <f>IF(BQ507=1,"L1",IF(OR(BQ507=2,BQ507=3),"L23",IF(BQ507="Aussen","Aussen","-")))</f>
        <v/>
      </c>
      <c r="BS507" s="66">
        <f>IF(N(W507)&gt;0,W507,0)</f>
        <v/>
      </c>
      <c r="BT507" s="58">
        <f>IF(ISNUMBER(Z507),1,0)</f>
        <v/>
      </c>
      <c r="BU507" s="55">
        <f>N(Z507)</f>
        <v/>
      </c>
      <c r="BV507" s="55">
        <f>N(L507)+N(M507)</f>
        <v/>
      </c>
      <c r="BW507" s="55">
        <f>ROUNDUP(G507/BN507,0)</f>
        <v/>
      </c>
      <c r="BX507" s="55">
        <f>ROUNDUP(BU507/BN507,0)</f>
        <v/>
      </c>
      <c r="BY507" s="58">
        <f>IF(BO507=1,0,IFERROR(VLOOKUP(BM507,'Gebinde-Kategorie'!$A$5:$G$45,5,0)+0,0))</f>
        <v/>
      </c>
      <c r="BZ507" s="58">
        <f>IFERROR(IF(OR(BQ507=1,BQ507=2,BQ507=3),N(INDEX(Parameter!$I$5:$I$7,BQ507)),0),0)</f>
        <v/>
      </c>
    </row>
    <row r="508">
      <c r="A508" s="53" t="inlineStr">
        <is>
          <t>105850</t>
        </is>
      </c>
      <c r="B508" s="53" t="inlineStr">
        <is>
          <t>Dummy Ersatz</t>
        </is>
      </c>
      <c r="C508" s="53" t="inlineStr">
        <is>
          <t>F</t>
        </is>
      </c>
      <c r="D508" s="53" t="inlineStr">
        <is>
          <t>KTL</t>
        </is>
      </c>
      <c r="E508" s="53" t="inlineStr">
        <is>
          <t>C</t>
        </is>
      </c>
      <c r="F508" s="54" t="n">
        <v>34</v>
      </c>
      <c r="G508" s="55">
        <f>MAX(0,IF(Parameter!$B$20="Jahresanfang 2025 + Export",BG508+BF508,BF508))</f>
        <v/>
      </c>
      <c r="H508" s="55">
        <f>G508*F508</f>
        <v/>
      </c>
      <c r="I508" s="55">
        <f>BI508*Parameter!$B$18</f>
        <v/>
      </c>
      <c r="J508" s="56" t="n">
        <v>1.5</v>
      </c>
      <c r="K508" s="57" t="n">
        <v>0</v>
      </c>
      <c r="L508" s="55" t="n">
        <v>0</v>
      </c>
      <c r="M508" s="55" t="n">
        <v>1</v>
      </c>
      <c r="N508" s="58" t="n">
        <v>63</v>
      </c>
      <c r="O508" s="53" t="inlineStr">
        <is>
          <t>S21</t>
        </is>
      </c>
      <c r="P508" s="55" t="n">
        <v>2</v>
      </c>
      <c r="Q508" s="59">
        <f>IF(BO508=1,0,IFERROR(VLOOKUP(BM508,'Gebinde-Kategorie'!$A$5:$G$45,6,0)+0,0))</f>
        <v/>
      </c>
      <c r="R508" s="60" t="n"/>
      <c r="S508" s="61" t="n"/>
      <c r="T508" s="61" t="n"/>
      <c r="U508" s="53">
        <f>IF(A508="","",IF(IFERROR(VLOOKUP(D508,Parameter!$A$35:$C$64,2,0),"Nein")="2+3",IF(ISNUMBER(SEARCH("grosser Artikel",BJ508)),2,IFERROR(VLOOKUP(BM508,Parameter!$F$35:$G$64,2,0),2)),IF(OR(IFERROR(VLOOKUP(D508,Parameter!$A$35:$C$64,2,0),"Nein")="Nein",IFERROR(VLOOKUP(D508,Parameter!$A$35:$C$64,2,0),"Nein")=""),"-",VLOOKUP(D508,Parameter!$A$35:$C$64,2,0))))</f>
        <v/>
      </c>
      <c r="V508" s="61" t="n"/>
      <c r="W508" s="62" t="n"/>
      <c r="X508" s="55">
        <f>AM508</f>
        <v/>
      </c>
      <c r="Y508" s="55">
        <f>MAX(AM508,G508)</f>
        <v/>
      </c>
      <c r="Z508" s="63" t="n"/>
      <c r="AA508" s="55">
        <f>IF(LEFT(Cockpit!$C$5,1)="A",G508,IF(BT508=1,BU508,IF(LEFT(Cockpit!$C$5,1)="B",AE508,MAX(AE508,G508))))</f>
        <v/>
      </c>
      <c r="AB508" s="55">
        <f>IF(BO508=1,0,ROUNDUP(AA508/BN508,0))</f>
        <v/>
      </c>
      <c r="AC508" s="64">
        <f>IF(BO508=1,IF(AA508&lt;=0,0,BP508*MAX(1,IF(G508&gt;0,AA508/G508,1))),AB508*Q508)</f>
        <v/>
      </c>
      <c r="AD508" s="55">
        <f>AA508*F508</f>
        <v/>
      </c>
      <c r="AE508" s="55">
        <f>ROUNDUP(MAX(I508/IF(BS508&gt;0,BS508,MAX(0.1,N(Cockpit!$C$6))),BV508)/BN508,0)*BN508</f>
        <v/>
      </c>
      <c r="AF508" s="56">
        <f>IF(AC508&gt;0,I508/AC508,-1)</f>
        <v/>
      </c>
      <c r="AG508" s="56">
        <f>IF(AND(OR(BR508="L1",BR508="L23"),AC508&gt;0),SUMIFS($AC$7:$AC$1570,$BR$7:$BR$1570,BR508,$AF$7:$AF$1570,"&gt;"&amp;AF508)+SUMIFS($AC$7:$AC$1570,$BR$7:$BR$1570,BR508,$AF$7:$AF$1570,AF508,$BL$7:$BL$1570,"&lt;="&amp;BL508),"")</f>
        <v/>
      </c>
      <c r="AH508" s="65">
        <f>IF(AG508="",0,MAX(0,MIN(1,(IF(BR508="L1",Parameter!$K$5,Parameter!$K$6+Parameter!$K$7)-(AG508-AC508))/AC508)))</f>
        <v/>
      </c>
      <c r="AI508" s="55">
        <f>IF(LEFT(Cockpit!$I$5,1)="A",G508,IF(BT508=1,BU508,IF(LEFT(Cockpit!$I$5,1)="B",AM508,MAX(AM508,G508))))</f>
        <v/>
      </c>
      <c r="AJ508" s="55">
        <f>IF(BO508=1,0,ROUNDUP(AI508/BN508,0))</f>
        <v/>
      </c>
      <c r="AK508" s="64">
        <f>IF(BO508=1,IF(AI508&lt;=0,0,BP508*MAX(1,IF(G508&gt;0,AI508/G508,1))),AJ508*Q508)</f>
        <v/>
      </c>
      <c r="AL508" s="55">
        <f>AI508*F508</f>
        <v/>
      </c>
      <c r="AM508" s="55">
        <f>ROUNDUP(MAX(I508/IF(BS508&gt;0,BS508,MAX(0.1,N(Cockpit!$I$6))),BV508)/BN508,0)*BN508</f>
        <v/>
      </c>
      <c r="AN508" s="56">
        <f>IF(AK508&gt;0,I508/AK508,-1)</f>
        <v/>
      </c>
      <c r="AO508" s="56">
        <f>IF(AND(OR(BR508="L1",BR508="L23"),AK508&gt;0),SUMIFS($AK$7:$AK$1570,$BR$7:$BR$1570,BR508,$AN$7:$AN$1570,"&gt;"&amp;AN508)+SUMIFS($AK$7:$AK$1570,$BR$7:$BR$1570,BR508,$AN$7:$AN$1570,AN508,$BL$7:$BL$1570,"&lt;="&amp;BL508),"")</f>
        <v/>
      </c>
      <c r="AP508" s="65">
        <f>IF(AO508="",0,MAX(0,MIN(1,(IF(BR508="L1",Parameter!$K$5,Parameter!$K$6+Parameter!$K$7)-(AO508-AK508))/AK508)))</f>
        <v/>
      </c>
      <c r="AQ508" s="55">
        <f>IF(LEFT(Cockpit!$O$5,1)="A",G508,IF(BT508=1,BU508,IF(LEFT(Cockpit!$O$5,1)="B",AU508,MAX(AU508,G508))))</f>
        <v/>
      </c>
      <c r="AR508" s="55">
        <f>IF(BO508=1,0,ROUNDUP(AQ508/BN508,0))</f>
        <v/>
      </c>
      <c r="AS508" s="64">
        <f>IF(BO508=1,IF(AQ508&lt;=0,0,BP508*MAX(1,IF(G508&gt;0,AQ508/G508,1))),AR508*Q508)</f>
        <v/>
      </c>
      <c r="AT508" s="55">
        <f>AQ508*F508</f>
        <v/>
      </c>
      <c r="AU508" s="55">
        <f>ROUNDUP(MAX(I508/IF(BS508&gt;0,BS508,MAX(0.1,N(Cockpit!$O$6))),BV508)/BN508,0)*BN508</f>
        <v/>
      </c>
      <c r="AV508" s="56">
        <f>IF(AS508&gt;0,I508/AS508,-1)</f>
        <v/>
      </c>
      <c r="AW508" s="56">
        <f>IF(AND(OR(BR508="L1",BR508="L23"),AS508&gt;0),SUMIFS($AS$7:$AS$1570,$BR$7:$BR$1570,BR508,$AV$7:$AV$1570,"&gt;"&amp;AV508)+SUMIFS($AS$7:$AS$1570,$BR$7:$BR$1570,BR508,$AV$7:$AV$1570,AV508,$BL$7:$BL$1570,"&lt;="&amp;BL508),"")</f>
        <v/>
      </c>
      <c r="AX508" s="65">
        <f>IF(AW508="",0,MAX(0,MIN(1,(IF(BR508="L1",Parameter!$K$5,Parameter!$K$6+Parameter!$K$7)-(AW508-AS508))/AS508)))</f>
        <v/>
      </c>
      <c r="AY508" s="53">
        <f>IF(AC508&lt;=0,"",IF(BR508="Aussen","Aussenlager",IF(BR508="-","Nicht im Lift",IF(AH508&gt;=1,"Lift",IF(AH508&lt;=0,"Aussenlager","teilweise")))))</f>
        <v/>
      </c>
      <c r="AZ508" s="53">
        <f>IF(AK508&lt;=0,"",IF(BR508="Aussen","Aussenlager",IF(BR508="-","Nicht im Lift",IF(AP508&gt;=1,"Lift",IF(AP508&lt;=0,"Aussenlager","teilweise")))))</f>
        <v/>
      </c>
      <c r="BA508" s="53">
        <f>IF(AS508&lt;=0,"",IF(BR508="Aussen","Aussenlager",IF(BR508="-","Nicht im Lift",IF(AX508&gt;=1,"Lift",IF(AX508&lt;=0,"Aussenlager","teilweise")))))</f>
        <v/>
      </c>
      <c r="BB508" s="53">
        <f>IF(A508="","",IF(BK508=1,"Neu; ","")&amp;IF(AND(BK508=0,BF508&lt;0),"negativer Bestand (Export "&amp;BF508&amp;"); ","")&amp;IF(I508&lt;=0,"Kein Verbrauch; ","")&amp;IF(BO508=1,"Lose – Fläche geschätzt; ","")&amp;IF(G508&gt;AM508,"Überbestand "&amp;ROUND(G508-AM508,0)&amp;" Stk / CHF "&amp;ROUND((G508-AM508)*F508,0)&amp;"; ","")&amp;IF(AND(BT508=1,BU508&lt;BV508),"MAX &lt; MB+LG; ","")&amp;IF(AND(BZ508&gt;0,BY508*10&gt;BZ508),"zu hoch für Tablar; ","")&amp;IF(AND(BK508=0,OR(BT508=1,V508&lt;&gt;"",S508&lt;&gt;"",T508&lt;&gt;"",W508&lt;&gt;"")),"manuell übersteuert; ","")&amp;IF(AND(BO508=0,Q508=0),"Gebinde unbekannt; ","")&amp;IF(AND(BO508=0,N(T508)&lt;=0,N(P508)&lt;=0),"Menge pro Gebinde fehlt (Ist = 1 Gebinde); ","")&amp;BJ508)</f>
        <v/>
      </c>
      <c r="BC508" s="53" t="n"/>
      <c r="BD508" s="53" t="n"/>
      <c r="BE508" s="61" t="n"/>
      <c r="BF508" s="55" t="n">
        <v>1</v>
      </c>
      <c r="BG508" s="55" t="n">
        <v>1</v>
      </c>
      <c r="BH508" s="54" t="n">
        <v>34</v>
      </c>
      <c r="BI508" s="55" t="n">
        <v>0</v>
      </c>
      <c r="BJ508" s="53" t="inlineStr"/>
      <c r="BK508" s="58" t="n">
        <v>0</v>
      </c>
      <c r="BL508" s="58" t="n">
        <v>508</v>
      </c>
      <c r="BM508" s="53">
        <f>IF(S508&lt;&gt;"",UPPER(TRIM(S508)),IF(O508="","LOSE",O508))</f>
        <v/>
      </c>
      <c r="BN508" s="55">
        <f>IF(BM508="LOSE",1,IF(N(T508)&gt;0,T508,IF(N(P508)&gt;0,P508,MAX(1,G508))))</f>
        <v/>
      </c>
      <c r="BO508" s="58">
        <f>IF(BM508="LOSE",1,0)</f>
        <v/>
      </c>
      <c r="BP508" s="64">
        <f>IF(BO508=0,0,IF(N(R508)&gt;0,R508,IFERROR(VLOOKUP(D508,Parameter!$A$35:$C$64,3,0)+0,0)))</f>
        <v/>
      </c>
      <c r="BQ508" s="53">
        <f>IF(V508&lt;&gt;"",V508,U508)</f>
        <v/>
      </c>
      <c r="BR508" s="53">
        <f>IF(BQ508=1,"L1",IF(OR(BQ508=2,BQ508=3),"L23",IF(BQ508="Aussen","Aussen","-")))</f>
        <v/>
      </c>
      <c r="BS508" s="66">
        <f>IF(N(W508)&gt;0,W508,0)</f>
        <v/>
      </c>
      <c r="BT508" s="58">
        <f>IF(ISNUMBER(Z508),1,0)</f>
        <v/>
      </c>
      <c r="BU508" s="55">
        <f>N(Z508)</f>
        <v/>
      </c>
      <c r="BV508" s="55">
        <f>N(L508)+N(M508)</f>
        <v/>
      </c>
      <c r="BW508" s="55">
        <f>ROUNDUP(G508/BN508,0)</f>
        <v/>
      </c>
      <c r="BX508" s="55">
        <f>ROUNDUP(BU508/BN508,0)</f>
        <v/>
      </c>
      <c r="BY508" s="58">
        <f>IF(BO508=1,0,IFERROR(VLOOKUP(BM508,'Gebinde-Kategorie'!$A$5:$G$45,5,0)+0,0))</f>
        <v/>
      </c>
      <c r="BZ508" s="58">
        <f>IFERROR(IF(OR(BQ508=1,BQ508=2,BQ508=3),N(INDEX(Parameter!$I$5:$I$7,BQ508)),0),0)</f>
        <v/>
      </c>
    </row>
    <row r="509">
      <c r="A509" s="53" t="inlineStr">
        <is>
          <t>100266</t>
        </is>
      </c>
      <c r="B509" s="53" t="inlineStr">
        <is>
          <t>O-Ring</t>
        </is>
      </c>
      <c r="C509" s="53" t="inlineStr">
        <is>
          <t>F</t>
        </is>
      </c>
      <c r="D509" s="53" t="inlineStr">
        <is>
          <t>KTL</t>
        </is>
      </c>
      <c r="E509" s="53" t="inlineStr">
        <is>
          <t>C</t>
        </is>
      </c>
      <c r="F509" s="54" t="n">
        <v>0.52</v>
      </c>
      <c r="G509" s="55">
        <f>MAX(0,IF(Parameter!$B$20="Jahresanfang 2025 + Export",BG509+BF509,BF509))</f>
        <v/>
      </c>
      <c r="H509" s="55">
        <f>G509*F509</f>
        <v/>
      </c>
      <c r="I509" s="55">
        <f>BI509*Parameter!$B$18</f>
        <v/>
      </c>
      <c r="J509" s="56" t="n">
        <v>356.5</v>
      </c>
      <c r="K509" s="57" t="n">
        <v>1.929873772791024</v>
      </c>
      <c r="L509" s="55" t="n">
        <v>26</v>
      </c>
      <c r="M509" s="55" t="n">
        <v>690</v>
      </c>
      <c r="N509" s="58" t="n">
        <v>14</v>
      </c>
      <c r="O509" s="53" t="inlineStr">
        <is>
          <t>S52</t>
        </is>
      </c>
      <c r="P509" s="55" t="n">
        <v>865</v>
      </c>
      <c r="Q509" s="59">
        <f>IF(BO509=1,0,IFERROR(VLOOKUP(BM509,'Gebinde-Kategorie'!$A$5:$G$45,6,0)+0,0))</f>
        <v/>
      </c>
      <c r="R509" s="60" t="n"/>
      <c r="S509" s="61" t="n"/>
      <c r="T509" s="61" t="n"/>
      <c r="U509" s="53">
        <f>IF(A509="","",IF(IFERROR(VLOOKUP(D509,Parameter!$A$35:$C$64,2,0),"Nein")="2+3",IF(ISNUMBER(SEARCH("grosser Artikel",BJ509)),2,IFERROR(VLOOKUP(BM509,Parameter!$F$35:$G$64,2,0),2)),IF(OR(IFERROR(VLOOKUP(D509,Parameter!$A$35:$C$64,2,0),"Nein")="Nein",IFERROR(VLOOKUP(D509,Parameter!$A$35:$C$64,2,0),"Nein")=""),"-",VLOOKUP(D509,Parameter!$A$35:$C$64,2,0))))</f>
        <v/>
      </c>
      <c r="V509" s="61" t="n"/>
      <c r="W509" s="62" t="n"/>
      <c r="X509" s="55">
        <f>AM509</f>
        <v/>
      </c>
      <c r="Y509" s="55">
        <f>MAX(AM509,G509)</f>
        <v/>
      </c>
      <c r="Z509" s="63" t="n"/>
      <c r="AA509" s="55">
        <f>IF(LEFT(Cockpit!$C$5,1)="A",G509,IF(BT509=1,BU509,IF(LEFT(Cockpit!$C$5,1)="B",AE509,MAX(AE509,G509))))</f>
        <v/>
      </c>
      <c r="AB509" s="55">
        <f>IF(BO509=1,0,ROUNDUP(AA509/BN509,0))</f>
        <v/>
      </c>
      <c r="AC509" s="64">
        <f>IF(BO509=1,IF(AA509&lt;=0,0,BP509*MAX(1,IF(G509&gt;0,AA509/G509,1))),AB509*Q509)</f>
        <v/>
      </c>
      <c r="AD509" s="55">
        <f>AA509*F509</f>
        <v/>
      </c>
      <c r="AE509" s="55">
        <f>ROUNDUP(MAX(I509/IF(BS509&gt;0,BS509,MAX(0.1,N(Cockpit!$C$6))),BV509)/BN509,0)*BN509</f>
        <v/>
      </c>
      <c r="AF509" s="56">
        <f>IF(AC509&gt;0,I509/AC509,-1)</f>
        <v/>
      </c>
      <c r="AG509" s="56">
        <f>IF(AND(OR(BR509="L1",BR509="L23"),AC509&gt;0),SUMIFS($AC$7:$AC$1570,$BR$7:$BR$1570,BR509,$AF$7:$AF$1570,"&gt;"&amp;AF509)+SUMIFS($AC$7:$AC$1570,$BR$7:$BR$1570,BR509,$AF$7:$AF$1570,AF509,$BL$7:$BL$1570,"&lt;="&amp;BL509),"")</f>
        <v/>
      </c>
      <c r="AH509" s="65">
        <f>IF(AG509="",0,MAX(0,MIN(1,(IF(BR509="L1",Parameter!$K$5,Parameter!$K$6+Parameter!$K$7)-(AG509-AC509))/AC509)))</f>
        <v/>
      </c>
      <c r="AI509" s="55">
        <f>IF(LEFT(Cockpit!$I$5,1)="A",G509,IF(BT509=1,BU509,IF(LEFT(Cockpit!$I$5,1)="B",AM509,MAX(AM509,G509))))</f>
        <v/>
      </c>
      <c r="AJ509" s="55">
        <f>IF(BO509=1,0,ROUNDUP(AI509/BN509,0))</f>
        <v/>
      </c>
      <c r="AK509" s="64">
        <f>IF(BO509=1,IF(AI509&lt;=0,0,BP509*MAX(1,IF(G509&gt;0,AI509/G509,1))),AJ509*Q509)</f>
        <v/>
      </c>
      <c r="AL509" s="55">
        <f>AI509*F509</f>
        <v/>
      </c>
      <c r="AM509" s="55">
        <f>ROUNDUP(MAX(I509/IF(BS509&gt;0,BS509,MAX(0.1,N(Cockpit!$I$6))),BV509)/BN509,0)*BN509</f>
        <v/>
      </c>
      <c r="AN509" s="56">
        <f>IF(AK509&gt;0,I509/AK509,-1)</f>
        <v/>
      </c>
      <c r="AO509" s="56">
        <f>IF(AND(OR(BR509="L1",BR509="L23"),AK509&gt;0),SUMIFS($AK$7:$AK$1570,$BR$7:$BR$1570,BR509,$AN$7:$AN$1570,"&gt;"&amp;AN509)+SUMIFS($AK$7:$AK$1570,$BR$7:$BR$1570,BR509,$AN$7:$AN$1570,AN509,$BL$7:$BL$1570,"&lt;="&amp;BL509),"")</f>
        <v/>
      </c>
      <c r="AP509" s="65">
        <f>IF(AO509="",0,MAX(0,MIN(1,(IF(BR509="L1",Parameter!$K$5,Parameter!$K$6+Parameter!$K$7)-(AO509-AK509))/AK509)))</f>
        <v/>
      </c>
      <c r="AQ509" s="55">
        <f>IF(LEFT(Cockpit!$O$5,1)="A",G509,IF(BT509=1,BU509,IF(LEFT(Cockpit!$O$5,1)="B",AU509,MAX(AU509,G509))))</f>
        <v/>
      </c>
      <c r="AR509" s="55">
        <f>IF(BO509=1,0,ROUNDUP(AQ509/BN509,0))</f>
        <v/>
      </c>
      <c r="AS509" s="64">
        <f>IF(BO509=1,IF(AQ509&lt;=0,0,BP509*MAX(1,IF(G509&gt;0,AQ509/G509,1))),AR509*Q509)</f>
        <v/>
      </c>
      <c r="AT509" s="55">
        <f>AQ509*F509</f>
        <v/>
      </c>
      <c r="AU509" s="55">
        <f>ROUNDUP(MAX(I509/IF(BS509&gt;0,BS509,MAX(0.1,N(Cockpit!$O$6))),BV509)/BN509,0)*BN509</f>
        <v/>
      </c>
      <c r="AV509" s="56">
        <f>IF(AS509&gt;0,I509/AS509,-1)</f>
        <v/>
      </c>
      <c r="AW509" s="56">
        <f>IF(AND(OR(BR509="L1",BR509="L23"),AS509&gt;0),SUMIFS($AS$7:$AS$1570,$BR$7:$BR$1570,BR509,$AV$7:$AV$1570,"&gt;"&amp;AV509)+SUMIFS($AS$7:$AS$1570,$BR$7:$BR$1570,BR509,$AV$7:$AV$1570,AV509,$BL$7:$BL$1570,"&lt;="&amp;BL509),"")</f>
        <v/>
      </c>
      <c r="AX509" s="65">
        <f>IF(AW509="",0,MAX(0,MIN(1,(IF(BR509="L1",Parameter!$K$5,Parameter!$K$6+Parameter!$K$7)-(AW509-AS509))/AS509)))</f>
        <v/>
      </c>
      <c r="AY509" s="53">
        <f>IF(AC509&lt;=0,"",IF(BR509="Aussen","Aussenlager",IF(BR509="-","Nicht im Lift",IF(AH509&gt;=1,"Lift",IF(AH509&lt;=0,"Aussenlager","teilweise")))))</f>
        <v/>
      </c>
      <c r="AZ509" s="53">
        <f>IF(AK509&lt;=0,"",IF(BR509="Aussen","Aussenlager",IF(BR509="-","Nicht im Lift",IF(AP509&gt;=1,"Lift",IF(AP509&lt;=0,"Aussenlager","teilweise")))))</f>
        <v/>
      </c>
      <c r="BA509" s="53">
        <f>IF(AS509&lt;=0,"",IF(BR509="Aussen","Aussenlager",IF(BR509="-","Nicht im Lift",IF(AX509&gt;=1,"Lift",IF(AX509&lt;=0,"Aussenlager","teilweise")))))</f>
        <v/>
      </c>
      <c r="BB509" s="53">
        <f>IF(A509="","",IF(BK509=1,"Neu; ","")&amp;IF(AND(BK509=0,BF509&lt;0),"negativer Bestand (Export "&amp;BF509&amp;"); ","")&amp;IF(I509&lt;=0,"Kein Verbrauch; ","")&amp;IF(BO509=1,"Lose – Fläche geschätzt; ","")&amp;IF(G509&gt;AM509,"Überbestand "&amp;ROUND(G509-AM509,0)&amp;" Stk / CHF "&amp;ROUND((G509-AM509)*F509,0)&amp;"; ","")&amp;IF(AND(BT509=1,BU509&lt;BV509),"MAX &lt; MB+LG; ","")&amp;IF(AND(BZ509&gt;0,BY509*10&gt;BZ509),"zu hoch für Tablar; ","")&amp;IF(AND(BK509=0,OR(BT509=1,V509&lt;&gt;"",S509&lt;&gt;"",T509&lt;&gt;"",W509&lt;&gt;"")),"manuell übersteuert; ","")&amp;IF(AND(BO509=0,Q509=0),"Gebinde unbekannt; ","")&amp;IF(AND(BO509=0,N(T509)&lt;=0,N(P509)&lt;=0),"Menge pro Gebinde fehlt (Ist = 1 Gebinde); ","")&amp;BJ509)</f>
        <v/>
      </c>
      <c r="BC509" s="53" t="n"/>
      <c r="BD509" s="53" t="n"/>
      <c r="BE509" s="61" t="n"/>
      <c r="BF509" s="55" t="n">
        <v>141</v>
      </c>
      <c r="BG509" s="55" t="n">
        <v>366</v>
      </c>
      <c r="BH509" s="54" t="n">
        <v>33.82999999999964</v>
      </c>
      <c r="BI509" s="55" t="n">
        <v>688</v>
      </c>
      <c r="BJ509" s="53" t="inlineStr"/>
      <c r="BK509" s="58" t="n">
        <v>0</v>
      </c>
      <c r="BL509" s="58" t="n">
        <v>509</v>
      </c>
      <c r="BM509" s="53">
        <f>IF(S509&lt;&gt;"",UPPER(TRIM(S509)),IF(O509="","LOSE",O509))</f>
        <v/>
      </c>
      <c r="BN509" s="55">
        <f>IF(BM509="LOSE",1,IF(N(T509)&gt;0,T509,IF(N(P509)&gt;0,P509,MAX(1,G509))))</f>
        <v/>
      </c>
      <c r="BO509" s="58">
        <f>IF(BM509="LOSE",1,0)</f>
        <v/>
      </c>
      <c r="BP509" s="64">
        <f>IF(BO509=0,0,IF(N(R509)&gt;0,R509,IFERROR(VLOOKUP(D509,Parameter!$A$35:$C$64,3,0)+0,0)))</f>
        <v/>
      </c>
      <c r="BQ509" s="53">
        <f>IF(V509&lt;&gt;"",V509,U509)</f>
        <v/>
      </c>
      <c r="BR509" s="53">
        <f>IF(BQ509=1,"L1",IF(OR(BQ509=2,BQ509=3),"L23",IF(BQ509="Aussen","Aussen","-")))</f>
        <v/>
      </c>
      <c r="BS509" s="66">
        <f>IF(N(W509)&gt;0,W509,0)</f>
        <v/>
      </c>
      <c r="BT509" s="58">
        <f>IF(ISNUMBER(Z509),1,0)</f>
        <v/>
      </c>
      <c r="BU509" s="55">
        <f>N(Z509)</f>
        <v/>
      </c>
      <c r="BV509" s="55">
        <f>N(L509)+N(M509)</f>
        <v/>
      </c>
      <c r="BW509" s="55">
        <f>ROUNDUP(G509/BN509,0)</f>
        <v/>
      </c>
      <c r="BX509" s="55">
        <f>ROUNDUP(BU509/BN509,0)</f>
        <v/>
      </c>
      <c r="BY509" s="58">
        <f>IF(BO509=1,0,IFERROR(VLOOKUP(BM509,'Gebinde-Kategorie'!$A$5:$G$45,5,0)+0,0))</f>
        <v/>
      </c>
      <c r="BZ509" s="58">
        <f>IFERROR(IF(OR(BQ509=1,BQ509=2,BQ509=3),N(INDEX(Parameter!$I$5:$I$7,BQ509)),0),0)</f>
        <v/>
      </c>
    </row>
    <row r="510">
      <c r="A510" s="53" t="inlineStr">
        <is>
          <t>111239</t>
        </is>
      </c>
      <c r="B510" s="53" t="inlineStr">
        <is>
          <t>Blende</t>
        </is>
      </c>
      <c r="C510" s="53" t="inlineStr">
        <is>
          <t>F</t>
        </is>
      </c>
      <c r="D510" s="53" t="inlineStr">
        <is>
          <t>KTL</t>
        </is>
      </c>
      <c r="E510" s="53" t="inlineStr">
        <is>
          <t>C</t>
        </is>
      </c>
      <c r="F510" s="54" t="n">
        <v>2.6</v>
      </c>
      <c r="G510" s="55">
        <f>MAX(0,IF(Parameter!$B$20="Jahresanfang 2025 + Export",BG510+BF510,BF510))</f>
        <v/>
      </c>
      <c r="H510" s="55">
        <f>G510*F510</f>
        <v/>
      </c>
      <c r="I510" s="55">
        <f>BI510*Parameter!$B$18</f>
        <v/>
      </c>
      <c r="J510" s="56" t="n">
        <v>9.5</v>
      </c>
      <c r="K510" s="57" t="n">
        <v>0.1052631578947368</v>
      </c>
      <c r="L510" s="55" t="n">
        <v>0</v>
      </c>
      <c r="M510" s="55" t="n">
        <v>1</v>
      </c>
      <c r="N510" s="58" t="n">
        <v>14</v>
      </c>
      <c r="O510" s="53" t="inlineStr">
        <is>
          <t>S21</t>
        </is>
      </c>
      <c r="P510" s="55" t="n">
        <v>20</v>
      </c>
      <c r="Q510" s="59">
        <f>IF(BO510=1,0,IFERROR(VLOOKUP(BM510,'Gebinde-Kategorie'!$A$5:$G$45,6,0)+0,0))</f>
        <v/>
      </c>
      <c r="R510" s="60" t="n"/>
      <c r="S510" s="61" t="n"/>
      <c r="T510" s="61" t="n"/>
      <c r="U510" s="53">
        <f>IF(A510="","",IF(IFERROR(VLOOKUP(D510,Parameter!$A$35:$C$64,2,0),"Nein")="2+3",IF(ISNUMBER(SEARCH("grosser Artikel",BJ510)),2,IFERROR(VLOOKUP(BM510,Parameter!$F$35:$G$64,2,0),2)),IF(OR(IFERROR(VLOOKUP(D510,Parameter!$A$35:$C$64,2,0),"Nein")="Nein",IFERROR(VLOOKUP(D510,Parameter!$A$35:$C$64,2,0),"Nein")=""),"-",VLOOKUP(D510,Parameter!$A$35:$C$64,2,0))))</f>
        <v/>
      </c>
      <c r="V510" s="61" t="n"/>
      <c r="W510" s="62" t="n"/>
      <c r="X510" s="55">
        <f>AM510</f>
        <v/>
      </c>
      <c r="Y510" s="55">
        <f>MAX(AM510,G510)</f>
        <v/>
      </c>
      <c r="Z510" s="63" t="n"/>
      <c r="AA510" s="55">
        <f>IF(LEFT(Cockpit!$C$5,1)="A",G510,IF(BT510=1,BU510,IF(LEFT(Cockpit!$C$5,1)="B",AE510,MAX(AE510,G510))))</f>
        <v/>
      </c>
      <c r="AB510" s="55">
        <f>IF(BO510=1,0,ROUNDUP(AA510/BN510,0))</f>
        <v/>
      </c>
      <c r="AC510" s="64">
        <f>IF(BO510=1,IF(AA510&lt;=0,0,BP510*MAX(1,IF(G510&gt;0,AA510/G510,1))),AB510*Q510)</f>
        <v/>
      </c>
      <c r="AD510" s="55">
        <f>AA510*F510</f>
        <v/>
      </c>
      <c r="AE510" s="55">
        <f>ROUNDUP(MAX(I510/IF(BS510&gt;0,BS510,MAX(0.1,N(Cockpit!$C$6))),BV510)/BN510,0)*BN510</f>
        <v/>
      </c>
      <c r="AF510" s="56">
        <f>IF(AC510&gt;0,I510/AC510,-1)</f>
        <v/>
      </c>
      <c r="AG510" s="56">
        <f>IF(AND(OR(BR510="L1",BR510="L23"),AC510&gt;0),SUMIFS($AC$7:$AC$1570,$BR$7:$BR$1570,BR510,$AF$7:$AF$1570,"&gt;"&amp;AF510)+SUMIFS($AC$7:$AC$1570,$BR$7:$BR$1570,BR510,$AF$7:$AF$1570,AF510,$BL$7:$BL$1570,"&lt;="&amp;BL510),"")</f>
        <v/>
      </c>
      <c r="AH510" s="65">
        <f>IF(AG510="",0,MAX(0,MIN(1,(IF(BR510="L1",Parameter!$K$5,Parameter!$K$6+Parameter!$K$7)-(AG510-AC510))/AC510)))</f>
        <v/>
      </c>
      <c r="AI510" s="55">
        <f>IF(LEFT(Cockpit!$I$5,1)="A",G510,IF(BT510=1,BU510,IF(LEFT(Cockpit!$I$5,1)="B",AM510,MAX(AM510,G510))))</f>
        <v/>
      </c>
      <c r="AJ510" s="55">
        <f>IF(BO510=1,0,ROUNDUP(AI510/BN510,0))</f>
        <v/>
      </c>
      <c r="AK510" s="64">
        <f>IF(BO510=1,IF(AI510&lt;=0,0,BP510*MAX(1,IF(G510&gt;0,AI510/G510,1))),AJ510*Q510)</f>
        <v/>
      </c>
      <c r="AL510" s="55">
        <f>AI510*F510</f>
        <v/>
      </c>
      <c r="AM510" s="55">
        <f>ROUNDUP(MAX(I510/IF(BS510&gt;0,BS510,MAX(0.1,N(Cockpit!$I$6))),BV510)/BN510,0)*BN510</f>
        <v/>
      </c>
      <c r="AN510" s="56">
        <f>IF(AK510&gt;0,I510/AK510,-1)</f>
        <v/>
      </c>
      <c r="AO510" s="56">
        <f>IF(AND(OR(BR510="L1",BR510="L23"),AK510&gt;0),SUMIFS($AK$7:$AK$1570,$BR$7:$BR$1570,BR510,$AN$7:$AN$1570,"&gt;"&amp;AN510)+SUMIFS($AK$7:$AK$1570,$BR$7:$BR$1570,BR510,$AN$7:$AN$1570,AN510,$BL$7:$BL$1570,"&lt;="&amp;BL510),"")</f>
        <v/>
      </c>
      <c r="AP510" s="65">
        <f>IF(AO510="",0,MAX(0,MIN(1,(IF(BR510="L1",Parameter!$K$5,Parameter!$K$6+Parameter!$K$7)-(AO510-AK510))/AK510)))</f>
        <v/>
      </c>
      <c r="AQ510" s="55">
        <f>IF(LEFT(Cockpit!$O$5,1)="A",G510,IF(BT510=1,BU510,IF(LEFT(Cockpit!$O$5,1)="B",AU510,MAX(AU510,G510))))</f>
        <v/>
      </c>
      <c r="AR510" s="55">
        <f>IF(BO510=1,0,ROUNDUP(AQ510/BN510,0))</f>
        <v/>
      </c>
      <c r="AS510" s="64">
        <f>IF(BO510=1,IF(AQ510&lt;=0,0,BP510*MAX(1,IF(G510&gt;0,AQ510/G510,1))),AR510*Q510)</f>
        <v/>
      </c>
      <c r="AT510" s="55">
        <f>AQ510*F510</f>
        <v/>
      </c>
      <c r="AU510" s="55">
        <f>ROUNDUP(MAX(I510/IF(BS510&gt;0,BS510,MAX(0.1,N(Cockpit!$O$6))),BV510)/BN510,0)*BN510</f>
        <v/>
      </c>
      <c r="AV510" s="56">
        <f>IF(AS510&gt;0,I510/AS510,-1)</f>
        <v/>
      </c>
      <c r="AW510" s="56">
        <f>IF(AND(OR(BR510="L1",BR510="L23"),AS510&gt;0),SUMIFS($AS$7:$AS$1570,$BR$7:$BR$1570,BR510,$AV$7:$AV$1570,"&gt;"&amp;AV510)+SUMIFS($AS$7:$AS$1570,$BR$7:$BR$1570,BR510,$AV$7:$AV$1570,AV510,$BL$7:$BL$1570,"&lt;="&amp;BL510),"")</f>
        <v/>
      </c>
      <c r="AX510" s="65">
        <f>IF(AW510="",0,MAX(0,MIN(1,(IF(BR510="L1",Parameter!$K$5,Parameter!$K$6+Parameter!$K$7)-(AW510-AS510))/AS510)))</f>
        <v/>
      </c>
      <c r="AY510" s="53">
        <f>IF(AC510&lt;=0,"",IF(BR510="Aussen","Aussenlager",IF(BR510="-","Nicht im Lift",IF(AH510&gt;=1,"Lift",IF(AH510&lt;=0,"Aussenlager","teilweise")))))</f>
        <v/>
      </c>
      <c r="AZ510" s="53">
        <f>IF(AK510&lt;=0,"",IF(BR510="Aussen","Aussenlager",IF(BR510="-","Nicht im Lift",IF(AP510&gt;=1,"Lift",IF(AP510&lt;=0,"Aussenlager","teilweise")))))</f>
        <v/>
      </c>
      <c r="BA510" s="53">
        <f>IF(AS510&lt;=0,"",IF(BR510="Aussen","Aussenlager",IF(BR510="-","Nicht im Lift",IF(AX510&gt;=1,"Lift",IF(AX510&lt;=0,"Aussenlager","teilweise")))))</f>
        <v/>
      </c>
      <c r="BB510" s="53">
        <f>IF(A510="","",IF(BK510=1,"Neu; ","")&amp;IF(AND(BK510=0,BF510&lt;0),"negativer Bestand (Export "&amp;BF510&amp;"); ","")&amp;IF(I510&lt;=0,"Kein Verbrauch; ","")&amp;IF(BO510=1,"Lose – Fläche geschätzt; ","")&amp;IF(G510&gt;AM510,"Überbestand "&amp;ROUND(G510-AM510,0)&amp;" Stk / CHF "&amp;ROUND((G510-AM510)*F510,0)&amp;"; ","")&amp;IF(AND(BT510=1,BU510&lt;BV510),"MAX &lt; MB+LG; ","")&amp;IF(AND(BZ510&gt;0,BY510*10&gt;BZ510),"zu hoch für Tablar; ","")&amp;IF(AND(BK510=0,OR(BT510=1,V510&lt;&gt;"",S510&lt;&gt;"",T510&lt;&gt;"",W510&lt;&gt;"")),"manuell übersteuert; ","")&amp;IF(AND(BO510=0,Q510=0),"Gebinde unbekannt; ","")&amp;IF(AND(BO510=0,N(T510)&lt;=0,N(P510)&lt;=0),"Menge pro Gebinde fehlt (Ist = 1 Gebinde); ","")&amp;BJ510)</f>
        <v/>
      </c>
      <c r="BC510" s="53" t="n"/>
      <c r="BD510" s="53" t="n"/>
      <c r="BE510" s="61" t="n"/>
      <c r="BF510" s="55" t="n">
        <v>13</v>
      </c>
      <c r="BG510" s="55" t="n">
        <v>0</v>
      </c>
      <c r="BH510" s="54" t="n">
        <v>33.8</v>
      </c>
      <c r="BI510" s="55" t="n">
        <v>1</v>
      </c>
      <c r="BJ510" s="53" t="inlineStr"/>
      <c r="BK510" s="58" t="n">
        <v>0</v>
      </c>
      <c r="BL510" s="58" t="n">
        <v>510</v>
      </c>
      <c r="BM510" s="53">
        <f>IF(S510&lt;&gt;"",UPPER(TRIM(S510)),IF(O510="","LOSE",O510))</f>
        <v/>
      </c>
      <c r="BN510" s="55">
        <f>IF(BM510="LOSE",1,IF(N(T510)&gt;0,T510,IF(N(P510)&gt;0,P510,MAX(1,G510))))</f>
        <v/>
      </c>
      <c r="BO510" s="58">
        <f>IF(BM510="LOSE",1,0)</f>
        <v/>
      </c>
      <c r="BP510" s="64">
        <f>IF(BO510=0,0,IF(N(R510)&gt;0,R510,IFERROR(VLOOKUP(D510,Parameter!$A$35:$C$64,3,0)+0,0)))</f>
        <v/>
      </c>
      <c r="BQ510" s="53">
        <f>IF(V510&lt;&gt;"",V510,U510)</f>
        <v/>
      </c>
      <c r="BR510" s="53">
        <f>IF(BQ510=1,"L1",IF(OR(BQ510=2,BQ510=3),"L23",IF(BQ510="Aussen","Aussen","-")))</f>
        <v/>
      </c>
      <c r="BS510" s="66">
        <f>IF(N(W510)&gt;0,W510,0)</f>
        <v/>
      </c>
      <c r="BT510" s="58">
        <f>IF(ISNUMBER(Z510),1,0)</f>
        <v/>
      </c>
      <c r="BU510" s="55">
        <f>N(Z510)</f>
        <v/>
      </c>
      <c r="BV510" s="55">
        <f>N(L510)+N(M510)</f>
        <v/>
      </c>
      <c r="BW510" s="55">
        <f>ROUNDUP(G510/BN510,0)</f>
        <v/>
      </c>
      <c r="BX510" s="55">
        <f>ROUNDUP(BU510/BN510,0)</f>
        <v/>
      </c>
      <c r="BY510" s="58">
        <f>IF(BO510=1,0,IFERROR(VLOOKUP(BM510,'Gebinde-Kategorie'!$A$5:$G$45,5,0)+0,0))</f>
        <v/>
      </c>
      <c r="BZ510" s="58">
        <f>IFERROR(IF(OR(BQ510=1,BQ510=2,BQ510=3),N(INDEX(Parameter!$I$5:$I$7,BQ510)),0),0)</f>
        <v/>
      </c>
    </row>
    <row r="511">
      <c r="A511" s="53" t="inlineStr">
        <is>
          <t>105989</t>
        </is>
      </c>
      <c r="B511" s="53" t="inlineStr">
        <is>
          <t>Stützring</t>
        </is>
      </c>
      <c r="C511" s="53" t="inlineStr">
        <is>
          <t>F</t>
        </is>
      </c>
      <c r="D511" s="53" t="inlineStr">
        <is>
          <t>KTL</t>
        </is>
      </c>
      <c r="E511" s="53" t="inlineStr">
        <is>
          <t>C</t>
        </is>
      </c>
      <c r="F511" s="54" t="n">
        <v>18.95</v>
      </c>
      <c r="G511" s="55">
        <f>MAX(0,IF(Parameter!$B$20="Jahresanfang 2025 + Export",BG511+BF511,BF511))</f>
        <v/>
      </c>
      <c r="H511" s="55">
        <f>G511*F511</f>
        <v/>
      </c>
      <c r="I511" s="55">
        <f>BI511*Parameter!$B$18</f>
        <v/>
      </c>
      <c r="J511" s="56" t="n">
        <v>72.5</v>
      </c>
      <c r="K511" s="57" t="n">
        <v>3.944827586206896</v>
      </c>
      <c r="L511" s="55" t="n">
        <v>5</v>
      </c>
      <c r="M511" s="55" t="n">
        <v>185</v>
      </c>
      <c r="N511" s="58" t="n">
        <v>7</v>
      </c>
      <c r="O511" s="53" t="inlineStr">
        <is>
          <t>S51</t>
        </is>
      </c>
      <c r="P511" s="55" t="n">
        <v>255</v>
      </c>
      <c r="Q511" s="59">
        <f>IF(BO511=1,0,IFERROR(VLOOKUP(BM511,'Gebinde-Kategorie'!$A$5:$G$45,6,0)+0,0))</f>
        <v/>
      </c>
      <c r="R511" s="60" t="n"/>
      <c r="S511" s="61" t="n"/>
      <c r="T511" s="61" t="n"/>
      <c r="U511" s="53">
        <f>IF(A511="","",IF(IFERROR(VLOOKUP(D511,Parameter!$A$35:$C$64,2,0),"Nein")="2+3",IF(ISNUMBER(SEARCH("grosser Artikel",BJ511)),2,IFERROR(VLOOKUP(BM511,Parameter!$F$35:$G$64,2,0),2)),IF(OR(IFERROR(VLOOKUP(D511,Parameter!$A$35:$C$64,2,0),"Nein")="Nein",IFERROR(VLOOKUP(D511,Parameter!$A$35:$C$64,2,0),"Nein")=""),"-",VLOOKUP(D511,Parameter!$A$35:$C$64,2,0))))</f>
        <v/>
      </c>
      <c r="V511" s="61" t="n"/>
      <c r="W511" s="62" t="n"/>
      <c r="X511" s="55">
        <f>AM511</f>
        <v/>
      </c>
      <c r="Y511" s="55">
        <f>MAX(AM511,G511)</f>
        <v/>
      </c>
      <c r="Z511" s="63" t="n"/>
      <c r="AA511" s="55">
        <f>IF(LEFT(Cockpit!$C$5,1)="A",G511,IF(BT511=1,BU511,IF(LEFT(Cockpit!$C$5,1)="B",AE511,MAX(AE511,G511))))</f>
        <v/>
      </c>
      <c r="AB511" s="55">
        <f>IF(BO511=1,0,ROUNDUP(AA511/BN511,0))</f>
        <v/>
      </c>
      <c r="AC511" s="64">
        <f>IF(BO511=1,IF(AA511&lt;=0,0,BP511*MAX(1,IF(G511&gt;0,AA511/G511,1))),AB511*Q511)</f>
        <v/>
      </c>
      <c r="AD511" s="55">
        <f>AA511*F511</f>
        <v/>
      </c>
      <c r="AE511" s="55">
        <f>ROUNDUP(MAX(I511/IF(BS511&gt;0,BS511,MAX(0.1,N(Cockpit!$C$6))),BV511)/BN511,0)*BN511</f>
        <v/>
      </c>
      <c r="AF511" s="56">
        <f>IF(AC511&gt;0,I511/AC511,-1)</f>
        <v/>
      </c>
      <c r="AG511" s="56">
        <f>IF(AND(OR(BR511="L1",BR511="L23"),AC511&gt;0),SUMIFS($AC$7:$AC$1570,$BR$7:$BR$1570,BR511,$AF$7:$AF$1570,"&gt;"&amp;AF511)+SUMIFS($AC$7:$AC$1570,$BR$7:$BR$1570,BR511,$AF$7:$AF$1570,AF511,$BL$7:$BL$1570,"&lt;="&amp;BL511),"")</f>
        <v/>
      </c>
      <c r="AH511" s="65">
        <f>IF(AG511="",0,MAX(0,MIN(1,(IF(BR511="L1",Parameter!$K$5,Parameter!$K$6+Parameter!$K$7)-(AG511-AC511))/AC511)))</f>
        <v/>
      </c>
      <c r="AI511" s="55">
        <f>IF(LEFT(Cockpit!$I$5,1)="A",G511,IF(BT511=1,BU511,IF(LEFT(Cockpit!$I$5,1)="B",AM511,MAX(AM511,G511))))</f>
        <v/>
      </c>
      <c r="AJ511" s="55">
        <f>IF(BO511=1,0,ROUNDUP(AI511/BN511,0))</f>
        <v/>
      </c>
      <c r="AK511" s="64">
        <f>IF(BO511=1,IF(AI511&lt;=0,0,BP511*MAX(1,IF(G511&gt;0,AI511/G511,1))),AJ511*Q511)</f>
        <v/>
      </c>
      <c r="AL511" s="55">
        <f>AI511*F511</f>
        <v/>
      </c>
      <c r="AM511" s="55">
        <f>ROUNDUP(MAX(I511/IF(BS511&gt;0,BS511,MAX(0.1,N(Cockpit!$I$6))),BV511)/BN511,0)*BN511</f>
        <v/>
      </c>
      <c r="AN511" s="56">
        <f>IF(AK511&gt;0,I511/AK511,-1)</f>
        <v/>
      </c>
      <c r="AO511" s="56">
        <f>IF(AND(OR(BR511="L1",BR511="L23"),AK511&gt;0),SUMIFS($AK$7:$AK$1570,$BR$7:$BR$1570,BR511,$AN$7:$AN$1570,"&gt;"&amp;AN511)+SUMIFS($AK$7:$AK$1570,$BR$7:$BR$1570,BR511,$AN$7:$AN$1570,AN511,$BL$7:$BL$1570,"&lt;="&amp;BL511),"")</f>
        <v/>
      </c>
      <c r="AP511" s="65">
        <f>IF(AO511="",0,MAX(0,MIN(1,(IF(BR511="L1",Parameter!$K$5,Parameter!$K$6+Parameter!$K$7)-(AO511-AK511))/AK511)))</f>
        <v/>
      </c>
      <c r="AQ511" s="55">
        <f>IF(LEFT(Cockpit!$O$5,1)="A",G511,IF(BT511=1,BU511,IF(LEFT(Cockpit!$O$5,1)="B",AU511,MAX(AU511,G511))))</f>
        <v/>
      </c>
      <c r="AR511" s="55">
        <f>IF(BO511=1,0,ROUNDUP(AQ511/BN511,0))</f>
        <v/>
      </c>
      <c r="AS511" s="64">
        <f>IF(BO511=1,IF(AQ511&lt;=0,0,BP511*MAX(1,IF(G511&gt;0,AQ511/G511,1))),AR511*Q511)</f>
        <v/>
      </c>
      <c r="AT511" s="55">
        <f>AQ511*F511</f>
        <v/>
      </c>
      <c r="AU511" s="55">
        <f>ROUNDUP(MAX(I511/IF(BS511&gt;0,BS511,MAX(0.1,N(Cockpit!$O$6))),BV511)/BN511,0)*BN511</f>
        <v/>
      </c>
      <c r="AV511" s="56">
        <f>IF(AS511&gt;0,I511/AS511,-1)</f>
        <v/>
      </c>
      <c r="AW511" s="56">
        <f>IF(AND(OR(BR511="L1",BR511="L23"),AS511&gt;0),SUMIFS($AS$7:$AS$1570,$BR$7:$BR$1570,BR511,$AV$7:$AV$1570,"&gt;"&amp;AV511)+SUMIFS($AS$7:$AS$1570,$BR$7:$BR$1570,BR511,$AV$7:$AV$1570,AV511,$BL$7:$BL$1570,"&lt;="&amp;BL511),"")</f>
        <v/>
      </c>
      <c r="AX511" s="65">
        <f>IF(AW511="",0,MAX(0,MIN(1,(IF(BR511="L1",Parameter!$K$5,Parameter!$K$6+Parameter!$K$7)-(AW511-AS511))/AS511)))</f>
        <v/>
      </c>
      <c r="AY511" s="53">
        <f>IF(AC511&lt;=0,"",IF(BR511="Aussen","Aussenlager",IF(BR511="-","Nicht im Lift",IF(AH511&gt;=1,"Lift",IF(AH511&lt;=0,"Aussenlager","teilweise")))))</f>
        <v/>
      </c>
      <c r="AZ511" s="53">
        <f>IF(AK511&lt;=0,"",IF(BR511="Aussen","Aussenlager",IF(BR511="-","Nicht im Lift",IF(AP511&gt;=1,"Lift",IF(AP511&lt;=0,"Aussenlager","teilweise")))))</f>
        <v/>
      </c>
      <c r="BA511" s="53">
        <f>IF(AS511&lt;=0,"",IF(BR511="Aussen","Aussenlager",IF(BR511="-","Nicht im Lift",IF(AX511&gt;=1,"Lift",IF(AX511&lt;=0,"Aussenlager","teilweise")))))</f>
        <v/>
      </c>
      <c r="BB511" s="53">
        <f>IF(A511="","",IF(BK511=1,"Neu; ","")&amp;IF(AND(BK511=0,BF511&lt;0),"negativer Bestand (Export "&amp;BF511&amp;"); ","")&amp;IF(I511&lt;=0,"Kein Verbrauch; ","")&amp;IF(BO511=1,"Lose – Fläche geschätzt; ","")&amp;IF(G511&gt;AM511,"Überbestand "&amp;ROUND(G511-AM511,0)&amp;" Stk / CHF "&amp;ROUND((G511-AM511)*F511,0)&amp;"; ","")&amp;IF(AND(BT511=1,BU511&lt;BV511),"MAX &lt; MB+LG; ","")&amp;IF(AND(BZ511&gt;0,BY511*10&gt;BZ511),"zu hoch für Tablar; ","")&amp;IF(AND(BK511=0,OR(BT511=1,V511&lt;&gt;"",S511&lt;&gt;"",T511&lt;&gt;"",W511&lt;&gt;"")),"manuell übersteuert; ","")&amp;IF(AND(BO511=0,Q511=0),"Gebinde unbekannt; ","")&amp;IF(AND(BO511=0,N(T511)&lt;=0,N(P511)&lt;=0),"Menge pro Gebinde fehlt (Ist = 1 Gebinde); ","")&amp;BJ511)</f>
        <v/>
      </c>
      <c r="BC511" s="53" t="n"/>
      <c r="BD511" s="53" t="n"/>
      <c r="BE511" s="61" t="n"/>
      <c r="BF511" s="55" t="n">
        <v>5</v>
      </c>
      <c r="BG511" s="55" t="n">
        <v>55</v>
      </c>
      <c r="BH511" s="54" t="n">
        <v>33.69000000000005</v>
      </c>
      <c r="BI511" s="55" t="n">
        <v>286</v>
      </c>
      <c r="BJ511" s="53" t="inlineStr"/>
      <c r="BK511" s="58" t="n">
        <v>0</v>
      </c>
      <c r="BL511" s="58" t="n">
        <v>511</v>
      </c>
      <c r="BM511" s="53">
        <f>IF(S511&lt;&gt;"",UPPER(TRIM(S511)),IF(O511="","LOSE",O511))</f>
        <v/>
      </c>
      <c r="BN511" s="55">
        <f>IF(BM511="LOSE",1,IF(N(T511)&gt;0,T511,IF(N(P511)&gt;0,P511,MAX(1,G511))))</f>
        <v/>
      </c>
      <c r="BO511" s="58">
        <f>IF(BM511="LOSE",1,0)</f>
        <v/>
      </c>
      <c r="BP511" s="64">
        <f>IF(BO511=0,0,IF(N(R511)&gt;0,R511,IFERROR(VLOOKUP(D511,Parameter!$A$35:$C$64,3,0)+0,0)))</f>
        <v/>
      </c>
      <c r="BQ511" s="53">
        <f>IF(V511&lt;&gt;"",V511,U511)</f>
        <v/>
      </c>
      <c r="BR511" s="53">
        <f>IF(BQ511=1,"L1",IF(OR(BQ511=2,BQ511=3),"L23",IF(BQ511="Aussen","Aussen","-")))</f>
        <v/>
      </c>
      <c r="BS511" s="66">
        <f>IF(N(W511)&gt;0,W511,0)</f>
        <v/>
      </c>
      <c r="BT511" s="58">
        <f>IF(ISNUMBER(Z511),1,0)</f>
        <v/>
      </c>
      <c r="BU511" s="55">
        <f>N(Z511)</f>
        <v/>
      </c>
      <c r="BV511" s="55">
        <f>N(L511)+N(M511)</f>
        <v/>
      </c>
      <c r="BW511" s="55">
        <f>ROUNDUP(G511/BN511,0)</f>
        <v/>
      </c>
      <c r="BX511" s="55">
        <f>ROUNDUP(BU511/BN511,0)</f>
        <v/>
      </c>
      <c r="BY511" s="58">
        <f>IF(BO511=1,0,IFERROR(VLOOKUP(BM511,'Gebinde-Kategorie'!$A$5:$G$45,5,0)+0,0))</f>
        <v/>
      </c>
      <c r="BZ511" s="58">
        <f>IFERROR(IF(OR(BQ511=1,BQ511=2,BQ511=3),N(INDEX(Parameter!$I$5:$I$7,BQ511)),0),0)</f>
        <v/>
      </c>
    </row>
    <row r="512">
      <c r="A512" s="53" t="inlineStr">
        <is>
          <t>005710</t>
        </is>
      </c>
      <c r="B512" s="53" t="inlineStr">
        <is>
          <t>Steuerschalter</t>
        </is>
      </c>
      <c r="C512" s="53" t="inlineStr">
        <is>
          <t>F</t>
        </is>
      </c>
      <c r="D512" s="53" t="inlineStr">
        <is>
          <t>KTL</t>
        </is>
      </c>
      <c r="E512" s="53" t="inlineStr">
        <is>
          <t>C</t>
        </is>
      </c>
      <c r="F512" s="54" t="n">
        <v>43.1</v>
      </c>
      <c r="G512" s="55">
        <f>MAX(0,IF(Parameter!$B$20="Jahresanfang 2025 + Export",BG512+BF512,BF512))</f>
        <v/>
      </c>
      <c r="H512" s="55">
        <f>G512*F512</f>
        <v/>
      </c>
      <c r="I512" s="55">
        <f>BI512*Parameter!$B$18</f>
        <v/>
      </c>
      <c r="J512" s="56" t="n">
        <v>9</v>
      </c>
      <c r="K512" s="57" t="n">
        <v>2.444444444444445</v>
      </c>
      <c r="L512" s="55" t="n">
        <v>1</v>
      </c>
      <c r="M512" s="55" t="n">
        <v>20</v>
      </c>
      <c r="N512" s="58" t="n">
        <v>28</v>
      </c>
      <c r="O512" s="53" t="inlineStr">
        <is>
          <t>S51</t>
        </is>
      </c>
      <c r="P512" s="55" t="n">
        <v>16</v>
      </c>
      <c r="Q512" s="59">
        <f>IF(BO512=1,0,IFERROR(VLOOKUP(BM512,'Gebinde-Kategorie'!$A$5:$G$45,6,0)+0,0))</f>
        <v/>
      </c>
      <c r="R512" s="60" t="n"/>
      <c r="S512" s="61" t="n"/>
      <c r="T512" s="61" t="n"/>
      <c r="U512" s="53">
        <f>IF(A512="","",IF(IFERROR(VLOOKUP(D512,Parameter!$A$35:$C$64,2,0),"Nein")="2+3",IF(ISNUMBER(SEARCH("grosser Artikel",BJ512)),2,IFERROR(VLOOKUP(BM512,Parameter!$F$35:$G$64,2,0),2)),IF(OR(IFERROR(VLOOKUP(D512,Parameter!$A$35:$C$64,2,0),"Nein")="Nein",IFERROR(VLOOKUP(D512,Parameter!$A$35:$C$64,2,0),"Nein")=""),"-",VLOOKUP(D512,Parameter!$A$35:$C$64,2,0))))</f>
        <v/>
      </c>
      <c r="V512" s="61" t="n"/>
      <c r="W512" s="62" t="n"/>
      <c r="X512" s="55">
        <f>AM512</f>
        <v/>
      </c>
      <c r="Y512" s="55">
        <f>MAX(AM512,G512)</f>
        <v/>
      </c>
      <c r="Z512" s="63" t="n"/>
      <c r="AA512" s="55">
        <f>IF(LEFT(Cockpit!$C$5,1)="A",G512,IF(BT512=1,BU512,IF(LEFT(Cockpit!$C$5,1)="B",AE512,MAX(AE512,G512))))</f>
        <v/>
      </c>
      <c r="AB512" s="55">
        <f>IF(BO512=1,0,ROUNDUP(AA512/BN512,0))</f>
        <v/>
      </c>
      <c r="AC512" s="64">
        <f>IF(BO512=1,IF(AA512&lt;=0,0,BP512*MAX(1,IF(G512&gt;0,AA512/G512,1))),AB512*Q512)</f>
        <v/>
      </c>
      <c r="AD512" s="55">
        <f>AA512*F512</f>
        <v/>
      </c>
      <c r="AE512" s="55">
        <f>ROUNDUP(MAX(I512/IF(BS512&gt;0,BS512,MAX(0.1,N(Cockpit!$C$6))),BV512)/BN512,0)*BN512</f>
        <v/>
      </c>
      <c r="AF512" s="56">
        <f>IF(AC512&gt;0,I512/AC512,-1)</f>
        <v/>
      </c>
      <c r="AG512" s="56">
        <f>IF(AND(OR(BR512="L1",BR512="L23"),AC512&gt;0),SUMIFS($AC$7:$AC$1570,$BR$7:$BR$1570,BR512,$AF$7:$AF$1570,"&gt;"&amp;AF512)+SUMIFS($AC$7:$AC$1570,$BR$7:$BR$1570,BR512,$AF$7:$AF$1570,AF512,$BL$7:$BL$1570,"&lt;="&amp;BL512),"")</f>
        <v/>
      </c>
      <c r="AH512" s="65">
        <f>IF(AG512="",0,MAX(0,MIN(1,(IF(BR512="L1",Parameter!$K$5,Parameter!$K$6+Parameter!$K$7)-(AG512-AC512))/AC512)))</f>
        <v/>
      </c>
      <c r="AI512" s="55">
        <f>IF(LEFT(Cockpit!$I$5,1)="A",G512,IF(BT512=1,BU512,IF(LEFT(Cockpit!$I$5,1)="B",AM512,MAX(AM512,G512))))</f>
        <v/>
      </c>
      <c r="AJ512" s="55">
        <f>IF(BO512=1,0,ROUNDUP(AI512/BN512,0))</f>
        <v/>
      </c>
      <c r="AK512" s="64">
        <f>IF(BO512=1,IF(AI512&lt;=0,0,BP512*MAX(1,IF(G512&gt;0,AI512/G512,1))),AJ512*Q512)</f>
        <v/>
      </c>
      <c r="AL512" s="55">
        <f>AI512*F512</f>
        <v/>
      </c>
      <c r="AM512" s="55">
        <f>ROUNDUP(MAX(I512/IF(BS512&gt;0,BS512,MAX(0.1,N(Cockpit!$I$6))),BV512)/BN512,0)*BN512</f>
        <v/>
      </c>
      <c r="AN512" s="56">
        <f>IF(AK512&gt;0,I512/AK512,-1)</f>
        <v/>
      </c>
      <c r="AO512" s="56">
        <f>IF(AND(OR(BR512="L1",BR512="L23"),AK512&gt;0),SUMIFS($AK$7:$AK$1570,$BR$7:$BR$1570,BR512,$AN$7:$AN$1570,"&gt;"&amp;AN512)+SUMIFS($AK$7:$AK$1570,$BR$7:$BR$1570,BR512,$AN$7:$AN$1570,AN512,$BL$7:$BL$1570,"&lt;="&amp;BL512),"")</f>
        <v/>
      </c>
      <c r="AP512" s="65">
        <f>IF(AO512="",0,MAX(0,MIN(1,(IF(BR512="L1",Parameter!$K$5,Parameter!$K$6+Parameter!$K$7)-(AO512-AK512))/AK512)))</f>
        <v/>
      </c>
      <c r="AQ512" s="55">
        <f>IF(LEFT(Cockpit!$O$5,1)="A",G512,IF(BT512=1,BU512,IF(LEFT(Cockpit!$O$5,1)="B",AU512,MAX(AU512,G512))))</f>
        <v/>
      </c>
      <c r="AR512" s="55">
        <f>IF(BO512=1,0,ROUNDUP(AQ512/BN512,0))</f>
        <v/>
      </c>
      <c r="AS512" s="64">
        <f>IF(BO512=1,IF(AQ512&lt;=0,0,BP512*MAX(1,IF(G512&gt;0,AQ512/G512,1))),AR512*Q512)</f>
        <v/>
      </c>
      <c r="AT512" s="55">
        <f>AQ512*F512</f>
        <v/>
      </c>
      <c r="AU512" s="55">
        <f>ROUNDUP(MAX(I512/IF(BS512&gt;0,BS512,MAX(0.1,N(Cockpit!$O$6))),BV512)/BN512,0)*BN512</f>
        <v/>
      </c>
      <c r="AV512" s="56">
        <f>IF(AS512&gt;0,I512/AS512,-1)</f>
        <v/>
      </c>
      <c r="AW512" s="56">
        <f>IF(AND(OR(BR512="L1",BR512="L23"),AS512&gt;0),SUMIFS($AS$7:$AS$1570,$BR$7:$BR$1570,BR512,$AV$7:$AV$1570,"&gt;"&amp;AV512)+SUMIFS($AS$7:$AS$1570,$BR$7:$BR$1570,BR512,$AV$7:$AV$1570,AV512,$BL$7:$BL$1570,"&lt;="&amp;BL512),"")</f>
        <v/>
      </c>
      <c r="AX512" s="65">
        <f>IF(AW512="",0,MAX(0,MIN(1,(IF(BR512="L1",Parameter!$K$5,Parameter!$K$6+Parameter!$K$7)-(AW512-AS512))/AS512)))</f>
        <v/>
      </c>
      <c r="AY512" s="53">
        <f>IF(AC512&lt;=0,"",IF(BR512="Aussen","Aussenlager",IF(BR512="-","Nicht im Lift",IF(AH512&gt;=1,"Lift",IF(AH512&lt;=0,"Aussenlager","teilweise")))))</f>
        <v/>
      </c>
      <c r="AZ512" s="53">
        <f>IF(AK512&lt;=0,"",IF(BR512="Aussen","Aussenlager",IF(BR512="-","Nicht im Lift",IF(AP512&gt;=1,"Lift",IF(AP512&lt;=0,"Aussenlager","teilweise")))))</f>
        <v/>
      </c>
      <c r="BA512" s="53">
        <f>IF(AS512&lt;=0,"",IF(BR512="Aussen","Aussenlager",IF(BR512="-","Nicht im Lift",IF(AX512&gt;=1,"Lift",IF(AX512&lt;=0,"Aussenlager","teilweise")))))</f>
        <v/>
      </c>
      <c r="BB512" s="53">
        <f>IF(A512="","",IF(BK512=1,"Neu; ","")&amp;IF(AND(BK512=0,BF512&lt;0),"negativer Bestand (Export "&amp;BF512&amp;"); ","")&amp;IF(I512&lt;=0,"Kein Verbrauch; ","")&amp;IF(BO512=1,"Lose – Fläche geschätzt; ","")&amp;IF(G512&gt;AM512,"Überbestand "&amp;ROUND(G512-AM512,0)&amp;" Stk / CHF "&amp;ROUND((G512-AM512)*F512,0)&amp;"; ","")&amp;IF(AND(BT512=1,BU512&lt;BV512),"MAX &lt; MB+LG; ","")&amp;IF(AND(BZ512&gt;0,BY512*10&gt;BZ512),"zu hoch für Tablar; ","")&amp;IF(AND(BK512=0,OR(BT512=1,V512&lt;&gt;"",S512&lt;&gt;"",T512&lt;&gt;"",W512&lt;&gt;"")),"manuell übersteuert; ","")&amp;IF(AND(BO512=0,Q512=0),"Gebinde unbekannt; ","")&amp;IF(AND(BO512=0,N(T512)&lt;=0,N(P512)&lt;=0),"Menge pro Gebinde fehlt (Ist = 1 Gebinde); ","")&amp;BJ512)</f>
        <v/>
      </c>
      <c r="BC512" s="53" t="n"/>
      <c r="BD512" s="53" t="n"/>
      <c r="BE512" s="61" t="n"/>
      <c r="BF512" s="55" t="n">
        <v>1</v>
      </c>
      <c r="BG512" s="55" t="n">
        <v>6</v>
      </c>
      <c r="BH512" s="54" t="n">
        <v>32.72000000000023</v>
      </c>
      <c r="BI512" s="55" t="n">
        <v>22</v>
      </c>
      <c r="BJ512" s="53" t="inlineStr"/>
      <c r="BK512" s="58" t="n">
        <v>0</v>
      </c>
      <c r="BL512" s="58" t="n">
        <v>512</v>
      </c>
      <c r="BM512" s="53">
        <f>IF(S512&lt;&gt;"",UPPER(TRIM(S512)),IF(O512="","LOSE",O512))</f>
        <v/>
      </c>
      <c r="BN512" s="55">
        <f>IF(BM512="LOSE",1,IF(N(T512)&gt;0,T512,IF(N(P512)&gt;0,P512,MAX(1,G512))))</f>
        <v/>
      </c>
      <c r="BO512" s="58">
        <f>IF(BM512="LOSE",1,0)</f>
        <v/>
      </c>
      <c r="BP512" s="64">
        <f>IF(BO512=0,0,IF(N(R512)&gt;0,R512,IFERROR(VLOOKUP(D512,Parameter!$A$35:$C$64,3,0)+0,0)))</f>
        <v/>
      </c>
      <c r="BQ512" s="53">
        <f>IF(V512&lt;&gt;"",V512,U512)</f>
        <v/>
      </c>
      <c r="BR512" s="53">
        <f>IF(BQ512=1,"L1",IF(OR(BQ512=2,BQ512=3),"L23",IF(BQ512="Aussen","Aussen","-")))</f>
        <v/>
      </c>
      <c r="BS512" s="66">
        <f>IF(N(W512)&gt;0,W512,0)</f>
        <v/>
      </c>
      <c r="BT512" s="58">
        <f>IF(ISNUMBER(Z512),1,0)</f>
        <v/>
      </c>
      <c r="BU512" s="55">
        <f>N(Z512)</f>
        <v/>
      </c>
      <c r="BV512" s="55">
        <f>N(L512)+N(M512)</f>
        <v/>
      </c>
      <c r="BW512" s="55">
        <f>ROUNDUP(G512/BN512,0)</f>
        <v/>
      </c>
      <c r="BX512" s="55">
        <f>ROUNDUP(BU512/BN512,0)</f>
        <v/>
      </c>
      <c r="BY512" s="58">
        <f>IF(BO512=1,0,IFERROR(VLOOKUP(BM512,'Gebinde-Kategorie'!$A$5:$G$45,5,0)+0,0))</f>
        <v/>
      </c>
      <c r="BZ512" s="58">
        <f>IFERROR(IF(OR(BQ512=1,BQ512=2,BQ512=3),N(INDEX(Parameter!$I$5:$I$7,BQ512)),0),0)</f>
        <v/>
      </c>
    </row>
    <row r="513">
      <c r="A513" s="53" t="inlineStr">
        <is>
          <t>101496</t>
        </is>
      </c>
      <c r="B513" s="53" t="inlineStr">
        <is>
          <t>O-Ring</t>
        </is>
      </c>
      <c r="C513" s="53" t="inlineStr">
        <is>
          <t>F</t>
        </is>
      </c>
      <c r="D513" s="53" t="inlineStr">
        <is>
          <t>KTL</t>
        </is>
      </c>
      <c r="E513" s="53" t="inlineStr">
        <is>
          <t>C</t>
        </is>
      </c>
      <c r="F513" s="54" t="n">
        <v>0.24</v>
      </c>
      <c r="G513" s="55">
        <f>MAX(0,IF(Parameter!$B$20="Jahresanfang 2025 + Export",BG513+BF513,BF513))</f>
        <v/>
      </c>
      <c r="H513" s="55">
        <f>G513*F513</f>
        <v/>
      </c>
      <c r="I513" s="55">
        <f>BI513*Parameter!$B$18</f>
        <v/>
      </c>
      <c r="J513" s="56" t="n">
        <v>95</v>
      </c>
      <c r="K513" s="57" t="n">
        <v>2.221052631578947</v>
      </c>
      <c r="L513" s="55" t="n">
        <v>8</v>
      </c>
      <c r="M513" s="55" t="n">
        <v>210</v>
      </c>
      <c r="N513" s="58" t="n">
        <v>14</v>
      </c>
      <c r="O513" s="53" t="inlineStr">
        <is>
          <t>S41</t>
        </is>
      </c>
      <c r="P513" s="55" t="n">
        <v>45</v>
      </c>
      <c r="Q513" s="59">
        <f>IF(BO513=1,0,IFERROR(VLOOKUP(BM513,'Gebinde-Kategorie'!$A$5:$G$45,6,0)+0,0))</f>
        <v/>
      </c>
      <c r="R513" s="60" t="n"/>
      <c r="S513" s="61" t="n"/>
      <c r="T513" s="61" t="n"/>
      <c r="U513" s="53">
        <f>IF(A513="","",IF(IFERROR(VLOOKUP(D513,Parameter!$A$35:$C$64,2,0),"Nein")="2+3",IF(ISNUMBER(SEARCH("grosser Artikel",BJ513)),2,IFERROR(VLOOKUP(BM513,Parameter!$F$35:$G$64,2,0),2)),IF(OR(IFERROR(VLOOKUP(D513,Parameter!$A$35:$C$64,2,0),"Nein")="Nein",IFERROR(VLOOKUP(D513,Parameter!$A$35:$C$64,2,0),"Nein")=""),"-",VLOOKUP(D513,Parameter!$A$35:$C$64,2,0))))</f>
        <v/>
      </c>
      <c r="V513" s="61" t="n"/>
      <c r="W513" s="62" t="n"/>
      <c r="X513" s="55">
        <f>AM513</f>
        <v/>
      </c>
      <c r="Y513" s="55">
        <f>MAX(AM513,G513)</f>
        <v/>
      </c>
      <c r="Z513" s="63" t="n"/>
      <c r="AA513" s="55">
        <f>IF(LEFT(Cockpit!$C$5,1)="A",G513,IF(BT513=1,BU513,IF(LEFT(Cockpit!$C$5,1)="B",AE513,MAX(AE513,G513))))</f>
        <v/>
      </c>
      <c r="AB513" s="55">
        <f>IF(BO513=1,0,ROUNDUP(AA513/BN513,0))</f>
        <v/>
      </c>
      <c r="AC513" s="64">
        <f>IF(BO513=1,IF(AA513&lt;=0,0,BP513*MAX(1,IF(G513&gt;0,AA513/G513,1))),AB513*Q513)</f>
        <v/>
      </c>
      <c r="AD513" s="55">
        <f>AA513*F513</f>
        <v/>
      </c>
      <c r="AE513" s="55">
        <f>ROUNDUP(MAX(I513/IF(BS513&gt;0,BS513,MAX(0.1,N(Cockpit!$C$6))),BV513)/BN513,0)*BN513</f>
        <v/>
      </c>
      <c r="AF513" s="56">
        <f>IF(AC513&gt;0,I513/AC513,-1)</f>
        <v/>
      </c>
      <c r="AG513" s="56">
        <f>IF(AND(OR(BR513="L1",BR513="L23"),AC513&gt;0),SUMIFS($AC$7:$AC$1570,$BR$7:$BR$1570,BR513,$AF$7:$AF$1570,"&gt;"&amp;AF513)+SUMIFS($AC$7:$AC$1570,$BR$7:$BR$1570,BR513,$AF$7:$AF$1570,AF513,$BL$7:$BL$1570,"&lt;="&amp;BL513),"")</f>
        <v/>
      </c>
      <c r="AH513" s="65">
        <f>IF(AG513="",0,MAX(0,MIN(1,(IF(BR513="L1",Parameter!$K$5,Parameter!$K$6+Parameter!$K$7)-(AG513-AC513))/AC513)))</f>
        <v/>
      </c>
      <c r="AI513" s="55">
        <f>IF(LEFT(Cockpit!$I$5,1)="A",G513,IF(BT513=1,BU513,IF(LEFT(Cockpit!$I$5,1)="B",AM513,MAX(AM513,G513))))</f>
        <v/>
      </c>
      <c r="AJ513" s="55">
        <f>IF(BO513=1,0,ROUNDUP(AI513/BN513,0))</f>
        <v/>
      </c>
      <c r="AK513" s="64">
        <f>IF(BO513=1,IF(AI513&lt;=0,0,BP513*MAX(1,IF(G513&gt;0,AI513/G513,1))),AJ513*Q513)</f>
        <v/>
      </c>
      <c r="AL513" s="55">
        <f>AI513*F513</f>
        <v/>
      </c>
      <c r="AM513" s="55">
        <f>ROUNDUP(MAX(I513/IF(BS513&gt;0,BS513,MAX(0.1,N(Cockpit!$I$6))),BV513)/BN513,0)*BN513</f>
        <v/>
      </c>
      <c r="AN513" s="56">
        <f>IF(AK513&gt;0,I513/AK513,-1)</f>
        <v/>
      </c>
      <c r="AO513" s="56">
        <f>IF(AND(OR(BR513="L1",BR513="L23"),AK513&gt;0),SUMIFS($AK$7:$AK$1570,$BR$7:$BR$1570,BR513,$AN$7:$AN$1570,"&gt;"&amp;AN513)+SUMIFS($AK$7:$AK$1570,$BR$7:$BR$1570,BR513,$AN$7:$AN$1570,AN513,$BL$7:$BL$1570,"&lt;="&amp;BL513),"")</f>
        <v/>
      </c>
      <c r="AP513" s="65">
        <f>IF(AO513="",0,MAX(0,MIN(1,(IF(BR513="L1",Parameter!$K$5,Parameter!$K$6+Parameter!$K$7)-(AO513-AK513))/AK513)))</f>
        <v/>
      </c>
      <c r="AQ513" s="55">
        <f>IF(LEFT(Cockpit!$O$5,1)="A",G513,IF(BT513=1,BU513,IF(LEFT(Cockpit!$O$5,1)="B",AU513,MAX(AU513,G513))))</f>
        <v/>
      </c>
      <c r="AR513" s="55">
        <f>IF(BO513=1,0,ROUNDUP(AQ513/BN513,0))</f>
        <v/>
      </c>
      <c r="AS513" s="64">
        <f>IF(BO513=1,IF(AQ513&lt;=0,0,BP513*MAX(1,IF(G513&gt;0,AQ513/G513,1))),AR513*Q513)</f>
        <v/>
      </c>
      <c r="AT513" s="55">
        <f>AQ513*F513</f>
        <v/>
      </c>
      <c r="AU513" s="55">
        <f>ROUNDUP(MAX(I513/IF(BS513&gt;0,BS513,MAX(0.1,N(Cockpit!$O$6))),BV513)/BN513,0)*BN513</f>
        <v/>
      </c>
      <c r="AV513" s="56">
        <f>IF(AS513&gt;0,I513/AS513,-1)</f>
        <v/>
      </c>
      <c r="AW513" s="56">
        <f>IF(AND(OR(BR513="L1",BR513="L23"),AS513&gt;0),SUMIFS($AS$7:$AS$1570,$BR$7:$BR$1570,BR513,$AV$7:$AV$1570,"&gt;"&amp;AV513)+SUMIFS($AS$7:$AS$1570,$BR$7:$BR$1570,BR513,$AV$7:$AV$1570,AV513,$BL$7:$BL$1570,"&lt;="&amp;BL513),"")</f>
        <v/>
      </c>
      <c r="AX513" s="65">
        <f>IF(AW513="",0,MAX(0,MIN(1,(IF(BR513="L1",Parameter!$K$5,Parameter!$K$6+Parameter!$K$7)-(AW513-AS513))/AS513)))</f>
        <v/>
      </c>
      <c r="AY513" s="53">
        <f>IF(AC513&lt;=0,"",IF(BR513="Aussen","Aussenlager",IF(BR513="-","Nicht im Lift",IF(AH513&gt;=1,"Lift",IF(AH513&lt;=0,"Aussenlager","teilweise")))))</f>
        <v/>
      </c>
      <c r="AZ513" s="53">
        <f>IF(AK513&lt;=0,"",IF(BR513="Aussen","Aussenlager",IF(BR513="-","Nicht im Lift",IF(AP513&gt;=1,"Lift",IF(AP513&lt;=0,"Aussenlager","teilweise")))))</f>
        <v/>
      </c>
      <c r="BA513" s="53">
        <f>IF(AS513&lt;=0,"",IF(BR513="Aussen","Aussenlager",IF(BR513="-","Nicht im Lift",IF(AX513&gt;=1,"Lift",IF(AX513&lt;=0,"Aussenlager","teilweise")))))</f>
        <v/>
      </c>
      <c r="BB513" s="53">
        <f>IF(A513="","",IF(BK513=1,"Neu; ","")&amp;IF(AND(BK513=0,BF513&lt;0),"negativer Bestand (Export "&amp;BF513&amp;"); ","")&amp;IF(I513&lt;=0,"Kein Verbrauch; ","")&amp;IF(BO513=1,"Lose – Fläche geschätzt; ","")&amp;IF(G513&gt;AM513,"Überbestand "&amp;ROUND(G513-AM513,0)&amp;" Stk / CHF "&amp;ROUND((G513-AM513)*F513,0)&amp;"; ","")&amp;IF(AND(BT513=1,BU513&lt;BV513),"MAX &lt; MB+LG; ","")&amp;IF(AND(BZ513&gt;0,BY513*10&gt;BZ513),"zu hoch für Tablar; ","")&amp;IF(AND(BK513=0,OR(BT513=1,V513&lt;&gt;"",S513&lt;&gt;"",T513&lt;&gt;"",W513&lt;&gt;"")),"manuell übersteuert; ","")&amp;IF(AND(BO513=0,Q513=0),"Gebinde unbekannt; ","")&amp;IF(AND(BO513=0,N(T513)&lt;=0,N(P513)&lt;=0),"Menge pro Gebinde fehlt (Ist = 1 Gebinde); ","")&amp;BJ513)</f>
        <v/>
      </c>
      <c r="BC513" s="53" t="n"/>
      <c r="BD513" s="53" t="n"/>
      <c r="BE513" s="61" t="n"/>
      <c r="BF513" s="55" t="n">
        <v>132</v>
      </c>
      <c r="BG513" s="55" t="n">
        <v>71</v>
      </c>
      <c r="BH513" s="54" t="n">
        <v>32.38999999999999</v>
      </c>
      <c r="BI513" s="55" t="n">
        <v>211</v>
      </c>
      <c r="BJ513" s="53" t="inlineStr"/>
      <c r="BK513" s="58" t="n">
        <v>0</v>
      </c>
      <c r="BL513" s="58" t="n">
        <v>513</v>
      </c>
      <c r="BM513" s="53">
        <f>IF(S513&lt;&gt;"",UPPER(TRIM(S513)),IF(O513="","LOSE",O513))</f>
        <v/>
      </c>
      <c r="BN513" s="55">
        <f>IF(BM513="LOSE",1,IF(N(T513)&gt;0,T513,IF(N(P513)&gt;0,P513,MAX(1,G513))))</f>
        <v/>
      </c>
      <c r="BO513" s="58">
        <f>IF(BM513="LOSE",1,0)</f>
        <v/>
      </c>
      <c r="BP513" s="64">
        <f>IF(BO513=0,0,IF(N(R513)&gt;0,R513,IFERROR(VLOOKUP(D513,Parameter!$A$35:$C$64,3,0)+0,0)))</f>
        <v/>
      </c>
      <c r="BQ513" s="53">
        <f>IF(V513&lt;&gt;"",V513,U513)</f>
        <v/>
      </c>
      <c r="BR513" s="53">
        <f>IF(BQ513=1,"L1",IF(OR(BQ513=2,BQ513=3),"L23",IF(BQ513="Aussen","Aussen","-")))</f>
        <v/>
      </c>
      <c r="BS513" s="66">
        <f>IF(N(W513)&gt;0,W513,0)</f>
        <v/>
      </c>
      <c r="BT513" s="58">
        <f>IF(ISNUMBER(Z513),1,0)</f>
        <v/>
      </c>
      <c r="BU513" s="55">
        <f>N(Z513)</f>
        <v/>
      </c>
      <c r="BV513" s="55">
        <f>N(L513)+N(M513)</f>
        <v/>
      </c>
      <c r="BW513" s="55">
        <f>ROUNDUP(G513/BN513,0)</f>
        <v/>
      </c>
      <c r="BX513" s="55">
        <f>ROUNDUP(BU513/BN513,0)</f>
        <v/>
      </c>
      <c r="BY513" s="58">
        <f>IF(BO513=1,0,IFERROR(VLOOKUP(BM513,'Gebinde-Kategorie'!$A$5:$G$45,5,0)+0,0))</f>
        <v/>
      </c>
      <c r="BZ513" s="58">
        <f>IFERROR(IF(OR(BQ513=1,BQ513=2,BQ513=3),N(INDEX(Parameter!$I$5:$I$7,BQ513)),0),0)</f>
        <v/>
      </c>
    </row>
    <row r="514">
      <c r="A514" s="53" t="inlineStr">
        <is>
          <t>005622</t>
        </is>
      </c>
      <c r="B514" s="53" t="inlineStr">
        <is>
          <t>Kantenschutzband schwarz</t>
        </is>
      </c>
      <c r="C514" s="53" t="inlineStr">
        <is>
          <t>F</t>
        </is>
      </c>
      <c r="D514" s="53" t="inlineStr">
        <is>
          <t>KTL</t>
        </is>
      </c>
      <c r="E514" s="53" t="inlineStr">
        <is>
          <t>C</t>
        </is>
      </c>
      <c r="F514" s="54" t="n">
        <v>2.68</v>
      </c>
      <c r="G514" s="55">
        <f>MAX(0,IF(Parameter!$B$20="Jahresanfang 2025 + Export",BG514+BF514,BF514))</f>
        <v/>
      </c>
      <c r="H514" s="55">
        <f>G514*F514</f>
        <v/>
      </c>
      <c r="I514" s="55">
        <f>BI514*Parameter!$B$18</f>
        <v/>
      </c>
      <c r="J514" s="56" t="n">
        <v>16</v>
      </c>
      <c r="K514" s="57" t="n">
        <v>0</v>
      </c>
      <c r="L514" s="55" t="n">
        <v>0</v>
      </c>
      <c r="M514" s="55" t="n">
        <v>1</v>
      </c>
      <c r="N514" s="58" t="n">
        <v>14</v>
      </c>
      <c r="O514" s="53" t="inlineStr">
        <is>
          <t>S52</t>
        </is>
      </c>
      <c r="P514" s="55" t="n">
        <v>20</v>
      </c>
      <c r="Q514" s="59">
        <f>IF(BO514=1,0,IFERROR(VLOOKUP(BM514,'Gebinde-Kategorie'!$A$5:$G$45,6,0)+0,0))</f>
        <v/>
      </c>
      <c r="R514" s="60" t="n"/>
      <c r="S514" s="61" t="n"/>
      <c r="T514" s="61" t="n"/>
      <c r="U514" s="53">
        <f>IF(A514="","",IF(IFERROR(VLOOKUP(D514,Parameter!$A$35:$C$64,2,0),"Nein")="2+3",IF(ISNUMBER(SEARCH("grosser Artikel",BJ514)),2,IFERROR(VLOOKUP(BM514,Parameter!$F$35:$G$64,2,0),2)),IF(OR(IFERROR(VLOOKUP(D514,Parameter!$A$35:$C$64,2,0),"Nein")="Nein",IFERROR(VLOOKUP(D514,Parameter!$A$35:$C$64,2,0),"Nein")=""),"-",VLOOKUP(D514,Parameter!$A$35:$C$64,2,0))))</f>
        <v/>
      </c>
      <c r="V514" s="61" t="n"/>
      <c r="W514" s="62" t="n"/>
      <c r="X514" s="55">
        <f>AM514</f>
        <v/>
      </c>
      <c r="Y514" s="55">
        <f>MAX(AM514,G514)</f>
        <v/>
      </c>
      <c r="Z514" s="63" t="n"/>
      <c r="AA514" s="55">
        <f>IF(LEFT(Cockpit!$C$5,1)="A",G514,IF(BT514=1,BU514,IF(LEFT(Cockpit!$C$5,1)="B",AE514,MAX(AE514,G514))))</f>
        <v/>
      </c>
      <c r="AB514" s="55">
        <f>IF(BO514=1,0,ROUNDUP(AA514/BN514,0))</f>
        <v/>
      </c>
      <c r="AC514" s="64">
        <f>IF(BO514=1,IF(AA514&lt;=0,0,BP514*MAX(1,IF(G514&gt;0,AA514/G514,1))),AB514*Q514)</f>
        <v/>
      </c>
      <c r="AD514" s="55">
        <f>AA514*F514</f>
        <v/>
      </c>
      <c r="AE514" s="55">
        <f>ROUNDUP(MAX(I514/IF(BS514&gt;0,BS514,MAX(0.1,N(Cockpit!$C$6))),BV514)/BN514,0)*BN514</f>
        <v/>
      </c>
      <c r="AF514" s="56">
        <f>IF(AC514&gt;0,I514/AC514,-1)</f>
        <v/>
      </c>
      <c r="AG514" s="56">
        <f>IF(AND(OR(BR514="L1",BR514="L23"),AC514&gt;0),SUMIFS($AC$7:$AC$1570,$BR$7:$BR$1570,BR514,$AF$7:$AF$1570,"&gt;"&amp;AF514)+SUMIFS($AC$7:$AC$1570,$BR$7:$BR$1570,BR514,$AF$7:$AF$1570,AF514,$BL$7:$BL$1570,"&lt;="&amp;BL514),"")</f>
        <v/>
      </c>
      <c r="AH514" s="65">
        <f>IF(AG514="",0,MAX(0,MIN(1,(IF(BR514="L1",Parameter!$K$5,Parameter!$K$6+Parameter!$K$7)-(AG514-AC514))/AC514)))</f>
        <v/>
      </c>
      <c r="AI514" s="55">
        <f>IF(LEFT(Cockpit!$I$5,1)="A",G514,IF(BT514=1,BU514,IF(LEFT(Cockpit!$I$5,1)="B",AM514,MAX(AM514,G514))))</f>
        <v/>
      </c>
      <c r="AJ514" s="55">
        <f>IF(BO514=1,0,ROUNDUP(AI514/BN514,0))</f>
        <v/>
      </c>
      <c r="AK514" s="64">
        <f>IF(BO514=1,IF(AI514&lt;=0,0,BP514*MAX(1,IF(G514&gt;0,AI514/G514,1))),AJ514*Q514)</f>
        <v/>
      </c>
      <c r="AL514" s="55">
        <f>AI514*F514</f>
        <v/>
      </c>
      <c r="AM514" s="55">
        <f>ROUNDUP(MAX(I514/IF(BS514&gt;0,BS514,MAX(0.1,N(Cockpit!$I$6))),BV514)/BN514,0)*BN514</f>
        <v/>
      </c>
      <c r="AN514" s="56">
        <f>IF(AK514&gt;0,I514/AK514,-1)</f>
        <v/>
      </c>
      <c r="AO514" s="56">
        <f>IF(AND(OR(BR514="L1",BR514="L23"),AK514&gt;0),SUMIFS($AK$7:$AK$1570,$BR$7:$BR$1570,BR514,$AN$7:$AN$1570,"&gt;"&amp;AN514)+SUMIFS($AK$7:$AK$1570,$BR$7:$BR$1570,BR514,$AN$7:$AN$1570,AN514,$BL$7:$BL$1570,"&lt;="&amp;BL514),"")</f>
        <v/>
      </c>
      <c r="AP514" s="65">
        <f>IF(AO514="",0,MAX(0,MIN(1,(IF(BR514="L1",Parameter!$K$5,Parameter!$K$6+Parameter!$K$7)-(AO514-AK514))/AK514)))</f>
        <v/>
      </c>
      <c r="AQ514" s="55">
        <f>IF(LEFT(Cockpit!$O$5,1)="A",G514,IF(BT514=1,BU514,IF(LEFT(Cockpit!$O$5,1)="B",AU514,MAX(AU514,G514))))</f>
        <v/>
      </c>
      <c r="AR514" s="55">
        <f>IF(BO514=1,0,ROUNDUP(AQ514/BN514,0))</f>
        <v/>
      </c>
      <c r="AS514" s="64">
        <f>IF(BO514=1,IF(AQ514&lt;=0,0,BP514*MAX(1,IF(G514&gt;0,AQ514/G514,1))),AR514*Q514)</f>
        <v/>
      </c>
      <c r="AT514" s="55">
        <f>AQ514*F514</f>
        <v/>
      </c>
      <c r="AU514" s="55">
        <f>ROUNDUP(MAX(I514/IF(BS514&gt;0,BS514,MAX(0.1,N(Cockpit!$O$6))),BV514)/BN514,0)*BN514</f>
        <v/>
      </c>
      <c r="AV514" s="56">
        <f>IF(AS514&gt;0,I514/AS514,-1)</f>
        <v/>
      </c>
      <c r="AW514" s="56">
        <f>IF(AND(OR(BR514="L1",BR514="L23"),AS514&gt;0),SUMIFS($AS$7:$AS$1570,$BR$7:$BR$1570,BR514,$AV$7:$AV$1570,"&gt;"&amp;AV514)+SUMIFS($AS$7:$AS$1570,$BR$7:$BR$1570,BR514,$AV$7:$AV$1570,AV514,$BL$7:$BL$1570,"&lt;="&amp;BL514),"")</f>
        <v/>
      </c>
      <c r="AX514" s="65">
        <f>IF(AW514="",0,MAX(0,MIN(1,(IF(BR514="L1",Parameter!$K$5,Parameter!$K$6+Parameter!$K$7)-(AW514-AS514))/AS514)))</f>
        <v/>
      </c>
      <c r="AY514" s="53">
        <f>IF(AC514&lt;=0,"",IF(BR514="Aussen","Aussenlager",IF(BR514="-","Nicht im Lift",IF(AH514&gt;=1,"Lift",IF(AH514&lt;=0,"Aussenlager","teilweise")))))</f>
        <v/>
      </c>
      <c r="AZ514" s="53">
        <f>IF(AK514&lt;=0,"",IF(BR514="Aussen","Aussenlager",IF(BR514="-","Nicht im Lift",IF(AP514&gt;=1,"Lift",IF(AP514&lt;=0,"Aussenlager","teilweise")))))</f>
        <v/>
      </c>
      <c r="BA514" s="53">
        <f>IF(AS514&lt;=0,"",IF(BR514="Aussen","Aussenlager",IF(BR514="-","Nicht im Lift",IF(AX514&gt;=1,"Lift",IF(AX514&lt;=0,"Aussenlager","teilweise")))))</f>
        <v/>
      </c>
      <c r="BB514" s="53">
        <f>IF(A514="","",IF(BK514=1,"Neu; ","")&amp;IF(AND(BK514=0,BF514&lt;0),"negativer Bestand (Export "&amp;BF514&amp;"); ","")&amp;IF(I514&lt;=0,"Kein Verbrauch; ","")&amp;IF(BO514=1,"Lose – Fläche geschätzt; ","")&amp;IF(G514&gt;AM514,"Überbestand "&amp;ROUND(G514-AM514,0)&amp;" Stk / CHF "&amp;ROUND((G514-AM514)*F514,0)&amp;"; ","")&amp;IF(AND(BT514=1,BU514&lt;BV514),"MAX &lt; MB+LG; ","")&amp;IF(AND(BZ514&gt;0,BY514*10&gt;BZ514),"zu hoch für Tablar; ","")&amp;IF(AND(BK514=0,OR(BT514=1,V514&lt;&gt;"",S514&lt;&gt;"",T514&lt;&gt;"",W514&lt;&gt;"")),"manuell übersteuert; ","")&amp;IF(AND(BO514=0,Q514=0),"Gebinde unbekannt; ","")&amp;IF(AND(BO514=0,N(T514)&lt;=0,N(P514)&lt;=0),"Menge pro Gebinde fehlt (Ist = 1 Gebinde); ","")&amp;BJ514)</f>
        <v/>
      </c>
      <c r="BC514" s="53" t="n"/>
      <c r="BD514" s="53" t="n"/>
      <c r="BE514" s="61" t="n"/>
      <c r="BF514" s="55" t="n">
        <v>12</v>
      </c>
      <c r="BG514" s="55" t="n">
        <v>10</v>
      </c>
      <c r="BH514" s="54" t="n">
        <v>32.16</v>
      </c>
      <c r="BI514" s="55" t="n">
        <v>0</v>
      </c>
      <c r="BJ514" s="53" t="inlineStr">
        <is>
          <t>Überbestand</t>
        </is>
      </c>
      <c r="BK514" s="58" t="n">
        <v>0</v>
      </c>
      <c r="BL514" s="58" t="n">
        <v>514</v>
      </c>
      <c r="BM514" s="53">
        <f>IF(S514&lt;&gt;"",UPPER(TRIM(S514)),IF(O514="","LOSE",O514))</f>
        <v/>
      </c>
      <c r="BN514" s="55">
        <f>IF(BM514="LOSE",1,IF(N(T514)&gt;0,T514,IF(N(P514)&gt;0,P514,MAX(1,G514))))</f>
        <v/>
      </c>
      <c r="BO514" s="58">
        <f>IF(BM514="LOSE",1,0)</f>
        <v/>
      </c>
      <c r="BP514" s="64">
        <f>IF(BO514=0,0,IF(N(R514)&gt;0,R514,IFERROR(VLOOKUP(D514,Parameter!$A$35:$C$64,3,0)+0,0)))</f>
        <v/>
      </c>
      <c r="BQ514" s="53">
        <f>IF(V514&lt;&gt;"",V514,U514)</f>
        <v/>
      </c>
      <c r="BR514" s="53">
        <f>IF(BQ514=1,"L1",IF(OR(BQ514=2,BQ514=3),"L23",IF(BQ514="Aussen","Aussen","-")))</f>
        <v/>
      </c>
      <c r="BS514" s="66">
        <f>IF(N(W514)&gt;0,W514,0)</f>
        <v/>
      </c>
      <c r="BT514" s="58">
        <f>IF(ISNUMBER(Z514),1,0)</f>
        <v/>
      </c>
      <c r="BU514" s="55">
        <f>N(Z514)</f>
        <v/>
      </c>
      <c r="BV514" s="55">
        <f>N(L514)+N(M514)</f>
        <v/>
      </c>
      <c r="BW514" s="55">
        <f>ROUNDUP(G514/BN514,0)</f>
        <v/>
      </c>
      <c r="BX514" s="55">
        <f>ROUNDUP(BU514/BN514,0)</f>
        <v/>
      </c>
      <c r="BY514" s="58">
        <f>IF(BO514=1,0,IFERROR(VLOOKUP(BM514,'Gebinde-Kategorie'!$A$5:$G$45,5,0)+0,0))</f>
        <v/>
      </c>
      <c r="BZ514" s="58">
        <f>IFERROR(IF(OR(BQ514=1,BQ514=2,BQ514=3),N(INDEX(Parameter!$I$5:$I$7,BQ514)),0),0)</f>
        <v/>
      </c>
    </row>
    <row r="515">
      <c r="A515" s="53" t="inlineStr">
        <is>
          <t>001194</t>
        </is>
      </c>
      <c r="B515" s="53" t="inlineStr">
        <is>
          <t>PVC Klebeband</t>
        </is>
      </c>
      <c r="C515" s="53" t="inlineStr">
        <is>
          <t>F</t>
        </is>
      </c>
      <c r="D515" s="53" t="inlineStr">
        <is>
          <t>KTL</t>
        </is>
      </c>
      <c r="E515" s="53" t="inlineStr">
        <is>
          <t>C</t>
        </is>
      </c>
      <c r="F515" s="54" t="n">
        <v>5.23</v>
      </c>
      <c r="G515" s="55">
        <f>MAX(0,IF(Parameter!$B$20="Jahresanfang 2025 + Export",BG515+BF515,BF515))</f>
        <v/>
      </c>
      <c r="H515" s="55">
        <f>G515*F515</f>
        <v/>
      </c>
      <c r="I515" s="55">
        <f>BI515*Parameter!$B$18</f>
        <v/>
      </c>
      <c r="J515" s="56" t="n">
        <v>86.5</v>
      </c>
      <c r="K515" s="57" t="n">
        <v>0.2196531791907514</v>
      </c>
      <c r="L515" s="55" t="n">
        <v>2</v>
      </c>
      <c r="M515" s="55" t="n">
        <v>108</v>
      </c>
      <c r="N515" s="58" t="n">
        <v>42</v>
      </c>
      <c r="O515" s="53" t="inlineStr">
        <is>
          <t>S62</t>
        </is>
      </c>
      <c r="P515" s="55" t="n">
        <v>70</v>
      </c>
      <c r="Q515" s="59">
        <f>IF(BO515=1,0,IFERROR(VLOOKUP(BM515,'Gebinde-Kategorie'!$A$5:$G$45,6,0)+0,0))</f>
        <v/>
      </c>
      <c r="R515" s="60" t="n"/>
      <c r="S515" s="61" t="n"/>
      <c r="T515" s="61" t="n"/>
      <c r="U515" s="53">
        <f>IF(A515="","",IF(IFERROR(VLOOKUP(D515,Parameter!$A$35:$C$64,2,0),"Nein")="2+3",IF(ISNUMBER(SEARCH("grosser Artikel",BJ515)),2,IFERROR(VLOOKUP(BM515,Parameter!$F$35:$G$64,2,0),2)),IF(OR(IFERROR(VLOOKUP(D515,Parameter!$A$35:$C$64,2,0),"Nein")="Nein",IFERROR(VLOOKUP(D515,Parameter!$A$35:$C$64,2,0),"Nein")=""),"-",VLOOKUP(D515,Parameter!$A$35:$C$64,2,0))))</f>
        <v/>
      </c>
      <c r="V515" s="61" t="n"/>
      <c r="W515" s="62" t="n"/>
      <c r="X515" s="55">
        <f>AM515</f>
        <v/>
      </c>
      <c r="Y515" s="55">
        <f>MAX(AM515,G515)</f>
        <v/>
      </c>
      <c r="Z515" s="63" t="n"/>
      <c r="AA515" s="55">
        <f>IF(LEFT(Cockpit!$C$5,1)="A",G515,IF(BT515=1,BU515,IF(LEFT(Cockpit!$C$5,1)="B",AE515,MAX(AE515,G515))))</f>
        <v/>
      </c>
      <c r="AB515" s="55">
        <f>IF(BO515=1,0,ROUNDUP(AA515/BN515,0))</f>
        <v/>
      </c>
      <c r="AC515" s="64">
        <f>IF(BO515=1,IF(AA515&lt;=0,0,BP515*MAX(1,IF(G515&gt;0,AA515/G515,1))),AB515*Q515)</f>
        <v/>
      </c>
      <c r="AD515" s="55">
        <f>AA515*F515</f>
        <v/>
      </c>
      <c r="AE515" s="55">
        <f>ROUNDUP(MAX(I515/IF(BS515&gt;0,BS515,MAX(0.1,N(Cockpit!$C$6))),BV515)/BN515,0)*BN515</f>
        <v/>
      </c>
      <c r="AF515" s="56">
        <f>IF(AC515&gt;0,I515/AC515,-1)</f>
        <v/>
      </c>
      <c r="AG515" s="56">
        <f>IF(AND(OR(BR515="L1",BR515="L23"),AC515&gt;0),SUMIFS($AC$7:$AC$1570,$BR$7:$BR$1570,BR515,$AF$7:$AF$1570,"&gt;"&amp;AF515)+SUMIFS($AC$7:$AC$1570,$BR$7:$BR$1570,BR515,$AF$7:$AF$1570,AF515,$BL$7:$BL$1570,"&lt;="&amp;BL515),"")</f>
        <v/>
      </c>
      <c r="AH515" s="65">
        <f>IF(AG515="",0,MAX(0,MIN(1,(IF(BR515="L1",Parameter!$K$5,Parameter!$K$6+Parameter!$K$7)-(AG515-AC515))/AC515)))</f>
        <v/>
      </c>
      <c r="AI515" s="55">
        <f>IF(LEFT(Cockpit!$I$5,1)="A",G515,IF(BT515=1,BU515,IF(LEFT(Cockpit!$I$5,1)="B",AM515,MAX(AM515,G515))))</f>
        <v/>
      </c>
      <c r="AJ515" s="55">
        <f>IF(BO515=1,0,ROUNDUP(AI515/BN515,0))</f>
        <v/>
      </c>
      <c r="AK515" s="64">
        <f>IF(BO515=1,IF(AI515&lt;=0,0,BP515*MAX(1,IF(G515&gt;0,AI515/G515,1))),AJ515*Q515)</f>
        <v/>
      </c>
      <c r="AL515" s="55">
        <f>AI515*F515</f>
        <v/>
      </c>
      <c r="AM515" s="55">
        <f>ROUNDUP(MAX(I515/IF(BS515&gt;0,BS515,MAX(0.1,N(Cockpit!$I$6))),BV515)/BN515,0)*BN515</f>
        <v/>
      </c>
      <c r="AN515" s="56">
        <f>IF(AK515&gt;0,I515/AK515,-1)</f>
        <v/>
      </c>
      <c r="AO515" s="56">
        <f>IF(AND(OR(BR515="L1",BR515="L23"),AK515&gt;0),SUMIFS($AK$7:$AK$1570,$BR$7:$BR$1570,BR515,$AN$7:$AN$1570,"&gt;"&amp;AN515)+SUMIFS($AK$7:$AK$1570,$BR$7:$BR$1570,BR515,$AN$7:$AN$1570,AN515,$BL$7:$BL$1570,"&lt;="&amp;BL515),"")</f>
        <v/>
      </c>
      <c r="AP515" s="65">
        <f>IF(AO515="",0,MAX(0,MIN(1,(IF(BR515="L1",Parameter!$K$5,Parameter!$K$6+Parameter!$K$7)-(AO515-AK515))/AK515)))</f>
        <v/>
      </c>
      <c r="AQ515" s="55">
        <f>IF(LEFT(Cockpit!$O$5,1)="A",G515,IF(BT515=1,BU515,IF(LEFT(Cockpit!$O$5,1)="B",AU515,MAX(AU515,G515))))</f>
        <v/>
      </c>
      <c r="AR515" s="55">
        <f>IF(BO515=1,0,ROUNDUP(AQ515/BN515,0))</f>
        <v/>
      </c>
      <c r="AS515" s="64">
        <f>IF(BO515=1,IF(AQ515&lt;=0,0,BP515*MAX(1,IF(G515&gt;0,AQ515/G515,1))),AR515*Q515)</f>
        <v/>
      </c>
      <c r="AT515" s="55">
        <f>AQ515*F515</f>
        <v/>
      </c>
      <c r="AU515" s="55">
        <f>ROUNDUP(MAX(I515/IF(BS515&gt;0,BS515,MAX(0.1,N(Cockpit!$O$6))),BV515)/BN515,0)*BN515</f>
        <v/>
      </c>
      <c r="AV515" s="56">
        <f>IF(AS515&gt;0,I515/AS515,-1)</f>
        <v/>
      </c>
      <c r="AW515" s="56">
        <f>IF(AND(OR(BR515="L1",BR515="L23"),AS515&gt;0),SUMIFS($AS$7:$AS$1570,$BR$7:$BR$1570,BR515,$AV$7:$AV$1570,"&gt;"&amp;AV515)+SUMIFS($AS$7:$AS$1570,$BR$7:$BR$1570,BR515,$AV$7:$AV$1570,AV515,$BL$7:$BL$1570,"&lt;="&amp;BL515),"")</f>
        <v/>
      </c>
      <c r="AX515" s="65">
        <f>IF(AW515="",0,MAX(0,MIN(1,(IF(BR515="L1",Parameter!$K$5,Parameter!$K$6+Parameter!$K$7)-(AW515-AS515))/AS515)))</f>
        <v/>
      </c>
      <c r="AY515" s="53">
        <f>IF(AC515&lt;=0,"",IF(BR515="Aussen","Aussenlager",IF(BR515="-","Nicht im Lift",IF(AH515&gt;=1,"Lift",IF(AH515&lt;=0,"Aussenlager","teilweise")))))</f>
        <v/>
      </c>
      <c r="AZ515" s="53">
        <f>IF(AK515&lt;=0,"",IF(BR515="Aussen","Aussenlager",IF(BR515="-","Nicht im Lift",IF(AP515&gt;=1,"Lift",IF(AP515&lt;=0,"Aussenlager","teilweise")))))</f>
        <v/>
      </c>
      <c r="BA515" s="53">
        <f>IF(AS515&lt;=0,"",IF(BR515="Aussen","Aussenlager",IF(BR515="-","Nicht im Lift",IF(AX515&gt;=1,"Lift",IF(AX515&lt;=0,"Aussenlager","teilweise")))))</f>
        <v/>
      </c>
      <c r="BB515" s="53">
        <f>IF(A515="","",IF(BK515=1,"Neu; ","")&amp;IF(AND(BK515=0,BF515&lt;0),"negativer Bestand (Export "&amp;BF515&amp;"); ","")&amp;IF(I515&lt;=0,"Kein Verbrauch; ","")&amp;IF(BO515=1,"Lose – Fläche geschätzt; ","")&amp;IF(G515&gt;AM515,"Überbestand "&amp;ROUND(G515-AM515,0)&amp;" Stk / CHF "&amp;ROUND((G515-AM515)*F515,0)&amp;"; ","")&amp;IF(AND(BT515=1,BU515&lt;BV515),"MAX &lt; MB+LG; ","")&amp;IF(AND(BZ515&gt;0,BY515*10&gt;BZ515),"zu hoch für Tablar; ","")&amp;IF(AND(BK515=0,OR(BT515=1,V515&lt;&gt;"",S515&lt;&gt;"",T515&lt;&gt;"",W515&lt;&gt;"")),"manuell übersteuert; ","")&amp;IF(AND(BO515=0,Q515=0),"Gebinde unbekannt; ","")&amp;IF(AND(BO515=0,N(T515)&lt;=0,N(P515)&lt;=0),"Menge pro Gebinde fehlt (Ist = 1 Gebinde); ","")&amp;BJ515)</f>
        <v/>
      </c>
      <c r="BC515" s="53" t="n"/>
      <c r="BD515" s="53" t="n"/>
      <c r="BE515" s="61" t="n"/>
      <c r="BF515" s="55" t="n">
        <v>6</v>
      </c>
      <c r="BG515" s="55" t="n">
        <v>96</v>
      </c>
      <c r="BH515" s="54" t="n">
        <v>31.38</v>
      </c>
      <c r="BI515" s="55" t="n">
        <v>19</v>
      </c>
      <c r="BJ515" s="53" t="inlineStr"/>
      <c r="BK515" s="58" t="n">
        <v>0</v>
      </c>
      <c r="BL515" s="58" t="n">
        <v>515</v>
      </c>
      <c r="BM515" s="53">
        <f>IF(S515&lt;&gt;"",UPPER(TRIM(S515)),IF(O515="","LOSE",O515))</f>
        <v/>
      </c>
      <c r="BN515" s="55">
        <f>IF(BM515="LOSE",1,IF(N(T515)&gt;0,T515,IF(N(P515)&gt;0,P515,MAX(1,G515))))</f>
        <v/>
      </c>
      <c r="BO515" s="58">
        <f>IF(BM515="LOSE",1,0)</f>
        <v/>
      </c>
      <c r="BP515" s="64">
        <f>IF(BO515=0,0,IF(N(R515)&gt;0,R515,IFERROR(VLOOKUP(D515,Parameter!$A$35:$C$64,3,0)+0,0)))</f>
        <v/>
      </c>
      <c r="BQ515" s="53">
        <f>IF(V515&lt;&gt;"",V515,U515)</f>
        <v/>
      </c>
      <c r="BR515" s="53">
        <f>IF(BQ515=1,"L1",IF(OR(BQ515=2,BQ515=3),"L23",IF(BQ515="Aussen","Aussen","-")))</f>
        <v/>
      </c>
      <c r="BS515" s="66">
        <f>IF(N(W515)&gt;0,W515,0)</f>
        <v/>
      </c>
      <c r="BT515" s="58">
        <f>IF(ISNUMBER(Z515),1,0)</f>
        <v/>
      </c>
      <c r="BU515" s="55">
        <f>N(Z515)</f>
        <v/>
      </c>
      <c r="BV515" s="55">
        <f>N(L515)+N(M515)</f>
        <v/>
      </c>
      <c r="BW515" s="55">
        <f>ROUNDUP(G515/BN515,0)</f>
        <v/>
      </c>
      <c r="BX515" s="55">
        <f>ROUNDUP(BU515/BN515,0)</f>
        <v/>
      </c>
      <c r="BY515" s="58">
        <f>IF(BO515=1,0,IFERROR(VLOOKUP(BM515,'Gebinde-Kategorie'!$A$5:$G$45,5,0)+0,0))</f>
        <v/>
      </c>
      <c r="BZ515" s="58">
        <f>IFERROR(IF(OR(BQ515=1,BQ515=2,BQ515=3),N(INDEX(Parameter!$I$5:$I$7,BQ515)),0),0)</f>
        <v/>
      </c>
    </row>
    <row r="516">
      <c r="A516" s="53" t="inlineStr">
        <is>
          <t>105349</t>
        </is>
      </c>
      <c r="B516" s="53" t="inlineStr">
        <is>
          <t>O-Ring</t>
        </is>
      </c>
      <c r="C516" s="53" t="inlineStr">
        <is>
          <t>F</t>
        </is>
      </c>
      <c r="D516" s="53" t="inlineStr">
        <is>
          <t>KTL</t>
        </is>
      </c>
      <c r="E516" s="53" t="inlineStr">
        <is>
          <t>C</t>
        </is>
      </c>
      <c r="F516" s="54" t="n">
        <v>0.14</v>
      </c>
      <c r="G516" s="55">
        <f>MAX(0,IF(Parameter!$B$20="Jahresanfang 2025 + Export",BG516+BF516,BF516))</f>
        <v/>
      </c>
      <c r="H516" s="55">
        <f>G516*F516</f>
        <v/>
      </c>
      <c r="I516" s="55">
        <f>BI516*Parameter!$B$18</f>
        <v/>
      </c>
      <c r="J516" s="56" t="n">
        <v>84.5</v>
      </c>
      <c r="K516" s="57" t="n">
        <v>4.260355029585799</v>
      </c>
      <c r="L516" s="55" t="n">
        <v>14</v>
      </c>
      <c r="M516" s="55" t="n">
        <v>360</v>
      </c>
      <c r="N516" s="58" t="n">
        <v>14</v>
      </c>
      <c r="O516" s="53" t="inlineStr">
        <is>
          <t>S22</t>
        </is>
      </c>
      <c r="P516" s="55" t="n">
        <v>81</v>
      </c>
      <c r="Q516" s="59">
        <f>IF(BO516=1,0,IFERROR(VLOOKUP(BM516,'Gebinde-Kategorie'!$A$5:$G$45,6,0)+0,0))</f>
        <v/>
      </c>
      <c r="R516" s="60" t="n"/>
      <c r="S516" s="61" t="n"/>
      <c r="T516" s="61" t="n"/>
      <c r="U516" s="53">
        <f>IF(A516="","",IF(IFERROR(VLOOKUP(D516,Parameter!$A$35:$C$64,2,0),"Nein")="2+3",IF(ISNUMBER(SEARCH("grosser Artikel",BJ516)),2,IFERROR(VLOOKUP(BM516,Parameter!$F$35:$G$64,2,0),2)),IF(OR(IFERROR(VLOOKUP(D516,Parameter!$A$35:$C$64,2,0),"Nein")="Nein",IFERROR(VLOOKUP(D516,Parameter!$A$35:$C$64,2,0),"Nein")=""),"-",VLOOKUP(D516,Parameter!$A$35:$C$64,2,0))))</f>
        <v/>
      </c>
      <c r="V516" s="61" t="n"/>
      <c r="W516" s="62" t="n"/>
      <c r="X516" s="55">
        <f>AM516</f>
        <v/>
      </c>
      <c r="Y516" s="55">
        <f>MAX(AM516,G516)</f>
        <v/>
      </c>
      <c r="Z516" s="63" t="n"/>
      <c r="AA516" s="55">
        <f>IF(LEFT(Cockpit!$C$5,1)="A",G516,IF(BT516=1,BU516,IF(LEFT(Cockpit!$C$5,1)="B",AE516,MAX(AE516,G516))))</f>
        <v/>
      </c>
      <c r="AB516" s="55">
        <f>IF(BO516=1,0,ROUNDUP(AA516/BN516,0))</f>
        <v/>
      </c>
      <c r="AC516" s="64">
        <f>IF(BO516=1,IF(AA516&lt;=0,0,BP516*MAX(1,IF(G516&gt;0,AA516/G516,1))),AB516*Q516)</f>
        <v/>
      </c>
      <c r="AD516" s="55">
        <f>AA516*F516</f>
        <v/>
      </c>
      <c r="AE516" s="55">
        <f>ROUNDUP(MAX(I516/IF(BS516&gt;0,BS516,MAX(0.1,N(Cockpit!$C$6))),BV516)/BN516,0)*BN516</f>
        <v/>
      </c>
      <c r="AF516" s="56">
        <f>IF(AC516&gt;0,I516/AC516,-1)</f>
        <v/>
      </c>
      <c r="AG516" s="56">
        <f>IF(AND(OR(BR516="L1",BR516="L23"),AC516&gt;0),SUMIFS($AC$7:$AC$1570,$BR$7:$BR$1570,BR516,$AF$7:$AF$1570,"&gt;"&amp;AF516)+SUMIFS($AC$7:$AC$1570,$BR$7:$BR$1570,BR516,$AF$7:$AF$1570,AF516,$BL$7:$BL$1570,"&lt;="&amp;BL516),"")</f>
        <v/>
      </c>
      <c r="AH516" s="65">
        <f>IF(AG516="",0,MAX(0,MIN(1,(IF(BR516="L1",Parameter!$K$5,Parameter!$K$6+Parameter!$K$7)-(AG516-AC516))/AC516)))</f>
        <v/>
      </c>
      <c r="AI516" s="55">
        <f>IF(LEFT(Cockpit!$I$5,1)="A",G516,IF(BT516=1,BU516,IF(LEFT(Cockpit!$I$5,1)="B",AM516,MAX(AM516,G516))))</f>
        <v/>
      </c>
      <c r="AJ516" s="55">
        <f>IF(BO516=1,0,ROUNDUP(AI516/BN516,0))</f>
        <v/>
      </c>
      <c r="AK516" s="64">
        <f>IF(BO516=1,IF(AI516&lt;=0,0,BP516*MAX(1,IF(G516&gt;0,AI516/G516,1))),AJ516*Q516)</f>
        <v/>
      </c>
      <c r="AL516" s="55">
        <f>AI516*F516</f>
        <v/>
      </c>
      <c r="AM516" s="55">
        <f>ROUNDUP(MAX(I516/IF(BS516&gt;0,BS516,MAX(0.1,N(Cockpit!$I$6))),BV516)/BN516,0)*BN516</f>
        <v/>
      </c>
      <c r="AN516" s="56">
        <f>IF(AK516&gt;0,I516/AK516,-1)</f>
        <v/>
      </c>
      <c r="AO516" s="56">
        <f>IF(AND(OR(BR516="L1",BR516="L23"),AK516&gt;0),SUMIFS($AK$7:$AK$1570,$BR$7:$BR$1570,BR516,$AN$7:$AN$1570,"&gt;"&amp;AN516)+SUMIFS($AK$7:$AK$1570,$BR$7:$BR$1570,BR516,$AN$7:$AN$1570,AN516,$BL$7:$BL$1570,"&lt;="&amp;BL516),"")</f>
        <v/>
      </c>
      <c r="AP516" s="65">
        <f>IF(AO516="",0,MAX(0,MIN(1,(IF(BR516="L1",Parameter!$K$5,Parameter!$K$6+Parameter!$K$7)-(AO516-AK516))/AK516)))</f>
        <v/>
      </c>
      <c r="AQ516" s="55">
        <f>IF(LEFT(Cockpit!$O$5,1)="A",G516,IF(BT516=1,BU516,IF(LEFT(Cockpit!$O$5,1)="B",AU516,MAX(AU516,G516))))</f>
        <v/>
      </c>
      <c r="AR516" s="55">
        <f>IF(BO516=1,0,ROUNDUP(AQ516/BN516,0))</f>
        <v/>
      </c>
      <c r="AS516" s="64">
        <f>IF(BO516=1,IF(AQ516&lt;=0,0,BP516*MAX(1,IF(G516&gt;0,AQ516/G516,1))),AR516*Q516)</f>
        <v/>
      </c>
      <c r="AT516" s="55">
        <f>AQ516*F516</f>
        <v/>
      </c>
      <c r="AU516" s="55">
        <f>ROUNDUP(MAX(I516/IF(BS516&gt;0,BS516,MAX(0.1,N(Cockpit!$O$6))),BV516)/BN516,0)*BN516</f>
        <v/>
      </c>
      <c r="AV516" s="56">
        <f>IF(AS516&gt;0,I516/AS516,-1)</f>
        <v/>
      </c>
      <c r="AW516" s="56">
        <f>IF(AND(OR(BR516="L1",BR516="L23"),AS516&gt;0),SUMIFS($AS$7:$AS$1570,$BR$7:$BR$1570,BR516,$AV$7:$AV$1570,"&gt;"&amp;AV516)+SUMIFS($AS$7:$AS$1570,$BR$7:$BR$1570,BR516,$AV$7:$AV$1570,AV516,$BL$7:$BL$1570,"&lt;="&amp;BL516),"")</f>
        <v/>
      </c>
      <c r="AX516" s="65">
        <f>IF(AW516="",0,MAX(0,MIN(1,(IF(BR516="L1",Parameter!$K$5,Parameter!$K$6+Parameter!$K$7)-(AW516-AS516))/AS516)))</f>
        <v/>
      </c>
      <c r="AY516" s="53">
        <f>IF(AC516&lt;=0,"",IF(BR516="Aussen","Aussenlager",IF(BR516="-","Nicht im Lift",IF(AH516&gt;=1,"Lift",IF(AH516&lt;=0,"Aussenlager","teilweise")))))</f>
        <v/>
      </c>
      <c r="AZ516" s="53">
        <f>IF(AK516&lt;=0,"",IF(BR516="Aussen","Aussenlager",IF(BR516="-","Nicht im Lift",IF(AP516&gt;=1,"Lift",IF(AP516&lt;=0,"Aussenlager","teilweise")))))</f>
        <v/>
      </c>
      <c r="BA516" s="53">
        <f>IF(AS516&lt;=0,"",IF(BR516="Aussen","Aussenlager",IF(BR516="-","Nicht im Lift",IF(AX516&gt;=1,"Lift",IF(AX516&lt;=0,"Aussenlager","teilweise")))))</f>
        <v/>
      </c>
      <c r="BB516" s="53">
        <f>IF(A516="","",IF(BK516=1,"Neu; ","")&amp;IF(AND(BK516=0,BF516&lt;0),"negativer Bestand (Export "&amp;BF516&amp;"); ","")&amp;IF(I516&lt;=0,"Kein Verbrauch; ","")&amp;IF(BO516=1,"Lose – Fläche geschätzt; ","")&amp;IF(G516&gt;AM516,"Überbestand "&amp;ROUND(G516-AM516,0)&amp;" Stk / CHF "&amp;ROUND((G516-AM516)*F516,0)&amp;"; ","")&amp;IF(AND(BT516=1,BU516&lt;BV516),"MAX &lt; MB+LG; ","")&amp;IF(AND(BZ516&gt;0,BY516*10&gt;BZ516),"zu hoch für Tablar; ","")&amp;IF(AND(BK516=0,OR(BT516=1,V516&lt;&gt;"",S516&lt;&gt;"",T516&lt;&gt;"",W516&lt;&gt;"")),"manuell übersteuert; ","")&amp;IF(AND(BO516=0,Q516=0),"Gebinde unbekannt; ","")&amp;IF(AND(BO516=0,N(T516)&lt;=0,N(P516)&lt;=0),"Menge pro Gebinde fehlt (Ist = 1 Gebinde); ","")&amp;BJ516)</f>
        <v/>
      </c>
      <c r="BC516" s="53" t="n"/>
      <c r="BD516" s="53" t="n"/>
      <c r="BE516" s="61" t="n"/>
      <c r="BF516" s="55" t="n">
        <v>266</v>
      </c>
      <c r="BG516" s="55" t="n">
        <v>89</v>
      </c>
      <c r="BH516" s="54" t="n">
        <v>31.00999999999999</v>
      </c>
      <c r="BI516" s="55" t="n">
        <v>360</v>
      </c>
      <c r="BJ516" s="53" t="inlineStr"/>
      <c r="BK516" s="58" t="n">
        <v>0</v>
      </c>
      <c r="BL516" s="58" t="n">
        <v>516</v>
      </c>
      <c r="BM516" s="53">
        <f>IF(S516&lt;&gt;"",UPPER(TRIM(S516)),IF(O516="","LOSE",O516))</f>
        <v/>
      </c>
      <c r="BN516" s="55">
        <f>IF(BM516="LOSE",1,IF(N(T516)&gt;0,T516,IF(N(P516)&gt;0,P516,MAX(1,G516))))</f>
        <v/>
      </c>
      <c r="BO516" s="58">
        <f>IF(BM516="LOSE",1,0)</f>
        <v/>
      </c>
      <c r="BP516" s="64">
        <f>IF(BO516=0,0,IF(N(R516)&gt;0,R516,IFERROR(VLOOKUP(D516,Parameter!$A$35:$C$64,3,0)+0,0)))</f>
        <v/>
      </c>
      <c r="BQ516" s="53">
        <f>IF(V516&lt;&gt;"",V516,U516)</f>
        <v/>
      </c>
      <c r="BR516" s="53">
        <f>IF(BQ516=1,"L1",IF(OR(BQ516=2,BQ516=3),"L23",IF(BQ516="Aussen","Aussen","-")))</f>
        <v/>
      </c>
      <c r="BS516" s="66">
        <f>IF(N(W516)&gt;0,W516,0)</f>
        <v/>
      </c>
      <c r="BT516" s="58">
        <f>IF(ISNUMBER(Z516),1,0)</f>
        <v/>
      </c>
      <c r="BU516" s="55">
        <f>N(Z516)</f>
        <v/>
      </c>
      <c r="BV516" s="55">
        <f>N(L516)+N(M516)</f>
        <v/>
      </c>
      <c r="BW516" s="55">
        <f>ROUNDUP(G516/BN516,0)</f>
        <v/>
      </c>
      <c r="BX516" s="55">
        <f>ROUNDUP(BU516/BN516,0)</f>
        <v/>
      </c>
      <c r="BY516" s="58">
        <f>IF(BO516=1,0,IFERROR(VLOOKUP(BM516,'Gebinde-Kategorie'!$A$5:$G$45,5,0)+0,0))</f>
        <v/>
      </c>
      <c r="BZ516" s="58">
        <f>IFERROR(IF(OR(BQ516=1,BQ516=2,BQ516=3),N(INDEX(Parameter!$I$5:$I$7,BQ516)),0),0)</f>
        <v/>
      </c>
    </row>
    <row r="517">
      <c r="A517" s="53" t="inlineStr">
        <is>
          <t>109752</t>
        </is>
      </c>
      <c r="B517" s="53" t="inlineStr">
        <is>
          <t>Drahtseil</t>
        </is>
      </c>
      <c r="C517" s="53" t="inlineStr">
        <is>
          <t>F</t>
        </is>
      </c>
      <c r="D517" s="53" t="inlineStr">
        <is>
          <t>KTL</t>
        </is>
      </c>
      <c r="E517" s="53" t="inlineStr">
        <is>
          <t>C</t>
        </is>
      </c>
      <c r="F517" s="54" t="n">
        <v>27.04</v>
      </c>
      <c r="G517" s="55">
        <f>MAX(0,IF(Parameter!$B$20="Jahresanfang 2025 + Export",BG517+BF517,BF517))</f>
        <v/>
      </c>
      <c r="H517" s="55">
        <f>G517*F517</f>
        <v/>
      </c>
      <c r="I517" s="55">
        <f>BI517*Parameter!$B$18</f>
        <v/>
      </c>
      <c r="J517" s="56" t="n">
        <v>4</v>
      </c>
      <c r="K517" s="57" t="n">
        <v>1.25</v>
      </c>
      <c r="L517" s="55" t="n">
        <v>5</v>
      </c>
      <c r="M517" s="55" t="n">
        <v>5</v>
      </c>
      <c r="N517" s="58" t="n">
        <v>14</v>
      </c>
      <c r="O517" s="53" t="inlineStr">
        <is>
          <t>S41</t>
        </is>
      </c>
      <c r="P517" s="55" t="n">
        <v>5</v>
      </c>
      <c r="Q517" s="59">
        <f>IF(BO517=1,0,IFERROR(VLOOKUP(BM517,'Gebinde-Kategorie'!$A$5:$G$45,6,0)+0,0))</f>
        <v/>
      </c>
      <c r="R517" s="60" t="n"/>
      <c r="S517" s="61" t="n"/>
      <c r="T517" s="61" t="n"/>
      <c r="U517" s="53">
        <f>IF(A517="","",IF(IFERROR(VLOOKUP(D517,Parameter!$A$35:$C$64,2,0),"Nein")="2+3",IF(ISNUMBER(SEARCH("grosser Artikel",BJ517)),2,IFERROR(VLOOKUP(BM517,Parameter!$F$35:$G$64,2,0),2)),IF(OR(IFERROR(VLOOKUP(D517,Parameter!$A$35:$C$64,2,0),"Nein")="Nein",IFERROR(VLOOKUP(D517,Parameter!$A$35:$C$64,2,0),"Nein")=""),"-",VLOOKUP(D517,Parameter!$A$35:$C$64,2,0))))</f>
        <v/>
      </c>
      <c r="V517" s="61" t="n"/>
      <c r="W517" s="62" t="n"/>
      <c r="X517" s="55">
        <f>AM517</f>
        <v/>
      </c>
      <c r="Y517" s="55">
        <f>MAX(AM517,G517)</f>
        <v/>
      </c>
      <c r="Z517" s="63" t="n"/>
      <c r="AA517" s="55">
        <f>IF(LEFT(Cockpit!$C$5,1)="A",G517,IF(BT517=1,BU517,IF(LEFT(Cockpit!$C$5,1)="B",AE517,MAX(AE517,G517))))</f>
        <v/>
      </c>
      <c r="AB517" s="55">
        <f>IF(BO517=1,0,ROUNDUP(AA517/BN517,0))</f>
        <v/>
      </c>
      <c r="AC517" s="64">
        <f>IF(BO517=1,IF(AA517&lt;=0,0,BP517*MAX(1,IF(G517&gt;0,AA517/G517,1))),AB517*Q517)</f>
        <v/>
      </c>
      <c r="AD517" s="55">
        <f>AA517*F517</f>
        <v/>
      </c>
      <c r="AE517" s="55">
        <f>ROUNDUP(MAX(I517/IF(BS517&gt;0,BS517,MAX(0.1,N(Cockpit!$C$6))),BV517)/BN517,0)*BN517</f>
        <v/>
      </c>
      <c r="AF517" s="56">
        <f>IF(AC517&gt;0,I517/AC517,-1)</f>
        <v/>
      </c>
      <c r="AG517" s="56">
        <f>IF(AND(OR(BR517="L1",BR517="L23"),AC517&gt;0),SUMIFS($AC$7:$AC$1570,$BR$7:$BR$1570,BR517,$AF$7:$AF$1570,"&gt;"&amp;AF517)+SUMIFS($AC$7:$AC$1570,$BR$7:$BR$1570,BR517,$AF$7:$AF$1570,AF517,$BL$7:$BL$1570,"&lt;="&amp;BL517),"")</f>
        <v/>
      </c>
      <c r="AH517" s="65">
        <f>IF(AG517="",0,MAX(0,MIN(1,(IF(BR517="L1",Parameter!$K$5,Parameter!$K$6+Parameter!$K$7)-(AG517-AC517))/AC517)))</f>
        <v/>
      </c>
      <c r="AI517" s="55">
        <f>IF(LEFT(Cockpit!$I$5,1)="A",G517,IF(BT517=1,BU517,IF(LEFT(Cockpit!$I$5,1)="B",AM517,MAX(AM517,G517))))</f>
        <v/>
      </c>
      <c r="AJ517" s="55">
        <f>IF(BO517=1,0,ROUNDUP(AI517/BN517,0))</f>
        <v/>
      </c>
      <c r="AK517" s="64">
        <f>IF(BO517=1,IF(AI517&lt;=0,0,BP517*MAX(1,IF(G517&gt;0,AI517/G517,1))),AJ517*Q517)</f>
        <v/>
      </c>
      <c r="AL517" s="55">
        <f>AI517*F517</f>
        <v/>
      </c>
      <c r="AM517" s="55">
        <f>ROUNDUP(MAX(I517/IF(BS517&gt;0,BS517,MAX(0.1,N(Cockpit!$I$6))),BV517)/BN517,0)*BN517</f>
        <v/>
      </c>
      <c r="AN517" s="56">
        <f>IF(AK517&gt;0,I517/AK517,-1)</f>
        <v/>
      </c>
      <c r="AO517" s="56">
        <f>IF(AND(OR(BR517="L1",BR517="L23"),AK517&gt;0),SUMIFS($AK$7:$AK$1570,$BR$7:$BR$1570,BR517,$AN$7:$AN$1570,"&gt;"&amp;AN517)+SUMIFS($AK$7:$AK$1570,$BR$7:$BR$1570,BR517,$AN$7:$AN$1570,AN517,$BL$7:$BL$1570,"&lt;="&amp;BL517),"")</f>
        <v/>
      </c>
      <c r="AP517" s="65">
        <f>IF(AO517="",0,MAX(0,MIN(1,(IF(BR517="L1",Parameter!$K$5,Parameter!$K$6+Parameter!$K$7)-(AO517-AK517))/AK517)))</f>
        <v/>
      </c>
      <c r="AQ517" s="55">
        <f>IF(LEFT(Cockpit!$O$5,1)="A",G517,IF(BT517=1,BU517,IF(LEFT(Cockpit!$O$5,1)="B",AU517,MAX(AU517,G517))))</f>
        <v/>
      </c>
      <c r="AR517" s="55">
        <f>IF(BO517=1,0,ROUNDUP(AQ517/BN517,0))</f>
        <v/>
      </c>
      <c r="AS517" s="64">
        <f>IF(BO517=1,IF(AQ517&lt;=0,0,BP517*MAX(1,IF(G517&gt;0,AQ517/G517,1))),AR517*Q517)</f>
        <v/>
      </c>
      <c r="AT517" s="55">
        <f>AQ517*F517</f>
        <v/>
      </c>
      <c r="AU517" s="55">
        <f>ROUNDUP(MAX(I517/IF(BS517&gt;0,BS517,MAX(0.1,N(Cockpit!$O$6))),BV517)/BN517,0)*BN517</f>
        <v/>
      </c>
      <c r="AV517" s="56">
        <f>IF(AS517&gt;0,I517/AS517,-1)</f>
        <v/>
      </c>
      <c r="AW517" s="56">
        <f>IF(AND(OR(BR517="L1",BR517="L23"),AS517&gt;0),SUMIFS($AS$7:$AS$1570,$BR$7:$BR$1570,BR517,$AV$7:$AV$1570,"&gt;"&amp;AV517)+SUMIFS($AS$7:$AS$1570,$BR$7:$BR$1570,BR517,$AV$7:$AV$1570,AV517,$BL$7:$BL$1570,"&lt;="&amp;BL517),"")</f>
        <v/>
      </c>
      <c r="AX517" s="65">
        <f>IF(AW517="",0,MAX(0,MIN(1,(IF(BR517="L1",Parameter!$K$5,Parameter!$K$6+Parameter!$K$7)-(AW517-AS517))/AS517)))</f>
        <v/>
      </c>
      <c r="AY517" s="53">
        <f>IF(AC517&lt;=0,"",IF(BR517="Aussen","Aussenlager",IF(BR517="-","Nicht im Lift",IF(AH517&gt;=1,"Lift",IF(AH517&lt;=0,"Aussenlager","teilweise")))))</f>
        <v/>
      </c>
      <c r="AZ517" s="53">
        <f>IF(AK517&lt;=0,"",IF(BR517="Aussen","Aussenlager",IF(BR517="-","Nicht im Lift",IF(AP517&gt;=1,"Lift",IF(AP517&lt;=0,"Aussenlager","teilweise")))))</f>
        <v/>
      </c>
      <c r="BA517" s="53">
        <f>IF(AS517&lt;=0,"",IF(BR517="Aussen","Aussenlager",IF(BR517="-","Nicht im Lift",IF(AX517&gt;=1,"Lift",IF(AX517&lt;=0,"Aussenlager","teilweise")))))</f>
        <v/>
      </c>
      <c r="BB517" s="53">
        <f>IF(A517="","",IF(BK517=1,"Neu; ","")&amp;IF(AND(BK517=0,BF517&lt;0),"negativer Bestand (Export "&amp;BF517&amp;"); ","")&amp;IF(I517&lt;=0,"Kein Verbrauch; ","")&amp;IF(BO517=1,"Lose – Fläche geschätzt; ","")&amp;IF(G517&gt;AM517,"Überbestand "&amp;ROUND(G517-AM517,0)&amp;" Stk / CHF "&amp;ROUND((G517-AM517)*F517,0)&amp;"; ","")&amp;IF(AND(BT517=1,BU517&lt;BV517),"MAX &lt; MB+LG; ","")&amp;IF(AND(BZ517&gt;0,BY517*10&gt;BZ517),"zu hoch für Tablar; ","")&amp;IF(AND(BK517=0,OR(BT517=1,V517&lt;&gt;"",S517&lt;&gt;"",T517&lt;&gt;"",W517&lt;&gt;"")),"manuell übersteuert; ","")&amp;IF(AND(BO517=0,Q517=0),"Gebinde unbekannt; ","")&amp;IF(AND(BO517=0,N(T517)&lt;=0,N(P517)&lt;=0),"Menge pro Gebinde fehlt (Ist = 1 Gebinde); ","")&amp;BJ517)</f>
        <v/>
      </c>
      <c r="BC517" s="53" t="n"/>
      <c r="BD517" s="53" t="n"/>
      <c r="BE517" s="61" t="n"/>
      <c r="BF517" s="55" t="n">
        <v>1</v>
      </c>
      <c r="BG517" s="55" t="n">
        <v>4</v>
      </c>
      <c r="BH517" s="54" t="n">
        <v>30.95999999999999</v>
      </c>
      <c r="BI517" s="55" t="n">
        <v>5</v>
      </c>
      <c r="BJ517" s="53" t="inlineStr"/>
      <c r="BK517" s="58" t="n">
        <v>0</v>
      </c>
      <c r="BL517" s="58" t="n">
        <v>517</v>
      </c>
      <c r="BM517" s="53">
        <f>IF(S517&lt;&gt;"",UPPER(TRIM(S517)),IF(O517="","LOSE",O517))</f>
        <v/>
      </c>
      <c r="BN517" s="55">
        <f>IF(BM517="LOSE",1,IF(N(T517)&gt;0,T517,IF(N(P517)&gt;0,P517,MAX(1,G517))))</f>
        <v/>
      </c>
      <c r="BO517" s="58">
        <f>IF(BM517="LOSE",1,0)</f>
        <v/>
      </c>
      <c r="BP517" s="64">
        <f>IF(BO517=0,0,IF(N(R517)&gt;0,R517,IFERROR(VLOOKUP(D517,Parameter!$A$35:$C$64,3,0)+0,0)))</f>
        <v/>
      </c>
      <c r="BQ517" s="53">
        <f>IF(V517&lt;&gt;"",V517,U517)</f>
        <v/>
      </c>
      <c r="BR517" s="53">
        <f>IF(BQ517=1,"L1",IF(OR(BQ517=2,BQ517=3),"L23",IF(BQ517="Aussen","Aussen","-")))</f>
        <v/>
      </c>
      <c r="BS517" s="66">
        <f>IF(N(W517)&gt;0,W517,0)</f>
        <v/>
      </c>
      <c r="BT517" s="58">
        <f>IF(ISNUMBER(Z517),1,0)</f>
        <v/>
      </c>
      <c r="BU517" s="55">
        <f>N(Z517)</f>
        <v/>
      </c>
      <c r="BV517" s="55">
        <f>N(L517)+N(M517)</f>
        <v/>
      </c>
      <c r="BW517" s="55">
        <f>ROUNDUP(G517/BN517,0)</f>
        <v/>
      </c>
      <c r="BX517" s="55">
        <f>ROUNDUP(BU517/BN517,0)</f>
        <v/>
      </c>
      <c r="BY517" s="58">
        <f>IF(BO517=1,0,IFERROR(VLOOKUP(BM517,'Gebinde-Kategorie'!$A$5:$G$45,5,0)+0,0))</f>
        <v/>
      </c>
      <c r="BZ517" s="58">
        <f>IFERROR(IF(OR(BQ517=1,BQ517=2,BQ517=3),N(INDEX(Parameter!$I$5:$I$7,BQ517)),0),0)</f>
        <v/>
      </c>
    </row>
    <row r="518">
      <c r="A518" s="53" t="inlineStr">
        <is>
          <t>110286</t>
        </is>
      </c>
      <c r="B518" s="53" t="inlineStr">
        <is>
          <t>Pinsel gross</t>
        </is>
      </c>
      <c r="C518" s="53" t="inlineStr">
        <is>
          <t>F</t>
        </is>
      </c>
      <c r="D518" s="53" t="inlineStr">
        <is>
          <t>KTL</t>
        </is>
      </c>
      <c r="E518" s="53" t="inlineStr">
        <is>
          <t>C</t>
        </is>
      </c>
      <c r="F518" s="54" t="n">
        <v>3.19</v>
      </c>
      <c r="G518" s="55">
        <f>MAX(0,IF(Parameter!$B$20="Jahresanfang 2025 + Export",BG518+BF518,BF518))</f>
        <v/>
      </c>
      <c r="H518" s="55">
        <f>G518*F518</f>
        <v/>
      </c>
      <c r="I518" s="55">
        <f>BI518*Parameter!$B$18</f>
        <v/>
      </c>
      <c r="J518" s="56" t="n">
        <v>9</v>
      </c>
      <c r="K518" s="57" t="n">
        <v>2.111111111111111</v>
      </c>
      <c r="L518" s="55" t="n">
        <v>0</v>
      </c>
      <c r="M518" s="55" t="n">
        <v>20</v>
      </c>
      <c r="N518" s="58" t="n">
        <v>14</v>
      </c>
      <c r="O518" s="53" t="inlineStr">
        <is>
          <t>S22</t>
        </is>
      </c>
      <c r="P518" s="55" t="n">
        <v>10</v>
      </c>
      <c r="Q518" s="59">
        <f>IF(BO518=1,0,IFERROR(VLOOKUP(BM518,'Gebinde-Kategorie'!$A$5:$G$45,6,0)+0,0))</f>
        <v/>
      </c>
      <c r="R518" s="60" t="n"/>
      <c r="S518" s="61" t="n"/>
      <c r="T518" s="61" t="n"/>
      <c r="U518" s="53">
        <f>IF(A518="","",IF(IFERROR(VLOOKUP(D518,Parameter!$A$35:$C$64,2,0),"Nein")="2+3",IF(ISNUMBER(SEARCH("grosser Artikel",BJ518)),2,IFERROR(VLOOKUP(BM518,Parameter!$F$35:$G$64,2,0),2)),IF(OR(IFERROR(VLOOKUP(D518,Parameter!$A$35:$C$64,2,0),"Nein")="Nein",IFERROR(VLOOKUP(D518,Parameter!$A$35:$C$64,2,0),"Nein")=""),"-",VLOOKUP(D518,Parameter!$A$35:$C$64,2,0))))</f>
        <v/>
      </c>
      <c r="V518" s="61" t="n"/>
      <c r="W518" s="62" t="n"/>
      <c r="X518" s="55">
        <f>AM518</f>
        <v/>
      </c>
      <c r="Y518" s="55">
        <f>MAX(AM518,G518)</f>
        <v/>
      </c>
      <c r="Z518" s="63" t="n"/>
      <c r="AA518" s="55">
        <f>IF(LEFT(Cockpit!$C$5,1)="A",G518,IF(BT518=1,BU518,IF(LEFT(Cockpit!$C$5,1)="B",AE518,MAX(AE518,G518))))</f>
        <v/>
      </c>
      <c r="AB518" s="55">
        <f>IF(BO518=1,0,ROUNDUP(AA518/BN518,0))</f>
        <v/>
      </c>
      <c r="AC518" s="64">
        <f>IF(BO518=1,IF(AA518&lt;=0,0,BP518*MAX(1,IF(G518&gt;0,AA518/G518,1))),AB518*Q518)</f>
        <v/>
      </c>
      <c r="AD518" s="55">
        <f>AA518*F518</f>
        <v/>
      </c>
      <c r="AE518" s="55">
        <f>ROUNDUP(MAX(I518/IF(BS518&gt;0,BS518,MAX(0.1,N(Cockpit!$C$6))),BV518)/BN518,0)*BN518</f>
        <v/>
      </c>
      <c r="AF518" s="56">
        <f>IF(AC518&gt;0,I518/AC518,-1)</f>
        <v/>
      </c>
      <c r="AG518" s="56">
        <f>IF(AND(OR(BR518="L1",BR518="L23"),AC518&gt;0),SUMIFS($AC$7:$AC$1570,$BR$7:$BR$1570,BR518,$AF$7:$AF$1570,"&gt;"&amp;AF518)+SUMIFS($AC$7:$AC$1570,$BR$7:$BR$1570,BR518,$AF$7:$AF$1570,AF518,$BL$7:$BL$1570,"&lt;="&amp;BL518),"")</f>
        <v/>
      </c>
      <c r="AH518" s="65">
        <f>IF(AG518="",0,MAX(0,MIN(1,(IF(BR518="L1",Parameter!$K$5,Parameter!$K$6+Parameter!$K$7)-(AG518-AC518))/AC518)))</f>
        <v/>
      </c>
      <c r="AI518" s="55">
        <f>IF(LEFT(Cockpit!$I$5,1)="A",G518,IF(BT518=1,BU518,IF(LEFT(Cockpit!$I$5,1)="B",AM518,MAX(AM518,G518))))</f>
        <v/>
      </c>
      <c r="AJ518" s="55">
        <f>IF(BO518=1,0,ROUNDUP(AI518/BN518,0))</f>
        <v/>
      </c>
      <c r="AK518" s="64">
        <f>IF(BO518=1,IF(AI518&lt;=0,0,BP518*MAX(1,IF(G518&gt;0,AI518/G518,1))),AJ518*Q518)</f>
        <v/>
      </c>
      <c r="AL518" s="55">
        <f>AI518*F518</f>
        <v/>
      </c>
      <c r="AM518" s="55">
        <f>ROUNDUP(MAX(I518/IF(BS518&gt;0,BS518,MAX(0.1,N(Cockpit!$I$6))),BV518)/BN518,0)*BN518</f>
        <v/>
      </c>
      <c r="AN518" s="56">
        <f>IF(AK518&gt;0,I518/AK518,-1)</f>
        <v/>
      </c>
      <c r="AO518" s="56">
        <f>IF(AND(OR(BR518="L1",BR518="L23"),AK518&gt;0),SUMIFS($AK$7:$AK$1570,$BR$7:$BR$1570,BR518,$AN$7:$AN$1570,"&gt;"&amp;AN518)+SUMIFS($AK$7:$AK$1570,$BR$7:$BR$1570,BR518,$AN$7:$AN$1570,AN518,$BL$7:$BL$1570,"&lt;="&amp;BL518),"")</f>
        <v/>
      </c>
      <c r="AP518" s="65">
        <f>IF(AO518="",0,MAX(0,MIN(1,(IF(BR518="L1",Parameter!$K$5,Parameter!$K$6+Parameter!$K$7)-(AO518-AK518))/AK518)))</f>
        <v/>
      </c>
      <c r="AQ518" s="55">
        <f>IF(LEFT(Cockpit!$O$5,1)="A",G518,IF(BT518=1,BU518,IF(LEFT(Cockpit!$O$5,1)="B",AU518,MAX(AU518,G518))))</f>
        <v/>
      </c>
      <c r="AR518" s="55">
        <f>IF(BO518=1,0,ROUNDUP(AQ518/BN518,0))</f>
        <v/>
      </c>
      <c r="AS518" s="64">
        <f>IF(BO518=1,IF(AQ518&lt;=0,0,BP518*MAX(1,IF(G518&gt;0,AQ518/G518,1))),AR518*Q518)</f>
        <v/>
      </c>
      <c r="AT518" s="55">
        <f>AQ518*F518</f>
        <v/>
      </c>
      <c r="AU518" s="55">
        <f>ROUNDUP(MAX(I518/IF(BS518&gt;0,BS518,MAX(0.1,N(Cockpit!$O$6))),BV518)/BN518,0)*BN518</f>
        <v/>
      </c>
      <c r="AV518" s="56">
        <f>IF(AS518&gt;0,I518/AS518,-1)</f>
        <v/>
      </c>
      <c r="AW518" s="56">
        <f>IF(AND(OR(BR518="L1",BR518="L23"),AS518&gt;0),SUMIFS($AS$7:$AS$1570,$BR$7:$BR$1570,BR518,$AV$7:$AV$1570,"&gt;"&amp;AV518)+SUMIFS($AS$7:$AS$1570,$BR$7:$BR$1570,BR518,$AV$7:$AV$1570,AV518,$BL$7:$BL$1570,"&lt;="&amp;BL518),"")</f>
        <v/>
      </c>
      <c r="AX518" s="65">
        <f>IF(AW518="",0,MAX(0,MIN(1,(IF(BR518="L1",Parameter!$K$5,Parameter!$K$6+Parameter!$K$7)-(AW518-AS518))/AS518)))</f>
        <v/>
      </c>
      <c r="AY518" s="53">
        <f>IF(AC518&lt;=0,"",IF(BR518="Aussen","Aussenlager",IF(BR518="-","Nicht im Lift",IF(AH518&gt;=1,"Lift",IF(AH518&lt;=0,"Aussenlager","teilweise")))))</f>
        <v/>
      </c>
      <c r="AZ518" s="53">
        <f>IF(AK518&lt;=0,"",IF(BR518="Aussen","Aussenlager",IF(BR518="-","Nicht im Lift",IF(AP518&gt;=1,"Lift",IF(AP518&lt;=0,"Aussenlager","teilweise")))))</f>
        <v/>
      </c>
      <c r="BA518" s="53">
        <f>IF(AS518&lt;=0,"",IF(BR518="Aussen","Aussenlager",IF(BR518="-","Nicht im Lift",IF(AX518&gt;=1,"Lift",IF(AX518&lt;=0,"Aussenlager","teilweise")))))</f>
        <v/>
      </c>
      <c r="BB518" s="53">
        <f>IF(A518="","",IF(BK518=1,"Neu; ","")&amp;IF(AND(BK518=0,BF518&lt;0),"negativer Bestand (Export "&amp;BF518&amp;"); ","")&amp;IF(I518&lt;=0,"Kein Verbrauch; ","")&amp;IF(BO518=1,"Lose – Fläche geschätzt; ","")&amp;IF(G518&gt;AM518,"Überbestand "&amp;ROUND(G518-AM518,0)&amp;" Stk / CHF "&amp;ROUND((G518-AM518)*F518,0)&amp;"; ","")&amp;IF(AND(BT518=1,BU518&lt;BV518),"MAX &lt; MB+LG; ","")&amp;IF(AND(BZ518&gt;0,BY518*10&gt;BZ518),"zu hoch für Tablar; ","")&amp;IF(AND(BK518=0,OR(BT518=1,V518&lt;&gt;"",S518&lt;&gt;"",T518&lt;&gt;"",W518&lt;&gt;"")),"manuell übersteuert; ","")&amp;IF(AND(BO518=0,Q518=0),"Gebinde unbekannt; ","")&amp;IF(AND(BO518=0,N(T518)&lt;=0,N(P518)&lt;=0),"Menge pro Gebinde fehlt (Ist = 1 Gebinde); ","")&amp;BJ518)</f>
        <v/>
      </c>
      <c r="BC518" s="53" t="n"/>
      <c r="BD518" s="53" t="n"/>
      <c r="BE518" s="61" t="n"/>
      <c r="BF518" s="55" t="n">
        <v>8</v>
      </c>
      <c r="BG518" s="55" t="n">
        <v>10</v>
      </c>
      <c r="BH518" s="54" t="n">
        <v>30.52000000000002</v>
      </c>
      <c r="BI518" s="55" t="n">
        <v>19</v>
      </c>
      <c r="BJ518" s="53" t="inlineStr"/>
      <c r="BK518" s="58" t="n">
        <v>0</v>
      </c>
      <c r="BL518" s="58" t="n">
        <v>518</v>
      </c>
      <c r="BM518" s="53">
        <f>IF(S518&lt;&gt;"",UPPER(TRIM(S518)),IF(O518="","LOSE",O518))</f>
        <v/>
      </c>
      <c r="BN518" s="55">
        <f>IF(BM518="LOSE",1,IF(N(T518)&gt;0,T518,IF(N(P518)&gt;0,P518,MAX(1,G518))))</f>
        <v/>
      </c>
      <c r="BO518" s="58">
        <f>IF(BM518="LOSE",1,0)</f>
        <v/>
      </c>
      <c r="BP518" s="64">
        <f>IF(BO518=0,0,IF(N(R518)&gt;0,R518,IFERROR(VLOOKUP(D518,Parameter!$A$35:$C$64,3,0)+0,0)))</f>
        <v/>
      </c>
      <c r="BQ518" s="53">
        <f>IF(V518&lt;&gt;"",V518,U518)</f>
        <v/>
      </c>
      <c r="BR518" s="53">
        <f>IF(BQ518=1,"L1",IF(OR(BQ518=2,BQ518=3),"L23",IF(BQ518="Aussen","Aussen","-")))</f>
        <v/>
      </c>
      <c r="BS518" s="66">
        <f>IF(N(W518)&gt;0,W518,0)</f>
        <v/>
      </c>
      <c r="BT518" s="58">
        <f>IF(ISNUMBER(Z518),1,0)</f>
        <v/>
      </c>
      <c r="BU518" s="55">
        <f>N(Z518)</f>
        <v/>
      </c>
      <c r="BV518" s="55">
        <f>N(L518)+N(M518)</f>
        <v/>
      </c>
      <c r="BW518" s="55">
        <f>ROUNDUP(G518/BN518,0)</f>
        <v/>
      </c>
      <c r="BX518" s="55">
        <f>ROUNDUP(BU518/BN518,0)</f>
        <v/>
      </c>
      <c r="BY518" s="58">
        <f>IF(BO518=1,0,IFERROR(VLOOKUP(BM518,'Gebinde-Kategorie'!$A$5:$G$45,5,0)+0,0))</f>
        <v/>
      </c>
      <c r="BZ518" s="58">
        <f>IFERROR(IF(OR(BQ518=1,BQ518=2,BQ518=3),N(INDEX(Parameter!$I$5:$I$7,BQ518)),0),0)</f>
        <v/>
      </c>
    </row>
    <row r="519">
      <c r="A519" s="53" t="inlineStr">
        <is>
          <t>110771</t>
        </is>
      </c>
      <c r="B519" s="53" t="inlineStr">
        <is>
          <t>Sechskantschraube</t>
        </is>
      </c>
      <c r="C519" s="53" t="inlineStr">
        <is>
          <t>F</t>
        </is>
      </c>
      <c r="D519" s="53" t="inlineStr">
        <is>
          <t>A-BEZ</t>
        </is>
      </c>
      <c r="E519" s="53" t="inlineStr">
        <is>
          <t>C</t>
        </is>
      </c>
      <c r="F519" s="54" t="n">
        <v>15.2</v>
      </c>
      <c r="G519" s="55">
        <f>MAX(0,IF(Parameter!$B$20="Jahresanfang 2025 + Export",BG519+BF519,BF519))</f>
        <v/>
      </c>
      <c r="H519" s="55">
        <f>G519*F519</f>
        <v/>
      </c>
      <c r="I519" s="55">
        <f>BI519*Parameter!$B$18</f>
        <v/>
      </c>
      <c r="J519" s="56" t="n">
        <v>1</v>
      </c>
      <c r="K519" s="57" t="n">
        <v>48</v>
      </c>
      <c r="L519" s="55" t="n">
        <v>0</v>
      </c>
      <c r="M519" s="55" t="n">
        <v>50</v>
      </c>
      <c r="N519" s="58" t="n">
        <v>21</v>
      </c>
      <c r="O519" s="53" t="inlineStr">
        <is>
          <t>LOSE</t>
        </is>
      </c>
      <c r="P519" s="55" t="n"/>
      <c r="Q519" s="59">
        <f>IF(BO519=1,0,IFERROR(VLOOKUP(BM519,'Gebinde-Kategorie'!$A$5:$G$45,6,0)+0,0))</f>
        <v/>
      </c>
      <c r="R519" s="60" t="n"/>
      <c r="S519" s="61" t="n"/>
      <c r="T519" s="61" t="n"/>
      <c r="U519" s="53">
        <f>IF(A519="","",IF(IFERROR(VLOOKUP(D519,Parameter!$A$35:$C$64,2,0),"Nein")="2+3",IF(ISNUMBER(SEARCH("grosser Artikel",BJ519)),2,IFERROR(VLOOKUP(BM519,Parameter!$F$35:$G$64,2,0),2)),IF(OR(IFERROR(VLOOKUP(D519,Parameter!$A$35:$C$64,2,0),"Nein")="Nein",IFERROR(VLOOKUP(D519,Parameter!$A$35:$C$64,2,0),"Nein")=""),"-",VLOOKUP(D519,Parameter!$A$35:$C$64,2,0))))</f>
        <v/>
      </c>
      <c r="V519" s="61" t="n"/>
      <c r="W519" s="62" t="n"/>
      <c r="X519" s="55">
        <f>AM519</f>
        <v/>
      </c>
      <c r="Y519" s="55">
        <f>MAX(AM519,G519)</f>
        <v/>
      </c>
      <c r="Z519" s="63" t="n"/>
      <c r="AA519" s="55">
        <f>IF(LEFT(Cockpit!$C$5,1)="A",G519,IF(BT519=1,BU519,IF(LEFT(Cockpit!$C$5,1)="B",AE519,MAX(AE519,G519))))</f>
        <v/>
      </c>
      <c r="AB519" s="55">
        <f>IF(BO519=1,0,ROUNDUP(AA519/BN519,0))</f>
        <v/>
      </c>
      <c r="AC519" s="64">
        <f>IF(BO519=1,IF(AA519&lt;=0,0,BP519*MAX(1,IF(G519&gt;0,AA519/G519,1))),AB519*Q519)</f>
        <v/>
      </c>
      <c r="AD519" s="55">
        <f>AA519*F519</f>
        <v/>
      </c>
      <c r="AE519" s="55">
        <f>ROUNDUP(MAX(I519/IF(BS519&gt;0,BS519,MAX(0.1,N(Cockpit!$C$6))),BV519)/BN519,0)*BN519</f>
        <v/>
      </c>
      <c r="AF519" s="56">
        <f>IF(AC519&gt;0,I519/AC519,-1)</f>
        <v/>
      </c>
      <c r="AG519" s="56">
        <f>IF(AND(OR(BR519="L1",BR519="L23"),AC519&gt;0),SUMIFS($AC$7:$AC$1570,$BR$7:$BR$1570,BR519,$AF$7:$AF$1570,"&gt;"&amp;AF519)+SUMIFS($AC$7:$AC$1570,$BR$7:$BR$1570,BR519,$AF$7:$AF$1570,AF519,$BL$7:$BL$1570,"&lt;="&amp;BL519),"")</f>
        <v/>
      </c>
      <c r="AH519" s="65">
        <f>IF(AG519="",0,MAX(0,MIN(1,(IF(BR519="L1",Parameter!$K$5,Parameter!$K$6+Parameter!$K$7)-(AG519-AC519))/AC519)))</f>
        <v/>
      </c>
      <c r="AI519" s="55">
        <f>IF(LEFT(Cockpit!$I$5,1)="A",G519,IF(BT519=1,BU519,IF(LEFT(Cockpit!$I$5,1)="B",AM519,MAX(AM519,G519))))</f>
        <v/>
      </c>
      <c r="AJ519" s="55">
        <f>IF(BO519=1,0,ROUNDUP(AI519/BN519,0))</f>
        <v/>
      </c>
      <c r="AK519" s="64">
        <f>IF(BO519=1,IF(AI519&lt;=0,0,BP519*MAX(1,IF(G519&gt;0,AI519/G519,1))),AJ519*Q519)</f>
        <v/>
      </c>
      <c r="AL519" s="55">
        <f>AI519*F519</f>
        <v/>
      </c>
      <c r="AM519" s="55">
        <f>ROUNDUP(MAX(I519/IF(BS519&gt;0,BS519,MAX(0.1,N(Cockpit!$I$6))),BV519)/BN519,0)*BN519</f>
        <v/>
      </c>
      <c r="AN519" s="56">
        <f>IF(AK519&gt;0,I519/AK519,-1)</f>
        <v/>
      </c>
      <c r="AO519" s="56">
        <f>IF(AND(OR(BR519="L1",BR519="L23"),AK519&gt;0),SUMIFS($AK$7:$AK$1570,$BR$7:$BR$1570,BR519,$AN$7:$AN$1570,"&gt;"&amp;AN519)+SUMIFS($AK$7:$AK$1570,$BR$7:$BR$1570,BR519,$AN$7:$AN$1570,AN519,$BL$7:$BL$1570,"&lt;="&amp;BL519),"")</f>
        <v/>
      </c>
      <c r="AP519" s="65">
        <f>IF(AO519="",0,MAX(0,MIN(1,(IF(BR519="L1",Parameter!$K$5,Parameter!$K$6+Parameter!$K$7)-(AO519-AK519))/AK519)))</f>
        <v/>
      </c>
      <c r="AQ519" s="55">
        <f>IF(LEFT(Cockpit!$O$5,1)="A",G519,IF(BT519=1,BU519,IF(LEFT(Cockpit!$O$5,1)="B",AU519,MAX(AU519,G519))))</f>
        <v/>
      </c>
      <c r="AR519" s="55">
        <f>IF(BO519=1,0,ROUNDUP(AQ519/BN519,0))</f>
        <v/>
      </c>
      <c r="AS519" s="64">
        <f>IF(BO519=1,IF(AQ519&lt;=0,0,BP519*MAX(1,IF(G519&gt;0,AQ519/G519,1))),AR519*Q519)</f>
        <v/>
      </c>
      <c r="AT519" s="55">
        <f>AQ519*F519</f>
        <v/>
      </c>
      <c r="AU519" s="55">
        <f>ROUNDUP(MAX(I519/IF(BS519&gt;0,BS519,MAX(0.1,N(Cockpit!$O$6))),BV519)/BN519,0)*BN519</f>
        <v/>
      </c>
      <c r="AV519" s="56">
        <f>IF(AS519&gt;0,I519/AS519,-1)</f>
        <v/>
      </c>
      <c r="AW519" s="56">
        <f>IF(AND(OR(BR519="L1",BR519="L23"),AS519&gt;0),SUMIFS($AS$7:$AS$1570,$BR$7:$BR$1570,BR519,$AV$7:$AV$1570,"&gt;"&amp;AV519)+SUMIFS($AS$7:$AS$1570,$BR$7:$BR$1570,BR519,$AV$7:$AV$1570,AV519,$BL$7:$BL$1570,"&lt;="&amp;BL519),"")</f>
        <v/>
      </c>
      <c r="AX519" s="65">
        <f>IF(AW519="",0,MAX(0,MIN(1,(IF(BR519="L1",Parameter!$K$5,Parameter!$K$6+Parameter!$K$7)-(AW519-AS519))/AS519)))</f>
        <v/>
      </c>
      <c r="AY519" s="53">
        <f>IF(AC519&lt;=0,"",IF(BR519="Aussen","Aussenlager",IF(BR519="-","Nicht im Lift",IF(AH519&gt;=1,"Lift",IF(AH519&lt;=0,"Aussenlager","teilweise")))))</f>
        <v/>
      </c>
      <c r="AZ519" s="53">
        <f>IF(AK519&lt;=0,"",IF(BR519="Aussen","Aussenlager",IF(BR519="-","Nicht im Lift",IF(AP519&gt;=1,"Lift",IF(AP519&lt;=0,"Aussenlager","teilweise")))))</f>
        <v/>
      </c>
      <c r="BA519" s="53">
        <f>IF(AS519&lt;=0,"",IF(BR519="Aussen","Aussenlager",IF(BR519="-","Nicht im Lift",IF(AX519&gt;=1,"Lift",IF(AX519&lt;=0,"Aussenlager","teilweise")))))</f>
        <v/>
      </c>
      <c r="BB519" s="53">
        <f>IF(A519="","",IF(BK519=1,"Neu; ","")&amp;IF(AND(BK519=0,BF519&lt;0),"negativer Bestand (Export "&amp;BF519&amp;"); ","")&amp;IF(I519&lt;=0,"Kein Verbrauch; ","")&amp;IF(BO519=1,"Lose – Fläche geschätzt; ","")&amp;IF(G519&gt;AM519,"Überbestand "&amp;ROUND(G519-AM519,0)&amp;" Stk / CHF "&amp;ROUND((G519-AM519)*F519,0)&amp;"; ","")&amp;IF(AND(BT519=1,BU519&lt;BV519),"MAX &lt; MB+LG; ","")&amp;IF(AND(BZ519&gt;0,BY519*10&gt;BZ519),"zu hoch für Tablar; ","")&amp;IF(AND(BK519=0,OR(BT519=1,V519&lt;&gt;"",S519&lt;&gt;"",T519&lt;&gt;"",W519&lt;&gt;"")),"manuell übersteuert; ","")&amp;IF(AND(BO519=0,Q519=0),"Gebinde unbekannt; ","")&amp;IF(AND(BO519=0,N(T519)&lt;=0,N(P519)&lt;=0),"Menge pro Gebinde fehlt (Ist = 1 Gebinde); ","")&amp;BJ519)</f>
        <v/>
      </c>
      <c r="BC519" s="53" t="n"/>
      <c r="BD519" s="53" t="n"/>
      <c r="BE519" s="61" t="n"/>
      <c r="BF519" s="55" t="n">
        <v>2</v>
      </c>
      <c r="BG519" s="55" t="n">
        <v>0</v>
      </c>
      <c r="BH519" s="54" t="n">
        <v>30.39999999999998</v>
      </c>
      <c r="BI519" s="55" t="n">
        <v>48</v>
      </c>
      <c r="BJ519" s="53" t="inlineStr"/>
      <c r="BK519" s="58" t="n">
        <v>0</v>
      </c>
      <c r="BL519" s="58" t="n">
        <v>519</v>
      </c>
      <c r="BM519" s="53">
        <f>IF(S519&lt;&gt;"",UPPER(TRIM(S519)),IF(O519="","LOSE",O519))</f>
        <v/>
      </c>
      <c r="BN519" s="55">
        <f>IF(BM519="LOSE",1,IF(N(T519)&gt;0,T519,IF(N(P519)&gt;0,P519,MAX(1,G519))))</f>
        <v/>
      </c>
      <c r="BO519" s="58">
        <f>IF(BM519="LOSE",1,0)</f>
        <v/>
      </c>
      <c r="BP519" s="64">
        <f>IF(BO519=0,0,IF(N(R519)&gt;0,R519,IFERROR(VLOOKUP(D519,Parameter!$A$35:$C$64,3,0)+0,0)))</f>
        <v/>
      </c>
      <c r="BQ519" s="53">
        <f>IF(V519&lt;&gt;"",V519,U519)</f>
        <v/>
      </c>
      <c r="BR519" s="53">
        <f>IF(BQ519=1,"L1",IF(OR(BQ519=2,BQ519=3),"L23",IF(BQ519="Aussen","Aussen","-")))</f>
        <v/>
      </c>
      <c r="BS519" s="66">
        <f>IF(N(W519)&gt;0,W519,0)</f>
        <v/>
      </c>
      <c r="BT519" s="58">
        <f>IF(ISNUMBER(Z519),1,0)</f>
        <v/>
      </c>
      <c r="BU519" s="55">
        <f>N(Z519)</f>
        <v/>
      </c>
      <c r="BV519" s="55">
        <f>N(L519)+N(M519)</f>
        <v/>
      </c>
      <c r="BW519" s="55">
        <f>ROUNDUP(G519/BN519,0)</f>
        <v/>
      </c>
      <c r="BX519" s="55">
        <f>ROUNDUP(BU519/BN519,0)</f>
        <v/>
      </c>
      <c r="BY519" s="58">
        <f>IF(BO519=1,0,IFERROR(VLOOKUP(BM519,'Gebinde-Kategorie'!$A$5:$G$45,5,0)+0,0))</f>
        <v/>
      </c>
      <c r="BZ519" s="58">
        <f>IFERROR(IF(OR(BQ519=1,BQ519=2,BQ519=3),N(INDEX(Parameter!$I$5:$I$7,BQ519)),0),0)</f>
        <v/>
      </c>
    </row>
    <row r="520">
      <c r="A520" s="53" t="inlineStr">
        <is>
          <t>111224</t>
        </is>
      </c>
      <c r="B520" s="53" t="inlineStr">
        <is>
          <t>Korrosionsschutzmittel</t>
        </is>
      </c>
      <c r="C520" s="53" t="inlineStr">
        <is>
          <t>F</t>
        </is>
      </c>
      <c r="D520" s="53" t="inlineStr">
        <is>
          <t>KTL</t>
        </is>
      </c>
      <c r="E520" s="53" t="inlineStr">
        <is>
          <t>C</t>
        </is>
      </c>
      <c r="F520" s="54" t="n">
        <v>29.12</v>
      </c>
      <c r="G520" s="55">
        <f>MAX(0,IF(Parameter!$B$20="Jahresanfang 2025 + Export",BG520+BF520,BF520))</f>
        <v/>
      </c>
      <c r="H520" s="55">
        <f>G520*F520</f>
        <v/>
      </c>
      <c r="I520" s="55">
        <f>BI520*Parameter!$B$18</f>
        <v/>
      </c>
      <c r="J520" s="56" t="n">
        <v>1</v>
      </c>
      <c r="K520" s="57" t="n">
        <v>0</v>
      </c>
      <c r="L520" s="55" t="n">
        <v>0</v>
      </c>
      <c r="M520" s="55" t="n">
        <v>1</v>
      </c>
      <c r="N520" s="58" t="n">
        <v>15</v>
      </c>
      <c r="O520" s="53" t="inlineStr">
        <is>
          <t>S41</t>
        </is>
      </c>
      <c r="P520" s="55" t="n">
        <v>2</v>
      </c>
      <c r="Q520" s="59">
        <f>IF(BO520=1,0,IFERROR(VLOOKUP(BM520,'Gebinde-Kategorie'!$A$5:$G$45,6,0)+0,0))</f>
        <v/>
      </c>
      <c r="R520" s="60" t="n"/>
      <c r="S520" s="61" t="n"/>
      <c r="T520" s="61" t="n"/>
      <c r="U520" s="53">
        <f>IF(A520="","",IF(IFERROR(VLOOKUP(D520,Parameter!$A$35:$C$64,2,0),"Nein")="2+3",IF(ISNUMBER(SEARCH("grosser Artikel",BJ520)),2,IFERROR(VLOOKUP(BM520,Parameter!$F$35:$G$64,2,0),2)),IF(OR(IFERROR(VLOOKUP(D520,Parameter!$A$35:$C$64,2,0),"Nein")="Nein",IFERROR(VLOOKUP(D520,Parameter!$A$35:$C$64,2,0),"Nein")=""),"-",VLOOKUP(D520,Parameter!$A$35:$C$64,2,0))))</f>
        <v/>
      </c>
      <c r="V520" s="61" t="n"/>
      <c r="W520" s="62" t="n"/>
      <c r="X520" s="55">
        <f>AM520</f>
        <v/>
      </c>
      <c r="Y520" s="55">
        <f>MAX(AM520,G520)</f>
        <v/>
      </c>
      <c r="Z520" s="63" t="n"/>
      <c r="AA520" s="55">
        <f>IF(LEFT(Cockpit!$C$5,1)="A",G520,IF(BT520=1,BU520,IF(LEFT(Cockpit!$C$5,1)="B",AE520,MAX(AE520,G520))))</f>
        <v/>
      </c>
      <c r="AB520" s="55">
        <f>IF(BO520=1,0,ROUNDUP(AA520/BN520,0))</f>
        <v/>
      </c>
      <c r="AC520" s="64">
        <f>IF(BO520=1,IF(AA520&lt;=0,0,BP520*MAX(1,IF(G520&gt;0,AA520/G520,1))),AB520*Q520)</f>
        <v/>
      </c>
      <c r="AD520" s="55">
        <f>AA520*F520</f>
        <v/>
      </c>
      <c r="AE520" s="55">
        <f>ROUNDUP(MAX(I520/IF(BS520&gt;0,BS520,MAX(0.1,N(Cockpit!$C$6))),BV520)/BN520,0)*BN520</f>
        <v/>
      </c>
      <c r="AF520" s="56">
        <f>IF(AC520&gt;0,I520/AC520,-1)</f>
        <v/>
      </c>
      <c r="AG520" s="56">
        <f>IF(AND(OR(BR520="L1",BR520="L23"),AC520&gt;0),SUMIFS($AC$7:$AC$1570,$BR$7:$BR$1570,BR520,$AF$7:$AF$1570,"&gt;"&amp;AF520)+SUMIFS($AC$7:$AC$1570,$BR$7:$BR$1570,BR520,$AF$7:$AF$1570,AF520,$BL$7:$BL$1570,"&lt;="&amp;BL520),"")</f>
        <v/>
      </c>
      <c r="AH520" s="65">
        <f>IF(AG520="",0,MAX(0,MIN(1,(IF(BR520="L1",Parameter!$K$5,Parameter!$K$6+Parameter!$K$7)-(AG520-AC520))/AC520)))</f>
        <v/>
      </c>
      <c r="AI520" s="55">
        <f>IF(LEFT(Cockpit!$I$5,1)="A",G520,IF(BT520=1,BU520,IF(LEFT(Cockpit!$I$5,1)="B",AM520,MAX(AM520,G520))))</f>
        <v/>
      </c>
      <c r="AJ520" s="55">
        <f>IF(BO520=1,0,ROUNDUP(AI520/BN520,0))</f>
        <v/>
      </c>
      <c r="AK520" s="64">
        <f>IF(BO520=1,IF(AI520&lt;=0,0,BP520*MAX(1,IF(G520&gt;0,AI520/G520,1))),AJ520*Q520)</f>
        <v/>
      </c>
      <c r="AL520" s="55">
        <f>AI520*F520</f>
        <v/>
      </c>
      <c r="AM520" s="55">
        <f>ROUNDUP(MAX(I520/IF(BS520&gt;0,BS520,MAX(0.1,N(Cockpit!$I$6))),BV520)/BN520,0)*BN520</f>
        <v/>
      </c>
      <c r="AN520" s="56">
        <f>IF(AK520&gt;0,I520/AK520,-1)</f>
        <v/>
      </c>
      <c r="AO520" s="56">
        <f>IF(AND(OR(BR520="L1",BR520="L23"),AK520&gt;0),SUMIFS($AK$7:$AK$1570,$BR$7:$BR$1570,BR520,$AN$7:$AN$1570,"&gt;"&amp;AN520)+SUMIFS($AK$7:$AK$1570,$BR$7:$BR$1570,BR520,$AN$7:$AN$1570,AN520,$BL$7:$BL$1570,"&lt;="&amp;BL520),"")</f>
        <v/>
      </c>
      <c r="AP520" s="65">
        <f>IF(AO520="",0,MAX(0,MIN(1,(IF(BR520="L1",Parameter!$K$5,Parameter!$K$6+Parameter!$K$7)-(AO520-AK520))/AK520)))</f>
        <v/>
      </c>
      <c r="AQ520" s="55">
        <f>IF(LEFT(Cockpit!$O$5,1)="A",G520,IF(BT520=1,BU520,IF(LEFT(Cockpit!$O$5,1)="B",AU520,MAX(AU520,G520))))</f>
        <v/>
      </c>
      <c r="AR520" s="55">
        <f>IF(BO520=1,0,ROUNDUP(AQ520/BN520,0))</f>
        <v/>
      </c>
      <c r="AS520" s="64">
        <f>IF(BO520=1,IF(AQ520&lt;=0,0,BP520*MAX(1,IF(G520&gt;0,AQ520/G520,1))),AR520*Q520)</f>
        <v/>
      </c>
      <c r="AT520" s="55">
        <f>AQ520*F520</f>
        <v/>
      </c>
      <c r="AU520" s="55">
        <f>ROUNDUP(MAX(I520/IF(BS520&gt;0,BS520,MAX(0.1,N(Cockpit!$O$6))),BV520)/BN520,0)*BN520</f>
        <v/>
      </c>
      <c r="AV520" s="56">
        <f>IF(AS520&gt;0,I520/AS520,-1)</f>
        <v/>
      </c>
      <c r="AW520" s="56">
        <f>IF(AND(OR(BR520="L1",BR520="L23"),AS520&gt;0),SUMIFS($AS$7:$AS$1570,$BR$7:$BR$1570,BR520,$AV$7:$AV$1570,"&gt;"&amp;AV520)+SUMIFS($AS$7:$AS$1570,$BR$7:$BR$1570,BR520,$AV$7:$AV$1570,AV520,$BL$7:$BL$1570,"&lt;="&amp;BL520),"")</f>
        <v/>
      </c>
      <c r="AX520" s="65">
        <f>IF(AW520="",0,MAX(0,MIN(1,(IF(BR520="L1",Parameter!$K$5,Parameter!$K$6+Parameter!$K$7)-(AW520-AS520))/AS520)))</f>
        <v/>
      </c>
      <c r="AY520" s="53">
        <f>IF(AC520&lt;=0,"",IF(BR520="Aussen","Aussenlager",IF(BR520="-","Nicht im Lift",IF(AH520&gt;=1,"Lift",IF(AH520&lt;=0,"Aussenlager","teilweise")))))</f>
        <v/>
      </c>
      <c r="AZ520" s="53">
        <f>IF(AK520&lt;=0,"",IF(BR520="Aussen","Aussenlager",IF(BR520="-","Nicht im Lift",IF(AP520&gt;=1,"Lift",IF(AP520&lt;=0,"Aussenlager","teilweise")))))</f>
        <v/>
      </c>
      <c r="BA520" s="53">
        <f>IF(AS520&lt;=0,"",IF(BR520="Aussen","Aussenlager",IF(BR520="-","Nicht im Lift",IF(AX520&gt;=1,"Lift",IF(AX520&lt;=0,"Aussenlager","teilweise")))))</f>
        <v/>
      </c>
      <c r="BB520" s="53">
        <f>IF(A520="","",IF(BK520=1,"Neu; ","")&amp;IF(AND(BK520=0,BF520&lt;0),"negativer Bestand (Export "&amp;BF520&amp;"); ","")&amp;IF(I520&lt;=0,"Kein Verbrauch; ","")&amp;IF(BO520=1,"Lose – Fläche geschätzt; ","")&amp;IF(G520&gt;AM520,"Überbestand "&amp;ROUND(G520-AM520,0)&amp;" Stk / CHF "&amp;ROUND((G520-AM520)*F520,0)&amp;"; ","")&amp;IF(AND(BT520=1,BU520&lt;BV520),"MAX &lt; MB+LG; ","")&amp;IF(AND(BZ520&gt;0,BY520*10&gt;BZ520),"zu hoch für Tablar; ","")&amp;IF(AND(BK520=0,OR(BT520=1,V520&lt;&gt;"",S520&lt;&gt;"",T520&lt;&gt;"",W520&lt;&gt;"")),"manuell übersteuert; ","")&amp;IF(AND(BO520=0,Q520=0),"Gebinde unbekannt; ","")&amp;IF(AND(BO520=0,N(T520)&lt;=0,N(P520)&lt;=0),"Menge pro Gebinde fehlt (Ist = 1 Gebinde); ","")&amp;BJ520)</f>
        <v/>
      </c>
      <c r="BC520" s="53" t="n"/>
      <c r="BD520" s="53" t="n"/>
      <c r="BE520" s="61" t="n"/>
      <c r="BF520" s="55" t="n">
        <v>1</v>
      </c>
      <c r="BG520" s="55" t="n">
        <v>0</v>
      </c>
      <c r="BH520" s="54" t="n">
        <v>29.11999999999999</v>
      </c>
      <c r="BI520" s="55" t="n">
        <v>0</v>
      </c>
      <c r="BJ520" s="53" t="inlineStr"/>
      <c r="BK520" s="58" t="n">
        <v>0</v>
      </c>
      <c r="BL520" s="58" t="n">
        <v>520</v>
      </c>
      <c r="BM520" s="53">
        <f>IF(S520&lt;&gt;"",UPPER(TRIM(S520)),IF(O520="","LOSE",O520))</f>
        <v/>
      </c>
      <c r="BN520" s="55">
        <f>IF(BM520="LOSE",1,IF(N(T520)&gt;0,T520,IF(N(P520)&gt;0,P520,MAX(1,G520))))</f>
        <v/>
      </c>
      <c r="BO520" s="58">
        <f>IF(BM520="LOSE",1,0)</f>
        <v/>
      </c>
      <c r="BP520" s="64">
        <f>IF(BO520=0,0,IF(N(R520)&gt;0,R520,IFERROR(VLOOKUP(D520,Parameter!$A$35:$C$64,3,0)+0,0)))</f>
        <v/>
      </c>
      <c r="BQ520" s="53">
        <f>IF(V520&lt;&gt;"",V520,U520)</f>
        <v/>
      </c>
      <c r="BR520" s="53">
        <f>IF(BQ520=1,"L1",IF(OR(BQ520=2,BQ520=3),"L23",IF(BQ520="Aussen","Aussen","-")))</f>
        <v/>
      </c>
      <c r="BS520" s="66">
        <f>IF(N(W520)&gt;0,W520,0)</f>
        <v/>
      </c>
      <c r="BT520" s="58">
        <f>IF(ISNUMBER(Z520),1,0)</f>
        <v/>
      </c>
      <c r="BU520" s="55">
        <f>N(Z520)</f>
        <v/>
      </c>
      <c r="BV520" s="55">
        <f>N(L520)+N(M520)</f>
        <v/>
      </c>
      <c r="BW520" s="55">
        <f>ROUNDUP(G520/BN520,0)</f>
        <v/>
      </c>
      <c r="BX520" s="55">
        <f>ROUNDUP(BU520/BN520,0)</f>
        <v/>
      </c>
      <c r="BY520" s="58">
        <f>IF(BO520=1,0,IFERROR(VLOOKUP(BM520,'Gebinde-Kategorie'!$A$5:$G$45,5,0)+0,0))</f>
        <v/>
      </c>
      <c r="BZ520" s="58">
        <f>IFERROR(IF(OR(BQ520=1,BQ520=2,BQ520=3),N(INDEX(Parameter!$I$5:$I$7,BQ520)),0),0)</f>
        <v/>
      </c>
    </row>
    <row r="521">
      <c r="A521" s="53" t="inlineStr">
        <is>
          <t>111090</t>
        </is>
      </c>
      <c r="B521" s="53" t="inlineStr">
        <is>
          <t>Blende</t>
        </is>
      </c>
      <c r="C521" s="53" t="inlineStr">
        <is>
          <t>F</t>
        </is>
      </c>
      <c r="D521" s="53" t="inlineStr">
        <is>
          <t>KTL</t>
        </is>
      </c>
      <c r="E521" s="53" t="inlineStr">
        <is>
          <t>C</t>
        </is>
      </c>
      <c r="F521" s="54" t="n">
        <v>5.8</v>
      </c>
      <c r="G521" s="55">
        <f>MAX(0,IF(Parameter!$B$20="Jahresanfang 2025 + Export",BG521+BF521,BF521))</f>
        <v/>
      </c>
      <c r="H521" s="55">
        <f>G521*F521</f>
        <v/>
      </c>
      <c r="I521" s="55">
        <f>BI521*Parameter!$B$18</f>
        <v/>
      </c>
      <c r="J521" s="56" t="n">
        <v>1.5</v>
      </c>
      <c r="K521" s="57" t="n">
        <v>1.333333333333333</v>
      </c>
      <c r="L521" s="55" t="n">
        <v>0</v>
      </c>
      <c r="M521" s="55" t="n">
        <v>1</v>
      </c>
      <c r="N521" s="58" t="n">
        <v>14</v>
      </c>
      <c r="O521" s="53" t="inlineStr">
        <is>
          <t>S21</t>
        </is>
      </c>
      <c r="P521" s="55" t="n">
        <v>20</v>
      </c>
      <c r="Q521" s="59">
        <f>IF(BO521=1,0,IFERROR(VLOOKUP(BM521,'Gebinde-Kategorie'!$A$5:$G$45,6,0)+0,0))</f>
        <v/>
      </c>
      <c r="R521" s="60" t="n"/>
      <c r="S521" s="61" t="n"/>
      <c r="T521" s="61" t="n"/>
      <c r="U521" s="53">
        <f>IF(A521="","",IF(IFERROR(VLOOKUP(D521,Parameter!$A$35:$C$64,2,0),"Nein")="2+3",IF(ISNUMBER(SEARCH("grosser Artikel",BJ521)),2,IFERROR(VLOOKUP(BM521,Parameter!$F$35:$G$64,2,0),2)),IF(OR(IFERROR(VLOOKUP(D521,Parameter!$A$35:$C$64,2,0),"Nein")="Nein",IFERROR(VLOOKUP(D521,Parameter!$A$35:$C$64,2,0),"Nein")=""),"-",VLOOKUP(D521,Parameter!$A$35:$C$64,2,0))))</f>
        <v/>
      </c>
      <c r="V521" s="61" t="n"/>
      <c r="W521" s="62" t="n"/>
      <c r="X521" s="55">
        <f>AM521</f>
        <v/>
      </c>
      <c r="Y521" s="55">
        <f>MAX(AM521,G521)</f>
        <v/>
      </c>
      <c r="Z521" s="63" t="n"/>
      <c r="AA521" s="55">
        <f>IF(LEFT(Cockpit!$C$5,1)="A",G521,IF(BT521=1,BU521,IF(LEFT(Cockpit!$C$5,1)="B",AE521,MAX(AE521,G521))))</f>
        <v/>
      </c>
      <c r="AB521" s="55">
        <f>IF(BO521=1,0,ROUNDUP(AA521/BN521,0))</f>
        <v/>
      </c>
      <c r="AC521" s="64">
        <f>IF(BO521=1,IF(AA521&lt;=0,0,BP521*MAX(1,IF(G521&gt;0,AA521/G521,1))),AB521*Q521)</f>
        <v/>
      </c>
      <c r="AD521" s="55">
        <f>AA521*F521</f>
        <v/>
      </c>
      <c r="AE521" s="55">
        <f>ROUNDUP(MAX(I521/IF(BS521&gt;0,BS521,MAX(0.1,N(Cockpit!$C$6))),BV521)/BN521,0)*BN521</f>
        <v/>
      </c>
      <c r="AF521" s="56">
        <f>IF(AC521&gt;0,I521/AC521,-1)</f>
        <v/>
      </c>
      <c r="AG521" s="56">
        <f>IF(AND(OR(BR521="L1",BR521="L23"),AC521&gt;0),SUMIFS($AC$7:$AC$1570,$BR$7:$BR$1570,BR521,$AF$7:$AF$1570,"&gt;"&amp;AF521)+SUMIFS($AC$7:$AC$1570,$BR$7:$BR$1570,BR521,$AF$7:$AF$1570,AF521,$BL$7:$BL$1570,"&lt;="&amp;BL521),"")</f>
        <v/>
      </c>
      <c r="AH521" s="65">
        <f>IF(AG521="",0,MAX(0,MIN(1,(IF(BR521="L1",Parameter!$K$5,Parameter!$K$6+Parameter!$K$7)-(AG521-AC521))/AC521)))</f>
        <v/>
      </c>
      <c r="AI521" s="55">
        <f>IF(LEFT(Cockpit!$I$5,1)="A",G521,IF(BT521=1,BU521,IF(LEFT(Cockpit!$I$5,1)="B",AM521,MAX(AM521,G521))))</f>
        <v/>
      </c>
      <c r="AJ521" s="55">
        <f>IF(BO521=1,0,ROUNDUP(AI521/BN521,0))</f>
        <v/>
      </c>
      <c r="AK521" s="64">
        <f>IF(BO521=1,IF(AI521&lt;=0,0,BP521*MAX(1,IF(G521&gt;0,AI521/G521,1))),AJ521*Q521)</f>
        <v/>
      </c>
      <c r="AL521" s="55">
        <f>AI521*F521</f>
        <v/>
      </c>
      <c r="AM521" s="55">
        <f>ROUNDUP(MAX(I521/IF(BS521&gt;0,BS521,MAX(0.1,N(Cockpit!$I$6))),BV521)/BN521,0)*BN521</f>
        <v/>
      </c>
      <c r="AN521" s="56">
        <f>IF(AK521&gt;0,I521/AK521,-1)</f>
        <v/>
      </c>
      <c r="AO521" s="56">
        <f>IF(AND(OR(BR521="L1",BR521="L23"),AK521&gt;0),SUMIFS($AK$7:$AK$1570,$BR$7:$BR$1570,BR521,$AN$7:$AN$1570,"&gt;"&amp;AN521)+SUMIFS($AK$7:$AK$1570,$BR$7:$BR$1570,BR521,$AN$7:$AN$1570,AN521,$BL$7:$BL$1570,"&lt;="&amp;BL521),"")</f>
        <v/>
      </c>
      <c r="AP521" s="65">
        <f>IF(AO521="",0,MAX(0,MIN(1,(IF(BR521="L1",Parameter!$K$5,Parameter!$K$6+Parameter!$K$7)-(AO521-AK521))/AK521)))</f>
        <v/>
      </c>
      <c r="AQ521" s="55">
        <f>IF(LEFT(Cockpit!$O$5,1)="A",G521,IF(BT521=1,BU521,IF(LEFT(Cockpit!$O$5,1)="B",AU521,MAX(AU521,G521))))</f>
        <v/>
      </c>
      <c r="AR521" s="55">
        <f>IF(BO521=1,0,ROUNDUP(AQ521/BN521,0))</f>
        <v/>
      </c>
      <c r="AS521" s="64">
        <f>IF(BO521=1,IF(AQ521&lt;=0,0,BP521*MAX(1,IF(G521&gt;0,AQ521/G521,1))),AR521*Q521)</f>
        <v/>
      </c>
      <c r="AT521" s="55">
        <f>AQ521*F521</f>
        <v/>
      </c>
      <c r="AU521" s="55">
        <f>ROUNDUP(MAX(I521/IF(BS521&gt;0,BS521,MAX(0.1,N(Cockpit!$O$6))),BV521)/BN521,0)*BN521</f>
        <v/>
      </c>
      <c r="AV521" s="56">
        <f>IF(AS521&gt;0,I521/AS521,-1)</f>
        <v/>
      </c>
      <c r="AW521" s="56">
        <f>IF(AND(OR(BR521="L1",BR521="L23"),AS521&gt;0),SUMIFS($AS$7:$AS$1570,$BR$7:$BR$1570,BR521,$AV$7:$AV$1570,"&gt;"&amp;AV521)+SUMIFS($AS$7:$AS$1570,$BR$7:$BR$1570,BR521,$AV$7:$AV$1570,AV521,$BL$7:$BL$1570,"&lt;="&amp;BL521),"")</f>
        <v/>
      </c>
      <c r="AX521" s="65">
        <f>IF(AW521="",0,MAX(0,MIN(1,(IF(BR521="L1",Parameter!$K$5,Parameter!$K$6+Parameter!$K$7)-(AW521-AS521))/AS521)))</f>
        <v/>
      </c>
      <c r="AY521" s="53">
        <f>IF(AC521&lt;=0,"",IF(BR521="Aussen","Aussenlager",IF(BR521="-","Nicht im Lift",IF(AH521&gt;=1,"Lift",IF(AH521&lt;=0,"Aussenlager","teilweise")))))</f>
        <v/>
      </c>
      <c r="AZ521" s="53">
        <f>IF(AK521&lt;=0,"",IF(BR521="Aussen","Aussenlager",IF(BR521="-","Nicht im Lift",IF(AP521&gt;=1,"Lift",IF(AP521&lt;=0,"Aussenlager","teilweise")))))</f>
        <v/>
      </c>
      <c r="BA521" s="53">
        <f>IF(AS521&lt;=0,"",IF(BR521="Aussen","Aussenlager",IF(BR521="-","Nicht im Lift",IF(AX521&gt;=1,"Lift",IF(AX521&lt;=0,"Aussenlager","teilweise")))))</f>
        <v/>
      </c>
      <c r="BB521" s="53">
        <f>IF(A521="","",IF(BK521=1,"Neu; ","")&amp;IF(AND(BK521=0,BF521&lt;0),"negativer Bestand (Export "&amp;BF521&amp;"); ","")&amp;IF(I521&lt;=0,"Kein Verbrauch; ","")&amp;IF(BO521=1,"Lose – Fläche geschätzt; ","")&amp;IF(G521&gt;AM521,"Überbestand "&amp;ROUND(G521-AM521,0)&amp;" Stk / CHF "&amp;ROUND((G521-AM521)*F521,0)&amp;"; ","")&amp;IF(AND(BT521=1,BU521&lt;BV521),"MAX &lt; MB+LG; ","")&amp;IF(AND(BZ521&gt;0,BY521*10&gt;BZ521),"zu hoch für Tablar; ","")&amp;IF(AND(BK521=0,OR(BT521=1,V521&lt;&gt;"",S521&lt;&gt;"",T521&lt;&gt;"",W521&lt;&gt;"")),"manuell übersteuert; ","")&amp;IF(AND(BO521=0,Q521=0),"Gebinde unbekannt; ","")&amp;IF(AND(BO521=0,N(T521)&lt;=0,N(P521)&lt;=0),"Menge pro Gebinde fehlt (Ist = 1 Gebinde); ","")&amp;BJ521)</f>
        <v/>
      </c>
      <c r="BC521" s="53" t="n"/>
      <c r="BD521" s="53" t="n"/>
      <c r="BE521" s="61" t="n"/>
      <c r="BF521" s="55" t="n">
        <v>5</v>
      </c>
      <c r="BG521" s="55" t="n">
        <v>0</v>
      </c>
      <c r="BH521" s="54" t="n">
        <v>29</v>
      </c>
      <c r="BI521" s="55" t="n">
        <v>2</v>
      </c>
      <c r="BJ521" s="53" t="inlineStr"/>
      <c r="BK521" s="58" t="n">
        <v>0</v>
      </c>
      <c r="BL521" s="58" t="n">
        <v>521</v>
      </c>
      <c r="BM521" s="53">
        <f>IF(S521&lt;&gt;"",UPPER(TRIM(S521)),IF(O521="","LOSE",O521))</f>
        <v/>
      </c>
      <c r="BN521" s="55">
        <f>IF(BM521="LOSE",1,IF(N(T521)&gt;0,T521,IF(N(P521)&gt;0,P521,MAX(1,G521))))</f>
        <v/>
      </c>
      <c r="BO521" s="58">
        <f>IF(BM521="LOSE",1,0)</f>
        <v/>
      </c>
      <c r="BP521" s="64">
        <f>IF(BO521=0,0,IF(N(R521)&gt;0,R521,IFERROR(VLOOKUP(D521,Parameter!$A$35:$C$64,3,0)+0,0)))</f>
        <v/>
      </c>
      <c r="BQ521" s="53">
        <f>IF(V521&lt;&gt;"",V521,U521)</f>
        <v/>
      </c>
      <c r="BR521" s="53">
        <f>IF(BQ521=1,"L1",IF(OR(BQ521=2,BQ521=3),"L23",IF(BQ521="Aussen","Aussen","-")))</f>
        <v/>
      </c>
      <c r="BS521" s="66">
        <f>IF(N(W521)&gt;0,W521,0)</f>
        <v/>
      </c>
      <c r="BT521" s="58">
        <f>IF(ISNUMBER(Z521),1,0)</f>
        <v/>
      </c>
      <c r="BU521" s="55">
        <f>N(Z521)</f>
        <v/>
      </c>
      <c r="BV521" s="55">
        <f>N(L521)+N(M521)</f>
        <v/>
      </c>
      <c r="BW521" s="55">
        <f>ROUNDUP(G521/BN521,0)</f>
        <v/>
      </c>
      <c r="BX521" s="55">
        <f>ROUNDUP(BU521/BN521,0)</f>
        <v/>
      </c>
      <c r="BY521" s="58">
        <f>IF(BO521=1,0,IFERROR(VLOOKUP(BM521,'Gebinde-Kategorie'!$A$5:$G$45,5,0)+0,0))</f>
        <v/>
      </c>
      <c r="BZ521" s="58">
        <f>IFERROR(IF(OR(BQ521=1,BQ521=2,BQ521=3),N(INDEX(Parameter!$I$5:$I$7,BQ521)),0),0)</f>
        <v/>
      </c>
    </row>
    <row r="522">
      <c r="A522" s="53" t="inlineStr">
        <is>
          <t>100044</t>
        </is>
      </c>
      <c r="B522" s="53" t="inlineStr">
        <is>
          <t>Sicherungsscheibe</t>
        </is>
      </c>
      <c r="C522" s="53" t="inlineStr">
        <is>
          <t>F</t>
        </is>
      </c>
      <c r="D522" s="53" t="inlineStr">
        <is>
          <t>KTL</t>
        </is>
      </c>
      <c r="E522" s="53" t="inlineStr">
        <is>
          <t>C</t>
        </is>
      </c>
      <c r="F522" s="54" t="n">
        <v>0.05</v>
      </c>
      <c r="G522" s="55">
        <f>MAX(0,IF(Parameter!$B$20="Jahresanfang 2025 + Export",BG522+BF522,BF522))</f>
        <v/>
      </c>
      <c r="H522" s="55">
        <f>G522*F522</f>
        <v/>
      </c>
      <c r="I522" s="55">
        <f>BI522*Parameter!$B$18</f>
        <v/>
      </c>
      <c r="J522" s="56" t="n">
        <v>968</v>
      </c>
      <c r="K522" s="57" t="n">
        <v>2.105371900826446</v>
      </c>
      <c r="L522" s="55" t="n">
        <v>118</v>
      </c>
      <c r="M522" s="55" t="n">
        <v>2000</v>
      </c>
      <c r="N522" s="58" t="n">
        <v>21</v>
      </c>
      <c r="O522" s="53" t="inlineStr">
        <is>
          <t>S41</t>
        </is>
      </c>
      <c r="P522" s="55" t="n">
        <v>1546</v>
      </c>
      <c r="Q522" s="59">
        <f>IF(BO522=1,0,IFERROR(VLOOKUP(BM522,'Gebinde-Kategorie'!$A$5:$G$45,6,0)+0,0))</f>
        <v/>
      </c>
      <c r="R522" s="60" t="n"/>
      <c r="S522" s="61" t="n"/>
      <c r="T522" s="61" t="n"/>
      <c r="U522" s="53">
        <f>IF(A522="","",IF(IFERROR(VLOOKUP(D522,Parameter!$A$35:$C$64,2,0),"Nein")="2+3",IF(ISNUMBER(SEARCH("grosser Artikel",BJ522)),2,IFERROR(VLOOKUP(BM522,Parameter!$F$35:$G$64,2,0),2)),IF(OR(IFERROR(VLOOKUP(D522,Parameter!$A$35:$C$64,2,0),"Nein")="Nein",IFERROR(VLOOKUP(D522,Parameter!$A$35:$C$64,2,0),"Nein")=""),"-",VLOOKUP(D522,Parameter!$A$35:$C$64,2,0))))</f>
        <v/>
      </c>
      <c r="V522" s="61" t="n"/>
      <c r="W522" s="62" t="n"/>
      <c r="X522" s="55">
        <f>AM522</f>
        <v/>
      </c>
      <c r="Y522" s="55">
        <f>MAX(AM522,G522)</f>
        <v/>
      </c>
      <c r="Z522" s="63" t="n"/>
      <c r="AA522" s="55">
        <f>IF(LEFT(Cockpit!$C$5,1)="A",G522,IF(BT522=1,BU522,IF(LEFT(Cockpit!$C$5,1)="B",AE522,MAX(AE522,G522))))</f>
        <v/>
      </c>
      <c r="AB522" s="55">
        <f>IF(BO522=1,0,ROUNDUP(AA522/BN522,0))</f>
        <v/>
      </c>
      <c r="AC522" s="64">
        <f>IF(BO522=1,IF(AA522&lt;=0,0,BP522*MAX(1,IF(G522&gt;0,AA522/G522,1))),AB522*Q522)</f>
        <v/>
      </c>
      <c r="AD522" s="55">
        <f>AA522*F522</f>
        <v/>
      </c>
      <c r="AE522" s="55">
        <f>ROUNDUP(MAX(I522/IF(BS522&gt;0,BS522,MAX(0.1,N(Cockpit!$C$6))),BV522)/BN522,0)*BN522</f>
        <v/>
      </c>
      <c r="AF522" s="56">
        <f>IF(AC522&gt;0,I522/AC522,-1)</f>
        <v/>
      </c>
      <c r="AG522" s="56">
        <f>IF(AND(OR(BR522="L1",BR522="L23"),AC522&gt;0),SUMIFS($AC$7:$AC$1570,$BR$7:$BR$1570,BR522,$AF$7:$AF$1570,"&gt;"&amp;AF522)+SUMIFS($AC$7:$AC$1570,$BR$7:$BR$1570,BR522,$AF$7:$AF$1570,AF522,$BL$7:$BL$1570,"&lt;="&amp;BL522),"")</f>
        <v/>
      </c>
      <c r="AH522" s="65">
        <f>IF(AG522="",0,MAX(0,MIN(1,(IF(BR522="L1",Parameter!$K$5,Parameter!$K$6+Parameter!$K$7)-(AG522-AC522))/AC522)))</f>
        <v/>
      </c>
      <c r="AI522" s="55">
        <f>IF(LEFT(Cockpit!$I$5,1)="A",G522,IF(BT522=1,BU522,IF(LEFT(Cockpit!$I$5,1)="B",AM522,MAX(AM522,G522))))</f>
        <v/>
      </c>
      <c r="AJ522" s="55">
        <f>IF(BO522=1,0,ROUNDUP(AI522/BN522,0))</f>
        <v/>
      </c>
      <c r="AK522" s="64">
        <f>IF(BO522=1,IF(AI522&lt;=0,0,BP522*MAX(1,IF(G522&gt;0,AI522/G522,1))),AJ522*Q522)</f>
        <v/>
      </c>
      <c r="AL522" s="55">
        <f>AI522*F522</f>
        <v/>
      </c>
      <c r="AM522" s="55">
        <f>ROUNDUP(MAX(I522/IF(BS522&gt;0,BS522,MAX(0.1,N(Cockpit!$I$6))),BV522)/BN522,0)*BN522</f>
        <v/>
      </c>
      <c r="AN522" s="56">
        <f>IF(AK522&gt;0,I522/AK522,-1)</f>
        <v/>
      </c>
      <c r="AO522" s="56">
        <f>IF(AND(OR(BR522="L1",BR522="L23"),AK522&gt;0),SUMIFS($AK$7:$AK$1570,$BR$7:$BR$1570,BR522,$AN$7:$AN$1570,"&gt;"&amp;AN522)+SUMIFS($AK$7:$AK$1570,$BR$7:$BR$1570,BR522,$AN$7:$AN$1570,AN522,$BL$7:$BL$1570,"&lt;="&amp;BL522),"")</f>
        <v/>
      </c>
      <c r="AP522" s="65">
        <f>IF(AO522="",0,MAX(0,MIN(1,(IF(BR522="L1",Parameter!$K$5,Parameter!$K$6+Parameter!$K$7)-(AO522-AK522))/AK522)))</f>
        <v/>
      </c>
      <c r="AQ522" s="55">
        <f>IF(LEFT(Cockpit!$O$5,1)="A",G522,IF(BT522=1,BU522,IF(LEFT(Cockpit!$O$5,1)="B",AU522,MAX(AU522,G522))))</f>
        <v/>
      </c>
      <c r="AR522" s="55">
        <f>IF(BO522=1,0,ROUNDUP(AQ522/BN522,0))</f>
        <v/>
      </c>
      <c r="AS522" s="64">
        <f>IF(BO522=1,IF(AQ522&lt;=0,0,BP522*MAX(1,IF(G522&gt;0,AQ522/G522,1))),AR522*Q522)</f>
        <v/>
      </c>
      <c r="AT522" s="55">
        <f>AQ522*F522</f>
        <v/>
      </c>
      <c r="AU522" s="55">
        <f>ROUNDUP(MAX(I522/IF(BS522&gt;0,BS522,MAX(0.1,N(Cockpit!$O$6))),BV522)/BN522,0)*BN522</f>
        <v/>
      </c>
      <c r="AV522" s="56">
        <f>IF(AS522&gt;0,I522/AS522,-1)</f>
        <v/>
      </c>
      <c r="AW522" s="56">
        <f>IF(AND(OR(BR522="L1",BR522="L23"),AS522&gt;0),SUMIFS($AS$7:$AS$1570,$BR$7:$BR$1570,BR522,$AV$7:$AV$1570,"&gt;"&amp;AV522)+SUMIFS($AS$7:$AS$1570,$BR$7:$BR$1570,BR522,$AV$7:$AV$1570,AV522,$BL$7:$BL$1570,"&lt;="&amp;BL522),"")</f>
        <v/>
      </c>
      <c r="AX522" s="65">
        <f>IF(AW522="",0,MAX(0,MIN(1,(IF(BR522="L1",Parameter!$K$5,Parameter!$K$6+Parameter!$K$7)-(AW522-AS522))/AS522)))</f>
        <v/>
      </c>
      <c r="AY522" s="53">
        <f>IF(AC522&lt;=0,"",IF(BR522="Aussen","Aussenlager",IF(BR522="-","Nicht im Lift",IF(AH522&gt;=1,"Lift",IF(AH522&lt;=0,"Aussenlager","teilweise")))))</f>
        <v/>
      </c>
      <c r="AZ522" s="53">
        <f>IF(AK522&lt;=0,"",IF(BR522="Aussen","Aussenlager",IF(BR522="-","Nicht im Lift",IF(AP522&gt;=1,"Lift",IF(AP522&lt;=0,"Aussenlager","teilweise")))))</f>
        <v/>
      </c>
      <c r="BA522" s="53">
        <f>IF(AS522&lt;=0,"",IF(BR522="Aussen","Aussenlager",IF(BR522="-","Nicht im Lift",IF(AX522&gt;=1,"Lift",IF(AX522&lt;=0,"Aussenlager","teilweise")))))</f>
        <v/>
      </c>
      <c r="BB522" s="53">
        <f>IF(A522="","",IF(BK522=1,"Neu; ","")&amp;IF(AND(BK522=0,BF522&lt;0),"negativer Bestand (Export "&amp;BF522&amp;"); ","")&amp;IF(I522&lt;=0,"Kein Verbrauch; ","")&amp;IF(BO522=1,"Lose – Fläche geschätzt; ","")&amp;IF(G522&gt;AM522,"Überbestand "&amp;ROUND(G522-AM522,0)&amp;" Stk / CHF "&amp;ROUND((G522-AM522)*F522,0)&amp;"; ","")&amp;IF(AND(BT522=1,BU522&lt;BV522),"MAX &lt; MB+LG; ","")&amp;IF(AND(BZ522&gt;0,BY522*10&gt;BZ522),"zu hoch für Tablar; ","")&amp;IF(AND(BK522=0,OR(BT522=1,V522&lt;&gt;"",S522&lt;&gt;"",T522&lt;&gt;"",W522&lt;&gt;"")),"manuell übersteuert; ","")&amp;IF(AND(BO522=0,Q522=0),"Gebinde unbekannt; ","")&amp;IF(AND(BO522=0,N(T522)&lt;=0,N(P522)&lt;=0),"Menge pro Gebinde fehlt (Ist = 1 Gebinde); ","")&amp;BJ522)</f>
        <v/>
      </c>
      <c r="BC522" s="53" t="n"/>
      <c r="BD522" s="53" t="n"/>
      <c r="BE522" s="61" t="n"/>
      <c r="BF522" s="55" t="n">
        <v>577</v>
      </c>
      <c r="BG522" s="55" t="n">
        <v>1254</v>
      </c>
      <c r="BH522" s="54" t="n">
        <v>28.84999999999986</v>
      </c>
      <c r="BI522" s="55" t="n">
        <v>2038</v>
      </c>
      <c r="BJ522" s="53" t="inlineStr"/>
      <c r="BK522" s="58" t="n">
        <v>0</v>
      </c>
      <c r="BL522" s="58" t="n">
        <v>522</v>
      </c>
      <c r="BM522" s="53">
        <f>IF(S522&lt;&gt;"",UPPER(TRIM(S522)),IF(O522="","LOSE",O522))</f>
        <v/>
      </c>
      <c r="BN522" s="55">
        <f>IF(BM522="LOSE",1,IF(N(T522)&gt;0,T522,IF(N(P522)&gt;0,P522,MAX(1,G522))))</f>
        <v/>
      </c>
      <c r="BO522" s="58">
        <f>IF(BM522="LOSE",1,0)</f>
        <v/>
      </c>
      <c r="BP522" s="64">
        <f>IF(BO522=0,0,IF(N(R522)&gt;0,R522,IFERROR(VLOOKUP(D522,Parameter!$A$35:$C$64,3,0)+0,0)))</f>
        <v/>
      </c>
      <c r="BQ522" s="53">
        <f>IF(V522&lt;&gt;"",V522,U522)</f>
        <v/>
      </c>
      <c r="BR522" s="53">
        <f>IF(BQ522=1,"L1",IF(OR(BQ522=2,BQ522=3),"L23",IF(BQ522="Aussen","Aussen","-")))</f>
        <v/>
      </c>
      <c r="BS522" s="66">
        <f>IF(N(W522)&gt;0,W522,0)</f>
        <v/>
      </c>
      <c r="BT522" s="58">
        <f>IF(ISNUMBER(Z522),1,0)</f>
        <v/>
      </c>
      <c r="BU522" s="55">
        <f>N(Z522)</f>
        <v/>
      </c>
      <c r="BV522" s="55">
        <f>N(L522)+N(M522)</f>
        <v/>
      </c>
      <c r="BW522" s="55">
        <f>ROUNDUP(G522/BN522,0)</f>
        <v/>
      </c>
      <c r="BX522" s="55">
        <f>ROUNDUP(BU522/BN522,0)</f>
        <v/>
      </c>
      <c r="BY522" s="58">
        <f>IF(BO522=1,0,IFERROR(VLOOKUP(BM522,'Gebinde-Kategorie'!$A$5:$G$45,5,0)+0,0))</f>
        <v/>
      </c>
      <c r="BZ522" s="58">
        <f>IFERROR(IF(OR(BQ522=1,BQ522=2,BQ522=3),N(INDEX(Parameter!$I$5:$I$7,BQ522)),0),0)</f>
        <v/>
      </c>
    </row>
    <row r="523">
      <c r="A523" s="53" t="inlineStr">
        <is>
          <t>005500</t>
        </is>
      </c>
      <c r="B523" s="53" t="inlineStr">
        <is>
          <t>Einphasen-Sicherheitstrafo</t>
        </is>
      </c>
      <c r="C523" s="53" t="inlineStr">
        <is>
          <t>F</t>
        </is>
      </c>
      <c r="D523" s="53" t="inlineStr">
        <is>
          <t>KTL</t>
        </is>
      </c>
      <c r="E523" s="53" t="inlineStr">
        <is>
          <t>C</t>
        </is>
      </c>
      <c r="F523" s="54" t="n">
        <v>121.7</v>
      </c>
      <c r="G523" s="55">
        <f>MAX(0,IF(Parameter!$B$20="Jahresanfang 2025 + Export",BG523+BF523,BF523))</f>
        <v/>
      </c>
      <c r="H523" s="55">
        <f>G523*F523</f>
        <v/>
      </c>
      <c r="I523" s="55">
        <f>BI523*Parameter!$B$18</f>
        <v/>
      </c>
      <c r="J523" s="56" t="n">
        <v>1</v>
      </c>
      <c r="K523" s="57" t="n">
        <v>1</v>
      </c>
      <c r="L523" s="55" t="n">
        <v>0</v>
      </c>
      <c r="M523" s="55" t="n">
        <v>1</v>
      </c>
      <c r="N523" s="58" t="n">
        <v>35</v>
      </c>
      <c r="O523" s="53" t="inlineStr">
        <is>
          <t>S51</t>
        </is>
      </c>
      <c r="P523" s="55" t="n">
        <v>3</v>
      </c>
      <c r="Q523" s="59">
        <f>IF(BO523=1,0,IFERROR(VLOOKUP(BM523,'Gebinde-Kategorie'!$A$5:$G$45,6,0)+0,0))</f>
        <v/>
      </c>
      <c r="R523" s="60" t="n"/>
      <c r="S523" s="61" t="n"/>
      <c r="T523" s="61" t="n"/>
      <c r="U523" s="53">
        <f>IF(A523="","",IF(IFERROR(VLOOKUP(D523,Parameter!$A$35:$C$64,2,0),"Nein")="2+3",IF(ISNUMBER(SEARCH("grosser Artikel",BJ523)),2,IFERROR(VLOOKUP(BM523,Parameter!$F$35:$G$64,2,0),2)),IF(OR(IFERROR(VLOOKUP(D523,Parameter!$A$35:$C$64,2,0),"Nein")="Nein",IFERROR(VLOOKUP(D523,Parameter!$A$35:$C$64,2,0),"Nein")=""),"-",VLOOKUP(D523,Parameter!$A$35:$C$64,2,0))))</f>
        <v/>
      </c>
      <c r="V523" s="61" t="n"/>
      <c r="W523" s="62" t="n"/>
      <c r="X523" s="55">
        <f>AM523</f>
        <v/>
      </c>
      <c r="Y523" s="55">
        <f>MAX(AM523,G523)</f>
        <v/>
      </c>
      <c r="Z523" s="63" t="n"/>
      <c r="AA523" s="55">
        <f>IF(LEFT(Cockpit!$C$5,1)="A",G523,IF(BT523=1,BU523,IF(LEFT(Cockpit!$C$5,1)="B",AE523,MAX(AE523,G523))))</f>
        <v/>
      </c>
      <c r="AB523" s="55">
        <f>IF(BO523=1,0,ROUNDUP(AA523/BN523,0))</f>
        <v/>
      </c>
      <c r="AC523" s="64">
        <f>IF(BO523=1,IF(AA523&lt;=0,0,BP523*MAX(1,IF(G523&gt;0,AA523/G523,1))),AB523*Q523)</f>
        <v/>
      </c>
      <c r="AD523" s="55">
        <f>AA523*F523</f>
        <v/>
      </c>
      <c r="AE523" s="55">
        <f>ROUNDUP(MAX(I523/IF(BS523&gt;0,BS523,MAX(0.1,N(Cockpit!$C$6))),BV523)/BN523,0)*BN523</f>
        <v/>
      </c>
      <c r="AF523" s="56">
        <f>IF(AC523&gt;0,I523/AC523,-1)</f>
        <v/>
      </c>
      <c r="AG523" s="56">
        <f>IF(AND(OR(BR523="L1",BR523="L23"),AC523&gt;0),SUMIFS($AC$7:$AC$1570,$BR$7:$BR$1570,BR523,$AF$7:$AF$1570,"&gt;"&amp;AF523)+SUMIFS($AC$7:$AC$1570,$BR$7:$BR$1570,BR523,$AF$7:$AF$1570,AF523,$BL$7:$BL$1570,"&lt;="&amp;BL523),"")</f>
        <v/>
      </c>
      <c r="AH523" s="65">
        <f>IF(AG523="",0,MAX(0,MIN(1,(IF(BR523="L1",Parameter!$K$5,Parameter!$K$6+Parameter!$K$7)-(AG523-AC523))/AC523)))</f>
        <v/>
      </c>
      <c r="AI523" s="55">
        <f>IF(LEFT(Cockpit!$I$5,1)="A",G523,IF(BT523=1,BU523,IF(LEFT(Cockpit!$I$5,1)="B",AM523,MAX(AM523,G523))))</f>
        <v/>
      </c>
      <c r="AJ523" s="55">
        <f>IF(BO523=1,0,ROUNDUP(AI523/BN523,0))</f>
        <v/>
      </c>
      <c r="AK523" s="64">
        <f>IF(BO523=1,IF(AI523&lt;=0,0,BP523*MAX(1,IF(G523&gt;0,AI523/G523,1))),AJ523*Q523)</f>
        <v/>
      </c>
      <c r="AL523" s="55">
        <f>AI523*F523</f>
        <v/>
      </c>
      <c r="AM523" s="55">
        <f>ROUNDUP(MAX(I523/IF(BS523&gt;0,BS523,MAX(0.1,N(Cockpit!$I$6))),BV523)/BN523,0)*BN523</f>
        <v/>
      </c>
      <c r="AN523" s="56">
        <f>IF(AK523&gt;0,I523/AK523,-1)</f>
        <v/>
      </c>
      <c r="AO523" s="56">
        <f>IF(AND(OR(BR523="L1",BR523="L23"),AK523&gt;0),SUMIFS($AK$7:$AK$1570,$BR$7:$BR$1570,BR523,$AN$7:$AN$1570,"&gt;"&amp;AN523)+SUMIFS($AK$7:$AK$1570,$BR$7:$BR$1570,BR523,$AN$7:$AN$1570,AN523,$BL$7:$BL$1570,"&lt;="&amp;BL523),"")</f>
        <v/>
      </c>
      <c r="AP523" s="65">
        <f>IF(AO523="",0,MAX(0,MIN(1,(IF(BR523="L1",Parameter!$K$5,Parameter!$K$6+Parameter!$K$7)-(AO523-AK523))/AK523)))</f>
        <v/>
      </c>
      <c r="AQ523" s="55">
        <f>IF(LEFT(Cockpit!$O$5,1)="A",G523,IF(BT523=1,BU523,IF(LEFT(Cockpit!$O$5,1)="B",AU523,MAX(AU523,G523))))</f>
        <v/>
      </c>
      <c r="AR523" s="55">
        <f>IF(BO523=1,0,ROUNDUP(AQ523/BN523,0))</f>
        <v/>
      </c>
      <c r="AS523" s="64">
        <f>IF(BO523=1,IF(AQ523&lt;=0,0,BP523*MAX(1,IF(G523&gt;0,AQ523/G523,1))),AR523*Q523)</f>
        <v/>
      </c>
      <c r="AT523" s="55">
        <f>AQ523*F523</f>
        <v/>
      </c>
      <c r="AU523" s="55">
        <f>ROUNDUP(MAX(I523/IF(BS523&gt;0,BS523,MAX(0.1,N(Cockpit!$O$6))),BV523)/BN523,0)*BN523</f>
        <v/>
      </c>
      <c r="AV523" s="56">
        <f>IF(AS523&gt;0,I523/AS523,-1)</f>
        <v/>
      </c>
      <c r="AW523" s="56">
        <f>IF(AND(OR(BR523="L1",BR523="L23"),AS523&gt;0),SUMIFS($AS$7:$AS$1570,$BR$7:$BR$1570,BR523,$AV$7:$AV$1570,"&gt;"&amp;AV523)+SUMIFS($AS$7:$AS$1570,$BR$7:$BR$1570,BR523,$AV$7:$AV$1570,AV523,$BL$7:$BL$1570,"&lt;="&amp;BL523),"")</f>
        <v/>
      </c>
      <c r="AX523" s="65">
        <f>IF(AW523="",0,MAX(0,MIN(1,(IF(BR523="L1",Parameter!$K$5,Parameter!$K$6+Parameter!$K$7)-(AW523-AS523))/AS523)))</f>
        <v/>
      </c>
      <c r="AY523" s="53">
        <f>IF(AC523&lt;=0,"",IF(BR523="Aussen","Aussenlager",IF(BR523="-","Nicht im Lift",IF(AH523&gt;=1,"Lift",IF(AH523&lt;=0,"Aussenlager","teilweise")))))</f>
        <v/>
      </c>
      <c r="AZ523" s="53">
        <f>IF(AK523&lt;=0,"",IF(BR523="Aussen","Aussenlager",IF(BR523="-","Nicht im Lift",IF(AP523&gt;=1,"Lift",IF(AP523&lt;=0,"Aussenlager","teilweise")))))</f>
        <v/>
      </c>
      <c r="BA523" s="53">
        <f>IF(AS523&lt;=0,"",IF(BR523="Aussen","Aussenlager",IF(BR523="-","Nicht im Lift",IF(AX523&gt;=1,"Lift",IF(AX523&lt;=0,"Aussenlager","teilweise")))))</f>
        <v/>
      </c>
      <c r="BB523" s="53">
        <f>IF(A523="","",IF(BK523=1,"Neu; ","")&amp;IF(AND(BK523=0,BF523&lt;0),"negativer Bestand (Export "&amp;BF523&amp;"); ","")&amp;IF(I523&lt;=0,"Kein Verbrauch; ","")&amp;IF(BO523=1,"Lose – Fläche geschätzt; ","")&amp;IF(G523&gt;AM523,"Überbestand "&amp;ROUND(G523-AM523,0)&amp;" Stk / CHF "&amp;ROUND((G523-AM523)*F523,0)&amp;"; ","")&amp;IF(AND(BT523=1,BU523&lt;BV523),"MAX &lt; MB+LG; ","")&amp;IF(AND(BZ523&gt;0,BY523*10&gt;BZ523),"zu hoch für Tablar; ","")&amp;IF(AND(BK523=0,OR(BT523=1,V523&lt;&gt;"",S523&lt;&gt;"",T523&lt;&gt;"",W523&lt;&gt;"")),"manuell übersteuert; ","")&amp;IF(AND(BO523=0,Q523=0),"Gebinde unbekannt; ","")&amp;IF(AND(BO523=0,N(T523)&lt;=0,N(P523)&lt;=0),"Menge pro Gebinde fehlt (Ist = 1 Gebinde); ","")&amp;BJ523)</f>
        <v/>
      </c>
      <c r="BC523" s="53" t="n"/>
      <c r="BD523" s="53" t="n"/>
      <c r="BE523" s="61" t="n"/>
      <c r="BF523" s="55" t="n">
        <v>0</v>
      </c>
      <c r="BG523" s="55" t="n">
        <v>1</v>
      </c>
      <c r="BH523" s="54" t="n">
        <v>28.10000000000001</v>
      </c>
      <c r="BI523" s="55" t="n">
        <v>1</v>
      </c>
      <c r="BJ523" s="53" t="inlineStr"/>
      <c r="BK523" s="58" t="n">
        <v>0</v>
      </c>
      <c r="BL523" s="58" t="n">
        <v>523</v>
      </c>
      <c r="BM523" s="53">
        <f>IF(S523&lt;&gt;"",UPPER(TRIM(S523)),IF(O523="","LOSE",O523))</f>
        <v/>
      </c>
      <c r="BN523" s="55">
        <f>IF(BM523="LOSE",1,IF(N(T523)&gt;0,T523,IF(N(P523)&gt;0,P523,MAX(1,G523))))</f>
        <v/>
      </c>
      <c r="BO523" s="58">
        <f>IF(BM523="LOSE",1,0)</f>
        <v/>
      </c>
      <c r="BP523" s="64">
        <f>IF(BO523=0,0,IF(N(R523)&gt;0,R523,IFERROR(VLOOKUP(D523,Parameter!$A$35:$C$64,3,0)+0,0)))</f>
        <v/>
      </c>
      <c r="BQ523" s="53">
        <f>IF(V523&lt;&gt;"",V523,U523)</f>
        <v/>
      </c>
      <c r="BR523" s="53">
        <f>IF(BQ523=1,"L1",IF(OR(BQ523=2,BQ523=3),"L23",IF(BQ523="Aussen","Aussen","-")))</f>
        <v/>
      </c>
      <c r="BS523" s="66">
        <f>IF(N(W523)&gt;0,W523,0)</f>
        <v/>
      </c>
      <c r="BT523" s="58">
        <f>IF(ISNUMBER(Z523),1,0)</f>
        <v/>
      </c>
      <c r="BU523" s="55">
        <f>N(Z523)</f>
        <v/>
      </c>
      <c r="BV523" s="55">
        <f>N(L523)+N(M523)</f>
        <v/>
      </c>
      <c r="BW523" s="55">
        <f>ROUNDUP(G523/BN523,0)</f>
        <v/>
      </c>
      <c r="BX523" s="55">
        <f>ROUNDUP(BU523/BN523,0)</f>
        <v/>
      </c>
      <c r="BY523" s="58">
        <f>IF(BO523=1,0,IFERROR(VLOOKUP(BM523,'Gebinde-Kategorie'!$A$5:$G$45,5,0)+0,0))</f>
        <v/>
      </c>
      <c r="BZ523" s="58">
        <f>IFERROR(IF(OR(BQ523=1,BQ523=2,BQ523=3),N(INDEX(Parameter!$I$5:$I$7,BQ523)),0),0)</f>
        <v/>
      </c>
    </row>
    <row r="524">
      <c r="A524" s="53" t="inlineStr">
        <is>
          <t>005642</t>
        </is>
      </c>
      <c r="B524" s="53" t="inlineStr">
        <is>
          <t>Netzwerkkabel</t>
        </is>
      </c>
      <c r="C524" s="53" t="inlineStr">
        <is>
          <t>F</t>
        </is>
      </c>
      <c r="D524" s="53" t="inlineStr">
        <is>
          <t>KTL</t>
        </is>
      </c>
      <c r="E524" s="53" t="inlineStr">
        <is>
          <t>C</t>
        </is>
      </c>
      <c r="F524" s="54" t="n">
        <v>13.95</v>
      </c>
      <c r="G524" s="55">
        <f>MAX(0,IF(Parameter!$B$20="Jahresanfang 2025 + Export",BG524+BF524,BF524))</f>
        <v/>
      </c>
      <c r="H524" s="55">
        <f>G524*F524</f>
        <v/>
      </c>
      <c r="I524" s="55">
        <f>BI524*Parameter!$B$18</f>
        <v/>
      </c>
      <c r="J524" s="56" t="n">
        <v>4</v>
      </c>
      <c r="K524" s="57" t="n">
        <v>0</v>
      </c>
      <c r="L524" s="55" t="n">
        <v>0</v>
      </c>
      <c r="M524" s="55" t="n">
        <v>1</v>
      </c>
      <c r="N524" s="58" t="n">
        <v>14</v>
      </c>
      <c r="O524" s="53" t="inlineStr">
        <is>
          <t>S41</t>
        </is>
      </c>
      <c r="P524" s="55" t="n">
        <v>1</v>
      </c>
      <c r="Q524" s="59">
        <f>IF(BO524=1,0,IFERROR(VLOOKUP(BM524,'Gebinde-Kategorie'!$A$5:$G$45,6,0)+0,0))</f>
        <v/>
      </c>
      <c r="R524" s="60" t="n"/>
      <c r="S524" s="61" t="n"/>
      <c r="T524" s="61" t="n"/>
      <c r="U524" s="53">
        <f>IF(A524="","",IF(IFERROR(VLOOKUP(D524,Parameter!$A$35:$C$64,2,0),"Nein")="2+3",IF(ISNUMBER(SEARCH("grosser Artikel",BJ524)),2,IFERROR(VLOOKUP(BM524,Parameter!$F$35:$G$64,2,0),2)),IF(OR(IFERROR(VLOOKUP(D524,Parameter!$A$35:$C$64,2,0),"Nein")="Nein",IFERROR(VLOOKUP(D524,Parameter!$A$35:$C$64,2,0),"Nein")=""),"-",VLOOKUP(D524,Parameter!$A$35:$C$64,2,0))))</f>
        <v/>
      </c>
      <c r="V524" s="61" t="n"/>
      <c r="W524" s="62" t="n"/>
      <c r="X524" s="55">
        <f>AM524</f>
        <v/>
      </c>
      <c r="Y524" s="55">
        <f>MAX(AM524,G524)</f>
        <v/>
      </c>
      <c r="Z524" s="63" t="n"/>
      <c r="AA524" s="55">
        <f>IF(LEFT(Cockpit!$C$5,1)="A",G524,IF(BT524=1,BU524,IF(LEFT(Cockpit!$C$5,1)="B",AE524,MAX(AE524,G524))))</f>
        <v/>
      </c>
      <c r="AB524" s="55">
        <f>IF(BO524=1,0,ROUNDUP(AA524/BN524,0))</f>
        <v/>
      </c>
      <c r="AC524" s="64">
        <f>IF(BO524=1,IF(AA524&lt;=0,0,BP524*MAX(1,IF(G524&gt;0,AA524/G524,1))),AB524*Q524)</f>
        <v/>
      </c>
      <c r="AD524" s="55">
        <f>AA524*F524</f>
        <v/>
      </c>
      <c r="AE524" s="55">
        <f>ROUNDUP(MAX(I524/IF(BS524&gt;0,BS524,MAX(0.1,N(Cockpit!$C$6))),BV524)/BN524,0)*BN524</f>
        <v/>
      </c>
      <c r="AF524" s="56">
        <f>IF(AC524&gt;0,I524/AC524,-1)</f>
        <v/>
      </c>
      <c r="AG524" s="56">
        <f>IF(AND(OR(BR524="L1",BR524="L23"),AC524&gt;0),SUMIFS($AC$7:$AC$1570,$BR$7:$BR$1570,BR524,$AF$7:$AF$1570,"&gt;"&amp;AF524)+SUMIFS($AC$7:$AC$1570,$BR$7:$BR$1570,BR524,$AF$7:$AF$1570,AF524,$BL$7:$BL$1570,"&lt;="&amp;BL524),"")</f>
        <v/>
      </c>
      <c r="AH524" s="65">
        <f>IF(AG524="",0,MAX(0,MIN(1,(IF(BR524="L1",Parameter!$K$5,Parameter!$K$6+Parameter!$K$7)-(AG524-AC524))/AC524)))</f>
        <v/>
      </c>
      <c r="AI524" s="55">
        <f>IF(LEFT(Cockpit!$I$5,1)="A",G524,IF(BT524=1,BU524,IF(LEFT(Cockpit!$I$5,1)="B",AM524,MAX(AM524,G524))))</f>
        <v/>
      </c>
      <c r="AJ524" s="55">
        <f>IF(BO524=1,0,ROUNDUP(AI524/BN524,0))</f>
        <v/>
      </c>
      <c r="AK524" s="64">
        <f>IF(BO524=1,IF(AI524&lt;=0,0,BP524*MAX(1,IF(G524&gt;0,AI524/G524,1))),AJ524*Q524)</f>
        <v/>
      </c>
      <c r="AL524" s="55">
        <f>AI524*F524</f>
        <v/>
      </c>
      <c r="AM524" s="55">
        <f>ROUNDUP(MAX(I524/IF(BS524&gt;0,BS524,MAX(0.1,N(Cockpit!$I$6))),BV524)/BN524,0)*BN524</f>
        <v/>
      </c>
      <c r="AN524" s="56">
        <f>IF(AK524&gt;0,I524/AK524,-1)</f>
        <v/>
      </c>
      <c r="AO524" s="56">
        <f>IF(AND(OR(BR524="L1",BR524="L23"),AK524&gt;0),SUMIFS($AK$7:$AK$1570,$BR$7:$BR$1570,BR524,$AN$7:$AN$1570,"&gt;"&amp;AN524)+SUMIFS($AK$7:$AK$1570,$BR$7:$BR$1570,BR524,$AN$7:$AN$1570,AN524,$BL$7:$BL$1570,"&lt;="&amp;BL524),"")</f>
        <v/>
      </c>
      <c r="AP524" s="65">
        <f>IF(AO524="",0,MAX(0,MIN(1,(IF(BR524="L1",Parameter!$K$5,Parameter!$K$6+Parameter!$K$7)-(AO524-AK524))/AK524)))</f>
        <v/>
      </c>
      <c r="AQ524" s="55">
        <f>IF(LEFT(Cockpit!$O$5,1)="A",G524,IF(BT524=1,BU524,IF(LEFT(Cockpit!$O$5,1)="B",AU524,MAX(AU524,G524))))</f>
        <v/>
      </c>
      <c r="AR524" s="55">
        <f>IF(BO524=1,0,ROUNDUP(AQ524/BN524,0))</f>
        <v/>
      </c>
      <c r="AS524" s="64">
        <f>IF(BO524=1,IF(AQ524&lt;=0,0,BP524*MAX(1,IF(G524&gt;0,AQ524/G524,1))),AR524*Q524)</f>
        <v/>
      </c>
      <c r="AT524" s="55">
        <f>AQ524*F524</f>
        <v/>
      </c>
      <c r="AU524" s="55">
        <f>ROUNDUP(MAX(I524/IF(BS524&gt;0,BS524,MAX(0.1,N(Cockpit!$O$6))),BV524)/BN524,0)*BN524</f>
        <v/>
      </c>
      <c r="AV524" s="56">
        <f>IF(AS524&gt;0,I524/AS524,-1)</f>
        <v/>
      </c>
      <c r="AW524" s="56">
        <f>IF(AND(OR(BR524="L1",BR524="L23"),AS524&gt;0),SUMIFS($AS$7:$AS$1570,$BR$7:$BR$1570,BR524,$AV$7:$AV$1570,"&gt;"&amp;AV524)+SUMIFS($AS$7:$AS$1570,$BR$7:$BR$1570,BR524,$AV$7:$AV$1570,AV524,$BL$7:$BL$1570,"&lt;="&amp;BL524),"")</f>
        <v/>
      </c>
      <c r="AX524" s="65">
        <f>IF(AW524="",0,MAX(0,MIN(1,(IF(BR524="L1",Parameter!$K$5,Parameter!$K$6+Parameter!$K$7)-(AW524-AS524))/AS524)))</f>
        <v/>
      </c>
      <c r="AY524" s="53">
        <f>IF(AC524&lt;=0,"",IF(BR524="Aussen","Aussenlager",IF(BR524="-","Nicht im Lift",IF(AH524&gt;=1,"Lift",IF(AH524&lt;=0,"Aussenlager","teilweise")))))</f>
        <v/>
      </c>
      <c r="AZ524" s="53">
        <f>IF(AK524&lt;=0,"",IF(BR524="Aussen","Aussenlager",IF(BR524="-","Nicht im Lift",IF(AP524&gt;=1,"Lift",IF(AP524&lt;=0,"Aussenlager","teilweise")))))</f>
        <v/>
      </c>
      <c r="BA524" s="53">
        <f>IF(AS524&lt;=0,"",IF(BR524="Aussen","Aussenlager",IF(BR524="-","Nicht im Lift",IF(AX524&gt;=1,"Lift",IF(AX524&lt;=0,"Aussenlager","teilweise")))))</f>
        <v/>
      </c>
      <c r="BB524" s="53">
        <f>IF(A524="","",IF(BK524=1,"Neu; ","")&amp;IF(AND(BK524=0,BF524&lt;0),"negativer Bestand (Export "&amp;BF524&amp;"); ","")&amp;IF(I524&lt;=0,"Kein Verbrauch; ","")&amp;IF(BO524=1,"Lose – Fläche geschätzt; ","")&amp;IF(G524&gt;AM524,"Überbestand "&amp;ROUND(G524-AM524,0)&amp;" Stk / CHF "&amp;ROUND((G524-AM524)*F524,0)&amp;"; ","")&amp;IF(AND(BT524=1,BU524&lt;BV524),"MAX &lt; MB+LG; ","")&amp;IF(AND(BZ524&gt;0,BY524*10&gt;BZ524),"zu hoch für Tablar; ","")&amp;IF(AND(BK524=0,OR(BT524=1,V524&lt;&gt;"",S524&lt;&gt;"",T524&lt;&gt;"",W524&lt;&gt;"")),"manuell übersteuert; ","")&amp;IF(AND(BO524=0,Q524=0),"Gebinde unbekannt; ","")&amp;IF(AND(BO524=0,N(T524)&lt;=0,N(P524)&lt;=0),"Menge pro Gebinde fehlt (Ist = 1 Gebinde); ","")&amp;BJ524)</f>
        <v/>
      </c>
      <c r="BC524" s="53" t="n"/>
      <c r="BD524" s="53" t="n"/>
      <c r="BE524" s="61" t="n"/>
      <c r="BF524" s="55" t="n">
        <v>2</v>
      </c>
      <c r="BG524" s="55" t="n">
        <v>4</v>
      </c>
      <c r="BH524" s="54" t="n">
        <v>28.02</v>
      </c>
      <c r="BI524" s="55" t="n">
        <v>0</v>
      </c>
      <c r="BJ524" s="53" t="inlineStr"/>
      <c r="BK524" s="58" t="n">
        <v>0</v>
      </c>
      <c r="BL524" s="58" t="n">
        <v>524</v>
      </c>
      <c r="BM524" s="53">
        <f>IF(S524&lt;&gt;"",UPPER(TRIM(S524)),IF(O524="","LOSE",O524))</f>
        <v/>
      </c>
      <c r="BN524" s="55">
        <f>IF(BM524="LOSE",1,IF(N(T524)&gt;0,T524,IF(N(P524)&gt;0,P524,MAX(1,G524))))</f>
        <v/>
      </c>
      <c r="BO524" s="58">
        <f>IF(BM524="LOSE",1,0)</f>
        <v/>
      </c>
      <c r="BP524" s="64">
        <f>IF(BO524=0,0,IF(N(R524)&gt;0,R524,IFERROR(VLOOKUP(D524,Parameter!$A$35:$C$64,3,0)+0,0)))</f>
        <v/>
      </c>
      <c r="BQ524" s="53">
        <f>IF(V524&lt;&gt;"",V524,U524)</f>
        <v/>
      </c>
      <c r="BR524" s="53">
        <f>IF(BQ524=1,"L1",IF(OR(BQ524=2,BQ524=3),"L23",IF(BQ524="Aussen","Aussen","-")))</f>
        <v/>
      </c>
      <c r="BS524" s="66">
        <f>IF(N(W524)&gt;0,W524,0)</f>
        <v/>
      </c>
      <c r="BT524" s="58">
        <f>IF(ISNUMBER(Z524),1,0)</f>
        <v/>
      </c>
      <c r="BU524" s="55">
        <f>N(Z524)</f>
        <v/>
      </c>
      <c r="BV524" s="55">
        <f>N(L524)+N(M524)</f>
        <v/>
      </c>
      <c r="BW524" s="55">
        <f>ROUNDUP(G524/BN524,0)</f>
        <v/>
      </c>
      <c r="BX524" s="55">
        <f>ROUNDUP(BU524/BN524,0)</f>
        <v/>
      </c>
      <c r="BY524" s="58">
        <f>IF(BO524=1,0,IFERROR(VLOOKUP(BM524,'Gebinde-Kategorie'!$A$5:$G$45,5,0)+0,0))</f>
        <v/>
      </c>
      <c r="BZ524" s="58">
        <f>IFERROR(IF(OR(BQ524=1,BQ524=2,BQ524=3),N(INDEX(Parameter!$I$5:$I$7,BQ524)),0),0)</f>
        <v/>
      </c>
    </row>
    <row r="525">
      <c r="A525" s="53" t="inlineStr">
        <is>
          <t>107213</t>
        </is>
      </c>
      <c r="B525" s="53" t="inlineStr">
        <is>
          <t>Unterlagsscheibe</t>
        </is>
      </c>
      <c r="C525" s="53" t="inlineStr">
        <is>
          <t>F</t>
        </is>
      </c>
      <c r="D525" s="53" t="inlineStr">
        <is>
          <t>KTL</t>
        </is>
      </c>
      <c r="E525" s="53" t="inlineStr">
        <is>
          <t>C</t>
        </is>
      </c>
      <c r="F525" s="54" t="n">
        <v>0.14</v>
      </c>
      <c r="G525" s="55">
        <f>MAX(0,IF(Parameter!$B$20="Jahresanfang 2025 + Export",BG525+BF525,BF525))</f>
        <v/>
      </c>
      <c r="H525" s="55">
        <f>G525*F525</f>
        <v/>
      </c>
      <c r="I525" s="55">
        <f>BI525*Parameter!$B$18</f>
        <v/>
      </c>
      <c r="J525" s="56" t="n">
        <v>0</v>
      </c>
      <c r="K525" s="57" t="n">
        <v>0</v>
      </c>
      <c r="L525" s="55" t="n">
        <v>12</v>
      </c>
      <c r="M525" s="55" t="n">
        <v>200</v>
      </c>
      <c r="N525" s="58" t="n">
        <v>21</v>
      </c>
      <c r="O525" s="53" t="inlineStr">
        <is>
          <t>LOSE</t>
        </is>
      </c>
      <c r="P525" s="55" t="n"/>
      <c r="Q525" s="59">
        <f>IF(BO525=1,0,IFERROR(VLOOKUP(BM525,'Gebinde-Kategorie'!$A$5:$G$45,6,0)+0,0))</f>
        <v/>
      </c>
      <c r="R525" s="60" t="n"/>
      <c r="S525" s="61" t="n"/>
      <c r="T525" s="61" t="n"/>
      <c r="U525" s="53">
        <f>IF(A525="","",IF(IFERROR(VLOOKUP(D525,Parameter!$A$35:$C$64,2,0),"Nein")="2+3",IF(ISNUMBER(SEARCH("grosser Artikel",BJ525)),2,IFERROR(VLOOKUP(BM525,Parameter!$F$35:$G$64,2,0),2)),IF(OR(IFERROR(VLOOKUP(D525,Parameter!$A$35:$C$64,2,0),"Nein")="Nein",IFERROR(VLOOKUP(D525,Parameter!$A$35:$C$64,2,0),"Nein")=""),"-",VLOOKUP(D525,Parameter!$A$35:$C$64,2,0))))</f>
        <v/>
      </c>
      <c r="V525" s="61" t="n"/>
      <c r="W525" s="62" t="n"/>
      <c r="X525" s="55">
        <f>AM525</f>
        <v/>
      </c>
      <c r="Y525" s="55">
        <f>MAX(AM525,G525)</f>
        <v/>
      </c>
      <c r="Z525" s="63" t="n"/>
      <c r="AA525" s="55">
        <f>IF(LEFT(Cockpit!$C$5,1)="A",G525,IF(BT525=1,BU525,IF(LEFT(Cockpit!$C$5,1)="B",AE525,MAX(AE525,G525))))</f>
        <v/>
      </c>
      <c r="AB525" s="55">
        <f>IF(BO525=1,0,ROUNDUP(AA525/BN525,0))</f>
        <v/>
      </c>
      <c r="AC525" s="64">
        <f>IF(BO525=1,IF(AA525&lt;=0,0,BP525*MAX(1,IF(G525&gt;0,AA525/G525,1))),AB525*Q525)</f>
        <v/>
      </c>
      <c r="AD525" s="55">
        <f>AA525*F525</f>
        <v/>
      </c>
      <c r="AE525" s="55">
        <f>ROUNDUP(MAX(I525/IF(BS525&gt;0,BS525,MAX(0.1,N(Cockpit!$C$6))),BV525)/BN525,0)*BN525</f>
        <v/>
      </c>
      <c r="AF525" s="56">
        <f>IF(AC525&gt;0,I525/AC525,-1)</f>
        <v/>
      </c>
      <c r="AG525" s="56">
        <f>IF(AND(OR(BR525="L1",BR525="L23"),AC525&gt;0),SUMIFS($AC$7:$AC$1570,$BR$7:$BR$1570,BR525,$AF$7:$AF$1570,"&gt;"&amp;AF525)+SUMIFS($AC$7:$AC$1570,$BR$7:$BR$1570,BR525,$AF$7:$AF$1570,AF525,$BL$7:$BL$1570,"&lt;="&amp;BL525),"")</f>
        <v/>
      </c>
      <c r="AH525" s="65">
        <f>IF(AG525="",0,MAX(0,MIN(1,(IF(BR525="L1",Parameter!$K$5,Parameter!$K$6+Parameter!$K$7)-(AG525-AC525))/AC525)))</f>
        <v/>
      </c>
      <c r="AI525" s="55">
        <f>IF(LEFT(Cockpit!$I$5,1)="A",G525,IF(BT525=1,BU525,IF(LEFT(Cockpit!$I$5,1)="B",AM525,MAX(AM525,G525))))</f>
        <v/>
      </c>
      <c r="AJ525" s="55">
        <f>IF(BO525=1,0,ROUNDUP(AI525/BN525,0))</f>
        <v/>
      </c>
      <c r="AK525" s="64">
        <f>IF(BO525=1,IF(AI525&lt;=0,0,BP525*MAX(1,IF(G525&gt;0,AI525/G525,1))),AJ525*Q525)</f>
        <v/>
      </c>
      <c r="AL525" s="55">
        <f>AI525*F525</f>
        <v/>
      </c>
      <c r="AM525" s="55">
        <f>ROUNDUP(MAX(I525/IF(BS525&gt;0,BS525,MAX(0.1,N(Cockpit!$I$6))),BV525)/BN525,0)*BN525</f>
        <v/>
      </c>
      <c r="AN525" s="56">
        <f>IF(AK525&gt;0,I525/AK525,-1)</f>
        <v/>
      </c>
      <c r="AO525" s="56">
        <f>IF(AND(OR(BR525="L1",BR525="L23"),AK525&gt;0),SUMIFS($AK$7:$AK$1570,$BR$7:$BR$1570,BR525,$AN$7:$AN$1570,"&gt;"&amp;AN525)+SUMIFS($AK$7:$AK$1570,$BR$7:$BR$1570,BR525,$AN$7:$AN$1570,AN525,$BL$7:$BL$1570,"&lt;="&amp;BL525),"")</f>
        <v/>
      </c>
      <c r="AP525" s="65">
        <f>IF(AO525="",0,MAX(0,MIN(1,(IF(BR525="L1",Parameter!$K$5,Parameter!$K$6+Parameter!$K$7)-(AO525-AK525))/AK525)))</f>
        <v/>
      </c>
      <c r="AQ525" s="55">
        <f>IF(LEFT(Cockpit!$O$5,1)="A",G525,IF(BT525=1,BU525,IF(LEFT(Cockpit!$O$5,1)="B",AU525,MAX(AU525,G525))))</f>
        <v/>
      </c>
      <c r="AR525" s="55">
        <f>IF(BO525=1,0,ROUNDUP(AQ525/BN525,0))</f>
        <v/>
      </c>
      <c r="AS525" s="64">
        <f>IF(BO525=1,IF(AQ525&lt;=0,0,BP525*MAX(1,IF(G525&gt;0,AQ525/G525,1))),AR525*Q525)</f>
        <v/>
      </c>
      <c r="AT525" s="55">
        <f>AQ525*F525</f>
        <v/>
      </c>
      <c r="AU525" s="55">
        <f>ROUNDUP(MAX(I525/IF(BS525&gt;0,BS525,MAX(0.1,N(Cockpit!$O$6))),BV525)/BN525,0)*BN525</f>
        <v/>
      </c>
      <c r="AV525" s="56">
        <f>IF(AS525&gt;0,I525/AS525,-1)</f>
        <v/>
      </c>
      <c r="AW525" s="56">
        <f>IF(AND(OR(BR525="L1",BR525="L23"),AS525&gt;0),SUMIFS($AS$7:$AS$1570,$BR$7:$BR$1570,BR525,$AV$7:$AV$1570,"&gt;"&amp;AV525)+SUMIFS($AS$7:$AS$1570,$BR$7:$BR$1570,BR525,$AV$7:$AV$1570,AV525,$BL$7:$BL$1570,"&lt;="&amp;BL525),"")</f>
        <v/>
      </c>
      <c r="AX525" s="65">
        <f>IF(AW525="",0,MAX(0,MIN(1,(IF(BR525="L1",Parameter!$K$5,Parameter!$K$6+Parameter!$K$7)-(AW525-AS525))/AS525)))</f>
        <v/>
      </c>
      <c r="AY525" s="53">
        <f>IF(AC525&lt;=0,"",IF(BR525="Aussen","Aussenlager",IF(BR525="-","Nicht im Lift",IF(AH525&gt;=1,"Lift",IF(AH525&lt;=0,"Aussenlager","teilweise")))))</f>
        <v/>
      </c>
      <c r="AZ525" s="53">
        <f>IF(AK525&lt;=0,"",IF(BR525="Aussen","Aussenlager",IF(BR525="-","Nicht im Lift",IF(AP525&gt;=1,"Lift",IF(AP525&lt;=0,"Aussenlager","teilweise")))))</f>
        <v/>
      </c>
      <c r="BA525" s="53">
        <f>IF(AS525&lt;=0,"",IF(BR525="Aussen","Aussenlager",IF(BR525="-","Nicht im Lift",IF(AX525&gt;=1,"Lift",IF(AX525&lt;=0,"Aussenlager","teilweise")))))</f>
        <v/>
      </c>
      <c r="BB525" s="53">
        <f>IF(A525="","",IF(BK525=1,"Neu; ","")&amp;IF(AND(BK525=0,BF525&lt;0),"negativer Bestand (Export "&amp;BF525&amp;"); ","")&amp;IF(I525&lt;=0,"Kein Verbrauch; ","")&amp;IF(BO525=1,"Lose – Fläche geschätzt; ","")&amp;IF(G525&gt;AM525,"Überbestand "&amp;ROUND(G525-AM525,0)&amp;" Stk / CHF "&amp;ROUND((G525-AM525)*F525,0)&amp;"; ","")&amp;IF(AND(BT525=1,BU525&lt;BV525),"MAX &lt; MB+LG; ","")&amp;IF(AND(BZ525&gt;0,BY525*10&gt;BZ525),"zu hoch für Tablar; ","")&amp;IF(AND(BK525=0,OR(BT525=1,V525&lt;&gt;"",S525&lt;&gt;"",T525&lt;&gt;"",W525&lt;&gt;"")),"manuell übersteuert; ","")&amp;IF(AND(BO525=0,Q525=0),"Gebinde unbekannt; ","")&amp;IF(AND(BO525=0,N(T525)&lt;=0,N(P525)&lt;=0),"Menge pro Gebinde fehlt (Ist = 1 Gebinde); ","")&amp;BJ525)</f>
        <v/>
      </c>
      <c r="BC525" s="53" t="n"/>
      <c r="BD525" s="53" t="n"/>
      <c r="BE525" s="61" t="n"/>
      <c r="BF525" s="55" t="n">
        <v>200</v>
      </c>
      <c r="BG525" s="55" t="n">
        <v>0</v>
      </c>
      <c r="BH525" s="54" t="n">
        <v>28</v>
      </c>
      <c r="BI525" s="55" t="n">
        <v>200</v>
      </c>
      <c r="BJ525" s="53" t="inlineStr"/>
      <c r="BK525" s="58" t="n">
        <v>0</v>
      </c>
      <c r="BL525" s="58" t="n">
        <v>525</v>
      </c>
      <c r="BM525" s="53">
        <f>IF(S525&lt;&gt;"",UPPER(TRIM(S525)),IF(O525="","LOSE",O525))</f>
        <v/>
      </c>
      <c r="BN525" s="55">
        <f>IF(BM525="LOSE",1,IF(N(T525)&gt;0,T525,IF(N(P525)&gt;0,P525,MAX(1,G525))))</f>
        <v/>
      </c>
      <c r="BO525" s="58">
        <f>IF(BM525="LOSE",1,0)</f>
        <v/>
      </c>
      <c r="BP525" s="64">
        <f>IF(BO525=0,0,IF(N(R525)&gt;0,R525,IFERROR(VLOOKUP(D525,Parameter!$A$35:$C$64,3,0)+0,0)))</f>
        <v/>
      </c>
      <c r="BQ525" s="53">
        <f>IF(V525&lt;&gt;"",V525,U525)</f>
        <v/>
      </c>
      <c r="BR525" s="53">
        <f>IF(BQ525=1,"L1",IF(OR(BQ525=2,BQ525=3),"L23",IF(BQ525="Aussen","Aussen","-")))</f>
        <v/>
      </c>
      <c r="BS525" s="66">
        <f>IF(N(W525)&gt;0,W525,0)</f>
        <v/>
      </c>
      <c r="BT525" s="58">
        <f>IF(ISNUMBER(Z525),1,0)</f>
        <v/>
      </c>
      <c r="BU525" s="55">
        <f>N(Z525)</f>
        <v/>
      </c>
      <c r="BV525" s="55">
        <f>N(L525)+N(M525)</f>
        <v/>
      </c>
      <c r="BW525" s="55">
        <f>ROUNDUP(G525/BN525,0)</f>
        <v/>
      </c>
      <c r="BX525" s="55">
        <f>ROUNDUP(BU525/BN525,0)</f>
        <v/>
      </c>
      <c r="BY525" s="58">
        <f>IF(BO525=1,0,IFERROR(VLOOKUP(BM525,'Gebinde-Kategorie'!$A$5:$G$45,5,0)+0,0))</f>
        <v/>
      </c>
      <c r="BZ525" s="58">
        <f>IFERROR(IF(OR(BQ525=1,BQ525=2,BQ525=3),N(INDEX(Parameter!$I$5:$I$7,BQ525)),0),0)</f>
        <v/>
      </c>
    </row>
    <row r="526">
      <c r="A526" s="53" t="inlineStr">
        <is>
          <t>100286</t>
        </is>
      </c>
      <c r="B526" s="53" t="inlineStr">
        <is>
          <t>Unterlagsscheibe</t>
        </is>
      </c>
      <c r="C526" s="53" t="inlineStr">
        <is>
          <t>F</t>
        </is>
      </c>
      <c r="D526" s="53" t="inlineStr">
        <is>
          <t>KTL</t>
        </is>
      </c>
      <c r="E526" s="53" t="inlineStr">
        <is>
          <t>C</t>
        </is>
      </c>
      <c r="F526" s="54" t="n">
        <v>0.14</v>
      </c>
      <c r="G526" s="55">
        <f>MAX(0,IF(Parameter!$B$20="Jahresanfang 2025 + Export",BG526+BF526,BF526))</f>
        <v/>
      </c>
      <c r="H526" s="55">
        <f>G526*F526</f>
        <v/>
      </c>
      <c r="I526" s="55">
        <f>BI526*Parameter!$B$18</f>
        <v/>
      </c>
      <c r="J526" s="56" t="n">
        <v>237</v>
      </c>
      <c r="K526" s="57" t="n">
        <v>1.654008438818565</v>
      </c>
      <c r="L526" s="55" t="n">
        <v>22</v>
      </c>
      <c r="M526" s="55" t="n">
        <v>400</v>
      </c>
      <c r="N526" s="58" t="n">
        <v>21</v>
      </c>
      <c r="O526" s="53" t="inlineStr">
        <is>
          <t>S51</t>
        </is>
      </c>
      <c r="P526" s="55" t="n">
        <v>219</v>
      </c>
      <c r="Q526" s="59">
        <f>IF(BO526=1,0,IFERROR(VLOOKUP(BM526,'Gebinde-Kategorie'!$A$5:$G$45,6,0)+0,0))</f>
        <v/>
      </c>
      <c r="R526" s="60" t="n"/>
      <c r="S526" s="61" t="n"/>
      <c r="T526" s="61" t="n"/>
      <c r="U526" s="53">
        <f>IF(A526="","",IF(IFERROR(VLOOKUP(D526,Parameter!$A$35:$C$64,2,0),"Nein")="2+3",IF(ISNUMBER(SEARCH("grosser Artikel",BJ526)),2,IFERROR(VLOOKUP(BM526,Parameter!$F$35:$G$64,2,0),2)),IF(OR(IFERROR(VLOOKUP(D526,Parameter!$A$35:$C$64,2,0),"Nein")="Nein",IFERROR(VLOOKUP(D526,Parameter!$A$35:$C$64,2,0),"Nein")=""),"-",VLOOKUP(D526,Parameter!$A$35:$C$64,2,0))))</f>
        <v/>
      </c>
      <c r="V526" s="61" t="n"/>
      <c r="W526" s="62" t="n"/>
      <c r="X526" s="55">
        <f>AM526</f>
        <v/>
      </c>
      <c r="Y526" s="55">
        <f>MAX(AM526,G526)</f>
        <v/>
      </c>
      <c r="Z526" s="63" t="n"/>
      <c r="AA526" s="55">
        <f>IF(LEFT(Cockpit!$C$5,1)="A",G526,IF(BT526=1,BU526,IF(LEFT(Cockpit!$C$5,1)="B",AE526,MAX(AE526,G526))))</f>
        <v/>
      </c>
      <c r="AB526" s="55">
        <f>IF(BO526=1,0,ROUNDUP(AA526/BN526,0))</f>
        <v/>
      </c>
      <c r="AC526" s="64">
        <f>IF(BO526=1,IF(AA526&lt;=0,0,BP526*MAX(1,IF(G526&gt;0,AA526/G526,1))),AB526*Q526)</f>
        <v/>
      </c>
      <c r="AD526" s="55">
        <f>AA526*F526</f>
        <v/>
      </c>
      <c r="AE526" s="55">
        <f>ROUNDUP(MAX(I526/IF(BS526&gt;0,BS526,MAX(0.1,N(Cockpit!$C$6))),BV526)/BN526,0)*BN526</f>
        <v/>
      </c>
      <c r="AF526" s="56">
        <f>IF(AC526&gt;0,I526/AC526,-1)</f>
        <v/>
      </c>
      <c r="AG526" s="56">
        <f>IF(AND(OR(BR526="L1",BR526="L23"),AC526&gt;0),SUMIFS($AC$7:$AC$1570,$BR$7:$BR$1570,BR526,$AF$7:$AF$1570,"&gt;"&amp;AF526)+SUMIFS($AC$7:$AC$1570,$BR$7:$BR$1570,BR526,$AF$7:$AF$1570,AF526,$BL$7:$BL$1570,"&lt;="&amp;BL526),"")</f>
        <v/>
      </c>
      <c r="AH526" s="65">
        <f>IF(AG526="",0,MAX(0,MIN(1,(IF(BR526="L1",Parameter!$K$5,Parameter!$K$6+Parameter!$K$7)-(AG526-AC526))/AC526)))</f>
        <v/>
      </c>
      <c r="AI526" s="55">
        <f>IF(LEFT(Cockpit!$I$5,1)="A",G526,IF(BT526=1,BU526,IF(LEFT(Cockpit!$I$5,1)="B",AM526,MAX(AM526,G526))))</f>
        <v/>
      </c>
      <c r="AJ526" s="55">
        <f>IF(BO526=1,0,ROUNDUP(AI526/BN526,0))</f>
        <v/>
      </c>
      <c r="AK526" s="64">
        <f>IF(BO526=1,IF(AI526&lt;=0,0,BP526*MAX(1,IF(G526&gt;0,AI526/G526,1))),AJ526*Q526)</f>
        <v/>
      </c>
      <c r="AL526" s="55">
        <f>AI526*F526</f>
        <v/>
      </c>
      <c r="AM526" s="55">
        <f>ROUNDUP(MAX(I526/IF(BS526&gt;0,BS526,MAX(0.1,N(Cockpit!$I$6))),BV526)/BN526,0)*BN526</f>
        <v/>
      </c>
      <c r="AN526" s="56">
        <f>IF(AK526&gt;0,I526/AK526,-1)</f>
        <v/>
      </c>
      <c r="AO526" s="56">
        <f>IF(AND(OR(BR526="L1",BR526="L23"),AK526&gt;0),SUMIFS($AK$7:$AK$1570,$BR$7:$BR$1570,BR526,$AN$7:$AN$1570,"&gt;"&amp;AN526)+SUMIFS($AK$7:$AK$1570,$BR$7:$BR$1570,BR526,$AN$7:$AN$1570,AN526,$BL$7:$BL$1570,"&lt;="&amp;BL526),"")</f>
        <v/>
      </c>
      <c r="AP526" s="65">
        <f>IF(AO526="",0,MAX(0,MIN(1,(IF(BR526="L1",Parameter!$K$5,Parameter!$K$6+Parameter!$K$7)-(AO526-AK526))/AK526)))</f>
        <v/>
      </c>
      <c r="AQ526" s="55">
        <f>IF(LEFT(Cockpit!$O$5,1)="A",G526,IF(BT526=1,BU526,IF(LEFT(Cockpit!$O$5,1)="B",AU526,MAX(AU526,G526))))</f>
        <v/>
      </c>
      <c r="AR526" s="55">
        <f>IF(BO526=1,0,ROUNDUP(AQ526/BN526,0))</f>
        <v/>
      </c>
      <c r="AS526" s="64">
        <f>IF(BO526=1,IF(AQ526&lt;=0,0,BP526*MAX(1,IF(G526&gt;0,AQ526/G526,1))),AR526*Q526)</f>
        <v/>
      </c>
      <c r="AT526" s="55">
        <f>AQ526*F526</f>
        <v/>
      </c>
      <c r="AU526" s="55">
        <f>ROUNDUP(MAX(I526/IF(BS526&gt;0,BS526,MAX(0.1,N(Cockpit!$O$6))),BV526)/BN526,0)*BN526</f>
        <v/>
      </c>
      <c r="AV526" s="56">
        <f>IF(AS526&gt;0,I526/AS526,-1)</f>
        <v/>
      </c>
      <c r="AW526" s="56">
        <f>IF(AND(OR(BR526="L1",BR526="L23"),AS526&gt;0),SUMIFS($AS$7:$AS$1570,$BR$7:$BR$1570,BR526,$AV$7:$AV$1570,"&gt;"&amp;AV526)+SUMIFS($AS$7:$AS$1570,$BR$7:$BR$1570,BR526,$AV$7:$AV$1570,AV526,$BL$7:$BL$1570,"&lt;="&amp;BL526),"")</f>
        <v/>
      </c>
      <c r="AX526" s="65">
        <f>IF(AW526="",0,MAX(0,MIN(1,(IF(BR526="L1",Parameter!$K$5,Parameter!$K$6+Parameter!$K$7)-(AW526-AS526))/AS526)))</f>
        <v/>
      </c>
      <c r="AY526" s="53">
        <f>IF(AC526&lt;=0,"",IF(BR526="Aussen","Aussenlager",IF(BR526="-","Nicht im Lift",IF(AH526&gt;=1,"Lift",IF(AH526&lt;=0,"Aussenlager","teilweise")))))</f>
        <v/>
      </c>
      <c r="AZ526" s="53">
        <f>IF(AK526&lt;=0,"",IF(BR526="Aussen","Aussenlager",IF(BR526="-","Nicht im Lift",IF(AP526&gt;=1,"Lift",IF(AP526&lt;=0,"Aussenlager","teilweise")))))</f>
        <v/>
      </c>
      <c r="BA526" s="53">
        <f>IF(AS526&lt;=0,"",IF(BR526="Aussen","Aussenlager",IF(BR526="-","Nicht im Lift",IF(AX526&gt;=1,"Lift",IF(AX526&lt;=0,"Aussenlager","teilweise")))))</f>
        <v/>
      </c>
      <c r="BB526" s="53">
        <f>IF(A526="","",IF(BK526=1,"Neu; ","")&amp;IF(AND(BK526=0,BF526&lt;0),"negativer Bestand (Export "&amp;BF526&amp;"); ","")&amp;IF(I526&lt;=0,"Kein Verbrauch; ","")&amp;IF(BO526=1,"Lose – Fläche geschätzt; ","")&amp;IF(G526&gt;AM526,"Überbestand "&amp;ROUND(G526-AM526,0)&amp;" Stk / CHF "&amp;ROUND((G526-AM526)*F526,0)&amp;"; ","")&amp;IF(AND(BT526=1,BU526&lt;BV526),"MAX &lt; MB+LG; ","")&amp;IF(AND(BZ526&gt;0,BY526*10&gt;BZ526),"zu hoch für Tablar; ","")&amp;IF(AND(BK526=0,OR(BT526=1,V526&lt;&gt;"",S526&lt;&gt;"",T526&lt;&gt;"",W526&lt;&gt;"")),"manuell übersteuert; ","")&amp;IF(AND(BO526=0,Q526=0),"Gebinde unbekannt; ","")&amp;IF(AND(BO526=0,N(T526)&lt;=0,N(P526)&lt;=0),"Menge pro Gebinde fehlt (Ist = 1 Gebinde); ","")&amp;BJ526)</f>
        <v/>
      </c>
      <c r="BC526" s="53" t="n"/>
      <c r="BD526" s="53" t="n"/>
      <c r="BE526" s="61" t="n"/>
      <c r="BF526" s="55" t="n">
        <v>196</v>
      </c>
      <c r="BG526" s="55" t="n">
        <v>239</v>
      </c>
      <c r="BH526" s="54" t="n">
        <v>27.78999999999999</v>
      </c>
      <c r="BI526" s="55" t="n">
        <v>392</v>
      </c>
      <c r="BJ526" s="53" t="inlineStr"/>
      <c r="BK526" s="58" t="n">
        <v>0</v>
      </c>
      <c r="BL526" s="58" t="n">
        <v>526</v>
      </c>
      <c r="BM526" s="53">
        <f>IF(S526&lt;&gt;"",UPPER(TRIM(S526)),IF(O526="","LOSE",O526))</f>
        <v/>
      </c>
      <c r="BN526" s="55">
        <f>IF(BM526="LOSE",1,IF(N(T526)&gt;0,T526,IF(N(P526)&gt;0,P526,MAX(1,G526))))</f>
        <v/>
      </c>
      <c r="BO526" s="58">
        <f>IF(BM526="LOSE",1,0)</f>
        <v/>
      </c>
      <c r="BP526" s="64">
        <f>IF(BO526=0,0,IF(N(R526)&gt;0,R526,IFERROR(VLOOKUP(D526,Parameter!$A$35:$C$64,3,0)+0,0)))</f>
        <v/>
      </c>
      <c r="BQ526" s="53">
        <f>IF(V526&lt;&gt;"",V526,U526)</f>
        <v/>
      </c>
      <c r="BR526" s="53">
        <f>IF(BQ526=1,"L1",IF(OR(BQ526=2,BQ526=3),"L23",IF(BQ526="Aussen","Aussen","-")))</f>
        <v/>
      </c>
      <c r="BS526" s="66">
        <f>IF(N(W526)&gt;0,W526,0)</f>
        <v/>
      </c>
      <c r="BT526" s="58">
        <f>IF(ISNUMBER(Z526),1,0)</f>
        <v/>
      </c>
      <c r="BU526" s="55">
        <f>N(Z526)</f>
        <v/>
      </c>
      <c r="BV526" s="55">
        <f>N(L526)+N(M526)</f>
        <v/>
      </c>
      <c r="BW526" s="55">
        <f>ROUNDUP(G526/BN526,0)</f>
        <v/>
      </c>
      <c r="BX526" s="55">
        <f>ROUNDUP(BU526/BN526,0)</f>
        <v/>
      </c>
      <c r="BY526" s="58">
        <f>IF(BO526=1,0,IFERROR(VLOOKUP(BM526,'Gebinde-Kategorie'!$A$5:$G$45,5,0)+0,0))</f>
        <v/>
      </c>
      <c r="BZ526" s="58">
        <f>IFERROR(IF(OR(BQ526=1,BQ526=2,BQ526=3),N(INDEX(Parameter!$I$5:$I$7,BQ526)),0),0)</f>
        <v/>
      </c>
    </row>
    <row r="527">
      <c r="A527" s="53" t="inlineStr">
        <is>
          <t>105341</t>
        </is>
      </c>
      <c r="B527" s="53" t="inlineStr">
        <is>
          <t>Zylinderschraube mit Innensechskant</t>
        </is>
      </c>
      <c r="C527" s="53" t="inlineStr">
        <is>
          <t>F</t>
        </is>
      </c>
      <c r="D527" s="53" t="inlineStr">
        <is>
          <t>KTL</t>
        </is>
      </c>
      <c r="E527" s="53" t="inlineStr">
        <is>
          <t>C</t>
        </is>
      </c>
      <c r="F527" s="54" t="n">
        <v>0.03</v>
      </c>
      <c r="G527" s="55">
        <f>MAX(0,IF(Parameter!$B$20="Jahresanfang 2025 + Export",BG527+BF527,BF527))</f>
        <v/>
      </c>
      <c r="H527" s="55">
        <f>G527*F527</f>
        <v/>
      </c>
      <c r="I527" s="55">
        <f>BI527*Parameter!$B$18</f>
        <v/>
      </c>
      <c r="J527" s="56" t="n">
        <v>1130</v>
      </c>
      <c r="K527" s="57" t="n">
        <v>2.530973451327434</v>
      </c>
      <c r="L527" s="55" t="n">
        <v>166</v>
      </c>
      <c r="M527" s="55" t="n">
        <v>1500</v>
      </c>
      <c r="N527" s="58" t="n">
        <v>21</v>
      </c>
      <c r="O527" s="53" t="inlineStr">
        <is>
          <t>S33</t>
        </is>
      </c>
      <c r="P527" s="55" t="n">
        <v>920</v>
      </c>
      <c r="Q527" s="59">
        <f>IF(BO527=1,0,IFERROR(VLOOKUP(BM527,'Gebinde-Kategorie'!$A$5:$G$45,6,0)+0,0))</f>
        <v/>
      </c>
      <c r="R527" s="60" t="n"/>
      <c r="S527" s="61" t="n"/>
      <c r="T527" s="61" t="n"/>
      <c r="U527" s="53">
        <f>IF(A527="","",IF(IFERROR(VLOOKUP(D527,Parameter!$A$35:$C$64,2,0),"Nein")="2+3",IF(ISNUMBER(SEARCH("grosser Artikel",BJ527)),2,IFERROR(VLOOKUP(BM527,Parameter!$F$35:$G$64,2,0),2)),IF(OR(IFERROR(VLOOKUP(D527,Parameter!$A$35:$C$64,2,0),"Nein")="Nein",IFERROR(VLOOKUP(D527,Parameter!$A$35:$C$64,2,0),"Nein")=""),"-",VLOOKUP(D527,Parameter!$A$35:$C$64,2,0))))</f>
        <v/>
      </c>
      <c r="V527" s="61" t="n"/>
      <c r="W527" s="62" t="n"/>
      <c r="X527" s="55">
        <f>AM527</f>
        <v/>
      </c>
      <c r="Y527" s="55">
        <f>MAX(AM527,G527)</f>
        <v/>
      </c>
      <c r="Z527" s="63" t="n"/>
      <c r="AA527" s="55">
        <f>IF(LEFT(Cockpit!$C$5,1)="A",G527,IF(BT527=1,BU527,IF(LEFT(Cockpit!$C$5,1)="B",AE527,MAX(AE527,G527))))</f>
        <v/>
      </c>
      <c r="AB527" s="55">
        <f>IF(BO527=1,0,ROUNDUP(AA527/BN527,0))</f>
        <v/>
      </c>
      <c r="AC527" s="64">
        <f>IF(BO527=1,IF(AA527&lt;=0,0,BP527*MAX(1,IF(G527&gt;0,AA527/G527,1))),AB527*Q527)</f>
        <v/>
      </c>
      <c r="AD527" s="55">
        <f>AA527*F527</f>
        <v/>
      </c>
      <c r="AE527" s="55">
        <f>ROUNDUP(MAX(I527/IF(BS527&gt;0,BS527,MAX(0.1,N(Cockpit!$C$6))),BV527)/BN527,0)*BN527</f>
        <v/>
      </c>
      <c r="AF527" s="56">
        <f>IF(AC527&gt;0,I527/AC527,-1)</f>
        <v/>
      </c>
      <c r="AG527" s="56">
        <f>IF(AND(OR(BR527="L1",BR527="L23"),AC527&gt;0),SUMIFS($AC$7:$AC$1570,$BR$7:$BR$1570,BR527,$AF$7:$AF$1570,"&gt;"&amp;AF527)+SUMIFS($AC$7:$AC$1570,$BR$7:$BR$1570,BR527,$AF$7:$AF$1570,AF527,$BL$7:$BL$1570,"&lt;="&amp;BL527),"")</f>
        <v/>
      </c>
      <c r="AH527" s="65">
        <f>IF(AG527="",0,MAX(0,MIN(1,(IF(BR527="L1",Parameter!$K$5,Parameter!$K$6+Parameter!$K$7)-(AG527-AC527))/AC527)))</f>
        <v/>
      </c>
      <c r="AI527" s="55">
        <f>IF(LEFT(Cockpit!$I$5,1)="A",G527,IF(BT527=1,BU527,IF(LEFT(Cockpit!$I$5,1)="B",AM527,MAX(AM527,G527))))</f>
        <v/>
      </c>
      <c r="AJ527" s="55">
        <f>IF(BO527=1,0,ROUNDUP(AI527/BN527,0))</f>
        <v/>
      </c>
      <c r="AK527" s="64">
        <f>IF(BO527=1,IF(AI527&lt;=0,0,BP527*MAX(1,IF(G527&gt;0,AI527/G527,1))),AJ527*Q527)</f>
        <v/>
      </c>
      <c r="AL527" s="55">
        <f>AI527*F527</f>
        <v/>
      </c>
      <c r="AM527" s="55">
        <f>ROUNDUP(MAX(I527/IF(BS527&gt;0,BS527,MAX(0.1,N(Cockpit!$I$6))),BV527)/BN527,0)*BN527</f>
        <v/>
      </c>
      <c r="AN527" s="56">
        <f>IF(AK527&gt;0,I527/AK527,-1)</f>
        <v/>
      </c>
      <c r="AO527" s="56">
        <f>IF(AND(OR(BR527="L1",BR527="L23"),AK527&gt;0),SUMIFS($AK$7:$AK$1570,$BR$7:$BR$1570,BR527,$AN$7:$AN$1570,"&gt;"&amp;AN527)+SUMIFS($AK$7:$AK$1570,$BR$7:$BR$1570,BR527,$AN$7:$AN$1570,AN527,$BL$7:$BL$1570,"&lt;="&amp;BL527),"")</f>
        <v/>
      </c>
      <c r="AP527" s="65">
        <f>IF(AO527="",0,MAX(0,MIN(1,(IF(BR527="L1",Parameter!$K$5,Parameter!$K$6+Parameter!$K$7)-(AO527-AK527))/AK527)))</f>
        <v/>
      </c>
      <c r="AQ527" s="55">
        <f>IF(LEFT(Cockpit!$O$5,1)="A",G527,IF(BT527=1,BU527,IF(LEFT(Cockpit!$O$5,1)="B",AU527,MAX(AU527,G527))))</f>
        <v/>
      </c>
      <c r="AR527" s="55">
        <f>IF(BO527=1,0,ROUNDUP(AQ527/BN527,0))</f>
        <v/>
      </c>
      <c r="AS527" s="64">
        <f>IF(BO527=1,IF(AQ527&lt;=0,0,BP527*MAX(1,IF(G527&gt;0,AQ527/G527,1))),AR527*Q527)</f>
        <v/>
      </c>
      <c r="AT527" s="55">
        <f>AQ527*F527</f>
        <v/>
      </c>
      <c r="AU527" s="55">
        <f>ROUNDUP(MAX(I527/IF(BS527&gt;0,BS527,MAX(0.1,N(Cockpit!$O$6))),BV527)/BN527,0)*BN527</f>
        <v/>
      </c>
      <c r="AV527" s="56">
        <f>IF(AS527&gt;0,I527/AS527,-1)</f>
        <v/>
      </c>
      <c r="AW527" s="56">
        <f>IF(AND(OR(BR527="L1",BR527="L23"),AS527&gt;0),SUMIFS($AS$7:$AS$1570,$BR$7:$BR$1570,BR527,$AV$7:$AV$1570,"&gt;"&amp;AV527)+SUMIFS($AS$7:$AS$1570,$BR$7:$BR$1570,BR527,$AV$7:$AV$1570,AV527,$BL$7:$BL$1570,"&lt;="&amp;BL527),"")</f>
        <v/>
      </c>
      <c r="AX527" s="65">
        <f>IF(AW527="",0,MAX(0,MIN(1,(IF(BR527="L1",Parameter!$K$5,Parameter!$K$6+Parameter!$K$7)-(AW527-AS527))/AS527)))</f>
        <v/>
      </c>
      <c r="AY527" s="53">
        <f>IF(AC527&lt;=0,"",IF(BR527="Aussen","Aussenlager",IF(BR527="-","Nicht im Lift",IF(AH527&gt;=1,"Lift",IF(AH527&lt;=0,"Aussenlager","teilweise")))))</f>
        <v/>
      </c>
      <c r="AZ527" s="53">
        <f>IF(AK527&lt;=0,"",IF(BR527="Aussen","Aussenlager",IF(BR527="-","Nicht im Lift",IF(AP527&gt;=1,"Lift",IF(AP527&lt;=0,"Aussenlager","teilweise")))))</f>
        <v/>
      </c>
      <c r="BA527" s="53">
        <f>IF(AS527&lt;=0,"",IF(BR527="Aussen","Aussenlager",IF(BR527="-","Nicht im Lift",IF(AX527&gt;=1,"Lift",IF(AX527&lt;=0,"Aussenlager","teilweise")))))</f>
        <v/>
      </c>
      <c r="BB527" s="53">
        <f>IF(A527="","",IF(BK527=1,"Neu; ","")&amp;IF(AND(BK527=0,BF527&lt;0),"negativer Bestand (Export "&amp;BF527&amp;"); ","")&amp;IF(I527&lt;=0,"Kein Verbrauch; ","")&amp;IF(BO527=1,"Lose – Fläche geschätzt; ","")&amp;IF(G527&gt;AM527,"Überbestand "&amp;ROUND(G527-AM527,0)&amp;" Stk / CHF "&amp;ROUND((G527-AM527)*F527,0)&amp;"; ","")&amp;IF(AND(BT527=1,BU527&lt;BV527),"MAX &lt; MB+LG; ","")&amp;IF(AND(BZ527&gt;0,BY527*10&gt;BZ527),"zu hoch für Tablar; ","")&amp;IF(AND(BK527=0,OR(BT527=1,V527&lt;&gt;"",S527&lt;&gt;"",T527&lt;&gt;"",W527&lt;&gt;"")),"manuell übersteuert; ","")&amp;IF(AND(BO527=0,Q527=0),"Gebinde unbekannt; ","")&amp;IF(AND(BO527=0,N(T527)&lt;=0,N(P527)&lt;=0),"Menge pro Gebinde fehlt (Ist = 1 Gebinde); ","")&amp;BJ527)</f>
        <v/>
      </c>
      <c r="BC527" s="53" t="n"/>
      <c r="BD527" s="53" t="n"/>
      <c r="BE527" s="61" t="n"/>
      <c r="BF527" s="55" t="n">
        <v>920</v>
      </c>
      <c r="BG527" s="55" t="n">
        <v>1166</v>
      </c>
      <c r="BH527" s="54" t="n">
        <v>27.59999999999999</v>
      </c>
      <c r="BI527" s="55" t="n">
        <v>2860</v>
      </c>
      <c r="BJ527" s="53" t="inlineStr"/>
      <c r="BK527" s="58" t="n">
        <v>0</v>
      </c>
      <c r="BL527" s="58" t="n">
        <v>527</v>
      </c>
      <c r="BM527" s="53">
        <f>IF(S527&lt;&gt;"",UPPER(TRIM(S527)),IF(O527="","LOSE",O527))</f>
        <v/>
      </c>
      <c r="BN527" s="55">
        <f>IF(BM527="LOSE",1,IF(N(T527)&gt;0,T527,IF(N(P527)&gt;0,P527,MAX(1,G527))))</f>
        <v/>
      </c>
      <c r="BO527" s="58">
        <f>IF(BM527="LOSE",1,0)</f>
        <v/>
      </c>
      <c r="BP527" s="64">
        <f>IF(BO527=0,0,IF(N(R527)&gt;0,R527,IFERROR(VLOOKUP(D527,Parameter!$A$35:$C$64,3,0)+0,0)))</f>
        <v/>
      </c>
      <c r="BQ527" s="53">
        <f>IF(V527&lt;&gt;"",V527,U527)</f>
        <v/>
      </c>
      <c r="BR527" s="53">
        <f>IF(BQ527=1,"L1",IF(OR(BQ527=2,BQ527=3),"L23",IF(BQ527="Aussen","Aussen","-")))</f>
        <v/>
      </c>
      <c r="BS527" s="66">
        <f>IF(N(W527)&gt;0,W527,0)</f>
        <v/>
      </c>
      <c r="BT527" s="58">
        <f>IF(ISNUMBER(Z527),1,0)</f>
        <v/>
      </c>
      <c r="BU527" s="55">
        <f>N(Z527)</f>
        <v/>
      </c>
      <c r="BV527" s="55">
        <f>N(L527)+N(M527)</f>
        <v/>
      </c>
      <c r="BW527" s="55">
        <f>ROUNDUP(G527/BN527,0)</f>
        <v/>
      </c>
      <c r="BX527" s="55">
        <f>ROUNDUP(BU527/BN527,0)</f>
        <v/>
      </c>
      <c r="BY527" s="58">
        <f>IF(BO527=1,0,IFERROR(VLOOKUP(BM527,'Gebinde-Kategorie'!$A$5:$G$45,5,0)+0,0))</f>
        <v/>
      </c>
      <c r="BZ527" s="58">
        <f>IFERROR(IF(OR(BQ527=1,BQ527=2,BQ527=3),N(INDEX(Parameter!$I$5:$I$7,BQ527)),0),0)</f>
        <v/>
      </c>
    </row>
    <row r="528">
      <c r="A528" s="53" t="inlineStr">
        <is>
          <t>111650</t>
        </is>
      </c>
      <c r="B528" s="53" t="inlineStr">
        <is>
          <t>Körner</t>
        </is>
      </c>
      <c r="C528" s="53" t="inlineStr">
        <is>
          <t>F</t>
        </is>
      </c>
      <c r="D528" s="53" t="inlineStr">
        <is>
          <t>PAL</t>
        </is>
      </c>
      <c r="E528" s="53" t="inlineStr">
        <is>
          <t>C</t>
        </is>
      </c>
      <c r="F528" s="54" t="n">
        <v>1.36</v>
      </c>
      <c r="G528" s="55">
        <f>MAX(0,IF(Parameter!$B$20="Jahresanfang 2025 + Export",BG528+BF528,BF528))</f>
        <v/>
      </c>
      <c r="H528" s="55">
        <f>G528*F528</f>
        <v/>
      </c>
      <c r="I528" s="55">
        <f>BI528*Parameter!$B$18</f>
        <v/>
      </c>
      <c r="J528" s="56" t="n">
        <v>0</v>
      </c>
      <c r="K528" s="57" t="n">
        <v>0</v>
      </c>
      <c r="L528" s="55" t="n">
        <v>0</v>
      </c>
      <c r="M528" s="55" t="n">
        <v>20</v>
      </c>
      <c r="N528" s="58" t="n">
        <v>28</v>
      </c>
      <c r="O528" s="53" t="inlineStr">
        <is>
          <t>LOSE</t>
        </is>
      </c>
      <c r="P528" s="55" t="n"/>
      <c r="Q528" s="59">
        <f>IF(BO528=1,0,IFERROR(VLOOKUP(BM528,'Gebinde-Kategorie'!$A$5:$G$45,6,0)+0,0))</f>
        <v/>
      </c>
      <c r="R528" s="60" t="n"/>
      <c r="S528" s="61" t="n"/>
      <c r="T528" s="61" t="n"/>
      <c r="U528" s="53">
        <f>IF(A528="","",IF(IFERROR(VLOOKUP(D528,Parameter!$A$35:$C$64,2,0),"Nein")="2+3",IF(ISNUMBER(SEARCH("grosser Artikel",BJ528)),2,IFERROR(VLOOKUP(BM528,Parameter!$F$35:$G$64,2,0),2)),IF(OR(IFERROR(VLOOKUP(D528,Parameter!$A$35:$C$64,2,0),"Nein")="Nein",IFERROR(VLOOKUP(D528,Parameter!$A$35:$C$64,2,0),"Nein")=""),"-",VLOOKUP(D528,Parameter!$A$35:$C$64,2,0))))</f>
        <v/>
      </c>
      <c r="V528" s="61" t="n"/>
      <c r="W528" s="62" t="n"/>
      <c r="X528" s="55">
        <f>AM528</f>
        <v/>
      </c>
      <c r="Y528" s="55">
        <f>MAX(AM528,G528)</f>
        <v/>
      </c>
      <c r="Z528" s="63" t="n"/>
      <c r="AA528" s="55">
        <f>IF(LEFT(Cockpit!$C$5,1)="A",G528,IF(BT528=1,BU528,IF(LEFT(Cockpit!$C$5,1)="B",AE528,MAX(AE528,G528))))</f>
        <v/>
      </c>
      <c r="AB528" s="55">
        <f>IF(BO528=1,0,ROUNDUP(AA528/BN528,0))</f>
        <v/>
      </c>
      <c r="AC528" s="64">
        <f>IF(BO528=1,IF(AA528&lt;=0,0,BP528*MAX(1,IF(G528&gt;0,AA528/G528,1))),AB528*Q528)</f>
        <v/>
      </c>
      <c r="AD528" s="55">
        <f>AA528*F528</f>
        <v/>
      </c>
      <c r="AE528" s="55">
        <f>ROUNDUP(MAX(I528/IF(BS528&gt;0,BS528,MAX(0.1,N(Cockpit!$C$6))),BV528)/BN528,0)*BN528</f>
        <v/>
      </c>
      <c r="AF528" s="56">
        <f>IF(AC528&gt;0,I528/AC528,-1)</f>
        <v/>
      </c>
      <c r="AG528" s="56">
        <f>IF(AND(OR(BR528="L1",BR528="L23"),AC528&gt;0),SUMIFS($AC$7:$AC$1570,$BR$7:$BR$1570,BR528,$AF$7:$AF$1570,"&gt;"&amp;AF528)+SUMIFS($AC$7:$AC$1570,$BR$7:$BR$1570,BR528,$AF$7:$AF$1570,AF528,$BL$7:$BL$1570,"&lt;="&amp;BL528),"")</f>
        <v/>
      </c>
      <c r="AH528" s="65">
        <f>IF(AG528="",0,MAX(0,MIN(1,(IF(BR528="L1",Parameter!$K$5,Parameter!$K$6+Parameter!$K$7)-(AG528-AC528))/AC528)))</f>
        <v/>
      </c>
      <c r="AI528" s="55">
        <f>IF(LEFT(Cockpit!$I$5,1)="A",G528,IF(BT528=1,BU528,IF(LEFT(Cockpit!$I$5,1)="B",AM528,MAX(AM528,G528))))</f>
        <v/>
      </c>
      <c r="AJ528" s="55">
        <f>IF(BO528=1,0,ROUNDUP(AI528/BN528,0))</f>
        <v/>
      </c>
      <c r="AK528" s="64">
        <f>IF(BO528=1,IF(AI528&lt;=0,0,BP528*MAX(1,IF(G528&gt;0,AI528/G528,1))),AJ528*Q528)</f>
        <v/>
      </c>
      <c r="AL528" s="55">
        <f>AI528*F528</f>
        <v/>
      </c>
      <c r="AM528" s="55">
        <f>ROUNDUP(MAX(I528/IF(BS528&gt;0,BS528,MAX(0.1,N(Cockpit!$I$6))),BV528)/BN528,0)*BN528</f>
        <v/>
      </c>
      <c r="AN528" s="56">
        <f>IF(AK528&gt;0,I528/AK528,-1)</f>
        <v/>
      </c>
      <c r="AO528" s="56">
        <f>IF(AND(OR(BR528="L1",BR528="L23"),AK528&gt;0),SUMIFS($AK$7:$AK$1570,$BR$7:$BR$1570,BR528,$AN$7:$AN$1570,"&gt;"&amp;AN528)+SUMIFS($AK$7:$AK$1570,$BR$7:$BR$1570,BR528,$AN$7:$AN$1570,AN528,$BL$7:$BL$1570,"&lt;="&amp;BL528),"")</f>
        <v/>
      </c>
      <c r="AP528" s="65">
        <f>IF(AO528="",0,MAX(0,MIN(1,(IF(BR528="L1",Parameter!$K$5,Parameter!$K$6+Parameter!$K$7)-(AO528-AK528))/AK528)))</f>
        <v/>
      </c>
      <c r="AQ528" s="55">
        <f>IF(LEFT(Cockpit!$O$5,1)="A",G528,IF(BT528=1,BU528,IF(LEFT(Cockpit!$O$5,1)="B",AU528,MAX(AU528,G528))))</f>
        <v/>
      </c>
      <c r="AR528" s="55">
        <f>IF(BO528=1,0,ROUNDUP(AQ528/BN528,0))</f>
        <v/>
      </c>
      <c r="AS528" s="64">
        <f>IF(BO528=1,IF(AQ528&lt;=0,0,BP528*MAX(1,IF(G528&gt;0,AQ528/G528,1))),AR528*Q528)</f>
        <v/>
      </c>
      <c r="AT528" s="55">
        <f>AQ528*F528</f>
        <v/>
      </c>
      <c r="AU528" s="55">
        <f>ROUNDUP(MAX(I528/IF(BS528&gt;0,BS528,MAX(0.1,N(Cockpit!$O$6))),BV528)/BN528,0)*BN528</f>
        <v/>
      </c>
      <c r="AV528" s="56">
        <f>IF(AS528&gt;0,I528/AS528,-1)</f>
        <v/>
      </c>
      <c r="AW528" s="56">
        <f>IF(AND(OR(BR528="L1",BR528="L23"),AS528&gt;0),SUMIFS($AS$7:$AS$1570,$BR$7:$BR$1570,BR528,$AV$7:$AV$1570,"&gt;"&amp;AV528)+SUMIFS($AS$7:$AS$1570,$BR$7:$BR$1570,BR528,$AV$7:$AV$1570,AV528,$BL$7:$BL$1570,"&lt;="&amp;BL528),"")</f>
        <v/>
      </c>
      <c r="AX528" s="65">
        <f>IF(AW528="",0,MAX(0,MIN(1,(IF(BR528="L1",Parameter!$K$5,Parameter!$K$6+Parameter!$K$7)-(AW528-AS528))/AS528)))</f>
        <v/>
      </c>
      <c r="AY528" s="53">
        <f>IF(AC528&lt;=0,"",IF(BR528="Aussen","Aussenlager",IF(BR528="-","Nicht im Lift",IF(AH528&gt;=1,"Lift",IF(AH528&lt;=0,"Aussenlager","teilweise")))))</f>
        <v/>
      </c>
      <c r="AZ528" s="53">
        <f>IF(AK528&lt;=0,"",IF(BR528="Aussen","Aussenlager",IF(BR528="-","Nicht im Lift",IF(AP528&gt;=1,"Lift",IF(AP528&lt;=0,"Aussenlager","teilweise")))))</f>
        <v/>
      </c>
      <c r="BA528" s="53">
        <f>IF(AS528&lt;=0,"",IF(BR528="Aussen","Aussenlager",IF(BR528="-","Nicht im Lift",IF(AX528&gt;=1,"Lift",IF(AX528&lt;=0,"Aussenlager","teilweise")))))</f>
        <v/>
      </c>
      <c r="BB528" s="53">
        <f>IF(A528="","",IF(BK528=1,"Neu; ","")&amp;IF(AND(BK528=0,BF528&lt;0),"negativer Bestand (Export "&amp;BF528&amp;"); ","")&amp;IF(I528&lt;=0,"Kein Verbrauch; ","")&amp;IF(BO528=1,"Lose – Fläche geschätzt; ","")&amp;IF(G528&gt;AM528,"Überbestand "&amp;ROUND(G528-AM528,0)&amp;" Stk / CHF "&amp;ROUND((G528-AM528)*F528,0)&amp;"; ","")&amp;IF(AND(BT528=1,BU528&lt;BV528),"MAX &lt; MB+LG; ","")&amp;IF(AND(BZ528&gt;0,BY528*10&gt;BZ528),"zu hoch für Tablar; ","")&amp;IF(AND(BK528=0,OR(BT528=1,V528&lt;&gt;"",S528&lt;&gt;"",T528&lt;&gt;"",W528&lt;&gt;"")),"manuell übersteuert; ","")&amp;IF(AND(BO528=0,Q528=0),"Gebinde unbekannt; ","")&amp;IF(AND(BO528=0,N(T528)&lt;=0,N(P528)&lt;=0),"Menge pro Gebinde fehlt (Ist = 1 Gebinde); ","")&amp;BJ528)</f>
        <v/>
      </c>
      <c r="BC528" s="53" t="n"/>
      <c r="BD528" s="53" t="n"/>
      <c r="BE528" s="61" t="n"/>
      <c r="BF528" s="55" t="n">
        <v>20</v>
      </c>
      <c r="BG528" s="55" t="n">
        <v>0</v>
      </c>
      <c r="BH528" s="54" t="n">
        <v>27.2</v>
      </c>
      <c r="BI528" s="55" t="n">
        <v>0</v>
      </c>
      <c r="BJ528" s="53" t="inlineStr"/>
      <c r="BK528" s="58" t="n">
        <v>0</v>
      </c>
      <c r="BL528" s="58" t="n">
        <v>528</v>
      </c>
      <c r="BM528" s="53">
        <f>IF(S528&lt;&gt;"",UPPER(TRIM(S528)),IF(O528="","LOSE",O528))</f>
        <v/>
      </c>
      <c r="BN528" s="55">
        <f>IF(BM528="LOSE",1,IF(N(T528)&gt;0,T528,IF(N(P528)&gt;0,P528,MAX(1,G528))))</f>
        <v/>
      </c>
      <c r="BO528" s="58">
        <f>IF(BM528="LOSE",1,0)</f>
        <v/>
      </c>
      <c r="BP528" s="64">
        <f>IF(BO528=0,0,IF(N(R528)&gt;0,R528,IFERROR(VLOOKUP(D528,Parameter!$A$35:$C$64,3,0)+0,0)))</f>
        <v/>
      </c>
      <c r="BQ528" s="53">
        <f>IF(V528&lt;&gt;"",V528,U528)</f>
        <v/>
      </c>
      <c r="BR528" s="53">
        <f>IF(BQ528=1,"L1",IF(OR(BQ528=2,BQ528=3),"L23",IF(BQ528="Aussen","Aussen","-")))</f>
        <v/>
      </c>
      <c r="BS528" s="66">
        <f>IF(N(W528)&gt;0,W528,0)</f>
        <v/>
      </c>
      <c r="BT528" s="58">
        <f>IF(ISNUMBER(Z528),1,0)</f>
        <v/>
      </c>
      <c r="BU528" s="55">
        <f>N(Z528)</f>
        <v/>
      </c>
      <c r="BV528" s="55">
        <f>N(L528)+N(M528)</f>
        <v/>
      </c>
      <c r="BW528" s="55">
        <f>ROUNDUP(G528/BN528,0)</f>
        <v/>
      </c>
      <c r="BX528" s="55">
        <f>ROUNDUP(BU528/BN528,0)</f>
        <v/>
      </c>
      <c r="BY528" s="58">
        <f>IF(BO528=1,0,IFERROR(VLOOKUP(BM528,'Gebinde-Kategorie'!$A$5:$G$45,5,0)+0,0))</f>
        <v/>
      </c>
      <c r="BZ528" s="58">
        <f>IFERROR(IF(OR(BQ528=1,BQ528=2,BQ528=3),N(INDEX(Parameter!$I$5:$I$7,BQ528)),0),0)</f>
        <v/>
      </c>
    </row>
    <row r="529">
      <c r="A529" s="53" t="inlineStr">
        <is>
          <t>111728</t>
        </is>
      </c>
      <c r="B529" s="53" t="inlineStr">
        <is>
          <t>Kardangelenk</t>
        </is>
      </c>
      <c r="C529" s="53" t="inlineStr">
        <is>
          <t>F</t>
        </is>
      </c>
      <c r="D529" s="53" t="inlineStr">
        <is>
          <t>PAL</t>
        </is>
      </c>
      <c r="E529" s="53" t="inlineStr">
        <is>
          <t>C</t>
        </is>
      </c>
      <c r="F529" s="54" t="n">
        <v>25.55</v>
      </c>
      <c r="G529" s="55">
        <f>MAX(0,IF(Parameter!$B$20="Jahresanfang 2025 + Export",BG529+BF529,BF529))</f>
        <v/>
      </c>
      <c r="H529" s="55">
        <f>G529*F529</f>
        <v/>
      </c>
      <c r="I529" s="55">
        <f>BI529*Parameter!$B$18</f>
        <v/>
      </c>
      <c r="J529" s="56" t="n">
        <v>0</v>
      </c>
      <c r="K529" s="57" t="n">
        <v>0</v>
      </c>
      <c r="L529" s="55" t="n">
        <v>0</v>
      </c>
      <c r="M529" s="55" t="n">
        <v>1</v>
      </c>
      <c r="N529" s="58" t="n">
        <v>21</v>
      </c>
      <c r="O529" s="53" t="inlineStr">
        <is>
          <t>LOSE</t>
        </is>
      </c>
      <c r="P529" s="55" t="n"/>
      <c r="Q529" s="59">
        <f>IF(BO529=1,0,IFERROR(VLOOKUP(BM529,'Gebinde-Kategorie'!$A$5:$G$45,6,0)+0,0))</f>
        <v/>
      </c>
      <c r="R529" s="60" t="n"/>
      <c r="S529" s="61" t="n"/>
      <c r="T529" s="61" t="n"/>
      <c r="U529" s="53">
        <f>IF(A529="","",IF(IFERROR(VLOOKUP(D529,Parameter!$A$35:$C$64,2,0),"Nein")="2+3",IF(ISNUMBER(SEARCH("grosser Artikel",BJ529)),2,IFERROR(VLOOKUP(BM529,Parameter!$F$35:$G$64,2,0),2)),IF(OR(IFERROR(VLOOKUP(D529,Parameter!$A$35:$C$64,2,0),"Nein")="Nein",IFERROR(VLOOKUP(D529,Parameter!$A$35:$C$64,2,0),"Nein")=""),"-",VLOOKUP(D529,Parameter!$A$35:$C$64,2,0))))</f>
        <v/>
      </c>
      <c r="V529" s="61" t="n"/>
      <c r="W529" s="62" t="n"/>
      <c r="X529" s="55">
        <f>AM529</f>
        <v/>
      </c>
      <c r="Y529" s="55">
        <f>MAX(AM529,G529)</f>
        <v/>
      </c>
      <c r="Z529" s="63" t="n"/>
      <c r="AA529" s="55">
        <f>IF(LEFT(Cockpit!$C$5,1)="A",G529,IF(BT529=1,BU529,IF(LEFT(Cockpit!$C$5,1)="B",AE529,MAX(AE529,G529))))</f>
        <v/>
      </c>
      <c r="AB529" s="55">
        <f>IF(BO529=1,0,ROUNDUP(AA529/BN529,0))</f>
        <v/>
      </c>
      <c r="AC529" s="64">
        <f>IF(BO529=1,IF(AA529&lt;=0,0,BP529*MAX(1,IF(G529&gt;0,AA529/G529,1))),AB529*Q529)</f>
        <v/>
      </c>
      <c r="AD529" s="55">
        <f>AA529*F529</f>
        <v/>
      </c>
      <c r="AE529" s="55">
        <f>ROUNDUP(MAX(I529/IF(BS529&gt;0,BS529,MAX(0.1,N(Cockpit!$C$6))),BV529)/BN529,0)*BN529</f>
        <v/>
      </c>
      <c r="AF529" s="56">
        <f>IF(AC529&gt;0,I529/AC529,-1)</f>
        <v/>
      </c>
      <c r="AG529" s="56">
        <f>IF(AND(OR(BR529="L1",BR529="L23"),AC529&gt;0),SUMIFS($AC$7:$AC$1570,$BR$7:$BR$1570,BR529,$AF$7:$AF$1570,"&gt;"&amp;AF529)+SUMIFS($AC$7:$AC$1570,$BR$7:$BR$1570,BR529,$AF$7:$AF$1570,AF529,$BL$7:$BL$1570,"&lt;="&amp;BL529),"")</f>
        <v/>
      </c>
      <c r="AH529" s="65">
        <f>IF(AG529="",0,MAX(0,MIN(1,(IF(BR529="L1",Parameter!$K$5,Parameter!$K$6+Parameter!$K$7)-(AG529-AC529))/AC529)))</f>
        <v/>
      </c>
      <c r="AI529" s="55">
        <f>IF(LEFT(Cockpit!$I$5,1)="A",G529,IF(BT529=1,BU529,IF(LEFT(Cockpit!$I$5,1)="B",AM529,MAX(AM529,G529))))</f>
        <v/>
      </c>
      <c r="AJ529" s="55">
        <f>IF(BO529=1,0,ROUNDUP(AI529/BN529,0))</f>
        <v/>
      </c>
      <c r="AK529" s="64">
        <f>IF(BO529=1,IF(AI529&lt;=0,0,BP529*MAX(1,IF(G529&gt;0,AI529/G529,1))),AJ529*Q529)</f>
        <v/>
      </c>
      <c r="AL529" s="55">
        <f>AI529*F529</f>
        <v/>
      </c>
      <c r="AM529" s="55">
        <f>ROUNDUP(MAX(I529/IF(BS529&gt;0,BS529,MAX(0.1,N(Cockpit!$I$6))),BV529)/BN529,0)*BN529</f>
        <v/>
      </c>
      <c r="AN529" s="56">
        <f>IF(AK529&gt;0,I529/AK529,-1)</f>
        <v/>
      </c>
      <c r="AO529" s="56">
        <f>IF(AND(OR(BR529="L1",BR529="L23"),AK529&gt;0),SUMIFS($AK$7:$AK$1570,$BR$7:$BR$1570,BR529,$AN$7:$AN$1570,"&gt;"&amp;AN529)+SUMIFS($AK$7:$AK$1570,$BR$7:$BR$1570,BR529,$AN$7:$AN$1570,AN529,$BL$7:$BL$1570,"&lt;="&amp;BL529),"")</f>
        <v/>
      </c>
      <c r="AP529" s="65">
        <f>IF(AO529="",0,MAX(0,MIN(1,(IF(BR529="L1",Parameter!$K$5,Parameter!$K$6+Parameter!$K$7)-(AO529-AK529))/AK529)))</f>
        <v/>
      </c>
      <c r="AQ529" s="55">
        <f>IF(LEFT(Cockpit!$O$5,1)="A",G529,IF(BT529=1,BU529,IF(LEFT(Cockpit!$O$5,1)="B",AU529,MAX(AU529,G529))))</f>
        <v/>
      </c>
      <c r="AR529" s="55">
        <f>IF(BO529=1,0,ROUNDUP(AQ529/BN529,0))</f>
        <v/>
      </c>
      <c r="AS529" s="64">
        <f>IF(BO529=1,IF(AQ529&lt;=0,0,BP529*MAX(1,IF(G529&gt;0,AQ529/G529,1))),AR529*Q529)</f>
        <v/>
      </c>
      <c r="AT529" s="55">
        <f>AQ529*F529</f>
        <v/>
      </c>
      <c r="AU529" s="55">
        <f>ROUNDUP(MAX(I529/IF(BS529&gt;0,BS529,MAX(0.1,N(Cockpit!$O$6))),BV529)/BN529,0)*BN529</f>
        <v/>
      </c>
      <c r="AV529" s="56">
        <f>IF(AS529&gt;0,I529/AS529,-1)</f>
        <v/>
      </c>
      <c r="AW529" s="56">
        <f>IF(AND(OR(BR529="L1",BR529="L23"),AS529&gt;0),SUMIFS($AS$7:$AS$1570,$BR$7:$BR$1570,BR529,$AV$7:$AV$1570,"&gt;"&amp;AV529)+SUMIFS($AS$7:$AS$1570,$BR$7:$BR$1570,BR529,$AV$7:$AV$1570,AV529,$BL$7:$BL$1570,"&lt;="&amp;BL529),"")</f>
        <v/>
      </c>
      <c r="AX529" s="65">
        <f>IF(AW529="",0,MAX(0,MIN(1,(IF(BR529="L1",Parameter!$K$5,Parameter!$K$6+Parameter!$K$7)-(AW529-AS529))/AS529)))</f>
        <v/>
      </c>
      <c r="AY529" s="53">
        <f>IF(AC529&lt;=0,"",IF(BR529="Aussen","Aussenlager",IF(BR529="-","Nicht im Lift",IF(AH529&gt;=1,"Lift",IF(AH529&lt;=0,"Aussenlager","teilweise")))))</f>
        <v/>
      </c>
      <c r="AZ529" s="53">
        <f>IF(AK529&lt;=0,"",IF(BR529="Aussen","Aussenlager",IF(BR529="-","Nicht im Lift",IF(AP529&gt;=1,"Lift",IF(AP529&lt;=0,"Aussenlager","teilweise")))))</f>
        <v/>
      </c>
      <c r="BA529" s="53">
        <f>IF(AS529&lt;=0,"",IF(BR529="Aussen","Aussenlager",IF(BR529="-","Nicht im Lift",IF(AX529&gt;=1,"Lift",IF(AX529&lt;=0,"Aussenlager","teilweise")))))</f>
        <v/>
      </c>
      <c r="BB529" s="53">
        <f>IF(A529="","",IF(BK529=1,"Neu; ","")&amp;IF(AND(BK529=0,BF529&lt;0),"negativer Bestand (Export "&amp;BF529&amp;"); ","")&amp;IF(I529&lt;=0,"Kein Verbrauch; ","")&amp;IF(BO529=1,"Lose – Fläche geschätzt; ","")&amp;IF(G529&gt;AM529,"Überbestand "&amp;ROUND(G529-AM529,0)&amp;" Stk / CHF "&amp;ROUND((G529-AM529)*F529,0)&amp;"; ","")&amp;IF(AND(BT529=1,BU529&lt;BV529),"MAX &lt; MB+LG; ","")&amp;IF(AND(BZ529&gt;0,BY529*10&gt;BZ529),"zu hoch für Tablar; ","")&amp;IF(AND(BK529=0,OR(BT529=1,V529&lt;&gt;"",S529&lt;&gt;"",T529&lt;&gt;"",W529&lt;&gt;"")),"manuell übersteuert; ","")&amp;IF(AND(BO529=0,Q529=0),"Gebinde unbekannt; ","")&amp;IF(AND(BO529=0,N(T529)&lt;=0,N(P529)&lt;=0),"Menge pro Gebinde fehlt (Ist = 1 Gebinde); ","")&amp;BJ529)</f>
        <v/>
      </c>
      <c r="BC529" s="53" t="n"/>
      <c r="BD529" s="53" t="n"/>
      <c r="BE529" s="61" t="n"/>
      <c r="BF529" s="55" t="n">
        <v>1</v>
      </c>
      <c r="BG529" s="55" t="n">
        <v>0</v>
      </c>
      <c r="BH529" s="54" t="n">
        <v>25.55</v>
      </c>
      <c r="BI529" s="55" t="n">
        <v>0</v>
      </c>
      <c r="BJ529" s="53" t="inlineStr"/>
      <c r="BK529" s="58" t="n">
        <v>0</v>
      </c>
      <c r="BL529" s="58" t="n">
        <v>529</v>
      </c>
      <c r="BM529" s="53">
        <f>IF(S529&lt;&gt;"",UPPER(TRIM(S529)),IF(O529="","LOSE",O529))</f>
        <v/>
      </c>
      <c r="BN529" s="55">
        <f>IF(BM529="LOSE",1,IF(N(T529)&gt;0,T529,IF(N(P529)&gt;0,P529,MAX(1,G529))))</f>
        <v/>
      </c>
      <c r="BO529" s="58">
        <f>IF(BM529="LOSE",1,0)</f>
        <v/>
      </c>
      <c r="BP529" s="64">
        <f>IF(BO529=0,0,IF(N(R529)&gt;0,R529,IFERROR(VLOOKUP(D529,Parameter!$A$35:$C$64,3,0)+0,0)))</f>
        <v/>
      </c>
      <c r="BQ529" s="53">
        <f>IF(V529&lt;&gt;"",V529,U529)</f>
        <v/>
      </c>
      <c r="BR529" s="53">
        <f>IF(BQ529=1,"L1",IF(OR(BQ529=2,BQ529=3),"L23",IF(BQ529="Aussen","Aussen","-")))</f>
        <v/>
      </c>
      <c r="BS529" s="66">
        <f>IF(N(W529)&gt;0,W529,0)</f>
        <v/>
      </c>
      <c r="BT529" s="58">
        <f>IF(ISNUMBER(Z529),1,0)</f>
        <v/>
      </c>
      <c r="BU529" s="55">
        <f>N(Z529)</f>
        <v/>
      </c>
      <c r="BV529" s="55">
        <f>N(L529)+N(M529)</f>
        <v/>
      </c>
      <c r="BW529" s="55">
        <f>ROUNDUP(G529/BN529,0)</f>
        <v/>
      </c>
      <c r="BX529" s="55">
        <f>ROUNDUP(BU529/BN529,0)</f>
        <v/>
      </c>
      <c r="BY529" s="58">
        <f>IF(BO529=1,0,IFERROR(VLOOKUP(BM529,'Gebinde-Kategorie'!$A$5:$G$45,5,0)+0,0))</f>
        <v/>
      </c>
      <c r="BZ529" s="58">
        <f>IFERROR(IF(OR(BQ529=1,BQ529=2,BQ529=3),N(INDEX(Parameter!$I$5:$I$7,BQ529)),0),0)</f>
        <v/>
      </c>
    </row>
    <row r="530">
      <c r="A530" s="53" t="inlineStr">
        <is>
          <t>110879</t>
        </is>
      </c>
      <c r="B530" s="53" t="inlineStr">
        <is>
          <t>Prüfadapter</t>
        </is>
      </c>
      <c r="C530" s="53" t="inlineStr">
        <is>
          <t>F</t>
        </is>
      </c>
      <c r="D530" s="53" t="inlineStr">
        <is>
          <t>KTL</t>
        </is>
      </c>
      <c r="E530" s="53" t="inlineStr">
        <is>
          <t>C</t>
        </is>
      </c>
      <c r="F530" s="54" t="n">
        <v>1.59</v>
      </c>
      <c r="G530" s="55">
        <f>MAX(0,IF(Parameter!$B$20="Jahresanfang 2025 + Export",BG530+BF530,BF530))</f>
        <v/>
      </c>
      <c r="H530" s="55">
        <f>G530*F530</f>
        <v/>
      </c>
      <c r="I530" s="55">
        <f>BI530*Parameter!$B$18</f>
        <v/>
      </c>
      <c r="J530" s="56" t="n">
        <v>11</v>
      </c>
      <c r="K530" s="57" t="n">
        <v>1.272727272727273</v>
      </c>
      <c r="L530" s="55" t="n">
        <v>0</v>
      </c>
      <c r="M530" s="55" t="n">
        <v>15</v>
      </c>
      <c r="N530" s="58" t="n">
        <v>21</v>
      </c>
      <c r="O530" s="53" t="inlineStr">
        <is>
          <t>S21</t>
        </is>
      </c>
      <c r="P530" s="55" t="n">
        <v>20</v>
      </c>
      <c r="Q530" s="59">
        <f>IF(BO530=1,0,IFERROR(VLOOKUP(BM530,'Gebinde-Kategorie'!$A$5:$G$45,6,0)+0,0))</f>
        <v/>
      </c>
      <c r="R530" s="60" t="n"/>
      <c r="S530" s="61" t="n"/>
      <c r="T530" s="61" t="n"/>
      <c r="U530" s="53">
        <f>IF(A530="","",IF(IFERROR(VLOOKUP(D530,Parameter!$A$35:$C$64,2,0),"Nein")="2+3",IF(ISNUMBER(SEARCH("grosser Artikel",BJ530)),2,IFERROR(VLOOKUP(BM530,Parameter!$F$35:$G$64,2,0),2)),IF(OR(IFERROR(VLOOKUP(D530,Parameter!$A$35:$C$64,2,0),"Nein")="Nein",IFERROR(VLOOKUP(D530,Parameter!$A$35:$C$64,2,0),"Nein")=""),"-",VLOOKUP(D530,Parameter!$A$35:$C$64,2,0))))</f>
        <v/>
      </c>
      <c r="V530" s="61" t="n"/>
      <c r="W530" s="62" t="n"/>
      <c r="X530" s="55">
        <f>AM530</f>
        <v/>
      </c>
      <c r="Y530" s="55">
        <f>MAX(AM530,G530)</f>
        <v/>
      </c>
      <c r="Z530" s="63" t="n"/>
      <c r="AA530" s="55">
        <f>IF(LEFT(Cockpit!$C$5,1)="A",G530,IF(BT530=1,BU530,IF(LEFT(Cockpit!$C$5,1)="B",AE530,MAX(AE530,G530))))</f>
        <v/>
      </c>
      <c r="AB530" s="55">
        <f>IF(BO530=1,0,ROUNDUP(AA530/BN530,0))</f>
        <v/>
      </c>
      <c r="AC530" s="64">
        <f>IF(BO530=1,IF(AA530&lt;=0,0,BP530*MAX(1,IF(G530&gt;0,AA530/G530,1))),AB530*Q530)</f>
        <v/>
      </c>
      <c r="AD530" s="55">
        <f>AA530*F530</f>
        <v/>
      </c>
      <c r="AE530" s="55">
        <f>ROUNDUP(MAX(I530/IF(BS530&gt;0,BS530,MAX(0.1,N(Cockpit!$C$6))),BV530)/BN530,0)*BN530</f>
        <v/>
      </c>
      <c r="AF530" s="56">
        <f>IF(AC530&gt;0,I530/AC530,-1)</f>
        <v/>
      </c>
      <c r="AG530" s="56">
        <f>IF(AND(OR(BR530="L1",BR530="L23"),AC530&gt;0),SUMIFS($AC$7:$AC$1570,$BR$7:$BR$1570,BR530,$AF$7:$AF$1570,"&gt;"&amp;AF530)+SUMIFS($AC$7:$AC$1570,$BR$7:$BR$1570,BR530,$AF$7:$AF$1570,AF530,$BL$7:$BL$1570,"&lt;="&amp;BL530),"")</f>
        <v/>
      </c>
      <c r="AH530" s="65">
        <f>IF(AG530="",0,MAX(0,MIN(1,(IF(BR530="L1",Parameter!$K$5,Parameter!$K$6+Parameter!$K$7)-(AG530-AC530))/AC530)))</f>
        <v/>
      </c>
      <c r="AI530" s="55">
        <f>IF(LEFT(Cockpit!$I$5,1)="A",G530,IF(BT530=1,BU530,IF(LEFT(Cockpit!$I$5,1)="B",AM530,MAX(AM530,G530))))</f>
        <v/>
      </c>
      <c r="AJ530" s="55">
        <f>IF(BO530=1,0,ROUNDUP(AI530/BN530,0))</f>
        <v/>
      </c>
      <c r="AK530" s="64">
        <f>IF(BO530=1,IF(AI530&lt;=0,0,BP530*MAX(1,IF(G530&gt;0,AI530/G530,1))),AJ530*Q530)</f>
        <v/>
      </c>
      <c r="AL530" s="55">
        <f>AI530*F530</f>
        <v/>
      </c>
      <c r="AM530" s="55">
        <f>ROUNDUP(MAX(I530/IF(BS530&gt;0,BS530,MAX(0.1,N(Cockpit!$I$6))),BV530)/BN530,0)*BN530</f>
        <v/>
      </c>
      <c r="AN530" s="56">
        <f>IF(AK530&gt;0,I530/AK530,-1)</f>
        <v/>
      </c>
      <c r="AO530" s="56">
        <f>IF(AND(OR(BR530="L1",BR530="L23"),AK530&gt;0),SUMIFS($AK$7:$AK$1570,$BR$7:$BR$1570,BR530,$AN$7:$AN$1570,"&gt;"&amp;AN530)+SUMIFS($AK$7:$AK$1570,$BR$7:$BR$1570,BR530,$AN$7:$AN$1570,AN530,$BL$7:$BL$1570,"&lt;="&amp;BL530),"")</f>
        <v/>
      </c>
      <c r="AP530" s="65">
        <f>IF(AO530="",0,MAX(0,MIN(1,(IF(BR530="L1",Parameter!$K$5,Parameter!$K$6+Parameter!$K$7)-(AO530-AK530))/AK530)))</f>
        <v/>
      </c>
      <c r="AQ530" s="55">
        <f>IF(LEFT(Cockpit!$O$5,1)="A",G530,IF(BT530=1,BU530,IF(LEFT(Cockpit!$O$5,1)="B",AU530,MAX(AU530,G530))))</f>
        <v/>
      </c>
      <c r="AR530" s="55">
        <f>IF(BO530=1,0,ROUNDUP(AQ530/BN530,0))</f>
        <v/>
      </c>
      <c r="AS530" s="64">
        <f>IF(BO530=1,IF(AQ530&lt;=0,0,BP530*MAX(1,IF(G530&gt;0,AQ530/G530,1))),AR530*Q530)</f>
        <v/>
      </c>
      <c r="AT530" s="55">
        <f>AQ530*F530</f>
        <v/>
      </c>
      <c r="AU530" s="55">
        <f>ROUNDUP(MAX(I530/IF(BS530&gt;0,BS530,MAX(0.1,N(Cockpit!$O$6))),BV530)/BN530,0)*BN530</f>
        <v/>
      </c>
      <c r="AV530" s="56">
        <f>IF(AS530&gt;0,I530/AS530,-1)</f>
        <v/>
      </c>
      <c r="AW530" s="56">
        <f>IF(AND(OR(BR530="L1",BR530="L23"),AS530&gt;0),SUMIFS($AS$7:$AS$1570,$BR$7:$BR$1570,BR530,$AV$7:$AV$1570,"&gt;"&amp;AV530)+SUMIFS($AS$7:$AS$1570,$BR$7:$BR$1570,BR530,$AV$7:$AV$1570,AV530,$BL$7:$BL$1570,"&lt;="&amp;BL530),"")</f>
        <v/>
      </c>
      <c r="AX530" s="65">
        <f>IF(AW530="",0,MAX(0,MIN(1,(IF(BR530="L1",Parameter!$K$5,Parameter!$K$6+Parameter!$K$7)-(AW530-AS530))/AS530)))</f>
        <v/>
      </c>
      <c r="AY530" s="53">
        <f>IF(AC530&lt;=0,"",IF(BR530="Aussen","Aussenlager",IF(BR530="-","Nicht im Lift",IF(AH530&gt;=1,"Lift",IF(AH530&lt;=0,"Aussenlager","teilweise")))))</f>
        <v/>
      </c>
      <c r="AZ530" s="53">
        <f>IF(AK530&lt;=0,"",IF(BR530="Aussen","Aussenlager",IF(BR530="-","Nicht im Lift",IF(AP530&gt;=1,"Lift",IF(AP530&lt;=0,"Aussenlager","teilweise")))))</f>
        <v/>
      </c>
      <c r="BA530" s="53">
        <f>IF(AS530&lt;=0,"",IF(BR530="Aussen","Aussenlager",IF(BR530="-","Nicht im Lift",IF(AX530&gt;=1,"Lift",IF(AX530&lt;=0,"Aussenlager","teilweise")))))</f>
        <v/>
      </c>
      <c r="BB530" s="53">
        <f>IF(A530="","",IF(BK530=1,"Neu; ","")&amp;IF(AND(BK530=0,BF530&lt;0),"negativer Bestand (Export "&amp;BF530&amp;"); ","")&amp;IF(I530&lt;=0,"Kein Verbrauch; ","")&amp;IF(BO530=1,"Lose – Fläche geschätzt; ","")&amp;IF(G530&gt;AM530,"Überbestand "&amp;ROUND(G530-AM530,0)&amp;" Stk / CHF "&amp;ROUND((G530-AM530)*F530,0)&amp;"; ","")&amp;IF(AND(BT530=1,BU530&lt;BV530),"MAX &lt; MB+LG; ","")&amp;IF(AND(BZ530&gt;0,BY530*10&gt;BZ530),"zu hoch für Tablar; ","")&amp;IF(AND(BK530=0,OR(BT530=1,V530&lt;&gt;"",S530&lt;&gt;"",T530&lt;&gt;"",W530&lt;&gt;"")),"manuell übersteuert; ","")&amp;IF(AND(BO530=0,Q530=0),"Gebinde unbekannt; ","")&amp;IF(AND(BO530=0,N(T530)&lt;=0,N(P530)&lt;=0),"Menge pro Gebinde fehlt (Ist = 1 Gebinde); ","")&amp;BJ530)</f>
        <v/>
      </c>
      <c r="BC530" s="53" t="n"/>
      <c r="BD530" s="53" t="n"/>
      <c r="BE530" s="61" t="n"/>
      <c r="BF530" s="55" t="n">
        <v>16</v>
      </c>
      <c r="BG530" s="55" t="n">
        <v>0</v>
      </c>
      <c r="BH530" s="54" t="n">
        <v>25.44</v>
      </c>
      <c r="BI530" s="55" t="n">
        <v>14</v>
      </c>
      <c r="BJ530" s="53" t="inlineStr"/>
      <c r="BK530" s="58" t="n">
        <v>0</v>
      </c>
      <c r="BL530" s="58" t="n">
        <v>530</v>
      </c>
      <c r="BM530" s="53">
        <f>IF(S530&lt;&gt;"",UPPER(TRIM(S530)),IF(O530="","LOSE",O530))</f>
        <v/>
      </c>
      <c r="BN530" s="55">
        <f>IF(BM530="LOSE",1,IF(N(T530)&gt;0,T530,IF(N(P530)&gt;0,P530,MAX(1,G530))))</f>
        <v/>
      </c>
      <c r="BO530" s="58">
        <f>IF(BM530="LOSE",1,0)</f>
        <v/>
      </c>
      <c r="BP530" s="64">
        <f>IF(BO530=0,0,IF(N(R530)&gt;0,R530,IFERROR(VLOOKUP(D530,Parameter!$A$35:$C$64,3,0)+0,0)))</f>
        <v/>
      </c>
      <c r="BQ530" s="53">
        <f>IF(V530&lt;&gt;"",V530,U530)</f>
        <v/>
      </c>
      <c r="BR530" s="53">
        <f>IF(BQ530=1,"L1",IF(OR(BQ530=2,BQ530=3),"L23",IF(BQ530="Aussen","Aussen","-")))</f>
        <v/>
      </c>
      <c r="BS530" s="66">
        <f>IF(N(W530)&gt;0,W530,0)</f>
        <v/>
      </c>
      <c r="BT530" s="58">
        <f>IF(ISNUMBER(Z530),1,0)</f>
        <v/>
      </c>
      <c r="BU530" s="55">
        <f>N(Z530)</f>
        <v/>
      </c>
      <c r="BV530" s="55">
        <f>N(L530)+N(M530)</f>
        <v/>
      </c>
      <c r="BW530" s="55">
        <f>ROUNDUP(G530/BN530,0)</f>
        <v/>
      </c>
      <c r="BX530" s="55">
        <f>ROUNDUP(BU530/BN530,0)</f>
        <v/>
      </c>
      <c r="BY530" s="58">
        <f>IF(BO530=1,0,IFERROR(VLOOKUP(BM530,'Gebinde-Kategorie'!$A$5:$G$45,5,0)+0,0))</f>
        <v/>
      </c>
      <c r="BZ530" s="58">
        <f>IFERROR(IF(OR(BQ530=1,BQ530=2,BQ530=3),N(INDEX(Parameter!$I$5:$I$7,BQ530)),0),0)</f>
        <v/>
      </c>
    </row>
    <row r="531">
      <c r="A531" s="53" t="inlineStr">
        <is>
          <t>111729</t>
        </is>
      </c>
      <c r="B531" s="53" t="inlineStr">
        <is>
          <t>Scotch-Brite Handpad</t>
        </is>
      </c>
      <c r="C531" s="53" t="inlineStr">
        <is>
          <t>F</t>
        </is>
      </c>
      <c r="D531" s="53" t="inlineStr">
        <is>
          <t>PAL</t>
        </is>
      </c>
      <c r="E531" s="53" t="inlineStr">
        <is>
          <t>C</t>
        </is>
      </c>
      <c r="F531" s="54" t="n">
        <v>25.44</v>
      </c>
      <c r="G531" s="55">
        <f>MAX(0,IF(Parameter!$B$20="Jahresanfang 2025 + Export",BG531+BF531,BF531))</f>
        <v/>
      </c>
      <c r="H531" s="55">
        <f>G531*F531</f>
        <v/>
      </c>
      <c r="I531" s="55">
        <f>BI531*Parameter!$B$18</f>
        <v/>
      </c>
      <c r="J531" s="56" t="n">
        <v>0</v>
      </c>
      <c r="K531" s="57" t="n">
        <v>0</v>
      </c>
      <c r="L531" s="55" t="n">
        <v>0</v>
      </c>
      <c r="M531" s="55" t="n">
        <v>1</v>
      </c>
      <c r="N531" s="58" t="n">
        <v>21</v>
      </c>
      <c r="O531" s="53" t="inlineStr">
        <is>
          <t>LOSE</t>
        </is>
      </c>
      <c r="P531" s="55" t="n"/>
      <c r="Q531" s="59">
        <f>IF(BO531=1,0,IFERROR(VLOOKUP(BM531,'Gebinde-Kategorie'!$A$5:$G$45,6,0)+0,0))</f>
        <v/>
      </c>
      <c r="R531" s="60" t="n"/>
      <c r="S531" s="61" t="n"/>
      <c r="T531" s="61" t="n"/>
      <c r="U531" s="53">
        <f>IF(A531="","",IF(IFERROR(VLOOKUP(D531,Parameter!$A$35:$C$64,2,0),"Nein")="2+3",IF(ISNUMBER(SEARCH("grosser Artikel",BJ531)),2,IFERROR(VLOOKUP(BM531,Parameter!$F$35:$G$64,2,0),2)),IF(OR(IFERROR(VLOOKUP(D531,Parameter!$A$35:$C$64,2,0),"Nein")="Nein",IFERROR(VLOOKUP(D531,Parameter!$A$35:$C$64,2,0),"Nein")=""),"-",VLOOKUP(D531,Parameter!$A$35:$C$64,2,0))))</f>
        <v/>
      </c>
      <c r="V531" s="61" t="n"/>
      <c r="W531" s="62" t="n"/>
      <c r="X531" s="55">
        <f>AM531</f>
        <v/>
      </c>
      <c r="Y531" s="55">
        <f>MAX(AM531,G531)</f>
        <v/>
      </c>
      <c r="Z531" s="63" t="n"/>
      <c r="AA531" s="55">
        <f>IF(LEFT(Cockpit!$C$5,1)="A",G531,IF(BT531=1,BU531,IF(LEFT(Cockpit!$C$5,1)="B",AE531,MAX(AE531,G531))))</f>
        <v/>
      </c>
      <c r="AB531" s="55">
        <f>IF(BO531=1,0,ROUNDUP(AA531/BN531,0))</f>
        <v/>
      </c>
      <c r="AC531" s="64">
        <f>IF(BO531=1,IF(AA531&lt;=0,0,BP531*MAX(1,IF(G531&gt;0,AA531/G531,1))),AB531*Q531)</f>
        <v/>
      </c>
      <c r="AD531" s="55">
        <f>AA531*F531</f>
        <v/>
      </c>
      <c r="AE531" s="55">
        <f>ROUNDUP(MAX(I531/IF(BS531&gt;0,BS531,MAX(0.1,N(Cockpit!$C$6))),BV531)/BN531,0)*BN531</f>
        <v/>
      </c>
      <c r="AF531" s="56">
        <f>IF(AC531&gt;0,I531/AC531,-1)</f>
        <v/>
      </c>
      <c r="AG531" s="56">
        <f>IF(AND(OR(BR531="L1",BR531="L23"),AC531&gt;0),SUMIFS($AC$7:$AC$1570,$BR$7:$BR$1570,BR531,$AF$7:$AF$1570,"&gt;"&amp;AF531)+SUMIFS($AC$7:$AC$1570,$BR$7:$BR$1570,BR531,$AF$7:$AF$1570,AF531,$BL$7:$BL$1570,"&lt;="&amp;BL531),"")</f>
        <v/>
      </c>
      <c r="AH531" s="65">
        <f>IF(AG531="",0,MAX(0,MIN(1,(IF(BR531="L1",Parameter!$K$5,Parameter!$K$6+Parameter!$K$7)-(AG531-AC531))/AC531)))</f>
        <v/>
      </c>
      <c r="AI531" s="55">
        <f>IF(LEFT(Cockpit!$I$5,1)="A",G531,IF(BT531=1,BU531,IF(LEFT(Cockpit!$I$5,1)="B",AM531,MAX(AM531,G531))))</f>
        <v/>
      </c>
      <c r="AJ531" s="55">
        <f>IF(BO531=1,0,ROUNDUP(AI531/BN531,0))</f>
        <v/>
      </c>
      <c r="AK531" s="64">
        <f>IF(BO531=1,IF(AI531&lt;=0,0,BP531*MAX(1,IF(G531&gt;0,AI531/G531,1))),AJ531*Q531)</f>
        <v/>
      </c>
      <c r="AL531" s="55">
        <f>AI531*F531</f>
        <v/>
      </c>
      <c r="AM531" s="55">
        <f>ROUNDUP(MAX(I531/IF(BS531&gt;0,BS531,MAX(0.1,N(Cockpit!$I$6))),BV531)/BN531,0)*BN531</f>
        <v/>
      </c>
      <c r="AN531" s="56">
        <f>IF(AK531&gt;0,I531/AK531,-1)</f>
        <v/>
      </c>
      <c r="AO531" s="56">
        <f>IF(AND(OR(BR531="L1",BR531="L23"),AK531&gt;0),SUMIFS($AK$7:$AK$1570,$BR$7:$BR$1570,BR531,$AN$7:$AN$1570,"&gt;"&amp;AN531)+SUMIFS($AK$7:$AK$1570,$BR$7:$BR$1570,BR531,$AN$7:$AN$1570,AN531,$BL$7:$BL$1570,"&lt;="&amp;BL531),"")</f>
        <v/>
      </c>
      <c r="AP531" s="65">
        <f>IF(AO531="",0,MAX(0,MIN(1,(IF(BR531="L1",Parameter!$K$5,Parameter!$K$6+Parameter!$K$7)-(AO531-AK531))/AK531)))</f>
        <v/>
      </c>
      <c r="AQ531" s="55">
        <f>IF(LEFT(Cockpit!$O$5,1)="A",G531,IF(BT531=1,BU531,IF(LEFT(Cockpit!$O$5,1)="B",AU531,MAX(AU531,G531))))</f>
        <v/>
      </c>
      <c r="AR531" s="55">
        <f>IF(BO531=1,0,ROUNDUP(AQ531/BN531,0))</f>
        <v/>
      </c>
      <c r="AS531" s="64">
        <f>IF(BO531=1,IF(AQ531&lt;=0,0,BP531*MAX(1,IF(G531&gt;0,AQ531/G531,1))),AR531*Q531)</f>
        <v/>
      </c>
      <c r="AT531" s="55">
        <f>AQ531*F531</f>
        <v/>
      </c>
      <c r="AU531" s="55">
        <f>ROUNDUP(MAX(I531/IF(BS531&gt;0,BS531,MAX(0.1,N(Cockpit!$O$6))),BV531)/BN531,0)*BN531</f>
        <v/>
      </c>
      <c r="AV531" s="56">
        <f>IF(AS531&gt;0,I531/AS531,-1)</f>
        <v/>
      </c>
      <c r="AW531" s="56">
        <f>IF(AND(OR(BR531="L1",BR531="L23"),AS531&gt;0),SUMIFS($AS$7:$AS$1570,$BR$7:$BR$1570,BR531,$AV$7:$AV$1570,"&gt;"&amp;AV531)+SUMIFS($AS$7:$AS$1570,$BR$7:$BR$1570,BR531,$AV$7:$AV$1570,AV531,$BL$7:$BL$1570,"&lt;="&amp;BL531),"")</f>
        <v/>
      </c>
      <c r="AX531" s="65">
        <f>IF(AW531="",0,MAX(0,MIN(1,(IF(BR531="L1",Parameter!$K$5,Parameter!$K$6+Parameter!$K$7)-(AW531-AS531))/AS531)))</f>
        <v/>
      </c>
      <c r="AY531" s="53">
        <f>IF(AC531&lt;=0,"",IF(BR531="Aussen","Aussenlager",IF(BR531="-","Nicht im Lift",IF(AH531&gt;=1,"Lift",IF(AH531&lt;=0,"Aussenlager","teilweise")))))</f>
        <v/>
      </c>
      <c r="AZ531" s="53">
        <f>IF(AK531&lt;=0,"",IF(BR531="Aussen","Aussenlager",IF(BR531="-","Nicht im Lift",IF(AP531&gt;=1,"Lift",IF(AP531&lt;=0,"Aussenlager","teilweise")))))</f>
        <v/>
      </c>
      <c r="BA531" s="53">
        <f>IF(AS531&lt;=0,"",IF(BR531="Aussen","Aussenlager",IF(BR531="-","Nicht im Lift",IF(AX531&gt;=1,"Lift",IF(AX531&lt;=0,"Aussenlager","teilweise")))))</f>
        <v/>
      </c>
      <c r="BB531" s="53">
        <f>IF(A531="","",IF(BK531=1,"Neu; ","")&amp;IF(AND(BK531=0,BF531&lt;0),"negativer Bestand (Export "&amp;BF531&amp;"); ","")&amp;IF(I531&lt;=0,"Kein Verbrauch; ","")&amp;IF(BO531=1,"Lose – Fläche geschätzt; ","")&amp;IF(G531&gt;AM531,"Überbestand "&amp;ROUND(G531-AM531,0)&amp;" Stk / CHF "&amp;ROUND((G531-AM531)*F531,0)&amp;"; ","")&amp;IF(AND(BT531=1,BU531&lt;BV531),"MAX &lt; MB+LG; ","")&amp;IF(AND(BZ531&gt;0,BY531*10&gt;BZ531),"zu hoch für Tablar; ","")&amp;IF(AND(BK531=0,OR(BT531=1,V531&lt;&gt;"",S531&lt;&gt;"",T531&lt;&gt;"",W531&lt;&gt;"")),"manuell übersteuert; ","")&amp;IF(AND(BO531=0,Q531=0),"Gebinde unbekannt; ","")&amp;IF(AND(BO531=0,N(T531)&lt;=0,N(P531)&lt;=0),"Menge pro Gebinde fehlt (Ist = 1 Gebinde); ","")&amp;BJ531)</f>
        <v/>
      </c>
      <c r="BC531" s="53" t="n"/>
      <c r="BD531" s="53" t="n"/>
      <c r="BE531" s="61" t="n"/>
      <c r="BF531" s="55" t="n">
        <v>1</v>
      </c>
      <c r="BG531" s="55" t="n">
        <v>0</v>
      </c>
      <c r="BH531" s="54" t="n">
        <v>25.44</v>
      </c>
      <c r="BI531" s="55" t="n">
        <v>0</v>
      </c>
      <c r="BJ531" s="53" t="inlineStr"/>
      <c r="BK531" s="58" t="n">
        <v>0</v>
      </c>
      <c r="BL531" s="58" t="n">
        <v>531</v>
      </c>
      <c r="BM531" s="53">
        <f>IF(S531&lt;&gt;"",UPPER(TRIM(S531)),IF(O531="","LOSE",O531))</f>
        <v/>
      </c>
      <c r="BN531" s="55">
        <f>IF(BM531="LOSE",1,IF(N(T531)&gt;0,T531,IF(N(P531)&gt;0,P531,MAX(1,G531))))</f>
        <v/>
      </c>
      <c r="BO531" s="58">
        <f>IF(BM531="LOSE",1,0)</f>
        <v/>
      </c>
      <c r="BP531" s="64">
        <f>IF(BO531=0,0,IF(N(R531)&gt;0,R531,IFERROR(VLOOKUP(D531,Parameter!$A$35:$C$64,3,0)+0,0)))</f>
        <v/>
      </c>
      <c r="BQ531" s="53">
        <f>IF(V531&lt;&gt;"",V531,U531)</f>
        <v/>
      </c>
      <c r="BR531" s="53">
        <f>IF(BQ531=1,"L1",IF(OR(BQ531=2,BQ531=3),"L23",IF(BQ531="Aussen","Aussen","-")))</f>
        <v/>
      </c>
      <c r="BS531" s="66">
        <f>IF(N(W531)&gt;0,W531,0)</f>
        <v/>
      </c>
      <c r="BT531" s="58">
        <f>IF(ISNUMBER(Z531),1,0)</f>
        <v/>
      </c>
      <c r="BU531" s="55">
        <f>N(Z531)</f>
        <v/>
      </c>
      <c r="BV531" s="55">
        <f>N(L531)+N(M531)</f>
        <v/>
      </c>
      <c r="BW531" s="55">
        <f>ROUNDUP(G531/BN531,0)</f>
        <v/>
      </c>
      <c r="BX531" s="55">
        <f>ROUNDUP(BU531/BN531,0)</f>
        <v/>
      </c>
      <c r="BY531" s="58">
        <f>IF(BO531=1,0,IFERROR(VLOOKUP(BM531,'Gebinde-Kategorie'!$A$5:$G$45,5,0)+0,0))</f>
        <v/>
      </c>
      <c r="BZ531" s="58">
        <f>IFERROR(IF(OR(BQ531=1,BQ531=2,BQ531=3),N(INDEX(Parameter!$I$5:$I$7,BQ531)),0),0)</f>
        <v/>
      </c>
    </row>
    <row r="532">
      <c r="A532" s="53" t="inlineStr">
        <is>
          <t>005389</t>
        </is>
      </c>
      <c r="B532" s="53" t="inlineStr">
        <is>
          <t>Steckschlüsseleinsatz</t>
        </is>
      </c>
      <c r="C532" s="53" t="inlineStr">
        <is>
          <t>F</t>
        </is>
      </c>
      <c r="D532" s="53" t="inlineStr">
        <is>
          <t>KTL</t>
        </is>
      </c>
      <c r="E532" s="53" t="inlineStr">
        <is>
          <t>C</t>
        </is>
      </c>
      <c r="F532" s="54" t="n">
        <v>3.29</v>
      </c>
      <c r="G532" s="55">
        <f>MAX(0,IF(Parameter!$B$20="Jahresanfang 2025 + Export",BG532+BF532,BF532))</f>
        <v/>
      </c>
      <c r="H532" s="55">
        <f>G532*F532</f>
        <v/>
      </c>
      <c r="I532" s="55">
        <f>BI532*Parameter!$B$18</f>
        <v/>
      </c>
      <c r="J532" s="56" t="n">
        <v>7.5</v>
      </c>
      <c r="K532" s="57" t="n">
        <v>0.1333333333333333</v>
      </c>
      <c r="L532" s="55" t="n">
        <v>0</v>
      </c>
      <c r="M532" s="55" t="n">
        <v>1</v>
      </c>
      <c r="N532" s="58" t="n">
        <v>28</v>
      </c>
      <c r="O532" s="53" t="inlineStr">
        <is>
          <t>S32</t>
        </is>
      </c>
      <c r="P532" s="55" t="n">
        <v>11</v>
      </c>
      <c r="Q532" s="59">
        <f>IF(BO532=1,0,IFERROR(VLOOKUP(BM532,'Gebinde-Kategorie'!$A$5:$G$45,6,0)+0,0))</f>
        <v/>
      </c>
      <c r="R532" s="60" t="n"/>
      <c r="S532" s="61" t="n"/>
      <c r="T532" s="61" t="n"/>
      <c r="U532" s="53">
        <f>IF(A532="","",IF(IFERROR(VLOOKUP(D532,Parameter!$A$35:$C$64,2,0),"Nein")="2+3",IF(ISNUMBER(SEARCH("grosser Artikel",BJ532)),2,IFERROR(VLOOKUP(BM532,Parameter!$F$35:$G$64,2,0),2)),IF(OR(IFERROR(VLOOKUP(D532,Parameter!$A$35:$C$64,2,0),"Nein")="Nein",IFERROR(VLOOKUP(D532,Parameter!$A$35:$C$64,2,0),"Nein")=""),"-",VLOOKUP(D532,Parameter!$A$35:$C$64,2,0))))</f>
        <v/>
      </c>
      <c r="V532" s="61" t="n"/>
      <c r="W532" s="62" t="n"/>
      <c r="X532" s="55">
        <f>AM532</f>
        <v/>
      </c>
      <c r="Y532" s="55">
        <f>MAX(AM532,G532)</f>
        <v/>
      </c>
      <c r="Z532" s="63" t="n"/>
      <c r="AA532" s="55">
        <f>IF(LEFT(Cockpit!$C$5,1)="A",G532,IF(BT532=1,BU532,IF(LEFT(Cockpit!$C$5,1)="B",AE532,MAX(AE532,G532))))</f>
        <v/>
      </c>
      <c r="AB532" s="55">
        <f>IF(BO532=1,0,ROUNDUP(AA532/BN532,0))</f>
        <v/>
      </c>
      <c r="AC532" s="64">
        <f>IF(BO532=1,IF(AA532&lt;=0,0,BP532*MAX(1,IF(G532&gt;0,AA532/G532,1))),AB532*Q532)</f>
        <v/>
      </c>
      <c r="AD532" s="55">
        <f>AA532*F532</f>
        <v/>
      </c>
      <c r="AE532" s="55">
        <f>ROUNDUP(MAX(I532/IF(BS532&gt;0,BS532,MAX(0.1,N(Cockpit!$C$6))),BV532)/BN532,0)*BN532</f>
        <v/>
      </c>
      <c r="AF532" s="56">
        <f>IF(AC532&gt;0,I532/AC532,-1)</f>
        <v/>
      </c>
      <c r="AG532" s="56">
        <f>IF(AND(OR(BR532="L1",BR532="L23"),AC532&gt;0),SUMIFS($AC$7:$AC$1570,$BR$7:$BR$1570,BR532,$AF$7:$AF$1570,"&gt;"&amp;AF532)+SUMIFS($AC$7:$AC$1570,$BR$7:$BR$1570,BR532,$AF$7:$AF$1570,AF532,$BL$7:$BL$1570,"&lt;="&amp;BL532),"")</f>
        <v/>
      </c>
      <c r="AH532" s="65">
        <f>IF(AG532="",0,MAX(0,MIN(1,(IF(BR532="L1",Parameter!$K$5,Parameter!$K$6+Parameter!$K$7)-(AG532-AC532))/AC532)))</f>
        <v/>
      </c>
      <c r="AI532" s="55">
        <f>IF(LEFT(Cockpit!$I$5,1)="A",G532,IF(BT532=1,BU532,IF(LEFT(Cockpit!$I$5,1)="B",AM532,MAX(AM532,G532))))</f>
        <v/>
      </c>
      <c r="AJ532" s="55">
        <f>IF(BO532=1,0,ROUNDUP(AI532/BN532,0))</f>
        <v/>
      </c>
      <c r="AK532" s="64">
        <f>IF(BO532=1,IF(AI532&lt;=0,0,BP532*MAX(1,IF(G532&gt;0,AI532/G532,1))),AJ532*Q532)</f>
        <v/>
      </c>
      <c r="AL532" s="55">
        <f>AI532*F532</f>
        <v/>
      </c>
      <c r="AM532" s="55">
        <f>ROUNDUP(MAX(I532/IF(BS532&gt;0,BS532,MAX(0.1,N(Cockpit!$I$6))),BV532)/BN532,0)*BN532</f>
        <v/>
      </c>
      <c r="AN532" s="56">
        <f>IF(AK532&gt;0,I532/AK532,-1)</f>
        <v/>
      </c>
      <c r="AO532" s="56">
        <f>IF(AND(OR(BR532="L1",BR532="L23"),AK532&gt;0),SUMIFS($AK$7:$AK$1570,$BR$7:$BR$1570,BR532,$AN$7:$AN$1570,"&gt;"&amp;AN532)+SUMIFS($AK$7:$AK$1570,$BR$7:$BR$1570,BR532,$AN$7:$AN$1570,AN532,$BL$7:$BL$1570,"&lt;="&amp;BL532),"")</f>
        <v/>
      </c>
      <c r="AP532" s="65">
        <f>IF(AO532="",0,MAX(0,MIN(1,(IF(BR532="L1",Parameter!$K$5,Parameter!$K$6+Parameter!$K$7)-(AO532-AK532))/AK532)))</f>
        <v/>
      </c>
      <c r="AQ532" s="55">
        <f>IF(LEFT(Cockpit!$O$5,1)="A",G532,IF(BT532=1,BU532,IF(LEFT(Cockpit!$O$5,1)="B",AU532,MAX(AU532,G532))))</f>
        <v/>
      </c>
      <c r="AR532" s="55">
        <f>IF(BO532=1,0,ROUNDUP(AQ532/BN532,0))</f>
        <v/>
      </c>
      <c r="AS532" s="64">
        <f>IF(BO532=1,IF(AQ532&lt;=0,0,BP532*MAX(1,IF(G532&gt;0,AQ532/G532,1))),AR532*Q532)</f>
        <v/>
      </c>
      <c r="AT532" s="55">
        <f>AQ532*F532</f>
        <v/>
      </c>
      <c r="AU532" s="55">
        <f>ROUNDUP(MAX(I532/IF(BS532&gt;0,BS532,MAX(0.1,N(Cockpit!$O$6))),BV532)/BN532,0)*BN532</f>
        <v/>
      </c>
      <c r="AV532" s="56">
        <f>IF(AS532&gt;0,I532/AS532,-1)</f>
        <v/>
      </c>
      <c r="AW532" s="56">
        <f>IF(AND(OR(BR532="L1",BR532="L23"),AS532&gt;0),SUMIFS($AS$7:$AS$1570,$BR$7:$BR$1570,BR532,$AV$7:$AV$1570,"&gt;"&amp;AV532)+SUMIFS($AS$7:$AS$1570,$BR$7:$BR$1570,BR532,$AV$7:$AV$1570,AV532,$BL$7:$BL$1570,"&lt;="&amp;BL532),"")</f>
        <v/>
      </c>
      <c r="AX532" s="65">
        <f>IF(AW532="",0,MAX(0,MIN(1,(IF(BR532="L1",Parameter!$K$5,Parameter!$K$6+Parameter!$K$7)-(AW532-AS532))/AS532)))</f>
        <v/>
      </c>
      <c r="AY532" s="53">
        <f>IF(AC532&lt;=0,"",IF(BR532="Aussen","Aussenlager",IF(BR532="-","Nicht im Lift",IF(AH532&gt;=1,"Lift",IF(AH532&lt;=0,"Aussenlager","teilweise")))))</f>
        <v/>
      </c>
      <c r="AZ532" s="53">
        <f>IF(AK532&lt;=0,"",IF(BR532="Aussen","Aussenlager",IF(BR532="-","Nicht im Lift",IF(AP532&gt;=1,"Lift",IF(AP532&lt;=0,"Aussenlager","teilweise")))))</f>
        <v/>
      </c>
      <c r="BA532" s="53">
        <f>IF(AS532&lt;=0,"",IF(BR532="Aussen","Aussenlager",IF(BR532="-","Nicht im Lift",IF(AX532&gt;=1,"Lift",IF(AX532&lt;=0,"Aussenlager","teilweise")))))</f>
        <v/>
      </c>
      <c r="BB532" s="53">
        <f>IF(A532="","",IF(BK532=1,"Neu; ","")&amp;IF(AND(BK532=0,BF532&lt;0),"negativer Bestand (Export "&amp;BF532&amp;"); ","")&amp;IF(I532&lt;=0,"Kein Verbrauch; ","")&amp;IF(BO532=1,"Lose – Fläche geschätzt; ","")&amp;IF(G532&gt;AM532,"Überbestand "&amp;ROUND(G532-AM532,0)&amp;" Stk / CHF "&amp;ROUND((G532-AM532)*F532,0)&amp;"; ","")&amp;IF(AND(BT532=1,BU532&lt;BV532),"MAX &lt; MB+LG; ","")&amp;IF(AND(BZ532&gt;0,BY532*10&gt;BZ532),"zu hoch für Tablar; ","")&amp;IF(AND(BK532=0,OR(BT532=1,V532&lt;&gt;"",S532&lt;&gt;"",T532&lt;&gt;"",W532&lt;&gt;"")),"manuell übersteuert; ","")&amp;IF(AND(BO532=0,Q532=0),"Gebinde unbekannt; ","")&amp;IF(AND(BO532=0,N(T532)&lt;=0,N(P532)&lt;=0),"Menge pro Gebinde fehlt (Ist = 1 Gebinde); ","")&amp;BJ532)</f>
        <v/>
      </c>
      <c r="BC532" s="53" t="n"/>
      <c r="BD532" s="53" t="n"/>
      <c r="BE532" s="61" t="n"/>
      <c r="BF532" s="55" t="n">
        <v>14</v>
      </c>
      <c r="BG532" s="55" t="n">
        <v>8</v>
      </c>
      <c r="BH532" s="54" t="n">
        <v>25.34</v>
      </c>
      <c r="BI532" s="55" t="n">
        <v>1</v>
      </c>
      <c r="BJ532" s="53" t="inlineStr"/>
      <c r="BK532" s="58" t="n">
        <v>0</v>
      </c>
      <c r="BL532" s="58" t="n">
        <v>532</v>
      </c>
      <c r="BM532" s="53">
        <f>IF(S532&lt;&gt;"",UPPER(TRIM(S532)),IF(O532="","LOSE",O532))</f>
        <v/>
      </c>
      <c r="BN532" s="55">
        <f>IF(BM532="LOSE",1,IF(N(T532)&gt;0,T532,IF(N(P532)&gt;0,P532,MAX(1,G532))))</f>
        <v/>
      </c>
      <c r="BO532" s="58">
        <f>IF(BM532="LOSE",1,0)</f>
        <v/>
      </c>
      <c r="BP532" s="64">
        <f>IF(BO532=0,0,IF(N(R532)&gt;0,R532,IFERROR(VLOOKUP(D532,Parameter!$A$35:$C$64,3,0)+0,0)))</f>
        <v/>
      </c>
      <c r="BQ532" s="53">
        <f>IF(V532&lt;&gt;"",V532,U532)</f>
        <v/>
      </c>
      <c r="BR532" s="53">
        <f>IF(BQ532=1,"L1",IF(OR(BQ532=2,BQ532=3),"L23",IF(BQ532="Aussen","Aussen","-")))</f>
        <v/>
      </c>
      <c r="BS532" s="66">
        <f>IF(N(W532)&gt;0,W532,0)</f>
        <v/>
      </c>
      <c r="BT532" s="58">
        <f>IF(ISNUMBER(Z532),1,0)</f>
        <v/>
      </c>
      <c r="BU532" s="55">
        <f>N(Z532)</f>
        <v/>
      </c>
      <c r="BV532" s="55">
        <f>N(L532)+N(M532)</f>
        <v/>
      </c>
      <c r="BW532" s="55">
        <f>ROUNDUP(G532/BN532,0)</f>
        <v/>
      </c>
      <c r="BX532" s="55">
        <f>ROUNDUP(BU532/BN532,0)</f>
        <v/>
      </c>
      <c r="BY532" s="58">
        <f>IF(BO532=1,0,IFERROR(VLOOKUP(BM532,'Gebinde-Kategorie'!$A$5:$G$45,5,0)+0,0))</f>
        <v/>
      </c>
      <c r="BZ532" s="58">
        <f>IFERROR(IF(OR(BQ532=1,BQ532=2,BQ532=3),N(INDEX(Parameter!$I$5:$I$7,BQ532)),0),0)</f>
        <v/>
      </c>
    </row>
    <row r="533">
      <c r="A533" s="53" t="inlineStr">
        <is>
          <t>108149</t>
        </is>
      </c>
      <c r="B533" s="53" t="inlineStr">
        <is>
          <t>Zylinderschraube mit Innensechskant</t>
        </is>
      </c>
      <c r="C533" s="53" t="inlineStr">
        <is>
          <t>F</t>
        </is>
      </c>
      <c r="D533" s="53" t="inlineStr">
        <is>
          <t>KTL</t>
        </is>
      </c>
      <c r="E533" s="53" t="inlineStr">
        <is>
          <t>C</t>
        </is>
      </c>
      <c r="F533" s="54" t="n">
        <v>0.06</v>
      </c>
      <c r="G533" s="55">
        <f>MAX(0,IF(Parameter!$B$20="Jahresanfang 2025 + Export",BG533+BF533,BF533))</f>
        <v/>
      </c>
      <c r="H533" s="55">
        <f>G533*F533</f>
        <v/>
      </c>
      <c r="I533" s="55">
        <f>BI533*Parameter!$B$18</f>
        <v/>
      </c>
      <c r="J533" s="56" t="n">
        <v>493.5</v>
      </c>
      <c r="K533" s="57" t="n">
        <v>1.223910840932118</v>
      </c>
      <c r="L533" s="55" t="n">
        <v>35</v>
      </c>
      <c r="M533" s="55" t="n">
        <v>605</v>
      </c>
      <c r="N533" s="58" t="n">
        <v>21</v>
      </c>
      <c r="O533" s="53" t="inlineStr">
        <is>
          <t>S32</t>
        </is>
      </c>
      <c r="P533" s="55" t="n">
        <v>454</v>
      </c>
      <c r="Q533" s="59">
        <f>IF(BO533=1,0,IFERROR(VLOOKUP(BM533,'Gebinde-Kategorie'!$A$5:$G$45,6,0)+0,0))</f>
        <v/>
      </c>
      <c r="R533" s="60" t="n"/>
      <c r="S533" s="61" t="n"/>
      <c r="T533" s="61" t="n"/>
      <c r="U533" s="53">
        <f>IF(A533="","",IF(IFERROR(VLOOKUP(D533,Parameter!$A$35:$C$64,2,0),"Nein")="2+3",IF(ISNUMBER(SEARCH("grosser Artikel",BJ533)),2,IFERROR(VLOOKUP(BM533,Parameter!$F$35:$G$64,2,0),2)),IF(OR(IFERROR(VLOOKUP(D533,Parameter!$A$35:$C$64,2,0),"Nein")="Nein",IFERROR(VLOOKUP(D533,Parameter!$A$35:$C$64,2,0),"Nein")=""),"-",VLOOKUP(D533,Parameter!$A$35:$C$64,2,0))))</f>
        <v/>
      </c>
      <c r="V533" s="61" t="n"/>
      <c r="W533" s="62" t="n"/>
      <c r="X533" s="55">
        <f>AM533</f>
        <v/>
      </c>
      <c r="Y533" s="55">
        <f>MAX(AM533,G533)</f>
        <v/>
      </c>
      <c r="Z533" s="63" t="n"/>
      <c r="AA533" s="55">
        <f>IF(LEFT(Cockpit!$C$5,1)="A",G533,IF(BT533=1,BU533,IF(LEFT(Cockpit!$C$5,1)="B",AE533,MAX(AE533,G533))))</f>
        <v/>
      </c>
      <c r="AB533" s="55">
        <f>IF(BO533=1,0,ROUNDUP(AA533/BN533,0))</f>
        <v/>
      </c>
      <c r="AC533" s="64">
        <f>IF(BO533=1,IF(AA533&lt;=0,0,BP533*MAX(1,IF(G533&gt;0,AA533/G533,1))),AB533*Q533)</f>
        <v/>
      </c>
      <c r="AD533" s="55">
        <f>AA533*F533</f>
        <v/>
      </c>
      <c r="AE533" s="55">
        <f>ROUNDUP(MAX(I533/IF(BS533&gt;0,BS533,MAX(0.1,N(Cockpit!$C$6))),BV533)/BN533,0)*BN533</f>
        <v/>
      </c>
      <c r="AF533" s="56">
        <f>IF(AC533&gt;0,I533/AC533,-1)</f>
        <v/>
      </c>
      <c r="AG533" s="56">
        <f>IF(AND(OR(BR533="L1",BR533="L23"),AC533&gt;0),SUMIFS($AC$7:$AC$1570,$BR$7:$BR$1570,BR533,$AF$7:$AF$1570,"&gt;"&amp;AF533)+SUMIFS($AC$7:$AC$1570,$BR$7:$BR$1570,BR533,$AF$7:$AF$1570,AF533,$BL$7:$BL$1570,"&lt;="&amp;BL533),"")</f>
        <v/>
      </c>
      <c r="AH533" s="65">
        <f>IF(AG533="",0,MAX(0,MIN(1,(IF(BR533="L1",Parameter!$K$5,Parameter!$K$6+Parameter!$K$7)-(AG533-AC533))/AC533)))</f>
        <v/>
      </c>
      <c r="AI533" s="55">
        <f>IF(LEFT(Cockpit!$I$5,1)="A",G533,IF(BT533=1,BU533,IF(LEFT(Cockpit!$I$5,1)="B",AM533,MAX(AM533,G533))))</f>
        <v/>
      </c>
      <c r="AJ533" s="55">
        <f>IF(BO533=1,0,ROUNDUP(AI533/BN533,0))</f>
        <v/>
      </c>
      <c r="AK533" s="64">
        <f>IF(BO533=1,IF(AI533&lt;=0,0,BP533*MAX(1,IF(G533&gt;0,AI533/G533,1))),AJ533*Q533)</f>
        <v/>
      </c>
      <c r="AL533" s="55">
        <f>AI533*F533</f>
        <v/>
      </c>
      <c r="AM533" s="55">
        <f>ROUNDUP(MAX(I533/IF(BS533&gt;0,BS533,MAX(0.1,N(Cockpit!$I$6))),BV533)/BN533,0)*BN533</f>
        <v/>
      </c>
      <c r="AN533" s="56">
        <f>IF(AK533&gt;0,I533/AK533,-1)</f>
        <v/>
      </c>
      <c r="AO533" s="56">
        <f>IF(AND(OR(BR533="L1",BR533="L23"),AK533&gt;0),SUMIFS($AK$7:$AK$1570,$BR$7:$BR$1570,BR533,$AN$7:$AN$1570,"&gt;"&amp;AN533)+SUMIFS($AK$7:$AK$1570,$BR$7:$BR$1570,BR533,$AN$7:$AN$1570,AN533,$BL$7:$BL$1570,"&lt;="&amp;BL533),"")</f>
        <v/>
      </c>
      <c r="AP533" s="65">
        <f>IF(AO533="",0,MAX(0,MIN(1,(IF(BR533="L1",Parameter!$K$5,Parameter!$K$6+Parameter!$K$7)-(AO533-AK533))/AK533)))</f>
        <v/>
      </c>
      <c r="AQ533" s="55">
        <f>IF(LEFT(Cockpit!$O$5,1)="A",G533,IF(BT533=1,BU533,IF(LEFT(Cockpit!$O$5,1)="B",AU533,MAX(AU533,G533))))</f>
        <v/>
      </c>
      <c r="AR533" s="55">
        <f>IF(BO533=1,0,ROUNDUP(AQ533/BN533,0))</f>
        <v/>
      </c>
      <c r="AS533" s="64">
        <f>IF(BO533=1,IF(AQ533&lt;=0,0,BP533*MAX(1,IF(G533&gt;0,AQ533/G533,1))),AR533*Q533)</f>
        <v/>
      </c>
      <c r="AT533" s="55">
        <f>AQ533*F533</f>
        <v/>
      </c>
      <c r="AU533" s="55">
        <f>ROUNDUP(MAX(I533/IF(BS533&gt;0,BS533,MAX(0.1,N(Cockpit!$O$6))),BV533)/BN533,0)*BN533</f>
        <v/>
      </c>
      <c r="AV533" s="56">
        <f>IF(AS533&gt;0,I533/AS533,-1)</f>
        <v/>
      </c>
      <c r="AW533" s="56">
        <f>IF(AND(OR(BR533="L1",BR533="L23"),AS533&gt;0),SUMIFS($AS$7:$AS$1570,$BR$7:$BR$1570,BR533,$AV$7:$AV$1570,"&gt;"&amp;AV533)+SUMIFS($AS$7:$AS$1570,$BR$7:$BR$1570,BR533,$AV$7:$AV$1570,AV533,$BL$7:$BL$1570,"&lt;="&amp;BL533),"")</f>
        <v/>
      </c>
      <c r="AX533" s="65">
        <f>IF(AW533="",0,MAX(0,MIN(1,(IF(BR533="L1",Parameter!$K$5,Parameter!$K$6+Parameter!$K$7)-(AW533-AS533))/AS533)))</f>
        <v/>
      </c>
      <c r="AY533" s="53">
        <f>IF(AC533&lt;=0,"",IF(BR533="Aussen","Aussenlager",IF(BR533="-","Nicht im Lift",IF(AH533&gt;=1,"Lift",IF(AH533&lt;=0,"Aussenlager","teilweise")))))</f>
        <v/>
      </c>
      <c r="AZ533" s="53">
        <f>IF(AK533&lt;=0,"",IF(BR533="Aussen","Aussenlager",IF(BR533="-","Nicht im Lift",IF(AP533&gt;=1,"Lift",IF(AP533&lt;=0,"Aussenlager","teilweise")))))</f>
        <v/>
      </c>
      <c r="BA533" s="53">
        <f>IF(AS533&lt;=0,"",IF(BR533="Aussen","Aussenlager",IF(BR533="-","Nicht im Lift",IF(AX533&gt;=1,"Lift",IF(AX533&lt;=0,"Aussenlager","teilweise")))))</f>
        <v/>
      </c>
      <c r="BB533" s="53">
        <f>IF(A533="","",IF(BK533=1,"Neu; ","")&amp;IF(AND(BK533=0,BF533&lt;0),"negativer Bestand (Export "&amp;BF533&amp;"); ","")&amp;IF(I533&lt;=0,"Kein Verbrauch; ","")&amp;IF(BO533=1,"Lose – Fläche geschätzt; ","")&amp;IF(G533&gt;AM533,"Überbestand "&amp;ROUND(G533-AM533,0)&amp;" Stk / CHF "&amp;ROUND((G533-AM533)*F533,0)&amp;"; ","")&amp;IF(AND(BT533=1,BU533&lt;BV533),"MAX &lt; MB+LG; ","")&amp;IF(AND(BZ533&gt;0,BY533*10&gt;BZ533),"zu hoch für Tablar; ","")&amp;IF(AND(BK533=0,OR(BT533=1,V533&lt;&gt;"",S533&lt;&gt;"",T533&lt;&gt;"",W533&lt;&gt;"")),"manuell übersteuert; ","")&amp;IF(AND(BO533=0,Q533=0),"Gebinde unbekannt; ","")&amp;IF(AND(BO533=0,N(T533)&lt;=0,N(P533)&lt;=0),"Menge pro Gebinde fehlt (Ist = 1 Gebinde); ","")&amp;BJ533)</f>
        <v/>
      </c>
      <c r="BC533" s="53" t="n"/>
      <c r="BD533" s="53" t="n"/>
      <c r="BE533" s="61" t="n"/>
      <c r="BF533" s="55" t="n">
        <v>421</v>
      </c>
      <c r="BG533" s="55" t="n">
        <v>548</v>
      </c>
      <c r="BH533" s="54" t="n">
        <v>25.26000000000001</v>
      </c>
      <c r="BI533" s="55" t="n">
        <v>604</v>
      </c>
      <c r="BJ533" s="53" t="inlineStr"/>
      <c r="BK533" s="58" t="n">
        <v>0</v>
      </c>
      <c r="BL533" s="58" t="n">
        <v>533</v>
      </c>
      <c r="BM533" s="53">
        <f>IF(S533&lt;&gt;"",UPPER(TRIM(S533)),IF(O533="","LOSE",O533))</f>
        <v/>
      </c>
      <c r="BN533" s="55">
        <f>IF(BM533="LOSE",1,IF(N(T533)&gt;0,T533,IF(N(P533)&gt;0,P533,MAX(1,G533))))</f>
        <v/>
      </c>
      <c r="BO533" s="58">
        <f>IF(BM533="LOSE",1,0)</f>
        <v/>
      </c>
      <c r="BP533" s="64">
        <f>IF(BO533=0,0,IF(N(R533)&gt;0,R533,IFERROR(VLOOKUP(D533,Parameter!$A$35:$C$64,3,0)+0,0)))</f>
        <v/>
      </c>
      <c r="BQ533" s="53">
        <f>IF(V533&lt;&gt;"",V533,U533)</f>
        <v/>
      </c>
      <c r="BR533" s="53">
        <f>IF(BQ533=1,"L1",IF(OR(BQ533=2,BQ533=3),"L23",IF(BQ533="Aussen","Aussen","-")))</f>
        <v/>
      </c>
      <c r="BS533" s="66">
        <f>IF(N(W533)&gt;0,W533,0)</f>
        <v/>
      </c>
      <c r="BT533" s="58">
        <f>IF(ISNUMBER(Z533),1,0)</f>
        <v/>
      </c>
      <c r="BU533" s="55">
        <f>N(Z533)</f>
        <v/>
      </c>
      <c r="BV533" s="55">
        <f>N(L533)+N(M533)</f>
        <v/>
      </c>
      <c r="BW533" s="55">
        <f>ROUNDUP(G533/BN533,0)</f>
        <v/>
      </c>
      <c r="BX533" s="55">
        <f>ROUNDUP(BU533/BN533,0)</f>
        <v/>
      </c>
      <c r="BY533" s="58">
        <f>IF(BO533=1,0,IFERROR(VLOOKUP(BM533,'Gebinde-Kategorie'!$A$5:$G$45,5,0)+0,0))</f>
        <v/>
      </c>
      <c r="BZ533" s="58">
        <f>IFERROR(IF(OR(BQ533=1,BQ533=2,BQ533=3),N(INDEX(Parameter!$I$5:$I$7,BQ533)),0),0)</f>
        <v/>
      </c>
    </row>
    <row r="534">
      <c r="A534" s="53" t="inlineStr">
        <is>
          <t>100642</t>
        </is>
      </c>
      <c r="B534" s="53" t="inlineStr">
        <is>
          <t>Winkelverschraubung Edelstahl</t>
        </is>
      </c>
      <c r="C534" s="53" t="inlineStr">
        <is>
          <t>F</t>
        </is>
      </c>
      <c r="D534" s="53" t="inlineStr">
        <is>
          <t>KTL</t>
        </is>
      </c>
      <c r="E534" s="53" t="inlineStr">
        <is>
          <t>C</t>
        </is>
      </c>
      <c r="F534" s="54" t="n">
        <v>24.7</v>
      </c>
      <c r="G534" s="55">
        <f>MAX(0,IF(Parameter!$B$20="Jahresanfang 2025 + Export",BG534+BF534,BF534))</f>
        <v/>
      </c>
      <c r="H534" s="55">
        <f>G534*F534</f>
        <v/>
      </c>
      <c r="I534" s="55">
        <f>BI534*Parameter!$B$18</f>
        <v/>
      </c>
      <c r="J534" s="56" t="n">
        <v>50.5</v>
      </c>
      <c r="K534" s="57" t="n">
        <v>0</v>
      </c>
      <c r="L534" s="55" t="n">
        <v>0</v>
      </c>
      <c r="M534" s="55" t="n">
        <v>1</v>
      </c>
      <c r="N534" s="58" t="n">
        <v>14</v>
      </c>
      <c r="O534" s="53" t="inlineStr">
        <is>
          <t>S32</t>
        </is>
      </c>
      <c r="P534" s="55" t="n">
        <v>47</v>
      </c>
      <c r="Q534" s="59">
        <f>IF(BO534=1,0,IFERROR(VLOOKUP(BM534,'Gebinde-Kategorie'!$A$5:$G$45,6,0)+0,0))</f>
        <v/>
      </c>
      <c r="R534" s="60" t="n"/>
      <c r="S534" s="61" t="n"/>
      <c r="T534" s="61" t="n"/>
      <c r="U534" s="53">
        <f>IF(A534="","",IF(IFERROR(VLOOKUP(D534,Parameter!$A$35:$C$64,2,0),"Nein")="2+3",IF(ISNUMBER(SEARCH("grosser Artikel",BJ534)),2,IFERROR(VLOOKUP(BM534,Parameter!$F$35:$G$64,2,0),2)),IF(OR(IFERROR(VLOOKUP(D534,Parameter!$A$35:$C$64,2,0),"Nein")="Nein",IFERROR(VLOOKUP(D534,Parameter!$A$35:$C$64,2,0),"Nein")=""),"-",VLOOKUP(D534,Parameter!$A$35:$C$64,2,0))))</f>
        <v/>
      </c>
      <c r="V534" s="61" t="n"/>
      <c r="W534" s="62" t="n"/>
      <c r="X534" s="55">
        <f>AM534</f>
        <v/>
      </c>
      <c r="Y534" s="55">
        <f>MAX(AM534,G534)</f>
        <v/>
      </c>
      <c r="Z534" s="63" t="n"/>
      <c r="AA534" s="55">
        <f>IF(LEFT(Cockpit!$C$5,1)="A",G534,IF(BT534=1,BU534,IF(LEFT(Cockpit!$C$5,1)="B",AE534,MAX(AE534,G534))))</f>
        <v/>
      </c>
      <c r="AB534" s="55">
        <f>IF(BO534=1,0,ROUNDUP(AA534/BN534,0))</f>
        <v/>
      </c>
      <c r="AC534" s="64">
        <f>IF(BO534=1,IF(AA534&lt;=0,0,BP534*MAX(1,IF(G534&gt;0,AA534/G534,1))),AB534*Q534)</f>
        <v/>
      </c>
      <c r="AD534" s="55">
        <f>AA534*F534</f>
        <v/>
      </c>
      <c r="AE534" s="55">
        <f>ROUNDUP(MAX(I534/IF(BS534&gt;0,BS534,MAX(0.1,N(Cockpit!$C$6))),BV534)/BN534,0)*BN534</f>
        <v/>
      </c>
      <c r="AF534" s="56">
        <f>IF(AC534&gt;0,I534/AC534,-1)</f>
        <v/>
      </c>
      <c r="AG534" s="56">
        <f>IF(AND(OR(BR534="L1",BR534="L23"),AC534&gt;0),SUMIFS($AC$7:$AC$1570,$BR$7:$BR$1570,BR534,$AF$7:$AF$1570,"&gt;"&amp;AF534)+SUMIFS($AC$7:$AC$1570,$BR$7:$BR$1570,BR534,$AF$7:$AF$1570,AF534,$BL$7:$BL$1570,"&lt;="&amp;BL534),"")</f>
        <v/>
      </c>
      <c r="AH534" s="65">
        <f>IF(AG534="",0,MAX(0,MIN(1,(IF(BR534="L1",Parameter!$K$5,Parameter!$K$6+Parameter!$K$7)-(AG534-AC534))/AC534)))</f>
        <v/>
      </c>
      <c r="AI534" s="55">
        <f>IF(LEFT(Cockpit!$I$5,1)="A",G534,IF(BT534=1,BU534,IF(LEFT(Cockpit!$I$5,1)="B",AM534,MAX(AM534,G534))))</f>
        <v/>
      </c>
      <c r="AJ534" s="55">
        <f>IF(BO534=1,0,ROUNDUP(AI534/BN534,0))</f>
        <v/>
      </c>
      <c r="AK534" s="64">
        <f>IF(BO534=1,IF(AI534&lt;=0,0,BP534*MAX(1,IF(G534&gt;0,AI534/G534,1))),AJ534*Q534)</f>
        <v/>
      </c>
      <c r="AL534" s="55">
        <f>AI534*F534</f>
        <v/>
      </c>
      <c r="AM534" s="55">
        <f>ROUNDUP(MAX(I534/IF(BS534&gt;0,BS534,MAX(0.1,N(Cockpit!$I$6))),BV534)/BN534,0)*BN534</f>
        <v/>
      </c>
      <c r="AN534" s="56">
        <f>IF(AK534&gt;0,I534/AK534,-1)</f>
        <v/>
      </c>
      <c r="AO534" s="56">
        <f>IF(AND(OR(BR534="L1",BR534="L23"),AK534&gt;0),SUMIFS($AK$7:$AK$1570,$BR$7:$BR$1570,BR534,$AN$7:$AN$1570,"&gt;"&amp;AN534)+SUMIFS($AK$7:$AK$1570,$BR$7:$BR$1570,BR534,$AN$7:$AN$1570,AN534,$BL$7:$BL$1570,"&lt;="&amp;BL534),"")</f>
        <v/>
      </c>
      <c r="AP534" s="65">
        <f>IF(AO534="",0,MAX(0,MIN(1,(IF(BR534="L1",Parameter!$K$5,Parameter!$K$6+Parameter!$K$7)-(AO534-AK534))/AK534)))</f>
        <v/>
      </c>
      <c r="AQ534" s="55">
        <f>IF(LEFT(Cockpit!$O$5,1)="A",G534,IF(BT534=1,BU534,IF(LEFT(Cockpit!$O$5,1)="B",AU534,MAX(AU534,G534))))</f>
        <v/>
      </c>
      <c r="AR534" s="55">
        <f>IF(BO534=1,0,ROUNDUP(AQ534/BN534,0))</f>
        <v/>
      </c>
      <c r="AS534" s="64">
        <f>IF(BO534=1,IF(AQ534&lt;=0,0,BP534*MAX(1,IF(G534&gt;0,AQ534/G534,1))),AR534*Q534)</f>
        <v/>
      </c>
      <c r="AT534" s="55">
        <f>AQ534*F534</f>
        <v/>
      </c>
      <c r="AU534" s="55">
        <f>ROUNDUP(MAX(I534/IF(BS534&gt;0,BS534,MAX(0.1,N(Cockpit!$O$6))),BV534)/BN534,0)*BN534</f>
        <v/>
      </c>
      <c r="AV534" s="56">
        <f>IF(AS534&gt;0,I534/AS534,-1)</f>
        <v/>
      </c>
      <c r="AW534" s="56">
        <f>IF(AND(OR(BR534="L1",BR534="L23"),AS534&gt;0),SUMIFS($AS$7:$AS$1570,$BR$7:$BR$1570,BR534,$AV$7:$AV$1570,"&gt;"&amp;AV534)+SUMIFS($AS$7:$AS$1570,$BR$7:$BR$1570,BR534,$AV$7:$AV$1570,AV534,$BL$7:$BL$1570,"&lt;="&amp;BL534),"")</f>
        <v/>
      </c>
      <c r="AX534" s="65">
        <f>IF(AW534="",0,MAX(0,MIN(1,(IF(BR534="L1",Parameter!$K$5,Parameter!$K$6+Parameter!$K$7)-(AW534-AS534))/AS534)))</f>
        <v/>
      </c>
      <c r="AY534" s="53">
        <f>IF(AC534&lt;=0,"",IF(BR534="Aussen","Aussenlager",IF(BR534="-","Nicht im Lift",IF(AH534&gt;=1,"Lift",IF(AH534&lt;=0,"Aussenlager","teilweise")))))</f>
        <v/>
      </c>
      <c r="AZ534" s="53">
        <f>IF(AK534&lt;=0,"",IF(BR534="Aussen","Aussenlager",IF(BR534="-","Nicht im Lift",IF(AP534&gt;=1,"Lift",IF(AP534&lt;=0,"Aussenlager","teilweise")))))</f>
        <v/>
      </c>
      <c r="BA534" s="53">
        <f>IF(AS534&lt;=0,"",IF(BR534="Aussen","Aussenlager",IF(BR534="-","Nicht im Lift",IF(AX534&gt;=1,"Lift",IF(AX534&lt;=0,"Aussenlager","teilweise")))))</f>
        <v/>
      </c>
      <c r="BB534" s="53">
        <f>IF(A534="","",IF(BK534=1,"Neu; ","")&amp;IF(AND(BK534=0,BF534&lt;0),"negativer Bestand (Export "&amp;BF534&amp;"); ","")&amp;IF(I534&lt;=0,"Kein Verbrauch; ","")&amp;IF(BO534=1,"Lose – Fläche geschätzt; ","")&amp;IF(G534&gt;AM534,"Überbestand "&amp;ROUND(G534-AM534,0)&amp;" Stk / CHF "&amp;ROUND((G534-AM534)*F534,0)&amp;"; ","")&amp;IF(AND(BT534=1,BU534&lt;BV534),"MAX &lt; MB+LG; ","")&amp;IF(AND(BZ534&gt;0,BY534*10&gt;BZ534),"zu hoch für Tablar; ","")&amp;IF(AND(BK534=0,OR(BT534=1,V534&lt;&gt;"",S534&lt;&gt;"",T534&lt;&gt;"",W534&lt;&gt;"")),"manuell übersteuert; ","")&amp;IF(AND(BO534=0,Q534=0),"Gebinde unbekannt; ","")&amp;IF(AND(BO534=0,N(T534)&lt;=0,N(P534)&lt;=0),"Menge pro Gebinde fehlt (Ist = 1 Gebinde); ","")&amp;BJ534)</f>
        <v/>
      </c>
      <c r="BC534" s="53" t="n"/>
      <c r="BD534" s="53" t="n"/>
      <c r="BE534" s="61" t="n"/>
      <c r="BF534" s="55" t="n">
        <v>1</v>
      </c>
      <c r="BG534" s="55" t="n">
        <v>50</v>
      </c>
      <c r="BH534" s="54" t="n">
        <v>24.7</v>
      </c>
      <c r="BI534" s="55" t="n">
        <v>0</v>
      </c>
      <c r="BJ534" s="53" t="inlineStr">
        <is>
          <t>Twin</t>
        </is>
      </c>
      <c r="BK534" s="58" t="n">
        <v>0</v>
      </c>
      <c r="BL534" s="58" t="n">
        <v>534</v>
      </c>
      <c r="BM534" s="53">
        <f>IF(S534&lt;&gt;"",UPPER(TRIM(S534)),IF(O534="","LOSE",O534))</f>
        <v/>
      </c>
      <c r="BN534" s="55">
        <f>IF(BM534="LOSE",1,IF(N(T534)&gt;0,T534,IF(N(P534)&gt;0,P534,MAX(1,G534))))</f>
        <v/>
      </c>
      <c r="BO534" s="58">
        <f>IF(BM534="LOSE",1,0)</f>
        <v/>
      </c>
      <c r="BP534" s="64">
        <f>IF(BO534=0,0,IF(N(R534)&gt;0,R534,IFERROR(VLOOKUP(D534,Parameter!$A$35:$C$64,3,0)+0,0)))</f>
        <v/>
      </c>
      <c r="BQ534" s="53">
        <f>IF(V534&lt;&gt;"",V534,U534)</f>
        <v/>
      </c>
      <c r="BR534" s="53">
        <f>IF(BQ534=1,"L1",IF(OR(BQ534=2,BQ534=3),"L23",IF(BQ534="Aussen","Aussen","-")))</f>
        <v/>
      </c>
      <c r="BS534" s="66">
        <f>IF(N(W534)&gt;0,W534,0)</f>
        <v/>
      </c>
      <c r="BT534" s="58">
        <f>IF(ISNUMBER(Z534),1,0)</f>
        <v/>
      </c>
      <c r="BU534" s="55">
        <f>N(Z534)</f>
        <v/>
      </c>
      <c r="BV534" s="55">
        <f>N(L534)+N(M534)</f>
        <v/>
      </c>
      <c r="BW534" s="55">
        <f>ROUNDUP(G534/BN534,0)</f>
        <v/>
      </c>
      <c r="BX534" s="55">
        <f>ROUNDUP(BU534/BN534,0)</f>
        <v/>
      </c>
      <c r="BY534" s="58">
        <f>IF(BO534=1,0,IFERROR(VLOOKUP(BM534,'Gebinde-Kategorie'!$A$5:$G$45,5,0)+0,0))</f>
        <v/>
      </c>
      <c r="BZ534" s="58">
        <f>IFERROR(IF(OR(BQ534=1,BQ534=2,BQ534=3),N(INDEX(Parameter!$I$5:$I$7,BQ534)),0),0)</f>
        <v/>
      </c>
    </row>
    <row r="535">
      <c r="A535" s="53" t="inlineStr">
        <is>
          <t>110821</t>
        </is>
      </c>
      <c r="B535" s="53" t="inlineStr">
        <is>
          <t>Sechskantschraube</t>
        </is>
      </c>
      <c r="C535" s="53" t="inlineStr">
        <is>
          <t>F</t>
        </is>
      </c>
      <c r="D535" s="53" t="inlineStr">
        <is>
          <t>A-BEZ</t>
        </is>
      </c>
      <c r="E535" s="53" t="inlineStr">
        <is>
          <t>C</t>
        </is>
      </c>
      <c r="F535" s="54" t="n">
        <v>2.02</v>
      </c>
      <c r="G535" s="55">
        <f>MAX(0,IF(Parameter!$B$20="Jahresanfang 2025 + Export",BG535+BF535,BF535))</f>
        <v/>
      </c>
      <c r="H535" s="55">
        <f>G535*F535</f>
        <v/>
      </c>
      <c r="I535" s="55">
        <f>BI535*Parameter!$B$18</f>
        <v/>
      </c>
      <c r="J535" s="56" t="n">
        <v>6</v>
      </c>
      <c r="K535" s="57" t="n">
        <v>8</v>
      </c>
      <c r="L535" s="55" t="n">
        <v>0</v>
      </c>
      <c r="M535" s="55" t="n">
        <v>1</v>
      </c>
      <c r="N535" s="58" t="n">
        <v>28</v>
      </c>
      <c r="O535" s="53" t="inlineStr">
        <is>
          <t>LOSE</t>
        </is>
      </c>
      <c r="P535" s="55" t="n"/>
      <c r="Q535" s="59">
        <f>IF(BO535=1,0,IFERROR(VLOOKUP(BM535,'Gebinde-Kategorie'!$A$5:$G$45,6,0)+0,0))</f>
        <v/>
      </c>
      <c r="R535" s="60" t="n"/>
      <c r="S535" s="61" t="n"/>
      <c r="T535" s="61" t="n"/>
      <c r="U535" s="53">
        <f>IF(A535="","",IF(IFERROR(VLOOKUP(D535,Parameter!$A$35:$C$64,2,0),"Nein")="2+3",IF(ISNUMBER(SEARCH("grosser Artikel",BJ535)),2,IFERROR(VLOOKUP(BM535,Parameter!$F$35:$G$64,2,0),2)),IF(OR(IFERROR(VLOOKUP(D535,Parameter!$A$35:$C$64,2,0),"Nein")="Nein",IFERROR(VLOOKUP(D535,Parameter!$A$35:$C$64,2,0),"Nein")=""),"-",VLOOKUP(D535,Parameter!$A$35:$C$64,2,0))))</f>
        <v/>
      </c>
      <c r="V535" s="61" t="n"/>
      <c r="W535" s="62" t="n"/>
      <c r="X535" s="55">
        <f>AM535</f>
        <v/>
      </c>
      <c r="Y535" s="55">
        <f>MAX(AM535,G535)</f>
        <v/>
      </c>
      <c r="Z535" s="63" t="n"/>
      <c r="AA535" s="55">
        <f>IF(LEFT(Cockpit!$C$5,1)="A",G535,IF(BT535=1,BU535,IF(LEFT(Cockpit!$C$5,1)="B",AE535,MAX(AE535,G535))))</f>
        <v/>
      </c>
      <c r="AB535" s="55">
        <f>IF(BO535=1,0,ROUNDUP(AA535/BN535,0))</f>
        <v/>
      </c>
      <c r="AC535" s="64">
        <f>IF(BO535=1,IF(AA535&lt;=0,0,BP535*MAX(1,IF(G535&gt;0,AA535/G535,1))),AB535*Q535)</f>
        <v/>
      </c>
      <c r="AD535" s="55">
        <f>AA535*F535</f>
        <v/>
      </c>
      <c r="AE535" s="55">
        <f>ROUNDUP(MAX(I535/IF(BS535&gt;0,BS535,MAX(0.1,N(Cockpit!$C$6))),BV535)/BN535,0)*BN535</f>
        <v/>
      </c>
      <c r="AF535" s="56">
        <f>IF(AC535&gt;0,I535/AC535,-1)</f>
        <v/>
      </c>
      <c r="AG535" s="56">
        <f>IF(AND(OR(BR535="L1",BR535="L23"),AC535&gt;0),SUMIFS($AC$7:$AC$1570,$BR$7:$BR$1570,BR535,$AF$7:$AF$1570,"&gt;"&amp;AF535)+SUMIFS($AC$7:$AC$1570,$BR$7:$BR$1570,BR535,$AF$7:$AF$1570,AF535,$BL$7:$BL$1570,"&lt;="&amp;BL535),"")</f>
        <v/>
      </c>
      <c r="AH535" s="65">
        <f>IF(AG535="",0,MAX(0,MIN(1,(IF(BR535="L1",Parameter!$K$5,Parameter!$K$6+Parameter!$K$7)-(AG535-AC535))/AC535)))</f>
        <v/>
      </c>
      <c r="AI535" s="55">
        <f>IF(LEFT(Cockpit!$I$5,1)="A",G535,IF(BT535=1,BU535,IF(LEFT(Cockpit!$I$5,1)="B",AM535,MAX(AM535,G535))))</f>
        <v/>
      </c>
      <c r="AJ535" s="55">
        <f>IF(BO535=1,0,ROUNDUP(AI535/BN535,0))</f>
        <v/>
      </c>
      <c r="AK535" s="64">
        <f>IF(BO535=1,IF(AI535&lt;=0,0,BP535*MAX(1,IF(G535&gt;0,AI535/G535,1))),AJ535*Q535)</f>
        <v/>
      </c>
      <c r="AL535" s="55">
        <f>AI535*F535</f>
        <v/>
      </c>
      <c r="AM535" s="55">
        <f>ROUNDUP(MAX(I535/IF(BS535&gt;0,BS535,MAX(0.1,N(Cockpit!$I$6))),BV535)/BN535,0)*BN535</f>
        <v/>
      </c>
      <c r="AN535" s="56">
        <f>IF(AK535&gt;0,I535/AK535,-1)</f>
        <v/>
      </c>
      <c r="AO535" s="56">
        <f>IF(AND(OR(BR535="L1",BR535="L23"),AK535&gt;0),SUMIFS($AK$7:$AK$1570,$BR$7:$BR$1570,BR535,$AN$7:$AN$1570,"&gt;"&amp;AN535)+SUMIFS($AK$7:$AK$1570,$BR$7:$BR$1570,BR535,$AN$7:$AN$1570,AN535,$BL$7:$BL$1570,"&lt;="&amp;BL535),"")</f>
        <v/>
      </c>
      <c r="AP535" s="65">
        <f>IF(AO535="",0,MAX(0,MIN(1,(IF(BR535="L1",Parameter!$K$5,Parameter!$K$6+Parameter!$K$7)-(AO535-AK535))/AK535)))</f>
        <v/>
      </c>
      <c r="AQ535" s="55">
        <f>IF(LEFT(Cockpit!$O$5,1)="A",G535,IF(BT535=1,BU535,IF(LEFT(Cockpit!$O$5,1)="B",AU535,MAX(AU535,G535))))</f>
        <v/>
      </c>
      <c r="AR535" s="55">
        <f>IF(BO535=1,0,ROUNDUP(AQ535/BN535,0))</f>
        <v/>
      </c>
      <c r="AS535" s="64">
        <f>IF(BO535=1,IF(AQ535&lt;=0,0,BP535*MAX(1,IF(G535&gt;0,AQ535/G535,1))),AR535*Q535)</f>
        <v/>
      </c>
      <c r="AT535" s="55">
        <f>AQ535*F535</f>
        <v/>
      </c>
      <c r="AU535" s="55">
        <f>ROUNDUP(MAX(I535/IF(BS535&gt;0,BS535,MAX(0.1,N(Cockpit!$O$6))),BV535)/BN535,0)*BN535</f>
        <v/>
      </c>
      <c r="AV535" s="56">
        <f>IF(AS535&gt;0,I535/AS535,-1)</f>
        <v/>
      </c>
      <c r="AW535" s="56">
        <f>IF(AND(OR(BR535="L1",BR535="L23"),AS535&gt;0),SUMIFS($AS$7:$AS$1570,$BR$7:$BR$1570,BR535,$AV$7:$AV$1570,"&gt;"&amp;AV535)+SUMIFS($AS$7:$AS$1570,$BR$7:$BR$1570,BR535,$AV$7:$AV$1570,AV535,$BL$7:$BL$1570,"&lt;="&amp;BL535),"")</f>
        <v/>
      </c>
      <c r="AX535" s="65">
        <f>IF(AW535="",0,MAX(0,MIN(1,(IF(BR535="L1",Parameter!$K$5,Parameter!$K$6+Parameter!$K$7)-(AW535-AS535))/AS535)))</f>
        <v/>
      </c>
      <c r="AY535" s="53">
        <f>IF(AC535&lt;=0,"",IF(BR535="Aussen","Aussenlager",IF(BR535="-","Nicht im Lift",IF(AH535&gt;=1,"Lift",IF(AH535&lt;=0,"Aussenlager","teilweise")))))</f>
        <v/>
      </c>
      <c r="AZ535" s="53">
        <f>IF(AK535&lt;=0,"",IF(BR535="Aussen","Aussenlager",IF(BR535="-","Nicht im Lift",IF(AP535&gt;=1,"Lift",IF(AP535&lt;=0,"Aussenlager","teilweise")))))</f>
        <v/>
      </c>
      <c r="BA535" s="53">
        <f>IF(AS535&lt;=0,"",IF(BR535="Aussen","Aussenlager",IF(BR535="-","Nicht im Lift",IF(AX535&gt;=1,"Lift",IF(AX535&lt;=0,"Aussenlager","teilweise")))))</f>
        <v/>
      </c>
      <c r="BB535" s="53">
        <f>IF(A535="","",IF(BK535=1,"Neu; ","")&amp;IF(AND(BK535=0,BF535&lt;0),"negativer Bestand (Export "&amp;BF535&amp;"); ","")&amp;IF(I535&lt;=0,"Kein Verbrauch; ","")&amp;IF(BO535=1,"Lose – Fläche geschätzt; ","")&amp;IF(G535&gt;AM535,"Überbestand "&amp;ROUND(G535-AM535,0)&amp;" Stk / CHF "&amp;ROUND((G535-AM535)*F535,0)&amp;"; ","")&amp;IF(AND(BT535=1,BU535&lt;BV535),"MAX &lt; MB+LG; ","")&amp;IF(AND(BZ535&gt;0,BY535*10&gt;BZ535),"zu hoch für Tablar; ","")&amp;IF(AND(BK535=0,OR(BT535=1,V535&lt;&gt;"",S535&lt;&gt;"",T535&lt;&gt;"",W535&lt;&gt;"")),"manuell übersteuert; ","")&amp;IF(AND(BO535=0,Q535=0),"Gebinde unbekannt; ","")&amp;IF(AND(BO535=0,N(T535)&lt;=0,N(P535)&lt;=0),"Menge pro Gebinde fehlt (Ist = 1 Gebinde); ","")&amp;BJ535)</f>
        <v/>
      </c>
      <c r="BC535" s="53" t="n"/>
      <c r="BD535" s="53" t="n"/>
      <c r="BE535" s="61" t="n"/>
      <c r="BF535" s="55" t="n">
        <v>12</v>
      </c>
      <c r="BG535" s="55" t="n">
        <v>0</v>
      </c>
      <c r="BH535" s="54" t="n">
        <v>24.24000000000001</v>
      </c>
      <c r="BI535" s="55" t="n">
        <v>48</v>
      </c>
      <c r="BJ535" s="53" t="inlineStr"/>
      <c r="BK535" s="58" t="n">
        <v>0</v>
      </c>
      <c r="BL535" s="58" t="n">
        <v>535</v>
      </c>
      <c r="BM535" s="53">
        <f>IF(S535&lt;&gt;"",UPPER(TRIM(S535)),IF(O535="","LOSE",O535))</f>
        <v/>
      </c>
      <c r="BN535" s="55">
        <f>IF(BM535="LOSE",1,IF(N(T535)&gt;0,T535,IF(N(P535)&gt;0,P535,MAX(1,G535))))</f>
        <v/>
      </c>
      <c r="BO535" s="58">
        <f>IF(BM535="LOSE",1,0)</f>
        <v/>
      </c>
      <c r="BP535" s="64">
        <f>IF(BO535=0,0,IF(N(R535)&gt;0,R535,IFERROR(VLOOKUP(D535,Parameter!$A$35:$C$64,3,0)+0,0)))</f>
        <v/>
      </c>
      <c r="BQ535" s="53">
        <f>IF(V535&lt;&gt;"",V535,U535)</f>
        <v/>
      </c>
      <c r="BR535" s="53">
        <f>IF(BQ535=1,"L1",IF(OR(BQ535=2,BQ535=3),"L23",IF(BQ535="Aussen","Aussen","-")))</f>
        <v/>
      </c>
      <c r="BS535" s="66">
        <f>IF(N(W535)&gt;0,W535,0)</f>
        <v/>
      </c>
      <c r="BT535" s="58">
        <f>IF(ISNUMBER(Z535),1,0)</f>
        <v/>
      </c>
      <c r="BU535" s="55">
        <f>N(Z535)</f>
        <v/>
      </c>
      <c r="BV535" s="55">
        <f>N(L535)+N(M535)</f>
        <v/>
      </c>
      <c r="BW535" s="55">
        <f>ROUNDUP(G535/BN535,0)</f>
        <v/>
      </c>
      <c r="BX535" s="55">
        <f>ROUNDUP(BU535/BN535,0)</f>
        <v/>
      </c>
      <c r="BY535" s="58">
        <f>IF(BO535=1,0,IFERROR(VLOOKUP(BM535,'Gebinde-Kategorie'!$A$5:$G$45,5,0)+0,0))</f>
        <v/>
      </c>
      <c r="BZ535" s="58">
        <f>IFERROR(IF(OR(BQ535=1,BQ535=2,BQ535=3),N(INDEX(Parameter!$I$5:$I$7,BQ535)),0),0)</f>
        <v/>
      </c>
    </row>
    <row r="536">
      <c r="A536" s="53" t="inlineStr">
        <is>
          <t>100903</t>
        </is>
      </c>
      <c r="B536" s="53" t="inlineStr">
        <is>
          <t>Rapid Kettenglied</t>
        </is>
      </c>
      <c r="C536" s="53" t="inlineStr">
        <is>
          <t>F</t>
        </is>
      </c>
      <c r="D536" s="53" t="inlineStr">
        <is>
          <t>KTL</t>
        </is>
      </c>
      <c r="E536" s="53" t="inlineStr">
        <is>
          <t>C</t>
        </is>
      </c>
      <c r="F536" s="54" t="n">
        <v>4.46</v>
      </c>
      <c r="G536" s="55">
        <f>MAX(0,IF(Parameter!$B$20="Jahresanfang 2025 + Export",BG536+BF536,BF536))</f>
        <v/>
      </c>
      <c r="H536" s="55">
        <f>G536*F536</f>
        <v/>
      </c>
      <c r="I536" s="55">
        <f>BI536*Parameter!$B$18</f>
        <v/>
      </c>
      <c r="J536" s="56" t="n">
        <v>5</v>
      </c>
      <c r="K536" s="57" t="n">
        <v>0</v>
      </c>
      <c r="L536" s="55" t="n">
        <v>0</v>
      </c>
      <c r="M536" s="55" t="n">
        <v>1</v>
      </c>
      <c r="N536" s="58" t="n">
        <v>14</v>
      </c>
      <c r="O536" s="53" t="inlineStr">
        <is>
          <t>S41</t>
        </is>
      </c>
      <c r="P536" s="55" t="n">
        <v>25</v>
      </c>
      <c r="Q536" s="59">
        <f>IF(BO536=1,0,IFERROR(VLOOKUP(BM536,'Gebinde-Kategorie'!$A$5:$G$45,6,0)+0,0))</f>
        <v/>
      </c>
      <c r="R536" s="60" t="n"/>
      <c r="S536" s="61" t="n"/>
      <c r="T536" s="61" t="n"/>
      <c r="U536" s="53">
        <f>IF(A536="","",IF(IFERROR(VLOOKUP(D536,Parameter!$A$35:$C$64,2,0),"Nein")="2+3",IF(ISNUMBER(SEARCH("grosser Artikel",BJ536)),2,IFERROR(VLOOKUP(BM536,Parameter!$F$35:$G$64,2,0),2)),IF(OR(IFERROR(VLOOKUP(D536,Parameter!$A$35:$C$64,2,0),"Nein")="Nein",IFERROR(VLOOKUP(D536,Parameter!$A$35:$C$64,2,0),"Nein")=""),"-",VLOOKUP(D536,Parameter!$A$35:$C$64,2,0))))</f>
        <v/>
      </c>
      <c r="V536" s="61" t="n"/>
      <c r="W536" s="62" t="n"/>
      <c r="X536" s="55">
        <f>AM536</f>
        <v/>
      </c>
      <c r="Y536" s="55">
        <f>MAX(AM536,G536)</f>
        <v/>
      </c>
      <c r="Z536" s="63" t="n"/>
      <c r="AA536" s="55">
        <f>IF(LEFT(Cockpit!$C$5,1)="A",G536,IF(BT536=1,BU536,IF(LEFT(Cockpit!$C$5,1)="B",AE536,MAX(AE536,G536))))</f>
        <v/>
      </c>
      <c r="AB536" s="55">
        <f>IF(BO536=1,0,ROUNDUP(AA536/BN536,0))</f>
        <v/>
      </c>
      <c r="AC536" s="64">
        <f>IF(BO536=1,IF(AA536&lt;=0,0,BP536*MAX(1,IF(G536&gt;0,AA536/G536,1))),AB536*Q536)</f>
        <v/>
      </c>
      <c r="AD536" s="55">
        <f>AA536*F536</f>
        <v/>
      </c>
      <c r="AE536" s="55">
        <f>ROUNDUP(MAX(I536/IF(BS536&gt;0,BS536,MAX(0.1,N(Cockpit!$C$6))),BV536)/BN536,0)*BN536</f>
        <v/>
      </c>
      <c r="AF536" s="56">
        <f>IF(AC536&gt;0,I536/AC536,-1)</f>
        <v/>
      </c>
      <c r="AG536" s="56">
        <f>IF(AND(OR(BR536="L1",BR536="L23"),AC536&gt;0),SUMIFS($AC$7:$AC$1570,$BR$7:$BR$1570,BR536,$AF$7:$AF$1570,"&gt;"&amp;AF536)+SUMIFS($AC$7:$AC$1570,$BR$7:$BR$1570,BR536,$AF$7:$AF$1570,AF536,$BL$7:$BL$1570,"&lt;="&amp;BL536),"")</f>
        <v/>
      </c>
      <c r="AH536" s="65">
        <f>IF(AG536="",0,MAX(0,MIN(1,(IF(BR536="L1",Parameter!$K$5,Parameter!$K$6+Parameter!$K$7)-(AG536-AC536))/AC536)))</f>
        <v/>
      </c>
      <c r="AI536" s="55">
        <f>IF(LEFT(Cockpit!$I$5,1)="A",G536,IF(BT536=1,BU536,IF(LEFT(Cockpit!$I$5,1)="B",AM536,MAX(AM536,G536))))</f>
        <v/>
      </c>
      <c r="AJ536" s="55">
        <f>IF(BO536=1,0,ROUNDUP(AI536/BN536,0))</f>
        <v/>
      </c>
      <c r="AK536" s="64">
        <f>IF(BO536=1,IF(AI536&lt;=0,0,BP536*MAX(1,IF(G536&gt;0,AI536/G536,1))),AJ536*Q536)</f>
        <v/>
      </c>
      <c r="AL536" s="55">
        <f>AI536*F536</f>
        <v/>
      </c>
      <c r="AM536" s="55">
        <f>ROUNDUP(MAX(I536/IF(BS536&gt;0,BS536,MAX(0.1,N(Cockpit!$I$6))),BV536)/BN536,0)*BN536</f>
        <v/>
      </c>
      <c r="AN536" s="56">
        <f>IF(AK536&gt;0,I536/AK536,-1)</f>
        <v/>
      </c>
      <c r="AO536" s="56">
        <f>IF(AND(OR(BR536="L1",BR536="L23"),AK536&gt;0),SUMIFS($AK$7:$AK$1570,$BR$7:$BR$1570,BR536,$AN$7:$AN$1570,"&gt;"&amp;AN536)+SUMIFS($AK$7:$AK$1570,$BR$7:$BR$1570,BR536,$AN$7:$AN$1570,AN536,$BL$7:$BL$1570,"&lt;="&amp;BL536),"")</f>
        <v/>
      </c>
      <c r="AP536" s="65">
        <f>IF(AO536="",0,MAX(0,MIN(1,(IF(BR536="L1",Parameter!$K$5,Parameter!$K$6+Parameter!$K$7)-(AO536-AK536))/AK536)))</f>
        <v/>
      </c>
      <c r="AQ536" s="55">
        <f>IF(LEFT(Cockpit!$O$5,1)="A",G536,IF(BT536=1,BU536,IF(LEFT(Cockpit!$O$5,1)="B",AU536,MAX(AU536,G536))))</f>
        <v/>
      </c>
      <c r="AR536" s="55">
        <f>IF(BO536=1,0,ROUNDUP(AQ536/BN536,0))</f>
        <v/>
      </c>
      <c r="AS536" s="64">
        <f>IF(BO536=1,IF(AQ536&lt;=0,0,BP536*MAX(1,IF(G536&gt;0,AQ536/G536,1))),AR536*Q536)</f>
        <v/>
      </c>
      <c r="AT536" s="55">
        <f>AQ536*F536</f>
        <v/>
      </c>
      <c r="AU536" s="55">
        <f>ROUNDUP(MAX(I536/IF(BS536&gt;0,BS536,MAX(0.1,N(Cockpit!$O$6))),BV536)/BN536,0)*BN536</f>
        <v/>
      </c>
      <c r="AV536" s="56">
        <f>IF(AS536&gt;0,I536/AS536,-1)</f>
        <v/>
      </c>
      <c r="AW536" s="56">
        <f>IF(AND(OR(BR536="L1",BR536="L23"),AS536&gt;0),SUMIFS($AS$7:$AS$1570,$BR$7:$BR$1570,BR536,$AV$7:$AV$1570,"&gt;"&amp;AV536)+SUMIFS($AS$7:$AS$1570,$BR$7:$BR$1570,BR536,$AV$7:$AV$1570,AV536,$BL$7:$BL$1570,"&lt;="&amp;BL536),"")</f>
        <v/>
      </c>
      <c r="AX536" s="65">
        <f>IF(AW536="",0,MAX(0,MIN(1,(IF(BR536="L1",Parameter!$K$5,Parameter!$K$6+Parameter!$K$7)-(AW536-AS536))/AS536)))</f>
        <v/>
      </c>
      <c r="AY536" s="53">
        <f>IF(AC536&lt;=0,"",IF(BR536="Aussen","Aussenlager",IF(BR536="-","Nicht im Lift",IF(AH536&gt;=1,"Lift",IF(AH536&lt;=0,"Aussenlager","teilweise")))))</f>
        <v/>
      </c>
      <c r="AZ536" s="53">
        <f>IF(AK536&lt;=0,"",IF(BR536="Aussen","Aussenlager",IF(BR536="-","Nicht im Lift",IF(AP536&gt;=1,"Lift",IF(AP536&lt;=0,"Aussenlager","teilweise")))))</f>
        <v/>
      </c>
      <c r="BA536" s="53">
        <f>IF(AS536&lt;=0,"",IF(BR536="Aussen","Aussenlager",IF(BR536="-","Nicht im Lift",IF(AX536&gt;=1,"Lift",IF(AX536&lt;=0,"Aussenlager","teilweise")))))</f>
        <v/>
      </c>
      <c r="BB536" s="53">
        <f>IF(A536="","",IF(BK536=1,"Neu; ","")&amp;IF(AND(BK536=0,BF536&lt;0),"negativer Bestand (Export "&amp;BF536&amp;"); ","")&amp;IF(I536&lt;=0,"Kein Verbrauch; ","")&amp;IF(BO536=1,"Lose – Fläche geschätzt; ","")&amp;IF(G536&gt;AM536,"Überbestand "&amp;ROUND(G536-AM536,0)&amp;" Stk / CHF "&amp;ROUND((G536-AM536)*F536,0)&amp;"; ","")&amp;IF(AND(BT536=1,BU536&lt;BV536),"MAX &lt; MB+LG; ","")&amp;IF(AND(BZ536&gt;0,BY536*10&gt;BZ536),"zu hoch für Tablar; ","")&amp;IF(AND(BK536=0,OR(BT536=1,V536&lt;&gt;"",S536&lt;&gt;"",T536&lt;&gt;"",W536&lt;&gt;"")),"manuell übersteuert; ","")&amp;IF(AND(BO536=0,Q536=0),"Gebinde unbekannt; ","")&amp;IF(AND(BO536=0,N(T536)&lt;=0,N(P536)&lt;=0),"Menge pro Gebinde fehlt (Ist = 1 Gebinde); ","")&amp;BJ536)</f>
        <v/>
      </c>
      <c r="BC536" s="53" t="n"/>
      <c r="BD536" s="53" t="n"/>
      <c r="BE536" s="61" t="n"/>
      <c r="BF536" s="55" t="n">
        <v>4</v>
      </c>
      <c r="BG536" s="55" t="n">
        <v>5</v>
      </c>
      <c r="BH536" s="54" t="n">
        <v>23.99</v>
      </c>
      <c r="BI536" s="55" t="n">
        <v>0</v>
      </c>
      <c r="BJ536" s="53" t="inlineStr">
        <is>
          <t>Überbestand</t>
        </is>
      </c>
      <c r="BK536" s="58" t="n">
        <v>0</v>
      </c>
      <c r="BL536" s="58" t="n">
        <v>536</v>
      </c>
      <c r="BM536" s="53">
        <f>IF(S536&lt;&gt;"",UPPER(TRIM(S536)),IF(O536="","LOSE",O536))</f>
        <v/>
      </c>
      <c r="BN536" s="55">
        <f>IF(BM536="LOSE",1,IF(N(T536)&gt;0,T536,IF(N(P536)&gt;0,P536,MAX(1,G536))))</f>
        <v/>
      </c>
      <c r="BO536" s="58">
        <f>IF(BM536="LOSE",1,0)</f>
        <v/>
      </c>
      <c r="BP536" s="64">
        <f>IF(BO536=0,0,IF(N(R536)&gt;0,R536,IFERROR(VLOOKUP(D536,Parameter!$A$35:$C$64,3,0)+0,0)))</f>
        <v/>
      </c>
      <c r="BQ536" s="53">
        <f>IF(V536&lt;&gt;"",V536,U536)</f>
        <v/>
      </c>
      <c r="BR536" s="53">
        <f>IF(BQ536=1,"L1",IF(OR(BQ536=2,BQ536=3),"L23",IF(BQ536="Aussen","Aussen","-")))</f>
        <v/>
      </c>
      <c r="BS536" s="66">
        <f>IF(N(W536)&gt;0,W536,0)</f>
        <v/>
      </c>
      <c r="BT536" s="58">
        <f>IF(ISNUMBER(Z536),1,0)</f>
        <v/>
      </c>
      <c r="BU536" s="55">
        <f>N(Z536)</f>
        <v/>
      </c>
      <c r="BV536" s="55">
        <f>N(L536)+N(M536)</f>
        <v/>
      </c>
      <c r="BW536" s="55">
        <f>ROUNDUP(G536/BN536,0)</f>
        <v/>
      </c>
      <c r="BX536" s="55">
        <f>ROUNDUP(BU536/BN536,0)</f>
        <v/>
      </c>
      <c r="BY536" s="58">
        <f>IF(BO536=1,0,IFERROR(VLOOKUP(BM536,'Gebinde-Kategorie'!$A$5:$G$45,5,0)+0,0))</f>
        <v/>
      </c>
      <c r="BZ536" s="58">
        <f>IFERROR(IF(OR(BQ536=1,BQ536=2,BQ536=3),N(INDEX(Parameter!$I$5:$I$7,BQ536)),0),0)</f>
        <v/>
      </c>
    </row>
    <row r="537">
      <c r="A537" s="53" t="inlineStr">
        <is>
          <t>001200</t>
        </is>
      </c>
      <c r="B537" s="53" t="inlineStr">
        <is>
          <t>Luftpolsterfolie</t>
        </is>
      </c>
      <c r="C537" s="53" t="inlineStr">
        <is>
          <t>F</t>
        </is>
      </c>
      <c r="D537" s="53" t="inlineStr">
        <is>
          <t>PAL</t>
        </is>
      </c>
      <c r="E537" s="53" t="inlineStr">
        <is>
          <t>C</t>
        </is>
      </c>
      <c r="F537" s="54" t="n">
        <v>41.41</v>
      </c>
      <c r="G537" s="55">
        <f>MAX(0,IF(Parameter!$B$20="Jahresanfang 2025 + Export",BG537+BF537,BF537))</f>
        <v/>
      </c>
      <c r="H537" s="55">
        <f>G537*F537</f>
        <v/>
      </c>
      <c r="I537" s="55">
        <f>BI537*Parameter!$B$18</f>
        <v/>
      </c>
      <c r="J537" s="56" t="n">
        <v>2.5</v>
      </c>
      <c r="K537" s="57" t="n">
        <v>4.8</v>
      </c>
      <c r="L537" s="55" t="n">
        <v>1</v>
      </c>
      <c r="M537" s="55" t="n">
        <v>4</v>
      </c>
      <c r="N537" s="58" t="n">
        <v>14</v>
      </c>
      <c r="O537" s="53" t="inlineStr">
        <is>
          <t>LOSE</t>
        </is>
      </c>
      <c r="P537" s="55" t="n"/>
      <c r="Q537" s="59">
        <f>IF(BO537=1,0,IFERROR(VLOOKUP(BM537,'Gebinde-Kategorie'!$A$5:$G$45,6,0)+0,0))</f>
        <v/>
      </c>
      <c r="R537" s="60" t="n"/>
      <c r="S537" s="61" t="n"/>
      <c r="T537" s="61" t="n"/>
      <c r="U537" s="53">
        <f>IF(A537="","",IF(IFERROR(VLOOKUP(D537,Parameter!$A$35:$C$64,2,0),"Nein")="2+3",IF(ISNUMBER(SEARCH("grosser Artikel",BJ537)),2,IFERROR(VLOOKUP(BM537,Parameter!$F$35:$G$64,2,0),2)),IF(OR(IFERROR(VLOOKUP(D537,Parameter!$A$35:$C$64,2,0),"Nein")="Nein",IFERROR(VLOOKUP(D537,Parameter!$A$35:$C$64,2,0),"Nein")=""),"-",VLOOKUP(D537,Parameter!$A$35:$C$64,2,0))))</f>
        <v/>
      </c>
      <c r="V537" s="61" t="n"/>
      <c r="W537" s="62" t="n"/>
      <c r="X537" s="55">
        <f>AM537</f>
        <v/>
      </c>
      <c r="Y537" s="55">
        <f>MAX(AM537,G537)</f>
        <v/>
      </c>
      <c r="Z537" s="63" t="n"/>
      <c r="AA537" s="55">
        <f>IF(LEFT(Cockpit!$C$5,1)="A",G537,IF(BT537=1,BU537,IF(LEFT(Cockpit!$C$5,1)="B",AE537,MAX(AE537,G537))))</f>
        <v/>
      </c>
      <c r="AB537" s="55">
        <f>IF(BO537=1,0,ROUNDUP(AA537/BN537,0))</f>
        <v/>
      </c>
      <c r="AC537" s="64">
        <f>IF(BO537=1,IF(AA537&lt;=0,0,BP537*MAX(1,IF(G537&gt;0,AA537/G537,1))),AB537*Q537)</f>
        <v/>
      </c>
      <c r="AD537" s="55">
        <f>AA537*F537</f>
        <v/>
      </c>
      <c r="AE537" s="55">
        <f>ROUNDUP(MAX(I537/IF(BS537&gt;0,BS537,MAX(0.1,N(Cockpit!$C$6))),BV537)/BN537,0)*BN537</f>
        <v/>
      </c>
      <c r="AF537" s="56">
        <f>IF(AC537&gt;0,I537/AC537,-1)</f>
        <v/>
      </c>
      <c r="AG537" s="56">
        <f>IF(AND(OR(BR537="L1",BR537="L23"),AC537&gt;0),SUMIFS($AC$7:$AC$1570,$BR$7:$BR$1570,BR537,$AF$7:$AF$1570,"&gt;"&amp;AF537)+SUMIFS($AC$7:$AC$1570,$BR$7:$BR$1570,BR537,$AF$7:$AF$1570,AF537,$BL$7:$BL$1570,"&lt;="&amp;BL537),"")</f>
        <v/>
      </c>
      <c r="AH537" s="65">
        <f>IF(AG537="",0,MAX(0,MIN(1,(IF(BR537="L1",Parameter!$K$5,Parameter!$K$6+Parameter!$K$7)-(AG537-AC537))/AC537)))</f>
        <v/>
      </c>
      <c r="AI537" s="55">
        <f>IF(LEFT(Cockpit!$I$5,1)="A",G537,IF(BT537=1,BU537,IF(LEFT(Cockpit!$I$5,1)="B",AM537,MAX(AM537,G537))))</f>
        <v/>
      </c>
      <c r="AJ537" s="55">
        <f>IF(BO537=1,0,ROUNDUP(AI537/BN537,0))</f>
        <v/>
      </c>
      <c r="AK537" s="64">
        <f>IF(BO537=1,IF(AI537&lt;=0,0,BP537*MAX(1,IF(G537&gt;0,AI537/G537,1))),AJ537*Q537)</f>
        <v/>
      </c>
      <c r="AL537" s="55">
        <f>AI537*F537</f>
        <v/>
      </c>
      <c r="AM537" s="55">
        <f>ROUNDUP(MAX(I537/IF(BS537&gt;0,BS537,MAX(0.1,N(Cockpit!$I$6))),BV537)/BN537,0)*BN537</f>
        <v/>
      </c>
      <c r="AN537" s="56">
        <f>IF(AK537&gt;0,I537/AK537,-1)</f>
        <v/>
      </c>
      <c r="AO537" s="56">
        <f>IF(AND(OR(BR537="L1",BR537="L23"),AK537&gt;0),SUMIFS($AK$7:$AK$1570,$BR$7:$BR$1570,BR537,$AN$7:$AN$1570,"&gt;"&amp;AN537)+SUMIFS($AK$7:$AK$1570,$BR$7:$BR$1570,BR537,$AN$7:$AN$1570,AN537,$BL$7:$BL$1570,"&lt;="&amp;BL537),"")</f>
        <v/>
      </c>
      <c r="AP537" s="65">
        <f>IF(AO537="",0,MAX(0,MIN(1,(IF(BR537="L1",Parameter!$K$5,Parameter!$K$6+Parameter!$K$7)-(AO537-AK537))/AK537)))</f>
        <v/>
      </c>
      <c r="AQ537" s="55">
        <f>IF(LEFT(Cockpit!$O$5,1)="A",G537,IF(BT537=1,BU537,IF(LEFT(Cockpit!$O$5,1)="B",AU537,MAX(AU537,G537))))</f>
        <v/>
      </c>
      <c r="AR537" s="55">
        <f>IF(BO537=1,0,ROUNDUP(AQ537/BN537,0))</f>
        <v/>
      </c>
      <c r="AS537" s="64">
        <f>IF(BO537=1,IF(AQ537&lt;=0,0,BP537*MAX(1,IF(G537&gt;0,AQ537/G537,1))),AR537*Q537)</f>
        <v/>
      </c>
      <c r="AT537" s="55">
        <f>AQ537*F537</f>
        <v/>
      </c>
      <c r="AU537" s="55">
        <f>ROUNDUP(MAX(I537/IF(BS537&gt;0,BS537,MAX(0.1,N(Cockpit!$O$6))),BV537)/BN537,0)*BN537</f>
        <v/>
      </c>
      <c r="AV537" s="56">
        <f>IF(AS537&gt;0,I537/AS537,-1)</f>
        <v/>
      </c>
      <c r="AW537" s="56">
        <f>IF(AND(OR(BR537="L1",BR537="L23"),AS537&gt;0),SUMIFS($AS$7:$AS$1570,$BR$7:$BR$1570,BR537,$AV$7:$AV$1570,"&gt;"&amp;AV537)+SUMIFS($AS$7:$AS$1570,$BR$7:$BR$1570,BR537,$AV$7:$AV$1570,AV537,$BL$7:$BL$1570,"&lt;="&amp;BL537),"")</f>
        <v/>
      </c>
      <c r="AX537" s="65">
        <f>IF(AW537="",0,MAX(0,MIN(1,(IF(BR537="L1",Parameter!$K$5,Parameter!$K$6+Parameter!$K$7)-(AW537-AS537))/AS537)))</f>
        <v/>
      </c>
      <c r="AY537" s="53">
        <f>IF(AC537&lt;=0,"",IF(BR537="Aussen","Aussenlager",IF(BR537="-","Nicht im Lift",IF(AH537&gt;=1,"Lift",IF(AH537&lt;=0,"Aussenlager","teilweise")))))</f>
        <v/>
      </c>
      <c r="AZ537" s="53">
        <f>IF(AK537&lt;=0,"",IF(BR537="Aussen","Aussenlager",IF(BR537="-","Nicht im Lift",IF(AP537&gt;=1,"Lift",IF(AP537&lt;=0,"Aussenlager","teilweise")))))</f>
        <v/>
      </c>
      <c r="BA537" s="53">
        <f>IF(AS537&lt;=0,"",IF(BR537="Aussen","Aussenlager",IF(BR537="-","Nicht im Lift",IF(AX537&gt;=1,"Lift",IF(AX537&lt;=0,"Aussenlager","teilweise")))))</f>
        <v/>
      </c>
      <c r="BB537" s="53">
        <f>IF(A537="","",IF(BK537=1,"Neu; ","")&amp;IF(AND(BK537=0,BF537&lt;0),"negativer Bestand (Export "&amp;BF537&amp;"); ","")&amp;IF(I537&lt;=0,"Kein Verbrauch; ","")&amp;IF(BO537=1,"Lose – Fläche geschätzt; ","")&amp;IF(G537&gt;AM537,"Überbestand "&amp;ROUND(G537-AM537,0)&amp;" Stk / CHF "&amp;ROUND((G537-AM537)*F537,0)&amp;"; ","")&amp;IF(AND(BT537=1,BU537&lt;BV537),"MAX &lt; MB+LG; ","")&amp;IF(AND(BZ537&gt;0,BY537*10&gt;BZ537),"zu hoch für Tablar; ","")&amp;IF(AND(BK537=0,OR(BT537=1,V537&lt;&gt;"",S537&lt;&gt;"",T537&lt;&gt;"",W537&lt;&gt;"")),"manuell übersteuert; ","")&amp;IF(AND(BO537=0,Q537=0),"Gebinde unbekannt; ","")&amp;IF(AND(BO537=0,N(T537)&lt;=0,N(P537)&lt;=0),"Menge pro Gebinde fehlt (Ist = 1 Gebinde); ","")&amp;BJ537)</f>
        <v/>
      </c>
      <c r="BC537" s="53" t="n"/>
      <c r="BD537" s="53" t="n"/>
      <c r="BE537" s="61" t="n"/>
      <c r="BF537" s="55" t="n">
        <v>1</v>
      </c>
      <c r="BG537" s="55" t="n">
        <v>2</v>
      </c>
      <c r="BH537" s="54" t="n">
        <v>23.63000000000009</v>
      </c>
      <c r="BI537" s="55" t="n">
        <v>12</v>
      </c>
      <c r="BJ537" s="53" t="inlineStr">
        <is>
          <t>grosser Artikel &amp; nicht im KTL</t>
        </is>
      </c>
      <c r="BK537" s="58" t="n">
        <v>0</v>
      </c>
      <c r="BL537" s="58" t="n">
        <v>537</v>
      </c>
      <c r="BM537" s="53">
        <f>IF(S537&lt;&gt;"",UPPER(TRIM(S537)),IF(O537="","LOSE",O537))</f>
        <v/>
      </c>
      <c r="BN537" s="55">
        <f>IF(BM537="LOSE",1,IF(N(T537)&gt;0,T537,IF(N(P537)&gt;0,P537,MAX(1,G537))))</f>
        <v/>
      </c>
      <c r="BO537" s="58">
        <f>IF(BM537="LOSE",1,0)</f>
        <v/>
      </c>
      <c r="BP537" s="64">
        <f>IF(BO537=0,0,IF(N(R537)&gt;0,R537,IFERROR(VLOOKUP(D537,Parameter!$A$35:$C$64,3,0)+0,0)))</f>
        <v/>
      </c>
      <c r="BQ537" s="53">
        <f>IF(V537&lt;&gt;"",V537,U537)</f>
        <v/>
      </c>
      <c r="BR537" s="53">
        <f>IF(BQ537=1,"L1",IF(OR(BQ537=2,BQ537=3),"L23",IF(BQ537="Aussen","Aussen","-")))</f>
        <v/>
      </c>
      <c r="BS537" s="66">
        <f>IF(N(W537)&gt;0,W537,0)</f>
        <v/>
      </c>
      <c r="BT537" s="58">
        <f>IF(ISNUMBER(Z537),1,0)</f>
        <v/>
      </c>
      <c r="BU537" s="55">
        <f>N(Z537)</f>
        <v/>
      </c>
      <c r="BV537" s="55">
        <f>N(L537)+N(M537)</f>
        <v/>
      </c>
      <c r="BW537" s="55">
        <f>ROUNDUP(G537/BN537,0)</f>
        <v/>
      </c>
      <c r="BX537" s="55">
        <f>ROUNDUP(BU537/BN537,0)</f>
        <v/>
      </c>
      <c r="BY537" s="58">
        <f>IF(BO537=1,0,IFERROR(VLOOKUP(BM537,'Gebinde-Kategorie'!$A$5:$G$45,5,0)+0,0))</f>
        <v/>
      </c>
      <c r="BZ537" s="58">
        <f>IFERROR(IF(OR(BQ537=1,BQ537=2,BQ537=3),N(INDEX(Parameter!$I$5:$I$7,BQ537)),0),0)</f>
        <v/>
      </c>
    </row>
    <row r="538">
      <c r="A538" s="53" t="inlineStr">
        <is>
          <t>VM00014</t>
        </is>
      </c>
      <c r="B538" s="53" t="inlineStr">
        <is>
          <t>Versand-Etiketten</t>
        </is>
      </c>
      <c r="C538" s="53" t="inlineStr">
        <is>
          <t>F</t>
        </is>
      </c>
      <c r="D538" s="53" t="inlineStr">
        <is>
          <t>KTL</t>
        </is>
      </c>
      <c r="E538" s="53" t="inlineStr">
        <is>
          <t>C</t>
        </is>
      </c>
      <c r="F538" s="54" t="n">
        <v>0.01</v>
      </c>
      <c r="G538" s="55">
        <f>MAX(0,IF(Parameter!$B$20="Jahresanfang 2025 + Export",BG538+BF538,BF538))</f>
        <v/>
      </c>
      <c r="H538" s="55">
        <f>G538*F538</f>
        <v/>
      </c>
      <c r="I538" s="55">
        <f>BI538*Parameter!$B$18</f>
        <v/>
      </c>
      <c r="J538" s="56" t="n">
        <v>0</v>
      </c>
      <c r="K538" s="57" t="n">
        <v>0</v>
      </c>
      <c r="L538" s="55" t="n">
        <v>10</v>
      </c>
      <c r="M538" s="55" t="n">
        <v>600</v>
      </c>
      <c r="N538" s="58" t="n">
        <v>10</v>
      </c>
      <c r="O538" s="53" t="inlineStr">
        <is>
          <t>LOSE</t>
        </is>
      </c>
      <c r="P538" s="55" t="n"/>
      <c r="Q538" s="59">
        <f>IF(BO538=1,0,IFERROR(VLOOKUP(BM538,'Gebinde-Kategorie'!$A$5:$G$45,6,0)+0,0))</f>
        <v/>
      </c>
      <c r="R538" s="60" t="n"/>
      <c r="S538" s="61" t="n"/>
      <c r="T538" s="61" t="n"/>
      <c r="U538" s="53">
        <f>IF(A538="","",IF(IFERROR(VLOOKUP(D538,Parameter!$A$35:$C$64,2,0),"Nein")="2+3",IF(ISNUMBER(SEARCH("grosser Artikel",BJ538)),2,IFERROR(VLOOKUP(BM538,Parameter!$F$35:$G$64,2,0),2)),IF(OR(IFERROR(VLOOKUP(D538,Parameter!$A$35:$C$64,2,0),"Nein")="Nein",IFERROR(VLOOKUP(D538,Parameter!$A$35:$C$64,2,0),"Nein")=""),"-",VLOOKUP(D538,Parameter!$A$35:$C$64,2,0))))</f>
        <v/>
      </c>
      <c r="V538" s="61" t="n"/>
      <c r="W538" s="62" t="n"/>
      <c r="X538" s="55">
        <f>AM538</f>
        <v/>
      </c>
      <c r="Y538" s="55">
        <f>MAX(AM538,G538)</f>
        <v/>
      </c>
      <c r="Z538" s="63" t="n"/>
      <c r="AA538" s="55">
        <f>IF(LEFT(Cockpit!$C$5,1)="A",G538,IF(BT538=1,BU538,IF(LEFT(Cockpit!$C$5,1)="B",AE538,MAX(AE538,G538))))</f>
        <v/>
      </c>
      <c r="AB538" s="55">
        <f>IF(BO538=1,0,ROUNDUP(AA538/BN538,0))</f>
        <v/>
      </c>
      <c r="AC538" s="64">
        <f>IF(BO538=1,IF(AA538&lt;=0,0,BP538*MAX(1,IF(G538&gt;0,AA538/G538,1))),AB538*Q538)</f>
        <v/>
      </c>
      <c r="AD538" s="55">
        <f>AA538*F538</f>
        <v/>
      </c>
      <c r="AE538" s="55">
        <f>ROUNDUP(MAX(I538/IF(BS538&gt;0,BS538,MAX(0.1,N(Cockpit!$C$6))),BV538)/BN538,0)*BN538</f>
        <v/>
      </c>
      <c r="AF538" s="56">
        <f>IF(AC538&gt;0,I538/AC538,-1)</f>
        <v/>
      </c>
      <c r="AG538" s="56">
        <f>IF(AND(OR(BR538="L1",BR538="L23"),AC538&gt;0),SUMIFS($AC$7:$AC$1570,$BR$7:$BR$1570,BR538,$AF$7:$AF$1570,"&gt;"&amp;AF538)+SUMIFS($AC$7:$AC$1570,$BR$7:$BR$1570,BR538,$AF$7:$AF$1570,AF538,$BL$7:$BL$1570,"&lt;="&amp;BL538),"")</f>
        <v/>
      </c>
      <c r="AH538" s="65">
        <f>IF(AG538="",0,MAX(0,MIN(1,(IF(BR538="L1",Parameter!$K$5,Parameter!$K$6+Parameter!$K$7)-(AG538-AC538))/AC538)))</f>
        <v/>
      </c>
      <c r="AI538" s="55">
        <f>IF(LEFT(Cockpit!$I$5,1)="A",G538,IF(BT538=1,BU538,IF(LEFT(Cockpit!$I$5,1)="B",AM538,MAX(AM538,G538))))</f>
        <v/>
      </c>
      <c r="AJ538" s="55">
        <f>IF(BO538=1,0,ROUNDUP(AI538/BN538,0))</f>
        <v/>
      </c>
      <c r="AK538" s="64">
        <f>IF(BO538=1,IF(AI538&lt;=0,0,BP538*MAX(1,IF(G538&gt;0,AI538/G538,1))),AJ538*Q538)</f>
        <v/>
      </c>
      <c r="AL538" s="55">
        <f>AI538*F538</f>
        <v/>
      </c>
      <c r="AM538" s="55">
        <f>ROUNDUP(MAX(I538/IF(BS538&gt;0,BS538,MAX(0.1,N(Cockpit!$I$6))),BV538)/BN538,0)*BN538</f>
        <v/>
      </c>
      <c r="AN538" s="56">
        <f>IF(AK538&gt;0,I538/AK538,-1)</f>
        <v/>
      </c>
      <c r="AO538" s="56">
        <f>IF(AND(OR(BR538="L1",BR538="L23"),AK538&gt;0),SUMIFS($AK$7:$AK$1570,$BR$7:$BR$1570,BR538,$AN$7:$AN$1570,"&gt;"&amp;AN538)+SUMIFS($AK$7:$AK$1570,$BR$7:$BR$1570,BR538,$AN$7:$AN$1570,AN538,$BL$7:$BL$1570,"&lt;="&amp;BL538),"")</f>
        <v/>
      </c>
      <c r="AP538" s="65">
        <f>IF(AO538="",0,MAX(0,MIN(1,(IF(BR538="L1",Parameter!$K$5,Parameter!$K$6+Parameter!$K$7)-(AO538-AK538))/AK538)))</f>
        <v/>
      </c>
      <c r="AQ538" s="55">
        <f>IF(LEFT(Cockpit!$O$5,1)="A",G538,IF(BT538=1,BU538,IF(LEFT(Cockpit!$O$5,1)="B",AU538,MAX(AU538,G538))))</f>
        <v/>
      </c>
      <c r="AR538" s="55">
        <f>IF(BO538=1,0,ROUNDUP(AQ538/BN538,0))</f>
        <v/>
      </c>
      <c r="AS538" s="64">
        <f>IF(BO538=1,IF(AQ538&lt;=0,0,BP538*MAX(1,IF(G538&gt;0,AQ538/G538,1))),AR538*Q538)</f>
        <v/>
      </c>
      <c r="AT538" s="55">
        <f>AQ538*F538</f>
        <v/>
      </c>
      <c r="AU538" s="55">
        <f>ROUNDUP(MAX(I538/IF(BS538&gt;0,BS538,MAX(0.1,N(Cockpit!$O$6))),BV538)/BN538,0)*BN538</f>
        <v/>
      </c>
      <c r="AV538" s="56">
        <f>IF(AS538&gt;0,I538/AS538,-1)</f>
        <v/>
      </c>
      <c r="AW538" s="56">
        <f>IF(AND(OR(BR538="L1",BR538="L23"),AS538&gt;0),SUMIFS($AS$7:$AS$1570,$BR$7:$BR$1570,BR538,$AV$7:$AV$1570,"&gt;"&amp;AV538)+SUMIFS($AS$7:$AS$1570,$BR$7:$BR$1570,BR538,$AV$7:$AV$1570,AV538,$BL$7:$BL$1570,"&lt;="&amp;BL538),"")</f>
        <v/>
      </c>
      <c r="AX538" s="65">
        <f>IF(AW538="",0,MAX(0,MIN(1,(IF(BR538="L1",Parameter!$K$5,Parameter!$K$6+Parameter!$K$7)-(AW538-AS538))/AS538)))</f>
        <v/>
      </c>
      <c r="AY538" s="53">
        <f>IF(AC538&lt;=0,"",IF(BR538="Aussen","Aussenlager",IF(BR538="-","Nicht im Lift",IF(AH538&gt;=1,"Lift",IF(AH538&lt;=0,"Aussenlager","teilweise")))))</f>
        <v/>
      </c>
      <c r="AZ538" s="53">
        <f>IF(AK538&lt;=0,"",IF(BR538="Aussen","Aussenlager",IF(BR538="-","Nicht im Lift",IF(AP538&gt;=1,"Lift",IF(AP538&lt;=0,"Aussenlager","teilweise")))))</f>
        <v/>
      </c>
      <c r="BA538" s="53">
        <f>IF(AS538&lt;=0,"",IF(BR538="Aussen","Aussenlager",IF(BR538="-","Nicht im Lift",IF(AX538&gt;=1,"Lift",IF(AX538&lt;=0,"Aussenlager","teilweise")))))</f>
        <v/>
      </c>
      <c r="BB538" s="53">
        <f>IF(A538="","",IF(BK538=1,"Neu; ","")&amp;IF(AND(BK538=0,BF538&lt;0),"negativer Bestand (Export "&amp;BF538&amp;"); ","")&amp;IF(I538&lt;=0,"Kein Verbrauch; ","")&amp;IF(BO538=1,"Lose – Fläche geschätzt; ","")&amp;IF(G538&gt;AM538,"Überbestand "&amp;ROUND(G538-AM538,0)&amp;" Stk / CHF "&amp;ROUND((G538-AM538)*F538,0)&amp;"; ","")&amp;IF(AND(BT538=1,BU538&lt;BV538),"MAX &lt; MB+LG; ","")&amp;IF(AND(BZ538&gt;0,BY538*10&gt;BZ538),"zu hoch für Tablar; ","")&amp;IF(AND(BK538=0,OR(BT538=1,V538&lt;&gt;"",S538&lt;&gt;"",T538&lt;&gt;"",W538&lt;&gt;"")),"manuell übersteuert; ","")&amp;IF(AND(BO538=0,Q538=0),"Gebinde unbekannt; ","")&amp;IF(AND(BO538=0,N(T538)&lt;=0,N(P538)&lt;=0),"Menge pro Gebinde fehlt (Ist = 1 Gebinde); ","")&amp;BJ538)</f>
        <v/>
      </c>
      <c r="BC538" s="53" t="n"/>
      <c r="BD538" s="53" t="n"/>
      <c r="BE538" s="61" t="n"/>
      <c r="BF538" s="55" t="n">
        <v>2328</v>
      </c>
      <c r="BG538" s="55" t="n">
        <v>0</v>
      </c>
      <c r="BH538" s="54" t="n">
        <v>23.28000000000009</v>
      </c>
      <c r="BI538" s="55" t="n">
        <v>0</v>
      </c>
      <c r="BJ538" s="53" t="inlineStr"/>
      <c r="BK538" s="58" t="n">
        <v>0</v>
      </c>
      <c r="BL538" s="58" t="n">
        <v>538</v>
      </c>
      <c r="BM538" s="53">
        <f>IF(S538&lt;&gt;"",UPPER(TRIM(S538)),IF(O538="","LOSE",O538))</f>
        <v/>
      </c>
      <c r="BN538" s="55">
        <f>IF(BM538="LOSE",1,IF(N(T538)&gt;0,T538,IF(N(P538)&gt;0,P538,MAX(1,G538))))</f>
        <v/>
      </c>
      <c r="BO538" s="58">
        <f>IF(BM538="LOSE",1,0)</f>
        <v/>
      </c>
      <c r="BP538" s="64">
        <f>IF(BO538=0,0,IF(N(R538)&gt;0,R538,IFERROR(VLOOKUP(D538,Parameter!$A$35:$C$64,3,0)+0,0)))</f>
        <v/>
      </c>
      <c r="BQ538" s="53">
        <f>IF(V538&lt;&gt;"",V538,U538)</f>
        <v/>
      </c>
      <c r="BR538" s="53">
        <f>IF(BQ538=1,"L1",IF(OR(BQ538=2,BQ538=3),"L23",IF(BQ538="Aussen","Aussen","-")))</f>
        <v/>
      </c>
      <c r="BS538" s="66">
        <f>IF(N(W538)&gt;0,W538,0)</f>
        <v/>
      </c>
      <c r="BT538" s="58">
        <f>IF(ISNUMBER(Z538),1,0)</f>
        <v/>
      </c>
      <c r="BU538" s="55">
        <f>N(Z538)</f>
        <v/>
      </c>
      <c r="BV538" s="55">
        <f>N(L538)+N(M538)</f>
        <v/>
      </c>
      <c r="BW538" s="55">
        <f>ROUNDUP(G538/BN538,0)</f>
        <v/>
      </c>
      <c r="BX538" s="55">
        <f>ROUNDUP(BU538/BN538,0)</f>
        <v/>
      </c>
      <c r="BY538" s="58">
        <f>IF(BO538=1,0,IFERROR(VLOOKUP(BM538,'Gebinde-Kategorie'!$A$5:$G$45,5,0)+0,0))</f>
        <v/>
      </c>
      <c r="BZ538" s="58">
        <f>IFERROR(IF(OR(BQ538=1,BQ538=2,BQ538=3),N(INDEX(Parameter!$I$5:$I$7,BQ538)),0),0)</f>
        <v/>
      </c>
    </row>
    <row r="539">
      <c r="A539" s="53" t="inlineStr">
        <is>
          <t>106451</t>
        </is>
      </c>
      <c r="B539" s="53" t="inlineStr">
        <is>
          <t>Rückschlagventil</t>
        </is>
      </c>
      <c r="C539" s="53" t="inlineStr">
        <is>
          <t>F</t>
        </is>
      </c>
      <c r="D539" s="53" t="inlineStr">
        <is>
          <t>KTL</t>
        </is>
      </c>
      <c r="E539" s="53" t="inlineStr">
        <is>
          <t>C</t>
        </is>
      </c>
      <c r="F539" s="54" t="n">
        <v>20.6</v>
      </c>
      <c r="G539" s="55">
        <f>MAX(0,IF(Parameter!$B$20="Jahresanfang 2025 + Export",BG539+BF539,BF539))</f>
        <v/>
      </c>
      <c r="H539" s="55">
        <f>G539*F539</f>
        <v/>
      </c>
      <c r="I539" s="55">
        <f>BI539*Parameter!$B$18</f>
        <v/>
      </c>
      <c r="J539" s="56" t="n">
        <v>2.5</v>
      </c>
      <c r="K539" s="57" t="n">
        <v>4</v>
      </c>
      <c r="L539" s="55" t="n">
        <v>1</v>
      </c>
      <c r="M539" s="55" t="n">
        <v>10</v>
      </c>
      <c r="N539" s="58" t="n">
        <v>40</v>
      </c>
      <c r="O539" s="53" t="inlineStr">
        <is>
          <t>LOSE</t>
        </is>
      </c>
      <c r="P539" s="55" t="n"/>
      <c r="Q539" s="59">
        <f>IF(BO539=1,0,IFERROR(VLOOKUP(BM539,'Gebinde-Kategorie'!$A$5:$G$45,6,0)+0,0))</f>
        <v/>
      </c>
      <c r="R539" s="60" t="n"/>
      <c r="S539" s="61" t="n"/>
      <c r="T539" s="61" t="n"/>
      <c r="U539" s="53">
        <f>IF(A539="","",IF(IFERROR(VLOOKUP(D539,Parameter!$A$35:$C$64,2,0),"Nein")="2+3",IF(ISNUMBER(SEARCH("grosser Artikel",BJ539)),2,IFERROR(VLOOKUP(BM539,Parameter!$F$35:$G$64,2,0),2)),IF(OR(IFERROR(VLOOKUP(D539,Parameter!$A$35:$C$64,2,0),"Nein")="Nein",IFERROR(VLOOKUP(D539,Parameter!$A$35:$C$64,2,0),"Nein")=""),"-",VLOOKUP(D539,Parameter!$A$35:$C$64,2,0))))</f>
        <v/>
      </c>
      <c r="V539" s="61" t="n"/>
      <c r="W539" s="62" t="n"/>
      <c r="X539" s="55">
        <f>AM539</f>
        <v/>
      </c>
      <c r="Y539" s="55">
        <f>MAX(AM539,G539)</f>
        <v/>
      </c>
      <c r="Z539" s="63" t="n"/>
      <c r="AA539" s="55">
        <f>IF(LEFT(Cockpit!$C$5,1)="A",G539,IF(BT539=1,BU539,IF(LEFT(Cockpit!$C$5,1)="B",AE539,MAX(AE539,G539))))</f>
        <v/>
      </c>
      <c r="AB539" s="55">
        <f>IF(BO539=1,0,ROUNDUP(AA539/BN539,0))</f>
        <v/>
      </c>
      <c r="AC539" s="64">
        <f>IF(BO539=1,IF(AA539&lt;=0,0,BP539*MAX(1,IF(G539&gt;0,AA539/G539,1))),AB539*Q539)</f>
        <v/>
      </c>
      <c r="AD539" s="55">
        <f>AA539*F539</f>
        <v/>
      </c>
      <c r="AE539" s="55">
        <f>ROUNDUP(MAX(I539/IF(BS539&gt;0,BS539,MAX(0.1,N(Cockpit!$C$6))),BV539)/BN539,0)*BN539</f>
        <v/>
      </c>
      <c r="AF539" s="56">
        <f>IF(AC539&gt;0,I539/AC539,-1)</f>
        <v/>
      </c>
      <c r="AG539" s="56">
        <f>IF(AND(OR(BR539="L1",BR539="L23"),AC539&gt;0),SUMIFS($AC$7:$AC$1570,$BR$7:$BR$1570,BR539,$AF$7:$AF$1570,"&gt;"&amp;AF539)+SUMIFS($AC$7:$AC$1570,$BR$7:$BR$1570,BR539,$AF$7:$AF$1570,AF539,$BL$7:$BL$1570,"&lt;="&amp;BL539),"")</f>
        <v/>
      </c>
      <c r="AH539" s="65">
        <f>IF(AG539="",0,MAX(0,MIN(1,(IF(BR539="L1",Parameter!$K$5,Parameter!$K$6+Parameter!$K$7)-(AG539-AC539))/AC539)))</f>
        <v/>
      </c>
      <c r="AI539" s="55">
        <f>IF(LEFT(Cockpit!$I$5,1)="A",G539,IF(BT539=1,BU539,IF(LEFT(Cockpit!$I$5,1)="B",AM539,MAX(AM539,G539))))</f>
        <v/>
      </c>
      <c r="AJ539" s="55">
        <f>IF(BO539=1,0,ROUNDUP(AI539/BN539,0))</f>
        <v/>
      </c>
      <c r="AK539" s="64">
        <f>IF(BO539=1,IF(AI539&lt;=0,0,BP539*MAX(1,IF(G539&gt;0,AI539/G539,1))),AJ539*Q539)</f>
        <v/>
      </c>
      <c r="AL539" s="55">
        <f>AI539*F539</f>
        <v/>
      </c>
      <c r="AM539" s="55">
        <f>ROUNDUP(MAX(I539/IF(BS539&gt;0,BS539,MAX(0.1,N(Cockpit!$I$6))),BV539)/BN539,0)*BN539</f>
        <v/>
      </c>
      <c r="AN539" s="56">
        <f>IF(AK539&gt;0,I539/AK539,-1)</f>
        <v/>
      </c>
      <c r="AO539" s="56">
        <f>IF(AND(OR(BR539="L1",BR539="L23"),AK539&gt;0),SUMIFS($AK$7:$AK$1570,$BR$7:$BR$1570,BR539,$AN$7:$AN$1570,"&gt;"&amp;AN539)+SUMIFS($AK$7:$AK$1570,$BR$7:$BR$1570,BR539,$AN$7:$AN$1570,AN539,$BL$7:$BL$1570,"&lt;="&amp;BL539),"")</f>
        <v/>
      </c>
      <c r="AP539" s="65">
        <f>IF(AO539="",0,MAX(0,MIN(1,(IF(BR539="L1",Parameter!$K$5,Parameter!$K$6+Parameter!$K$7)-(AO539-AK539))/AK539)))</f>
        <v/>
      </c>
      <c r="AQ539" s="55">
        <f>IF(LEFT(Cockpit!$O$5,1)="A",G539,IF(BT539=1,BU539,IF(LEFT(Cockpit!$O$5,1)="B",AU539,MAX(AU539,G539))))</f>
        <v/>
      </c>
      <c r="AR539" s="55">
        <f>IF(BO539=1,0,ROUNDUP(AQ539/BN539,0))</f>
        <v/>
      </c>
      <c r="AS539" s="64">
        <f>IF(BO539=1,IF(AQ539&lt;=0,0,BP539*MAX(1,IF(G539&gt;0,AQ539/G539,1))),AR539*Q539)</f>
        <v/>
      </c>
      <c r="AT539" s="55">
        <f>AQ539*F539</f>
        <v/>
      </c>
      <c r="AU539" s="55">
        <f>ROUNDUP(MAX(I539/IF(BS539&gt;0,BS539,MAX(0.1,N(Cockpit!$O$6))),BV539)/BN539,0)*BN539</f>
        <v/>
      </c>
      <c r="AV539" s="56">
        <f>IF(AS539&gt;0,I539/AS539,-1)</f>
        <v/>
      </c>
      <c r="AW539" s="56">
        <f>IF(AND(OR(BR539="L1",BR539="L23"),AS539&gt;0),SUMIFS($AS$7:$AS$1570,$BR$7:$BR$1570,BR539,$AV$7:$AV$1570,"&gt;"&amp;AV539)+SUMIFS($AS$7:$AS$1570,$BR$7:$BR$1570,BR539,$AV$7:$AV$1570,AV539,$BL$7:$BL$1570,"&lt;="&amp;BL539),"")</f>
        <v/>
      </c>
      <c r="AX539" s="65">
        <f>IF(AW539="",0,MAX(0,MIN(1,(IF(BR539="L1",Parameter!$K$5,Parameter!$K$6+Parameter!$K$7)-(AW539-AS539))/AS539)))</f>
        <v/>
      </c>
      <c r="AY539" s="53">
        <f>IF(AC539&lt;=0,"",IF(BR539="Aussen","Aussenlager",IF(BR539="-","Nicht im Lift",IF(AH539&gt;=1,"Lift",IF(AH539&lt;=0,"Aussenlager","teilweise")))))</f>
        <v/>
      </c>
      <c r="AZ539" s="53">
        <f>IF(AK539&lt;=0,"",IF(BR539="Aussen","Aussenlager",IF(BR539="-","Nicht im Lift",IF(AP539&gt;=1,"Lift",IF(AP539&lt;=0,"Aussenlager","teilweise")))))</f>
        <v/>
      </c>
      <c r="BA539" s="53">
        <f>IF(AS539&lt;=0,"",IF(BR539="Aussen","Aussenlager",IF(BR539="-","Nicht im Lift",IF(AX539&gt;=1,"Lift",IF(AX539&lt;=0,"Aussenlager","teilweise")))))</f>
        <v/>
      </c>
      <c r="BB539" s="53">
        <f>IF(A539="","",IF(BK539=1,"Neu; ","")&amp;IF(AND(BK539=0,BF539&lt;0),"negativer Bestand (Export "&amp;BF539&amp;"); ","")&amp;IF(I539&lt;=0,"Kein Verbrauch; ","")&amp;IF(BO539=1,"Lose – Fläche geschätzt; ","")&amp;IF(G539&gt;AM539,"Überbestand "&amp;ROUND(G539-AM539,0)&amp;" Stk / CHF "&amp;ROUND((G539-AM539)*F539,0)&amp;"; ","")&amp;IF(AND(BT539=1,BU539&lt;BV539),"MAX &lt; MB+LG; ","")&amp;IF(AND(BZ539&gt;0,BY539*10&gt;BZ539),"zu hoch für Tablar; ","")&amp;IF(AND(BK539=0,OR(BT539=1,V539&lt;&gt;"",S539&lt;&gt;"",T539&lt;&gt;"",W539&lt;&gt;"")),"manuell übersteuert; ","")&amp;IF(AND(BO539=0,Q539=0),"Gebinde unbekannt; ","")&amp;IF(AND(BO539=0,N(T539)&lt;=0,N(P539)&lt;=0),"Menge pro Gebinde fehlt (Ist = 1 Gebinde); ","")&amp;BJ539)</f>
        <v/>
      </c>
      <c r="BC539" s="53" t="n"/>
      <c r="BD539" s="53" t="n"/>
      <c r="BE539" s="61" t="n"/>
      <c r="BF539" s="55" t="n">
        <v>1</v>
      </c>
      <c r="BG539" s="55" t="n">
        <v>2</v>
      </c>
      <c r="BH539" s="54" t="n">
        <v>22.59999999999999</v>
      </c>
      <c r="BI539" s="55" t="n">
        <v>10</v>
      </c>
      <c r="BJ539" s="53" t="inlineStr"/>
      <c r="BK539" s="58" t="n">
        <v>0</v>
      </c>
      <c r="BL539" s="58" t="n">
        <v>539</v>
      </c>
      <c r="BM539" s="53">
        <f>IF(S539&lt;&gt;"",UPPER(TRIM(S539)),IF(O539="","LOSE",O539))</f>
        <v/>
      </c>
      <c r="BN539" s="55">
        <f>IF(BM539="LOSE",1,IF(N(T539)&gt;0,T539,IF(N(P539)&gt;0,P539,MAX(1,G539))))</f>
        <v/>
      </c>
      <c r="BO539" s="58">
        <f>IF(BM539="LOSE",1,0)</f>
        <v/>
      </c>
      <c r="BP539" s="64">
        <f>IF(BO539=0,0,IF(N(R539)&gt;0,R539,IFERROR(VLOOKUP(D539,Parameter!$A$35:$C$64,3,0)+0,0)))</f>
        <v/>
      </c>
      <c r="BQ539" s="53">
        <f>IF(V539&lt;&gt;"",V539,U539)</f>
        <v/>
      </c>
      <c r="BR539" s="53">
        <f>IF(BQ539=1,"L1",IF(OR(BQ539=2,BQ539=3),"L23",IF(BQ539="Aussen","Aussen","-")))</f>
        <v/>
      </c>
      <c r="BS539" s="66">
        <f>IF(N(W539)&gt;0,W539,0)</f>
        <v/>
      </c>
      <c r="BT539" s="58">
        <f>IF(ISNUMBER(Z539),1,0)</f>
        <v/>
      </c>
      <c r="BU539" s="55">
        <f>N(Z539)</f>
        <v/>
      </c>
      <c r="BV539" s="55">
        <f>N(L539)+N(M539)</f>
        <v/>
      </c>
      <c r="BW539" s="55">
        <f>ROUNDUP(G539/BN539,0)</f>
        <v/>
      </c>
      <c r="BX539" s="55">
        <f>ROUNDUP(BU539/BN539,0)</f>
        <v/>
      </c>
      <c r="BY539" s="58">
        <f>IF(BO539=1,0,IFERROR(VLOOKUP(BM539,'Gebinde-Kategorie'!$A$5:$G$45,5,0)+0,0))</f>
        <v/>
      </c>
      <c r="BZ539" s="58">
        <f>IFERROR(IF(OR(BQ539=1,BQ539=2,BQ539=3),N(INDEX(Parameter!$I$5:$I$7,BQ539)),0),0)</f>
        <v/>
      </c>
    </row>
    <row r="540">
      <c r="A540" s="53" t="inlineStr">
        <is>
          <t>109952</t>
        </is>
      </c>
      <c r="B540" s="53" t="inlineStr">
        <is>
          <t>Klemmenblock X6.2</t>
        </is>
      </c>
      <c r="C540" s="53" t="inlineStr">
        <is>
          <t>F</t>
        </is>
      </c>
      <c r="D540" s="53" t="inlineStr">
        <is>
          <t>KTL</t>
        </is>
      </c>
      <c r="E540" s="53" t="inlineStr">
        <is>
          <t>C</t>
        </is>
      </c>
      <c r="F540" s="54" t="n">
        <v>8.77</v>
      </c>
      <c r="G540" s="55">
        <f>MAX(0,IF(Parameter!$B$20="Jahresanfang 2025 + Export",BG540+BF540,BF540))</f>
        <v/>
      </c>
      <c r="H540" s="55">
        <f>G540*F540</f>
        <v/>
      </c>
      <c r="I540" s="55">
        <f>BI540*Parameter!$B$18</f>
        <v/>
      </c>
      <c r="J540" s="56" t="n">
        <v>4</v>
      </c>
      <c r="K540" s="57" t="n">
        <v>1.25</v>
      </c>
      <c r="L540" s="55" t="n">
        <v>0</v>
      </c>
      <c r="M540" s="55" t="n">
        <v>5</v>
      </c>
      <c r="N540" s="58" t="n">
        <v>14</v>
      </c>
      <c r="O540" s="53" t="inlineStr">
        <is>
          <t>S22</t>
        </is>
      </c>
      <c r="P540" s="55" t="n">
        <v>13</v>
      </c>
      <c r="Q540" s="59">
        <f>IF(BO540=1,0,IFERROR(VLOOKUP(BM540,'Gebinde-Kategorie'!$A$5:$G$45,6,0)+0,0))</f>
        <v/>
      </c>
      <c r="R540" s="60" t="n"/>
      <c r="S540" s="61" t="n"/>
      <c r="T540" s="61" t="n"/>
      <c r="U540" s="53">
        <f>IF(A540="","",IF(IFERROR(VLOOKUP(D540,Parameter!$A$35:$C$64,2,0),"Nein")="2+3",IF(ISNUMBER(SEARCH("grosser Artikel",BJ540)),2,IFERROR(VLOOKUP(BM540,Parameter!$F$35:$G$64,2,0),2)),IF(OR(IFERROR(VLOOKUP(D540,Parameter!$A$35:$C$64,2,0),"Nein")="Nein",IFERROR(VLOOKUP(D540,Parameter!$A$35:$C$64,2,0),"Nein")=""),"-",VLOOKUP(D540,Parameter!$A$35:$C$64,2,0))))</f>
        <v/>
      </c>
      <c r="V540" s="61" t="n"/>
      <c r="W540" s="62" t="n"/>
      <c r="X540" s="55">
        <f>AM540</f>
        <v/>
      </c>
      <c r="Y540" s="55">
        <f>MAX(AM540,G540)</f>
        <v/>
      </c>
      <c r="Z540" s="63" t="n"/>
      <c r="AA540" s="55">
        <f>IF(LEFT(Cockpit!$C$5,1)="A",G540,IF(BT540=1,BU540,IF(LEFT(Cockpit!$C$5,1)="B",AE540,MAX(AE540,G540))))</f>
        <v/>
      </c>
      <c r="AB540" s="55">
        <f>IF(BO540=1,0,ROUNDUP(AA540/BN540,0))</f>
        <v/>
      </c>
      <c r="AC540" s="64">
        <f>IF(BO540=1,IF(AA540&lt;=0,0,BP540*MAX(1,IF(G540&gt;0,AA540/G540,1))),AB540*Q540)</f>
        <v/>
      </c>
      <c r="AD540" s="55">
        <f>AA540*F540</f>
        <v/>
      </c>
      <c r="AE540" s="55">
        <f>ROUNDUP(MAX(I540/IF(BS540&gt;0,BS540,MAX(0.1,N(Cockpit!$C$6))),BV540)/BN540,0)*BN540</f>
        <v/>
      </c>
      <c r="AF540" s="56">
        <f>IF(AC540&gt;0,I540/AC540,-1)</f>
        <v/>
      </c>
      <c r="AG540" s="56">
        <f>IF(AND(OR(BR540="L1",BR540="L23"),AC540&gt;0),SUMIFS($AC$7:$AC$1570,$BR$7:$BR$1570,BR540,$AF$7:$AF$1570,"&gt;"&amp;AF540)+SUMIFS($AC$7:$AC$1570,$BR$7:$BR$1570,BR540,$AF$7:$AF$1570,AF540,$BL$7:$BL$1570,"&lt;="&amp;BL540),"")</f>
        <v/>
      </c>
      <c r="AH540" s="65">
        <f>IF(AG540="",0,MAX(0,MIN(1,(IF(BR540="L1",Parameter!$K$5,Parameter!$K$6+Parameter!$K$7)-(AG540-AC540))/AC540)))</f>
        <v/>
      </c>
      <c r="AI540" s="55">
        <f>IF(LEFT(Cockpit!$I$5,1)="A",G540,IF(BT540=1,BU540,IF(LEFT(Cockpit!$I$5,1)="B",AM540,MAX(AM540,G540))))</f>
        <v/>
      </c>
      <c r="AJ540" s="55">
        <f>IF(BO540=1,0,ROUNDUP(AI540/BN540,0))</f>
        <v/>
      </c>
      <c r="AK540" s="64">
        <f>IF(BO540=1,IF(AI540&lt;=0,0,BP540*MAX(1,IF(G540&gt;0,AI540/G540,1))),AJ540*Q540)</f>
        <v/>
      </c>
      <c r="AL540" s="55">
        <f>AI540*F540</f>
        <v/>
      </c>
      <c r="AM540" s="55">
        <f>ROUNDUP(MAX(I540/IF(BS540&gt;0,BS540,MAX(0.1,N(Cockpit!$I$6))),BV540)/BN540,0)*BN540</f>
        <v/>
      </c>
      <c r="AN540" s="56">
        <f>IF(AK540&gt;0,I540/AK540,-1)</f>
        <v/>
      </c>
      <c r="AO540" s="56">
        <f>IF(AND(OR(BR540="L1",BR540="L23"),AK540&gt;0),SUMIFS($AK$7:$AK$1570,$BR$7:$BR$1570,BR540,$AN$7:$AN$1570,"&gt;"&amp;AN540)+SUMIFS($AK$7:$AK$1570,$BR$7:$BR$1570,BR540,$AN$7:$AN$1570,AN540,$BL$7:$BL$1570,"&lt;="&amp;BL540),"")</f>
        <v/>
      </c>
      <c r="AP540" s="65">
        <f>IF(AO540="",0,MAX(0,MIN(1,(IF(BR540="L1",Parameter!$K$5,Parameter!$K$6+Parameter!$K$7)-(AO540-AK540))/AK540)))</f>
        <v/>
      </c>
      <c r="AQ540" s="55">
        <f>IF(LEFT(Cockpit!$O$5,1)="A",G540,IF(BT540=1,BU540,IF(LEFT(Cockpit!$O$5,1)="B",AU540,MAX(AU540,G540))))</f>
        <v/>
      </c>
      <c r="AR540" s="55">
        <f>IF(BO540=1,0,ROUNDUP(AQ540/BN540,0))</f>
        <v/>
      </c>
      <c r="AS540" s="64">
        <f>IF(BO540=1,IF(AQ540&lt;=0,0,BP540*MAX(1,IF(G540&gt;0,AQ540/G540,1))),AR540*Q540)</f>
        <v/>
      </c>
      <c r="AT540" s="55">
        <f>AQ540*F540</f>
        <v/>
      </c>
      <c r="AU540" s="55">
        <f>ROUNDUP(MAX(I540/IF(BS540&gt;0,BS540,MAX(0.1,N(Cockpit!$O$6))),BV540)/BN540,0)*BN540</f>
        <v/>
      </c>
      <c r="AV540" s="56">
        <f>IF(AS540&gt;0,I540/AS540,-1)</f>
        <v/>
      </c>
      <c r="AW540" s="56">
        <f>IF(AND(OR(BR540="L1",BR540="L23"),AS540&gt;0),SUMIFS($AS$7:$AS$1570,$BR$7:$BR$1570,BR540,$AV$7:$AV$1570,"&gt;"&amp;AV540)+SUMIFS($AS$7:$AS$1570,$BR$7:$BR$1570,BR540,$AV$7:$AV$1570,AV540,$BL$7:$BL$1570,"&lt;="&amp;BL540),"")</f>
        <v/>
      </c>
      <c r="AX540" s="65">
        <f>IF(AW540="",0,MAX(0,MIN(1,(IF(BR540="L1",Parameter!$K$5,Parameter!$K$6+Parameter!$K$7)-(AW540-AS540))/AS540)))</f>
        <v/>
      </c>
      <c r="AY540" s="53">
        <f>IF(AC540&lt;=0,"",IF(BR540="Aussen","Aussenlager",IF(BR540="-","Nicht im Lift",IF(AH540&gt;=1,"Lift",IF(AH540&lt;=0,"Aussenlager","teilweise")))))</f>
        <v/>
      </c>
      <c r="AZ540" s="53">
        <f>IF(AK540&lt;=0,"",IF(BR540="Aussen","Aussenlager",IF(BR540="-","Nicht im Lift",IF(AP540&gt;=1,"Lift",IF(AP540&lt;=0,"Aussenlager","teilweise")))))</f>
        <v/>
      </c>
      <c r="BA540" s="53">
        <f>IF(AS540&lt;=0,"",IF(BR540="Aussen","Aussenlager",IF(BR540="-","Nicht im Lift",IF(AX540&gt;=1,"Lift",IF(AX540&lt;=0,"Aussenlager","teilweise")))))</f>
        <v/>
      </c>
      <c r="BB540" s="53">
        <f>IF(A540="","",IF(BK540=1,"Neu; ","")&amp;IF(AND(BK540=0,BF540&lt;0),"negativer Bestand (Export "&amp;BF540&amp;"); ","")&amp;IF(I540&lt;=0,"Kein Verbrauch; ","")&amp;IF(BO540=1,"Lose – Fläche geschätzt; ","")&amp;IF(G540&gt;AM540,"Überbestand "&amp;ROUND(G540-AM540,0)&amp;" Stk / CHF "&amp;ROUND((G540-AM540)*F540,0)&amp;"; ","")&amp;IF(AND(BT540=1,BU540&lt;BV540),"MAX &lt; MB+LG; ","")&amp;IF(AND(BZ540&gt;0,BY540*10&gt;BZ540),"zu hoch für Tablar; ","")&amp;IF(AND(BK540=0,OR(BT540=1,V540&lt;&gt;"",S540&lt;&gt;"",T540&lt;&gt;"",W540&lt;&gt;"")),"manuell übersteuert; ","")&amp;IF(AND(BO540=0,Q540=0),"Gebinde unbekannt; ","")&amp;IF(AND(BO540=0,N(T540)&lt;=0,N(P540)&lt;=0),"Menge pro Gebinde fehlt (Ist = 1 Gebinde); ","")&amp;BJ540)</f>
        <v/>
      </c>
      <c r="BC540" s="53" t="n"/>
      <c r="BD540" s="53" t="n"/>
      <c r="BE540" s="61" t="n"/>
      <c r="BF540" s="55" t="n">
        <v>5</v>
      </c>
      <c r="BG540" s="55" t="n">
        <v>6</v>
      </c>
      <c r="BH540" s="54" t="n">
        <v>22.13</v>
      </c>
      <c r="BI540" s="55" t="n">
        <v>5</v>
      </c>
      <c r="BJ540" s="53" t="inlineStr"/>
      <c r="BK540" s="58" t="n">
        <v>0</v>
      </c>
      <c r="BL540" s="58" t="n">
        <v>540</v>
      </c>
      <c r="BM540" s="53">
        <f>IF(S540&lt;&gt;"",UPPER(TRIM(S540)),IF(O540="","LOSE",O540))</f>
        <v/>
      </c>
      <c r="BN540" s="55">
        <f>IF(BM540="LOSE",1,IF(N(T540)&gt;0,T540,IF(N(P540)&gt;0,P540,MAX(1,G540))))</f>
        <v/>
      </c>
      <c r="BO540" s="58">
        <f>IF(BM540="LOSE",1,0)</f>
        <v/>
      </c>
      <c r="BP540" s="64">
        <f>IF(BO540=0,0,IF(N(R540)&gt;0,R540,IFERROR(VLOOKUP(D540,Parameter!$A$35:$C$64,3,0)+0,0)))</f>
        <v/>
      </c>
      <c r="BQ540" s="53">
        <f>IF(V540&lt;&gt;"",V540,U540)</f>
        <v/>
      </c>
      <c r="BR540" s="53">
        <f>IF(BQ540=1,"L1",IF(OR(BQ540=2,BQ540=3),"L23",IF(BQ540="Aussen","Aussen","-")))</f>
        <v/>
      </c>
      <c r="BS540" s="66">
        <f>IF(N(W540)&gt;0,W540,0)</f>
        <v/>
      </c>
      <c r="BT540" s="58">
        <f>IF(ISNUMBER(Z540),1,0)</f>
        <v/>
      </c>
      <c r="BU540" s="55">
        <f>N(Z540)</f>
        <v/>
      </c>
      <c r="BV540" s="55">
        <f>N(L540)+N(M540)</f>
        <v/>
      </c>
      <c r="BW540" s="55">
        <f>ROUNDUP(G540/BN540,0)</f>
        <v/>
      </c>
      <c r="BX540" s="55">
        <f>ROUNDUP(BU540/BN540,0)</f>
        <v/>
      </c>
      <c r="BY540" s="58">
        <f>IF(BO540=1,0,IFERROR(VLOOKUP(BM540,'Gebinde-Kategorie'!$A$5:$G$45,5,0)+0,0))</f>
        <v/>
      </c>
      <c r="BZ540" s="58">
        <f>IFERROR(IF(OR(BQ540=1,BQ540=2,BQ540=3),N(INDEX(Parameter!$I$5:$I$7,BQ540)),0),0)</f>
        <v/>
      </c>
    </row>
    <row r="541">
      <c r="A541" s="53" t="inlineStr">
        <is>
          <t>106742</t>
        </is>
      </c>
      <c r="B541" s="53" t="inlineStr">
        <is>
          <t>Ventilkabel</t>
        </is>
      </c>
      <c r="C541" s="53" t="inlineStr">
        <is>
          <t>A</t>
        </is>
      </c>
      <c r="D541" s="53" t="inlineStr">
        <is>
          <t>KTL</t>
        </is>
      </c>
      <c r="E541" s="53" t="inlineStr">
        <is>
          <t>C</t>
        </is>
      </c>
      <c r="F541" s="54" t="n">
        <v>7.21</v>
      </c>
      <c r="G541" s="55">
        <f>MAX(0,IF(Parameter!$B$20="Jahresanfang 2025 + Export",BG541+BF541,BF541))</f>
        <v/>
      </c>
      <c r="H541" s="55">
        <f>G541*F541</f>
        <v/>
      </c>
      <c r="I541" s="55">
        <f>BI541*Parameter!$B$18</f>
        <v/>
      </c>
      <c r="J541" s="56" t="n">
        <v>135.5</v>
      </c>
      <c r="K541" s="57" t="n">
        <v>0</v>
      </c>
      <c r="L541" s="55" t="n">
        <v>0</v>
      </c>
      <c r="M541" s="55" t="n">
        <v>1</v>
      </c>
      <c r="N541" s="58" t="n">
        <v>56</v>
      </c>
      <c r="O541" s="53" t="inlineStr">
        <is>
          <t>S63</t>
        </is>
      </c>
      <c r="P541" s="55" t="n">
        <v>137</v>
      </c>
      <c r="Q541" s="59">
        <f>IF(BO541=1,0,IFERROR(VLOOKUP(BM541,'Gebinde-Kategorie'!$A$5:$G$45,6,0)+0,0))</f>
        <v/>
      </c>
      <c r="R541" s="60" t="n"/>
      <c r="S541" s="61" t="n"/>
      <c r="T541" s="61" t="n"/>
      <c r="U541" s="53">
        <f>IF(A541="","",IF(IFERROR(VLOOKUP(D541,Parameter!$A$35:$C$64,2,0),"Nein")="2+3",IF(ISNUMBER(SEARCH("grosser Artikel",BJ541)),2,IFERROR(VLOOKUP(BM541,Parameter!$F$35:$G$64,2,0),2)),IF(OR(IFERROR(VLOOKUP(D541,Parameter!$A$35:$C$64,2,0),"Nein")="Nein",IFERROR(VLOOKUP(D541,Parameter!$A$35:$C$64,2,0),"Nein")=""),"-",VLOOKUP(D541,Parameter!$A$35:$C$64,2,0))))</f>
        <v/>
      </c>
      <c r="V541" s="61" t="n"/>
      <c r="W541" s="62" t="n"/>
      <c r="X541" s="55">
        <f>AM541</f>
        <v/>
      </c>
      <c r="Y541" s="55">
        <f>MAX(AM541,G541)</f>
        <v/>
      </c>
      <c r="Z541" s="63" t="n"/>
      <c r="AA541" s="55">
        <f>IF(LEFT(Cockpit!$C$5,1)="A",G541,IF(BT541=1,BU541,IF(LEFT(Cockpit!$C$5,1)="B",AE541,MAX(AE541,G541))))</f>
        <v/>
      </c>
      <c r="AB541" s="55">
        <f>IF(BO541=1,0,ROUNDUP(AA541/BN541,0))</f>
        <v/>
      </c>
      <c r="AC541" s="64">
        <f>IF(BO541=1,IF(AA541&lt;=0,0,BP541*MAX(1,IF(G541&gt;0,AA541/G541,1))),AB541*Q541)</f>
        <v/>
      </c>
      <c r="AD541" s="55">
        <f>AA541*F541</f>
        <v/>
      </c>
      <c r="AE541" s="55">
        <f>ROUNDUP(MAX(I541/IF(BS541&gt;0,BS541,MAX(0.1,N(Cockpit!$C$6))),BV541)/BN541,0)*BN541</f>
        <v/>
      </c>
      <c r="AF541" s="56">
        <f>IF(AC541&gt;0,I541/AC541,-1)</f>
        <v/>
      </c>
      <c r="AG541" s="56">
        <f>IF(AND(OR(BR541="L1",BR541="L23"),AC541&gt;0),SUMIFS($AC$7:$AC$1570,$BR$7:$BR$1570,BR541,$AF$7:$AF$1570,"&gt;"&amp;AF541)+SUMIFS($AC$7:$AC$1570,$BR$7:$BR$1570,BR541,$AF$7:$AF$1570,AF541,$BL$7:$BL$1570,"&lt;="&amp;BL541),"")</f>
        <v/>
      </c>
      <c r="AH541" s="65">
        <f>IF(AG541="",0,MAX(0,MIN(1,(IF(BR541="L1",Parameter!$K$5,Parameter!$K$6+Parameter!$K$7)-(AG541-AC541))/AC541)))</f>
        <v/>
      </c>
      <c r="AI541" s="55">
        <f>IF(LEFT(Cockpit!$I$5,1)="A",G541,IF(BT541=1,BU541,IF(LEFT(Cockpit!$I$5,1)="B",AM541,MAX(AM541,G541))))</f>
        <v/>
      </c>
      <c r="AJ541" s="55">
        <f>IF(BO541=1,0,ROUNDUP(AI541/BN541,0))</f>
        <v/>
      </c>
      <c r="AK541" s="64">
        <f>IF(BO541=1,IF(AI541&lt;=0,0,BP541*MAX(1,IF(G541&gt;0,AI541/G541,1))),AJ541*Q541)</f>
        <v/>
      </c>
      <c r="AL541" s="55">
        <f>AI541*F541</f>
        <v/>
      </c>
      <c r="AM541" s="55">
        <f>ROUNDUP(MAX(I541/IF(BS541&gt;0,BS541,MAX(0.1,N(Cockpit!$I$6))),BV541)/BN541,0)*BN541</f>
        <v/>
      </c>
      <c r="AN541" s="56">
        <f>IF(AK541&gt;0,I541/AK541,-1)</f>
        <v/>
      </c>
      <c r="AO541" s="56">
        <f>IF(AND(OR(BR541="L1",BR541="L23"),AK541&gt;0),SUMIFS($AK$7:$AK$1570,$BR$7:$BR$1570,BR541,$AN$7:$AN$1570,"&gt;"&amp;AN541)+SUMIFS($AK$7:$AK$1570,$BR$7:$BR$1570,BR541,$AN$7:$AN$1570,AN541,$BL$7:$BL$1570,"&lt;="&amp;BL541),"")</f>
        <v/>
      </c>
      <c r="AP541" s="65">
        <f>IF(AO541="",0,MAX(0,MIN(1,(IF(BR541="L1",Parameter!$K$5,Parameter!$K$6+Parameter!$K$7)-(AO541-AK541))/AK541)))</f>
        <v/>
      </c>
      <c r="AQ541" s="55">
        <f>IF(LEFT(Cockpit!$O$5,1)="A",G541,IF(BT541=1,BU541,IF(LEFT(Cockpit!$O$5,1)="B",AU541,MAX(AU541,G541))))</f>
        <v/>
      </c>
      <c r="AR541" s="55">
        <f>IF(BO541=1,0,ROUNDUP(AQ541/BN541,0))</f>
        <v/>
      </c>
      <c r="AS541" s="64">
        <f>IF(BO541=1,IF(AQ541&lt;=0,0,BP541*MAX(1,IF(G541&gt;0,AQ541/G541,1))),AR541*Q541)</f>
        <v/>
      </c>
      <c r="AT541" s="55">
        <f>AQ541*F541</f>
        <v/>
      </c>
      <c r="AU541" s="55">
        <f>ROUNDUP(MAX(I541/IF(BS541&gt;0,BS541,MAX(0.1,N(Cockpit!$O$6))),BV541)/BN541,0)*BN541</f>
        <v/>
      </c>
      <c r="AV541" s="56">
        <f>IF(AS541&gt;0,I541/AS541,-1)</f>
        <v/>
      </c>
      <c r="AW541" s="56">
        <f>IF(AND(OR(BR541="L1",BR541="L23"),AS541&gt;0),SUMIFS($AS$7:$AS$1570,$BR$7:$BR$1570,BR541,$AV$7:$AV$1570,"&gt;"&amp;AV541)+SUMIFS($AS$7:$AS$1570,$BR$7:$BR$1570,BR541,$AV$7:$AV$1570,AV541,$BL$7:$BL$1570,"&lt;="&amp;BL541),"")</f>
        <v/>
      </c>
      <c r="AX541" s="65">
        <f>IF(AW541="",0,MAX(0,MIN(1,(IF(BR541="L1",Parameter!$K$5,Parameter!$K$6+Parameter!$K$7)-(AW541-AS541))/AS541)))</f>
        <v/>
      </c>
      <c r="AY541" s="53">
        <f>IF(AC541&lt;=0,"",IF(BR541="Aussen","Aussenlager",IF(BR541="-","Nicht im Lift",IF(AH541&gt;=1,"Lift",IF(AH541&lt;=0,"Aussenlager","teilweise")))))</f>
        <v/>
      </c>
      <c r="AZ541" s="53">
        <f>IF(AK541&lt;=0,"",IF(BR541="Aussen","Aussenlager",IF(BR541="-","Nicht im Lift",IF(AP541&gt;=1,"Lift",IF(AP541&lt;=0,"Aussenlager","teilweise")))))</f>
        <v/>
      </c>
      <c r="BA541" s="53">
        <f>IF(AS541&lt;=0,"",IF(BR541="Aussen","Aussenlager",IF(BR541="-","Nicht im Lift",IF(AX541&gt;=1,"Lift",IF(AX541&lt;=0,"Aussenlager","teilweise")))))</f>
        <v/>
      </c>
      <c r="BB541" s="53">
        <f>IF(A541="","",IF(BK541=1,"Neu; ","")&amp;IF(AND(BK541=0,BF541&lt;0),"negativer Bestand (Export "&amp;BF541&amp;"); ","")&amp;IF(I541&lt;=0,"Kein Verbrauch; ","")&amp;IF(BO541=1,"Lose – Fläche geschätzt; ","")&amp;IF(G541&gt;AM541,"Überbestand "&amp;ROUND(G541-AM541,0)&amp;" Stk / CHF "&amp;ROUND((G541-AM541)*F541,0)&amp;"; ","")&amp;IF(AND(BT541=1,BU541&lt;BV541),"MAX &lt; MB+LG; ","")&amp;IF(AND(BZ541&gt;0,BY541*10&gt;BZ541),"zu hoch für Tablar; ","")&amp;IF(AND(BK541=0,OR(BT541=1,V541&lt;&gt;"",S541&lt;&gt;"",T541&lt;&gt;"",W541&lt;&gt;"")),"manuell übersteuert; ","")&amp;IF(AND(BO541=0,Q541=0),"Gebinde unbekannt; ","")&amp;IF(AND(BO541=0,N(T541)&lt;=0,N(P541)&lt;=0),"Menge pro Gebinde fehlt (Ist = 1 Gebinde); ","")&amp;BJ541)</f>
        <v/>
      </c>
      <c r="BC541" s="53" t="n"/>
      <c r="BD541" s="53" t="n"/>
      <c r="BE541" s="61" t="n"/>
      <c r="BF541" s="55" t="n">
        <v>3</v>
      </c>
      <c r="BG541" s="55" t="n">
        <v>134</v>
      </c>
      <c r="BH541" s="54" t="n">
        <v>21.63</v>
      </c>
      <c r="BI541" s="55" t="n">
        <v>0</v>
      </c>
      <c r="BJ541" s="53" t="inlineStr"/>
      <c r="BK541" s="58" t="n">
        <v>0</v>
      </c>
      <c r="BL541" s="58" t="n">
        <v>541</v>
      </c>
      <c r="BM541" s="53">
        <f>IF(S541&lt;&gt;"",UPPER(TRIM(S541)),IF(O541="","LOSE",O541))</f>
        <v/>
      </c>
      <c r="BN541" s="55">
        <f>IF(BM541="LOSE",1,IF(N(T541)&gt;0,T541,IF(N(P541)&gt;0,P541,MAX(1,G541))))</f>
        <v/>
      </c>
      <c r="BO541" s="58">
        <f>IF(BM541="LOSE",1,0)</f>
        <v/>
      </c>
      <c r="BP541" s="64">
        <f>IF(BO541=0,0,IF(N(R541)&gt;0,R541,IFERROR(VLOOKUP(D541,Parameter!$A$35:$C$64,3,0)+0,0)))</f>
        <v/>
      </c>
      <c r="BQ541" s="53">
        <f>IF(V541&lt;&gt;"",V541,U541)</f>
        <v/>
      </c>
      <c r="BR541" s="53">
        <f>IF(BQ541=1,"L1",IF(OR(BQ541=2,BQ541=3),"L23",IF(BQ541="Aussen","Aussen","-")))</f>
        <v/>
      </c>
      <c r="BS541" s="66">
        <f>IF(N(W541)&gt;0,W541,0)</f>
        <v/>
      </c>
      <c r="BT541" s="58">
        <f>IF(ISNUMBER(Z541),1,0)</f>
        <v/>
      </c>
      <c r="BU541" s="55">
        <f>N(Z541)</f>
        <v/>
      </c>
      <c r="BV541" s="55">
        <f>N(L541)+N(M541)</f>
        <v/>
      </c>
      <c r="BW541" s="55">
        <f>ROUNDUP(G541/BN541,0)</f>
        <v/>
      </c>
      <c r="BX541" s="55">
        <f>ROUNDUP(BU541/BN541,0)</f>
        <v/>
      </c>
      <c r="BY541" s="58">
        <f>IF(BO541=1,0,IFERROR(VLOOKUP(BM541,'Gebinde-Kategorie'!$A$5:$G$45,5,0)+0,0))</f>
        <v/>
      </c>
      <c r="BZ541" s="58">
        <f>IFERROR(IF(OR(BQ541=1,BQ541=2,BQ541=3),N(INDEX(Parameter!$I$5:$I$7,BQ541)),0),0)</f>
        <v/>
      </c>
    </row>
    <row r="542">
      <c r="A542" s="53" t="inlineStr">
        <is>
          <t>106703</t>
        </is>
      </c>
      <c r="B542" s="53" t="inlineStr">
        <is>
          <t>Adapter Edelstahl</t>
        </is>
      </c>
      <c r="C542" s="53" t="inlineStr">
        <is>
          <t>F</t>
        </is>
      </c>
      <c r="D542" s="53" t="inlineStr">
        <is>
          <t>KTL</t>
        </is>
      </c>
      <c r="E542" s="53" t="inlineStr">
        <is>
          <t>C</t>
        </is>
      </c>
      <c r="F542" s="54" t="n">
        <v>20.09</v>
      </c>
      <c r="G542" s="55">
        <f>MAX(0,IF(Parameter!$B$20="Jahresanfang 2025 + Export",BG542+BF542,BF542))</f>
        <v/>
      </c>
      <c r="H542" s="55">
        <f>G542*F542</f>
        <v/>
      </c>
      <c r="I542" s="55">
        <f>BI542*Parameter!$B$18</f>
        <v/>
      </c>
      <c r="J542" s="56" t="n">
        <v>101.5</v>
      </c>
      <c r="K542" s="57" t="n">
        <v>0</v>
      </c>
      <c r="L542" s="55" t="n">
        <v>0</v>
      </c>
      <c r="M542" s="55" t="n">
        <v>1</v>
      </c>
      <c r="N542" s="58" t="n">
        <v>28</v>
      </c>
      <c r="O542" s="53" t="inlineStr">
        <is>
          <t>S51</t>
        </is>
      </c>
      <c r="P542" s="55" t="n">
        <v>120</v>
      </c>
      <c r="Q542" s="59">
        <f>IF(BO542=1,0,IFERROR(VLOOKUP(BM542,'Gebinde-Kategorie'!$A$5:$G$45,6,0)+0,0))</f>
        <v/>
      </c>
      <c r="R542" s="60" t="n"/>
      <c r="S542" s="61" t="n"/>
      <c r="T542" s="61" t="n"/>
      <c r="U542" s="53">
        <f>IF(A542="","",IF(IFERROR(VLOOKUP(D542,Parameter!$A$35:$C$64,2,0),"Nein")="2+3",IF(ISNUMBER(SEARCH("grosser Artikel",BJ542)),2,IFERROR(VLOOKUP(BM542,Parameter!$F$35:$G$64,2,0),2)),IF(OR(IFERROR(VLOOKUP(D542,Parameter!$A$35:$C$64,2,0),"Nein")="Nein",IFERROR(VLOOKUP(D542,Parameter!$A$35:$C$64,2,0),"Nein")=""),"-",VLOOKUP(D542,Parameter!$A$35:$C$64,2,0))))</f>
        <v/>
      </c>
      <c r="V542" s="61" t="n"/>
      <c r="W542" s="62" t="n"/>
      <c r="X542" s="55">
        <f>AM542</f>
        <v/>
      </c>
      <c r="Y542" s="55">
        <f>MAX(AM542,G542)</f>
        <v/>
      </c>
      <c r="Z542" s="63" t="n"/>
      <c r="AA542" s="55">
        <f>IF(LEFT(Cockpit!$C$5,1)="A",G542,IF(BT542=1,BU542,IF(LEFT(Cockpit!$C$5,1)="B",AE542,MAX(AE542,G542))))</f>
        <v/>
      </c>
      <c r="AB542" s="55">
        <f>IF(BO542=1,0,ROUNDUP(AA542/BN542,0))</f>
        <v/>
      </c>
      <c r="AC542" s="64">
        <f>IF(BO542=1,IF(AA542&lt;=0,0,BP542*MAX(1,IF(G542&gt;0,AA542/G542,1))),AB542*Q542)</f>
        <v/>
      </c>
      <c r="AD542" s="55">
        <f>AA542*F542</f>
        <v/>
      </c>
      <c r="AE542" s="55">
        <f>ROUNDUP(MAX(I542/IF(BS542&gt;0,BS542,MAX(0.1,N(Cockpit!$C$6))),BV542)/BN542,0)*BN542</f>
        <v/>
      </c>
      <c r="AF542" s="56">
        <f>IF(AC542&gt;0,I542/AC542,-1)</f>
        <v/>
      </c>
      <c r="AG542" s="56">
        <f>IF(AND(OR(BR542="L1",BR542="L23"),AC542&gt;0),SUMIFS($AC$7:$AC$1570,$BR$7:$BR$1570,BR542,$AF$7:$AF$1570,"&gt;"&amp;AF542)+SUMIFS($AC$7:$AC$1570,$BR$7:$BR$1570,BR542,$AF$7:$AF$1570,AF542,$BL$7:$BL$1570,"&lt;="&amp;BL542),"")</f>
        <v/>
      </c>
      <c r="AH542" s="65">
        <f>IF(AG542="",0,MAX(0,MIN(1,(IF(BR542="L1",Parameter!$K$5,Parameter!$K$6+Parameter!$K$7)-(AG542-AC542))/AC542)))</f>
        <v/>
      </c>
      <c r="AI542" s="55">
        <f>IF(LEFT(Cockpit!$I$5,1)="A",G542,IF(BT542=1,BU542,IF(LEFT(Cockpit!$I$5,1)="B",AM542,MAX(AM542,G542))))</f>
        <v/>
      </c>
      <c r="AJ542" s="55">
        <f>IF(BO542=1,0,ROUNDUP(AI542/BN542,0))</f>
        <v/>
      </c>
      <c r="AK542" s="64">
        <f>IF(BO542=1,IF(AI542&lt;=0,0,BP542*MAX(1,IF(G542&gt;0,AI542/G542,1))),AJ542*Q542)</f>
        <v/>
      </c>
      <c r="AL542" s="55">
        <f>AI542*F542</f>
        <v/>
      </c>
      <c r="AM542" s="55">
        <f>ROUNDUP(MAX(I542/IF(BS542&gt;0,BS542,MAX(0.1,N(Cockpit!$I$6))),BV542)/BN542,0)*BN542</f>
        <v/>
      </c>
      <c r="AN542" s="56">
        <f>IF(AK542&gt;0,I542/AK542,-1)</f>
        <v/>
      </c>
      <c r="AO542" s="56">
        <f>IF(AND(OR(BR542="L1",BR542="L23"),AK542&gt;0),SUMIFS($AK$7:$AK$1570,$BR$7:$BR$1570,BR542,$AN$7:$AN$1570,"&gt;"&amp;AN542)+SUMIFS($AK$7:$AK$1570,$BR$7:$BR$1570,BR542,$AN$7:$AN$1570,AN542,$BL$7:$BL$1570,"&lt;="&amp;BL542),"")</f>
        <v/>
      </c>
      <c r="AP542" s="65">
        <f>IF(AO542="",0,MAX(0,MIN(1,(IF(BR542="L1",Parameter!$K$5,Parameter!$K$6+Parameter!$K$7)-(AO542-AK542))/AK542)))</f>
        <v/>
      </c>
      <c r="AQ542" s="55">
        <f>IF(LEFT(Cockpit!$O$5,1)="A",G542,IF(BT542=1,BU542,IF(LEFT(Cockpit!$O$5,1)="B",AU542,MAX(AU542,G542))))</f>
        <v/>
      </c>
      <c r="AR542" s="55">
        <f>IF(BO542=1,0,ROUNDUP(AQ542/BN542,0))</f>
        <v/>
      </c>
      <c r="AS542" s="64">
        <f>IF(BO542=1,IF(AQ542&lt;=0,0,BP542*MAX(1,IF(G542&gt;0,AQ542/G542,1))),AR542*Q542)</f>
        <v/>
      </c>
      <c r="AT542" s="55">
        <f>AQ542*F542</f>
        <v/>
      </c>
      <c r="AU542" s="55">
        <f>ROUNDUP(MAX(I542/IF(BS542&gt;0,BS542,MAX(0.1,N(Cockpit!$O$6))),BV542)/BN542,0)*BN542</f>
        <v/>
      </c>
      <c r="AV542" s="56">
        <f>IF(AS542&gt;0,I542/AS542,-1)</f>
        <v/>
      </c>
      <c r="AW542" s="56">
        <f>IF(AND(OR(BR542="L1",BR542="L23"),AS542&gt;0),SUMIFS($AS$7:$AS$1570,$BR$7:$BR$1570,BR542,$AV$7:$AV$1570,"&gt;"&amp;AV542)+SUMIFS($AS$7:$AS$1570,$BR$7:$BR$1570,BR542,$AV$7:$AV$1570,AV542,$BL$7:$BL$1570,"&lt;="&amp;BL542),"")</f>
        <v/>
      </c>
      <c r="AX542" s="65">
        <f>IF(AW542="",0,MAX(0,MIN(1,(IF(BR542="L1",Parameter!$K$5,Parameter!$K$6+Parameter!$K$7)-(AW542-AS542))/AS542)))</f>
        <v/>
      </c>
      <c r="AY542" s="53">
        <f>IF(AC542&lt;=0,"",IF(BR542="Aussen","Aussenlager",IF(BR542="-","Nicht im Lift",IF(AH542&gt;=1,"Lift",IF(AH542&lt;=0,"Aussenlager","teilweise")))))</f>
        <v/>
      </c>
      <c r="AZ542" s="53">
        <f>IF(AK542&lt;=0,"",IF(BR542="Aussen","Aussenlager",IF(BR542="-","Nicht im Lift",IF(AP542&gt;=1,"Lift",IF(AP542&lt;=0,"Aussenlager","teilweise")))))</f>
        <v/>
      </c>
      <c r="BA542" s="53">
        <f>IF(AS542&lt;=0,"",IF(BR542="Aussen","Aussenlager",IF(BR542="-","Nicht im Lift",IF(AX542&gt;=1,"Lift",IF(AX542&lt;=0,"Aussenlager","teilweise")))))</f>
        <v/>
      </c>
      <c r="BB542" s="53">
        <f>IF(A542="","",IF(BK542=1,"Neu; ","")&amp;IF(AND(BK542=0,BF542&lt;0),"negativer Bestand (Export "&amp;BF542&amp;"); ","")&amp;IF(I542&lt;=0,"Kein Verbrauch; ","")&amp;IF(BO542=1,"Lose – Fläche geschätzt; ","")&amp;IF(G542&gt;AM542,"Überbestand "&amp;ROUND(G542-AM542,0)&amp;" Stk / CHF "&amp;ROUND((G542-AM542)*F542,0)&amp;"; ","")&amp;IF(AND(BT542=1,BU542&lt;BV542),"MAX &lt; MB+LG; ","")&amp;IF(AND(BZ542&gt;0,BY542*10&gt;BZ542),"zu hoch für Tablar; ","")&amp;IF(AND(BK542=0,OR(BT542=1,V542&lt;&gt;"",S542&lt;&gt;"",T542&lt;&gt;"",W542&lt;&gt;"")),"manuell übersteuert; ","")&amp;IF(AND(BO542=0,Q542=0),"Gebinde unbekannt; ","")&amp;IF(AND(BO542=0,N(T542)&lt;=0,N(P542)&lt;=0),"Menge pro Gebinde fehlt (Ist = 1 Gebinde); ","")&amp;BJ542)</f>
        <v/>
      </c>
      <c r="BC542" s="53" t="n"/>
      <c r="BD542" s="53" t="n"/>
      <c r="BE542" s="61" t="n"/>
      <c r="BF542" s="55" t="n">
        <v>1</v>
      </c>
      <c r="BG542" s="55" t="n">
        <v>101</v>
      </c>
      <c r="BH542" s="54" t="n">
        <v>20.09</v>
      </c>
      <c r="BI542" s="55" t="n">
        <v>0</v>
      </c>
      <c r="BJ542" s="53" t="inlineStr">
        <is>
          <t>Überbestand</t>
        </is>
      </c>
      <c r="BK542" s="58" t="n">
        <v>0</v>
      </c>
      <c r="BL542" s="58" t="n">
        <v>542</v>
      </c>
      <c r="BM542" s="53">
        <f>IF(S542&lt;&gt;"",UPPER(TRIM(S542)),IF(O542="","LOSE",O542))</f>
        <v/>
      </c>
      <c r="BN542" s="55">
        <f>IF(BM542="LOSE",1,IF(N(T542)&gt;0,T542,IF(N(P542)&gt;0,P542,MAX(1,G542))))</f>
        <v/>
      </c>
      <c r="BO542" s="58">
        <f>IF(BM542="LOSE",1,0)</f>
        <v/>
      </c>
      <c r="BP542" s="64">
        <f>IF(BO542=0,0,IF(N(R542)&gt;0,R542,IFERROR(VLOOKUP(D542,Parameter!$A$35:$C$64,3,0)+0,0)))</f>
        <v/>
      </c>
      <c r="BQ542" s="53">
        <f>IF(V542&lt;&gt;"",V542,U542)</f>
        <v/>
      </c>
      <c r="BR542" s="53">
        <f>IF(BQ542=1,"L1",IF(OR(BQ542=2,BQ542=3),"L23",IF(BQ542="Aussen","Aussen","-")))</f>
        <v/>
      </c>
      <c r="BS542" s="66">
        <f>IF(N(W542)&gt;0,W542,0)</f>
        <v/>
      </c>
      <c r="BT542" s="58">
        <f>IF(ISNUMBER(Z542),1,0)</f>
        <v/>
      </c>
      <c r="BU542" s="55">
        <f>N(Z542)</f>
        <v/>
      </c>
      <c r="BV542" s="55">
        <f>N(L542)+N(M542)</f>
        <v/>
      </c>
      <c r="BW542" s="55">
        <f>ROUNDUP(G542/BN542,0)</f>
        <v/>
      </c>
      <c r="BX542" s="55">
        <f>ROUNDUP(BU542/BN542,0)</f>
        <v/>
      </c>
      <c r="BY542" s="58">
        <f>IF(BO542=1,0,IFERROR(VLOOKUP(BM542,'Gebinde-Kategorie'!$A$5:$G$45,5,0)+0,0))</f>
        <v/>
      </c>
      <c r="BZ542" s="58">
        <f>IFERROR(IF(OR(BQ542=1,BQ542=2,BQ542=3),N(INDEX(Parameter!$I$5:$I$7,BQ542)),0),0)</f>
        <v/>
      </c>
    </row>
    <row r="543">
      <c r="A543" s="53" t="inlineStr">
        <is>
          <t>002032</t>
        </is>
      </c>
      <c r="B543" s="53" t="inlineStr">
        <is>
          <t>Ringgabelschlüssel</t>
        </is>
      </c>
      <c r="C543" s="53" t="inlineStr">
        <is>
          <t>F</t>
        </is>
      </c>
      <c r="D543" s="53" t="inlineStr">
        <is>
          <t>KTL</t>
        </is>
      </c>
      <c r="E543" s="53" t="inlineStr">
        <is>
          <t>C</t>
        </is>
      </c>
      <c r="F543" s="54" t="n">
        <v>14.65</v>
      </c>
      <c r="G543" s="55">
        <f>MAX(0,IF(Parameter!$B$20="Jahresanfang 2025 + Export",BG543+BF543,BF543))</f>
        <v/>
      </c>
      <c r="H543" s="55">
        <f>G543*F543</f>
        <v/>
      </c>
      <c r="I543" s="55">
        <f>BI543*Parameter!$B$18</f>
        <v/>
      </c>
      <c r="J543" s="56" t="n">
        <v>3.5</v>
      </c>
      <c r="K543" s="57" t="n">
        <v>1.714285714285714</v>
      </c>
      <c r="L543" s="55" t="n">
        <v>0</v>
      </c>
      <c r="M543" s="55" t="n">
        <v>5</v>
      </c>
      <c r="N543" s="58" t="n">
        <v>18</v>
      </c>
      <c r="O543" s="53" t="inlineStr">
        <is>
          <t>S33</t>
        </is>
      </c>
      <c r="P543" s="55" t="n">
        <v>4</v>
      </c>
      <c r="Q543" s="59">
        <f>IF(BO543=1,0,IFERROR(VLOOKUP(BM543,'Gebinde-Kategorie'!$A$5:$G$45,6,0)+0,0))</f>
        <v/>
      </c>
      <c r="R543" s="60" t="n"/>
      <c r="S543" s="61" t="n"/>
      <c r="T543" s="61" t="n"/>
      <c r="U543" s="53">
        <f>IF(A543="","",IF(IFERROR(VLOOKUP(D543,Parameter!$A$35:$C$64,2,0),"Nein")="2+3",IF(ISNUMBER(SEARCH("grosser Artikel",BJ543)),2,IFERROR(VLOOKUP(BM543,Parameter!$F$35:$G$64,2,0),2)),IF(OR(IFERROR(VLOOKUP(D543,Parameter!$A$35:$C$64,2,0),"Nein")="Nein",IFERROR(VLOOKUP(D543,Parameter!$A$35:$C$64,2,0),"Nein")=""),"-",VLOOKUP(D543,Parameter!$A$35:$C$64,2,0))))</f>
        <v/>
      </c>
      <c r="V543" s="61" t="n"/>
      <c r="W543" s="62" t="n"/>
      <c r="X543" s="55">
        <f>AM543</f>
        <v/>
      </c>
      <c r="Y543" s="55">
        <f>MAX(AM543,G543)</f>
        <v/>
      </c>
      <c r="Z543" s="63" t="n"/>
      <c r="AA543" s="55">
        <f>IF(LEFT(Cockpit!$C$5,1)="A",G543,IF(BT543=1,BU543,IF(LEFT(Cockpit!$C$5,1)="B",AE543,MAX(AE543,G543))))</f>
        <v/>
      </c>
      <c r="AB543" s="55">
        <f>IF(BO543=1,0,ROUNDUP(AA543/BN543,0))</f>
        <v/>
      </c>
      <c r="AC543" s="64">
        <f>IF(BO543=1,IF(AA543&lt;=0,0,BP543*MAX(1,IF(G543&gt;0,AA543/G543,1))),AB543*Q543)</f>
        <v/>
      </c>
      <c r="AD543" s="55">
        <f>AA543*F543</f>
        <v/>
      </c>
      <c r="AE543" s="55">
        <f>ROUNDUP(MAX(I543/IF(BS543&gt;0,BS543,MAX(0.1,N(Cockpit!$C$6))),BV543)/BN543,0)*BN543</f>
        <v/>
      </c>
      <c r="AF543" s="56">
        <f>IF(AC543&gt;0,I543/AC543,-1)</f>
        <v/>
      </c>
      <c r="AG543" s="56">
        <f>IF(AND(OR(BR543="L1",BR543="L23"),AC543&gt;0),SUMIFS($AC$7:$AC$1570,$BR$7:$BR$1570,BR543,$AF$7:$AF$1570,"&gt;"&amp;AF543)+SUMIFS($AC$7:$AC$1570,$BR$7:$BR$1570,BR543,$AF$7:$AF$1570,AF543,$BL$7:$BL$1570,"&lt;="&amp;BL543),"")</f>
        <v/>
      </c>
      <c r="AH543" s="65">
        <f>IF(AG543="",0,MAX(0,MIN(1,(IF(BR543="L1",Parameter!$K$5,Parameter!$K$6+Parameter!$K$7)-(AG543-AC543))/AC543)))</f>
        <v/>
      </c>
      <c r="AI543" s="55">
        <f>IF(LEFT(Cockpit!$I$5,1)="A",G543,IF(BT543=1,BU543,IF(LEFT(Cockpit!$I$5,1)="B",AM543,MAX(AM543,G543))))</f>
        <v/>
      </c>
      <c r="AJ543" s="55">
        <f>IF(BO543=1,0,ROUNDUP(AI543/BN543,0))</f>
        <v/>
      </c>
      <c r="AK543" s="64">
        <f>IF(BO543=1,IF(AI543&lt;=0,0,BP543*MAX(1,IF(G543&gt;0,AI543/G543,1))),AJ543*Q543)</f>
        <v/>
      </c>
      <c r="AL543" s="55">
        <f>AI543*F543</f>
        <v/>
      </c>
      <c r="AM543" s="55">
        <f>ROUNDUP(MAX(I543/IF(BS543&gt;0,BS543,MAX(0.1,N(Cockpit!$I$6))),BV543)/BN543,0)*BN543</f>
        <v/>
      </c>
      <c r="AN543" s="56">
        <f>IF(AK543&gt;0,I543/AK543,-1)</f>
        <v/>
      </c>
      <c r="AO543" s="56">
        <f>IF(AND(OR(BR543="L1",BR543="L23"),AK543&gt;0),SUMIFS($AK$7:$AK$1570,$BR$7:$BR$1570,BR543,$AN$7:$AN$1570,"&gt;"&amp;AN543)+SUMIFS($AK$7:$AK$1570,$BR$7:$BR$1570,BR543,$AN$7:$AN$1570,AN543,$BL$7:$BL$1570,"&lt;="&amp;BL543),"")</f>
        <v/>
      </c>
      <c r="AP543" s="65">
        <f>IF(AO543="",0,MAX(0,MIN(1,(IF(BR543="L1",Parameter!$K$5,Parameter!$K$6+Parameter!$K$7)-(AO543-AK543))/AK543)))</f>
        <v/>
      </c>
      <c r="AQ543" s="55">
        <f>IF(LEFT(Cockpit!$O$5,1)="A",G543,IF(BT543=1,BU543,IF(LEFT(Cockpit!$O$5,1)="B",AU543,MAX(AU543,G543))))</f>
        <v/>
      </c>
      <c r="AR543" s="55">
        <f>IF(BO543=1,0,ROUNDUP(AQ543/BN543,0))</f>
        <v/>
      </c>
      <c r="AS543" s="64">
        <f>IF(BO543=1,IF(AQ543&lt;=0,0,BP543*MAX(1,IF(G543&gt;0,AQ543/G543,1))),AR543*Q543)</f>
        <v/>
      </c>
      <c r="AT543" s="55">
        <f>AQ543*F543</f>
        <v/>
      </c>
      <c r="AU543" s="55">
        <f>ROUNDUP(MAX(I543/IF(BS543&gt;0,BS543,MAX(0.1,N(Cockpit!$O$6))),BV543)/BN543,0)*BN543</f>
        <v/>
      </c>
      <c r="AV543" s="56">
        <f>IF(AS543&gt;0,I543/AS543,-1)</f>
        <v/>
      </c>
      <c r="AW543" s="56">
        <f>IF(AND(OR(BR543="L1",BR543="L23"),AS543&gt;0),SUMIFS($AS$7:$AS$1570,$BR$7:$BR$1570,BR543,$AV$7:$AV$1570,"&gt;"&amp;AV543)+SUMIFS($AS$7:$AS$1570,$BR$7:$BR$1570,BR543,$AV$7:$AV$1570,AV543,$BL$7:$BL$1570,"&lt;="&amp;BL543),"")</f>
        <v/>
      </c>
      <c r="AX543" s="65">
        <f>IF(AW543="",0,MAX(0,MIN(1,(IF(BR543="L1",Parameter!$K$5,Parameter!$K$6+Parameter!$K$7)-(AW543-AS543))/AS543)))</f>
        <v/>
      </c>
      <c r="AY543" s="53">
        <f>IF(AC543&lt;=0,"",IF(BR543="Aussen","Aussenlager",IF(BR543="-","Nicht im Lift",IF(AH543&gt;=1,"Lift",IF(AH543&lt;=0,"Aussenlager","teilweise")))))</f>
        <v/>
      </c>
      <c r="AZ543" s="53">
        <f>IF(AK543&lt;=0,"",IF(BR543="Aussen","Aussenlager",IF(BR543="-","Nicht im Lift",IF(AP543&gt;=1,"Lift",IF(AP543&lt;=0,"Aussenlager","teilweise")))))</f>
        <v/>
      </c>
      <c r="BA543" s="53">
        <f>IF(AS543&lt;=0,"",IF(BR543="Aussen","Aussenlager",IF(BR543="-","Nicht im Lift",IF(AX543&gt;=1,"Lift",IF(AX543&lt;=0,"Aussenlager","teilweise")))))</f>
        <v/>
      </c>
      <c r="BB543" s="53">
        <f>IF(A543="","",IF(BK543=1,"Neu; ","")&amp;IF(AND(BK543=0,BF543&lt;0),"negativer Bestand (Export "&amp;BF543&amp;"); ","")&amp;IF(I543&lt;=0,"Kein Verbrauch; ","")&amp;IF(BO543=1,"Lose – Fläche geschätzt; ","")&amp;IF(G543&gt;AM543,"Überbestand "&amp;ROUND(G543-AM543,0)&amp;" Stk / CHF "&amp;ROUND((G543-AM543)*F543,0)&amp;"; ","")&amp;IF(AND(BT543=1,BU543&lt;BV543),"MAX &lt; MB+LG; ","")&amp;IF(AND(BZ543&gt;0,BY543*10&gt;BZ543),"zu hoch für Tablar; ","")&amp;IF(AND(BK543=0,OR(BT543=1,V543&lt;&gt;"",S543&lt;&gt;"",T543&lt;&gt;"",W543&lt;&gt;"")),"manuell übersteuert; ","")&amp;IF(AND(BO543=0,Q543=0),"Gebinde unbekannt; ","")&amp;IF(AND(BO543=0,N(T543)&lt;=0,N(P543)&lt;=0),"Menge pro Gebinde fehlt (Ist = 1 Gebinde); ","")&amp;BJ543)</f>
        <v/>
      </c>
      <c r="BC543" s="53" t="n"/>
      <c r="BD543" s="53" t="n"/>
      <c r="BE543" s="61" t="n"/>
      <c r="BF543" s="55" t="n">
        <v>2</v>
      </c>
      <c r="BG543" s="55" t="n">
        <v>5</v>
      </c>
      <c r="BH543" s="54" t="n">
        <v>19.52</v>
      </c>
      <c r="BI543" s="55" t="n">
        <v>6</v>
      </c>
      <c r="BJ543" s="53" t="inlineStr"/>
      <c r="BK543" s="58" t="n">
        <v>0</v>
      </c>
      <c r="BL543" s="58" t="n">
        <v>543</v>
      </c>
      <c r="BM543" s="53">
        <f>IF(S543&lt;&gt;"",UPPER(TRIM(S543)),IF(O543="","LOSE",O543))</f>
        <v/>
      </c>
      <c r="BN543" s="55">
        <f>IF(BM543="LOSE",1,IF(N(T543)&gt;0,T543,IF(N(P543)&gt;0,P543,MAX(1,G543))))</f>
        <v/>
      </c>
      <c r="BO543" s="58">
        <f>IF(BM543="LOSE",1,0)</f>
        <v/>
      </c>
      <c r="BP543" s="64">
        <f>IF(BO543=0,0,IF(N(R543)&gt;0,R543,IFERROR(VLOOKUP(D543,Parameter!$A$35:$C$64,3,0)+0,0)))</f>
        <v/>
      </c>
      <c r="BQ543" s="53">
        <f>IF(V543&lt;&gt;"",V543,U543)</f>
        <v/>
      </c>
      <c r="BR543" s="53">
        <f>IF(BQ543=1,"L1",IF(OR(BQ543=2,BQ543=3),"L23",IF(BQ543="Aussen","Aussen","-")))</f>
        <v/>
      </c>
      <c r="BS543" s="66">
        <f>IF(N(W543)&gt;0,W543,0)</f>
        <v/>
      </c>
      <c r="BT543" s="58">
        <f>IF(ISNUMBER(Z543),1,0)</f>
        <v/>
      </c>
      <c r="BU543" s="55">
        <f>N(Z543)</f>
        <v/>
      </c>
      <c r="BV543" s="55">
        <f>N(L543)+N(M543)</f>
        <v/>
      </c>
      <c r="BW543" s="55">
        <f>ROUNDUP(G543/BN543,0)</f>
        <v/>
      </c>
      <c r="BX543" s="55">
        <f>ROUNDUP(BU543/BN543,0)</f>
        <v/>
      </c>
      <c r="BY543" s="58">
        <f>IF(BO543=1,0,IFERROR(VLOOKUP(BM543,'Gebinde-Kategorie'!$A$5:$G$45,5,0)+0,0))</f>
        <v/>
      </c>
      <c r="BZ543" s="58">
        <f>IFERROR(IF(OR(BQ543=1,BQ543=2,BQ543=3),N(INDEX(Parameter!$I$5:$I$7,BQ543)),0),0)</f>
        <v/>
      </c>
    </row>
    <row r="544">
      <c r="A544" s="53" t="inlineStr">
        <is>
          <t>005597</t>
        </is>
      </c>
      <c r="B544" s="53" t="inlineStr">
        <is>
          <t>Schraubkappe</t>
        </is>
      </c>
      <c r="C544" s="53" t="inlineStr">
        <is>
          <t>F</t>
        </is>
      </c>
      <c r="D544" s="53" t="inlineStr">
        <is>
          <t>KTL</t>
        </is>
      </c>
      <c r="E544" s="53" t="inlineStr">
        <is>
          <t>C</t>
        </is>
      </c>
      <c r="F544" s="54" t="n">
        <v>0.06</v>
      </c>
      <c r="G544" s="55">
        <f>MAX(0,IF(Parameter!$B$20="Jahresanfang 2025 + Export",BG544+BF544,BF544))</f>
        <v/>
      </c>
      <c r="H544" s="55">
        <f>G544*F544</f>
        <v/>
      </c>
      <c r="I544" s="55">
        <f>BI544*Parameter!$B$18</f>
        <v/>
      </c>
      <c r="J544" s="56" t="n">
        <v>322.5</v>
      </c>
      <c r="K544" s="57" t="n">
        <v>2.23875968992248</v>
      </c>
      <c r="L544" s="55" t="n">
        <v>28</v>
      </c>
      <c r="M544" s="55" t="n">
        <v>750</v>
      </c>
      <c r="N544" s="58" t="n">
        <v>14</v>
      </c>
      <c r="O544" s="53" t="inlineStr">
        <is>
          <t>S51</t>
        </is>
      </c>
      <c r="P544" s="55" t="n">
        <v>334</v>
      </c>
      <c r="Q544" s="59">
        <f>IF(BO544=1,0,IFERROR(VLOOKUP(BM544,'Gebinde-Kategorie'!$A$5:$G$45,6,0)+0,0))</f>
        <v/>
      </c>
      <c r="R544" s="60" t="n"/>
      <c r="S544" s="61" t="n"/>
      <c r="T544" s="61" t="n"/>
      <c r="U544" s="53">
        <f>IF(A544="","",IF(IFERROR(VLOOKUP(D544,Parameter!$A$35:$C$64,2,0),"Nein")="2+3",IF(ISNUMBER(SEARCH("grosser Artikel",BJ544)),2,IFERROR(VLOOKUP(BM544,Parameter!$F$35:$G$64,2,0),2)),IF(OR(IFERROR(VLOOKUP(D544,Parameter!$A$35:$C$64,2,0),"Nein")="Nein",IFERROR(VLOOKUP(D544,Parameter!$A$35:$C$64,2,0),"Nein")=""),"-",VLOOKUP(D544,Parameter!$A$35:$C$64,2,0))))</f>
        <v/>
      </c>
      <c r="V544" s="61" t="n"/>
      <c r="W544" s="62" t="n"/>
      <c r="X544" s="55">
        <f>AM544</f>
        <v/>
      </c>
      <c r="Y544" s="55">
        <f>MAX(AM544,G544)</f>
        <v/>
      </c>
      <c r="Z544" s="63" t="n"/>
      <c r="AA544" s="55">
        <f>IF(LEFT(Cockpit!$C$5,1)="A",G544,IF(BT544=1,BU544,IF(LEFT(Cockpit!$C$5,1)="B",AE544,MAX(AE544,G544))))</f>
        <v/>
      </c>
      <c r="AB544" s="55">
        <f>IF(BO544=1,0,ROUNDUP(AA544/BN544,0))</f>
        <v/>
      </c>
      <c r="AC544" s="64">
        <f>IF(BO544=1,IF(AA544&lt;=0,0,BP544*MAX(1,IF(G544&gt;0,AA544/G544,1))),AB544*Q544)</f>
        <v/>
      </c>
      <c r="AD544" s="55">
        <f>AA544*F544</f>
        <v/>
      </c>
      <c r="AE544" s="55">
        <f>ROUNDUP(MAX(I544/IF(BS544&gt;0,BS544,MAX(0.1,N(Cockpit!$C$6))),BV544)/BN544,0)*BN544</f>
        <v/>
      </c>
      <c r="AF544" s="56">
        <f>IF(AC544&gt;0,I544/AC544,-1)</f>
        <v/>
      </c>
      <c r="AG544" s="56">
        <f>IF(AND(OR(BR544="L1",BR544="L23"),AC544&gt;0),SUMIFS($AC$7:$AC$1570,$BR$7:$BR$1570,BR544,$AF$7:$AF$1570,"&gt;"&amp;AF544)+SUMIFS($AC$7:$AC$1570,$BR$7:$BR$1570,BR544,$AF$7:$AF$1570,AF544,$BL$7:$BL$1570,"&lt;="&amp;BL544),"")</f>
        <v/>
      </c>
      <c r="AH544" s="65">
        <f>IF(AG544="",0,MAX(0,MIN(1,(IF(BR544="L1",Parameter!$K$5,Parameter!$K$6+Parameter!$K$7)-(AG544-AC544))/AC544)))</f>
        <v/>
      </c>
      <c r="AI544" s="55">
        <f>IF(LEFT(Cockpit!$I$5,1)="A",G544,IF(BT544=1,BU544,IF(LEFT(Cockpit!$I$5,1)="B",AM544,MAX(AM544,G544))))</f>
        <v/>
      </c>
      <c r="AJ544" s="55">
        <f>IF(BO544=1,0,ROUNDUP(AI544/BN544,0))</f>
        <v/>
      </c>
      <c r="AK544" s="64">
        <f>IF(BO544=1,IF(AI544&lt;=0,0,BP544*MAX(1,IF(G544&gt;0,AI544/G544,1))),AJ544*Q544)</f>
        <v/>
      </c>
      <c r="AL544" s="55">
        <f>AI544*F544</f>
        <v/>
      </c>
      <c r="AM544" s="55">
        <f>ROUNDUP(MAX(I544/IF(BS544&gt;0,BS544,MAX(0.1,N(Cockpit!$I$6))),BV544)/BN544,0)*BN544</f>
        <v/>
      </c>
      <c r="AN544" s="56">
        <f>IF(AK544&gt;0,I544/AK544,-1)</f>
        <v/>
      </c>
      <c r="AO544" s="56">
        <f>IF(AND(OR(BR544="L1",BR544="L23"),AK544&gt;0),SUMIFS($AK$7:$AK$1570,$BR$7:$BR$1570,BR544,$AN$7:$AN$1570,"&gt;"&amp;AN544)+SUMIFS($AK$7:$AK$1570,$BR$7:$BR$1570,BR544,$AN$7:$AN$1570,AN544,$BL$7:$BL$1570,"&lt;="&amp;BL544),"")</f>
        <v/>
      </c>
      <c r="AP544" s="65">
        <f>IF(AO544="",0,MAX(0,MIN(1,(IF(BR544="L1",Parameter!$K$5,Parameter!$K$6+Parameter!$K$7)-(AO544-AK544))/AK544)))</f>
        <v/>
      </c>
      <c r="AQ544" s="55">
        <f>IF(LEFT(Cockpit!$O$5,1)="A",G544,IF(BT544=1,BU544,IF(LEFT(Cockpit!$O$5,1)="B",AU544,MAX(AU544,G544))))</f>
        <v/>
      </c>
      <c r="AR544" s="55">
        <f>IF(BO544=1,0,ROUNDUP(AQ544/BN544,0))</f>
        <v/>
      </c>
      <c r="AS544" s="64">
        <f>IF(BO544=1,IF(AQ544&lt;=0,0,BP544*MAX(1,IF(G544&gt;0,AQ544/G544,1))),AR544*Q544)</f>
        <v/>
      </c>
      <c r="AT544" s="55">
        <f>AQ544*F544</f>
        <v/>
      </c>
      <c r="AU544" s="55">
        <f>ROUNDUP(MAX(I544/IF(BS544&gt;0,BS544,MAX(0.1,N(Cockpit!$O$6))),BV544)/BN544,0)*BN544</f>
        <v/>
      </c>
      <c r="AV544" s="56">
        <f>IF(AS544&gt;0,I544/AS544,-1)</f>
        <v/>
      </c>
      <c r="AW544" s="56">
        <f>IF(AND(OR(BR544="L1",BR544="L23"),AS544&gt;0),SUMIFS($AS$7:$AS$1570,$BR$7:$BR$1570,BR544,$AV$7:$AV$1570,"&gt;"&amp;AV544)+SUMIFS($AS$7:$AS$1570,$BR$7:$BR$1570,BR544,$AV$7:$AV$1570,AV544,$BL$7:$BL$1570,"&lt;="&amp;BL544),"")</f>
        <v/>
      </c>
      <c r="AX544" s="65">
        <f>IF(AW544="",0,MAX(0,MIN(1,(IF(BR544="L1",Parameter!$K$5,Parameter!$K$6+Parameter!$K$7)-(AW544-AS544))/AS544)))</f>
        <v/>
      </c>
      <c r="AY544" s="53">
        <f>IF(AC544&lt;=0,"",IF(BR544="Aussen","Aussenlager",IF(BR544="-","Nicht im Lift",IF(AH544&gt;=1,"Lift",IF(AH544&lt;=0,"Aussenlager","teilweise")))))</f>
        <v/>
      </c>
      <c r="AZ544" s="53">
        <f>IF(AK544&lt;=0,"",IF(BR544="Aussen","Aussenlager",IF(BR544="-","Nicht im Lift",IF(AP544&gt;=1,"Lift",IF(AP544&lt;=0,"Aussenlager","teilweise")))))</f>
        <v/>
      </c>
      <c r="BA544" s="53">
        <f>IF(AS544&lt;=0,"",IF(BR544="Aussen","Aussenlager",IF(BR544="-","Nicht im Lift",IF(AX544&gt;=1,"Lift",IF(AX544&lt;=0,"Aussenlager","teilweise")))))</f>
        <v/>
      </c>
      <c r="BB544" s="53">
        <f>IF(A544="","",IF(BK544=1,"Neu; ","")&amp;IF(AND(BK544=0,BF544&lt;0),"negativer Bestand (Export "&amp;BF544&amp;"); ","")&amp;IF(I544&lt;=0,"Kein Verbrauch; ","")&amp;IF(BO544=1,"Lose – Fläche geschätzt; ","")&amp;IF(G544&gt;AM544,"Überbestand "&amp;ROUND(G544-AM544,0)&amp;" Stk / CHF "&amp;ROUND((G544-AM544)*F544,0)&amp;"; ","")&amp;IF(AND(BT544=1,BU544&lt;BV544),"MAX &lt; MB+LG; ","")&amp;IF(AND(BZ544&gt;0,BY544*10&gt;BZ544),"zu hoch für Tablar; ","")&amp;IF(AND(BK544=0,OR(BT544=1,V544&lt;&gt;"",S544&lt;&gt;"",T544&lt;&gt;"",W544&lt;&gt;"")),"manuell übersteuert; ","")&amp;IF(AND(BO544=0,Q544=0),"Gebinde unbekannt; ","")&amp;IF(AND(BO544=0,N(T544)&lt;=0,N(P544)&lt;=0),"Menge pro Gebinde fehlt (Ist = 1 Gebinde); ","")&amp;BJ544)</f>
        <v/>
      </c>
      <c r="BC544" s="53" t="n"/>
      <c r="BD544" s="53" t="n"/>
      <c r="BE544" s="61" t="n"/>
      <c r="BF544" s="55" t="n">
        <v>319</v>
      </c>
      <c r="BG544" s="55" t="n">
        <v>331</v>
      </c>
      <c r="BH544" s="54" t="n">
        <v>19.14000000000003</v>
      </c>
      <c r="BI544" s="55" t="n">
        <v>722</v>
      </c>
      <c r="BJ544" s="53" t="inlineStr"/>
      <c r="BK544" s="58" t="n">
        <v>0</v>
      </c>
      <c r="BL544" s="58" t="n">
        <v>544</v>
      </c>
      <c r="BM544" s="53">
        <f>IF(S544&lt;&gt;"",UPPER(TRIM(S544)),IF(O544="","LOSE",O544))</f>
        <v/>
      </c>
      <c r="BN544" s="55">
        <f>IF(BM544="LOSE",1,IF(N(T544)&gt;0,T544,IF(N(P544)&gt;0,P544,MAX(1,G544))))</f>
        <v/>
      </c>
      <c r="BO544" s="58">
        <f>IF(BM544="LOSE",1,0)</f>
        <v/>
      </c>
      <c r="BP544" s="64">
        <f>IF(BO544=0,0,IF(N(R544)&gt;0,R544,IFERROR(VLOOKUP(D544,Parameter!$A$35:$C$64,3,0)+0,0)))</f>
        <v/>
      </c>
      <c r="BQ544" s="53">
        <f>IF(V544&lt;&gt;"",V544,U544)</f>
        <v/>
      </c>
      <c r="BR544" s="53">
        <f>IF(BQ544=1,"L1",IF(OR(BQ544=2,BQ544=3),"L23",IF(BQ544="Aussen","Aussen","-")))</f>
        <v/>
      </c>
      <c r="BS544" s="66">
        <f>IF(N(W544)&gt;0,W544,0)</f>
        <v/>
      </c>
      <c r="BT544" s="58">
        <f>IF(ISNUMBER(Z544),1,0)</f>
        <v/>
      </c>
      <c r="BU544" s="55">
        <f>N(Z544)</f>
        <v/>
      </c>
      <c r="BV544" s="55">
        <f>N(L544)+N(M544)</f>
        <v/>
      </c>
      <c r="BW544" s="55">
        <f>ROUNDUP(G544/BN544,0)</f>
        <v/>
      </c>
      <c r="BX544" s="55">
        <f>ROUNDUP(BU544/BN544,0)</f>
        <v/>
      </c>
      <c r="BY544" s="58">
        <f>IF(BO544=1,0,IFERROR(VLOOKUP(BM544,'Gebinde-Kategorie'!$A$5:$G$45,5,0)+0,0))</f>
        <v/>
      </c>
      <c r="BZ544" s="58">
        <f>IFERROR(IF(OR(BQ544=1,BQ544=2,BQ544=3),N(INDEX(Parameter!$I$5:$I$7,BQ544)),0),0)</f>
        <v/>
      </c>
    </row>
    <row r="545">
      <c r="A545" s="53" t="inlineStr">
        <is>
          <t>109179</t>
        </is>
      </c>
      <c r="B545" s="53" t="inlineStr">
        <is>
          <t>Adapter Bündelanschluss Brenngas</t>
        </is>
      </c>
      <c r="C545" s="53" t="inlineStr">
        <is>
          <t>F</t>
        </is>
      </c>
      <c r="D545" s="53" t="inlineStr">
        <is>
          <t>KTL</t>
        </is>
      </c>
      <c r="E545" s="53" t="inlineStr">
        <is>
          <t>C</t>
        </is>
      </c>
      <c r="F545" s="54" t="n">
        <v>74.2</v>
      </c>
      <c r="G545" s="55">
        <f>MAX(0,IF(Parameter!$B$20="Jahresanfang 2025 + Export",BG545+BF545,BF545))</f>
        <v/>
      </c>
      <c r="H545" s="55">
        <f>G545*F545</f>
        <v/>
      </c>
      <c r="I545" s="55">
        <f>BI545*Parameter!$B$18</f>
        <v/>
      </c>
      <c r="J545" s="56" t="n">
        <v>4.5</v>
      </c>
      <c r="K545" s="57" t="n">
        <v>0.2222222222222222</v>
      </c>
      <c r="L545" s="55" t="n">
        <v>0</v>
      </c>
      <c r="M545" s="55" t="n">
        <v>1</v>
      </c>
      <c r="N545" s="58" t="n">
        <v>35</v>
      </c>
      <c r="O545" s="53" t="inlineStr">
        <is>
          <t>S22</t>
        </is>
      </c>
      <c r="P545" s="55" t="n">
        <v>6</v>
      </c>
      <c r="Q545" s="59">
        <f>IF(BO545=1,0,IFERROR(VLOOKUP(BM545,'Gebinde-Kategorie'!$A$5:$G$45,6,0)+0,0))</f>
        <v/>
      </c>
      <c r="R545" s="60" t="n"/>
      <c r="S545" s="61" t="n"/>
      <c r="T545" s="61" t="n"/>
      <c r="U545" s="53">
        <f>IF(A545="","",IF(IFERROR(VLOOKUP(D545,Parameter!$A$35:$C$64,2,0),"Nein")="2+3",IF(ISNUMBER(SEARCH("grosser Artikel",BJ545)),2,IFERROR(VLOOKUP(BM545,Parameter!$F$35:$G$64,2,0),2)),IF(OR(IFERROR(VLOOKUP(D545,Parameter!$A$35:$C$64,2,0),"Nein")="Nein",IFERROR(VLOOKUP(D545,Parameter!$A$35:$C$64,2,0),"Nein")=""),"-",VLOOKUP(D545,Parameter!$A$35:$C$64,2,0))))</f>
        <v/>
      </c>
      <c r="V545" s="61" t="n"/>
      <c r="W545" s="62" t="n"/>
      <c r="X545" s="55">
        <f>AM545</f>
        <v/>
      </c>
      <c r="Y545" s="55">
        <f>MAX(AM545,G545)</f>
        <v/>
      </c>
      <c r="Z545" s="63" t="n"/>
      <c r="AA545" s="55">
        <f>IF(LEFT(Cockpit!$C$5,1)="A",G545,IF(BT545=1,BU545,IF(LEFT(Cockpit!$C$5,1)="B",AE545,MAX(AE545,G545))))</f>
        <v/>
      </c>
      <c r="AB545" s="55">
        <f>IF(BO545=1,0,ROUNDUP(AA545/BN545,0))</f>
        <v/>
      </c>
      <c r="AC545" s="64">
        <f>IF(BO545=1,IF(AA545&lt;=0,0,BP545*MAX(1,IF(G545&gt;0,AA545/G545,1))),AB545*Q545)</f>
        <v/>
      </c>
      <c r="AD545" s="55">
        <f>AA545*F545</f>
        <v/>
      </c>
      <c r="AE545" s="55">
        <f>ROUNDUP(MAX(I545/IF(BS545&gt;0,BS545,MAX(0.1,N(Cockpit!$C$6))),BV545)/BN545,0)*BN545</f>
        <v/>
      </c>
      <c r="AF545" s="56">
        <f>IF(AC545&gt;0,I545/AC545,-1)</f>
        <v/>
      </c>
      <c r="AG545" s="56">
        <f>IF(AND(OR(BR545="L1",BR545="L23"),AC545&gt;0),SUMIFS($AC$7:$AC$1570,$BR$7:$BR$1570,BR545,$AF$7:$AF$1570,"&gt;"&amp;AF545)+SUMIFS($AC$7:$AC$1570,$BR$7:$BR$1570,BR545,$AF$7:$AF$1570,AF545,$BL$7:$BL$1570,"&lt;="&amp;BL545),"")</f>
        <v/>
      </c>
      <c r="AH545" s="65">
        <f>IF(AG545="",0,MAX(0,MIN(1,(IF(BR545="L1",Parameter!$K$5,Parameter!$K$6+Parameter!$K$7)-(AG545-AC545))/AC545)))</f>
        <v/>
      </c>
      <c r="AI545" s="55">
        <f>IF(LEFT(Cockpit!$I$5,1)="A",G545,IF(BT545=1,BU545,IF(LEFT(Cockpit!$I$5,1)="B",AM545,MAX(AM545,G545))))</f>
        <v/>
      </c>
      <c r="AJ545" s="55">
        <f>IF(BO545=1,0,ROUNDUP(AI545/BN545,0))</f>
        <v/>
      </c>
      <c r="AK545" s="64">
        <f>IF(BO545=1,IF(AI545&lt;=0,0,BP545*MAX(1,IF(G545&gt;0,AI545/G545,1))),AJ545*Q545)</f>
        <v/>
      </c>
      <c r="AL545" s="55">
        <f>AI545*F545</f>
        <v/>
      </c>
      <c r="AM545" s="55">
        <f>ROUNDUP(MAX(I545/IF(BS545&gt;0,BS545,MAX(0.1,N(Cockpit!$I$6))),BV545)/BN545,0)*BN545</f>
        <v/>
      </c>
      <c r="AN545" s="56">
        <f>IF(AK545&gt;0,I545/AK545,-1)</f>
        <v/>
      </c>
      <c r="AO545" s="56">
        <f>IF(AND(OR(BR545="L1",BR545="L23"),AK545&gt;0),SUMIFS($AK$7:$AK$1570,$BR$7:$BR$1570,BR545,$AN$7:$AN$1570,"&gt;"&amp;AN545)+SUMIFS($AK$7:$AK$1570,$BR$7:$BR$1570,BR545,$AN$7:$AN$1570,AN545,$BL$7:$BL$1570,"&lt;="&amp;BL545),"")</f>
        <v/>
      </c>
      <c r="AP545" s="65">
        <f>IF(AO545="",0,MAX(0,MIN(1,(IF(BR545="L1",Parameter!$K$5,Parameter!$K$6+Parameter!$K$7)-(AO545-AK545))/AK545)))</f>
        <v/>
      </c>
      <c r="AQ545" s="55">
        <f>IF(LEFT(Cockpit!$O$5,1)="A",G545,IF(BT545=1,BU545,IF(LEFT(Cockpit!$O$5,1)="B",AU545,MAX(AU545,G545))))</f>
        <v/>
      </c>
      <c r="AR545" s="55">
        <f>IF(BO545=1,0,ROUNDUP(AQ545/BN545,0))</f>
        <v/>
      </c>
      <c r="AS545" s="64">
        <f>IF(BO545=1,IF(AQ545&lt;=0,0,BP545*MAX(1,IF(G545&gt;0,AQ545/G545,1))),AR545*Q545)</f>
        <v/>
      </c>
      <c r="AT545" s="55">
        <f>AQ545*F545</f>
        <v/>
      </c>
      <c r="AU545" s="55">
        <f>ROUNDUP(MAX(I545/IF(BS545&gt;0,BS545,MAX(0.1,N(Cockpit!$O$6))),BV545)/BN545,0)*BN545</f>
        <v/>
      </c>
      <c r="AV545" s="56">
        <f>IF(AS545&gt;0,I545/AS545,-1)</f>
        <v/>
      </c>
      <c r="AW545" s="56">
        <f>IF(AND(OR(BR545="L1",BR545="L23"),AS545&gt;0),SUMIFS($AS$7:$AS$1570,$BR$7:$BR$1570,BR545,$AV$7:$AV$1570,"&gt;"&amp;AV545)+SUMIFS($AS$7:$AS$1570,$BR$7:$BR$1570,BR545,$AV$7:$AV$1570,AV545,$BL$7:$BL$1570,"&lt;="&amp;BL545),"")</f>
        <v/>
      </c>
      <c r="AX545" s="65">
        <f>IF(AW545="",0,MAX(0,MIN(1,(IF(BR545="L1",Parameter!$K$5,Parameter!$K$6+Parameter!$K$7)-(AW545-AS545))/AS545)))</f>
        <v/>
      </c>
      <c r="AY545" s="53">
        <f>IF(AC545&lt;=0,"",IF(BR545="Aussen","Aussenlager",IF(BR545="-","Nicht im Lift",IF(AH545&gt;=1,"Lift",IF(AH545&lt;=0,"Aussenlager","teilweise")))))</f>
        <v/>
      </c>
      <c r="AZ545" s="53">
        <f>IF(AK545&lt;=0,"",IF(BR545="Aussen","Aussenlager",IF(BR545="-","Nicht im Lift",IF(AP545&gt;=1,"Lift",IF(AP545&lt;=0,"Aussenlager","teilweise")))))</f>
        <v/>
      </c>
      <c r="BA545" s="53">
        <f>IF(AS545&lt;=0,"",IF(BR545="Aussen","Aussenlager",IF(BR545="-","Nicht im Lift",IF(AX545&gt;=1,"Lift",IF(AX545&lt;=0,"Aussenlager","teilweise")))))</f>
        <v/>
      </c>
      <c r="BB545" s="53">
        <f>IF(A545="","",IF(BK545=1,"Neu; ","")&amp;IF(AND(BK545=0,BF545&lt;0),"negativer Bestand (Export "&amp;BF545&amp;"); ","")&amp;IF(I545&lt;=0,"Kein Verbrauch; ","")&amp;IF(BO545=1,"Lose – Fläche geschätzt; ","")&amp;IF(G545&gt;AM545,"Überbestand "&amp;ROUND(G545-AM545,0)&amp;" Stk / CHF "&amp;ROUND((G545-AM545)*F545,0)&amp;"; ","")&amp;IF(AND(BT545=1,BU545&lt;BV545),"MAX &lt; MB+LG; ","")&amp;IF(AND(BZ545&gt;0,BY545*10&gt;BZ545),"zu hoch für Tablar; ","")&amp;IF(AND(BK545=0,OR(BT545=1,V545&lt;&gt;"",S545&lt;&gt;"",T545&lt;&gt;"",W545&lt;&gt;"")),"manuell übersteuert; ","")&amp;IF(AND(BO545=0,Q545=0),"Gebinde unbekannt; ","")&amp;IF(AND(BO545=0,N(T545)&lt;=0,N(P545)&lt;=0),"Menge pro Gebinde fehlt (Ist = 1 Gebinde); ","")&amp;BJ545)</f>
        <v/>
      </c>
      <c r="BC545" s="53" t="n"/>
      <c r="BD545" s="53" t="n"/>
      <c r="BE545" s="61" t="n"/>
      <c r="BF545" s="55" t="n">
        <v>0</v>
      </c>
      <c r="BG545" s="55" t="n">
        <v>5</v>
      </c>
      <c r="BH545" s="54" t="n">
        <v>18.74999999999999</v>
      </c>
      <c r="BI545" s="55" t="n">
        <v>1</v>
      </c>
      <c r="BJ545" s="53" t="inlineStr"/>
      <c r="BK545" s="58" t="n">
        <v>0</v>
      </c>
      <c r="BL545" s="58" t="n">
        <v>545</v>
      </c>
      <c r="BM545" s="53">
        <f>IF(S545&lt;&gt;"",UPPER(TRIM(S545)),IF(O545="","LOSE",O545))</f>
        <v/>
      </c>
      <c r="BN545" s="55">
        <f>IF(BM545="LOSE",1,IF(N(T545)&gt;0,T545,IF(N(P545)&gt;0,P545,MAX(1,G545))))</f>
        <v/>
      </c>
      <c r="BO545" s="58">
        <f>IF(BM545="LOSE",1,0)</f>
        <v/>
      </c>
      <c r="BP545" s="64">
        <f>IF(BO545=0,0,IF(N(R545)&gt;0,R545,IFERROR(VLOOKUP(D545,Parameter!$A$35:$C$64,3,0)+0,0)))</f>
        <v/>
      </c>
      <c r="BQ545" s="53">
        <f>IF(V545&lt;&gt;"",V545,U545)</f>
        <v/>
      </c>
      <c r="BR545" s="53">
        <f>IF(BQ545=1,"L1",IF(OR(BQ545=2,BQ545=3),"L23",IF(BQ545="Aussen","Aussen","-")))</f>
        <v/>
      </c>
      <c r="BS545" s="66">
        <f>IF(N(W545)&gt;0,W545,0)</f>
        <v/>
      </c>
      <c r="BT545" s="58">
        <f>IF(ISNUMBER(Z545),1,0)</f>
        <v/>
      </c>
      <c r="BU545" s="55">
        <f>N(Z545)</f>
        <v/>
      </c>
      <c r="BV545" s="55">
        <f>N(L545)+N(M545)</f>
        <v/>
      </c>
      <c r="BW545" s="55">
        <f>ROUNDUP(G545/BN545,0)</f>
        <v/>
      </c>
      <c r="BX545" s="55">
        <f>ROUNDUP(BU545/BN545,0)</f>
        <v/>
      </c>
      <c r="BY545" s="58">
        <f>IF(BO545=1,0,IFERROR(VLOOKUP(BM545,'Gebinde-Kategorie'!$A$5:$G$45,5,0)+0,0))</f>
        <v/>
      </c>
      <c r="BZ545" s="58">
        <f>IFERROR(IF(OR(BQ545=1,BQ545=2,BQ545=3),N(INDEX(Parameter!$I$5:$I$7,BQ545)),0),0)</f>
        <v/>
      </c>
    </row>
    <row r="546">
      <c r="A546" s="53" t="inlineStr">
        <is>
          <t>107312</t>
        </is>
      </c>
      <c r="B546" s="53" t="inlineStr">
        <is>
          <t>Begleitschreiben</t>
        </is>
      </c>
      <c r="C546" s="53" t="inlineStr">
        <is>
          <t>F</t>
        </is>
      </c>
      <c r="D546" s="53" t="inlineStr">
        <is>
          <t>KTL</t>
        </is>
      </c>
      <c r="E546" s="53" t="inlineStr">
        <is>
          <t>C</t>
        </is>
      </c>
      <c r="F546" s="54" t="n">
        <v>3.84</v>
      </c>
      <c r="G546" s="55">
        <f>MAX(0,IF(Parameter!$B$20="Jahresanfang 2025 + Export",BG546+BF546,BF546))</f>
        <v/>
      </c>
      <c r="H546" s="55">
        <f>G546*F546</f>
        <v/>
      </c>
      <c r="I546" s="55">
        <f>BI546*Parameter!$B$18</f>
        <v/>
      </c>
      <c r="J546" s="56" t="n">
        <v>73.5</v>
      </c>
      <c r="K546" s="57" t="n">
        <v>0.9795918367346939</v>
      </c>
      <c r="L546" s="55" t="n">
        <v>7</v>
      </c>
      <c r="M546" s="55" t="n">
        <v>100</v>
      </c>
      <c r="N546" s="58" t="n">
        <v>35</v>
      </c>
      <c r="O546" s="53" t="inlineStr">
        <is>
          <t>S41</t>
        </is>
      </c>
      <c r="P546" s="55" t="n">
        <v>39</v>
      </c>
      <c r="Q546" s="59">
        <f>IF(BO546=1,0,IFERROR(VLOOKUP(BM546,'Gebinde-Kategorie'!$A$5:$G$45,6,0)+0,0))</f>
        <v/>
      </c>
      <c r="R546" s="60" t="n"/>
      <c r="S546" s="61" t="n"/>
      <c r="T546" s="61" t="n"/>
      <c r="U546" s="53">
        <f>IF(A546="","",IF(IFERROR(VLOOKUP(D546,Parameter!$A$35:$C$64,2,0),"Nein")="2+3",IF(ISNUMBER(SEARCH("grosser Artikel",BJ546)),2,IFERROR(VLOOKUP(BM546,Parameter!$F$35:$G$64,2,0),2)),IF(OR(IFERROR(VLOOKUP(D546,Parameter!$A$35:$C$64,2,0),"Nein")="Nein",IFERROR(VLOOKUP(D546,Parameter!$A$35:$C$64,2,0),"Nein")=""),"-",VLOOKUP(D546,Parameter!$A$35:$C$64,2,0))))</f>
        <v/>
      </c>
      <c r="V546" s="61" t="n"/>
      <c r="W546" s="62" t="n"/>
      <c r="X546" s="55">
        <f>AM546</f>
        <v/>
      </c>
      <c r="Y546" s="55">
        <f>MAX(AM546,G546)</f>
        <v/>
      </c>
      <c r="Z546" s="63" t="n"/>
      <c r="AA546" s="55">
        <f>IF(LEFT(Cockpit!$C$5,1)="A",G546,IF(BT546=1,BU546,IF(LEFT(Cockpit!$C$5,1)="B",AE546,MAX(AE546,G546))))</f>
        <v/>
      </c>
      <c r="AB546" s="55">
        <f>IF(BO546=1,0,ROUNDUP(AA546/BN546,0))</f>
        <v/>
      </c>
      <c r="AC546" s="64">
        <f>IF(BO546=1,IF(AA546&lt;=0,0,BP546*MAX(1,IF(G546&gt;0,AA546/G546,1))),AB546*Q546)</f>
        <v/>
      </c>
      <c r="AD546" s="55">
        <f>AA546*F546</f>
        <v/>
      </c>
      <c r="AE546" s="55">
        <f>ROUNDUP(MAX(I546/IF(BS546&gt;0,BS546,MAX(0.1,N(Cockpit!$C$6))),BV546)/BN546,0)*BN546</f>
        <v/>
      </c>
      <c r="AF546" s="56">
        <f>IF(AC546&gt;0,I546/AC546,-1)</f>
        <v/>
      </c>
      <c r="AG546" s="56">
        <f>IF(AND(OR(BR546="L1",BR546="L23"),AC546&gt;0),SUMIFS($AC$7:$AC$1570,$BR$7:$BR$1570,BR546,$AF$7:$AF$1570,"&gt;"&amp;AF546)+SUMIFS($AC$7:$AC$1570,$BR$7:$BR$1570,BR546,$AF$7:$AF$1570,AF546,$BL$7:$BL$1570,"&lt;="&amp;BL546),"")</f>
        <v/>
      </c>
      <c r="AH546" s="65">
        <f>IF(AG546="",0,MAX(0,MIN(1,(IF(BR546="L1",Parameter!$K$5,Parameter!$K$6+Parameter!$K$7)-(AG546-AC546))/AC546)))</f>
        <v/>
      </c>
      <c r="AI546" s="55">
        <f>IF(LEFT(Cockpit!$I$5,1)="A",G546,IF(BT546=1,BU546,IF(LEFT(Cockpit!$I$5,1)="B",AM546,MAX(AM546,G546))))</f>
        <v/>
      </c>
      <c r="AJ546" s="55">
        <f>IF(BO546=1,0,ROUNDUP(AI546/BN546,0))</f>
        <v/>
      </c>
      <c r="AK546" s="64">
        <f>IF(BO546=1,IF(AI546&lt;=0,0,BP546*MAX(1,IF(G546&gt;0,AI546/G546,1))),AJ546*Q546)</f>
        <v/>
      </c>
      <c r="AL546" s="55">
        <f>AI546*F546</f>
        <v/>
      </c>
      <c r="AM546" s="55">
        <f>ROUNDUP(MAX(I546/IF(BS546&gt;0,BS546,MAX(0.1,N(Cockpit!$I$6))),BV546)/BN546,0)*BN546</f>
        <v/>
      </c>
      <c r="AN546" s="56">
        <f>IF(AK546&gt;0,I546/AK546,-1)</f>
        <v/>
      </c>
      <c r="AO546" s="56">
        <f>IF(AND(OR(BR546="L1",BR546="L23"),AK546&gt;0),SUMIFS($AK$7:$AK$1570,$BR$7:$BR$1570,BR546,$AN$7:$AN$1570,"&gt;"&amp;AN546)+SUMIFS($AK$7:$AK$1570,$BR$7:$BR$1570,BR546,$AN$7:$AN$1570,AN546,$BL$7:$BL$1570,"&lt;="&amp;BL546),"")</f>
        <v/>
      </c>
      <c r="AP546" s="65">
        <f>IF(AO546="",0,MAX(0,MIN(1,(IF(BR546="L1",Parameter!$K$5,Parameter!$K$6+Parameter!$K$7)-(AO546-AK546))/AK546)))</f>
        <v/>
      </c>
      <c r="AQ546" s="55">
        <f>IF(LEFT(Cockpit!$O$5,1)="A",G546,IF(BT546=1,BU546,IF(LEFT(Cockpit!$O$5,1)="B",AU546,MAX(AU546,G546))))</f>
        <v/>
      </c>
      <c r="AR546" s="55">
        <f>IF(BO546=1,0,ROUNDUP(AQ546/BN546,0))</f>
        <v/>
      </c>
      <c r="AS546" s="64">
        <f>IF(BO546=1,IF(AQ546&lt;=0,0,BP546*MAX(1,IF(G546&gt;0,AQ546/G546,1))),AR546*Q546)</f>
        <v/>
      </c>
      <c r="AT546" s="55">
        <f>AQ546*F546</f>
        <v/>
      </c>
      <c r="AU546" s="55">
        <f>ROUNDUP(MAX(I546/IF(BS546&gt;0,BS546,MAX(0.1,N(Cockpit!$O$6))),BV546)/BN546,0)*BN546</f>
        <v/>
      </c>
      <c r="AV546" s="56">
        <f>IF(AS546&gt;0,I546/AS546,-1)</f>
        <v/>
      </c>
      <c r="AW546" s="56">
        <f>IF(AND(OR(BR546="L1",BR546="L23"),AS546&gt;0),SUMIFS($AS$7:$AS$1570,$BR$7:$BR$1570,BR546,$AV$7:$AV$1570,"&gt;"&amp;AV546)+SUMIFS($AS$7:$AS$1570,$BR$7:$BR$1570,BR546,$AV$7:$AV$1570,AV546,$BL$7:$BL$1570,"&lt;="&amp;BL546),"")</f>
        <v/>
      </c>
      <c r="AX546" s="65">
        <f>IF(AW546="",0,MAX(0,MIN(1,(IF(BR546="L1",Parameter!$K$5,Parameter!$K$6+Parameter!$K$7)-(AW546-AS546))/AS546)))</f>
        <v/>
      </c>
      <c r="AY546" s="53">
        <f>IF(AC546&lt;=0,"",IF(BR546="Aussen","Aussenlager",IF(BR546="-","Nicht im Lift",IF(AH546&gt;=1,"Lift",IF(AH546&lt;=0,"Aussenlager","teilweise")))))</f>
        <v/>
      </c>
      <c r="AZ546" s="53">
        <f>IF(AK546&lt;=0,"",IF(BR546="Aussen","Aussenlager",IF(BR546="-","Nicht im Lift",IF(AP546&gt;=1,"Lift",IF(AP546&lt;=0,"Aussenlager","teilweise")))))</f>
        <v/>
      </c>
      <c r="BA546" s="53">
        <f>IF(AS546&lt;=0,"",IF(BR546="Aussen","Aussenlager",IF(BR546="-","Nicht im Lift",IF(AX546&gt;=1,"Lift",IF(AX546&lt;=0,"Aussenlager","teilweise")))))</f>
        <v/>
      </c>
      <c r="BB546" s="53">
        <f>IF(A546="","",IF(BK546=1,"Neu; ","")&amp;IF(AND(BK546=0,BF546&lt;0),"negativer Bestand (Export "&amp;BF546&amp;"); ","")&amp;IF(I546&lt;=0,"Kein Verbrauch; ","")&amp;IF(BO546=1,"Lose – Fläche geschätzt; ","")&amp;IF(G546&gt;AM546,"Überbestand "&amp;ROUND(G546-AM546,0)&amp;" Stk / CHF "&amp;ROUND((G546-AM546)*F546,0)&amp;"; ","")&amp;IF(AND(BT546=1,BU546&lt;BV546),"MAX &lt; MB+LG; ","")&amp;IF(AND(BZ546&gt;0,BY546*10&gt;BZ546),"zu hoch für Tablar; ","")&amp;IF(AND(BK546=0,OR(BT546=1,V546&lt;&gt;"",S546&lt;&gt;"",T546&lt;&gt;"",W546&lt;&gt;"")),"manuell übersteuert; ","")&amp;IF(AND(BO546=0,Q546=0),"Gebinde unbekannt; ","")&amp;IF(AND(BO546=0,N(T546)&lt;=0,N(P546)&lt;=0),"Menge pro Gebinde fehlt (Ist = 1 Gebinde); ","")&amp;BJ546)</f>
        <v/>
      </c>
      <c r="BC546" s="53" t="n"/>
      <c r="BD546" s="53" t="n"/>
      <c r="BE546" s="61" t="n"/>
      <c r="BF546" s="55" t="n">
        <v>4</v>
      </c>
      <c r="BG546" s="55" t="n">
        <v>105</v>
      </c>
      <c r="BH546" s="54" t="n">
        <v>18.51000000000008</v>
      </c>
      <c r="BI546" s="55" t="n">
        <v>72</v>
      </c>
      <c r="BJ546" s="53" t="inlineStr"/>
      <c r="BK546" s="58" t="n">
        <v>0</v>
      </c>
      <c r="BL546" s="58" t="n">
        <v>546</v>
      </c>
      <c r="BM546" s="53">
        <f>IF(S546&lt;&gt;"",UPPER(TRIM(S546)),IF(O546="","LOSE",O546))</f>
        <v/>
      </c>
      <c r="BN546" s="55">
        <f>IF(BM546="LOSE",1,IF(N(T546)&gt;0,T546,IF(N(P546)&gt;0,P546,MAX(1,G546))))</f>
        <v/>
      </c>
      <c r="BO546" s="58">
        <f>IF(BM546="LOSE",1,0)</f>
        <v/>
      </c>
      <c r="BP546" s="64">
        <f>IF(BO546=0,0,IF(N(R546)&gt;0,R546,IFERROR(VLOOKUP(D546,Parameter!$A$35:$C$64,3,0)+0,0)))</f>
        <v/>
      </c>
      <c r="BQ546" s="53">
        <f>IF(V546&lt;&gt;"",V546,U546)</f>
        <v/>
      </c>
      <c r="BR546" s="53">
        <f>IF(BQ546=1,"L1",IF(OR(BQ546=2,BQ546=3),"L23",IF(BQ546="Aussen","Aussen","-")))</f>
        <v/>
      </c>
      <c r="BS546" s="66">
        <f>IF(N(W546)&gt;0,W546,0)</f>
        <v/>
      </c>
      <c r="BT546" s="58">
        <f>IF(ISNUMBER(Z546),1,0)</f>
        <v/>
      </c>
      <c r="BU546" s="55">
        <f>N(Z546)</f>
        <v/>
      </c>
      <c r="BV546" s="55">
        <f>N(L546)+N(M546)</f>
        <v/>
      </c>
      <c r="BW546" s="55">
        <f>ROUNDUP(G546/BN546,0)</f>
        <v/>
      </c>
      <c r="BX546" s="55">
        <f>ROUNDUP(BU546/BN546,0)</f>
        <v/>
      </c>
      <c r="BY546" s="58">
        <f>IF(BO546=1,0,IFERROR(VLOOKUP(BM546,'Gebinde-Kategorie'!$A$5:$G$45,5,0)+0,0))</f>
        <v/>
      </c>
      <c r="BZ546" s="58">
        <f>IFERROR(IF(OR(BQ546=1,BQ546=2,BQ546=3),N(INDEX(Parameter!$I$5:$I$7,BQ546)),0),0)</f>
        <v/>
      </c>
    </row>
    <row r="547">
      <c r="A547" s="53" t="inlineStr">
        <is>
          <t>107301</t>
        </is>
      </c>
      <c r="B547" s="53" t="inlineStr">
        <is>
          <t>Ventilkopfschlüssel</t>
        </is>
      </c>
      <c r="C547" s="53" t="inlineStr">
        <is>
          <t>F</t>
        </is>
      </c>
      <c r="D547" s="53" t="inlineStr">
        <is>
          <t>KTL</t>
        </is>
      </c>
      <c r="E547" s="53" t="inlineStr">
        <is>
          <t>C</t>
        </is>
      </c>
      <c r="F547" s="54" t="n">
        <v>14.86</v>
      </c>
      <c r="G547" s="55">
        <f>MAX(0,IF(Parameter!$B$20="Jahresanfang 2025 + Export",BG547+BF547,BF547))</f>
        <v/>
      </c>
      <c r="H547" s="55">
        <f>G547*F547</f>
        <v/>
      </c>
      <c r="I547" s="55">
        <f>BI547*Parameter!$B$18</f>
        <v/>
      </c>
      <c r="J547" s="56" t="n">
        <v>8</v>
      </c>
      <c r="K547" s="57" t="n">
        <v>0.875</v>
      </c>
      <c r="L547" s="55" t="n">
        <v>0</v>
      </c>
      <c r="M547" s="55" t="n">
        <v>5</v>
      </c>
      <c r="N547" s="58" t="n">
        <v>21</v>
      </c>
      <c r="O547" s="53" t="inlineStr">
        <is>
          <t>S32</t>
        </is>
      </c>
      <c r="P547" s="55" t="n">
        <v>11</v>
      </c>
      <c r="Q547" s="59">
        <f>IF(BO547=1,0,IFERROR(VLOOKUP(BM547,'Gebinde-Kategorie'!$A$5:$G$45,6,0)+0,0))</f>
        <v/>
      </c>
      <c r="R547" s="60" t="n"/>
      <c r="S547" s="61" t="n"/>
      <c r="T547" s="61" t="n"/>
      <c r="U547" s="53">
        <f>IF(A547="","",IF(IFERROR(VLOOKUP(D547,Parameter!$A$35:$C$64,2,0),"Nein")="2+3",IF(ISNUMBER(SEARCH("grosser Artikel",BJ547)),2,IFERROR(VLOOKUP(BM547,Parameter!$F$35:$G$64,2,0),2)),IF(OR(IFERROR(VLOOKUP(D547,Parameter!$A$35:$C$64,2,0),"Nein")="Nein",IFERROR(VLOOKUP(D547,Parameter!$A$35:$C$64,2,0),"Nein")=""),"-",VLOOKUP(D547,Parameter!$A$35:$C$64,2,0))))</f>
        <v/>
      </c>
      <c r="V547" s="61" t="n"/>
      <c r="W547" s="62" t="n"/>
      <c r="X547" s="55">
        <f>AM547</f>
        <v/>
      </c>
      <c r="Y547" s="55">
        <f>MAX(AM547,G547)</f>
        <v/>
      </c>
      <c r="Z547" s="63" t="n"/>
      <c r="AA547" s="55">
        <f>IF(LEFT(Cockpit!$C$5,1)="A",G547,IF(BT547=1,BU547,IF(LEFT(Cockpit!$C$5,1)="B",AE547,MAX(AE547,G547))))</f>
        <v/>
      </c>
      <c r="AB547" s="55">
        <f>IF(BO547=1,0,ROUNDUP(AA547/BN547,0))</f>
        <v/>
      </c>
      <c r="AC547" s="64">
        <f>IF(BO547=1,IF(AA547&lt;=0,0,BP547*MAX(1,IF(G547&gt;0,AA547/G547,1))),AB547*Q547)</f>
        <v/>
      </c>
      <c r="AD547" s="55">
        <f>AA547*F547</f>
        <v/>
      </c>
      <c r="AE547" s="55">
        <f>ROUNDUP(MAX(I547/IF(BS547&gt;0,BS547,MAX(0.1,N(Cockpit!$C$6))),BV547)/BN547,0)*BN547</f>
        <v/>
      </c>
      <c r="AF547" s="56">
        <f>IF(AC547&gt;0,I547/AC547,-1)</f>
        <v/>
      </c>
      <c r="AG547" s="56">
        <f>IF(AND(OR(BR547="L1",BR547="L23"),AC547&gt;0),SUMIFS($AC$7:$AC$1570,$BR$7:$BR$1570,BR547,$AF$7:$AF$1570,"&gt;"&amp;AF547)+SUMIFS($AC$7:$AC$1570,$BR$7:$BR$1570,BR547,$AF$7:$AF$1570,AF547,$BL$7:$BL$1570,"&lt;="&amp;BL547),"")</f>
        <v/>
      </c>
      <c r="AH547" s="65">
        <f>IF(AG547="",0,MAX(0,MIN(1,(IF(BR547="L1",Parameter!$K$5,Parameter!$K$6+Parameter!$K$7)-(AG547-AC547))/AC547)))</f>
        <v/>
      </c>
      <c r="AI547" s="55">
        <f>IF(LEFT(Cockpit!$I$5,1)="A",G547,IF(BT547=1,BU547,IF(LEFT(Cockpit!$I$5,1)="B",AM547,MAX(AM547,G547))))</f>
        <v/>
      </c>
      <c r="AJ547" s="55">
        <f>IF(BO547=1,0,ROUNDUP(AI547/BN547,0))</f>
        <v/>
      </c>
      <c r="AK547" s="64">
        <f>IF(BO547=1,IF(AI547&lt;=0,0,BP547*MAX(1,IF(G547&gt;0,AI547/G547,1))),AJ547*Q547)</f>
        <v/>
      </c>
      <c r="AL547" s="55">
        <f>AI547*F547</f>
        <v/>
      </c>
      <c r="AM547" s="55">
        <f>ROUNDUP(MAX(I547/IF(BS547&gt;0,BS547,MAX(0.1,N(Cockpit!$I$6))),BV547)/BN547,0)*BN547</f>
        <v/>
      </c>
      <c r="AN547" s="56">
        <f>IF(AK547&gt;0,I547/AK547,-1)</f>
        <v/>
      </c>
      <c r="AO547" s="56">
        <f>IF(AND(OR(BR547="L1",BR547="L23"),AK547&gt;0),SUMIFS($AK$7:$AK$1570,$BR$7:$BR$1570,BR547,$AN$7:$AN$1570,"&gt;"&amp;AN547)+SUMIFS($AK$7:$AK$1570,$BR$7:$BR$1570,BR547,$AN$7:$AN$1570,AN547,$BL$7:$BL$1570,"&lt;="&amp;BL547),"")</f>
        <v/>
      </c>
      <c r="AP547" s="65">
        <f>IF(AO547="",0,MAX(0,MIN(1,(IF(BR547="L1",Parameter!$K$5,Parameter!$K$6+Parameter!$K$7)-(AO547-AK547))/AK547)))</f>
        <v/>
      </c>
      <c r="AQ547" s="55">
        <f>IF(LEFT(Cockpit!$O$5,1)="A",G547,IF(BT547=1,BU547,IF(LEFT(Cockpit!$O$5,1)="B",AU547,MAX(AU547,G547))))</f>
        <v/>
      </c>
      <c r="AR547" s="55">
        <f>IF(BO547=1,0,ROUNDUP(AQ547/BN547,0))</f>
        <v/>
      </c>
      <c r="AS547" s="64">
        <f>IF(BO547=1,IF(AQ547&lt;=0,0,BP547*MAX(1,IF(G547&gt;0,AQ547/G547,1))),AR547*Q547)</f>
        <v/>
      </c>
      <c r="AT547" s="55">
        <f>AQ547*F547</f>
        <v/>
      </c>
      <c r="AU547" s="55">
        <f>ROUNDUP(MAX(I547/IF(BS547&gt;0,BS547,MAX(0.1,N(Cockpit!$O$6))),BV547)/BN547,0)*BN547</f>
        <v/>
      </c>
      <c r="AV547" s="56">
        <f>IF(AS547&gt;0,I547/AS547,-1)</f>
        <v/>
      </c>
      <c r="AW547" s="56">
        <f>IF(AND(OR(BR547="L1",BR547="L23"),AS547&gt;0),SUMIFS($AS$7:$AS$1570,$BR$7:$BR$1570,BR547,$AV$7:$AV$1570,"&gt;"&amp;AV547)+SUMIFS($AS$7:$AS$1570,$BR$7:$BR$1570,BR547,$AV$7:$AV$1570,AV547,$BL$7:$BL$1570,"&lt;="&amp;BL547),"")</f>
        <v/>
      </c>
      <c r="AX547" s="65">
        <f>IF(AW547="",0,MAX(0,MIN(1,(IF(BR547="L1",Parameter!$K$5,Parameter!$K$6+Parameter!$K$7)-(AW547-AS547))/AS547)))</f>
        <v/>
      </c>
      <c r="AY547" s="53">
        <f>IF(AC547&lt;=0,"",IF(BR547="Aussen","Aussenlager",IF(BR547="-","Nicht im Lift",IF(AH547&gt;=1,"Lift",IF(AH547&lt;=0,"Aussenlager","teilweise")))))</f>
        <v/>
      </c>
      <c r="AZ547" s="53">
        <f>IF(AK547&lt;=0,"",IF(BR547="Aussen","Aussenlager",IF(BR547="-","Nicht im Lift",IF(AP547&gt;=1,"Lift",IF(AP547&lt;=0,"Aussenlager","teilweise")))))</f>
        <v/>
      </c>
      <c r="BA547" s="53">
        <f>IF(AS547&lt;=0,"",IF(BR547="Aussen","Aussenlager",IF(BR547="-","Nicht im Lift",IF(AX547&gt;=1,"Lift",IF(AX547&lt;=0,"Aussenlager","teilweise")))))</f>
        <v/>
      </c>
      <c r="BB547" s="53">
        <f>IF(A547="","",IF(BK547=1,"Neu; ","")&amp;IF(AND(BK547=0,BF547&lt;0),"negativer Bestand (Export "&amp;BF547&amp;"); ","")&amp;IF(I547&lt;=0,"Kein Verbrauch; ","")&amp;IF(BO547=1,"Lose – Fläche geschätzt; ","")&amp;IF(G547&gt;AM547,"Überbestand "&amp;ROUND(G547-AM547,0)&amp;" Stk / CHF "&amp;ROUND((G547-AM547)*F547,0)&amp;"; ","")&amp;IF(AND(BT547=1,BU547&lt;BV547),"MAX &lt; MB+LG; ","")&amp;IF(AND(BZ547&gt;0,BY547*10&gt;BZ547),"zu hoch für Tablar; ","")&amp;IF(AND(BK547=0,OR(BT547=1,V547&lt;&gt;"",S547&lt;&gt;"",T547&lt;&gt;"",W547&lt;&gt;"")),"manuell übersteuert; ","")&amp;IF(AND(BO547=0,Q547=0),"Gebinde unbekannt; ","")&amp;IF(AND(BO547=0,N(T547)&lt;=0,N(P547)&lt;=0),"Menge pro Gebinde fehlt (Ist = 1 Gebinde); ","")&amp;BJ547)</f>
        <v/>
      </c>
      <c r="BC547" s="53" t="n"/>
      <c r="BD547" s="53" t="n"/>
      <c r="BE547" s="61" t="n"/>
      <c r="BF547" s="55" t="n">
        <v>0</v>
      </c>
      <c r="BG547" s="55" t="n">
        <v>12</v>
      </c>
      <c r="BH547" s="54" t="n">
        <v>18.47999999999996</v>
      </c>
      <c r="BI547" s="55" t="n">
        <v>7</v>
      </c>
      <c r="BJ547" s="53" t="inlineStr"/>
      <c r="BK547" s="58" t="n">
        <v>0</v>
      </c>
      <c r="BL547" s="58" t="n">
        <v>547</v>
      </c>
      <c r="BM547" s="53">
        <f>IF(S547&lt;&gt;"",UPPER(TRIM(S547)),IF(O547="","LOSE",O547))</f>
        <v/>
      </c>
      <c r="BN547" s="55">
        <f>IF(BM547="LOSE",1,IF(N(T547)&gt;0,T547,IF(N(P547)&gt;0,P547,MAX(1,G547))))</f>
        <v/>
      </c>
      <c r="BO547" s="58">
        <f>IF(BM547="LOSE",1,0)</f>
        <v/>
      </c>
      <c r="BP547" s="64">
        <f>IF(BO547=0,0,IF(N(R547)&gt;0,R547,IFERROR(VLOOKUP(D547,Parameter!$A$35:$C$64,3,0)+0,0)))</f>
        <v/>
      </c>
      <c r="BQ547" s="53">
        <f>IF(V547&lt;&gt;"",V547,U547)</f>
        <v/>
      </c>
      <c r="BR547" s="53">
        <f>IF(BQ547=1,"L1",IF(OR(BQ547=2,BQ547=3),"L23",IF(BQ547="Aussen","Aussen","-")))</f>
        <v/>
      </c>
      <c r="BS547" s="66">
        <f>IF(N(W547)&gt;0,W547,0)</f>
        <v/>
      </c>
      <c r="BT547" s="58">
        <f>IF(ISNUMBER(Z547),1,0)</f>
        <v/>
      </c>
      <c r="BU547" s="55">
        <f>N(Z547)</f>
        <v/>
      </c>
      <c r="BV547" s="55">
        <f>N(L547)+N(M547)</f>
        <v/>
      </c>
      <c r="BW547" s="55">
        <f>ROUNDUP(G547/BN547,0)</f>
        <v/>
      </c>
      <c r="BX547" s="55">
        <f>ROUNDUP(BU547/BN547,0)</f>
        <v/>
      </c>
      <c r="BY547" s="58">
        <f>IF(BO547=1,0,IFERROR(VLOOKUP(BM547,'Gebinde-Kategorie'!$A$5:$G$45,5,0)+0,0))</f>
        <v/>
      </c>
      <c r="BZ547" s="58">
        <f>IFERROR(IF(OR(BQ547=1,BQ547=2,BQ547=3),N(INDEX(Parameter!$I$5:$I$7,BQ547)),0),0)</f>
        <v/>
      </c>
    </row>
    <row r="548">
      <c r="A548" s="53" t="inlineStr">
        <is>
          <t>110870</t>
        </is>
      </c>
      <c r="B548" s="53" t="inlineStr">
        <is>
          <t>Winkelverschraubung</t>
        </is>
      </c>
      <c r="C548" s="53" t="inlineStr">
        <is>
          <t>F</t>
        </is>
      </c>
      <c r="D548" s="53" t="inlineStr">
        <is>
          <t>KTL</t>
        </is>
      </c>
      <c r="E548" s="53" t="inlineStr">
        <is>
          <t>C</t>
        </is>
      </c>
      <c r="F548" s="54" t="n">
        <v>6.05</v>
      </c>
      <c r="G548" s="55">
        <f>MAX(0,IF(Parameter!$B$20="Jahresanfang 2025 + Export",BG548+BF548,BF548))</f>
        <v/>
      </c>
      <c r="H548" s="55">
        <f>G548*F548</f>
        <v/>
      </c>
      <c r="I548" s="55">
        <f>BI548*Parameter!$B$18</f>
        <v/>
      </c>
      <c r="J548" s="56" t="n">
        <v>2.5</v>
      </c>
      <c r="K548" s="57" t="n">
        <v>1.6</v>
      </c>
      <c r="L548" s="55" t="n">
        <v>0</v>
      </c>
      <c r="M548" s="55" t="n">
        <v>5</v>
      </c>
      <c r="N548" s="58" t="n">
        <v>14</v>
      </c>
      <c r="O548" s="53" t="inlineStr">
        <is>
          <t>S21</t>
        </is>
      </c>
      <c r="P548" s="55" t="n">
        <v>3</v>
      </c>
      <c r="Q548" s="59">
        <f>IF(BO548=1,0,IFERROR(VLOOKUP(BM548,'Gebinde-Kategorie'!$A$5:$G$45,6,0)+0,0))</f>
        <v/>
      </c>
      <c r="R548" s="60" t="n"/>
      <c r="S548" s="61" t="n"/>
      <c r="T548" s="61" t="n"/>
      <c r="U548" s="53">
        <f>IF(A548="","",IF(IFERROR(VLOOKUP(D548,Parameter!$A$35:$C$64,2,0),"Nein")="2+3",IF(ISNUMBER(SEARCH("grosser Artikel",BJ548)),2,IFERROR(VLOOKUP(BM548,Parameter!$F$35:$G$64,2,0),2)),IF(OR(IFERROR(VLOOKUP(D548,Parameter!$A$35:$C$64,2,0),"Nein")="Nein",IFERROR(VLOOKUP(D548,Parameter!$A$35:$C$64,2,0),"Nein")=""),"-",VLOOKUP(D548,Parameter!$A$35:$C$64,2,0))))</f>
        <v/>
      </c>
      <c r="V548" s="61" t="n"/>
      <c r="W548" s="62" t="n"/>
      <c r="X548" s="55">
        <f>AM548</f>
        <v/>
      </c>
      <c r="Y548" s="55">
        <f>MAX(AM548,G548)</f>
        <v/>
      </c>
      <c r="Z548" s="63" t="n"/>
      <c r="AA548" s="55">
        <f>IF(LEFT(Cockpit!$C$5,1)="A",G548,IF(BT548=1,BU548,IF(LEFT(Cockpit!$C$5,1)="B",AE548,MAX(AE548,G548))))</f>
        <v/>
      </c>
      <c r="AB548" s="55">
        <f>IF(BO548=1,0,ROUNDUP(AA548/BN548,0))</f>
        <v/>
      </c>
      <c r="AC548" s="64">
        <f>IF(BO548=1,IF(AA548&lt;=0,0,BP548*MAX(1,IF(G548&gt;0,AA548/G548,1))),AB548*Q548)</f>
        <v/>
      </c>
      <c r="AD548" s="55">
        <f>AA548*F548</f>
        <v/>
      </c>
      <c r="AE548" s="55">
        <f>ROUNDUP(MAX(I548/IF(BS548&gt;0,BS548,MAX(0.1,N(Cockpit!$C$6))),BV548)/BN548,0)*BN548</f>
        <v/>
      </c>
      <c r="AF548" s="56">
        <f>IF(AC548&gt;0,I548/AC548,-1)</f>
        <v/>
      </c>
      <c r="AG548" s="56">
        <f>IF(AND(OR(BR548="L1",BR548="L23"),AC548&gt;0),SUMIFS($AC$7:$AC$1570,$BR$7:$BR$1570,BR548,$AF$7:$AF$1570,"&gt;"&amp;AF548)+SUMIFS($AC$7:$AC$1570,$BR$7:$BR$1570,BR548,$AF$7:$AF$1570,AF548,$BL$7:$BL$1570,"&lt;="&amp;BL548),"")</f>
        <v/>
      </c>
      <c r="AH548" s="65">
        <f>IF(AG548="",0,MAX(0,MIN(1,(IF(BR548="L1",Parameter!$K$5,Parameter!$K$6+Parameter!$K$7)-(AG548-AC548))/AC548)))</f>
        <v/>
      </c>
      <c r="AI548" s="55">
        <f>IF(LEFT(Cockpit!$I$5,1)="A",G548,IF(BT548=1,BU548,IF(LEFT(Cockpit!$I$5,1)="B",AM548,MAX(AM548,G548))))</f>
        <v/>
      </c>
      <c r="AJ548" s="55">
        <f>IF(BO548=1,0,ROUNDUP(AI548/BN548,0))</f>
        <v/>
      </c>
      <c r="AK548" s="64">
        <f>IF(BO548=1,IF(AI548&lt;=0,0,BP548*MAX(1,IF(G548&gt;0,AI548/G548,1))),AJ548*Q548)</f>
        <v/>
      </c>
      <c r="AL548" s="55">
        <f>AI548*F548</f>
        <v/>
      </c>
      <c r="AM548" s="55">
        <f>ROUNDUP(MAX(I548/IF(BS548&gt;0,BS548,MAX(0.1,N(Cockpit!$I$6))),BV548)/BN548,0)*BN548</f>
        <v/>
      </c>
      <c r="AN548" s="56">
        <f>IF(AK548&gt;0,I548/AK548,-1)</f>
        <v/>
      </c>
      <c r="AO548" s="56">
        <f>IF(AND(OR(BR548="L1",BR548="L23"),AK548&gt;0),SUMIFS($AK$7:$AK$1570,$BR$7:$BR$1570,BR548,$AN$7:$AN$1570,"&gt;"&amp;AN548)+SUMIFS($AK$7:$AK$1570,$BR$7:$BR$1570,BR548,$AN$7:$AN$1570,AN548,$BL$7:$BL$1570,"&lt;="&amp;BL548),"")</f>
        <v/>
      </c>
      <c r="AP548" s="65">
        <f>IF(AO548="",0,MAX(0,MIN(1,(IF(BR548="L1",Parameter!$K$5,Parameter!$K$6+Parameter!$K$7)-(AO548-AK548))/AK548)))</f>
        <v/>
      </c>
      <c r="AQ548" s="55">
        <f>IF(LEFT(Cockpit!$O$5,1)="A",G548,IF(BT548=1,BU548,IF(LEFT(Cockpit!$O$5,1)="B",AU548,MAX(AU548,G548))))</f>
        <v/>
      </c>
      <c r="AR548" s="55">
        <f>IF(BO548=1,0,ROUNDUP(AQ548/BN548,0))</f>
        <v/>
      </c>
      <c r="AS548" s="64">
        <f>IF(BO548=1,IF(AQ548&lt;=0,0,BP548*MAX(1,IF(G548&gt;0,AQ548/G548,1))),AR548*Q548)</f>
        <v/>
      </c>
      <c r="AT548" s="55">
        <f>AQ548*F548</f>
        <v/>
      </c>
      <c r="AU548" s="55">
        <f>ROUNDUP(MAX(I548/IF(BS548&gt;0,BS548,MAX(0.1,N(Cockpit!$O$6))),BV548)/BN548,0)*BN548</f>
        <v/>
      </c>
      <c r="AV548" s="56">
        <f>IF(AS548&gt;0,I548/AS548,-1)</f>
        <v/>
      </c>
      <c r="AW548" s="56">
        <f>IF(AND(OR(BR548="L1",BR548="L23"),AS548&gt;0),SUMIFS($AS$7:$AS$1570,$BR$7:$BR$1570,BR548,$AV$7:$AV$1570,"&gt;"&amp;AV548)+SUMIFS($AS$7:$AS$1570,$BR$7:$BR$1570,BR548,$AV$7:$AV$1570,AV548,$BL$7:$BL$1570,"&lt;="&amp;BL548),"")</f>
        <v/>
      </c>
      <c r="AX548" s="65">
        <f>IF(AW548="",0,MAX(0,MIN(1,(IF(BR548="L1",Parameter!$K$5,Parameter!$K$6+Parameter!$K$7)-(AW548-AS548))/AS548)))</f>
        <v/>
      </c>
      <c r="AY548" s="53">
        <f>IF(AC548&lt;=0,"",IF(BR548="Aussen","Aussenlager",IF(BR548="-","Nicht im Lift",IF(AH548&gt;=1,"Lift",IF(AH548&lt;=0,"Aussenlager","teilweise")))))</f>
        <v/>
      </c>
      <c r="AZ548" s="53">
        <f>IF(AK548&lt;=0,"",IF(BR548="Aussen","Aussenlager",IF(BR548="-","Nicht im Lift",IF(AP548&gt;=1,"Lift",IF(AP548&lt;=0,"Aussenlager","teilweise")))))</f>
        <v/>
      </c>
      <c r="BA548" s="53">
        <f>IF(AS548&lt;=0,"",IF(BR548="Aussen","Aussenlager",IF(BR548="-","Nicht im Lift",IF(AX548&gt;=1,"Lift",IF(AX548&lt;=0,"Aussenlager","teilweise")))))</f>
        <v/>
      </c>
      <c r="BB548" s="53">
        <f>IF(A548="","",IF(BK548=1,"Neu; ","")&amp;IF(AND(BK548=0,BF548&lt;0),"negativer Bestand (Export "&amp;BF548&amp;"); ","")&amp;IF(I548&lt;=0,"Kein Verbrauch; ","")&amp;IF(BO548=1,"Lose – Fläche geschätzt; ","")&amp;IF(G548&gt;AM548,"Überbestand "&amp;ROUND(G548-AM548,0)&amp;" Stk / CHF "&amp;ROUND((G548-AM548)*F548,0)&amp;"; ","")&amp;IF(AND(BT548=1,BU548&lt;BV548),"MAX &lt; MB+LG; ","")&amp;IF(AND(BZ548&gt;0,BY548*10&gt;BZ548),"zu hoch für Tablar; ","")&amp;IF(AND(BK548=0,OR(BT548=1,V548&lt;&gt;"",S548&lt;&gt;"",T548&lt;&gt;"",W548&lt;&gt;"")),"manuell übersteuert; ","")&amp;IF(AND(BO548=0,Q548=0),"Gebinde unbekannt; ","")&amp;IF(AND(BO548=0,N(T548)&lt;=0,N(P548)&lt;=0),"Menge pro Gebinde fehlt (Ist = 1 Gebinde); ","")&amp;BJ548)</f>
        <v/>
      </c>
      <c r="BC548" s="53" t="n"/>
      <c r="BD548" s="53" t="n"/>
      <c r="BE548" s="61" t="n"/>
      <c r="BF548" s="55" t="n">
        <v>3</v>
      </c>
      <c r="BG548" s="55" t="n">
        <v>0</v>
      </c>
      <c r="BH548" s="54" t="n">
        <v>18.15000000000001</v>
      </c>
      <c r="BI548" s="55" t="n">
        <v>4</v>
      </c>
      <c r="BJ548" s="53" t="inlineStr"/>
      <c r="BK548" s="58" t="n">
        <v>0</v>
      </c>
      <c r="BL548" s="58" t="n">
        <v>548</v>
      </c>
      <c r="BM548" s="53">
        <f>IF(S548&lt;&gt;"",UPPER(TRIM(S548)),IF(O548="","LOSE",O548))</f>
        <v/>
      </c>
      <c r="BN548" s="55">
        <f>IF(BM548="LOSE",1,IF(N(T548)&gt;0,T548,IF(N(P548)&gt;0,P548,MAX(1,G548))))</f>
        <v/>
      </c>
      <c r="BO548" s="58">
        <f>IF(BM548="LOSE",1,0)</f>
        <v/>
      </c>
      <c r="BP548" s="64">
        <f>IF(BO548=0,0,IF(N(R548)&gt;0,R548,IFERROR(VLOOKUP(D548,Parameter!$A$35:$C$64,3,0)+0,0)))</f>
        <v/>
      </c>
      <c r="BQ548" s="53">
        <f>IF(V548&lt;&gt;"",V548,U548)</f>
        <v/>
      </c>
      <c r="BR548" s="53">
        <f>IF(BQ548=1,"L1",IF(OR(BQ548=2,BQ548=3),"L23",IF(BQ548="Aussen","Aussen","-")))</f>
        <v/>
      </c>
      <c r="BS548" s="66">
        <f>IF(N(W548)&gt;0,W548,0)</f>
        <v/>
      </c>
      <c r="BT548" s="58">
        <f>IF(ISNUMBER(Z548),1,0)</f>
        <v/>
      </c>
      <c r="BU548" s="55">
        <f>N(Z548)</f>
        <v/>
      </c>
      <c r="BV548" s="55">
        <f>N(L548)+N(M548)</f>
        <v/>
      </c>
      <c r="BW548" s="55">
        <f>ROUNDUP(G548/BN548,0)</f>
        <v/>
      </c>
      <c r="BX548" s="55">
        <f>ROUNDUP(BU548/BN548,0)</f>
        <v/>
      </c>
      <c r="BY548" s="58">
        <f>IF(BO548=1,0,IFERROR(VLOOKUP(BM548,'Gebinde-Kategorie'!$A$5:$G$45,5,0)+0,0))</f>
        <v/>
      </c>
      <c r="BZ548" s="58">
        <f>IFERROR(IF(OR(BQ548=1,BQ548=2,BQ548=3),N(INDEX(Parameter!$I$5:$I$7,BQ548)),0),0)</f>
        <v/>
      </c>
    </row>
    <row r="549">
      <c r="A549" s="53" t="inlineStr">
        <is>
          <t>005393</t>
        </is>
      </c>
      <c r="B549" s="53" t="inlineStr">
        <is>
          <t>Inbusschlüssel lang</t>
        </is>
      </c>
      <c r="C549" s="53" t="inlineStr">
        <is>
          <t>F</t>
        </is>
      </c>
      <c r="D549" s="53" t="inlineStr">
        <is>
          <t>KTL</t>
        </is>
      </c>
      <c r="E549" s="53" t="inlineStr">
        <is>
          <t>C</t>
        </is>
      </c>
      <c r="F549" s="54" t="n">
        <v>15.69</v>
      </c>
      <c r="G549" s="55">
        <f>MAX(0,IF(Parameter!$B$20="Jahresanfang 2025 + Export",BG549+BF549,BF549))</f>
        <v/>
      </c>
      <c r="H549" s="55">
        <f>G549*F549</f>
        <v/>
      </c>
      <c r="I549" s="55">
        <f>BI549*Parameter!$B$18</f>
        <v/>
      </c>
      <c r="J549" s="56" t="n">
        <v>6</v>
      </c>
      <c r="K549" s="57" t="n">
        <v>1.166666666666667</v>
      </c>
      <c r="L549" s="55" t="n">
        <v>0</v>
      </c>
      <c r="M549" s="55" t="n">
        <v>5</v>
      </c>
      <c r="N549" s="58" t="n">
        <v>14</v>
      </c>
      <c r="O549" s="53" t="inlineStr">
        <is>
          <t>S33</t>
        </is>
      </c>
      <c r="P549" s="55" t="n">
        <v>10</v>
      </c>
      <c r="Q549" s="59">
        <f>IF(BO549=1,0,IFERROR(VLOOKUP(BM549,'Gebinde-Kategorie'!$A$5:$G$45,6,0)+0,0))</f>
        <v/>
      </c>
      <c r="R549" s="60" t="n"/>
      <c r="S549" s="61" t="n"/>
      <c r="T549" s="61" t="n"/>
      <c r="U549" s="53">
        <f>IF(A549="","",IF(IFERROR(VLOOKUP(D549,Parameter!$A$35:$C$64,2,0),"Nein")="2+3",IF(ISNUMBER(SEARCH("grosser Artikel",BJ549)),2,IFERROR(VLOOKUP(BM549,Parameter!$F$35:$G$64,2,0),2)),IF(OR(IFERROR(VLOOKUP(D549,Parameter!$A$35:$C$64,2,0),"Nein")="Nein",IFERROR(VLOOKUP(D549,Parameter!$A$35:$C$64,2,0),"Nein")=""),"-",VLOOKUP(D549,Parameter!$A$35:$C$64,2,0))))</f>
        <v/>
      </c>
      <c r="V549" s="61" t="n"/>
      <c r="W549" s="62" t="n"/>
      <c r="X549" s="55">
        <f>AM549</f>
        <v/>
      </c>
      <c r="Y549" s="55">
        <f>MAX(AM549,G549)</f>
        <v/>
      </c>
      <c r="Z549" s="63" t="n"/>
      <c r="AA549" s="55">
        <f>IF(LEFT(Cockpit!$C$5,1)="A",G549,IF(BT549=1,BU549,IF(LEFT(Cockpit!$C$5,1)="B",AE549,MAX(AE549,G549))))</f>
        <v/>
      </c>
      <c r="AB549" s="55">
        <f>IF(BO549=1,0,ROUNDUP(AA549/BN549,0))</f>
        <v/>
      </c>
      <c r="AC549" s="64">
        <f>IF(BO549=1,IF(AA549&lt;=0,0,BP549*MAX(1,IF(G549&gt;0,AA549/G549,1))),AB549*Q549)</f>
        <v/>
      </c>
      <c r="AD549" s="55">
        <f>AA549*F549</f>
        <v/>
      </c>
      <c r="AE549" s="55">
        <f>ROUNDUP(MAX(I549/IF(BS549&gt;0,BS549,MAX(0.1,N(Cockpit!$C$6))),BV549)/BN549,0)*BN549</f>
        <v/>
      </c>
      <c r="AF549" s="56">
        <f>IF(AC549&gt;0,I549/AC549,-1)</f>
        <v/>
      </c>
      <c r="AG549" s="56">
        <f>IF(AND(OR(BR549="L1",BR549="L23"),AC549&gt;0),SUMIFS($AC$7:$AC$1570,$BR$7:$BR$1570,BR549,$AF$7:$AF$1570,"&gt;"&amp;AF549)+SUMIFS($AC$7:$AC$1570,$BR$7:$BR$1570,BR549,$AF$7:$AF$1570,AF549,$BL$7:$BL$1570,"&lt;="&amp;BL549),"")</f>
        <v/>
      </c>
      <c r="AH549" s="65">
        <f>IF(AG549="",0,MAX(0,MIN(1,(IF(BR549="L1",Parameter!$K$5,Parameter!$K$6+Parameter!$K$7)-(AG549-AC549))/AC549)))</f>
        <v/>
      </c>
      <c r="AI549" s="55">
        <f>IF(LEFT(Cockpit!$I$5,1)="A",G549,IF(BT549=1,BU549,IF(LEFT(Cockpit!$I$5,1)="B",AM549,MAX(AM549,G549))))</f>
        <v/>
      </c>
      <c r="AJ549" s="55">
        <f>IF(BO549=1,0,ROUNDUP(AI549/BN549,0))</f>
        <v/>
      </c>
      <c r="AK549" s="64">
        <f>IF(BO549=1,IF(AI549&lt;=0,0,BP549*MAX(1,IF(G549&gt;0,AI549/G549,1))),AJ549*Q549)</f>
        <v/>
      </c>
      <c r="AL549" s="55">
        <f>AI549*F549</f>
        <v/>
      </c>
      <c r="AM549" s="55">
        <f>ROUNDUP(MAX(I549/IF(BS549&gt;0,BS549,MAX(0.1,N(Cockpit!$I$6))),BV549)/BN549,0)*BN549</f>
        <v/>
      </c>
      <c r="AN549" s="56">
        <f>IF(AK549&gt;0,I549/AK549,-1)</f>
        <v/>
      </c>
      <c r="AO549" s="56">
        <f>IF(AND(OR(BR549="L1",BR549="L23"),AK549&gt;0),SUMIFS($AK$7:$AK$1570,$BR$7:$BR$1570,BR549,$AN$7:$AN$1570,"&gt;"&amp;AN549)+SUMIFS($AK$7:$AK$1570,$BR$7:$BR$1570,BR549,$AN$7:$AN$1570,AN549,$BL$7:$BL$1570,"&lt;="&amp;BL549),"")</f>
        <v/>
      </c>
      <c r="AP549" s="65">
        <f>IF(AO549="",0,MAX(0,MIN(1,(IF(BR549="L1",Parameter!$K$5,Parameter!$K$6+Parameter!$K$7)-(AO549-AK549))/AK549)))</f>
        <v/>
      </c>
      <c r="AQ549" s="55">
        <f>IF(LEFT(Cockpit!$O$5,1)="A",G549,IF(BT549=1,BU549,IF(LEFT(Cockpit!$O$5,1)="B",AU549,MAX(AU549,G549))))</f>
        <v/>
      </c>
      <c r="AR549" s="55">
        <f>IF(BO549=1,0,ROUNDUP(AQ549/BN549,0))</f>
        <v/>
      </c>
      <c r="AS549" s="64">
        <f>IF(BO549=1,IF(AQ549&lt;=0,0,BP549*MAX(1,IF(G549&gt;0,AQ549/G549,1))),AR549*Q549)</f>
        <v/>
      </c>
      <c r="AT549" s="55">
        <f>AQ549*F549</f>
        <v/>
      </c>
      <c r="AU549" s="55">
        <f>ROUNDUP(MAX(I549/IF(BS549&gt;0,BS549,MAX(0.1,N(Cockpit!$O$6))),BV549)/BN549,0)*BN549</f>
        <v/>
      </c>
      <c r="AV549" s="56">
        <f>IF(AS549&gt;0,I549/AS549,-1)</f>
        <v/>
      </c>
      <c r="AW549" s="56">
        <f>IF(AND(OR(BR549="L1",BR549="L23"),AS549&gt;0),SUMIFS($AS$7:$AS$1570,$BR$7:$BR$1570,BR549,$AV$7:$AV$1570,"&gt;"&amp;AV549)+SUMIFS($AS$7:$AS$1570,$BR$7:$BR$1570,BR549,$AV$7:$AV$1570,AV549,$BL$7:$BL$1570,"&lt;="&amp;BL549),"")</f>
        <v/>
      </c>
      <c r="AX549" s="65">
        <f>IF(AW549="",0,MAX(0,MIN(1,(IF(BR549="L1",Parameter!$K$5,Parameter!$K$6+Parameter!$K$7)-(AW549-AS549))/AS549)))</f>
        <v/>
      </c>
      <c r="AY549" s="53">
        <f>IF(AC549&lt;=0,"",IF(BR549="Aussen","Aussenlager",IF(BR549="-","Nicht im Lift",IF(AH549&gt;=1,"Lift",IF(AH549&lt;=0,"Aussenlager","teilweise")))))</f>
        <v/>
      </c>
      <c r="AZ549" s="53">
        <f>IF(AK549&lt;=0,"",IF(BR549="Aussen","Aussenlager",IF(BR549="-","Nicht im Lift",IF(AP549&gt;=1,"Lift",IF(AP549&lt;=0,"Aussenlager","teilweise")))))</f>
        <v/>
      </c>
      <c r="BA549" s="53">
        <f>IF(AS549&lt;=0,"",IF(BR549="Aussen","Aussenlager",IF(BR549="-","Nicht im Lift",IF(AX549&gt;=1,"Lift",IF(AX549&lt;=0,"Aussenlager","teilweise")))))</f>
        <v/>
      </c>
      <c r="BB549" s="53">
        <f>IF(A549="","",IF(BK549=1,"Neu; ","")&amp;IF(AND(BK549=0,BF549&lt;0),"negativer Bestand (Export "&amp;BF549&amp;"); ","")&amp;IF(I549&lt;=0,"Kein Verbrauch; ","")&amp;IF(BO549=1,"Lose – Fläche geschätzt; ","")&amp;IF(G549&gt;AM549,"Überbestand "&amp;ROUND(G549-AM549,0)&amp;" Stk / CHF "&amp;ROUND((G549-AM549)*F549,0)&amp;"; ","")&amp;IF(AND(BT549=1,BU549&lt;BV549),"MAX &lt; MB+LG; ","")&amp;IF(AND(BZ549&gt;0,BY549*10&gt;BZ549),"zu hoch für Tablar; ","")&amp;IF(AND(BK549=0,OR(BT549=1,V549&lt;&gt;"",S549&lt;&gt;"",T549&lt;&gt;"",W549&lt;&gt;"")),"manuell übersteuert; ","")&amp;IF(AND(BO549=0,Q549=0),"Gebinde unbekannt; ","")&amp;IF(AND(BO549=0,N(T549)&lt;=0,N(P549)&lt;=0),"Menge pro Gebinde fehlt (Ist = 1 Gebinde); ","")&amp;BJ549)</f>
        <v/>
      </c>
      <c r="BC549" s="53" t="n"/>
      <c r="BD549" s="53" t="n"/>
      <c r="BE549" s="61" t="n"/>
      <c r="BF549" s="55" t="n">
        <v>1</v>
      </c>
      <c r="BG549" s="55" t="n">
        <v>5</v>
      </c>
      <c r="BH549" s="54" t="n">
        <v>17.73999999999998</v>
      </c>
      <c r="BI549" s="55" t="n">
        <v>7</v>
      </c>
      <c r="BJ549" s="53" t="inlineStr"/>
      <c r="BK549" s="58" t="n">
        <v>0</v>
      </c>
      <c r="BL549" s="58" t="n">
        <v>549</v>
      </c>
      <c r="BM549" s="53">
        <f>IF(S549&lt;&gt;"",UPPER(TRIM(S549)),IF(O549="","LOSE",O549))</f>
        <v/>
      </c>
      <c r="BN549" s="55">
        <f>IF(BM549="LOSE",1,IF(N(T549)&gt;0,T549,IF(N(P549)&gt;0,P549,MAX(1,G549))))</f>
        <v/>
      </c>
      <c r="BO549" s="58">
        <f>IF(BM549="LOSE",1,0)</f>
        <v/>
      </c>
      <c r="BP549" s="64">
        <f>IF(BO549=0,0,IF(N(R549)&gt;0,R549,IFERROR(VLOOKUP(D549,Parameter!$A$35:$C$64,3,0)+0,0)))</f>
        <v/>
      </c>
      <c r="BQ549" s="53">
        <f>IF(V549&lt;&gt;"",V549,U549)</f>
        <v/>
      </c>
      <c r="BR549" s="53">
        <f>IF(BQ549=1,"L1",IF(OR(BQ549=2,BQ549=3),"L23",IF(BQ549="Aussen","Aussen","-")))</f>
        <v/>
      </c>
      <c r="BS549" s="66">
        <f>IF(N(W549)&gt;0,W549,0)</f>
        <v/>
      </c>
      <c r="BT549" s="58">
        <f>IF(ISNUMBER(Z549),1,0)</f>
        <v/>
      </c>
      <c r="BU549" s="55">
        <f>N(Z549)</f>
        <v/>
      </c>
      <c r="BV549" s="55">
        <f>N(L549)+N(M549)</f>
        <v/>
      </c>
      <c r="BW549" s="55">
        <f>ROUNDUP(G549/BN549,0)</f>
        <v/>
      </c>
      <c r="BX549" s="55">
        <f>ROUNDUP(BU549/BN549,0)</f>
        <v/>
      </c>
      <c r="BY549" s="58">
        <f>IF(BO549=1,0,IFERROR(VLOOKUP(BM549,'Gebinde-Kategorie'!$A$5:$G$45,5,0)+0,0))</f>
        <v/>
      </c>
      <c r="BZ549" s="58">
        <f>IFERROR(IF(OR(BQ549=1,BQ549=2,BQ549=3),N(INDEX(Parameter!$I$5:$I$7,BQ549)),0),0)</f>
        <v/>
      </c>
    </row>
    <row r="550">
      <c r="A550" s="53" t="inlineStr">
        <is>
          <t>005396</t>
        </is>
      </c>
      <c r="B550" s="53" t="inlineStr">
        <is>
          <t>Verlängerungsrohr</t>
        </is>
      </c>
      <c r="C550" s="53" t="inlineStr">
        <is>
          <t>F</t>
        </is>
      </c>
      <c r="D550" s="53" t="inlineStr">
        <is>
          <t>KTL</t>
        </is>
      </c>
      <c r="E550" s="53" t="inlineStr">
        <is>
          <t>C</t>
        </is>
      </c>
      <c r="F550" s="54" t="n">
        <v>4.21</v>
      </c>
      <c r="G550" s="55">
        <f>MAX(0,IF(Parameter!$B$20="Jahresanfang 2025 + Export",BG550+BF550,BF550))</f>
        <v/>
      </c>
      <c r="H550" s="55">
        <f>G550*F550</f>
        <v/>
      </c>
      <c r="I550" s="55">
        <f>BI550*Parameter!$B$18</f>
        <v/>
      </c>
      <c r="J550" s="56" t="n">
        <v>19.5</v>
      </c>
      <c r="K550" s="57" t="n">
        <v>0.358974358974359</v>
      </c>
      <c r="L550" s="55" t="n">
        <v>0</v>
      </c>
      <c r="M550" s="55" t="n">
        <v>5</v>
      </c>
      <c r="N550" s="58" t="n">
        <v>21</v>
      </c>
      <c r="O550" s="53" t="inlineStr">
        <is>
          <t>S61</t>
        </is>
      </c>
      <c r="P550" s="55" t="n">
        <v>29</v>
      </c>
      <c r="Q550" s="59">
        <f>IF(BO550=1,0,IFERROR(VLOOKUP(BM550,'Gebinde-Kategorie'!$A$5:$G$45,6,0)+0,0))</f>
        <v/>
      </c>
      <c r="R550" s="60" t="n"/>
      <c r="S550" s="61" t="n"/>
      <c r="T550" s="61" t="n"/>
      <c r="U550" s="53">
        <f>IF(A550="","",IF(IFERROR(VLOOKUP(D550,Parameter!$A$35:$C$64,2,0),"Nein")="2+3",IF(ISNUMBER(SEARCH("grosser Artikel",BJ550)),2,IFERROR(VLOOKUP(BM550,Parameter!$F$35:$G$64,2,0),2)),IF(OR(IFERROR(VLOOKUP(D550,Parameter!$A$35:$C$64,2,0),"Nein")="Nein",IFERROR(VLOOKUP(D550,Parameter!$A$35:$C$64,2,0),"Nein")=""),"-",VLOOKUP(D550,Parameter!$A$35:$C$64,2,0))))</f>
        <v/>
      </c>
      <c r="V550" s="61" t="n"/>
      <c r="W550" s="62" t="n"/>
      <c r="X550" s="55">
        <f>AM550</f>
        <v/>
      </c>
      <c r="Y550" s="55">
        <f>MAX(AM550,G550)</f>
        <v/>
      </c>
      <c r="Z550" s="63" t="n"/>
      <c r="AA550" s="55">
        <f>IF(LEFT(Cockpit!$C$5,1)="A",G550,IF(BT550=1,BU550,IF(LEFT(Cockpit!$C$5,1)="B",AE550,MAX(AE550,G550))))</f>
        <v/>
      </c>
      <c r="AB550" s="55">
        <f>IF(BO550=1,0,ROUNDUP(AA550/BN550,0))</f>
        <v/>
      </c>
      <c r="AC550" s="64">
        <f>IF(BO550=1,IF(AA550&lt;=0,0,BP550*MAX(1,IF(G550&gt;0,AA550/G550,1))),AB550*Q550)</f>
        <v/>
      </c>
      <c r="AD550" s="55">
        <f>AA550*F550</f>
        <v/>
      </c>
      <c r="AE550" s="55">
        <f>ROUNDUP(MAX(I550/IF(BS550&gt;0,BS550,MAX(0.1,N(Cockpit!$C$6))),BV550)/BN550,0)*BN550</f>
        <v/>
      </c>
      <c r="AF550" s="56">
        <f>IF(AC550&gt;0,I550/AC550,-1)</f>
        <v/>
      </c>
      <c r="AG550" s="56">
        <f>IF(AND(OR(BR550="L1",BR550="L23"),AC550&gt;0),SUMIFS($AC$7:$AC$1570,$BR$7:$BR$1570,BR550,$AF$7:$AF$1570,"&gt;"&amp;AF550)+SUMIFS($AC$7:$AC$1570,$BR$7:$BR$1570,BR550,$AF$7:$AF$1570,AF550,$BL$7:$BL$1570,"&lt;="&amp;BL550),"")</f>
        <v/>
      </c>
      <c r="AH550" s="65">
        <f>IF(AG550="",0,MAX(0,MIN(1,(IF(BR550="L1",Parameter!$K$5,Parameter!$K$6+Parameter!$K$7)-(AG550-AC550))/AC550)))</f>
        <v/>
      </c>
      <c r="AI550" s="55">
        <f>IF(LEFT(Cockpit!$I$5,1)="A",G550,IF(BT550=1,BU550,IF(LEFT(Cockpit!$I$5,1)="B",AM550,MAX(AM550,G550))))</f>
        <v/>
      </c>
      <c r="AJ550" s="55">
        <f>IF(BO550=1,0,ROUNDUP(AI550/BN550,0))</f>
        <v/>
      </c>
      <c r="AK550" s="64">
        <f>IF(BO550=1,IF(AI550&lt;=0,0,BP550*MAX(1,IF(G550&gt;0,AI550/G550,1))),AJ550*Q550)</f>
        <v/>
      </c>
      <c r="AL550" s="55">
        <f>AI550*F550</f>
        <v/>
      </c>
      <c r="AM550" s="55">
        <f>ROUNDUP(MAX(I550/IF(BS550&gt;0,BS550,MAX(0.1,N(Cockpit!$I$6))),BV550)/BN550,0)*BN550</f>
        <v/>
      </c>
      <c r="AN550" s="56">
        <f>IF(AK550&gt;0,I550/AK550,-1)</f>
        <v/>
      </c>
      <c r="AO550" s="56">
        <f>IF(AND(OR(BR550="L1",BR550="L23"),AK550&gt;0),SUMIFS($AK$7:$AK$1570,$BR$7:$BR$1570,BR550,$AN$7:$AN$1570,"&gt;"&amp;AN550)+SUMIFS($AK$7:$AK$1570,$BR$7:$BR$1570,BR550,$AN$7:$AN$1570,AN550,$BL$7:$BL$1570,"&lt;="&amp;BL550),"")</f>
        <v/>
      </c>
      <c r="AP550" s="65">
        <f>IF(AO550="",0,MAX(0,MIN(1,(IF(BR550="L1",Parameter!$K$5,Parameter!$K$6+Parameter!$K$7)-(AO550-AK550))/AK550)))</f>
        <v/>
      </c>
      <c r="AQ550" s="55">
        <f>IF(LEFT(Cockpit!$O$5,1)="A",G550,IF(BT550=1,BU550,IF(LEFT(Cockpit!$O$5,1)="B",AU550,MAX(AU550,G550))))</f>
        <v/>
      </c>
      <c r="AR550" s="55">
        <f>IF(BO550=1,0,ROUNDUP(AQ550/BN550,0))</f>
        <v/>
      </c>
      <c r="AS550" s="64">
        <f>IF(BO550=1,IF(AQ550&lt;=0,0,BP550*MAX(1,IF(G550&gt;0,AQ550/G550,1))),AR550*Q550)</f>
        <v/>
      </c>
      <c r="AT550" s="55">
        <f>AQ550*F550</f>
        <v/>
      </c>
      <c r="AU550" s="55">
        <f>ROUNDUP(MAX(I550/IF(BS550&gt;0,BS550,MAX(0.1,N(Cockpit!$O$6))),BV550)/BN550,0)*BN550</f>
        <v/>
      </c>
      <c r="AV550" s="56">
        <f>IF(AS550&gt;0,I550/AS550,-1)</f>
        <v/>
      </c>
      <c r="AW550" s="56">
        <f>IF(AND(OR(BR550="L1",BR550="L23"),AS550&gt;0),SUMIFS($AS$7:$AS$1570,$BR$7:$BR$1570,BR550,$AV$7:$AV$1570,"&gt;"&amp;AV550)+SUMIFS($AS$7:$AS$1570,$BR$7:$BR$1570,BR550,$AV$7:$AV$1570,AV550,$BL$7:$BL$1570,"&lt;="&amp;BL550),"")</f>
        <v/>
      </c>
      <c r="AX550" s="65">
        <f>IF(AW550="",0,MAX(0,MIN(1,(IF(BR550="L1",Parameter!$K$5,Parameter!$K$6+Parameter!$K$7)-(AW550-AS550))/AS550)))</f>
        <v/>
      </c>
      <c r="AY550" s="53">
        <f>IF(AC550&lt;=0,"",IF(BR550="Aussen","Aussenlager",IF(BR550="-","Nicht im Lift",IF(AH550&gt;=1,"Lift",IF(AH550&lt;=0,"Aussenlager","teilweise")))))</f>
        <v/>
      </c>
      <c r="AZ550" s="53">
        <f>IF(AK550&lt;=0,"",IF(BR550="Aussen","Aussenlager",IF(BR550="-","Nicht im Lift",IF(AP550&gt;=1,"Lift",IF(AP550&lt;=0,"Aussenlager","teilweise")))))</f>
        <v/>
      </c>
      <c r="BA550" s="53">
        <f>IF(AS550&lt;=0,"",IF(BR550="Aussen","Aussenlager",IF(BR550="-","Nicht im Lift",IF(AX550&gt;=1,"Lift",IF(AX550&lt;=0,"Aussenlager","teilweise")))))</f>
        <v/>
      </c>
      <c r="BB550" s="53">
        <f>IF(A550="","",IF(BK550=1,"Neu; ","")&amp;IF(AND(BK550=0,BF550&lt;0),"negativer Bestand (Export "&amp;BF550&amp;"); ","")&amp;IF(I550&lt;=0,"Kein Verbrauch; ","")&amp;IF(BO550=1,"Lose – Fläche geschätzt; ","")&amp;IF(G550&gt;AM550,"Überbestand "&amp;ROUND(G550-AM550,0)&amp;" Stk / CHF "&amp;ROUND((G550-AM550)*F550,0)&amp;"; ","")&amp;IF(AND(BT550=1,BU550&lt;BV550),"MAX &lt; MB+LG; ","")&amp;IF(AND(BZ550&gt;0,BY550*10&gt;BZ550),"zu hoch für Tablar; ","")&amp;IF(AND(BK550=0,OR(BT550=1,V550&lt;&gt;"",S550&lt;&gt;"",T550&lt;&gt;"",W550&lt;&gt;"")),"manuell übersteuert; ","")&amp;IF(AND(BO550=0,Q550=0),"Gebinde unbekannt; ","")&amp;IF(AND(BO550=0,N(T550)&lt;=0,N(P550)&lt;=0),"Menge pro Gebinde fehlt (Ist = 1 Gebinde); ","")&amp;BJ550)</f>
        <v/>
      </c>
      <c r="BC550" s="53" t="n"/>
      <c r="BD550" s="53" t="n"/>
      <c r="BE550" s="61" t="n"/>
      <c r="BF550" s="55" t="n">
        <v>4</v>
      </c>
      <c r="BG550" s="55" t="n">
        <v>17</v>
      </c>
      <c r="BH550" s="54" t="n">
        <v>16.84</v>
      </c>
      <c r="BI550" s="55" t="n">
        <v>7</v>
      </c>
      <c r="BJ550" s="53" t="inlineStr"/>
      <c r="BK550" s="58" t="n">
        <v>0</v>
      </c>
      <c r="BL550" s="58" t="n">
        <v>550</v>
      </c>
      <c r="BM550" s="53">
        <f>IF(S550&lt;&gt;"",UPPER(TRIM(S550)),IF(O550="","LOSE",O550))</f>
        <v/>
      </c>
      <c r="BN550" s="55">
        <f>IF(BM550="LOSE",1,IF(N(T550)&gt;0,T550,IF(N(P550)&gt;0,P550,MAX(1,G550))))</f>
        <v/>
      </c>
      <c r="BO550" s="58">
        <f>IF(BM550="LOSE",1,0)</f>
        <v/>
      </c>
      <c r="BP550" s="64">
        <f>IF(BO550=0,0,IF(N(R550)&gt;0,R550,IFERROR(VLOOKUP(D550,Parameter!$A$35:$C$64,3,0)+0,0)))</f>
        <v/>
      </c>
      <c r="BQ550" s="53">
        <f>IF(V550&lt;&gt;"",V550,U550)</f>
        <v/>
      </c>
      <c r="BR550" s="53">
        <f>IF(BQ550=1,"L1",IF(OR(BQ550=2,BQ550=3),"L23",IF(BQ550="Aussen","Aussen","-")))</f>
        <v/>
      </c>
      <c r="BS550" s="66">
        <f>IF(N(W550)&gt;0,W550,0)</f>
        <v/>
      </c>
      <c r="BT550" s="58">
        <f>IF(ISNUMBER(Z550),1,0)</f>
        <v/>
      </c>
      <c r="BU550" s="55">
        <f>N(Z550)</f>
        <v/>
      </c>
      <c r="BV550" s="55">
        <f>N(L550)+N(M550)</f>
        <v/>
      </c>
      <c r="BW550" s="55">
        <f>ROUNDUP(G550/BN550,0)</f>
        <v/>
      </c>
      <c r="BX550" s="55">
        <f>ROUNDUP(BU550/BN550,0)</f>
        <v/>
      </c>
      <c r="BY550" s="58">
        <f>IF(BO550=1,0,IFERROR(VLOOKUP(BM550,'Gebinde-Kategorie'!$A$5:$G$45,5,0)+0,0))</f>
        <v/>
      </c>
      <c r="BZ550" s="58">
        <f>IFERROR(IF(OR(BQ550=1,BQ550=2,BQ550=3),N(INDEX(Parameter!$I$5:$I$7,BQ550)),0),0)</f>
        <v/>
      </c>
    </row>
    <row r="551">
      <c r="A551" s="53" t="inlineStr">
        <is>
          <t>108025</t>
        </is>
      </c>
      <c r="B551" s="53" t="inlineStr">
        <is>
          <t>Kabelverschraubung</t>
        </is>
      </c>
      <c r="C551" s="53" t="inlineStr">
        <is>
          <t>F</t>
        </is>
      </c>
      <c r="D551" s="53" t="inlineStr">
        <is>
          <t>KTL</t>
        </is>
      </c>
      <c r="E551" s="53" t="inlineStr">
        <is>
          <t>C</t>
        </is>
      </c>
      <c r="F551" s="54" t="n">
        <v>1.68</v>
      </c>
      <c r="G551" s="55">
        <f>MAX(0,IF(Parameter!$B$20="Jahresanfang 2025 + Export",BG551+BF551,BF551))</f>
        <v/>
      </c>
      <c r="H551" s="55">
        <f>G551*F551</f>
        <v/>
      </c>
      <c r="I551" s="55">
        <f>BI551*Parameter!$B$18</f>
        <v/>
      </c>
      <c r="J551" s="56" t="n">
        <v>46.5</v>
      </c>
      <c r="K551" s="57" t="n">
        <v>3.247311827956989</v>
      </c>
      <c r="L551" s="55" t="n">
        <v>8</v>
      </c>
      <c r="M551" s="55" t="n">
        <v>150</v>
      </c>
      <c r="N551" s="58" t="n">
        <v>21</v>
      </c>
      <c r="O551" s="53" t="inlineStr">
        <is>
          <t>S32</t>
        </is>
      </c>
      <c r="P551" s="55" t="n">
        <v>91</v>
      </c>
      <c r="Q551" s="59">
        <f>IF(BO551=1,0,IFERROR(VLOOKUP(BM551,'Gebinde-Kategorie'!$A$5:$G$45,6,0)+0,0))</f>
        <v/>
      </c>
      <c r="R551" s="60" t="n"/>
      <c r="S551" s="61" t="n"/>
      <c r="T551" s="61" t="n"/>
      <c r="U551" s="53">
        <f>IF(A551="","",IF(IFERROR(VLOOKUP(D551,Parameter!$A$35:$C$64,2,0),"Nein")="2+3",IF(ISNUMBER(SEARCH("grosser Artikel",BJ551)),2,IFERROR(VLOOKUP(BM551,Parameter!$F$35:$G$64,2,0),2)),IF(OR(IFERROR(VLOOKUP(D551,Parameter!$A$35:$C$64,2,0),"Nein")="Nein",IFERROR(VLOOKUP(D551,Parameter!$A$35:$C$64,2,0),"Nein")=""),"-",VLOOKUP(D551,Parameter!$A$35:$C$64,2,0))))</f>
        <v/>
      </c>
      <c r="V551" s="61" t="n"/>
      <c r="W551" s="62" t="n"/>
      <c r="X551" s="55">
        <f>AM551</f>
        <v/>
      </c>
      <c r="Y551" s="55">
        <f>MAX(AM551,G551)</f>
        <v/>
      </c>
      <c r="Z551" s="63" t="n"/>
      <c r="AA551" s="55">
        <f>IF(LEFT(Cockpit!$C$5,1)="A",G551,IF(BT551=1,BU551,IF(LEFT(Cockpit!$C$5,1)="B",AE551,MAX(AE551,G551))))</f>
        <v/>
      </c>
      <c r="AB551" s="55">
        <f>IF(BO551=1,0,ROUNDUP(AA551/BN551,0))</f>
        <v/>
      </c>
      <c r="AC551" s="64">
        <f>IF(BO551=1,IF(AA551&lt;=0,0,BP551*MAX(1,IF(G551&gt;0,AA551/G551,1))),AB551*Q551)</f>
        <v/>
      </c>
      <c r="AD551" s="55">
        <f>AA551*F551</f>
        <v/>
      </c>
      <c r="AE551" s="55">
        <f>ROUNDUP(MAX(I551/IF(BS551&gt;0,BS551,MAX(0.1,N(Cockpit!$C$6))),BV551)/BN551,0)*BN551</f>
        <v/>
      </c>
      <c r="AF551" s="56">
        <f>IF(AC551&gt;0,I551/AC551,-1)</f>
        <v/>
      </c>
      <c r="AG551" s="56">
        <f>IF(AND(OR(BR551="L1",BR551="L23"),AC551&gt;0),SUMIFS($AC$7:$AC$1570,$BR$7:$BR$1570,BR551,$AF$7:$AF$1570,"&gt;"&amp;AF551)+SUMIFS($AC$7:$AC$1570,$BR$7:$BR$1570,BR551,$AF$7:$AF$1570,AF551,$BL$7:$BL$1570,"&lt;="&amp;BL551),"")</f>
        <v/>
      </c>
      <c r="AH551" s="65">
        <f>IF(AG551="",0,MAX(0,MIN(1,(IF(BR551="L1",Parameter!$K$5,Parameter!$K$6+Parameter!$K$7)-(AG551-AC551))/AC551)))</f>
        <v/>
      </c>
      <c r="AI551" s="55">
        <f>IF(LEFT(Cockpit!$I$5,1)="A",G551,IF(BT551=1,BU551,IF(LEFT(Cockpit!$I$5,1)="B",AM551,MAX(AM551,G551))))</f>
        <v/>
      </c>
      <c r="AJ551" s="55">
        <f>IF(BO551=1,0,ROUNDUP(AI551/BN551,0))</f>
        <v/>
      </c>
      <c r="AK551" s="64">
        <f>IF(BO551=1,IF(AI551&lt;=0,0,BP551*MAX(1,IF(G551&gt;0,AI551/G551,1))),AJ551*Q551)</f>
        <v/>
      </c>
      <c r="AL551" s="55">
        <f>AI551*F551</f>
        <v/>
      </c>
      <c r="AM551" s="55">
        <f>ROUNDUP(MAX(I551/IF(BS551&gt;0,BS551,MAX(0.1,N(Cockpit!$I$6))),BV551)/BN551,0)*BN551</f>
        <v/>
      </c>
      <c r="AN551" s="56">
        <f>IF(AK551&gt;0,I551/AK551,-1)</f>
        <v/>
      </c>
      <c r="AO551" s="56">
        <f>IF(AND(OR(BR551="L1",BR551="L23"),AK551&gt;0),SUMIFS($AK$7:$AK$1570,$BR$7:$BR$1570,BR551,$AN$7:$AN$1570,"&gt;"&amp;AN551)+SUMIFS($AK$7:$AK$1570,$BR$7:$BR$1570,BR551,$AN$7:$AN$1570,AN551,$BL$7:$BL$1570,"&lt;="&amp;BL551),"")</f>
        <v/>
      </c>
      <c r="AP551" s="65">
        <f>IF(AO551="",0,MAX(0,MIN(1,(IF(BR551="L1",Parameter!$K$5,Parameter!$K$6+Parameter!$K$7)-(AO551-AK551))/AK551)))</f>
        <v/>
      </c>
      <c r="AQ551" s="55">
        <f>IF(LEFT(Cockpit!$O$5,1)="A",G551,IF(BT551=1,BU551,IF(LEFT(Cockpit!$O$5,1)="B",AU551,MAX(AU551,G551))))</f>
        <v/>
      </c>
      <c r="AR551" s="55">
        <f>IF(BO551=1,0,ROUNDUP(AQ551/BN551,0))</f>
        <v/>
      </c>
      <c r="AS551" s="64">
        <f>IF(BO551=1,IF(AQ551&lt;=0,0,BP551*MAX(1,IF(G551&gt;0,AQ551/G551,1))),AR551*Q551)</f>
        <v/>
      </c>
      <c r="AT551" s="55">
        <f>AQ551*F551</f>
        <v/>
      </c>
      <c r="AU551" s="55">
        <f>ROUNDUP(MAX(I551/IF(BS551&gt;0,BS551,MAX(0.1,N(Cockpit!$O$6))),BV551)/BN551,0)*BN551</f>
        <v/>
      </c>
      <c r="AV551" s="56">
        <f>IF(AS551&gt;0,I551/AS551,-1)</f>
        <v/>
      </c>
      <c r="AW551" s="56">
        <f>IF(AND(OR(BR551="L1",BR551="L23"),AS551&gt;0),SUMIFS($AS$7:$AS$1570,$BR$7:$BR$1570,BR551,$AV$7:$AV$1570,"&gt;"&amp;AV551)+SUMIFS($AS$7:$AS$1570,$BR$7:$BR$1570,BR551,$AV$7:$AV$1570,AV551,$BL$7:$BL$1570,"&lt;="&amp;BL551),"")</f>
        <v/>
      </c>
      <c r="AX551" s="65">
        <f>IF(AW551="",0,MAX(0,MIN(1,(IF(BR551="L1",Parameter!$K$5,Parameter!$K$6+Parameter!$K$7)-(AW551-AS551))/AS551)))</f>
        <v/>
      </c>
      <c r="AY551" s="53">
        <f>IF(AC551&lt;=0,"",IF(BR551="Aussen","Aussenlager",IF(BR551="-","Nicht im Lift",IF(AH551&gt;=1,"Lift",IF(AH551&lt;=0,"Aussenlager","teilweise")))))</f>
        <v/>
      </c>
      <c r="AZ551" s="53">
        <f>IF(AK551&lt;=0,"",IF(BR551="Aussen","Aussenlager",IF(BR551="-","Nicht im Lift",IF(AP551&gt;=1,"Lift",IF(AP551&lt;=0,"Aussenlager","teilweise")))))</f>
        <v/>
      </c>
      <c r="BA551" s="53">
        <f>IF(AS551&lt;=0,"",IF(BR551="Aussen","Aussenlager",IF(BR551="-","Nicht im Lift",IF(AX551&gt;=1,"Lift",IF(AX551&lt;=0,"Aussenlager","teilweise")))))</f>
        <v/>
      </c>
      <c r="BB551" s="53">
        <f>IF(A551="","",IF(BK551=1,"Neu; ","")&amp;IF(AND(BK551=0,BF551&lt;0),"negativer Bestand (Export "&amp;BF551&amp;"); ","")&amp;IF(I551&lt;=0,"Kein Verbrauch; ","")&amp;IF(BO551=1,"Lose – Fläche geschätzt; ","")&amp;IF(G551&gt;AM551,"Überbestand "&amp;ROUND(G551-AM551,0)&amp;" Stk / CHF "&amp;ROUND((G551-AM551)*F551,0)&amp;"; ","")&amp;IF(AND(BT551=1,BU551&lt;BV551),"MAX &lt; MB+LG; ","")&amp;IF(AND(BZ551&gt;0,BY551*10&gt;BZ551),"zu hoch für Tablar; ","")&amp;IF(AND(BK551=0,OR(BT551=1,V551&lt;&gt;"",S551&lt;&gt;"",T551&lt;&gt;"",W551&lt;&gt;"")),"manuell übersteuert; ","")&amp;IF(AND(BO551=0,Q551=0),"Gebinde unbekannt; ","")&amp;IF(AND(BO551=0,N(T551)&lt;=0,N(P551)&lt;=0),"Menge pro Gebinde fehlt (Ist = 1 Gebinde); ","")&amp;BJ551)</f>
        <v/>
      </c>
      <c r="BC551" s="53" t="n"/>
      <c r="BD551" s="53" t="n"/>
      <c r="BE551" s="61" t="n"/>
      <c r="BF551" s="55" t="n">
        <v>9</v>
      </c>
      <c r="BG551" s="55" t="n">
        <v>47</v>
      </c>
      <c r="BH551" s="54" t="n">
        <v>16.52999999999999</v>
      </c>
      <c r="BI551" s="55" t="n">
        <v>151</v>
      </c>
      <c r="BJ551" s="53" t="inlineStr"/>
      <c r="BK551" s="58" t="n">
        <v>0</v>
      </c>
      <c r="BL551" s="58" t="n">
        <v>551</v>
      </c>
      <c r="BM551" s="53">
        <f>IF(S551&lt;&gt;"",UPPER(TRIM(S551)),IF(O551="","LOSE",O551))</f>
        <v/>
      </c>
      <c r="BN551" s="55">
        <f>IF(BM551="LOSE",1,IF(N(T551)&gt;0,T551,IF(N(P551)&gt;0,P551,MAX(1,G551))))</f>
        <v/>
      </c>
      <c r="BO551" s="58">
        <f>IF(BM551="LOSE",1,0)</f>
        <v/>
      </c>
      <c r="BP551" s="64">
        <f>IF(BO551=0,0,IF(N(R551)&gt;0,R551,IFERROR(VLOOKUP(D551,Parameter!$A$35:$C$64,3,0)+0,0)))</f>
        <v/>
      </c>
      <c r="BQ551" s="53">
        <f>IF(V551&lt;&gt;"",V551,U551)</f>
        <v/>
      </c>
      <c r="BR551" s="53">
        <f>IF(BQ551=1,"L1",IF(OR(BQ551=2,BQ551=3),"L23",IF(BQ551="Aussen","Aussen","-")))</f>
        <v/>
      </c>
      <c r="BS551" s="66">
        <f>IF(N(W551)&gt;0,W551,0)</f>
        <v/>
      </c>
      <c r="BT551" s="58">
        <f>IF(ISNUMBER(Z551),1,0)</f>
        <v/>
      </c>
      <c r="BU551" s="55">
        <f>N(Z551)</f>
        <v/>
      </c>
      <c r="BV551" s="55">
        <f>N(L551)+N(M551)</f>
        <v/>
      </c>
      <c r="BW551" s="55">
        <f>ROUNDUP(G551/BN551,0)</f>
        <v/>
      </c>
      <c r="BX551" s="55">
        <f>ROUNDUP(BU551/BN551,0)</f>
        <v/>
      </c>
      <c r="BY551" s="58">
        <f>IF(BO551=1,0,IFERROR(VLOOKUP(BM551,'Gebinde-Kategorie'!$A$5:$G$45,5,0)+0,0))</f>
        <v/>
      </c>
      <c r="BZ551" s="58">
        <f>IFERROR(IF(OR(BQ551=1,BQ551=2,BQ551=3),N(INDEX(Parameter!$I$5:$I$7,BQ551)),0),0)</f>
        <v/>
      </c>
    </row>
    <row r="552">
      <c r="A552" s="53" t="inlineStr">
        <is>
          <t>005462</t>
        </is>
      </c>
      <c r="B552" s="53" t="inlineStr">
        <is>
          <t>Steckschlüssel-Adapter</t>
        </is>
      </c>
      <c r="C552" s="53" t="inlineStr">
        <is>
          <t>F</t>
        </is>
      </c>
      <c r="D552" s="53" t="inlineStr">
        <is>
          <t>KTL</t>
        </is>
      </c>
      <c r="E552" s="53" t="inlineStr">
        <is>
          <t>C</t>
        </is>
      </c>
      <c r="F552" s="54" t="n">
        <v>9.57</v>
      </c>
      <c r="G552" s="55">
        <f>MAX(0,IF(Parameter!$B$20="Jahresanfang 2025 + Export",BG552+BF552,BF552))</f>
        <v/>
      </c>
      <c r="H552" s="55">
        <f>G552*F552</f>
        <v/>
      </c>
      <c r="I552" s="55">
        <f>BI552*Parameter!$B$18</f>
        <v/>
      </c>
      <c r="J552" s="56" t="n">
        <v>8</v>
      </c>
      <c r="K552" s="57" t="n">
        <v>2.25</v>
      </c>
      <c r="L552" s="55" t="n">
        <v>0</v>
      </c>
      <c r="M552" s="55" t="n">
        <v>5</v>
      </c>
      <c r="N552" s="58" t="n">
        <v>14</v>
      </c>
      <c r="O552" s="53" t="inlineStr">
        <is>
          <t>S21</t>
        </is>
      </c>
      <c r="P552" s="55" t="n">
        <v>31</v>
      </c>
      <c r="Q552" s="59">
        <f>IF(BO552=1,0,IFERROR(VLOOKUP(BM552,'Gebinde-Kategorie'!$A$5:$G$45,6,0)+0,0))</f>
        <v/>
      </c>
      <c r="R552" s="60" t="n"/>
      <c r="S552" s="61" t="n"/>
      <c r="T552" s="61" t="n"/>
      <c r="U552" s="53">
        <f>IF(A552="","",IF(IFERROR(VLOOKUP(D552,Parameter!$A$35:$C$64,2,0),"Nein")="2+3",IF(ISNUMBER(SEARCH("grosser Artikel",BJ552)),2,IFERROR(VLOOKUP(BM552,Parameter!$F$35:$G$64,2,0),2)),IF(OR(IFERROR(VLOOKUP(D552,Parameter!$A$35:$C$64,2,0),"Nein")="Nein",IFERROR(VLOOKUP(D552,Parameter!$A$35:$C$64,2,0),"Nein")=""),"-",VLOOKUP(D552,Parameter!$A$35:$C$64,2,0))))</f>
        <v/>
      </c>
      <c r="V552" s="61" t="n"/>
      <c r="W552" s="62" t="n"/>
      <c r="X552" s="55">
        <f>AM552</f>
        <v/>
      </c>
      <c r="Y552" s="55">
        <f>MAX(AM552,G552)</f>
        <v/>
      </c>
      <c r="Z552" s="63" t="n"/>
      <c r="AA552" s="55">
        <f>IF(LEFT(Cockpit!$C$5,1)="A",G552,IF(BT552=1,BU552,IF(LEFT(Cockpit!$C$5,1)="B",AE552,MAX(AE552,G552))))</f>
        <v/>
      </c>
      <c r="AB552" s="55">
        <f>IF(BO552=1,0,ROUNDUP(AA552/BN552,0))</f>
        <v/>
      </c>
      <c r="AC552" s="64">
        <f>IF(BO552=1,IF(AA552&lt;=0,0,BP552*MAX(1,IF(G552&gt;0,AA552/G552,1))),AB552*Q552)</f>
        <v/>
      </c>
      <c r="AD552" s="55">
        <f>AA552*F552</f>
        <v/>
      </c>
      <c r="AE552" s="55">
        <f>ROUNDUP(MAX(I552/IF(BS552&gt;0,BS552,MAX(0.1,N(Cockpit!$C$6))),BV552)/BN552,0)*BN552</f>
        <v/>
      </c>
      <c r="AF552" s="56">
        <f>IF(AC552&gt;0,I552/AC552,-1)</f>
        <v/>
      </c>
      <c r="AG552" s="56">
        <f>IF(AND(OR(BR552="L1",BR552="L23"),AC552&gt;0),SUMIFS($AC$7:$AC$1570,$BR$7:$BR$1570,BR552,$AF$7:$AF$1570,"&gt;"&amp;AF552)+SUMIFS($AC$7:$AC$1570,$BR$7:$BR$1570,BR552,$AF$7:$AF$1570,AF552,$BL$7:$BL$1570,"&lt;="&amp;BL552),"")</f>
        <v/>
      </c>
      <c r="AH552" s="65">
        <f>IF(AG552="",0,MAX(0,MIN(1,(IF(BR552="L1",Parameter!$K$5,Parameter!$K$6+Parameter!$K$7)-(AG552-AC552))/AC552)))</f>
        <v/>
      </c>
      <c r="AI552" s="55">
        <f>IF(LEFT(Cockpit!$I$5,1)="A",G552,IF(BT552=1,BU552,IF(LEFT(Cockpit!$I$5,1)="B",AM552,MAX(AM552,G552))))</f>
        <v/>
      </c>
      <c r="AJ552" s="55">
        <f>IF(BO552=1,0,ROUNDUP(AI552/BN552,0))</f>
        <v/>
      </c>
      <c r="AK552" s="64">
        <f>IF(BO552=1,IF(AI552&lt;=0,0,BP552*MAX(1,IF(G552&gt;0,AI552/G552,1))),AJ552*Q552)</f>
        <v/>
      </c>
      <c r="AL552" s="55">
        <f>AI552*F552</f>
        <v/>
      </c>
      <c r="AM552" s="55">
        <f>ROUNDUP(MAX(I552/IF(BS552&gt;0,BS552,MAX(0.1,N(Cockpit!$I$6))),BV552)/BN552,0)*BN552</f>
        <v/>
      </c>
      <c r="AN552" s="56">
        <f>IF(AK552&gt;0,I552/AK552,-1)</f>
        <v/>
      </c>
      <c r="AO552" s="56">
        <f>IF(AND(OR(BR552="L1",BR552="L23"),AK552&gt;0),SUMIFS($AK$7:$AK$1570,$BR$7:$BR$1570,BR552,$AN$7:$AN$1570,"&gt;"&amp;AN552)+SUMIFS($AK$7:$AK$1570,$BR$7:$BR$1570,BR552,$AN$7:$AN$1570,AN552,$BL$7:$BL$1570,"&lt;="&amp;BL552),"")</f>
        <v/>
      </c>
      <c r="AP552" s="65">
        <f>IF(AO552="",0,MAX(0,MIN(1,(IF(BR552="L1",Parameter!$K$5,Parameter!$K$6+Parameter!$K$7)-(AO552-AK552))/AK552)))</f>
        <v/>
      </c>
      <c r="AQ552" s="55">
        <f>IF(LEFT(Cockpit!$O$5,1)="A",G552,IF(BT552=1,BU552,IF(LEFT(Cockpit!$O$5,1)="B",AU552,MAX(AU552,G552))))</f>
        <v/>
      </c>
      <c r="AR552" s="55">
        <f>IF(BO552=1,0,ROUNDUP(AQ552/BN552,0))</f>
        <v/>
      </c>
      <c r="AS552" s="64">
        <f>IF(BO552=1,IF(AQ552&lt;=0,0,BP552*MAX(1,IF(G552&gt;0,AQ552/G552,1))),AR552*Q552)</f>
        <v/>
      </c>
      <c r="AT552" s="55">
        <f>AQ552*F552</f>
        <v/>
      </c>
      <c r="AU552" s="55">
        <f>ROUNDUP(MAX(I552/IF(BS552&gt;0,BS552,MAX(0.1,N(Cockpit!$O$6))),BV552)/BN552,0)*BN552</f>
        <v/>
      </c>
      <c r="AV552" s="56">
        <f>IF(AS552&gt;0,I552/AS552,-1)</f>
        <v/>
      </c>
      <c r="AW552" s="56">
        <f>IF(AND(OR(BR552="L1",BR552="L23"),AS552&gt;0),SUMIFS($AS$7:$AS$1570,$BR$7:$BR$1570,BR552,$AV$7:$AV$1570,"&gt;"&amp;AV552)+SUMIFS($AS$7:$AS$1570,$BR$7:$BR$1570,BR552,$AV$7:$AV$1570,AV552,$BL$7:$BL$1570,"&lt;="&amp;BL552),"")</f>
        <v/>
      </c>
      <c r="AX552" s="65">
        <f>IF(AW552="",0,MAX(0,MIN(1,(IF(BR552="L1",Parameter!$K$5,Parameter!$K$6+Parameter!$K$7)-(AW552-AS552))/AS552)))</f>
        <v/>
      </c>
      <c r="AY552" s="53">
        <f>IF(AC552&lt;=0,"",IF(BR552="Aussen","Aussenlager",IF(BR552="-","Nicht im Lift",IF(AH552&gt;=1,"Lift",IF(AH552&lt;=0,"Aussenlager","teilweise")))))</f>
        <v/>
      </c>
      <c r="AZ552" s="53">
        <f>IF(AK552&lt;=0,"",IF(BR552="Aussen","Aussenlager",IF(BR552="-","Nicht im Lift",IF(AP552&gt;=1,"Lift",IF(AP552&lt;=0,"Aussenlager","teilweise")))))</f>
        <v/>
      </c>
      <c r="BA552" s="53">
        <f>IF(AS552&lt;=0,"",IF(BR552="Aussen","Aussenlager",IF(BR552="-","Nicht im Lift",IF(AX552&gt;=1,"Lift",IF(AX552&lt;=0,"Aussenlager","teilweise")))))</f>
        <v/>
      </c>
      <c r="BB552" s="53">
        <f>IF(A552="","",IF(BK552=1,"Neu; ","")&amp;IF(AND(BK552=0,BF552&lt;0),"negativer Bestand (Export "&amp;BF552&amp;"); ","")&amp;IF(I552&lt;=0,"Kein Verbrauch; ","")&amp;IF(BO552=1,"Lose – Fläche geschätzt; ","")&amp;IF(G552&gt;AM552,"Überbestand "&amp;ROUND(G552-AM552,0)&amp;" Stk / CHF "&amp;ROUND((G552-AM552)*F552,0)&amp;"; ","")&amp;IF(AND(BT552=1,BU552&lt;BV552),"MAX &lt; MB+LG; ","")&amp;IF(AND(BZ552&gt;0,BY552*10&gt;BZ552),"zu hoch für Tablar; ","")&amp;IF(AND(BK552=0,OR(BT552=1,V552&lt;&gt;"",S552&lt;&gt;"",T552&lt;&gt;"",W552&lt;&gt;"")),"manuell übersteuert; ","")&amp;IF(AND(BO552=0,Q552=0),"Gebinde unbekannt; ","")&amp;IF(AND(BO552=0,N(T552)&lt;=0,N(P552)&lt;=0),"Menge pro Gebinde fehlt (Ist = 1 Gebinde); ","")&amp;BJ552)</f>
        <v/>
      </c>
      <c r="BC552" s="53" t="n"/>
      <c r="BD552" s="53" t="n"/>
      <c r="BE552" s="61" t="n"/>
      <c r="BF552" s="55" t="n">
        <v>3</v>
      </c>
      <c r="BG552" s="55" t="n">
        <v>7</v>
      </c>
      <c r="BH552" s="54" t="n">
        <v>16.09999999999999</v>
      </c>
      <c r="BI552" s="55" t="n">
        <v>18</v>
      </c>
      <c r="BJ552" s="53" t="inlineStr"/>
      <c r="BK552" s="58" t="n">
        <v>0</v>
      </c>
      <c r="BL552" s="58" t="n">
        <v>552</v>
      </c>
      <c r="BM552" s="53">
        <f>IF(S552&lt;&gt;"",UPPER(TRIM(S552)),IF(O552="","LOSE",O552))</f>
        <v/>
      </c>
      <c r="BN552" s="55">
        <f>IF(BM552="LOSE",1,IF(N(T552)&gt;0,T552,IF(N(P552)&gt;0,P552,MAX(1,G552))))</f>
        <v/>
      </c>
      <c r="BO552" s="58">
        <f>IF(BM552="LOSE",1,0)</f>
        <v/>
      </c>
      <c r="BP552" s="64">
        <f>IF(BO552=0,0,IF(N(R552)&gt;0,R552,IFERROR(VLOOKUP(D552,Parameter!$A$35:$C$64,3,0)+0,0)))</f>
        <v/>
      </c>
      <c r="BQ552" s="53">
        <f>IF(V552&lt;&gt;"",V552,U552)</f>
        <v/>
      </c>
      <c r="BR552" s="53">
        <f>IF(BQ552=1,"L1",IF(OR(BQ552=2,BQ552=3),"L23",IF(BQ552="Aussen","Aussen","-")))</f>
        <v/>
      </c>
      <c r="BS552" s="66">
        <f>IF(N(W552)&gt;0,W552,0)</f>
        <v/>
      </c>
      <c r="BT552" s="58">
        <f>IF(ISNUMBER(Z552),1,0)</f>
        <v/>
      </c>
      <c r="BU552" s="55">
        <f>N(Z552)</f>
        <v/>
      </c>
      <c r="BV552" s="55">
        <f>N(L552)+N(M552)</f>
        <v/>
      </c>
      <c r="BW552" s="55">
        <f>ROUNDUP(G552/BN552,0)</f>
        <v/>
      </c>
      <c r="BX552" s="55">
        <f>ROUNDUP(BU552/BN552,0)</f>
        <v/>
      </c>
      <c r="BY552" s="58">
        <f>IF(BO552=1,0,IFERROR(VLOOKUP(BM552,'Gebinde-Kategorie'!$A$5:$G$45,5,0)+0,0))</f>
        <v/>
      </c>
      <c r="BZ552" s="58">
        <f>IFERROR(IF(OR(BQ552=1,BQ552=2,BQ552=3),N(INDEX(Parameter!$I$5:$I$7,BQ552)),0),0)</f>
        <v/>
      </c>
    </row>
    <row r="553">
      <c r="A553" s="53" t="inlineStr">
        <is>
          <t>101453</t>
        </is>
      </c>
      <c r="B553" s="53" t="inlineStr">
        <is>
          <t>Zylinderschraube mit Innensechskant</t>
        </is>
      </c>
      <c r="C553" s="53" t="inlineStr">
        <is>
          <t>F</t>
        </is>
      </c>
      <c r="D553" s="53" t="inlineStr">
        <is>
          <t>PAL</t>
        </is>
      </c>
      <c r="E553" s="53" t="inlineStr">
        <is>
          <t>C</t>
        </is>
      </c>
      <c r="F553" s="54" t="n">
        <v>0.17</v>
      </c>
      <c r="G553" s="55">
        <f>MAX(0,IF(Parameter!$B$20="Jahresanfang 2025 + Export",BG553+BF553,BF553))</f>
        <v/>
      </c>
      <c r="H553" s="55">
        <f>G553*F553</f>
        <v/>
      </c>
      <c r="I553" s="55">
        <f>BI553*Parameter!$B$18</f>
        <v/>
      </c>
      <c r="J553" s="56" t="n">
        <v>730.5</v>
      </c>
      <c r="K553" s="57" t="n">
        <v>2.507871321013005</v>
      </c>
      <c r="L553" s="55" t="n">
        <v>340</v>
      </c>
      <c r="M553" s="55" t="n">
        <v>400</v>
      </c>
      <c r="N553" s="58" t="n">
        <v>14</v>
      </c>
      <c r="O553" s="53" t="inlineStr">
        <is>
          <t>S52</t>
        </is>
      </c>
      <c r="P553" s="55" t="n">
        <v>931</v>
      </c>
      <c r="Q553" s="59">
        <f>IF(BO553=1,0,IFERROR(VLOOKUP(BM553,'Gebinde-Kategorie'!$A$5:$G$45,6,0)+0,0))</f>
        <v/>
      </c>
      <c r="R553" s="60" t="n"/>
      <c r="S553" s="61" t="n"/>
      <c r="T553" s="61" t="n"/>
      <c r="U553" s="53">
        <f>IF(A553="","",IF(IFERROR(VLOOKUP(D553,Parameter!$A$35:$C$64,2,0),"Nein")="2+3",IF(ISNUMBER(SEARCH("grosser Artikel",BJ553)),2,IFERROR(VLOOKUP(BM553,Parameter!$F$35:$G$64,2,0),2)),IF(OR(IFERROR(VLOOKUP(D553,Parameter!$A$35:$C$64,2,0),"Nein")="Nein",IFERROR(VLOOKUP(D553,Parameter!$A$35:$C$64,2,0),"Nein")=""),"-",VLOOKUP(D553,Parameter!$A$35:$C$64,2,0))))</f>
        <v/>
      </c>
      <c r="V553" s="61" t="n"/>
      <c r="W553" s="62" t="n"/>
      <c r="X553" s="55">
        <f>AM553</f>
        <v/>
      </c>
      <c r="Y553" s="55">
        <f>MAX(AM553,G553)</f>
        <v/>
      </c>
      <c r="Z553" s="63" t="n"/>
      <c r="AA553" s="55">
        <f>IF(LEFT(Cockpit!$C$5,1)="A",G553,IF(BT553=1,BU553,IF(LEFT(Cockpit!$C$5,1)="B",AE553,MAX(AE553,G553))))</f>
        <v/>
      </c>
      <c r="AB553" s="55">
        <f>IF(BO553=1,0,ROUNDUP(AA553/BN553,0))</f>
        <v/>
      </c>
      <c r="AC553" s="64">
        <f>IF(BO553=1,IF(AA553&lt;=0,0,BP553*MAX(1,IF(G553&gt;0,AA553/G553,1))),AB553*Q553)</f>
        <v/>
      </c>
      <c r="AD553" s="55">
        <f>AA553*F553</f>
        <v/>
      </c>
      <c r="AE553" s="55">
        <f>ROUNDUP(MAX(I553/IF(BS553&gt;0,BS553,MAX(0.1,N(Cockpit!$C$6))),BV553)/BN553,0)*BN553</f>
        <v/>
      </c>
      <c r="AF553" s="56">
        <f>IF(AC553&gt;0,I553/AC553,-1)</f>
        <v/>
      </c>
      <c r="AG553" s="56">
        <f>IF(AND(OR(BR553="L1",BR553="L23"),AC553&gt;0),SUMIFS($AC$7:$AC$1570,$BR$7:$BR$1570,BR553,$AF$7:$AF$1570,"&gt;"&amp;AF553)+SUMIFS($AC$7:$AC$1570,$BR$7:$BR$1570,BR553,$AF$7:$AF$1570,AF553,$BL$7:$BL$1570,"&lt;="&amp;BL553),"")</f>
        <v/>
      </c>
      <c r="AH553" s="65">
        <f>IF(AG553="",0,MAX(0,MIN(1,(IF(BR553="L1",Parameter!$K$5,Parameter!$K$6+Parameter!$K$7)-(AG553-AC553))/AC553)))</f>
        <v/>
      </c>
      <c r="AI553" s="55">
        <f>IF(LEFT(Cockpit!$I$5,1)="A",G553,IF(BT553=1,BU553,IF(LEFT(Cockpit!$I$5,1)="B",AM553,MAX(AM553,G553))))</f>
        <v/>
      </c>
      <c r="AJ553" s="55">
        <f>IF(BO553=1,0,ROUNDUP(AI553/BN553,0))</f>
        <v/>
      </c>
      <c r="AK553" s="64">
        <f>IF(BO553=1,IF(AI553&lt;=0,0,BP553*MAX(1,IF(G553&gt;0,AI553/G553,1))),AJ553*Q553)</f>
        <v/>
      </c>
      <c r="AL553" s="55">
        <f>AI553*F553</f>
        <v/>
      </c>
      <c r="AM553" s="55">
        <f>ROUNDUP(MAX(I553/IF(BS553&gt;0,BS553,MAX(0.1,N(Cockpit!$I$6))),BV553)/BN553,0)*BN553</f>
        <v/>
      </c>
      <c r="AN553" s="56">
        <f>IF(AK553&gt;0,I553/AK553,-1)</f>
        <v/>
      </c>
      <c r="AO553" s="56">
        <f>IF(AND(OR(BR553="L1",BR553="L23"),AK553&gt;0),SUMIFS($AK$7:$AK$1570,$BR$7:$BR$1570,BR553,$AN$7:$AN$1570,"&gt;"&amp;AN553)+SUMIFS($AK$7:$AK$1570,$BR$7:$BR$1570,BR553,$AN$7:$AN$1570,AN553,$BL$7:$BL$1570,"&lt;="&amp;BL553),"")</f>
        <v/>
      </c>
      <c r="AP553" s="65">
        <f>IF(AO553="",0,MAX(0,MIN(1,(IF(BR553="L1",Parameter!$K$5,Parameter!$K$6+Parameter!$K$7)-(AO553-AK553))/AK553)))</f>
        <v/>
      </c>
      <c r="AQ553" s="55">
        <f>IF(LEFT(Cockpit!$O$5,1)="A",G553,IF(BT553=1,BU553,IF(LEFT(Cockpit!$O$5,1)="B",AU553,MAX(AU553,G553))))</f>
        <v/>
      </c>
      <c r="AR553" s="55">
        <f>IF(BO553=1,0,ROUNDUP(AQ553/BN553,0))</f>
        <v/>
      </c>
      <c r="AS553" s="64">
        <f>IF(BO553=1,IF(AQ553&lt;=0,0,BP553*MAX(1,IF(G553&gt;0,AQ553/G553,1))),AR553*Q553)</f>
        <v/>
      </c>
      <c r="AT553" s="55">
        <f>AQ553*F553</f>
        <v/>
      </c>
      <c r="AU553" s="55">
        <f>ROUNDUP(MAX(I553/IF(BS553&gt;0,BS553,MAX(0.1,N(Cockpit!$O$6))),BV553)/BN553,0)*BN553</f>
        <v/>
      </c>
      <c r="AV553" s="56">
        <f>IF(AS553&gt;0,I553/AS553,-1)</f>
        <v/>
      </c>
      <c r="AW553" s="56">
        <f>IF(AND(OR(BR553="L1",BR553="L23"),AS553&gt;0),SUMIFS($AS$7:$AS$1570,$BR$7:$BR$1570,BR553,$AV$7:$AV$1570,"&gt;"&amp;AV553)+SUMIFS($AS$7:$AS$1570,$BR$7:$BR$1570,BR553,$AV$7:$AV$1570,AV553,$BL$7:$BL$1570,"&lt;="&amp;BL553),"")</f>
        <v/>
      </c>
      <c r="AX553" s="65">
        <f>IF(AW553="",0,MAX(0,MIN(1,(IF(BR553="L1",Parameter!$K$5,Parameter!$K$6+Parameter!$K$7)-(AW553-AS553))/AS553)))</f>
        <v/>
      </c>
      <c r="AY553" s="53">
        <f>IF(AC553&lt;=0,"",IF(BR553="Aussen","Aussenlager",IF(BR553="-","Nicht im Lift",IF(AH553&gt;=1,"Lift",IF(AH553&lt;=0,"Aussenlager","teilweise")))))</f>
        <v/>
      </c>
      <c r="AZ553" s="53">
        <f>IF(AK553&lt;=0,"",IF(BR553="Aussen","Aussenlager",IF(BR553="-","Nicht im Lift",IF(AP553&gt;=1,"Lift",IF(AP553&lt;=0,"Aussenlager","teilweise")))))</f>
        <v/>
      </c>
      <c r="BA553" s="53">
        <f>IF(AS553&lt;=0,"",IF(BR553="Aussen","Aussenlager",IF(BR553="-","Nicht im Lift",IF(AX553&gt;=1,"Lift",IF(AX553&lt;=0,"Aussenlager","teilweise")))))</f>
        <v/>
      </c>
      <c r="BB553" s="53">
        <f>IF(A553="","",IF(BK553=1,"Neu; ","")&amp;IF(AND(BK553=0,BF553&lt;0),"negativer Bestand (Export "&amp;BF553&amp;"); ","")&amp;IF(I553&lt;=0,"Kein Verbrauch; ","")&amp;IF(BO553=1,"Lose – Fläche geschätzt; ","")&amp;IF(G553&gt;AM553,"Überbestand "&amp;ROUND(G553-AM553,0)&amp;" Stk / CHF "&amp;ROUND((G553-AM553)*F553,0)&amp;"; ","")&amp;IF(AND(BT553=1,BU553&lt;BV553),"MAX &lt; MB+LG; ","")&amp;IF(AND(BZ553&gt;0,BY553*10&gt;BZ553),"zu hoch für Tablar; ","")&amp;IF(AND(BK553=0,OR(BT553=1,V553&lt;&gt;"",S553&lt;&gt;"",T553&lt;&gt;"",W553&lt;&gt;"")),"manuell übersteuert; ","")&amp;IF(AND(BO553=0,Q553=0),"Gebinde unbekannt; ","")&amp;IF(AND(BO553=0,N(T553)&lt;=0,N(P553)&lt;=0),"Menge pro Gebinde fehlt (Ist = 1 Gebinde); ","")&amp;BJ553)</f>
        <v/>
      </c>
      <c r="BC553" s="53" t="n"/>
      <c r="BD553" s="53" t="n"/>
      <c r="BE553" s="61" t="n"/>
      <c r="BF553" s="55" t="n">
        <v>252</v>
      </c>
      <c r="BG553" s="55" t="n">
        <v>552</v>
      </c>
      <c r="BH553" s="54" t="n">
        <v>15.84000000000003</v>
      </c>
      <c r="BI553" s="55" t="n">
        <v>1832</v>
      </c>
      <c r="BJ553" s="53" t="inlineStr"/>
      <c r="BK553" s="58" t="n">
        <v>0</v>
      </c>
      <c r="BL553" s="58" t="n">
        <v>553</v>
      </c>
      <c r="BM553" s="53">
        <f>IF(S553&lt;&gt;"",UPPER(TRIM(S553)),IF(O553="","LOSE",O553))</f>
        <v/>
      </c>
      <c r="BN553" s="55">
        <f>IF(BM553="LOSE",1,IF(N(T553)&gt;0,T553,IF(N(P553)&gt;0,P553,MAX(1,G553))))</f>
        <v/>
      </c>
      <c r="BO553" s="58">
        <f>IF(BM553="LOSE",1,0)</f>
        <v/>
      </c>
      <c r="BP553" s="64">
        <f>IF(BO553=0,0,IF(N(R553)&gt;0,R553,IFERROR(VLOOKUP(D553,Parameter!$A$35:$C$64,3,0)+0,0)))</f>
        <v/>
      </c>
      <c r="BQ553" s="53">
        <f>IF(V553&lt;&gt;"",V553,U553)</f>
        <v/>
      </c>
      <c r="BR553" s="53">
        <f>IF(BQ553=1,"L1",IF(OR(BQ553=2,BQ553=3),"L23",IF(BQ553="Aussen","Aussen","-")))</f>
        <v/>
      </c>
      <c r="BS553" s="66">
        <f>IF(N(W553)&gt;0,W553,0)</f>
        <v/>
      </c>
      <c r="BT553" s="58">
        <f>IF(ISNUMBER(Z553),1,0)</f>
        <v/>
      </c>
      <c r="BU553" s="55">
        <f>N(Z553)</f>
        <v/>
      </c>
      <c r="BV553" s="55">
        <f>N(L553)+N(M553)</f>
        <v/>
      </c>
      <c r="BW553" s="55">
        <f>ROUNDUP(G553/BN553,0)</f>
        <v/>
      </c>
      <c r="BX553" s="55">
        <f>ROUNDUP(BU553/BN553,0)</f>
        <v/>
      </c>
      <c r="BY553" s="58">
        <f>IF(BO553=1,0,IFERROR(VLOOKUP(BM553,'Gebinde-Kategorie'!$A$5:$G$45,5,0)+0,0))</f>
        <v/>
      </c>
      <c r="BZ553" s="58">
        <f>IFERROR(IF(OR(BQ553=1,BQ553=2,BQ553=3),N(INDEX(Parameter!$I$5:$I$7,BQ553)),0),0)</f>
        <v/>
      </c>
    </row>
    <row r="554">
      <c r="A554" s="53" t="inlineStr">
        <is>
          <t>106291</t>
        </is>
      </c>
      <c r="B554" s="53" t="inlineStr">
        <is>
          <t>Zylinderschraube mit Innensechskant</t>
        </is>
      </c>
      <c r="C554" s="53" t="inlineStr">
        <is>
          <t>F</t>
        </is>
      </c>
      <c r="D554" s="53" t="inlineStr">
        <is>
          <t>KTL</t>
        </is>
      </c>
      <c r="E554" s="53" t="inlineStr">
        <is>
          <t>C</t>
        </is>
      </c>
      <c r="F554" s="54" t="n">
        <v>1.89</v>
      </c>
      <c r="G554" s="55">
        <f>MAX(0,IF(Parameter!$B$20="Jahresanfang 2025 + Export",BG554+BF554,BF554))</f>
        <v/>
      </c>
      <c r="H554" s="55">
        <f>G554*F554</f>
        <v/>
      </c>
      <c r="I554" s="55">
        <f>BI554*Parameter!$B$18</f>
        <v/>
      </c>
      <c r="J554" s="56" t="n">
        <v>193</v>
      </c>
      <c r="K554" s="57" t="n">
        <v>0</v>
      </c>
      <c r="L554" s="55" t="n">
        <v>0</v>
      </c>
      <c r="M554" s="55" t="n">
        <v>1</v>
      </c>
      <c r="N554" s="58" t="n">
        <v>14</v>
      </c>
      <c r="O554" s="53" t="inlineStr">
        <is>
          <t>S52</t>
        </is>
      </c>
      <c r="P554" s="55" t="n">
        <v>250</v>
      </c>
      <c r="Q554" s="59">
        <f>IF(BO554=1,0,IFERROR(VLOOKUP(BM554,'Gebinde-Kategorie'!$A$5:$G$45,6,0)+0,0))</f>
        <v/>
      </c>
      <c r="R554" s="60" t="n"/>
      <c r="S554" s="61" t="n"/>
      <c r="T554" s="61" t="n"/>
      <c r="U554" s="53">
        <f>IF(A554="","",IF(IFERROR(VLOOKUP(D554,Parameter!$A$35:$C$64,2,0),"Nein")="2+3",IF(ISNUMBER(SEARCH("grosser Artikel",BJ554)),2,IFERROR(VLOOKUP(BM554,Parameter!$F$35:$G$64,2,0),2)),IF(OR(IFERROR(VLOOKUP(D554,Parameter!$A$35:$C$64,2,0),"Nein")="Nein",IFERROR(VLOOKUP(D554,Parameter!$A$35:$C$64,2,0),"Nein")=""),"-",VLOOKUP(D554,Parameter!$A$35:$C$64,2,0))))</f>
        <v/>
      </c>
      <c r="V554" s="61" t="n"/>
      <c r="W554" s="62" t="n"/>
      <c r="X554" s="55">
        <f>AM554</f>
        <v/>
      </c>
      <c r="Y554" s="55">
        <f>MAX(AM554,G554)</f>
        <v/>
      </c>
      <c r="Z554" s="63" t="n"/>
      <c r="AA554" s="55">
        <f>IF(LEFT(Cockpit!$C$5,1)="A",G554,IF(BT554=1,BU554,IF(LEFT(Cockpit!$C$5,1)="B",AE554,MAX(AE554,G554))))</f>
        <v/>
      </c>
      <c r="AB554" s="55">
        <f>IF(BO554=1,0,ROUNDUP(AA554/BN554,0))</f>
        <v/>
      </c>
      <c r="AC554" s="64">
        <f>IF(BO554=1,IF(AA554&lt;=0,0,BP554*MAX(1,IF(G554&gt;0,AA554/G554,1))),AB554*Q554)</f>
        <v/>
      </c>
      <c r="AD554" s="55">
        <f>AA554*F554</f>
        <v/>
      </c>
      <c r="AE554" s="55">
        <f>ROUNDUP(MAX(I554/IF(BS554&gt;0,BS554,MAX(0.1,N(Cockpit!$C$6))),BV554)/BN554,0)*BN554</f>
        <v/>
      </c>
      <c r="AF554" s="56">
        <f>IF(AC554&gt;0,I554/AC554,-1)</f>
        <v/>
      </c>
      <c r="AG554" s="56">
        <f>IF(AND(OR(BR554="L1",BR554="L23"),AC554&gt;0),SUMIFS($AC$7:$AC$1570,$BR$7:$BR$1570,BR554,$AF$7:$AF$1570,"&gt;"&amp;AF554)+SUMIFS($AC$7:$AC$1570,$BR$7:$BR$1570,BR554,$AF$7:$AF$1570,AF554,$BL$7:$BL$1570,"&lt;="&amp;BL554),"")</f>
        <v/>
      </c>
      <c r="AH554" s="65">
        <f>IF(AG554="",0,MAX(0,MIN(1,(IF(BR554="L1",Parameter!$K$5,Parameter!$K$6+Parameter!$K$7)-(AG554-AC554))/AC554)))</f>
        <v/>
      </c>
      <c r="AI554" s="55">
        <f>IF(LEFT(Cockpit!$I$5,1)="A",G554,IF(BT554=1,BU554,IF(LEFT(Cockpit!$I$5,1)="B",AM554,MAX(AM554,G554))))</f>
        <v/>
      </c>
      <c r="AJ554" s="55">
        <f>IF(BO554=1,0,ROUNDUP(AI554/BN554,0))</f>
        <v/>
      </c>
      <c r="AK554" s="64">
        <f>IF(BO554=1,IF(AI554&lt;=0,0,BP554*MAX(1,IF(G554&gt;0,AI554/G554,1))),AJ554*Q554)</f>
        <v/>
      </c>
      <c r="AL554" s="55">
        <f>AI554*F554</f>
        <v/>
      </c>
      <c r="AM554" s="55">
        <f>ROUNDUP(MAX(I554/IF(BS554&gt;0,BS554,MAX(0.1,N(Cockpit!$I$6))),BV554)/BN554,0)*BN554</f>
        <v/>
      </c>
      <c r="AN554" s="56">
        <f>IF(AK554&gt;0,I554/AK554,-1)</f>
        <v/>
      </c>
      <c r="AO554" s="56">
        <f>IF(AND(OR(BR554="L1",BR554="L23"),AK554&gt;0),SUMIFS($AK$7:$AK$1570,$BR$7:$BR$1570,BR554,$AN$7:$AN$1570,"&gt;"&amp;AN554)+SUMIFS($AK$7:$AK$1570,$BR$7:$BR$1570,BR554,$AN$7:$AN$1570,AN554,$BL$7:$BL$1570,"&lt;="&amp;BL554),"")</f>
        <v/>
      </c>
      <c r="AP554" s="65">
        <f>IF(AO554="",0,MAX(0,MIN(1,(IF(BR554="L1",Parameter!$K$5,Parameter!$K$6+Parameter!$K$7)-(AO554-AK554))/AK554)))</f>
        <v/>
      </c>
      <c r="AQ554" s="55">
        <f>IF(LEFT(Cockpit!$O$5,1)="A",G554,IF(BT554=1,BU554,IF(LEFT(Cockpit!$O$5,1)="B",AU554,MAX(AU554,G554))))</f>
        <v/>
      </c>
      <c r="AR554" s="55">
        <f>IF(BO554=1,0,ROUNDUP(AQ554/BN554,0))</f>
        <v/>
      </c>
      <c r="AS554" s="64">
        <f>IF(BO554=1,IF(AQ554&lt;=0,0,BP554*MAX(1,IF(G554&gt;0,AQ554/G554,1))),AR554*Q554)</f>
        <v/>
      </c>
      <c r="AT554" s="55">
        <f>AQ554*F554</f>
        <v/>
      </c>
      <c r="AU554" s="55">
        <f>ROUNDUP(MAX(I554/IF(BS554&gt;0,BS554,MAX(0.1,N(Cockpit!$O$6))),BV554)/BN554,0)*BN554</f>
        <v/>
      </c>
      <c r="AV554" s="56">
        <f>IF(AS554&gt;0,I554/AS554,-1)</f>
        <v/>
      </c>
      <c r="AW554" s="56">
        <f>IF(AND(OR(BR554="L1",BR554="L23"),AS554&gt;0),SUMIFS($AS$7:$AS$1570,$BR$7:$BR$1570,BR554,$AV$7:$AV$1570,"&gt;"&amp;AV554)+SUMIFS($AS$7:$AS$1570,$BR$7:$BR$1570,BR554,$AV$7:$AV$1570,AV554,$BL$7:$BL$1570,"&lt;="&amp;BL554),"")</f>
        <v/>
      </c>
      <c r="AX554" s="65">
        <f>IF(AW554="",0,MAX(0,MIN(1,(IF(BR554="L1",Parameter!$K$5,Parameter!$K$6+Parameter!$K$7)-(AW554-AS554))/AS554)))</f>
        <v/>
      </c>
      <c r="AY554" s="53">
        <f>IF(AC554&lt;=0,"",IF(BR554="Aussen","Aussenlager",IF(BR554="-","Nicht im Lift",IF(AH554&gt;=1,"Lift",IF(AH554&lt;=0,"Aussenlager","teilweise")))))</f>
        <v/>
      </c>
      <c r="AZ554" s="53">
        <f>IF(AK554&lt;=0,"",IF(BR554="Aussen","Aussenlager",IF(BR554="-","Nicht im Lift",IF(AP554&gt;=1,"Lift",IF(AP554&lt;=0,"Aussenlager","teilweise")))))</f>
        <v/>
      </c>
      <c r="BA554" s="53">
        <f>IF(AS554&lt;=0,"",IF(BR554="Aussen","Aussenlager",IF(BR554="-","Nicht im Lift",IF(AX554&gt;=1,"Lift",IF(AX554&lt;=0,"Aussenlager","teilweise")))))</f>
        <v/>
      </c>
      <c r="BB554" s="53">
        <f>IF(A554="","",IF(BK554=1,"Neu; ","")&amp;IF(AND(BK554=0,BF554&lt;0),"negativer Bestand (Export "&amp;BF554&amp;"); ","")&amp;IF(I554&lt;=0,"Kein Verbrauch; ","")&amp;IF(BO554=1,"Lose – Fläche geschätzt; ","")&amp;IF(G554&gt;AM554,"Überbestand "&amp;ROUND(G554-AM554,0)&amp;" Stk / CHF "&amp;ROUND((G554-AM554)*F554,0)&amp;"; ","")&amp;IF(AND(BT554=1,BU554&lt;BV554),"MAX &lt; MB+LG; ","")&amp;IF(AND(BZ554&gt;0,BY554*10&gt;BZ554),"zu hoch für Tablar; ","")&amp;IF(AND(BK554=0,OR(BT554=1,V554&lt;&gt;"",S554&lt;&gt;"",T554&lt;&gt;"",W554&lt;&gt;"")),"manuell übersteuert; ","")&amp;IF(AND(BO554=0,Q554=0),"Gebinde unbekannt; ","")&amp;IF(AND(BO554=0,N(T554)&lt;=0,N(P554)&lt;=0),"Menge pro Gebinde fehlt (Ist = 1 Gebinde); ","")&amp;BJ554)</f>
        <v/>
      </c>
      <c r="BC554" s="53" t="n"/>
      <c r="BD554" s="53" t="n"/>
      <c r="BE554" s="61" t="n"/>
      <c r="BF554" s="55" t="n">
        <v>8</v>
      </c>
      <c r="BG554" s="55" t="n">
        <v>189</v>
      </c>
      <c r="BH554" s="54" t="n">
        <v>15.12</v>
      </c>
      <c r="BI554" s="55" t="n">
        <v>0</v>
      </c>
      <c r="BJ554" s="53" t="inlineStr"/>
      <c r="BK554" s="58" t="n">
        <v>0</v>
      </c>
      <c r="BL554" s="58" t="n">
        <v>554</v>
      </c>
      <c r="BM554" s="53">
        <f>IF(S554&lt;&gt;"",UPPER(TRIM(S554)),IF(O554="","LOSE",O554))</f>
        <v/>
      </c>
      <c r="BN554" s="55">
        <f>IF(BM554="LOSE",1,IF(N(T554)&gt;0,T554,IF(N(P554)&gt;0,P554,MAX(1,G554))))</f>
        <v/>
      </c>
      <c r="BO554" s="58">
        <f>IF(BM554="LOSE",1,0)</f>
        <v/>
      </c>
      <c r="BP554" s="64">
        <f>IF(BO554=0,0,IF(N(R554)&gt;0,R554,IFERROR(VLOOKUP(D554,Parameter!$A$35:$C$64,3,0)+0,0)))</f>
        <v/>
      </c>
      <c r="BQ554" s="53">
        <f>IF(V554&lt;&gt;"",V554,U554)</f>
        <v/>
      </c>
      <c r="BR554" s="53">
        <f>IF(BQ554=1,"L1",IF(OR(BQ554=2,BQ554=3),"L23",IF(BQ554="Aussen","Aussen","-")))</f>
        <v/>
      </c>
      <c r="BS554" s="66">
        <f>IF(N(W554)&gt;0,W554,0)</f>
        <v/>
      </c>
      <c r="BT554" s="58">
        <f>IF(ISNUMBER(Z554),1,0)</f>
        <v/>
      </c>
      <c r="BU554" s="55">
        <f>N(Z554)</f>
        <v/>
      </c>
      <c r="BV554" s="55">
        <f>N(L554)+N(M554)</f>
        <v/>
      </c>
      <c r="BW554" s="55">
        <f>ROUNDUP(G554/BN554,0)</f>
        <v/>
      </c>
      <c r="BX554" s="55">
        <f>ROUNDUP(BU554/BN554,0)</f>
        <v/>
      </c>
      <c r="BY554" s="58">
        <f>IF(BO554=1,0,IFERROR(VLOOKUP(BM554,'Gebinde-Kategorie'!$A$5:$G$45,5,0)+0,0))</f>
        <v/>
      </c>
      <c r="BZ554" s="58">
        <f>IFERROR(IF(OR(BQ554=1,BQ554=2,BQ554=3),N(INDEX(Parameter!$I$5:$I$7,BQ554)),0),0)</f>
        <v/>
      </c>
    </row>
    <row r="555">
      <c r="A555" s="53" t="inlineStr">
        <is>
          <t>109180</t>
        </is>
      </c>
      <c r="B555" s="53" t="inlineStr">
        <is>
          <t>Adapter Bündelanschluss Stickstoff</t>
        </is>
      </c>
      <c r="C555" s="53" t="inlineStr">
        <is>
          <t>F</t>
        </is>
      </c>
      <c r="D555" s="53" t="inlineStr">
        <is>
          <t>KTL</t>
        </is>
      </c>
      <c r="E555" s="53" t="inlineStr">
        <is>
          <t>C</t>
        </is>
      </c>
      <c r="F555" s="54" t="n">
        <v>73.45999999999999</v>
      </c>
      <c r="G555" s="55">
        <f>MAX(0,IF(Parameter!$B$20="Jahresanfang 2025 + Export",BG555+BF555,BF555))</f>
        <v/>
      </c>
      <c r="H555" s="55">
        <f>G555*F555</f>
        <v/>
      </c>
      <c r="I555" s="55">
        <f>BI555*Parameter!$B$18</f>
        <v/>
      </c>
      <c r="J555" s="56" t="n">
        <v>4.5</v>
      </c>
      <c r="K555" s="57" t="n">
        <v>0.2222222222222222</v>
      </c>
      <c r="L555" s="55" t="n">
        <v>0</v>
      </c>
      <c r="M555" s="55" t="n">
        <v>1</v>
      </c>
      <c r="N555" s="58" t="n">
        <v>35</v>
      </c>
      <c r="O555" s="53" t="inlineStr">
        <is>
          <t>S22</t>
        </is>
      </c>
      <c r="P555" s="55" t="n">
        <v>6</v>
      </c>
      <c r="Q555" s="59">
        <f>IF(BO555=1,0,IFERROR(VLOOKUP(BM555,'Gebinde-Kategorie'!$A$5:$G$45,6,0)+0,0))</f>
        <v/>
      </c>
      <c r="R555" s="60" t="n"/>
      <c r="S555" s="61" t="n"/>
      <c r="T555" s="61" t="n"/>
      <c r="U555" s="53">
        <f>IF(A555="","",IF(IFERROR(VLOOKUP(D555,Parameter!$A$35:$C$64,2,0),"Nein")="2+3",IF(ISNUMBER(SEARCH("grosser Artikel",BJ555)),2,IFERROR(VLOOKUP(BM555,Parameter!$F$35:$G$64,2,0),2)),IF(OR(IFERROR(VLOOKUP(D555,Parameter!$A$35:$C$64,2,0),"Nein")="Nein",IFERROR(VLOOKUP(D555,Parameter!$A$35:$C$64,2,0),"Nein")=""),"-",VLOOKUP(D555,Parameter!$A$35:$C$64,2,0))))</f>
        <v/>
      </c>
      <c r="V555" s="61" t="n"/>
      <c r="W555" s="62" t="n"/>
      <c r="X555" s="55">
        <f>AM555</f>
        <v/>
      </c>
      <c r="Y555" s="55">
        <f>MAX(AM555,G555)</f>
        <v/>
      </c>
      <c r="Z555" s="63" t="n"/>
      <c r="AA555" s="55">
        <f>IF(LEFT(Cockpit!$C$5,1)="A",G555,IF(BT555=1,BU555,IF(LEFT(Cockpit!$C$5,1)="B",AE555,MAX(AE555,G555))))</f>
        <v/>
      </c>
      <c r="AB555" s="55">
        <f>IF(BO555=1,0,ROUNDUP(AA555/BN555,0))</f>
        <v/>
      </c>
      <c r="AC555" s="64">
        <f>IF(BO555=1,IF(AA555&lt;=0,0,BP555*MAX(1,IF(G555&gt;0,AA555/G555,1))),AB555*Q555)</f>
        <v/>
      </c>
      <c r="AD555" s="55">
        <f>AA555*F555</f>
        <v/>
      </c>
      <c r="AE555" s="55">
        <f>ROUNDUP(MAX(I555/IF(BS555&gt;0,BS555,MAX(0.1,N(Cockpit!$C$6))),BV555)/BN555,0)*BN555</f>
        <v/>
      </c>
      <c r="AF555" s="56">
        <f>IF(AC555&gt;0,I555/AC555,-1)</f>
        <v/>
      </c>
      <c r="AG555" s="56">
        <f>IF(AND(OR(BR555="L1",BR555="L23"),AC555&gt;0),SUMIFS($AC$7:$AC$1570,$BR$7:$BR$1570,BR555,$AF$7:$AF$1570,"&gt;"&amp;AF555)+SUMIFS($AC$7:$AC$1570,$BR$7:$BR$1570,BR555,$AF$7:$AF$1570,AF555,$BL$7:$BL$1570,"&lt;="&amp;BL555),"")</f>
        <v/>
      </c>
      <c r="AH555" s="65">
        <f>IF(AG555="",0,MAX(0,MIN(1,(IF(BR555="L1",Parameter!$K$5,Parameter!$K$6+Parameter!$K$7)-(AG555-AC555))/AC555)))</f>
        <v/>
      </c>
      <c r="AI555" s="55">
        <f>IF(LEFT(Cockpit!$I$5,1)="A",G555,IF(BT555=1,BU555,IF(LEFT(Cockpit!$I$5,1)="B",AM555,MAX(AM555,G555))))</f>
        <v/>
      </c>
      <c r="AJ555" s="55">
        <f>IF(BO555=1,0,ROUNDUP(AI555/BN555,0))</f>
        <v/>
      </c>
      <c r="AK555" s="64">
        <f>IF(BO555=1,IF(AI555&lt;=0,0,BP555*MAX(1,IF(G555&gt;0,AI555/G555,1))),AJ555*Q555)</f>
        <v/>
      </c>
      <c r="AL555" s="55">
        <f>AI555*F555</f>
        <v/>
      </c>
      <c r="AM555" s="55">
        <f>ROUNDUP(MAX(I555/IF(BS555&gt;0,BS555,MAX(0.1,N(Cockpit!$I$6))),BV555)/BN555,0)*BN555</f>
        <v/>
      </c>
      <c r="AN555" s="56">
        <f>IF(AK555&gt;0,I555/AK555,-1)</f>
        <v/>
      </c>
      <c r="AO555" s="56">
        <f>IF(AND(OR(BR555="L1",BR555="L23"),AK555&gt;0),SUMIFS($AK$7:$AK$1570,$BR$7:$BR$1570,BR555,$AN$7:$AN$1570,"&gt;"&amp;AN555)+SUMIFS($AK$7:$AK$1570,$BR$7:$BR$1570,BR555,$AN$7:$AN$1570,AN555,$BL$7:$BL$1570,"&lt;="&amp;BL555),"")</f>
        <v/>
      </c>
      <c r="AP555" s="65">
        <f>IF(AO555="",0,MAX(0,MIN(1,(IF(BR555="L1",Parameter!$K$5,Parameter!$K$6+Parameter!$K$7)-(AO555-AK555))/AK555)))</f>
        <v/>
      </c>
      <c r="AQ555" s="55">
        <f>IF(LEFT(Cockpit!$O$5,1)="A",G555,IF(BT555=1,BU555,IF(LEFT(Cockpit!$O$5,1)="B",AU555,MAX(AU555,G555))))</f>
        <v/>
      </c>
      <c r="AR555" s="55">
        <f>IF(BO555=1,0,ROUNDUP(AQ555/BN555,0))</f>
        <v/>
      </c>
      <c r="AS555" s="64">
        <f>IF(BO555=1,IF(AQ555&lt;=0,0,BP555*MAX(1,IF(G555&gt;0,AQ555/G555,1))),AR555*Q555)</f>
        <v/>
      </c>
      <c r="AT555" s="55">
        <f>AQ555*F555</f>
        <v/>
      </c>
      <c r="AU555" s="55">
        <f>ROUNDUP(MAX(I555/IF(BS555&gt;0,BS555,MAX(0.1,N(Cockpit!$O$6))),BV555)/BN555,0)*BN555</f>
        <v/>
      </c>
      <c r="AV555" s="56">
        <f>IF(AS555&gt;0,I555/AS555,-1)</f>
        <v/>
      </c>
      <c r="AW555" s="56">
        <f>IF(AND(OR(BR555="L1",BR555="L23"),AS555&gt;0),SUMIFS($AS$7:$AS$1570,$BR$7:$BR$1570,BR555,$AV$7:$AV$1570,"&gt;"&amp;AV555)+SUMIFS($AS$7:$AS$1570,$BR$7:$BR$1570,BR555,$AV$7:$AV$1570,AV555,$BL$7:$BL$1570,"&lt;="&amp;BL555),"")</f>
        <v/>
      </c>
      <c r="AX555" s="65">
        <f>IF(AW555="",0,MAX(0,MIN(1,(IF(BR555="L1",Parameter!$K$5,Parameter!$K$6+Parameter!$K$7)-(AW555-AS555))/AS555)))</f>
        <v/>
      </c>
      <c r="AY555" s="53">
        <f>IF(AC555&lt;=0,"",IF(BR555="Aussen","Aussenlager",IF(BR555="-","Nicht im Lift",IF(AH555&gt;=1,"Lift",IF(AH555&lt;=0,"Aussenlager","teilweise")))))</f>
        <v/>
      </c>
      <c r="AZ555" s="53">
        <f>IF(AK555&lt;=0,"",IF(BR555="Aussen","Aussenlager",IF(BR555="-","Nicht im Lift",IF(AP555&gt;=1,"Lift",IF(AP555&lt;=0,"Aussenlager","teilweise")))))</f>
        <v/>
      </c>
      <c r="BA555" s="53">
        <f>IF(AS555&lt;=0,"",IF(BR555="Aussen","Aussenlager",IF(BR555="-","Nicht im Lift",IF(AX555&gt;=1,"Lift",IF(AX555&lt;=0,"Aussenlager","teilweise")))))</f>
        <v/>
      </c>
      <c r="BB555" s="53">
        <f>IF(A555="","",IF(BK555=1,"Neu; ","")&amp;IF(AND(BK555=0,BF555&lt;0),"negativer Bestand (Export "&amp;BF555&amp;"); ","")&amp;IF(I555&lt;=0,"Kein Verbrauch; ","")&amp;IF(BO555=1,"Lose – Fläche geschätzt; ","")&amp;IF(G555&gt;AM555,"Überbestand "&amp;ROUND(G555-AM555,0)&amp;" Stk / CHF "&amp;ROUND((G555-AM555)*F555,0)&amp;"; ","")&amp;IF(AND(BT555=1,BU555&lt;BV555),"MAX &lt; MB+LG; ","")&amp;IF(AND(BZ555&gt;0,BY555*10&gt;BZ555),"zu hoch für Tablar; ","")&amp;IF(AND(BK555=0,OR(BT555=1,V555&lt;&gt;"",S555&lt;&gt;"",T555&lt;&gt;"",W555&lt;&gt;"")),"manuell übersteuert; ","")&amp;IF(AND(BO555=0,Q555=0),"Gebinde unbekannt; ","")&amp;IF(AND(BO555=0,N(T555)&lt;=0,N(P555)&lt;=0),"Menge pro Gebinde fehlt (Ist = 1 Gebinde); ","")&amp;BJ555)</f>
        <v/>
      </c>
      <c r="BC555" s="53" t="n"/>
      <c r="BD555" s="53" t="n"/>
      <c r="BE555" s="61" t="n"/>
      <c r="BF555" s="55" t="n">
        <v>0</v>
      </c>
      <c r="BG555" s="55" t="n">
        <v>5</v>
      </c>
      <c r="BH555" s="54" t="n">
        <v>15.05</v>
      </c>
      <c r="BI555" s="55" t="n">
        <v>1</v>
      </c>
      <c r="BJ555" s="53" t="inlineStr"/>
      <c r="BK555" s="58" t="n">
        <v>0</v>
      </c>
      <c r="BL555" s="58" t="n">
        <v>555</v>
      </c>
      <c r="BM555" s="53">
        <f>IF(S555&lt;&gt;"",UPPER(TRIM(S555)),IF(O555="","LOSE",O555))</f>
        <v/>
      </c>
      <c r="BN555" s="55">
        <f>IF(BM555="LOSE",1,IF(N(T555)&gt;0,T555,IF(N(P555)&gt;0,P555,MAX(1,G555))))</f>
        <v/>
      </c>
      <c r="BO555" s="58">
        <f>IF(BM555="LOSE",1,0)</f>
        <v/>
      </c>
      <c r="BP555" s="64">
        <f>IF(BO555=0,0,IF(N(R555)&gt;0,R555,IFERROR(VLOOKUP(D555,Parameter!$A$35:$C$64,3,0)+0,0)))</f>
        <v/>
      </c>
      <c r="BQ555" s="53">
        <f>IF(V555&lt;&gt;"",V555,U555)</f>
        <v/>
      </c>
      <c r="BR555" s="53">
        <f>IF(BQ555=1,"L1",IF(OR(BQ555=2,BQ555=3),"L23",IF(BQ555="Aussen","Aussen","-")))</f>
        <v/>
      </c>
      <c r="BS555" s="66">
        <f>IF(N(W555)&gt;0,W555,0)</f>
        <v/>
      </c>
      <c r="BT555" s="58">
        <f>IF(ISNUMBER(Z555),1,0)</f>
        <v/>
      </c>
      <c r="BU555" s="55">
        <f>N(Z555)</f>
        <v/>
      </c>
      <c r="BV555" s="55">
        <f>N(L555)+N(M555)</f>
        <v/>
      </c>
      <c r="BW555" s="55">
        <f>ROUNDUP(G555/BN555,0)</f>
        <v/>
      </c>
      <c r="BX555" s="55">
        <f>ROUNDUP(BU555/BN555,0)</f>
        <v/>
      </c>
      <c r="BY555" s="58">
        <f>IF(BO555=1,0,IFERROR(VLOOKUP(BM555,'Gebinde-Kategorie'!$A$5:$G$45,5,0)+0,0))</f>
        <v/>
      </c>
      <c r="BZ555" s="58">
        <f>IFERROR(IF(OR(BQ555=1,BQ555=2,BQ555=3),N(INDEX(Parameter!$I$5:$I$7,BQ555)),0),0)</f>
        <v/>
      </c>
    </row>
    <row r="556">
      <c r="A556" s="53" t="inlineStr">
        <is>
          <t>111057</t>
        </is>
      </c>
      <c r="B556" s="53" t="inlineStr">
        <is>
          <t>Stossverbinder</t>
        </is>
      </c>
      <c r="C556" s="53" t="inlineStr">
        <is>
          <t>F</t>
        </is>
      </c>
      <c r="D556" s="53" t="inlineStr">
        <is>
          <t>KTL</t>
        </is>
      </c>
      <c r="E556" s="53" t="inlineStr">
        <is>
          <t>C</t>
        </is>
      </c>
      <c r="F556" s="54" t="n">
        <v>1.06</v>
      </c>
      <c r="G556" s="55">
        <f>MAX(0,IF(Parameter!$B$20="Jahresanfang 2025 + Export",BG556+BF556,BF556))</f>
        <v/>
      </c>
      <c r="H556" s="55">
        <f>G556*F556</f>
        <v/>
      </c>
      <c r="I556" s="55">
        <f>BI556*Parameter!$B$18</f>
        <v/>
      </c>
      <c r="J556" s="56" t="n">
        <v>10</v>
      </c>
      <c r="K556" s="57" t="n">
        <v>0</v>
      </c>
      <c r="L556" s="55" t="n">
        <v>0</v>
      </c>
      <c r="M556" s="55" t="n">
        <v>1</v>
      </c>
      <c r="N556" s="58" t="n">
        <v>31</v>
      </c>
      <c r="O556" s="53" t="inlineStr">
        <is>
          <t>S21</t>
        </is>
      </c>
      <c r="P556" s="55" t="n">
        <v>20</v>
      </c>
      <c r="Q556" s="59">
        <f>IF(BO556=1,0,IFERROR(VLOOKUP(BM556,'Gebinde-Kategorie'!$A$5:$G$45,6,0)+0,0))</f>
        <v/>
      </c>
      <c r="R556" s="60" t="n"/>
      <c r="S556" s="61" t="n"/>
      <c r="T556" s="61" t="n"/>
      <c r="U556" s="53">
        <f>IF(A556="","",IF(IFERROR(VLOOKUP(D556,Parameter!$A$35:$C$64,2,0),"Nein")="2+3",IF(ISNUMBER(SEARCH("grosser Artikel",BJ556)),2,IFERROR(VLOOKUP(BM556,Parameter!$F$35:$G$64,2,0),2)),IF(OR(IFERROR(VLOOKUP(D556,Parameter!$A$35:$C$64,2,0),"Nein")="Nein",IFERROR(VLOOKUP(D556,Parameter!$A$35:$C$64,2,0),"Nein")=""),"-",VLOOKUP(D556,Parameter!$A$35:$C$64,2,0))))</f>
        <v/>
      </c>
      <c r="V556" s="61" t="n"/>
      <c r="W556" s="62" t="n"/>
      <c r="X556" s="55">
        <f>AM556</f>
        <v/>
      </c>
      <c r="Y556" s="55">
        <f>MAX(AM556,G556)</f>
        <v/>
      </c>
      <c r="Z556" s="63" t="n"/>
      <c r="AA556" s="55">
        <f>IF(LEFT(Cockpit!$C$5,1)="A",G556,IF(BT556=1,BU556,IF(LEFT(Cockpit!$C$5,1)="B",AE556,MAX(AE556,G556))))</f>
        <v/>
      </c>
      <c r="AB556" s="55">
        <f>IF(BO556=1,0,ROUNDUP(AA556/BN556,0))</f>
        <v/>
      </c>
      <c r="AC556" s="64">
        <f>IF(BO556=1,IF(AA556&lt;=0,0,BP556*MAX(1,IF(G556&gt;0,AA556/G556,1))),AB556*Q556)</f>
        <v/>
      </c>
      <c r="AD556" s="55">
        <f>AA556*F556</f>
        <v/>
      </c>
      <c r="AE556" s="55">
        <f>ROUNDUP(MAX(I556/IF(BS556&gt;0,BS556,MAX(0.1,N(Cockpit!$C$6))),BV556)/BN556,0)*BN556</f>
        <v/>
      </c>
      <c r="AF556" s="56">
        <f>IF(AC556&gt;0,I556/AC556,-1)</f>
        <v/>
      </c>
      <c r="AG556" s="56">
        <f>IF(AND(OR(BR556="L1",BR556="L23"),AC556&gt;0),SUMIFS($AC$7:$AC$1570,$BR$7:$BR$1570,BR556,$AF$7:$AF$1570,"&gt;"&amp;AF556)+SUMIFS($AC$7:$AC$1570,$BR$7:$BR$1570,BR556,$AF$7:$AF$1570,AF556,$BL$7:$BL$1570,"&lt;="&amp;BL556),"")</f>
        <v/>
      </c>
      <c r="AH556" s="65">
        <f>IF(AG556="",0,MAX(0,MIN(1,(IF(BR556="L1",Parameter!$K$5,Parameter!$K$6+Parameter!$K$7)-(AG556-AC556))/AC556)))</f>
        <v/>
      </c>
      <c r="AI556" s="55">
        <f>IF(LEFT(Cockpit!$I$5,1)="A",G556,IF(BT556=1,BU556,IF(LEFT(Cockpit!$I$5,1)="B",AM556,MAX(AM556,G556))))</f>
        <v/>
      </c>
      <c r="AJ556" s="55">
        <f>IF(BO556=1,0,ROUNDUP(AI556/BN556,0))</f>
        <v/>
      </c>
      <c r="AK556" s="64">
        <f>IF(BO556=1,IF(AI556&lt;=0,0,BP556*MAX(1,IF(G556&gt;0,AI556/G556,1))),AJ556*Q556)</f>
        <v/>
      </c>
      <c r="AL556" s="55">
        <f>AI556*F556</f>
        <v/>
      </c>
      <c r="AM556" s="55">
        <f>ROUNDUP(MAX(I556/IF(BS556&gt;0,BS556,MAX(0.1,N(Cockpit!$I$6))),BV556)/BN556,0)*BN556</f>
        <v/>
      </c>
      <c r="AN556" s="56">
        <f>IF(AK556&gt;0,I556/AK556,-1)</f>
        <v/>
      </c>
      <c r="AO556" s="56">
        <f>IF(AND(OR(BR556="L1",BR556="L23"),AK556&gt;0),SUMIFS($AK$7:$AK$1570,$BR$7:$BR$1570,BR556,$AN$7:$AN$1570,"&gt;"&amp;AN556)+SUMIFS($AK$7:$AK$1570,$BR$7:$BR$1570,BR556,$AN$7:$AN$1570,AN556,$BL$7:$BL$1570,"&lt;="&amp;BL556),"")</f>
        <v/>
      </c>
      <c r="AP556" s="65">
        <f>IF(AO556="",0,MAX(0,MIN(1,(IF(BR556="L1",Parameter!$K$5,Parameter!$K$6+Parameter!$K$7)-(AO556-AK556))/AK556)))</f>
        <v/>
      </c>
      <c r="AQ556" s="55">
        <f>IF(LEFT(Cockpit!$O$5,1)="A",G556,IF(BT556=1,BU556,IF(LEFT(Cockpit!$O$5,1)="B",AU556,MAX(AU556,G556))))</f>
        <v/>
      </c>
      <c r="AR556" s="55">
        <f>IF(BO556=1,0,ROUNDUP(AQ556/BN556,0))</f>
        <v/>
      </c>
      <c r="AS556" s="64">
        <f>IF(BO556=1,IF(AQ556&lt;=0,0,BP556*MAX(1,IF(G556&gt;0,AQ556/G556,1))),AR556*Q556)</f>
        <v/>
      </c>
      <c r="AT556" s="55">
        <f>AQ556*F556</f>
        <v/>
      </c>
      <c r="AU556" s="55">
        <f>ROUNDUP(MAX(I556/IF(BS556&gt;0,BS556,MAX(0.1,N(Cockpit!$O$6))),BV556)/BN556,0)*BN556</f>
        <v/>
      </c>
      <c r="AV556" s="56">
        <f>IF(AS556&gt;0,I556/AS556,-1)</f>
        <v/>
      </c>
      <c r="AW556" s="56">
        <f>IF(AND(OR(BR556="L1",BR556="L23"),AS556&gt;0),SUMIFS($AS$7:$AS$1570,$BR$7:$BR$1570,BR556,$AV$7:$AV$1570,"&gt;"&amp;AV556)+SUMIFS($AS$7:$AS$1570,$BR$7:$BR$1570,BR556,$AV$7:$AV$1570,AV556,$BL$7:$BL$1570,"&lt;="&amp;BL556),"")</f>
        <v/>
      </c>
      <c r="AX556" s="65">
        <f>IF(AW556="",0,MAX(0,MIN(1,(IF(BR556="L1",Parameter!$K$5,Parameter!$K$6+Parameter!$K$7)-(AW556-AS556))/AS556)))</f>
        <v/>
      </c>
      <c r="AY556" s="53">
        <f>IF(AC556&lt;=0,"",IF(BR556="Aussen","Aussenlager",IF(BR556="-","Nicht im Lift",IF(AH556&gt;=1,"Lift",IF(AH556&lt;=0,"Aussenlager","teilweise")))))</f>
        <v/>
      </c>
      <c r="AZ556" s="53">
        <f>IF(AK556&lt;=0,"",IF(BR556="Aussen","Aussenlager",IF(BR556="-","Nicht im Lift",IF(AP556&gt;=1,"Lift",IF(AP556&lt;=0,"Aussenlager","teilweise")))))</f>
        <v/>
      </c>
      <c r="BA556" s="53">
        <f>IF(AS556&lt;=0,"",IF(BR556="Aussen","Aussenlager",IF(BR556="-","Nicht im Lift",IF(AX556&gt;=1,"Lift",IF(AX556&lt;=0,"Aussenlager","teilweise")))))</f>
        <v/>
      </c>
      <c r="BB556" s="53">
        <f>IF(A556="","",IF(BK556=1,"Neu; ","")&amp;IF(AND(BK556=0,BF556&lt;0),"negativer Bestand (Export "&amp;BF556&amp;"); ","")&amp;IF(I556&lt;=0,"Kein Verbrauch; ","")&amp;IF(BO556=1,"Lose – Fläche geschätzt; ","")&amp;IF(G556&gt;AM556,"Überbestand "&amp;ROUND(G556-AM556,0)&amp;" Stk / CHF "&amp;ROUND((G556-AM556)*F556,0)&amp;"; ","")&amp;IF(AND(BT556=1,BU556&lt;BV556),"MAX &lt; MB+LG; ","")&amp;IF(AND(BZ556&gt;0,BY556*10&gt;BZ556),"zu hoch für Tablar; ","")&amp;IF(AND(BK556=0,OR(BT556=1,V556&lt;&gt;"",S556&lt;&gt;"",T556&lt;&gt;"",W556&lt;&gt;"")),"manuell übersteuert; ","")&amp;IF(AND(BO556=0,Q556=0),"Gebinde unbekannt; ","")&amp;IF(AND(BO556=0,N(T556)&lt;=0,N(P556)&lt;=0),"Menge pro Gebinde fehlt (Ist = 1 Gebinde); ","")&amp;BJ556)</f>
        <v/>
      </c>
      <c r="BC556" s="53" t="n"/>
      <c r="BD556" s="53" t="n"/>
      <c r="BE556" s="61" t="n"/>
      <c r="BF556" s="55" t="n">
        <v>14</v>
      </c>
      <c r="BG556" s="55" t="n">
        <v>0</v>
      </c>
      <c r="BH556" s="54" t="n">
        <v>14.84</v>
      </c>
      <c r="BI556" s="55" t="n">
        <v>0</v>
      </c>
      <c r="BJ556" s="53" t="inlineStr"/>
      <c r="BK556" s="58" t="n">
        <v>0</v>
      </c>
      <c r="BL556" s="58" t="n">
        <v>556</v>
      </c>
      <c r="BM556" s="53">
        <f>IF(S556&lt;&gt;"",UPPER(TRIM(S556)),IF(O556="","LOSE",O556))</f>
        <v/>
      </c>
      <c r="BN556" s="55">
        <f>IF(BM556="LOSE",1,IF(N(T556)&gt;0,T556,IF(N(P556)&gt;0,P556,MAX(1,G556))))</f>
        <v/>
      </c>
      <c r="BO556" s="58">
        <f>IF(BM556="LOSE",1,0)</f>
        <v/>
      </c>
      <c r="BP556" s="64">
        <f>IF(BO556=0,0,IF(N(R556)&gt;0,R556,IFERROR(VLOOKUP(D556,Parameter!$A$35:$C$64,3,0)+0,0)))</f>
        <v/>
      </c>
      <c r="BQ556" s="53">
        <f>IF(V556&lt;&gt;"",V556,U556)</f>
        <v/>
      </c>
      <c r="BR556" s="53">
        <f>IF(BQ556=1,"L1",IF(OR(BQ556=2,BQ556=3),"L23",IF(BQ556="Aussen","Aussen","-")))</f>
        <v/>
      </c>
      <c r="BS556" s="66">
        <f>IF(N(W556)&gt;0,W556,0)</f>
        <v/>
      </c>
      <c r="BT556" s="58">
        <f>IF(ISNUMBER(Z556),1,0)</f>
        <v/>
      </c>
      <c r="BU556" s="55">
        <f>N(Z556)</f>
        <v/>
      </c>
      <c r="BV556" s="55">
        <f>N(L556)+N(M556)</f>
        <v/>
      </c>
      <c r="BW556" s="55">
        <f>ROUNDUP(G556/BN556,0)</f>
        <v/>
      </c>
      <c r="BX556" s="55">
        <f>ROUNDUP(BU556/BN556,0)</f>
        <v/>
      </c>
      <c r="BY556" s="58">
        <f>IF(BO556=1,0,IFERROR(VLOOKUP(BM556,'Gebinde-Kategorie'!$A$5:$G$45,5,0)+0,0))</f>
        <v/>
      </c>
      <c r="BZ556" s="58">
        <f>IFERROR(IF(OR(BQ556=1,BQ556=2,BQ556=3),N(INDEX(Parameter!$I$5:$I$7,BQ556)),0),0)</f>
        <v/>
      </c>
    </row>
    <row r="557">
      <c r="A557" s="53" t="inlineStr">
        <is>
          <t>108413</t>
        </is>
      </c>
      <c r="B557" s="53" t="inlineStr">
        <is>
          <t>Box für Kleinmaterial</t>
        </is>
      </c>
      <c r="C557" s="53" t="inlineStr">
        <is>
          <t>F</t>
        </is>
      </c>
      <c r="D557" s="53" t="inlineStr">
        <is>
          <t>PAL</t>
        </is>
      </c>
      <c r="E557" s="53" t="inlineStr">
        <is>
          <t>C</t>
        </is>
      </c>
      <c r="F557" s="54" t="n">
        <v>4.33</v>
      </c>
      <c r="G557" s="55">
        <f>MAX(0,IF(Parameter!$B$20="Jahresanfang 2025 + Export",BG557+BF557,BF557))</f>
        <v/>
      </c>
      <c r="H557" s="55">
        <f>G557*F557</f>
        <v/>
      </c>
      <c r="I557" s="55">
        <f>BI557*Parameter!$B$18</f>
        <v/>
      </c>
      <c r="J557" s="56" t="n">
        <v>43.5</v>
      </c>
      <c r="K557" s="57" t="n">
        <v>0.5517241379310345</v>
      </c>
      <c r="L557" s="55" t="n">
        <v>3</v>
      </c>
      <c r="M557" s="55" t="n">
        <v>25</v>
      </c>
      <c r="N557" s="58" t="n">
        <v>49</v>
      </c>
      <c r="O557" s="53" t="inlineStr">
        <is>
          <t>S71</t>
        </is>
      </c>
      <c r="P557" s="55" t="n">
        <v>48</v>
      </c>
      <c r="Q557" s="59">
        <f>IF(BO557=1,0,IFERROR(VLOOKUP(BM557,'Gebinde-Kategorie'!$A$5:$G$45,6,0)+0,0))</f>
        <v/>
      </c>
      <c r="R557" s="60" t="n"/>
      <c r="S557" s="61" t="n"/>
      <c r="T557" s="61" t="n"/>
      <c r="U557" s="53">
        <f>IF(A557="","",IF(IFERROR(VLOOKUP(D557,Parameter!$A$35:$C$64,2,0),"Nein")="2+3",IF(ISNUMBER(SEARCH("grosser Artikel",BJ557)),2,IFERROR(VLOOKUP(BM557,Parameter!$F$35:$G$64,2,0),2)),IF(OR(IFERROR(VLOOKUP(D557,Parameter!$A$35:$C$64,2,0),"Nein")="Nein",IFERROR(VLOOKUP(D557,Parameter!$A$35:$C$64,2,0),"Nein")=""),"-",VLOOKUP(D557,Parameter!$A$35:$C$64,2,0))))</f>
        <v/>
      </c>
      <c r="V557" s="61" t="n"/>
      <c r="W557" s="62" t="n"/>
      <c r="X557" s="55">
        <f>AM557</f>
        <v/>
      </c>
      <c r="Y557" s="55">
        <f>MAX(AM557,G557)</f>
        <v/>
      </c>
      <c r="Z557" s="63" t="n"/>
      <c r="AA557" s="55">
        <f>IF(LEFT(Cockpit!$C$5,1)="A",G557,IF(BT557=1,BU557,IF(LEFT(Cockpit!$C$5,1)="B",AE557,MAX(AE557,G557))))</f>
        <v/>
      </c>
      <c r="AB557" s="55">
        <f>IF(BO557=1,0,ROUNDUP(AA557/BN557,0))</f>
        <v/>
      </c>
      <c r="AC557" s="64">
        <f>IF(BO557=1,IF(AA557&lt;=0,0,BP557*MAX(1,IF(G557&gt;0,AA557/G557,1))),AB557*Q557)</f>
        <v/>
      </c>
      <c r="AD557" s="55">
        <f>AA557*F557</f>
        <v/>
      </c>
      <c r="AE557" s="55">
        <f>ROUNDUP(MAX(I557/IF(BS557&gt;0,BS557,MAX(0.1,N(Cockpit!$C$6))),BV557)/BN557,0)*BN557</f>
        <v/>
      </c>
      <c r="AF557" s="56">
        <f>IF(AC557&gt;0,I557/AC557,-1)</f>
        <v/>
      </c>
      <c r="AG557" s="56">
        <f>IF(AND(OR(BR557="L1",BR557="L23"),AC557&gt;0),SUMIFS($AC$7:$AC$1570,$BR$7:$BR$1570,BR557,$AF$7:$AF$1570,"&gt;"&amp;AF557)+SUMIFS($AC$7:$AC$1570,$BR$7:$BR$1570,BR557,$AF$7:$AF$1570,AF557,$BL$7:$BL$1570,"&lt;="&amp;BL557),"")</f>
        <v/>
      </c>
      <c r="AH557" s="65">
        <f>IF(AG557="",0,MAX(0,MIN(1,(IF(BR557="L1",Parameter!$K$5,Parameter!$K$6+Parameter!$K$7)-(AG557-AC557))/AC557)))</f>
        <v/>
      </c>
      <c r="AI557" s="55">
        <f>IF(LEFT(Cockpit!$I$5,1)="A",G557,IF(BT557=1,BU557,IF(LEFT(Cockpit!$I$5,1)="B",AM557,MAX(AM557,G557))))</f>
        <v/>
      </c>
      <c r="AJ557" s="55">
        <f>IF(BO557=1,0,ROUNDUP(AI557/BN557,0))</f>
        <v/>
      </c>
      <c r="AK557" s="64">
        <f>IF(BO557=1,IF(AI557&lt;=0,0,BP557*MAX(1,IF(G557&gt;0,AI557/G557,1))),AJ557*Q557)</f>
        <v/>
      </c>
      <c r="AL557" s="55">
        <f>AI557*F557</f>
        <v/>
      </c>
      <c r="AM557" s="55">
        <f>ROUNDUP(MAX(I557/IF(BS557&gt;0,BS557,MAX(0.1,N(Cockpit!$I$6))),BV557)/BN557,0)*BN557</f>
        <v/>
      </c>
      <c r="AN557" s="56">
        <f>IF(AK557&gt;0,I557/AK557,-1)</f>
        <v/>
      </c>
      <c r="AO557" s="56">
        <f>IF(AND(OR(BR557="L1",BR557="L23"),AK557&gt;0),SUMIFS($AK$7:$AK$1570,$BR$7:$BR$1570,BR557,$AN$7:$AN$1570,"&gt;"&amp;AN557)+SUMIFS($AK$7:$AK$1570,$BR$7:$BR$1570,BR557,$AN$7:$AN$1570,AN557,$BL$7:$BL$1570,"&lt;="&amp;BL557),"")</f>
        <v/>
      </c>
      <c r="AP557" s="65">
        <f>IF(AO557="",0,MAX(0,MIN(1,(IF(BR557="L1",Parameter!$K$5,Parameter!$K$6+Parameter!$K$7)-(AO557-AK557))/AK557)))</f>
        <v/>
      </c>
      <c r="AQ557" s="55">
        <f>IF(LEFT(Cockpit!$O$5,1)="A",G557,IF(BT557=1,BU557,IF(LEFT(Cockpit!$O$5,1)="B",AU557,MAX(AU557,G557))))</f>
        <v/>
      </c>
      <c r="AR557" s="55">
        <f>IF(BO557=1,0,ROUNDUP(AQ557/BN557,0))</f>
        <v/>
      </c>
      <c r="AS557" s="64">
        <f>IF(BO557=1,IF(AQ557&lt;=0,0,BP557*MAX(1,IF(G557&gt;0,AQ557/G557,1))),AR557*Q557)</f>
        <v/>
      </c>
      <c r="AT557" s="55">
        <f>AQ557*F557</f>
        <v/>
      </c>
      <c r="AU557" s="55">
        <f>ROUNDUP(MAX(I557/IF(BS557&gt;0,BS557,MAX(0.1,N(Cockpit!$O$6))),BV557)/BN557,0)*BN557</f>
        <v/>
      </c>
      <c r="AV557" s="56">
        <f>IF(AS557&gt;0,I557/AS557,-1)</f>
        <v/>
      </c>
      <c r="AW557" s="56">
        <f>IF(AND(OR(BR557="L1",BR557="L23"),AS557&gt;0),SUMIFS($AS$7:$AS$1570,$BR$7:$BR$1570,BR557,$AV$7:$AV$1570,"&gt;"&amp;AV557)+SUMIFS($AS$7:$AS$1570,$BR$7:$BR$1570,BR557,$AV$7:$AV$1570,AV557,$BL$7:$BL$1570,"&lt;="&amp;BL557),"")</f>
        <v/>
      </c>
      <c r="AX557" s="65">
        <f>IF(AW557="",0,MAX(0,MIN(1,(IF(BR557="L1",Parameter!$K$5,Parameter!$K$6+Parameter!$K$7)-(AW557-AS557))/AS557)))</f>
        <v/>
      </c>
      <c r="AY557" s="53">
        <f>IF(AC557&lt;=0,"",IF(BR557="Aussen","Aussenlager",IF(BR557="-","Nicht im Lift",IF(AH557&gt;=1,"Lift",IF(AH557&lt;=0,"Aussenlager","teilweise")))))</f>
        <v/>
      </c>
      <c r="AZ557" s="53">
        <f>IF(AK557&lt;=0,"",IF(BR557="Aussen","Aussenlager",IF(BR557="-","Nicht im Lift",IF(AP557&gt;=1,"Lift",IF(AP557&lt;=0,"Aussenlager","teilweise")))))</f>
        <v/>
      </c>
      <c r="BA557" s="53">
        <f>IF(AS557&lt;=0,"",IF(BR557="Aussen","Aussenlager",IF(BR557="-","Nicht im Lift",IF(AX557&gt;=1,"Lift",IF(AX557&lt;=0,"Aussenlager","teilweise")))))</f>
        <v/>
      </c>
      <c r="BB557" s="53">
        <f>IF(A557="","",IF(BK557=1,"Neu; ","")&amp;IF(AND(BK557=0,BF557&lt;0),"negativer Bestand (Export "&amp;BF557&amp;"); ","")&amp;IF(I557&lt;=0,"Kein Verbrauch; ","")&amp;IF(BO557=1,"Lose – Fläche geschätzt; ","")&amp;IF(G557&gt;AM557,"Überbestand "&amp;ROUND(G557-AM557,0)&amp;" Stk / CHF "&amp;ROUND((G557-AM557)*F557,0)&amp;"; ","")&amp;IF(AND(BT557=1,BU557&lt;BV557),"MAX &lt; MB+LG; ","")&amp;IF(AND(BZ557&gt;0,BY557*10&gt;BZ557),"zu hoch für Tablar; ","")&amp;IF(AND(BK557=0,OR(BT557=1,V557&lt;&gt;"",S557&lt;&gt;"",T557&lt;&gt;"",W557&lt;&gt;"")),"manuell übersteuert; ","")&amp;IF(AND(BO557=0,Q557=0),"Gebinde unbekannt; ","")&amp;IF(AND(BO557=0,N(T557)&lt;=0,N(P557)&lt;=0),"Menge pro Gebinde fehlt (Ist = 1 Gebinde); ","")&amp;BJ557)</f>
        <v/>
      </c>
      <c r="BC557" s="53" t="n"/>
      <c r="BD557" s="53" t="n"/>
      <c r="BE557" s="61" t="n"/>
      <c r="BF557" s="55" t="n">
        <v>3</v>
      </c>
      <c r="BG557" s="55" t="n">
        <v>29</v>
      </c>
      <c r="BH557" s="54" t="n">
        <v>14.73000000000005</v>
      </c>
      <c r="BI557" s="55" t="n">
        <v>24</v>
      </c>
      <c r="BJ557" s="53" t="inlineStr"/>
      <c r="BK557" s="58" t="n">
        <v>0</v>
      </c>
      <c r="BL557" s="58" t="n">
        <v>557</v>
      </c>
      <c r="BM557" s="53">
        <f>IF(S557&lt;&gt;"",UPPER(TRIM(S557)),IF(O557="","LOSE",O557))</f>
        <v/>
      </c>
      <c r="BN557" s="55">
        <f>IF(BM557="LOSE",1,IF(N(T557)&gt;0,T557,IF(N(P557)&gt;0,P557,MAX(1,G557))))</f>
        <v/>
      </c>
      <c r="BO557" s="58">
        <f>IF(BM557="LOSE",1,0)</f>
        <v/>
      </c>
      <c r="BP557" s="64">
        <f>IF(BO557=0,0,IF(N(R557)&gt;0,R557,IFERROR(VLOOKUP(D557,Parameter!$A$35:$C$64,3,0)+0,0)))</f>
        <v/>
      </c>
      <c r="BQ557" s="53">
        <f>IF(V557&lt;&gt;"",V557,U557)</f>
        <v/>
      </c>
      <c r="BR557" s="53">
        <f>IF(BQ557=1,"L1",IF(OR(BQ557=2,BQ557=3),"L23",IF(BQ557="Aussen","Aussen","-")))</f>
        <v/>
      </c>
      <c r="BS557" s="66">
        <f>IF(N(W557)&gt;0,W557,0)</f>
        <v/>
      </c>
      <c r="BT557" s="58">
        <f>IF(ISNUMBER(Z557),1,0)</f>
        <v/>
      </c>
      <c r="BU557" s="55">
        <f>N(Z557)</f>
        <v/>
      </c>
      <c r="BV557" s="55">
        <f>N(L557)+N(M557)</f>
        <v/>
      </c>
      <c r="BW557" s="55">
        <f>ROUNDUP(G557/BN557,0)</f>
        <v/>
      </c>
      <c r="BX557" s="55">
        <f>ROUNDUP(BU557/BN557,0)</f>
        <v/>
      </c>
      <c r="BY557" s="58">
        <f>IF(BO557=1,0,IFERROR(VLOOKUP(BM557,'Gebinde-Kategorie'!$A$5:$G$45,5,0)+0,0))</f>
        <v/>
      </c>
      <c r="BZ557" s="58">
        <f>IFERROR(IF(OR(BQ557=1,BQ557=2,BQ557=3),N(INDEX(Parameter!$I$5:$I$7,BQ557)),0),0)</f>
        <v/>
      </c>
    </row>
    <row r="558">
      <c r="A558" s="53" t="inlineStr">
        <is>
          <t>005437</t>
        </is>
      </c>
      <c r="B558" s="53" t="inlineStr">
        <is>
          <t>Halteschrauben zu Filterhülse</t>
        </is>
      </c>
      <c r="C558" s="53" t="inlineStr">
        <is>
          <t>F</t>
        </is>
      </c>
      <c r="D558" s="53" t="inlineStr">
        <is>
          <t>KTL</t>
        </is>
      </c>
      <c r="E558" s="53" t="inlineStr">
        <is>
          <t>C</t>
        </is>
      </c>
      <c r="F558" s="54" t="n">
        <v>3</v>
      </c>
      <c r="G558" s="55">
        <f>MAX(0,IF(Parameter!$B$20="Jahresanfang 2025 + Export",BG558+BF558,BF558))</f>
        <v/>
      </c>
      <c r="H558" s="55">
        <f>G558*F558</f>
        <v/>
      </c>
      <c r="I558" s="55">
        <f>BI558*Parameter!$B$18</f>
        <v/>
      </c>
      <c r="J558" s="56" t="n">
        <v>8.5</v>
      </c>
      <c r="K558" s="57" t="n">
        <v>0</v>
      </c>
      <c r="L558" s="55" t="n">
        <v>0</v>
      </c>
      <c r="M558" s="55" t="n">
        <v>1</v>
      </c>
      <c r="N558" s="58" t="n">
        <v>28</v>
      </c>
      <c r="O558" s="53" t="inlineStr">
        <is>
          <t>S21</t>
        </is>
      </c>
      <c r="P558" s="55" t="n">
        <v>10</v>
      </c>
      <c r="Q558" s="59">
        <f>IF(BO558=1,0,IFERROR(VLOOKUP(BM558,'Gebinde-Kategorie'!$A$5:$G$45,6,0)+0,0))</f>
        <v/>
      </c>
      <c r="R558" s="60" t="n"/>
      <c r="S558" s="61" t="n"/>
      <c r="T558" s="61" t="n"/>
      <c r="U558" s="53">
        <f>IF(A558="","",IF(IFERROR(VLOOKUP(D558,Parameter!$A$35:$C$64,2,0),"Nein")="2+3",IF(ISNUMBER(SEARCH("grosser Artikel",BJ558)),2,IFERROR(VLOOKUP(BM558,Parameter!$F$35:$G$64,2,0),2)),IF(OR(IFERROR(VLOOKUP(D558,Parameter!$A$35:$C$64,2,0),"Nein")="Nein",IFERROR(VLOOKUP(D558,Parameter!$A$35:$C$64,2,0),"Nein")=""),"-",VLOOKUP(D558,Parameter!$A$35:$C$64,2,0))))</f>
        <v/>
      </c>
      <c r="V558" s="61" t="n"/>
      <c r="W558" s="62" t="n"/>
      <c r="X558" s="55">
        <f>AM558</f>
        <v/>
      </c>
      <c r="Y558" s="55">
        <f>MAX(AM558,G558)</f>
        <v/>
      </c>
      <c r="Z558" s="63" t="n"/>
      <c r="AA558" s="55">
        <f>IF(LEFT(Cockpit!$C$5,1)="A",G558,IF(BT558=1,BU558,IF(LEFT(Cockpit!$C$5,1)="B",AE558,MAX(AE558,G558))))</f>
        <v/>
      </c>
      <c r="AB558" s="55">
        <f>IF(BO558=1,0,ROUNDUP(AA558/BN558,0))</f>
        <v/>
      </c>
      <c r="AC558" s="64">
        <f>IF(BO558=1,IF(AA558&lt;=0,0,BP558*MAX(1,IF(G558&gt;0,AA558/G558,1))),AB558*Q558)</f>
        <v/>
      </c>
      <c r="AD558" s="55">
        <f>AA558*F558</f>
        <v/>
      </c>
      <c r="AE558" s="55">
        <f>ROUNDUP(MAX(I558/IF(BS558&gt;0,BS558,MAX(0.1,N(Cockpit!$C$6))),BV558)/BN558,0)*BN558</f>
        <v/>
      </c>
      <c r="AF558" s="56">
        <f>IF(AC558&gt;0,I558/AC558,-1)</f>
        <v/>
      </c>
      <c r="AG558" s="56">
        <f>IF(AND(OR(BR558="L1",BR558="L23"),AC558&gt;0),SUMIFS($AC$7:$AC$1570,$BR$7:$BR$1570,BR558,$AF$7:$AF$1570,"&gt;"&amp;AF558)+SUMIFS($AC$7:$AC$1570,$BR$7:$BR$1570,BR558,$AF$7:$AF$1570,AF558,$BL$7:$BL$1570,"&lt;="&amp;BL558),"")</f>
        <v/>
      </c>
      <c r="AH558" s="65">
        <f>IF(AG558="",0,MAX(0,MIN(1,(IF(BR558="L1",Parameter!$K$5,Parameter!$K$6+Parameter!$K$7)-(AG558-AC558))/AC558)))</f>
        <v/>
      </c>
      <c r="AI558" s="55">
        <f>IF(LEFT(Cockpit!$I$5,1)="A",G558,IF(BT558=1,BU558,IF(LEFT(Cockpit!$I$5,1)="B",AM558,MAX(AM558,G558))))</f>
        <v/>
      </c>
      <c r="AJ558" s="55">
        <f>IF(BO558=1,0,ROUNDUP(AI558/BN558,0))</f>
        <v/>
      </c>
      <c r="AK558" s="64">
        <f>IF(BO558=1,IF(AI558&lt;=0,0,BP558*MAX(1,IF(G558&gt;0,AI558/G558,1))),AJ558*Q558)</f>
        <v/>
      </c>
      <c r="AL558" s="55">
        <f>AI558*F558</f>
        <v/>
      </c>
      <c r="AM558" s="55">
        <f>ROUNDUP(MAX(I558/IF(BS558&gt;0,BS558,MAX(0.1,N(Cockpit!$I$6))),BV558)/BN558,0)*BN558</f>
        <v/>
      </c>
      <c r="AN558" s="56">
        <f>IF(AK558&gt;0,I558/AK558,-1)</f>
        <v/>
      </c>
      <c r="AO558" s="56">
        <f>IF(AND(OR(BR558="L1",BR558="L23"),AK558&gt;0),SUMIFS($AK$7:$AK$1570,$BR$7:$BR$1570,BR558,$AN$7:$AN$1570,"&gt;"&amp;AN558)+SUMIFS($AK$7:$AK$1570,$BR$7:$BR$1570,BR558,$AN$7:$AN$1570,AN558,$BL$7:$BL$1570,"&lt;="&amp;BL558),"")</f>
        <v/>
      </c>
      <c r="AP558" s="65">
        <f>IF(AO558="",0,MAX(0,MIN(1,(IF(BR558="L1",Parameter!$K$5,Parameter!$K$6+Parameter!$K$7)-(AO558-AK558))/AK558)))</f>
        <v/>
      </c>
      <c r="AQ558" s="55">
        <f>IF(LEFT(Cockpit!$O$5,1)="A",G558,IF(BT558=1,BU558,IF(LEFT(Cockpit!$O$5,1)="B",AU558,MAX(AU558,G558))))</f>
        <v/>
      </c>
      <c r="AR558" s="55">
        <f>IF(BO558=1,0,ROUNDUP(AQ558/BN558,0))</f>
        <v/>
      </c>
      <c r="AS558" s="64">
        <f>IF(BO558=1,IF(AQ558&lt;=0,0,BP558*MAX(1,IF(G558&gt;0,AQ558/G558,1))),AR558*Q558)</f>
        <v/>
      </c>
      <c r="AT558" s="55">
        <f>AQ558*F558</f>
        <v/>
      </c>
      <c r="AU558" s="55">
        <f>ROUNDUP(MAX(I558/IF(BS558&gt;0,BS558,MAX(0.1,N(Cockpit!$O$6))),BV558)/BN558,0)*BN558</f>
        <v/>
      </c>
      <c r="AV558" s="56">
        <f>IF(AS558&gt;0,I558/AS558,-1)</f>
        <v/>
      </c>
      <c r="AW558" s="56">
        <f>IF(AND(OR(BR558="L1",BR558="L23"),AS558&gt;0),SUMIFS($AS$7:$AS$1570,$BR$7:$BR$1570,BR558,$AV$7:$AV$1570,"&gt;"&amp;AV558)+SUMIFS($AS$7:$AS$1570,$BR$7:$BR$1570,BR558,$AV$7:$AV$1570,AV558,$BL$7:$BL$1570,"&lt;="&amp;BL558),"")</f>
        <v/>
      </c>
      <c r="AX558" s="65">
        <f>IF(AW558="",0,MAX(0,MIN(1,(IF(BR558="L1",Parameter!$K$5,Parameter!$K$6+Parameter!$K$7)-(AW558-AS558))/AS558)))</f>
        <v/>
      </c>
      <c r="AY558" s="53">
        <f>IF(AC558&lt;=0,"",IF(BR558="Aussen","Aussenlager",IF(BR558="-","Nicht im Lift",IF(AH558&gt;=1,"Lift",IF(AH558&lt;=0,"Aussenlager","teilweise")))))</f>
        <v/>
      </c>
      <c r="AZ558" s="53">
        <f>IF(AK558&lt;=0,"",IF(BR558="Aussen","Aussenlager",IF(BR558="-","Nicht im Lift",IF(AP558&gt;=1,"Lift",IF(AP558&lt;=0,"Aussenlager","teilweise")))))</f>
        <v/>
      </c>
      <c r="BA558" s="53">
        <f>IF(AS558&lt;=0,"",IF(BR558="Aussen","Aussenlager",IF(BR558="-","Nicht im Lift",IF(AX558&gt;=1,"Lift",IF(AX558&lt;=0,"Aussenlager","teilweise")))))</f>
        <v/>
      </c>
      <c r="BB558" s="53">
        <f>IF(A558="","",IF(BK558=1,"Neu; ","")&amp;IF(AND(BK558=0,BF558&lt;0),"negativer Bestand (Export "&amp;BF558&amp;"); ","")&amp;IF(I558&lt;=0,"Kein Verbrauch; ","")&amp;IF(BO558=1,"Lose – Fläche geschätzt; ","")&amp;IF(G558&gt;AM558,"Überbestand "&amp;ROUND(G558-AM558,0)&amp;" Stk / CHF "&amp;ROUND((G558-AM558)*F558,0)&amp;"; ","")&amp;IF(AND(BT558=1,BU558&lt;BV558),"MAX &lt; MB+LG; ","")&amp;IF(AND(BZ558&gt;0,BY558*10&gt;BZ558),"zu hoch für Tablar; ","")&amp;IF(AND(BK558=0,OR(BT558=1,V558&lt;&gt;"",S558&lt;&gt;"",T558&lt;&gt;"",W558&lt;&gt;"")),"manuell übersteuert; ","")&amp;IF(AND(BO558=0,Q558=0),"Gebinde unbekannt; ","")&amp;IF(AND(BO558=0,N(T558)&lt;=0,N(P558)&lt;=0),"Menge pro Gebinde fehlt (Ist = 1 Gebinde); ","")&amp;BJ558)</f>
        <v/>
      </c>
      <c r="BC558" s="53" t="n"/>
      <c r="BD558" s="53" t="n"/>
      <c r="BE558" s="61" t="n"/>
      <c r="BF558" s="55" t="n">
        <v>3</v>
      </c>
      <c r="BG558" s="55" t="n">
        <v>7</v>
      </c>
      <c r="BH558" s="54" t="n">
        <v>14.6</v>
      </c>
      <c r="BI558" s="55" t="n">
        <v>0</v>
      </c>
      <c r="BJ558" s="53" t="inlineStr"/>
      <c r="BK558" s="58" t="n">
        <v>0</v>
      </c>
      <c r="BL558" s="58" t="n">
        <v>558</v>
      </c>
      <c r="BM558" s="53">
        <f>IF(S558&lt;&gt;"",UPPER(TRIM(S558)),IF(O558="","LOSE",O558))</f>
        <v/>
      </c>
      <c r="BN558" s="55">
        <f>IF(BM558="LOSE",1,IF(N(T558)&gt;0,T558,IF(N(P558)&gt;0,P558,MAX(1,G558))))</f>
        <v/>
      </c>
      <c r="BO558" s="58">
        <f>IF(BM558="LOSE",1,0)</f>
        <v/>
      </c>
      <c r="BP558" s="64">
        <f>IF(BO558=0,0,IF(N(R558)&gt;0,R558,IFERROR(VLOOKUP(D558,Parameter!$A$35:$C$64,3,0)+0,0)))</f>
        <v/>
      </c>
      <c r="BQ558" s="53">
        <f>IF(V558&lt;&gt;"",V558,U558)</f>
        <v/>
      </c>
      <c r="BR558" s="53">
        <f>IF(BQ558=1,"L1",IF(OR(BQ558=2,BQ558=3),"L23",IF(BQ558="Aussen","Aussen","-")))</f>
        <v/>
      </c>
      <c r="BS558" s="66">
        <f>IF(N(W558)&gt;0,W558,0)</f>
        <v/>
      </c>
      <c r="BT558" s="58">
        <f>IF(ISNUMBER(Z558),1,0)</f>
        <v/>
      </c>
      <c r="BU558" s="55">
        <f>N(Z558)</f>
        <v/>
      </c>
      <c r="BV558" s="55">
        <f>N(L558)+N(M558)</f>
        <v/>
      </c>
      <c r="BW558" s="55">
        <f>ROUNDUP(G558/BN558,0)</f>
        <v/>
      </c>
      <c r="BX558" s="55">
        <f>ROUNDUP(BU558/BN558,0)</f>
        <v/>
      </c>
      <c r="BY558" s="58">
        <f>IF(BO558=1,0,IFERROR(VLOOKUP(BM558,'Gebinde-Kategorie'!$A$5:$G$45,5,0)+0,0))</f>
        <v/>
      </c>
      <c r="BZ558" s="58">
        <f>IFERROR(IF(OR(BQ558=1,BQ558=2,BQ558=3),N(INDEX(Parameter!$I$5:$I$7,BQ558)),0),0)</f>
        <v/>
      </c>
    </row>
    <row r="559">
      <c r="A559" s="53" t="inlineStr">
        <is>
          <t>005228</t>
        </is>
      </c>
      <c r="B559" s="53" t="inlineStr">
        <is>
          <t>Presskabelschuh blau</t>
        </is>
      </c>
      <c r="C559" s="53" t="inlineStr">
        <is>
          <t>F</t>
        </is>
      </c>
      <c r="D559" s="53" t="inlineStr">
        <is>
          <t>KTL</t>
        </is>
      </c>
      <c r="E559" s="53" t="inlineStr">
        <is>
          <t>C</t>
        </is>
      </c>
      <c r="F559" s="54" t="n">
        <v>0.11</v>
      </c>
      <c r="G559" s="55">
        <f>MAX(0,IF(Parameter!$B$20="Jahresanfang 2025 + Export",BG559+BF559,BF559))</f>
        <v/>
      </c>
      <c r="H559" s="55">
        <f>G559*F559</f>
        <v/>
      </c>
      <c r="I559" s="55">
        <f>BI559*Parameter!$B$18</f>
        <v/>
      </c>
      <c r="J559" s="56" t="n">
        <v>457</v>
      </c>
      <c r="K559" s="57" t="n">
        <v>0.00437636761487965</v>
      </c>
      <c r="L559" s="55" t="n">
        <v>0</v>
      </c>
      <c r="M559" s="55" t="n">
        <v>1</v>
      </c>
      <c r="N559" s="58" t="n">
        <v>21</v>
      </c>
      <c r="O559" s="53" t="inlineStr">
        <is>
          <t>S32</t>
        </is>
      </c>
      <c r="P559" s="55" t="n">
        <v>451</v>
      </c>
      <c r="Q559" s="59">
        <f>IF(BO559=1,0,IFERROR(VLOOKUP(BM559,'Gebinde-Kategorie'!$A$5:$G$45,6,0)+0,0))</f>
        <v/>
      </c>
      <c r="R559" s="60" t="n"/>
      <c r="S559" s="61" t="n"/>
      <c r="T559" s="61" t="n"/>
      <c r="U559" s="53">
        <f>IF(A559="","",IF(IFERROR(VLOOKUP(D559,Parameter!$A$35:$C$64,2,0),"Nein")="2+3",IF(ISNUMBER(SEARCH("grosser Artikel",BJ559)),2,IFERROR(VLOOKUP(BM559,Parameter!$F$35:$G$64,2,0),2)),IF(OR(IFERROR(VLOOKUP(D559,Parameter!$A$35:$C$64,2,0),"Nein")="Nein",IFERROR(VLOOKUP(D559,Parameter!$A$35:$C$64,2,0),"Nein")=""),"-",VLOOKUP(D559,Parameter!$A$35:$C$64,2,0))))</f>
        <v/>
      </c>
      <c r="V559" s="61" t="n"/>
      <c r="W559" s="62" t="n"/>
      <c r="X559" s="55">
        <f>AM559</f>
        <v/>
      </c>
      <c r="Y559" s="55">
        <f>MAX(AM559,G559)</f>
        <v/>
      </c>
      <c r="Z559" s="63" t="n"/>
      <c r="AA559" s="55">
        <f>IF(LEFT(Cockpit!$C$5,1)="A",G559,IF(BT559=1,BU559,IF(LEFT(Cockpit!$C$5,1)="B",AE559,MAX(AE559,G559))))</f>
        <v/>
      </c>
      <c r="AB559" s="55">
        <f>IF(BO559=1,0,ROUNDUP(AA559/BN559,0))</f>
        <v/>
      </c>
      <c r="AC559" s="64">
        <f>IF(BO559=1,IF(AA559&lt;=0,0,BP559*MAX(1,IF(G559&gt;0,AA559/G559,1))),AB559*Q559)</f>
        <v/>
      </c>
      <c r="AD559" s="55">
        <f>AA559*F559</f>
        <v/>
      </c>
      <c r="AE559" s="55">
        <f>ROUNDUP(MAX(I559/IF(BS559&gt;0,BS559,MAX(0.1,N(Cockpit!$C$6))),BV559)/BN559,0)*BN559</f>
        <v/>
      </c>
      <c r="AF559" s="56">
        <f>IF(AC559&gt;0,I559/AC559,-1)</f>
        <v/>
      </c>
      <c r="AG559" s="56">
        <f>IF(AND(OR(BR559="L1",BR559="L23"),AC559&gt;0),SUMIFS($AC$7:$AC$1570,$BR$7:$BR$1570,BR559,$AF$7:$AF$1570,"&gt;"&amp;AF559)+SUMIFS($AC$7:$AC$1570,$BR$7:$BR$1570,BR559,$AF$7:$AF$1570,AF559,$BL$7:$BL$1570,"&lt;="&amp;BL559),"")</f>
        <v/>
      </c>
      <c r="AH559" s="65">
        <f>IF(AG559="",0,MAX(0,MIN(1,(IF(BR559="L1",Parameter!$K$5,Parameter!$K$6+Parameter!$K$7)-(AG559-AC559))/AC559)))</f>
        <v/>
      </c>
      <c r="AI559" s="55">
        <f>IF(LEFT(Cockpit!$I$5,1)="A",G559,IF(BT559=1,BU559,IF(LEFT(Cockpit!$I$5,1)="B",AM559,MAX(AM559,G559))))</f>
        <v/>
      </c>
      <c r="AJ559" s="55">
        <f>IF(BO559=1,0,ROUNDUP(AI559/BN559,0))</f>
        <v/>
      </c>
      <c r="AK559" s="64">
        <f>IF(BO559=1,IF(AI559&lt;=0,0,BP559*MAX(1,IF(G559&gt;0,AI559/G559,1))),AJ559*Q559)</f>
        <v/>
      </c>
      <c r="AL559" s="55">
        <f>AI559*F559</f>
        <v/>
      </c>
      <c r="AM559" s="55">
        <f>ROUNDUP(MAX(I559/IF(BS559&gt;0,BS559,MAX(0.1,N(Cockpit!$I$6))),BV559)/BN559,0)*BN559</f>
        <v/>
      </c>
      <c r="AN559" s="56">
        <f>IF(AK559&gt;0,I559/AK559,-1)</f>
        <v/>
      </c>
      <c r="AO559" s="56">
        <f>IF(AND(OR(BR559="L1",BR559="L23"),AK559&gt;0),SUMIFS($AK$7:$AK$1570,$BR$7:$BR$1570,BR559,$AN$7:$AN$1570,"&gt;"&amp;AN559)+SUMIFS($AK$7:$AK$1570,$BR$7:$BR$1570,BR559,$AN$7:$AN$1570,AN559,$BL$7:$BL$1570,"&lt;="&amp;BL559),"")</f>
        <v/>
      </c>
      <c r="AP559" s="65">
        <f>IF(AO559="",0,MAX(0,MIN(1,(IF(BR559="L1",Parameter!$K$5,Parameter!$K$6+Parameter!$K$7)-(AO559-AK559))/AK559)))</f>
        <v/>
      </c>
      <c r="AQ559" s="55">
        <f>IF(LEFT(Cockpit!$O$5,1)="A",G559,IF(BT559=1,BU559,IF(LEFT(Cockpit!$O$5,1)="B",AU559,MAX(AU559,G559))))</f>
        <v/>
      </c>
      <c r="AR559" s="55">
        <f>IF(BO559=1,0,ROUNDUP(AQ559/BN559,0))</f>
        <v/>
      </c>
      <c r="AS559" s="64">
        <f>IF(BO559=1,IF(AQ559&lt;=0,0,BP559*MAX(1,IF(G559&gt;0,AQ559/G559,1))),AR559*Q559)</f>
        <v/>
      </c>
      <c r="AT559" s="55">
        <f>AQ559*F559</f>
        <v/>
      </c>
      <c r="AU559" s="55">
        <f>ROUNDUP(MAX(I559/IF(BS559&gt;0,BS559,MAX(0.1,N(Cockpit!$O$6))),BV559)/BN559,0)*BN559</f>
        <v/>
      </c>
      <c r="AV559" s="56">
        <f>IF(AS559&gt;0,I559/AS559,-1)</f>
        <v/>
      </c>
      <c r="AW559" s="56">
        <f>IF(AND(OR(BR559="L1",BR559="L23"),AS559&gt;0),SUMIFS($AS$7:$AS$1570,$BR$7:$BR$1570,BR559,$AV$7:$AV$1570,"&gt;"&amp;AV559)+SUMIFS($AS$7:$AS$1570,$BR$7:$BR$1570,BR559,$AV$7:$AV$1570,AV559,$BL$7:$BL$1570,"&lt;="&amp;BL559),"")</f>
        <v/>
      </c>
      <c r="AX559" s="65">
        <f>IF(AW559="",0,MAX(0,MIN(1,(IF(BR559="L1",Parameter!$K$5,Parameter!$K$6+Parameter!$K$7)-(AW559-AS559))/AS559)))</f>
        <v/>
      </c>
      <c r="AY559" s="53">
        <f>IF(AC559&lt;=0,"",IF(BR559="Aussen","Aussenlager",IF(BR559="-","Nicht im Lift",IF(AH559&gt;=1,"Lift",IF(AH559&lt;=0,"Aussenlager","teilweise")))))</f>
        <v/>
      </c>
      <c r="AZ559" s="53">
        <f>IF(AK559&lt;=0,"",IF(BR559="Aussen","Aussenlager",IF(BR559="-","Nicht im Lift",IF(AP559&gt;=1,"Lift",IF(AP559&lt;=0,"Aussenlager","teilweise")))))</f>
        <v/>
      </c>
      <c r="BA559" s="53">
        <f>IF(AS559&lt;=0,"",IF(BR559="Aussen","Aussenlager",IF(BR559="-","Nicht im Lift",IF(AX559&gt;=1,"Lift",IF(AX559&lt;=0,"Aussenlager","teilweise")))))</f>
        <v/>
      </c>
      <c r="BB559" s="53">
        <f>IF(A559="","",IF(BK559=1,"Neu; ","")&amp;IF(AND(BK559=0,BF559&lt;0),"negativer Bestand (Export "&amp;BF559&amp;"); ","")&amp;IF(I559&lt;=0,"Kein Verbrauch; ","")&amp;IF(BO559=1,"Lose – Fläche geschätzt; ","")&amp;IF(G559&gt;AM559,"Überbestand "&amp;ROUND(G559-AM559,0)&amp;" Stk / CHF "&amp;ROUND((G559-AM559)*F559,0)&amp;"; ","")&amp;IF(AND(BT559=1,BU559&lt;BV559),"MAX &lt; MB+LG; ","")&amp;IF(AND(BZ559&gt;0,BY559*10&gt;BZ559),"zu hoch für Tablar; ","")&amp;IF(AND(BK559=0,OR(BT559=1,V559&lt;&gt;"",S559&lt;&gt;"",T559&lt;&gt;"",W559&lt;&gt;"")),"manuell übersteuert; ","")&amp;IF(AND(BO559=0,Q559=0),"Gebinde unbekannt; ","")&amp;IF(AND(BO559=0,N(T559)&lt;=0,N(P559)&lt;=0),"Menge pro Gebinde fehlt (Ist = 1 Gebinde); ","")&amp;BJ559)</f>
        <v/>
      </c>
      <c r="BC559" s="53" t="n"/>
      <c r="BD559" s="53" t="n"/>
      <c r="BE559" s="61" t="n"/>
      <c r="BF559" s="55" t="n">
        <v>132</v>
      </c>
      <c r="BG559" s="55" t="n">
        <v>423</v>
      </c>
      <c r="BH559" s="54" t="n">
        <v>14.52</v>
      </c>
      <c r="BI559" s="55" t="n">
        <v>2</v>
      </c>
      <c r="BJ559" s="53" t="inlineStr">
        <is>
          <t>Handlager</t>
        </is>
      </c>
      <c r="BK559" s="58" t="n">
        <v>0</v>
      </c>
      <c r="BL559" s="58" t="n">
        <v>559</v>
      </c>
      <c r="BM559" s="53">
        <f>IF(S559&lt;&gt;"",UPPER(TRIM(S559)),IF(O559="","LOSE",O559))</f>
        <v/>
      </c>
      <c r="BN559" s="55">
        <f>IF(BM559="LOSE",1,IF(N(T559)&gt;0,T559,IF(N(P559)&gt;0,P559,MAX(1,G559))))</f>
        <v/>
      </c>
      <c r="BO559" s="58">
        <f>IF(BM559="LOSE",1,0)</f>
        <v/>
      </c>
      <c r="BP559" s="64">
        <f>IF(BO559=0,0,IF(N(R559)&gt;0,R559,IFERROR(VLOOKUP(D559,Parameter!$A$35:$C$64,3,0)+0,0)))</f>
        <v/>
      </c>
      <c r="BQ559" s="53">
        <f>IF(V559&lt;&gt;"",V559,U559)</f>
        <v/>
      </c>
      <c r="BR559" s="53">
        <f>IF(BQ559=1,"L1",IF(OR(BQ559=2,BQ559=3),"L23",IF(BQ559="Aussen","Aussen","-")))</f>
        <v/>
      </c>
      <c r="BS559" s="66">
        <f>IF(N(W559)&gt;0,W559,0)</f>
        <v/>
      </c>
      <c r="BT559" s="58">
        <f>IF(ISNUMBER(Z559),1,0)</f>
        <v/>
      </c>
      <c r="BU559" s="55">
        <f>N(Z559)</f>
        <v/>
      </c>
      <c r="BV559" s="55">
        <f>N(L559)+N(M559)</f>
        <v/>
      </c>
      <c r="BW559" s="55">
        <f>ROUNDUP(G559/BN559,0)</f>
        <v/>
      </c>
      <c r="BX559" s="55">
        <f>ROUNDUP(BU559/BN559,0)</f>
        <v/>
      </c>
      <c r="BY559" s="58">
        <f>IF(BO559=1,0,IFERROR(VLOOKUP(BM559,'Gebinde-Kategorie'!$A$5:$G$45,5,0)+0,0))</f>
        <v/>
      </c>
      <c r="BZ559" s="58">
        <f>IFERROR(IF(OR(BQ559=1,BQ559=2,BQ559=3),N(INDEX(Parameter!$I$5:$I$7,BQ559)),0),0)</f>
        <v/>
      </c>
    </row>
    <row r="560">
      <c r="A560" s="53" t="inlineStr">
        <is>
          <t>110872</t>
        </is>
      </c>
      <c r="B560" s="53" t="inlineStr">
        <is>
          <t>Adapter</t>
        </is>
      </c>
      <c r="C560" s="53" t="inlineStr">
        <is>
          <t>F</t>
        </is>
      </c>
      <c r="D560" s="53" t="inlineStr">
        <is>
          <t>KTL</t>
        </is>
      </c>
      <c r="E560" s="53" t="inlineStr">
        <is>
          <t>C</t>
        </is>
      </c>
      <c r="F560" s="54" t="n">
        <v>3.55</v>
      </c>
      <c r="G560" s="55">
        <f>MAX(0,IF(Parameter!$B$20="Jahresanfang 2025 + Export",BG560+BF560,BF560))</f>
        <v/>
      </c>
      <c r="H560" s="55">
        <f>G560*F560</f>
        <v/>
      </c>
      <c r="I560" s="55">
        <f>BI560*Parameter!$B$18</f>
        <v/>
      </c>
      <c r="J560" s="56" t="n">
        <v>1.5</v>
      </c>
      <c r="K560" s="57" t="n">
        <v>1.333333333333333</v>
      </c>
      <c r="L560" s="55" t="n">
        <v>0</v>
      </c>
      <c r="M560" s="55" t="n">
        <v>1</v>
      </c>
      <c r="N560" s="58" t="n">
        <v>14</v>
      </c>
      <c r="O560" s="53" t="inlineStr">
        <is>
          <t>S21</t>
        </is>
      </c>
      <c r="P560" s="55" t="n">
        <v>5</v>
      </c>
      <c r="Q560" s="59">
        <f>IF(BO560=1,0,IFERROR(VLOOKUP(BM560,'Gebinde-Kategorie'!$A$5:$G$45,6,0)+0,0))</f>
        <v/>
      </c>
      <c r="R560" s="60" t="n"/>
      <c r="S560" s="61" t="n"/>
      <c r="T560" s="61" t="n"/>
      <c r="U560" s="53">
        <f>IF(A560="","",IF(IFERROR(VLOOKUP(D560,Parameter!$A$35:$C$64,2,0),"Nein")="2+3",IF(ISNUMBER(SEARCH("grosser Artikel",BJ560)),2,IFERROR(VLOOKUP(BM560,Parameter!$F$35:$G$64,2,0),2)),IF(OR(IFERROR(VLOOKUP(D560,Parameter!$A$35:$C$64,2,0),"Nein")="Nein",IFERROR(VLOOKUP(D560,Parameter!$A$35:$C$64,2,0),"Nein")=""),"-",VLOOKUP(D560,Parameter!$A$35:$C$64,2,0))))</f>
        <v/>
      </c>
      <c r="V560" s="61" t="n"/>
      <c r="W560" s="62" t="n"/>
      <c r="X560" s="55">
        <f>AM560</f>
        <v/>
      </c>
      <c r="Y560" s="55">
        <f>MAX(AM560,G560)</f>
        <v/>
      </c>
      <c r="Z560" s="63" t="n"/>
      <c r="AA560" s="55">
        <f>IF(LEFT(Cockpit!$C$5,1)="A",G560,IF(BT560=1,BU560,IF(LEFT(Cockpit!$C$5,1)="B",AE560,MAX(AE560,G560))))</f>
        <v/>
      </c>
      <c r="AB560" s="55">
        <f>IF(BO560=1,0,ROUNDUP(AA560/BN560,0))</f>
        <v/>
      </c>
      <c r="AC560" s="64">
        <f>IF(BO560=1,IF(AA560&lt;=0,0,BP560*MAX(1,IF(G560&gt;0,AA560/G560,1))),AB560*Q560)</f>
        <v/>
      </c>
      <c r="AD560" s="55">
        <f>AA560*F560</f>
        <v/>
      </c>
      <c r="AE560" s="55">
        <f>ROUNDUP(MAX(I560/IF(BS560&gt;0,BS560,MAX(0.1,N(Cockpit!$C$6))),BV560)/BN560,0)*BN560</f>
        <v/>
      </c>
      <c r="AF560" s="56">
        <f>IF(AC560&gt;0,I560/AC560,-1)</f>
        <v/>
      </c>
      <c r="AG560" s="56">
        <f>IF(AND(OR(BR560="L1",BR560="L23"),AC560&gt;0),SUMIFS($AC$7:$AC$1570,$BR$7:$BR$1570,BR560,$AF$7:$AF$1570,"&gt;"&amp;AF560)+SUMIFS($AC$7:$AC$1570,$BR$7:$BR$1570,BR560,$AF$7:$AF$1570,AF560,$BL$7:$BL$1570,"&lt;="&amp;BL560),"")</f>
        <v/>
      </c>
      <c r="AH560" s="65">
        <f>IF(AG560="",0,MAX(0,MIN(1,(IF(BR560="L1",Parameter!$K$5,Parameter!$K$6+Parameter!$K$7)-(AG560-AC560))/AC560)))</f>
        <v/>
      </c>
      <c r="AI560" s="55">
        <f>IF(LEFT(Cockpit!$I$5,1)="A",G560,IF(BT560=1,BU560,IF(LEFT(Cockpit!$I$5,1)="B",AM560,MAX(AM560,G560))))</f>
        <v/>
      </c>
      <c r="AJ560" s="55">
        <f>IF(BO560=1,0,ROUNDUP(AI560/BN560,0))</f>
        <v/>
      </c>
      <c r="AK560" s="64">
        <f>IF(BO560=1,IF(AI560&lt;=0,0,BP560*MAX(1,IF(G560&gt;0,AI560/G560,1))),AJ560*Q560)</f>
        <v/>
      </c>
      <c r="AL560" s="55">
        <f>AI560*F560</f>
        <v/>
      </c>
      <c r="AM560" s="55">
        <f>ROUNDUP(MAX(I560/IF(BS560&gt;0,BS560,MAX(0.1,N(Cockpit!$I$6))),BV560)/BN560,0)*BN560</f>
        <v/>
      </c>
      <c r="AN560" s="56">
        <f>IF(AK560&gt;0,I560/AK560,-1)</f>
        <v/>
      </c>
      <c r="AO560" s="56">
        <f>IF(AND(OR(BR560="L1",BR560="L23"),AK560&gt;0),SUMIFS($AK$7:$AK$1570,$BR$7:$BR$1570,BR560,$AN$7:$AN$1570,"&gt;"&amp;AN560)+SUMIFS($AK$7:$AK$1570,$BR$7:$BR$1570,BR560,$AN$7:$AN$1570,AN560,$BL$7:$BL$1570,"&lt;="&amp;BL560),"")</f>
        <v/>
      </c>
      <c r="AP560" s="65">
        <f>IF(AO560="",0,MAX(0,MIN(1,(IF(BR560="L1",Parameter!$K$5,Parameter!$K$6+Parameter!$K$7)-(AO560-AK560))/AK560)))</f>
        <v/>
      </c>
      <c r="AQ560" s="55">
        <f>IF(LEFT(Cockpit!$O$5,1)="A",G560,IF(BT560=1,BU560,IF(LEFT(Cockpit!$O$5,1)="B",AU560,MAX(AU560,G560))))</f>
        <v/>
      </c>
      <c r="AR560" s="55">
        <f>IF(BO560=1,0,ROUNDUP(AQ560/BN560,0))</f>
        <v/>
      </c>
      <c r="AS560" s="64">
        <f>IF(BO560=1,IF(AQ560&lt;=0,0,BP560*MAX(1,IF(G560&gt;0,AQ560/G560,1))),AR560*Q560)</f>
        <v/>
      </c>
      <c r="AT560" s="55">
        <f>AQ560*F560</f>
        <v/>
      </c>
      <c r="AU560" s="55">
        <f>ROUNDUP(MAX(I560/IF(BS560&gt;0,BS560,MAX(0.1,N(Cockpit!$O$6))),BV560)/BN560,0)*BN560</f>
        <v/>
      </c>
      <c r="AV560" s="56">
        <f>IF(AS560&gt;0,I560/AS560,-1)</f>
        <v/>
      </c>
      <c r="AW560" s="56">
        <f>IF(AND(OR(BR560="L1",BR560="L23"),AS560&gt;0),SUMIFS($AS$7:$AS$1570,$BR$7:$BR$1570,BR560,$AV$7:$AV$1570,"&gt;"&amp;AV560)+SUMIFS($AS$7:$AS$1570,$BR$7:$BR$1570,BR560,$AV$7:$AV$1570,AV560,$BL$7:$BL$1570,"&lt;="&amp;BL560),"")</f>
        <v/>
      </c>
      <c r="AX560" s="65">
        <f>IF(AW560="",0,MAX(0,MIN(1,(IF(BR560="L1",Parameter!$K$5,Parameter!$K$6+Parameter!$K$7)-(AW560-AS560))/AS560)))</f>
        <v/>
      </c>
      <c r="AY560" s="53">
        <f>IF(AC560&lt;=0,"",IF(BR560="Aussen","Aussenlager",IF(BR560="-","Nicht im Lift",IF(AH560&gt;=1,"Lift",IF(AH560&lt;=0,"Aussenlager","teilweise")))))</f>
        <v/>
      </c>
      <c r="AZ560" s="53">
        <f>IF(AK560&lt;=0,"",IF(BR560="Aussen","Aussenlager",IF(BR560="-","Nicht im Lift",IF(AP560&gt;=1,"Lift",IF(AP560&lt;=0,"Aussenlager","teilweise")))))</f>
        <v/>
      </c>
      <c r="BA560" s="53">
        <f>IF(AS560&lt;=0,"",IF(BR560="Aussen","Aussenlager",IF(BR560="-","Nicht im Lift",IF(AX560&gt;=1,"Lift",IF(AX560&lt;=0,"Aussenlager","teilweise")))))</f>
        <v/>
      </c>
      <c r="BB560" s="53">
        <f>IF(A560="","",IF(BK560=1,"Neu; ","")&amp;IF(AND(BK560=0,BF560&lt;0),"negativer Bestand (Export "&amp;BF560&amp;"); ","")&amp;IF(I560&lt;=0,"Kein Verbrauch; ","")&amp;IF(BO560=1,"Lose – Fläche geschätzt; ","")&amp;IF(G560&gt;AM560,"Überbestand "&amp;ROUND(G560-AM560,0)&amp;" Stk / CHF "&amp;ROUND((G560-AM560)*F560,0)&amp;"; ","")&amp;IF(AND(BT560=1,BU560&lt;BV560),"MAX &lt; MB+LG; ","")&amp;IF(AND(BZ560&gt;0,BY560*10&gt;BZ560),"zu hoch für Tablar; ","")&amp;IF(AND(BK560=0,OR(BT560=1,V560&lt;&gt;"",S560&lt;&gt;"",T560&lt;&gt;"",W560&lt;&gt;"")),"manuell übersteuert; ","")&amp;IF(AND(BO560=0,Q560=0),"Gebinde unbekannt; ","")&amp;IF(AND(BO560=0,N(T560)&lt;=0,N(P560)&lt;=0),"Menge pro Gebinde fehlt (Ist = 1 Gebinde); ","")&amp;BJ560)</f>
        <v/>
      </c>
      <c r="BC560" s="53" t="n"/>
      <c r="BD560" s="53" t="n"/>
      <c r="BE560" s="61" t="n"/>
      <c r="BF560" s="55" t="n">
        <v>4</v>
      </c>
      <c r="BG560" s="55" t="n">
        <v>0</v>
      </c>
      <c r="BH560" s="54" t="n">
        <v>14.2</v>
      </c>
      <c r="BI560" s="55" t="n">
        <v>2</v>
      </c>
      <c r="BJ560" s="53" t="inlineStr"/>
      <c r="BK560" s="58" t="n">
        <v>0</v>
      </c>
      <c r="BL560" s="58" t="n">
        <v>560</v>
      </c>
      <c r="BM560" s="53">
        <f>IF(S560&lt;&gt;"",UPPER(TRIM(S560)),IF(O560="","LOSE",O560))</f>
        <v/>
      </c>
      <c r="BN560" s="55">
        <f>IF(BM560="LOSE",1,IF(N(T560)&gt;0,T560,IF(N(P560)&gt;0,P560,MAX(1,G560))))</f>
        <v/>
      </c>
      <c r="BO560" s="58">
        <f>IF(BM560="LOSE",1,0)</f>
        <v/>
      </c>
      <c r="BP560" s="64">
        <f>IF(BO560=0,0,IF(N(R560)&gt;0,R560,IFERROR(VLOOKUP(D560,Parameter!$A$35:$C$64,3,0)+0,0)))</f>
        <v/>
      </c>
      <c r="BQ560" s="53">
        <f>IF(V560&lt;&gt;"",V560,U560)</f>
        <v/>
      </c>
      <c r="BR560" s="53">
        <f>IF(BQ560=1,"L1",IF(OR(BQ560=2,BQ560=3),"L23",IF(BQ560="Aussen","Aussen","-")))</f>
        <v/>
      </c>
      <c r="BS560" s="66">
        <f>IF(N(W560)&gt;0,W560,0)</f>
        <v/>
      </c>
      <c r="BT560" s="58">
        <f>IF(ISNUMBER(Z560),1,0)</f>
        <v/>
      </c>
      <c r="BU560" s="55">
        <f>N(Z560)</f>
        <v/>
      </c>
      <c r="BV560" s="55">
        <f>N(L560)+N(M560)</f>
        <v/>
      </c>
      <c r="BW560" s="55">
        <f>ROUNDUP(G560/BN560,0)</f>
        <v/>
      </c>
      <c r="BX560" s="55">
        <f>ROUNDUP(BU560/BN560,0)</f>
        <v/>
      </c>
      <c r="BY560" s="58">
        <f>IF(BO560=1,0,IFERROR(VLOOKUP(BM560,'Gebinde-Kategorie'!$A$5:$G$45,5,0)+0,0))</f>
        <v/>
      </c>
      <c r="BZ560" s="58">
        <f>IFERROR(IF(OR(BQ560=1,BQ560=2,BQ560=3),N(INDEX(Parameter!$I$5:$I$7,BQ560)),0),0)</f>
        <v/>
      </c>
    </row>
    <row r="561">
      <c r="A561" s="53" t="inlineStr">
        <is>
          <t>106617</t>
        </is>
      </c>
      <c r="B561" s="53" t="inlineStr">
        <is>
          <t>Verbunddichtring</t>
        </is>
      </c>
      <c r="C561" s="53" t="inlineStr">
        <is>
          <t>F</t>
        </is>
      </c>
      <c r="D561" s="53" t="inlineStr">
        <is>
          <t>KTL</t>
        </is>
      </c>
      <c r="E561" s="53" t="inlineStr">
        <is>
          <t>C</t>
        </is>
      </c>
      <c r="F561" s="54" t="n">
        <v>0.22</v>
      </c>
      <c r="G561" s="55">
        <f>MAX(0,IF(Parameter!$B$20="Jahresanfang 2025 + Export",BG561+BF561,BF561))</f>
        <v/>
      </c>
      <c r="H561" s="55">
        <f>G561*F561</f>
        <v/>
      </c>
      <c r="I561" s="55">
        <f>BI561*Parameter!$B$18</f>
        <v/>
      </c>
      <c r="J561" s="56" t="n">
        <v>143</v>
      </c>
      <c r="K561" s="57" t="n">
        <v>2.160839160839161</v>
      </c>
      <c r="L561" s="55" t="n">
        <v>18</v>
      </c>
      <c r="M561" s="55" t="n">
        <v>310</v>
      </c>
      <c r="N561" s="58" t="n">
        <v>21</v>
      </c>
      <c r="O561" s="53" t="inlineStr">
        <is>
          <t>S21</t>
        </is>
      </c>
      <c r="P561" s="55" t="n">
        <v>119</v>
      </c>
      <c r="Q561" s="59">
        <f>IF(BO561=1,0,IFERROR(VLOOKUP(BM561,'Gebinde-Kategorie'!$A$5:$G$45,6,0)+0,0))</f>
        <v/>
      </c>
      <c r="R561" s="60" t="n"/>
      <c r="S561" s="61" t="n"/>
      <c r="T561" s="61" t="n"/>
      <c r="U561" s="53">
        <f>IF(A561="","",IF(IFERROR(VLOOKUP(D561,Parameter!$A$35:$C$64,2,0),"Nein")="2+3",IF(ISNUMBER(SEARCH("grosser Artikel",BJ561)),2,IFERROR(VLOOKUP(BM561,Parameter!$F$35:$G$64,2,0),2)),IF(OR(IFERROR(VLOOKUP(D561,Parameter!$A$35:$C$64,2,0),"Nein")="Nein",IFERROR(VLOOKUP(D561,Parameter!$A$35:$C$64,2,0),"Nein")=""),"-",VLOOKUP(D561,Parameter!$A$35:$C$64,2,0))))</f>
        <v/>
      </c>
      <c r="V561" s="61" t="n"/>
      <c r="W561" s="62" t="n"/>
      <c r="X561" s="55">
        <f>AM561</f>
        <v/>
      </c>
      <c r="Y561" s="55">
        <f>MAX(AM561,G561)</f>
        <v/>
      </c>
      <c r="Z561" s="63" t="n"/>
      <c r="AA561" s="55">
        <f>IF(LEFT(Cockpit!$C$5,1)="A",G561,IF(BT561=1,BU561,IF(LEFT(Cockpit!$C$5,1)="B",AE561,MAX(AE561,G561))))</f>
        <v/>
      </c>
      <c r="AB561" s="55">
        <f>IF(BO561=1,0,ROUNDUP(AA561/BN561,0))</f>
        <v/>
      </c>
      <c r="AC561" s="64">
        <f>IF(BO561=1,IF(AA561&lt;=0,0,BP561*MAX(1,IF(G561&gt;0,AA561/G561,1))),AB561*Q561)</f>
        <v/>
      </c>
      <c r="AD561" s="55">
        <f>AA561*F561</f>
        <v/>
      </c>
      <c r="AE561" s="55">
        <f>ROUNDUP(MAX(I561/IF(BS561&gt;0,BS561,MAX(0.1,N(Cockpit!$C$6))),BV561)/BN561,0)*BN561</f>
        <v/>
      </c>
      <c r="AF561" s="56">
        <f>IF(AC561&gt;0,I561/AC561,-1)</f>
        <v/>
      </c>
      <c r="AG561" s="56">
        <f>IF(AND(OR(BR561="L1",BR561="L23"),AC561&gt;0),SUMIFS($AC$7:$AC$1570,$BR$7:$BR$1570,BR561,$AF$7:$AF$1570,"&gt;"&amp;AF561)+SUMIFS($AC$7:$AC$1570,$BR$7:$BR$1570,BR561,$AF$7:$AF$1570,AF561,$BL$7:$BL$1570,"&lt;="&amp;BL561),"")</f>
        <v/>
      </c>
      <c r="AH561" s="65">
        <f>IF(AG561="",0,MAX(0,MIN(1,(IF(BR561="L1",Parameter!$K$5,Parameter!$K$6+Parameter!$K$7)-(AG561-AC561))/AC561)))</f>
        <v/>
      </c>
      <c r="AI561" s="55">
        <f>IF(LEFT(Cockpit!$I$5,1)="A",G561,IF(BT561=1,BU561,IF(LEFT(Cockpit!$I$5,1)="B",AM561,MAX(AM561,G561))))</f>
        <v/>
      </c>
      <c r="AJ561" s="55">
        <f>IF(BO561=1,0,ROUNDUP(AI561/BN561,0))</f>
        <v/>
      </c>
      <c r="AK561" s="64">
        <f>IF(BO561=1,IF(AI561&lt;=0,0,BP561*MAX(1,IF(G561&gt;0,AI561/G561,1))),AJ561*Q561)</f>
        <v/>
      </c>
      <c r="AL561" s="55">
        <f>AI561*F561</f>
        <v/>
      </c>
      <c r="AM561" s="55">
        <f>ROUNDUP(MAX(I561/IF(BS561&gt;0,BS561,MAX(0.1,N(Cockpit!$I$6))),BV561)/BN561,0)*BN561</f>
        <v/>
      </c>
      <c r="AN561" s="56">
        <f>IF(AK561&gt;0,I561/AK561,-1)</f>
        <v/>
      </c>
      <c r="AO561" s="56">
        <f>IF(AND(OR(BR561="L1",BR561="L23"),AK561&gt;0),SUMIFS($AK$7:$AK$1570,$BR$7:$BR$1570,BR561,$AN$7:$AN$1570,"&gt;"&amp;AN561)+SUMIFS($AK$7:$AK$1570,$BR$7:$BR$1570,BR561,$AN$7:$AN$1570,AN561,$BL$7:$BL$1570,"&lt;="&amp;BL561),"")</f>
        <v/>
      </c>
      <c r="AP561" s="65">
        <f>IF(AO561="",0,MAX(0,MIN(1,(IF(BR561="L1",Parameter!$K$5,Parameter!$K$6+Parameter!$K$7)-(AO561-AK561))/AK561)))</f>
        <v/>
      </c>
      <c r="AQ561" s="55">
        <f>IF(LEFT(Cockpit!$O$5,1)="A",G561,IF(BT561=1,BU561,IF(LEFT(Cockpit!$O$5,1)="B",AU561,MAX(AU561,G561))))</f>
        <v/>
      </c>
      <c r="AR561" s="55">
        <f>IF(BO561=1,0,ROUNDUP(AQ561/BN561,0))</f>
        <v/>
      </c>
      <c r="AS561" s="64">
        <f>IF(BO561=1,IF(AQ561&lt;=0,0,BP561*MAX(1,IF(G561&gt;0,AQ561/G561,1))),AR561*Q561)</f>
        <v/>
      </c>
      <c r="AT561" s="55">
        <f>AQ561*F561</f>
        <v/>
      </c>
      <c r="AU561" s="55">
        <f>ROUNDUP(MAX(I561/IF(BS561&gt;0,BS561,MAX(0.1,N(Cockpit!$O$6))),BV561)/BN561,0)*BN561</f>
        <v/>
      </c>
      <c r="AV561" s="56">
        <f>IF(AS561&gt;0,I561/AS561,-1)</f>
        <v/>
      </c>
      <c r="AW561" s="56">
        <f>IF(AND(OR(BR561="L1",BR561="L23"),AS561&gt;0),SUMIFS($AS$7:$AS$1570,$BR$7:$BR$1570,BR561,$AV$7:$AV$1570,"&gt;"&amp;AV561)+SUMIFS($AS$7:$AS$1570,$BR$7:$BR$1570,BR561,$AV$7:$AV$1570,AV561,$BL$7:$BL$1570,"&lt;="&amp;BL561),"")</f>
        <v/>
      </c>
      <c r="AX561" s="65">
        <f>IF(AW561="",0,MAX(0,MIN(1,(IF(BR561="L1",Parameter!$K$5,Parameter!$K$6+Parameter!$K$7)-(AW561-AS561))/AS561)))</f>
        <v/>
      </c>
      <c r="AY561" s="53">
        <f>IF(AC561&lt;=0,"",IF(BR561="Aussen","Aussenlager",IF(BR561="-","Nicht im Lift",IF(AH561&gt;=1,"Lift",IF(AH561&lt;=0,"Aussenlager","teilweise")))))</f>
        <v/>
      </c>
      <c r="AZ561" s="53">
        <f>IF(AK561&lt;=0,"",IF(BR561="Aussen","Aussenlager",IF(BR561="-","Nicht im Lift",IF(AP561&gt;=1,"Lift",IF(AP561&lt;=0,"Aussenlager","teilweise")))))</f>
        <v/>
      </c>
      <c r="BA561" s="53">
        <f>IF(AS561&lt;=0,"",IF(BR561="Aussen","Aussenlager",IF(BR561="-","Nicht im Lift",IF(AX561&gt;=1,"Lift",IF(AX561&lt;=0,"Aussenlager","teilweise")))))</f>
        <v/>
      </c>
      <c r="BB561" s="53">
        <f>IF(A561="","",IF(BK561=1,"Neu; ","")&amp;IF(AND(BK561=0,BF561&lt;0),"negativer Bestand (Export "&amp;BF561&amp;"); ","")&amp;IF(I561&lt;=0,"Kein Verbrauch; ","")&amp;IF(BO561=1,"Lose – Fläche geschätzt; ","")&amp;IF(G561&gt;AM561,"Überbestand "&amp;ROUND(G561-AM561,0)&amp;" Stk / CHF "&amp;ROUND((G561-AM561)*F561,0)&amp;"; ","")&amp;IF(AND(BT561=1,BU561&lt;BV561),"MAX &lt; MB+LG; ","")&amp;IF(AND(BZ561&gt;0,BY561*10&gt;BZ561),"zu hoch für Tablar; ","")&amp;IF(AND(BK561=0,OR(BT561=1,V561&lt;&gt;"",S561&lt;&gt;"",T561&lt;&gt;"",W561&lt;&gt;"")),"manuell übersteuert; ","")&amp;IF(AND(BO561=0,Q561=0),"Gebinde unbekannt; ","")&amp;IF(AND(BO561=0,N(T561)&lt;=0,N(P561)&lt;=0),"Menge pro Gebinde fehlt (Ist = 1 Gebinde); ","")&amp;BJ561)</f>
        <v/>
      </c>
      <c r="BC561" s="53" t="n"/>
      <c r="BD561" s="53" t="n"/>
      <c r="BE561" s="61" t="n"/>
      <c r="BF561" s="55" t="n">
        <v>165</v>
      </c>
      <c r="BG561" s="55" t="n">
        <v>148</v>
      </c>
      <c r="BH561" s="54" t="n">
        <v>14.10000000000002</v>
      </c>
      <c r="BI561" s="55" t="n">
        <v>309</v>
      </c>
      <c r="BJ561" s="53" t="inlineStr"/>
      <c r="BK561" s="58" t="n">
        <v>0</v>
      </c>
      <c r="BL561" s="58" t="n">
        <v>561</v>
      </c>
      <c r="BM561" s="53">
        <f>IF(S561&lt;&gt;"",UPPER(TRIM(S561)),IF(O561="","LOSE",O561))</f>
        <v/>
      </c>
      <c r="BN561" s="55">
        <f>IF(BM561="LOSE",1,IF(N(T561)&gt;0,T561,IF(N(P561)&gt;0,P561,MAX(1,G561))))</f>
        <v/>
      </c>
      <c r="BO561" s="58">
        <f>IF(BM561="LOSE",1,0)</f>
        <v/>
      </c>
      <c r="BP561" s="64">
        <f>IF(BO561=0,0,IF(N(R561)&gt;0,R561,IFERROR(VLOOKUP(D561,Parameter!$A$35:$C$64,3,0)+0,0)))</f>
        <v/>
      </c>
      <c r="BQ561" s="53">
        <f>IF(V561&lt;&gt;"",V561,U561)</f>
        <v/>
      </c>
      <c r="BR561" s="53">
        <f>IF(BQ561=1,"L1",IF(OR(BQ561=2,BQ561=3),"L23",IF(BQ561="Aussen","Aussen","-")))</f>
        <v/>
      </c>
      <c r="BS561" s="66">
        <f>IF(N(W561)&gt;0,W561,0)</f>
        <v/>
      </c>
      <c r="BT561" s="58">
        <f>IF(ISNUMBER(Z561),1,0)</f>
        <v/>
      </c>
      <c r="BU561" s="55">
        <f>N(Z561)</f>
        <v/>
      </c>
      <c r="BV561" s="55">
        <f>N(L561)+N(M561)</f>
        <v/>
      </c>
      <c r="BW561" s="55">
        <f>ROUNDUP(G561/BN561,0)</f>
        <v/>
      </c>
      <c r="BX561" s="55">
        <f>ROUNDUP(BU561/BN561,0)</f>
        <v/>
      </c>
      <c r="BY561" s="58">
        <f>IF(BO561=1,0,IFERROR(VLOOKUP(BM561,'Gebinde-Kategorie'!$A$5:$G$45,5,0)+0,0))</f>
        <v/>
      </c>
      <c r="BZ561" s="58">
        <f>IFERROR(IF(OR(BQ561=1,BQ561=2,BQ561=3),N(INDEX(Parameter!$I$5:$I$7,BQ561)),0),0)</f>
        <v/>
      </c>
    </row>
    <row r="562">
      <c r="A562" s="53" t="inlineStr">
        <is>
          <t>107113</t>
        </is>
      </c>
      <c r="B562" s="53" t="inlineStr">
        <is>
          <t>Teflonband</t>
        </is>
      </c>
      <c r="C562" s="53" t="inlineStr">
        <is>
          <t>F</t>
        </is>
      </c>
      <c r="D562" s="53" t="inlineStr">
        <is>
          <t>KTL</t>
        </is>
      </c>
      <c r="E562" s="53" t="inlineStr">
        <is>
          <t>C</t>
        </is>
      </c>
      <c r="F562" s="54" t="n">
        <v>1.4</v>
      </c>
      <c r="G562" s="55">
        <f>MAX(0,IF(Parameter!$B$20="Jahresanfang 2025 + Export",BG562+BF562,BF562))</f>
        <v/>
      </c>
      <c r="H562" s="55">
        <f>G562*F562</f>
        <v/>
      </c>
      <c r="I562" s="55">
        <f>BI562*Parameter!$B$18</f>
        <v/>
      </c>
      <c r="J562" s="56" t="n">
        <v>7.5</v>
      </c>
      <c r="K562" s="57" t="n">
        <v>2</v>
      </c>
      <c r="L562" s="55" t="n">
        <v>1</v>
      </c>
      <c r="M562" s="55" t="n">
        <v>15</v>
      </c>
      <c r="N562" s="58" t="n">
        <v>28</v>
      </c>
      <c r="O562" s="53" t="inlineStr">
        <is>
          <t>S32</t>
        </is>
      </c>
      <c r="P562" s="55" t="n">
        <v>27</v>
      </c>
      <c r="Q562" s="59">
        <f>IF(BO562=1,0,IFERROR(VLOOKUP(BM562,'Gebinde-Kategorie'!$A$5:$G$45,6,0)+0,0))</f>
        <v/>
      </c>
      <c r="R562" s="60" t="n"/>
      <c r="S562" s="61" t="n"/>
      <c r="T562" s="61" t="n"/>
      <c r="U562" s="53">
        <f>IF(A562="","",IF(IFERROR(VLOOKUP(D562,Parameter!$A$35:$C$64,2,0),"Nein")="2+3",IF(ISNUMBER(SEARCH("grosser Artikel",BJ562)),2,IFERROR(VLOOKUP(BM562,Parameter!$F$35:$G$64,2,0),2)),IF(OR(IFERROR(VLOOKUP(D562,Parameter!$A$35:$C$64,2,0),"Nein")="Nein",IFERROR(VLOOKUP(D562,Parameter!$A$35:$C$64,2,0),"Nein")=""),"-",VLOOKUP(D562,Parameter!$A$35:$C$64,2,0))))</f>
        <v/>
      </c>
      <c r="V562" s="61" t="n"/>
      <c r="W562" s="62" t="n"/>
      <c r="X562" s="55">
        <f>AM562</f>
        <v/>
      </c>
      <c r="Y562" s="55">
        <f>MAX(AM562,G562)</f>
        <v/>
      </c>
      <c r="Z562" s="63" t="n"/>
      <c r="AA562" s="55">
        <f>IF(LEFT(Cockpit!$C$5,1)="A",G562,IF(BT562=1,BU562,IF(LEFT(Cockpit!$C$5,1)="B",AE562,MAX(AE562,G562))))</f>
        <v/>
      </c>
      <c r="AB562" s="55">
        <f>IF(BO562=1,0,ROUNDUP(AA562/BN562,0))</f>
        <v/>
      </c>
      <c r="AC562" s="64">
        <f>IF(BO562=1,IF(AA562&lt;=0,0,BP562*MAX(1,IF(G562&gt;0,AA562/G562,1))),AB562*Q562)</f>
        <v/>
      </c>
      <c r="AD562" s="55">
        <f>AA562*F562</f>
        <v/>
      </c>
      <c r="AE562" s="55">
        <f>ROUNDUP(MAX(I562/IF(BS562&gt;0,BS562,MAX(0.1,N(Cockpit!$C$6))),BV562)/BN562,0)*BN562</f>
        <v/>
      </c>
      <c r="AF562" s="56">
        <f>IF(AC562&gt;0,I562/AC562,-1)</f>
        <v/>
      </c>
      <c r="AG562" s="56">
        <f>IF(AND(OR(BR562="L1",BR562="L23"),AC562&gt;0),SUMIFS($AC$7:$AC$1570,$BR$7:$BR$1570,BR562,$AF$7:$AF$1570,"&gt;"&amp;AF562)+SUMIFS($AC$7:$AC$1570,$BR$7:$BR$1570,BR562,$AF$7:$AF$1570,AF562,$BL$7:$BL$1570,"&lt;="&amp;BL562),"")</f>
        <v/>
      </c>
      <c r="AH562" s="65">
        <f>IF(AG562="",0,MAX(0,MIN(1,(IF(BR562="L1",Parameter!$K$5,Parameter!$K$6+Parameter!$K$7)-(AG562-AC562))/AC562)))</f>
        <v/>
      </c>
      <c r="AI562" s="55">
        <f>IF(LEFT(Cockpit!$I$5,1)="A",G562,IF(BT562=1,BU562,IF(LEFT(Cockpit!$I$5,1)="B",AM562,MAX(AM562,G562))))</f>
        <v/>
      </c>
      <c r="AJ562" s="55">
        <f>IF(BO562=1,0,ROUNDUP(AI562/BN562,0))</f>
        <v/>
      </c>
      <c r="AK562" s="64">
        <f>IF(BO562=1,IF(AI562&lt;=0,0,BP562*MAX(1,IF(G562&gt;0,AI562/G562,1))),AJ562*Q562)</f>
        <v/>
      </c>
      <c r="AL562" s="55">
        <f>AI562*F562</f>
        <v/>
      </c>
      <c r="AM562" s="55">
        <f>ROUNDUP(MAX(I562/IF(BS562&gt;0,BS562,MAX(0.1,N(Cockpit!$I$6))),BV562)/BN562,0)*BN562</f>
        <v/>
      </c>
      <c r="AN562" s="56">
        <f>IF(AK562&gt;0,I562/AK562,-1)</f>
        <v/>
      </c>
      <c r="AO562" s="56">
        <f>IF(AND(OR(BR562="L1",BR562="L23"),AK562&gt;0),SUMIFS($AK$7:$AK$1570,$BR$7:$BR$1570,BR562,$AN$7:$AN$1570,"&gt;"&amp;AN562)+SUMIFS($AK$7:$AK$1570,$BR$7:$BR$1570,BR562,$AN$7:$AN$1570,AN562,$BL$7:$BL$1570,"&lt;="&amp;BL562),"")</f>
        <v/>
      </c>
      <c r="AP562" s="65">
        <f>IF(AO562="",0,MAX(0,MIN(1,(IF(BR562="L1",Parameter!$K$5,Parameter!$K$6+Parameter!$K$7)-(AO562-AK562))/AK562)))</f>
        <v/>
      </c>
      <c r="AQ562" s="55">
        <f>IF(LEFT(Cockpit!$O$5,1)="A",G562,IF(BT562=1,BU562,IF(LEFT(Cockpit!$O$5,1)="B",AU562,MAX(AU562,G562))))</f>
        <v/>
      </c>
      <c r="AR562" s="55">
        <f>IF(BO562=1,0,ROUNDUP(AQ562/BN562,0))</f>
        <v/>
      </c>
      <c r="AS562" s="64">
        <f>IF(BO562=1,IF(AQ562&lt;=0,0,BP562*MAX(1,IF(G562&gt;0,AQ562/G562,1))),AR562*Q562)</f>
        <v/>
      </c>
      <c r="AT562" s="55">
        <f>AQ562*F562</f>
        <v/>
      </c>
      <c r="AU562" s="55">
        <f>ROUNDUP(MAX(I562/IF(BS562&gt;0,BS562,MAX(0.1,N(Cockpit!$O$6))),BV562)/BN562,0)*BN562</f>
        <v/>
      </c>
      <c r="AV562" s="56">
        <f>IF(AS562&gt;0,I562/AS562,-1)</f>
        <v/>
      </c>
      <c r="AW562" s="56">
        <f>IF(AND(OR(BR562="L1",BR562="L23"),AS562&gt;0),SUMIFS($AS$7:$AS$1570,$BR$7:$BR$1570,BR562,$AV$7:$AV$1570,"&gt;"&amp;AV562)+SUMIFS($AS$7:$AS$1570,$BR$7:$BR$1570,BR562,$AV$7:$AV$1570,AV562,$BL$7:$BL$1570,"&lt;="&amp;BL562),"")</f>
        <v/>
      </c>
      <c r="AX562" s="65">
        <f>IF(AW562="",0,MAX(0,MIN(1,(IF(BR562="L1",Parameter!$K$5,Parameter!$K$6+Parameter!$K$7)-(AW562-AS562))/AS562)))</f>
        <v/>
      </c>
      <c r="AY562" s="53">
        <f>IF(AC562&lt;=0,"",IF(BR562="Aussen","Aussenlager",IF(BR562="-","Nicht im Lift",IF(AH562&gt;=1,"Lift",IF(AH562&lt;=0,"Aussenlager","teilweise")))))</f>
        <v/>
      </c>
      <c r="AZ562" s="53">
        <f>IF(AK562&lt;=0,"",IF(BR562="Aussen","Aussenlager",IF(BR562="-","Nicht im Lift",IF(AP562&gt;=1,"Lift",IF(AP562&lt;=0,"Aussenlager","teilweise")))))</f>
        <v/>
      </c>
      <c r="BA562" s="53">
        <f>IF(AS562&lt;=0,"",IF(BR562="Aussen","Aussenlager",IF(BR562="-","Nicht im Lift",IF(AX562&gt;=1,"Lift",IF(AX562&lt;=0,"Aussenlager","teilweise")))))</f>
        <v/>
      </c>
      <c r="BB562" s="53">
        <f>IF(A562="","",IF(BK562=1,"Neu; ","")&amp;IF(AND(BK562=0,BF562&lt;0),"negativer Bestand (Export "&amp;BF562&amp;"); ","")&amp;IF(I562&lt;=0,"Kein Verbrauch; ","")&amp;IF(BO562=1,"Lose – Fläche geschätzt; ","")&amp;IF(G562&gt;AM562,"Überbestand "&amp;ROUND(G562-AM562,0)&amp;" Stk / CHF "&amp;ROUND((G562-AM562)*F562,0)&amp;"; ","")&amp;IF(AND(BT562=1,BU562&lt;BV562),"MAX &lt; MB+LG; ","")&amp;IF(AND(BZ562&gt;0,BY562*10&gt;BZ562),"zu hoch für Tablar; ","")&amp;IF(AND(BK562=0,OR(BT562=1,V562&lt;&gt;"",S562&lt;&gt;"",T562&lt;&gt;"",W562&lt;&gt;"")),"manuell übersteuert; ","")&amp;IF(AND(BO562=0,Q562=0),"Gebinde unbekannt; ","")&amp;IF(AND(BO562=0,N(T562)&lt;=0,N(P562)&lt;=0),"Menge pro Gebinde fehlt (Ist = 1 Gebinde); ","")&amp;BJ562)</f>
        <v/>
      </c>
      <c r="BC562" s="53" t="n"/>
      <c r="BD562" s="53" t="n"/>
      <c r="BE562" s="61" t="n"/>
      <c r="BF562" s="55" t="n">
        <v>10</v>
      </c>
      <c r="BG562" s="55" t="n">
        <v>5</v>
      </c>
      <c r="BH562" s="54" t="n">
        <v>14.09999999999999</v>
      </c>
      <c r="BI562" s="55" t="n">
        <v>15</v>
      </c>
      <c r="BJ562" s="53" t="inlineStr"/>
      <c r="BK562" s="58" t="n">
        <v>0</v>
      </c>
      <c r="BL562" s="58" t="n">
        <v>562</v>
      </c>
      <c r="BM562" s="53">
        <f>IF(S562&lt;&gt;"",UPPER(TRIM(S562)),IF(O562="","LOSE",O562))</f>
        <v/>
      </c>
      <c r="BN562" s="55">
        <f>IF(BM562="LOSE",1,IF(N(T562)&gt;0,T562,IF(N(P562)&gt;0,P562,MAX(1,G562))))</f>
        <v/>
      </c>
      <c r="BO562" s="58">
        <f>IF(BM562="LOSE",1,0)</f>
        <v/>
      </c>
      <c r="BP562" s="64">
        <f>IF(BO562=0,0,IF(N(R562)&gt;0,R562,IFERROR(VLOOKUP(D562,Parameter!$A$35:$C$64,3,0)+0,0)))</f>
        <v/>
      </c>
      <c r="BQ562" s="53">
        <f>IF(V562&lt;&gt;"",V562,U562)</f>
        <v/>
      </c>
      <c r="BR562" s="53">
        <f>IF(BQ562=1,"L1",IF(OR(BQ562=2,BQ562=3),"L23",IF(BQ562="Aussen","Aussen","-")))</f>
        <v/>
      </c>
      <c r="BS562" s="66">
        <f>IF(N(W562)&gt;0,W562,0)</f>
        <v/>
      </c>
      <c r="BT562" s="58">
        <f>IF(ISNUMBER(Z562),1,0)</f>
        <v/>
      </c>
      <c r="BU562" s="55">
        <f>N(Z562)</f>
        <v/>
      </c>
      <c r="BV562" s="55">
        <f>N(L562)+N(M562)</f>
        <v/>
      </c>
      <c r="BW562" s="55">
        <f>ROUNDUP(G562/BN562,0)</f>
        <v/>
      </c>
      <c r="BX562" s="55">
        <f>ROUNDUP(BU562/BN562,0)</f>
        <v/>
      </c>
      <c r="BY562" s="58">
        <f>IF(BO562=1,0,IFERROR(VLOOKUP(BM562,'Gebinde-Kategorie'!$A$5:$G$45,5,0)+0,0))</f>
        <v/>
      </c>
      <c r="BZ562" s="58">
        <f>IFERROR(IF(OR(BQ562=1,BQ562=2,BQ562=3),N(INDEX(Parameter!$I$5:$I$7,BQ562)),0),0)</f>
        <v/>
      </c>
    </row>
    <row r="563">
      <c r="A563" s="53" t="inlineStr">
        <is>
          <t>005439</t>
        </is>
      </c>
      <c r="B563" s="53" t="inlineStr">
        <is>
          <t>Halteschrauben zu Filterscheiben</t>
        </is>
      </c>
      <c r="C563" s="53" t="inlineStr">
        <is>
          <t>F</t>
        </is>
      </c>
      <c r="D563" s="53" t="inlineStr">
        <is>
          <t>KTL</t>
        </is>
      </c>
      <c r="E563" s="53" t="inlineStr">
        <is>
          <t>C</t>
        </is>
      </c>
      <c r="F563" s="54" t="n">
        <v>2</v>
      </c>
      <c r="G563" s="55">
        <f>MAX(0,IF(Parameter!$B$20="Jahresanfang 2025 + Export",BG563+BF563,BF563))</f>
        <v/>
      </c>
      <c r="H563" s="55">
        <f>G563*F563</f>
        <v/>
      </c>
      <c r="I563" s="55">
        <f>BI563*Parameter!$B$18</f>
        <v/>
      </c>
      <c r="J563" s="56" t="n">
        <v>7.5</v>
      </c>
      <c r="K563" s="57" t="n">
        <v>0</v>
      </c>
      <c r="L563" s="55" t="n">
        <v>0</v>
      </c>
      <c r="M563" s="55" t="n">
        <v>1</v>
      </c>
      <c r="N563" s="58" t="n">
        <v>28</v>
      </c>
      <c r="O563" s="53" t="inlineStr">
        <is>
          <t>S21</t>
        </is>
      </c>
      <c r="P563" s="55" t="n">
        <v>4</v>
      </c>
      <c r="Q563" s="59">
        <f>IF(BO563=1,0,IFERROR(VLOOKUP(BM563,'Gebinde-Kategorie'!$A$5:$G$45,6,0)+0,0))</f>
        <v/>
      </c>
      <c r="R563" s="60" t="n"/>
      <c r="S563" s="61" t="n"/>
      <c r="T563" s="61" t="n"/>
      <c r="U563" s="53">
        <f>IF(A563="","",IF(IFERROR(VLOOKUP(D563,Parameter!$A$35:$C$64,2,0),"Nein")="2+3",IF(ISNUMBER(SEARCH("grosser Artikel",BJ563)),2,IFERROR(VLOOKUP(BM563,Parameter!$F$35:$G$64,2,0),2)),IF(OR(IFERROR(VLOOKUP(D563,Parameter!$A$35:$C$64,2,0),"Nein")="Nein",IFERROR(VLOOKUP(D563,Parameter!$A$35:$C$64,2,0),"Nein")=""),"-",VLOOKUP(D563,Parameter!$A$35:$C$64,2,0))))</f>
        <v/>
      </c>
      <c r="V563" s="61" t="n"/>
      <c r="W563" s="62" t="n"/>
      <c r="X563" s="55">
        <f>AM563</f>
        <v/>
      </c>
      <c r="Y563" s="55">
        <f>MAX(AM563,G563)</f>
        <v/>
      </c>
      <c r="Z563" s="63" t="n"/>
      <c r="AA563" s="55">
        <f>IF(LEFT(Cockpit!$C$5,1)="A",G563,IF(BT563=1,BU563,IF(LEFT(Cockpit!$C$5,1)="B",AE563,MAX(AE563,G563))))</f>
        <v/>
      </c>
      <c r="AB563" s="55">
        <f>IF(BO563=1,0,ROUNDUP(AA563/BN563,0))</f>
        <v/>
      </c>
      <c r="AC563" s="64">
        <f>IF(BO563=1,IF(AA563&lt;=0,0,BP563*MAX(1,IF(G563&gt;0,AA563/G563,1))),AB563*Q563)</f>
        <v/>
      </c>
      <c r="AD563" s="55">
        <f>AA563*F563</f>
        <v/>
      </c>
      <c r="AE563" s="55">
        <f>ROUNDUP(MAX(I563/IF(BS563&gt;0,BS563,MAX(0.1,N(Cockpit!$C$6))),BV563)/BN563,0)*BN563</f>
        <v/>
      </c>
      <c r="AF563" s="56">
        <f>IF(AC563&gt;0,I563/AC563,-1)</f>
        <v/>
      </c>
      <c r="AG563" s="56">
        <f>IF(AND(OR(BR563="L1",BR563="L23"),AC563&gt;0),SUMIFS($AC$7:$AC$1570,$BR$7:$BR$1570,BR563,$AF$7:$AF$1570,"&gt;"&amp;AF563)+SUMIFS($AC$7:$AC$1570,$BR$7:$BR$1570,BR563,$AF$7:$AF$1570,AF563,$BL$7:$BL$1570,"&lt;="&amp;BL563),"")</f>
        <v/>
      </c>
      <c r="AH563" s="65">
        <f>IF(AG563="",0,MAX(0,MIN(1,(IF(BR563="L1",Parameter!$K$5,Parameter!$K$6+Parameter!$K$7)-(AG563-AC563))/AC563)))</f>
        <v/>
      </c>
      <c r="AI563" s="55">
        <f>IF(LEFT(Cockpit!$I$5,1)="A",G563,IF(BT563=1,BU563,IF(LEFT(Cockpit!$I$5,1)="B",AM563,MAX(AM563,G563))))</f>
        <v/>
      </c>
      <c r="AJ563" s="55">
        <f>IF(BO563=1,0,ROUNDUP(AI563/BN563,0))</f>
        <v/>
      </c>
      <c r="AK563" s="64">
        <f>IF(BO563=1,IF(AI563&lt;=0,0,BP563*MAX(1,IF(G563&gt;0,AI563/G563,1))),AJ563*Q563)</f>
        <v/>
      </c>
      <c r="AL563" s="55">
        <f>AI563*F563</f>
        <v/>
      </c>
      <c r="AM563" s="55">
        <f>ROUNDUP(MAX(I563/IF(BS563&gt;0,BS563,MAX(0.1,N(Cockpit!$I$6))),BV563)/BN563,0)*BN563</f>
        <v/>
      </c>
      <c r="AN563" s="56">
        <f>IF(AK563&gt;0,I563/AK563,-1)</f>
        <v/>
      </c>
      <c r="AO563" s="56">
        <f>IF(AND(OR(BR563="L1",BR563="L23"),AK563&gt;0),SUMIFS($AK$7:$AK$1570,$BR$7:$BR$1570,BR563,$AN$7:$AN$1570,"&gt;"&amp;AN563)+SUMIFS($AK$7:$AK$1570,$BR$7:$BR$1570,BR563,$AN$7:$AN$1570,AN563,$BL$7:$BL$1570,"&lt;="&amp;BL563),"")</f>
        <v/>
      </c>
      <c r="AP563" s="65">
        <f>IF(AO563="",0,MAX(0,MIN(1,(IF(BR563="L1",Parameter!$K$5,Parameter!$K$6+Parameter!$K$7)-(AO563-AK563))/AK563)))</f>
        <v/>
      </c>
      <c r="AQ563" s="55">
        <f>IF(LEFT(Cockpit!$O$5,1)="A",G563,IF(BT563=1,BU563,IF(LEFT(Cockpit!$O$5,1)="B",AU563,MAX(AU563,G563))))</f>
        <v/>
      </c>
      <c r="AR563" s="55">
        <f>IF(BO563=1,0,ROUNDUP(AQ563/BN563,0))</f>
        <v/>
      </c>
      <c r="AS563" s="64">
        <f>IF(BO563=1,IF(AQ563&lt;=0,0,BP563*MAX(1,IF(G563&gt;0,AQ563/G563,1))),AR563*Q563)</f>
        <v/>
      </c>
      <c r="AT563" s="55">
        <f>AQ563*F563</f>
        <v/>
      </c>
      <c r="AU563" s="55">
        <f>ROUNDUP(MAX(I563/IF(BS563&gt;0,BS563,MAX(0.1,N(Cockpit!$O$6))),BV563)/BN563,0)*BN563</f>
        <v/>
      </c>
      <c r="AV563" s="56">
        <f>IF(AS563&gt;0,I563/AS563,-1)</f>
        <v/>
      </c>
      <c r="AW563" s="56">
        <f>IF(AND(OR(BR563="L1",BR563="L23"),AS563&gt;0),SUMIFS($AS$7:$AS$1570,$BR$7:$BR$1570,BR563,$AV$7:$AV$1570,"&gt;"&amp;AV563)+SUMIFS($AS$7:$AS$1570,$BR$7:$BR$1570,BR563,$AV$7:$AV$1570,AV563,$BL$7:$BL$1570,"&lt;="&amp;BL563),"")</f>
        <v/>
      </c>
      <c r="AX563" s="65">
        <f>IF(AW563="",0,MAX(0,MIN(1,(IF(BR563="L1",Parameter!$K$5,Parameter!$K$6+Parameter!$K$7)-(AW563-AS563))/AS563)))</f>
        <v/>
      </c>
      <c r="AY563" s="53">
        <f>IF(AC563&lt;=0,"",IF(BR563="Aussen","Aussenlager",IF(BR563="-","Nicht im Lift",IF(AH563&gt;=1,"Lift",IF(AH563&lt;=0,"Aussenlager","teilweise")))))</f>
        <v/>
      </c>
      <c r="AZ563" s="53">
        <f>IF(AK563&lt;=0,"",IF(BR563="Aussen","Aussenlager",IF(BR563="-","Nicht im Lift",IF(AP563&gt;=1,"Lift",IF(AP563&lt;=0,"Aussenlager","teilweise")))))</f>
        <v/>
      </c>
      <c r="BA563" s="53">
        <f>IF(AS563&lt;=0,"",IF(BR563="Aussen","Aussenlager",IF(BR563="-","Nicht im Lift",IF(AX563&gt;=1,"Lift",IF(AX563&lt;=0,"Aussenlager","teilweise")))))</f>
        <v/>
      </c>
      <c r="BB563" s="53">
        <f>IF(A563="","",IF(BK563=1,"Neu; ","")&amp;IF(AND(BK563=0,BF563&lt;0),"negativer Bestand (Export "&amp;BF563&amp;"); ","")&amp;IF(I563&lt;=0,"Kein Verbrauch; ","")&amp;IF(BO563=1,"Lose – Fläche geschätzt; ","")&amp;IF(G563&gt;AM563,"Überbestand "&amp;ROUND(G563-AM563,0)&amp;" Stk / CHF "&amp;ROUND((G563-AM563)*F563,0)&amp;"; ","")&amp;IF(AND(BT563=1,BU563&lt;BV563),"MAX &lt; MB+LG; ","")&amp;IF(AND(BZ563&gt;0,BY563*10&gt;BZ563),"zu hoch für Tablar; ","")&amp;IF(AND(BK563=0,OR(BT563=1,V563&lt;&gt;"",S563&lt;&gt;"",T563&lt;&gt;"",W563&lt;&gt;"")),"manuell übersteuert; ","")&amp;IF(AND(BO563=0,Q563=0),"Gebinde unbekannt; ","")&amp;IF(AND(BO563=0,N(T563)&lt;=0,N(P563)&lt;=0),"Menge pro Gebinde fehlt (Ist = 1 Gebinde); ","")&amp;BJ563)</f>
        <v/>
      </c>
      <c r="BC563" s="53" t="n"/>
      <c r="BD563" s="53" t="n"/>
      <c r="BE563" s="61" t="n"/>
      <c r="BF563" s="55" t="n">
        <v>7</v>
      </c>
      <c r="BG563" s="55" t="n">
        <v>4</v>
      </c>
      <c r="BH563" s="54" t="n">
        <v>14</v>
      </c>
      <c r="BI563" s="55" t="n">
        <v>0</v>
      </c>
      <c r="BJ563" s="53" t="inlineStr"/>
      <c r="BK563" s="58" t="n">
        <v>0</v>
      </c>
      <c r="BL563" s="58" t="n">
        <v>563</v>
      </c>
      <c r="BM563" s="53">
        <f>IF(S563&lt;&gt;"",UPPER(TRIM(S563)),IF(O563="","LOSE",O563))</f>
        <v/>
      </c>
      <c r="BN563" s="55">
        <f>IF(BM563="LOSE",1,IF(N(T563)&gt;0,T563,IF(N(P563)&gt;0,P563,MAX(1,G563))))</f>
        <v/>
      </c>
      <c r="BO563" s="58">
        <f>IF(BM563="LOSE",1,0)</f>
        <v/>
      </c>
      <c r="BP563" s="64">
        <f>IF(BO563=0,0,IF(N(R563)&gt;0,R563,IFERROR(VLOOKUP(D563,Parameter!$A$35:$C$64,3,0)+0,0)))</f>
        <v/>
      </c>
      <c r="BQ563" s="53">
        <f>IF(V563&lt;&gt;"",V563,U563)</f>
        <v/>
      </c>
      <c r="BR563" s="53">
        <f>IF(BQ563=1,"L1",IF(OR(BQ563=2,BQ563=3),"L23",IF(BQ563="Aussen","Aussen","-")))</f>
        <v/>
      </c>
      <c r="BS563" s="66">
        <f>IF(N(W563)&gt;0,W563,0)</f>
        <v/>
      </c>
      <c r="BT563" s="58">
        <f>IF(ISNUMBER(Z563),1,0)</f>
        <v/>
      </c>
      <c r="BU563" s="55">
        <f>N(Z563)</f>
        <v/>
      </c>
      <c r="BV563" s="55">
        <f>N(L563)+N(M563)</f>
        <v/>
      </c>
      <c r="BW563" s="55">
        <f>ROUNDUP(G563/BN563,0)</f>
        <v/>
      </c>
      <c r="BX563" s="55">
        <f>ROUNDUP(BU563/BN563,0)</f>
        <v/>
      </c>
      <c r="BY563" s="58">
        <f>IF(BO563=1,0,IFERROR(VLOOKUP(BM563,'Gebinde-Kategorie'!$A$5:$G$45,5,0)+0,0))</f>
        <v/>
      </c>
      <c r="BZ563" s="58">
        <f>IFERROR(IF(OR(BQ563=1,BQ563=2,BQ563=3),N(INDEX(Parameter!$I$5:$I$7,BQ563)),0),0)</f>
        <v/>
      </c>
    </row>
    <row r="564">
      <c r="A564" s="53" t="inlineStr">
        <is>
          <t>100089</t>
        </is>
      </c>
      <c r="B564" s="53" t="inlineStr">
        <is>
          <t>Sechskantmutter</t>
        </is>
      </c>
      <c r="C564" s="53" t="inlineStr">
        <is>
          <t>F</t>
        </is>
      </c>
      <c r="D564" s="53" t="inlineStr">
        <is>
          <t>KTL</t>
        </is>
      </c>
      <c r="E564" s="53" t="inlineStr">
        <is>
          <t>C</t>
        </is>
      </c>
      <c r="F564" s="54" t="n">
        <v>0.06</v>
      </c>
      <c r="G564" s="55">
        <f>MAX(0,IF(Parameter!$B$20="Jahresanfang 2025 + Export",BG564+BF564,BF564))</f>
        <v/>
      </c>
      <c r="H564" s="55">
        <f>G564*F564</f>
        <v/>
      </c>
      <c r="I564" s="55">
        <f>BI564*Parameter!$B$18</f>
        <v/>
      </c>
      <c r="J564" s="56" t="n">
        <v>289</v>
      </c>
      <c r="K564" s="57" t="n">
        <v>1.321799307958478</v>
      </c>
      <c r="L564" s="55" t="n">
        <v>22</v>
      </c>
      <c r="M564" s="55" t="n">
        <v>500</v>
      </c>
      <c r="N564" s="58" t="n">
        <v>21</v>
      </c>
      <c r="O564" s="53" t="inlineStr">
        <is>
          <t>S51</t>
        </is>
      </c>
      <c r="P564" s="55" t="n">
        <v>437</v>
      </c>
      <c r="Q564" s="59">
        <f>IF(BO564=1,0,IFERROR(VLOOKUP(BM564,'Gebinde-Kategorie'!$A$5:$G$45,6,0)+0,0))</f>
        <v/>
      </c>
      <c r="R564" s="60" t="n"/>
      <c r="S564" s="61" t="n"/>
      <c r="T564" s="61" t="n"/>
      <c r="U564" s="53">
        <f>IF(A564="","",IF(IFERROR(VLOOKUP(D564,Parameter!$A$35:$C$64,2,0),"Nein")="2+3",IF(ISNUMBER(SEARCH("grosser Artikel",BJ564)),2,IFERROR(VLOOKUP(BM564,Parameter!$F$35:$G$64,2,0),2)),IF(OR(IFERROR(VLOOKUP(D564,Parameter!$A$35:$C$64,2,0),"Nein")="Nein",IFERROR(VLOOKUP(D564,Parameter!$A$35:$C$64,2,0),"Nein")=""),"-",VLOOKUP(D564,Parameter!$A$35:$C$64,2,0))))</f>
        <v/>
      </c>
      <c r="V564" s="61" t="n"/>
      <c r="W564" s="62" t="n"/>
      <c r="X564" s="55">
        <f>AM564</f>
        <v/>
      </c>
      <c r="Y564" s="55">
        <f>MAX(AM564,G564)</f>
        <v/>
      </c>
      <c r="Z564" s="63" t="n"/>
      <c r="AA564" s="55">
        <f>IF(LEFT(Cockpit!$C$5,1)="A",G564,IF(BT564=1,BU564,IF(LEFT(Cockpit!$C$5,1)="B",AE564,MAX(AE564,G564))))</f>
        <v/>
      </c>
      <c r="AB564" s="55">
        <f>IF(BO564=1,0,ROUNDUP(AA564/BN564,0))</f>
        <v/>
      </c>
      <c r="AC564" s="64">
        <f>IF(BO564=1,IF(AA564&lt;=0,0,BP564*MAX(1,IF(G564&gt;0,AA564/G564,1))),AB564*Q564)</f>
        <v/>
      </c>
      <c r="AD564" s="55">
        <f>AA564*F564</f>
        <v/>
      </c>
      <c r="AE564" s="55">
        <f>ROUNDUP(MAX(I564/IF(BS564&gt;0,BS564,MAX(0.1,N(Cockpit!$C$6))),BV564)/BN564,0)*BN564</f>
        <v/>
      </c>
      <c r="AF564" s="56">
        <f>IF(AC564&gt;0,I564/AC564,-1)</f>
        <v/>
      </c>
      <c r="AG564" s="56">
        <f>IF(AND(OR(BR564="L1",BR564="L23"),AC564&gt;0),SUMIFS($AC$7:$AC$1570,$BR$7:$BR$1570,BR564,$AF$7:$AF$1570,"&gt;"&amp;AF564)+SUMIFS($AC$7:$AC$1570,$BR$7:$BR$1570,BR564,$AF$7:$AF$1570,AF564,$BL$7:$BL$1570,"&lt;="&amp;BL564),"")</f>
        <v/>
      </c>
      <c r="AH564" s="65">
        <f>IF(AG564="",0,MAX(0,MIN(1,(IF(BR564="L1",Parameter!$K$5,Parameter!$K$6+Parameter!$K$7)-(AG564-AC564))/AC564)))</f>
        <v/>
      </c>
      <c r="AI564" s="55">
        <f>IF(LEFT(Cockpit!$I$5,1)="A",G564,IF(BT564=1,BU564,IF(LEFT(Cockpit!$I$5,1)="B",AM564,MAX(AM564,G564))))</f>
        <v/>
      </c>
      <c r="AJ564" s="55">
        <f>IF(BO564=1,0,ROUNDUP(AI564/BN564,0))</f>
        <v/>
      </c>
      <c r="AK564" s="64">
        <f>IF(BO564=1,IF(AI564&lt;=0,0,BP564*MAX(1,IF(G564&gt;0,AI564/G564,1))),AJ564*Q564)</f>
        <v/>
      </c>
      <c r="AL564" s="55">
        <f>AI564*F564</f>
        <v/>
      </c>
      <c r="AM564" s="55">
        <f>ROUNDUP(MAX(I564/IF(BS564&gt;0,BS564,MAX(0.1,N(Cockpit!$I$6))),BV564)/BN564,0)*BN564</f>
        <v/>
      </c>
      <c r="AN564" s="56">
        <f>IF(AK564&gt;0,I564/AK564,-1)</f>
        <v/>
      </c>
      <c r="AO564" s="56">
        <f>IF(AND(OR(BR564="L1",BR564="L23"),AK564&gt;0),SUMIFS($AK$7:$AK$1570,$BR$7:$BR$1570,BR564,$AN$7:$AN$1570,"&gt;"&amp;AN564)+SUMIFS($AK$7:$AK$1570,$BR$7:$BR$1570,BR564,$AN$7:$AN$1570,AN564,$BL$7:$BL$1570,"&lt;="&amp;BL564),"")</f>
        <v/>
      </c>
      <c r="AP564" s="65">
        <f>IF(AO564="",0,MAX(0,MIN(1,(IF(BR564="L1",Parameter!$K$5,Parameter!$K$6+Parameter!$K$7)-(AO564-AK564))/AK564)))</f>
        <v/>
      </c>
      <c r="AQ564" s="55">
        <f>IF(LEFT(Cockpit!$O$5,1)="A",G564,IF(BT564=1,BU564,IF(LEFT(Cockpit!$O$5,1)="B",AU564,MAX(AU564,G564))))</f>
        <v/>
      </c>
      <c r="AR564" s="55">
        <f>IF(BO564=1,0,ROUNDUP(AQ564/BN564,0))</f>
        <v/>
      </c>
      <c r="AS564" s="64">
        <f>IF(BO564=1,IF(AQ564&lt;=0,0,BP564*MAX(1,IF(G564&gt;0,AQ564/G564,1))),AR564*Q564)</f>
        <v/>
      </c>
      <c r="AT564" s="55">
        <f>AQ564*F564</f>
        <v/>
      </c>
      <c r="AU564" s="55">
        <f>ROUNDUP(MAX(I564/IF(BS564&gt;0,BS564,MAX(0.1,N(Cockpit!$O$6))),BV564)/BN564,0)*BN564</f>
        <v/>
      </c>
      <c r="AV564" s="56">
        <f>IF(AS564&gt;0,I564/AS564,-1)</f>
        <v/>
      </c>
      <c r="AW564" s="56">
        <f>IF(AND(OR(BR564="L1",BR564="L23"),AS564&gt;0),SUMIFS($AS$7:$AS$1570,$BR$7:$BR$1570,BR564,$AV$7:$AV$1570,"&gt;"&amp;AV564)+SUMIFS($AS$7:$AS$1570,$BR$7:$BR$1570,BR564,$AV$7:$AV$1570,AV564,$BL$7:$BL$1570,"&lt;="&amp;BL564),"")</f>
        <v/>
      </c>
      <c r="AX564" s="65">
        <f>IF(AW564="",0,MAX(0,MIN(1,(IF(BR564="L1",Parameter!$K$5,Parameter!$K$6+Parameter!$K$7)-(AW564-AS564))/AS564)))</f>
        <v/>
      </c>
      <c r="AY564" s="53">
        <f>IF(AC564&lt;=0,"",IF(BR564="Aussen","Aussenlager",IF(BR564="-","Nicht im Lift",IF(AH564&gt;=1,"Lift",IF(AH564&lt;=0,"Aussenlager","teilweise")))))</f>
        <v/>
      </c>
      <c r="AZ564" s="53">
        <f>IF(AK564&lt;=0,"",IF(BR564="Aussen","Aussenlager",IF(BR564="-","Nicht im Lift",IF(AP564&gt;=1,"Lift",IF(AP564&lt;=0,"Aussenlager","teilweise")))))</f>
        <v/>
      </c>
      <c r="BA564" s="53">
        <f>IF(AS564&lt;=0,"",IF(BR564="Aussen","Aussenlager",IF(BR564="-","Nicht im Lift",IF(AX564&gt;=1,"Lift",IF(AX564&lt;=0,"Aussenlager","teilweise")))))</f>
        <v/>
      </c>
      <c r="BB564" s="53">
        <f>IF(A564="","",IF(BK564=1,"Neu; ","")&amp;IF(AND(BK564=0,BF564&lt;0),"negativer Bestand (Export "&amp;BF564&amp;"); ","")&amp;IF(I564&lt;=0,"Kein Verbrauch; ","")&amp;IF(BO564=1,"Lose – Fläche geschätzt; ","")&amp;IF(G564&gt;AM564,"Überbestand "&amp;ROUND(G564-AM564,0)&amp;" Stk / CHF "&amp;ROUND((G564-AM564)*F564,0)&amp;"; ","")&amp;IF(AND(BT564=1,BU564&lt;BV564),"MAX &lt; MB+LG; ","")&amp;IF(AND(BZ564&gt;0,BY564*10&gt;BZ564),"zu hoch für Tablar; ","")&amp;IF(AND(BK564=0,OR(BT564=1,V564&lt;&gt;"",S564&lt;&gt;"",T564&lt;&gt;"",W564&lt;&gt;"")),"manuell übersteuert; ","")&amp;IF(AND(BO564=0,Q564=0),"Gebinde unbekannt; ","")&amp;IF(AND(BO564=0,N(T564)&lt;=0,N(P564)&lt;=0),"Menge pro Gebinde fehlt (Ist = 1 Gebinde); ","")&amp;BJ564)</f>
        <v/>
      </c>
      <c r="BC564" s="53" t="n"/>
      <c r="BD564" s="53" t="n"/>
      <c r="BE564" s="61" t="n"/>
      <c r="BF564" s="55" t="n">
        <v>233</v>
      </c>
      <c r="BG564" s="55" t="n">
        <v>312</v>
      </c>
      <c r="BH564" s="54" t="n">
        <v>13.98</v>
      </c>
      <c r="BI564" s="55" t="n">
        <v>382</v>
      </c>
      <c r="BJ564" s="53" t="inlineStr"/>
      <c r="BK564" s="58" t="n">
        <v>0</v>
      </c>
      <c r="BL564" s="58" t="n">
        <v>564</v>
      </c>
      <c r="BM564" s="53">
        <f>IF(S564&lt;&gt;"",UPPER(TRIM(S564)),IF(O564="","LOSE",O564))</f>
        <v/>
      </c>
      <c r="BN564" s="55">
        <f>IF(BM564="LOSE",1,IF(N(T564)&gt;0,T564,IF(N(P564)&gt;0,P564,MAX(1,G564))))</f>
        <v/>
      </c>
      <c r="BO564" s="58">
        <f>IF(BM564="LOSE",1,0)</f>
        <v/>
      </c>
      <c r="BP564" s="64">
        <f>IF(BO564=0,0,IF(N(R564)&gt;0,R564,IFERROR(VLOOKUP(D564,Parameter!$A$35:$C$64,3,0)+0,0)))</f>
        <v/>
      </c>
      <c r="BQ564" s="53">
        <f>IF(V564&lt;&gt;"",V564,U564)</f>
        <v/>
      </c>
      <c r="BR564" s="53">
        <f>IF(BQ564=1,"L1",IF(OR(BQ564=2,BQ564=3),"L23",IF(BQ564="Aussen","Aussen","-")))</f>
        <v/>
      </c>
      <c r="BS564" s="66">
        <f>IF(N(W564)&gt;0,W564,0)</f>
        <v/>
      </c>
      <c r="BT564" s="58">
        <f>IF(ISNUMBER(Z564),1,0)</f>
        <v/>
      </c>
      <c r="BU564" s="55">
        <f>N(Z564)</f>
        <v/>
      </c>
      <c r="BV564" s="55">
        <f>N(L564)+N(M564)</f>
        <v/>
      </c>
      <c r="BW564" s="55">
        <f>ROUNDUP(G564/BN564,0)</f>
        <v/>
      </c>
      <c r="BX564" s="55">
        <f>ROUNDUP(BU564/BN564,0)</f>
        <v/>
      </c>
      <c r="BY564" s="58">
        <f>IF(BO564=1,0,IFERROR(VLOOKUP(BM564,'Gebinde-Kategorie'!$A$5:$G$45,5,0)+0,0))</f>
        <v/>
      </c>
      <c r="BZ564" s="58">
        <f>IFERROR(IF(OR(BQ564=1,BQ564=2,BQ564=3),N(INDEX(Parameter!$I$5:$I$7,BQ564)),0),0)</f>
        <v/>
      </c>
    </row>
    <row r="565">
      <c r="A565" s="53" t="inlineStr">
        <is>
          <t>005635</t>
        </is>
      </c>
      <c r="B565" s="53" t="inlineStr">
        <is>
          <t>Zylinderschraube mit Innensechskant</t>
        </is>
      </c>
      <c r="C565" s="53" t="inlineStr">
        <is>
          <t>F</t>
        </is>
      </c>
      <c r="D565" s="53" t="inlineStr">
        <is>
          <t>KTL</t>
        </is>
      </c>
      <c r="E565" s="53" t="inlineStr">
        <is>
          <t>C</t>
        </is>
      </c>
      <c r="F565" s="54" t="n">
        <v>0.06</v>
      </c>
      <c r="G565" s="55">
        <f>MAX(0,IF(Parameter!$B$20="Jahresanfang 2025 + Export",BG565+BF565,BF565))</f>
        <v/>
      </c>
      <c r="H565" s="55">
        <f>G565*F565</f>
        <v/>
      </c>
      <c r="I565" s="55">
        <f>BI565*Parameter!$B$18</f>
        <v/>
      </c>
      <c r="J565" s="56" t="n">
        <v>144.5</v>
      </c>
      <c r="K565" s="57" t="n">
        <v>2.041522491349481</v>
      </c>
      <c r="L565" s="55" t="n">
        <v>17</v>
      </c>
      <c r="M565" s="55" t="n">
        <v>400</v>
      </c>
      <c r="N565" s="58" t="n">
        <v>21</v>
      </c>
      <c r="O565" s="53" t="inlineStr">
        <is>
          <t>S32</t>
        </is>
      </c>
      <c r="P565" s="55" t="n">
        <v>150</v>
      </c>
      <c r="Q565" s="59">
        <f>IF(BO565=1,0,IFERROR(VLOOKUP(BM565,'Gebinde-Kategorie'!$A$5:$G$45,6,0)+0,0))</f>
        <v/>
      </c>
      <c r="R565" s="60" t="n"/>
      <c r="S565" s="61" t="n"/>
      <c r="T565" s="61" t="n"/>
      <c r="U565" s="53">
        <f>IF(A565="","",IF(IFERROR(VLOOKUP(D565,Parameter!$A$35:$C$64,2,0),"Nein")="2+3",IF(ISNUMBER(SEARCH("grosser Artikel",BJ565)),2,IFERROR(VLOOKUP(BM565,Parameter!$F$35:$G$64,2,0),2)),IF(OR(IFERROR(VLOOKUP(D565,Parameter!$A$35:$C$64,2,0),"Nein")="Nein",IFERROR(VLOOKUP(D565,Parameter!$A$35:$C$64,2,0),"Nein")=""),"-",VLOOKUP(D565,Parameter!$A$35:$C$64,2,0))))</f>
        <v/>
      </c>
      <c r="V565" s="61" t="n"/>
      <c r="W565" s="62" t="n"/>
      <c r="X565" s="55">
        <f>AM565</f>
        <v/>
      </c>
      <c r="Y565" s="55">
        <f>MAX(AM565,G565)</f>
        <v/>
      </c>
      <c r="Z565" s="63" t="n"/>
      <c r="AA565" s="55">
        <f>IF(LEFT(Cockpit!$C$5,1)="A",G565,IF(BT565=1,BU565,IF(LEFT(Cockpit!$C$5,1)="B",AE565,MAX(AE565,G565))))</f>
        <v/>
      </c>
      <c r="AB565" s="55">
        <f>IF(BO565=1,0,ROUNDUP(AA565/BN565,0))</f>
        <v/>
      </c>
      <c r="AC565" s="64">
        <f>IF(BO565=1,IF(AA565&lt;=0,0,BP565*MAX(1,IF(G565&gt;0,AA565/G565,1))),AB565*Q565)</f>
        <v/>
      </c>
      <c r="AD565" s="55">
        <f>AA565*F565</f>
        <v/>
      </c>
      <c r="AE565" s="55">
        <f>ROUNDUP(MAX(I565/IF(BS565&gt;0,BS565,MAX(0.1,N(Cockpit!$C$6))),BV565)/BN565,0)*BN565</f>
        <v/>
      </c>
      <c r="AF565" s="56">
        <f>IF(AC565&gt;0,I565/AC565,-1)</f>
        <v/>
      </c>
      <c r="AG565" s="56">
        <f>IF(AND(OR(BR565="L1",BR565="L23"),AC565&gt;0),SUMIFS($AC$7:$AC$1570,$BR$7:$BR$1570,BR565,$AF$7:$AF$1570,"&gt;"&amp;AF565)+SUMIFS($AC$7:$AC$1570,$BR$7:$BR$1570,BR565,$AF$7:$AF$1570,AF565,$BL$7:$BL$1570,"&lt;="&amp;BL565),"")</f>
        <v/>
      </c>
      <c r="AH565" s="65">
        <f>IF(AG565="",0,MAX(0,MIN(1,(IF(BR565="L1",Parameter!$K$5,Parameter!$K$6+Parameter!$K$7)-(AG565-AC565))/AC565)))</f>
        <v/>
      </c>
      <c r="AI565" s="55">
        <f>IF(LEFT(Cockpit!$I$5,1)="A",G565,IF(BT565=1,BU565,IF(LEFT(Cockpit!$I$5,1)="B",AM565,MAX(AM565,G565))))</f>
        <v/>
      </c>
      <c r="AJ565" s="55">
        <f>IF(BO565=1,0,ROUNDUP(AI565/BN565,0))</f>
        <v/>
      </c>
      <c r="AK565" s="64">
        <f>IF(BO565=1,IF(AI565&lt;=0,0,BP565*MAX(1,IF(G565&gt;0,AI565/G565,1))),AJ565*Q565)</f>
        <v/>
      </c>
      <c r="AL565" s="55">
        <f>AI565*F565</f>
        <v/>
      </c>
      <c r="AM565" s="55">
        <f>ROUNDUP(MAX(I565/IF(BS565&gt;0,BS565,MAX(0.1,N(Cockpit!$I$6))),BV565)/BN565,0)*BN565</f>
        <v/>
      </c>
      <c r="AN565" s="56">
        <f>IF(AK565&gt;0,I565/AK565,-1)</f>
        <v/>
      </c>
      <c r="AO565" s="56">
        <f>IF(AND(OR(BR565="L1",BR565="L23"),AK565&gt;0),SUMIFS($AK$7:$AK$1570,$BR$7:$BR$1570,BR565,$AN$7:$AN$1570,"&gt;"&amp;AN565)+SUMIFS($AK$7:$AK$1570,$BR$7:$BR$1570,BR565,$AN$7:$AN$1570,AN565,$BL$7:$BL$1570,"&lt;="&amp;BL565),"")</f>
        <v/>
      </c>
      <c r="AP565" s="65">
        <f>IF(AO565="",0,MAX(0,MIN(1,(IF(BR565="L1",Parameter!$K$5,Parameter!$K$6+Parameter!$K$7)-(AO565-AK565))/AK565)))</f>
        <v/>
      </c>
      <c r="AQ565" s="55">
        <f>IF(LEFT(Cockpit!$O$5,1)="A",G565,IF(BT565=1,BU565,IF(LEFT(Cockpit!$O$5,1)="B",AU565,MAX(AU565,G565))))</f>
        <v/>
      </c>
      <c r="AR565" s="55">
        <f>IF(BO565=1,0,ROUNDUP(AQ565/BN565,0))</f>
        <v/>
      </c>
      <c r="AS565" s="64">
        <f>IF(BO565=1,IF(AQ565&lt;=0,0,BP565*MAX(1,IF(G565&gt;0,AQ565/G565,1))),AR565*Q565)</f>
        <v/>
      </c>
      <c r="AT565" s="55">
        <f>AQ565*F565</f>
        <v/>
      </c>
      <c r="AU565" s="55">
        <f>ROUNDUP(MAX(I565/IF(BS565&gt;0,BS565,MAX(0.1,N(Cockpit!$O$6))),BV565)/BN565,0)*BN565</f>
        <v/>
      </c>
      <c r="AV565" s="56">
        <f>IF(AS565&gt;0,I565/AS565,-1)</f>
        <v/>
      </c>
      <c r="AW565" s="56">
        <f>IF(AND(OR(BR565="L1",BR565="L23"),AS565&gt;0),SUMIFS($AS$7:$AS$1570,$BR$7:$BR$1570,BR565,$AV$7:$AV$1570,"&gt;"&amp;AV565)+SUMIFS($AS$7:$AS$1570,$BR$7:$BR$1570,BR565,$AV$7:$AV$1570,AV565,$BL$7:$BL$1570,"&lt;="&amp;BL565),"")</f>
        <v/>
      </c>
      <c r="AX565" s="65">
        <f>IF(AW565="",0,MAX(0,MIN(1,(IF(BR565="L1",Parameter!$K$5,Parameter!$K$6+Parameter!$K$7)-(AW565-AS565))/AS565)))</f>
        <v/>
      </c>
      <c r="AY565" s="53">
        <f>IF(AC565&lt;=0,"",IF(BR565="Aussen","Aussenlager",IF(BR565="-","Nicht im Lift",IF(AH565&gt;=1,"Lift",IF(AH565&lt;=0,"Aussenlager","teilweise")))))</f>
        <v/>
      </c>
      <c r="AZ565" s="53">
        <f>IF(AK565&lt;=0,"",IF(BR565="Aussen","Aussenlager",IF(BR565="-","Nicht im Lift",IF(AP565&gt;=1,"Lift",IF(AP565&lt;=0,"Aussenlager","teilweise")))))</f>
        <v/>
      </c>
      <c r="BA565" s="53">
        <f>IF(AS565&lt;=0,"",IF(BR565="Aussen","Aussenlager",IF(BR565="-","Nicht im Lift",IF(AX565&gt;=1,"Lift",IF(AX565&lt;=0,"Aussenlager","teilweise")))))</f>
        <v/>
      </c>
      <c r="BB565" s="53">
        <f>IF(A565="","",IF(BK565=1,"Neu; ","")&amp;IF(AND(BK565=0,BF565&lt;0),"negativer Bestand (Export "&amp;BF565&amp;"); ","")&amp;IF(I565&lt;=0,"Kein Verbrauch; ","")&amp;IF(BO565=1,"Lose – Fläche geschätzt; ","")&amp;IF(G565&gt;AM565,"Überbestand "&amp;ROUND(G565-AM565,0)&amp;" Stk / CHF "&amp;ROUND((G565-AM565)*F565,0)&amp;"; ","")&amp;IF(AND(BT565=1,BU565&lt;BV565),"MAX &lt; MB+LG; ","")&amp;IF(AND(BZ565&gt;0,BY565*10&gt;BZ565),"zu hoch für Tablar; ","")&amp;IF(AND(BK565=0,OR(BT565=1,V565&lt;&gt;"",S565&lt;&gt;"",T565&lt;&gt;"",W565&lt;&gt;"")),"manuell übersteuert; ","")&amp;IF(AND(BO565=0,Q565=0),"Gebinde unbekannt; ","")&amp;IF(AND(BO565=0,N(T565)&lt;=0,N(P565)&lt;=0),"Menge pro Gebinde fehlt (Ist = 1 Gebinde); ","")&amp;BJ565)</f>
        <v/>
      </c>
      <c r="BC565" s="53" t="n"/>
      <c r="BD565" s="53" t="n"/>
      <c r="BE565" s="61" t="n"/>
      <c r="BF565" s="55" t="n">
        <v>259</v>
      </c>
      <c r="BG565" s="55" t="n">
        <v>116</v>
      </c>
      <c r="BH565" s="54" t="n">
        <v>13.22</v>
      </c>
      <c r="BI565" s="55" t="n">
        <v>295</v>
      </c>
      <c r="BJ565" s="53" t="inlineStr">
        <is>
          <t>nicht im KTL vorhanden</t>
        </is>
      </c>
      <c r="BK565" s="58" t="n">
        <v>0</v>
      </c>
      <c r="BL565" s="58" t="n">
        <v>565</v>
      </c>
      <c r="BM565" s="53">
        <f>IF(S565&lt;&gt;"",UPPER(TRIM(S565)),IF(O565="","LOSE",O565))</f>
        <v/>
      </c>
      <c r="BN565" s="55">
        <f>IF(BM565="LOSE",1,IF(N(T565)&gt;0,T565,IF(N(P565)&gt;0,P565,MAX(1,G565))))</f>
        <v/>
      </c>
      <c r="BO565" s="58">
        <f>IF(BM565="LOSE",1,0)</f>
        <v/>
      </c>
      <c r="BP565" s="64">
        <f>IF(BO565=0,0,IF(N(R565)&gt;0,R565,IFERROR(VLOOKUP(D565,Parameter!$A$35:$C$64,3,0)+0,0)))</f>
        <v/>
      </c>
      <c r="BQ565" s="53">
        <f>IF(V565&lt;&gt;"",V565,U565)</f>
        <v/>
      </c>
      <c r="BR565" s="53">
        <f>IF(BQ565=1,"L1",IF(OR(BQ565=2,BQ565=3),"L23",IF(BQ565="Aussen","Aussen","-")))</f>
        <v/>
      </c>
      <c r="BS565" s="66">
        <f>IF(N(W565)&gt;0,W565,0)</f>
        <v/>
      </c>
      <c r="BT565" s="58">
        <f>IF(ISNUMBER(Z565),1,0)</f>
        <v/>
      </c>
      <c r="BU565" s="55">
        <f>N(Z565)</f>
        <v/>
      </c>
      <c r="BV565" s="55">
        <f>N(L565)+N(M565)</f>
        <v/>
      </c>
      <c r="BW565" s="55">
        <f>ROUNDUP(G565/BN565,0)</f>
        <v/>
      </c>
      <c r="BX565" s="55">
        <f>ROUNDUP(BU565/BN565,0)</f>
        <v/>
      </c>
      <c r="BY565" s="58">
        <f>IF(BO565=1,0,IFERROR(VLOOKUP(BM565,'Gebinde-Kategorie'!$A$5:$G$45,5,0)+0,0))</f>
        <v/>
      </c>
      <c r="BZ565" s="58">
        <f>IFERROR(IF(OR(BQ565=1,BQ565=2,BQ565=3),N(INDEX(Parameter!$I$5:$I$7,BQ565)),0),0)</f>
        <v/>
      </c>
    </row>
    <row r="566">
      <c r="A566" s="53" t="inlineStr">
        <is>
          <t>108143</t>
        </is>
      </c>
      <c r="B566" s="53" t="inlineStr">
        <is>
          <t>Zylinderschraube mit Innensechskant</t>
        </is>
      </c>
      <c r="C566" s="53" t="inlineStr">
        <is>
          <t>F</t>
        </is>
      </c>
      <c r="D566" s="53" t="inlineStr">
        <is>
          <t>KTL</t>
        </is>
      </c>
      <c r="E566" s="53" t="inlineStr">
        <is>
          <t>C</t>
        </is>
      </c>
      <c r="F566" s="54" t="n">
        <v>0.03</v>
      </c>
      <c r="G566" s="55">
        <f>MAX(0,IF(Parameter!$B$20="Jahresanfang 2025 + Export",BG566+BF566,BF566))</f>
        <v/>
      </c>
      <c r="H566" s="55">
        <f>G566*F566</f>
        <v/>
      </c>
      <c r="I566" s="55">
        <f>BI566*Parameter!$B$18</f>
        <v/>
      </c>
      <c r="J566" s="56" t="n">
        <v>521.5</v>
      </c>
      <c r="K566" s="57" t="n">
        <v>1.158197507190796</v>
      </c>
      <c r="L566" s="55" t="n">
        <v>35</v>
      </c>
      <c r="M566" s="55" t="n">
        <v>500</v>
      </c>
      <c r="N566" s="58" t="n">
        <v>21</v>
      </c>
      <c r="O566" s="53" t="inlineStr">
        <is>
          <t>S32</t>
        </is>
      </c>
      <c r="P566" s="55" t="n">
        <v>504</v>
      </c>
      <c r="Q566" s="59">
        <f>IF(BO566=1,0,IFERROR(VLOOKUP(BM566,'Gebinde-Kategorie'!$A$5:$G$45,6,0)+0,0))</f>
        <v/>
      </c>
      <c r="R566" s="60" t="n"/>
      <c r="S566" s="61" t="n"/>
      <c r="T566" s="61" t="n"/>
      <c r="U566" s="53">
        <f>IF(A566="","",IF(IFERROR(VLOOKUP(D566,Parameter!$A$35:$C$64,2,0),"Nein")="2+3",IF(ISNUMBER(SEARCH("grosser Artikel",BJ566)),2,IFERROR(VLOOKUP(BM566,Parameter!$F$35:$G$64,2,0),2)),IF(OR(IFERROR(VLOOKUP(D566,Parameter!$A$35:$C$64,2,0),"Nein")="Nein",IFERROR(VLOOKUP(D566,Parameter!$A$35:$C$64,2,0),"Nein")=""),"-",VLOOKUP(D566,Parameter!$A$35:$C$64,2,0))))</f>
        <v/>
      </c>
      <c r="V566" s="61" t="n"/>
      <c r="W566" s="62" t="n"/>
      <c r="X566" s="55">
        <f>AM566</f>
        <v/>
      </c>
      <c r="Y566" s="55">
        <f>MAX(AM566,G566)</f>
        <v/>
      </c>
      <c r="Z566" s="63" t="n"/>
      <c r="AA566" s="55">
        <f>IF(LEFT(Cockpit!$C$5,1)="A",G566,IF(BT566=1,BU566,IF(LEFT(Cockpit!$C$5,1)="B",AE566,MAX(AE566,G566))))</f>
        <v/>
      </c>
      <c r="AB566" s="55">
        <f>IF(BO566=1,0,ROUNDUP(AA566/BN566,0))</f>
        <v/>
      </c>
      <c r="AC566" s="64">
        <f>IF(BO566=1,IF(AA566&lt;=0,0,BP566*MAX(1,IF(G566&gt;0,AA566/G566,1))),AB566*Q566)</f>
        <v/>
      </c>
      <c r="AD566" s="55">
        <f>AA566*F566</f>
        <v/>
      </c>
      <c r="AE566" s="55">
        <f>ROUNDUP(MAX(I566/IF(BS566&gt;0,BS566,MAX(0.1,N(Cockpit!$C$6))),BV566)/BN566,0)*BN566</f>
        <v/>
      </c>
      <c r="AF566" s="56">
        <f>IF(AC566&gt;0,I566/AC566,-1)</f>
        <v/>
      </c>
      <c r="AG566" s="56">
        <f>IF(AND(OR(BR566="L1",BR566="L23"),AC566&gt;0),SUMIFS($AC$7:$AC$1570,$BR$7:$BR$1570,BR566,$AF$7:$AF$1570,"&gt;"&amp;AF566)+SUMIFS($AC$7:$AC$1570,$BR$7:$BR$1570,BR566,$AF$7:$AF$1570,AF566,$BL$7:$BL$1570,"&lt;="&amp;BL566),"")</f>
        <v/>
      </c>
      <c r="AH566" s="65">
        <f>IF(AG566="",0,MAX(0,MIN(1,(IF(BR566="L1",Parameter!$K$5,Parameter!$K$6+Parameter!$K$7)-(AG566-AC566))/AC566)))</f>
        <v/>
      </c>
      <c r="AI566" s="55">
        <f>IF(LEFT(Cockpit!$I$5,1)="A",G566,IF(BT566=1,BU566,IF(LEFT(Cockpit!$I$5,1)="B",AM566,MAX(AM566,G566))))</f>
        <v/>
      </c>
      <c r="AJ566" s="55">
        <f>IF(BO566=1,0,ROUNDUP(AI566/BN566,0))</f>
        <v/>
      </c>
      <c r="AK566" s="64">
        <f>IF(BO566=1,IF(AI566&lt;=0,0,BP566*MAX(1,IF(G566&gt;0,AI566/G566,1))),AJ566*Q566)</f>
        <v/>
      </c>
      <c r="AL566" s="55">
        <f>AI566*F566</f>
        <v/>
      </c>
      <c r="AM566" s="55">
        <f>ROUNDUP(MAX(I566/IF(BS566&gt;0,BS566,MAX(0.1,N(Cockpit!$I$6))),BV566)/BN566,0)*BN566</f>
        <v/>
      </c>
      <c r="AN566" s="56">
        <f>IF(AK566&gt;0,I566/AK566,-1)</f>
        <v/>
      </c>
      <c r="AO566" s="56">
        <f>IF(AND(OR(BR566="L1",BR566="L23"),AK566&gt;0),SUMIFS($AK$7:$AK$1570,$BR$7:$BR$1570,BR566,$AN$7:$AN$1570,"&gt;"&amp;AN566)+SUMIFS($AK$7:$AK$1570,$BR$7:$BR$1570,BR566,$AN$7:$AN$1570,AN566,$BL$7:$BL$1570,"&lt;="&amp;BL566),"")</f>
        <v/>
      </c>
      <c r="AP566" s="65">
        <f>IF(AO566="",0,MAX(0,MIN(1,(IF(BR566="L1",Parameter!$K$5,Parameter!$K$6+Parameter!$K$7)-(AO566-AK566))/AK566)))</f>
        <v/>
      </c>
      <c r="AQ566" s="55">
        <f>IF(LEFT(Cockpit!$O$5,1)="A",G566,IF(BT566=1,BU566,IF(LEFT(Cockpit!$O$5,1)="B",AU566,MAX(AU566,G566))))</f>
        <v/>
      </c>
      <c r="AR566" s="55">
        <f>IF(BO566=1,0,ROUNDUP(AQ566/BN566,0))</f>
        <v/>
      </c>
      <c r="AS566" s="64">
        <f>IF(BO566=1,IF(AQ566&lt;=0,0,BP566*MAX(1,IF(G566&gt;0,AQ566/G566,1))),AR566*Q566)</f>
        <v/>
      </c>
      <c r="AT566" s="55">
        <f>AQ566*F566</f>
        <v/>
      </c>
      <c r="AU566" s="55">
        <f>ROUNDUP(MAX(I566/IF(BS566&gt;0,BS566,MAX(0.1,N(Cockpit!$O$6))),BV566)/BN566,0)*BN566</f>
        <v/>
      </c>
      <c r="AV566" s="56">
        <f>IF(AS566&gt;0,I566/AS566,-1)</f>
        <v/>
      </c>
      <c r="AW566" s="56">
        <f>IF(AND(OR(BR566="L1",BR566="L23"),AS566&gt;0),SUMIFS($AS$7:$AS$1570,$BR$7:$BR$1570,BR566,$AV$7:$AV$1570,"&gt;"&amp;AV566)+SUMIFS($AS$7:$AS$1570,$BR$7:$BR$1570,BR566,$AV$7:$AV$1570,AV566,$BL$7:$BL$1570,"&lt;="&amp;BL566),"")</f>
        <v/>
      </c>
      <c r="AX566" s="65">
        <f>IF(AW566="",0,MAX(0,MIN(1,(IF(BR566="L1",Parameter!$K$5,Parameter!$K$6+Parameter!$K$7)-(AW566-AS566))/AS566)))</f>
        <v/>
      </c>
      <c r="AY566" s="53">
        <f>IF(AC566&lt;=0,"",IF(BR566="Aussen","Aussenlager",IF(BR566="-","Nicht im Lift",IF(AH566&gt;=1,"Lift",IF(AH566&lt;=0,"Aussenlager","teilweise")))))</f>
        <v/>
      </c>
      <c r="AZ566" s="53">
        <f>IF(AK566&lt;=0,"",IF(BR566="Aussen","Aussenlager",IF(BR566="-","Nicht im Lift",IF(AP566&gt;=1,"Lift",IF(AP566&lt;=0,"Aussenlager","teilweise")))))</f>
        <v/>
      </c>
      <c r="BA566" s="53">
        <f>IF(AS566&lt;=0,"",IF(BR566="Aussen","Aussenlager",IF(BR566="-","Nicht im Lift",IF(AX566&gt;=1,"Lift",IF(AX566&lt;=0,"Aussenlager","teilweise")))))</f>
        <v/>
      </c>
      <c r="BB566" s="53">
        <f>IF(A566="","",IF(BK566=1,"Neu; ","")&amp;IF(AND(BK566=0,BF566&lt;0),"negativer Bestand (Export "&amp;BF566&amp;"); ","")&amp;IF(I566&lt;=0,"Kein Verbrauch; ","")&amp;IF(BO566=1,"Lose – Fläche geschätzt; ","")&amp;IF(G566&gt;AM566,"Überbestand "&amp;ROUND(G566-AM566,0)&amp;" Stk / CHF "&amp;ROUND((G566-AM566)*F566,0)&amp;"; ","")&amp;IF(AND(BT566=1,BU566&lt;BV566),"MAX &lt; MB+LG; ","")&amp;IF(AND(BZ566&gt;0,BY566*10&gt;BZ566),"zu hoch für Tablar; ","")&amp;IF(AND(BK566=0,OR(BT566=1,V566&lt;&gt;"",S566&lt;&gt;"",T566&lt;&gt;"",W566&lt;&gt;"")),"manuell übersteuert; ","")&amp;IF(AND(BO566=0,Q566=0),"Gebinde unbekannt; ","")&amp;IF(AND(BO566=0,N(T566)&lt;=0,N(P566)&lt;=0),"Menge pro Gebinde fehlt (Ist = 1 Gebinde); ","")&amp;BJ566)</f>
        <v/>
      </c>
      <c r="BC566" s="53" t="n"/>
      <c r="BD566" s="53" t="n"/>
      <c r="BE566" s="61" t="n"/>
      <c r="BF566" s="55" t="n">
        <v>439</v>
      </c>
      <c r="BG566" s="55" t="n">
        <v>582</v>
      </c>
      <c r="BH566" s="54" t="n">
        <v>13.17000000000001</v>
      </c>
      <c r="BI566" s="55" t="n">
        <v>604</v>
      </c>
      <c r="BJ566" s="53" t="inlineStr"/>
      <c r="BK566" s="58" t="n">
        <v>0</v>
      </c>
      <c r="BL566" s="58" t="n">
        <v>566</v>
      </c>
      <c r="BM566" s="53">
        <f>IF(S566&lt;&gt;"",UPPER(TRIM(S566)),IF(O566="","LOSE",O566))</f>
        <v/>
      </c>
      <c r="BN566" s="55">
        <f>IF(BM566="LOSE",1,IF(N(T566)&gt;0,T566,IF(N(P566)&gt;0,P566,MAX(1,G566))))</f>
        <v/>
      </c>
      <c r="BO566" s="58">
        <f>IF(BM566="LOSE",1,0)</f>
        <v/>
      </c>
      <c r="BP566" s="64">
        <f>IF(BO566=0,0,IF(N(R566)&gt;0,R566,IFERROR(VLOOKUP(D566,Parameter!$A$35:$C$64,3,0)+0,0)))</f>
        <v/>
      </c>
      <c r="BQ566" s="53">
        <f>IF(V566&lt;&gt;"",V566,U566)</f>
        <v/>
      </c>
      <c r="BR566" s="53">
        <f>IF(BQ566=1,"L1",IF(OR(BQ566=2,BQ566=3),"L23",IF(BQ566="Aussen","Aussen","-")))</f>
        <v/>
      </c>
      <c r="BS566" s="66">
        <f>IF(N(W566)&gt;0,W566,0)</f>
        <v/>
      </c>
      <c r="BT566" s="58">
        <f>IF(ISNUMBER(Z566),1,0)</f>
        <v/>
      </c>
      <c r="BU566" s="55">
        <f>N(Z566)</f>
        <v/>
      </c>
      <c r="BV566" s="55">
        <f>N(L566)+N(M566)</f>
        <v/>
      </c>
      <c r="BW566" s="55">
        <f>ROUNDUP(G566/BN566,0)</f>
        <v/>
      </c>
      <c r="BX566" s="55">
        <f>ROUNDUP(BU566/BN566,0)</f>
        <v/>
      </c>
      <c r="BY566" s="58">
        <f>IF(BO566=1,0,IFERROR(VLOOKUP(BM566,'Gebinde-Kategorie'!$A$5:$G$45,5,0)+0,0))</f>
        <v/>
      </c>
      <c r="BZ566" s="58">
        <f>IFERROR(IF(OR(BQ566=1,BQ566=2,BQ566=3),N(INDEX(Parameter!$I$5:$I$7,BQ566)),0),0)</f>
        <v/>
      </c>
    </row>
    <row r="567">
      <c r="A567" s="53" t="inlineStr">
        <is>
          <t>106095</t>
        </is>
      </c>
      <c r="B567" s="53" t="inlineStr">
        <is>
          <t>Unterlagsscheibe</t>
        </is>
      </c>
      <c r="C567" s="53" t="inlineStr">
        <is>
          <t>F</t>
        </is>
      </c>
      <c r="D567" s="53" t="inlineStr">
        <is>
          <t>KTL</t>
        </is>
      </c>
      <c r="E567" s="53" t="inlineStr">
        <is>
          <t>C</t>
        </is>
      </c>
      <c r="F567" s="54" t="n">
        <v>3.84</v>
      </c>
      <c r="G567" s="55">
        <f>MAX(0,IF(Parameter!$B$20="Jahresanfang 2025 + Export",BG567+BF567,BF567))</f>
        <v/>
      </c>
      <c r="H567" s="55">
        <f>G567*F567</f>
        <v/>
      </c>
      <c r="I567" s="55">
        <f>BI567*Parameter!$B$18</f>
        <v/>
      </c>
      <c r="J567" s="56" t="n">
        <v>140.5</v>
      </c>
      <c r="K567" s="57" t="n">
        <v>0.7544483985765125</v>
      </c>
      <c r="L567" s="55" t="n">
        <v>16</v>
      </c>
      <c r="M567" s="55" t="n">
        <v>105</v>
      </c>
      <c r="N567" s="58" t="n">
        <v>56</v>
      </c>
      <c r="O567" s="53" t="inlineStr">
        <is>
          <t>S32</t>
        </is>
      </c>
      <c r="P567" s="55" t="n">
        <v>88</v>
      </c>
      <c r="Q567" s="59">
        <f>IF(BO567=1,0,IFERROR(VLOOKUP(BM567,'Gebinde-Kategorie'!$A$5:$G$45,6,0)+0,0))</f>
        <v/>
      </c>
      <c r="R567" s="60" t="n"/>
      <c r="S567" s="61" t="n"/>
      <c r="T567" s="61" t="n"/>
      <c r="U567" s="53">
        <f>IF(A567="","",IF(IFERROR(VLOOKUP(D567,Parameter!$A$35:$C$64,2,0),"Nein")="2+3",IF(ISNUMBER(SEARCH("grosser Artikel",BJ567)),2,IFERROR(VLOOKUP(BM567,Parameter!$F$35:$G$64,2,0),2)),IF(OR(IFERROR(VLOOKUP(D567,Parameter!$A$35:$C$64,2,0),"Nein")="Nein",IFERROR(VLOOKUP(D567,Parameter!$A$35:$C$64,2,0),"Nein")=""),"-",VLOOKUP(D567,Parameter!$A$35:$C$64,2,0))))</f>
        <v/>
      </c>
      <c r="V567" s="61" t="n"/>
      <c r="W567" s="62" t="n"/>
      <c r="X567" s="55">
        <f>AM567</f>
        <v/>
      </c>
      <c r="Y567" s="55">
        <f>MAX(AM567,G567)</f>
        <v/>
      </c>
      <c r="Z567" s="63" t="n"/>
      <c r="AA567" s="55">
        <f>IF(LEFT(Cockpit!$C$5,1)="A",G567,IF(BT567=1,BU567,IF(LEFT(Cockpit!$C$5,1)="B",AE567,MAX(AE567,G567))))</f>
        <v/>
      </c>
      <c r="AB567" s="55">
        <f>IF(BO567=1,0,ROUNDUP(AA567/BN567,0))</f>
        <v/>
      </c>
      <c r="AC567" s="64">
        <f>IF(BO567=1,IF(AA567&lt;=0,0,BP567*MAX(1,IF(G567&gt;0,AA567/G567,1))),AB567*Q567)</f>
        <v/>
      </c>
      <c r="AD567" s="55">
        <f>AA567*F567</f>
        <v/>
      </c>
      <c r="AE567" s="55">
        <f>ROUNDUP(MAX(I567/IF(BS567&gt;0,BS567,MAX(0.1,N(Cockpit!$C$6))),BV567)/BN567,0)*BN567</f>
        <v/>
      </c>
      <c r="AF567" s="56">
        <f>IF(AC567&gt;0,I567/AC567,-1)</f>
        <v/>
      </c>
      <c r="AG567" s="56">
        <f>IF(AND(OR(BR567="L1",BR567="L23"),AC567&gt;0),SUMIFS($AC$7:$AC$1570,$BR$7:$BR$1570,BR567,$AF$7:$AF$1570,"&gt;"&amp;AF567)+SUMIFS($AC$7:$AC$1570,$BR$7:$BR$1570,BR567,$AF$7:$AF$1570,AF567,$BL$7:$BL$1570,"&lt;="&amp;BL567),"")</f>
        <v/>
      </c>
      <c r="AH567" s="65">
        <f>IF(AG567="",0,MAX(0,MIN(1,(IF(BR567="L1",Parameter!$K$5,Parameter!$K$6+Parameter!$K$7)-(AG567-AC567))/AC567)))</f>
        <v/>
      </c>
      <c r="AI567" s="55">
        <f>IF(LEFT(Cockpit!$I$5,1)="A",G567,IF(BT567=1,BU567,IF(LEFT(Cockpit!$I$5,1)="B",AM567,MAX(AM567,G567))))</f>
        <v/>
      </c>
      <c r="AJ567" s="55">
        <f>IF(BO567=1,0,ROUNDUP(AI567/BN567,0))</f>
        <v/>
      </c>
      <c r="AK567" s="64">
        <f>IF(BO567=1,IF(AI567&lt;=0,0,BP567*MAX(1,IF(G567&gt;0,AI567/G567,1))),AJ567*Q567)</f>
        <v/>
      </c>
      <c r="AL567" s="55">
        <f>AI567*F567</f>
        <v/>
      </c>
      <c r="AM567" s="55">
        <f>ROUNDUP(MAX(I567/IF(BS567&gt;0,BS567,MAX(0.1,N(Cockpit!$I$6))),BV567)/BN567,0)*BN567</f>
        <v/>
      </c>
      <c r="AN567" s="56">
        <f>IF(AK567&gt;0,I567/AK567,-1)</f>
        <v/>
      </c>
      <c r="AO567" s="56">
        <f>IF(AND(OR(BR567="L1",BR567="L23"),AK567&gt;0),SUMIFS($AK$7:$AK$1570,$BR$7:$BR$1570,BR567,$AN$7:$AN$1570,"&gt;"&amp;AN567)+SUMIFS($AK$7:$AK$1570,$BR$7:$BR$1570,BR567,$AN$7:$AN$1570,AN567,$BL$7:$BL$1570,"&lt;="&amp;BL567),"")</f>
        <v/>
      </c>
      <c r="AP567" s="65">
        <f>IF(AO567="",0,MAX(0,MIN(1,(IF(BR567="L1",Parameter!$K$5,Parameter!$K$6+Parameter!$K$7)-(AO567-AK567))/AK567)))</f>
        <v/>
      </c>
      <c r="AQ567" s="55">
        <f>IF(LEFT(Cockpit!$O$5,1)="A",G567,IF(BT567=1,BU567,IF(LEFT(Cockpit!$O$5,1)="B",AU567,MAX(AU567,G567))))</f>
        <v/>
      </c>
      <c r="AR567" s="55">
        <f>IF(BO567=1,0,ROUNDUP(AQ567/BN567,0))</f>
        <v/>
      </c>
      <c r="AS567" s="64">
        <f>IF(BO567=1,IF(AQ567&lt;=0,0,BP567*MAX(1,IF(G567&gt;0,AQ567/G567,1))),AR567*Q567)</f>
        <v/>
      </c>
      <c r="AT567" s="55">
        <f>AQ567*F567</f>
        <v/>
      </c>
      <c r="AU567" s="55">
        <f>ROUNDUP(MAX(I567/IF(BS567&gt;0,BS567,MAX(0.1,N(Cockpit!$O$6))),BV567)/BN567,0)*BN567</f>
        <v/>
      </c>
      <c r="AV567" s="56">
        <f>IF(AS567&gt;0,I567/AS567,-1)</f>
        <v/>
      </c>
      <c r="AW567" s="56">
        <f>IF(AND(OR(BR567="L1",BR567="L23"),AS567&gt;0),SUMIFS($AS$7:$AS$1570,$BR$7:$BR$1570,BR567,$AV$7:$AV$1570,"&gt;"&amp;AV567)+SUMIFS($AS$7:$AS$1570,$BR$7:$BR$1570,BR567,$AV$7:$AV$1570,AV567,$BL$7:$BL$1570,"&lt;="&amp;BL567),"")</f>
        <v/>
      </c>
      <c r="AX567" s="65">
        <f>IF(AW567="",0,MAX(0,MIN(1,(IF(BR567="L1",Parameter!$K$5,Parameter!$K$6+Parameter!$K$7)-(AW567-AS567))/AS567)))</f>
        <v/>
      </c>
      <c r="AY567" s="53">
        <f>IF(AC567&lt;=0,"",IF(BR567="Aussen","Aussenlager",IF(BR567="-","Nicht im Lift",IF(AH567&gt;=1,"Lift",IF(AH567&lt;=0,"Aussenlager","teilweise")))))</f>
        <v/>
      </c>
      <c r="AZ567" s="53">
        <f>IF(AK567&lt;=0,"",IF(BR567="Aussen","Aussenlager",IF(BR567="-","Nicht im Lift",IF(AP567&gt;=1,"Lift",IF(AP567&lt;=0,"Aussenlager","teilweise")))))</f>
        <v/>
      </c>
      <c r="BA567" s="53">
        <f>IF(AS567&lt;=0,"",IF(BR567="Aussen","Aussenlager",IF(BR567="-","Nicht im Lift",IF(AX567&gt;=1,"Lift",IF(AX567&lt;=0,"Aussenlager","teilweise")))))</f>
        <v/>
      </c>
      <c r="BB567" s="53">
        <f>IF(A567="","",IF(BK567=1,"Neu; ","")&amp;IF(AND(BK567=0,BF567&lt;0),"negativer Bestand (Export "&amp;BF567&amp;"); ","")&amp;IF(I567&lt;=0,"Kein Verbrauch; ","")&amp;IF(BO567=1,"Lose – Fläche geschätzt; ","")&amp;IF(G567&gt;AM567,"Überbestand "&amp;ROUND(G567-AM567,0)&amp;" Stk / CHF "&amp;ROUND((G567-AM567)*F567,0)&amp;"; ","")&amp;IF(AND(BT567=1,BU567&lt;BV567),"MAX &lt; MB+LG; ","")&amp;IF(AND(BZ567&gt;0,BY567*10&gt;BZ567),"zu hoch für Tablar; ","")&amp;IF(AND(BK567=0,OR(BT567=1,V567&lt;&gt;"",S567&lt;&gt;"",T567&lt;&gt;"",W567&lt;&gt;"")),"manuell übersteuert; ","")&amp;IF(AND(BO567=0,Q567=0),"Gebinde unbekannt; ","")&amp;IF(AND(BO567=0,N(T567)&lt;=0,N(P567)&lt;=0),"Menge pro Gebinde fehlt (Ist = 1 Gebinde); ","")&amp;BJ567)</f>
        <v/>
      </c>
      <c r="BC567" s="53" t="n"/>
      <c r="BD567" s="53" t="n"/>
      <c r="BE567" s="61" t="n"/>
      <c r="BF567" s="55" t="n">
        <v>11</v>
      </c>
      <c r="BG567" s="55" t="n">
        <v>194</v>
      </c>
      <c r="BH567" s="54" t="n">
        <v>13.1399999999993</v>
      </c>
      <c r="BI567" s="55" t="n">
        <v>106</v>
      </c>
      <c r="BJ567" s="53" t="inlineStr"/>
      <c r="BK567" s="58" t="n">
        <v>0</v>
      </c>
      <c r="BL567" s="58" t="n">
        <v>567</v>
      </c>
      <c r="BM567" s="53">
        <f>IF(S567&lt;&gt;"",UPPER(TRIM(S567)),IF(O567="","LOSE",O567))</f>
        <v/>
      </c>
      <c r="BN567" s="55">
        <f>IF(BM567="LOSE",1,IF(N(T567)&gt;0,T567,IF(N(P567)&gt;0,P567,MAX(1,G567))))</f>
        <v/>
      </c>
      <c r="BO567" s="58">
        <f>IF(BM567="LOSE",1,0)</f>
        <v/>
      </c>
      <c r="BP567" s="64">
        <f>IF(BO567=0,0,IF(N(R567)&gt;0,R567,IFERROR(VLOOKUP(D567,Parameter!$A$35:$C$64,3,0)+0,0)))</f>
        <v/>
      </c>
      <c r="BQ567" s="53">
        <f>IF(V567&lt;&gt;"",V567,U567)</f>
        <v/>
      </c>
      <c r="BR567" s="53">
        <f>IF(BQ567=1,"L1",IF(OR(BQ567=2,BQ567=3),"L23",IF(BQ567="Aussen","Aussen","-")))</f>
        <v/>
      </c>
      <c r="BS567" s="66">
        <f>IF(N(W567)&gt;0,W567,0)</f>
        <v/>
      </c>
      <c r="BT567" s="58">
        <f>IF(ISNUMBER(Z567),1,0)</f>
        <v/>
      </c>
      <c r="BU567" s="55">
        <f>N(Z567)</f>
        <v/>
      </c>
      <c r="BV567" s="55">
        <f>N(L567)+N(M567)</f>
        <v/>
      </c>
      <c r="BW567" s="55">
        <f>ROUNDUP(G567/BN567,0)</f>
        <v/>
      </c>
      <c r="BX567" s="55">
        <f>ROUNDUP(BU567/BN567,0)</f>
        <v/>
      </c>
      <c r="BY567" s="58">
        <f>IF(BO567=1,0,IFERROR(VLOOKUP(BM567,'Gebinde-Kategorie'!$A$5:$G$45,5,0)+0,0))</f>
        <v/>
      </c>
      <c r="BZ567" s="58">
        <f>IFERROR(IF(OR(BQ567=1,BQ567=2,BQ567=3),N(INDEX(Parameter!$I$5:$I$7,BQ567)),0),0)</f>
        <v/>
      </c>
    </row>
    <row r="568">
      <c r="A568" s="53" t="inlineStr">
        <is>
          <t>106491</t>
        </is>
      </c>
      <c r="B568" s="53" t="inlineStr">
        <is>
          <t>O-Ring</t>
        </is>
      </c>
      <c r="C568" s="53" t="inlineStr">
        <is>
          <t>F</t>
        </is>
      </c>
      <c r="D568" s="53" t="inlineStr">
        <is>
          <t>KTL</t>
        </is>
      </c>
      <c r="E568" s="53" t="inlineStr">
        <is>
          <t>C</t>
        </is>
      </c>
      <c r="F568" s="54" t="n">
        <v>0.14</v>
      </c>
      <c r="G568" s="55">
        <f>MAX(0,IF(Parameter!$B$20="Jahresanfang 2025 + Export",BG568+BF568,BF568))</f>
        <v/>
      </c>
      <c r="H568" s="55">
        <f>G568*F568</f>
        <v/>
      </c>
      <c r="I568" s="55">
        <f>BI568*Parameter!$B$18</f>
        <v/>
      </c>
      <c r="J568" s="56" t="n">
        <v>129.5</v>
      </c>
      <c r="K568" s="57" t="n">
        <v>1.714285714285714</v>
      </c>
      <c r="L568" s="55" t="n">
        <v>8</v>
      </c>
      <c r="M568" s="55" t="n">
        <v>220</v>
      </c>
      <c r="N568" s="58" t="n">
        <v>14</v>
      </c>
      <c r="O568" s="53" t="inlineStr">
        <is>
          <t>S21</t>
        </is>
      </c>
      <c r="P568" s="55" t="n">
        <v>210</v>
      </c>
      <c r="Q568" s="59">
        <f>IF(BO568=1,0,IFERROR(VLOOKUP(BM568,'Gebinde-Kategorie'!$A$5:$G$45,6,0)+0,0))</f>
        <v/>
      </c>
      <c r="R568" s="60" t="n"/>
      <c r="S568" s="61" t="n"/>
      <c r="T568" s="61" t="n"/>
      <c r="U568" s="53">
        <f>IF(A568="","",IF(IFERROR(VLOOKUP(D568,Parameter!$A$35:$C$64,2,0),"Nein")="2+3",IF(ISNUMBER(SEARCH("grosser Artikel",BJ568)),2,IFERROR(VLOOKUP(BM568,Parameter!$F$35:$G$64,2,0),2)),IF(OR(IFERROR(VLOOKUP(D568,Parameter!$A$35:$C$64,2,0),"Nein")="Nein",IFERROR(VLOOKUP(D568,Parameter!$A$35:$C$64,2,0),"Nein")=""),"-",VLOOKUP(D568,Parameter!$A$35:$C$64,2,0))))</f>
        <v/>
      </c>
      <c r="V568" s="61" t="n"/>
      <c r="W568" s="62" t="n"/>
      <c r="X568" s="55">
        <f>AM568</f>
        <v/>
      </c>
      <c r="Y568" s="55">
        <f>MAX(AM568,G568)</f>
        <v/>
      </c>
      <c r="Z568" s="63" t="n"/>
      <c r="AA568" s="55">
        <f>IF(LEFT(Cockpit!$C$5,1)="A",G568,IF(BT568=1,BU568,IF(LEFT(Cockpit!$C$5,1)="B",AE568,MAX(AE568,G568))))</f>
        <v/>
      </c>
      <c r="AB568" s="55">
        <f>IF(BO568=1,0,ROUNDUP(AA568/BN568,0))</f>
        <v/>
      </c>
      <c r="AC568" s="64">
        <f>IF(BO568=1,IF(AA568&lt;=0,0,BP568*MAX(1,IF(G568&gt;0,AA568/G568,1))),AB568*Q568)</f>
        <v/>
      </c>
      <c r="AD568" s="55">
        <f>AA568*F568</f>
        <v/>
      </c>
      <c r="AE568" s="55">
        <f>ROUNDUP(MAX(I568/IF(BS568&gt;0,BS568,MAX(0.1,N(Cockpit!$C$6))),BV568)/BN568,0)*BN568</f>
        <v/>
      </c>
      <c r="AF568" s="56">
        <f>IF(AC568&gt;0,I568/AC568,-1)</f>
        <v/>
      </c>
      <c r="AG568" s="56">
        <f>IF(AND(OR(BR568="L1",BR568="L23"),AC568&gt;0),SUMIFS($AC$7:$AC$1570,$BR$7:$BR$1570,BR568,$AF$7:$AF$1570,"&gt;"&amp;AF568)+SUMIFS($AC$7:$AC$1570,$BR$7:$BR$1570,BR568,$AF$7:$AF$1570,AF568,$BL$7:$BL$1570,"&lt;="&amp;BL568),"")</f>
        <v/>
      </c>
      <c r="AH568" s="65">
        <f>IF(AG568="",0,MAX(0,MIN(1,(IF(BR568="L1",Parameter!$K$5,Parameter!$K$6+Parameter!$K$7)-(AG568-AC568))/AC568)))</f>
        <v/>
      </c>
      <c r="AI568" s="55">
        <f>IF(LEFT(Cockpit!$I$5,1)="A",G568,IF(BT568=1,BU568,IF(LEFT(Cockpit!$I$5,1)="B",AM568,MAX(AM568,G568))))</f>
        <v/>
      </c>
      <c r="AJ568" s="55">
        <f>IF(BO568=1,0,ROUNDUP(AI568/BN568,0))</f>
        <v/>
      </c>
      <c r="AK568" s="64">
        <f>IF(BO568=1,IF(AI568&lt;=0,0,BP568*MAX(1,IF(G568&gt;0,AI568/G568,1))),AJ568*Q568)</f>
        <v/>
      </c>
      <c r="AL568" s="55">
        <f>AI568*F568</f>
        <v/>
      </c>
      <c r="AM568" s="55">
        <f>ROUNDUP(MAX(I568/IF(BS568&gt;0,BS568,MAX(0.1,N(Cockpit!$I$6))),BV568)/BN568,0)*BN568</f>
        <v/>
      </c>
      <c r="AN568" s="56">
        <f>IF(AK568&gt;0,I568/AK568,-1)</f>
        <v/>
      </c>
      <c r="AO568" s="56">
        <f>IF(AND(OR(BR568="L1",BR568="L23"),AK568&gt;0),SUMIFS($AK$7:$AK$1570,$BR$7:$BR$1570,BR568,$AN$7:$AN$1570,"&gt;"&amp;AN568)+SUMIFS($AK$7:$AK$1570,$BR$7:$BR$1570,BR568,$AN$7:$AN$1570,AN568,$BL$7:$BL$1570,"&lt;="&amp;BL568),"")</f>
        <v/>
      </c>
      <c r="AP568" s="65">
        <f>IF(AO568="",0,MAX(0,MIN(1,(IF(BR568="L1",Parameter!$K$5,Parameter!$K$6+Parameter!$K$7)-(AO568-AK568))/AK568)))</f>
        <v/>
      </c>
      <c r="AQ568" s="55">
        <f>IF(LEFT(Cockpit!$O$5,1)="A",G568,IF(BT568=1,BU568,IF(LEFT(Cockpit!$O$5,1)="B",AU568,MAX(AU568,G568))))</f>
        <v/>
      </c>
      <c r="AR568" s="55">
        <f>IF(BO568=1,0,ROUNDUP(AQ568/BN568,0))</f>
        <v/>
      </c>
      <c r="AS568" s="64">
        <f>IF(BO568=1,IF(AQ568&lt;=0,0,BP568*MAX(1,IF(G568&gt;0,AQ568/G568,1))),AR568*Q568)</f>
        <v/>
      </c>
      <c r="AT568" s="55">
        <f>AQ568*F568</f>
        <v/>
      </c>
      <c r="AU568" s="55">
        <f>ROUNDUP(MAX(I568/IF(BS568&gt;0,BS568,MAX(0.1,N(Cockpit!$O$6))),BV568)/BN568,0)*BN568</f>
        <v/>
      </c>
      <c r="AV568" s="56">
        <f>IF(AS568&gt;0,I568/AS568,-1)</f>
        <v/>
      </c>
      <c r="AW568" s="56">
        <f>IF(AND(OR(BR568="L1",BR568="L23"),AS568&gt;0),SUMIFS($AS$7:$AS$1570,$BR$7:$BR$1570,BR568,$AV$7:$AV$1570,"&gt;"&amp;AV568)+SUMIFS($AS$7:$AS$1570,$BR$7:$BR$1570,BR568,$AV$7:$AV$1570,AV568,$BL$7:$BL$1570,"&lt;="&amp;BL568),"")</f>
        <v/>
      </c>
      <c r="AX568" s="65">
        <f>IF(AW568="",0,MAX(0,MIN(1,(IF(BR568="L1",Parameter!$K$5,Parameter!$K$6+Parameter!$K$7)-(AW568-AS568))/AS568)))</f>
        <v/>
      </c>
      <c r="AY568" s="53">
        <f>IF(AC568&lt;=0,"",IF(BR568="Aussen","Aussenlager",IF(BR568="-","Nicht im Lift",IF(AH568&gt;=1,"Lift",IF(AH568&lt;=0,"Aussenlager","teilweise")))))</f>
        <v/>
      </c>
      <c r="AZ568" s="53">
        <f>IF(AK568&lt;=0,"",IF(BR568="Aussen","Aussenlager",IF(BR568="-","Nicht im Lift",IF(AP568&gt;=1,"Lift",IF(AP568&lt;=0,"Aussenlager","teilweise")))))</f>
        <v/>
      </c>
      <c r="BA568" s="53">
        <f>IF(AS568&lt;=0,"",IF(BR568="Aussen","Aussenlager",IF(BR568="-","Nicht im Lift",IF(AX568&gt;=1,"Lift",IF(AX568&lt;=0,"Aussenlager","teilweise")))))</f>
        <v/>
      </c>
      <c r="BB568" s="53">
        <f>IF(A568="","",IF(BK568=1,"Neu; ","")&amp;IF(AND(BK568=0,BF568&lt;0),"negativer Bestand (Export "&amp;BF568&amp;"); ","")&amp;IF(I568&lt;=0,"Kein Verbrauch; ","")&amp;IF(BO568=1,"Lose – Fläche geschätzt; ","")&amp;IF(G568&gt;AM568,"Überbestand "&amp;ROUND(G568-AM568,0)&amp;" Stk / CHF "&amp;ROUND((G568-AM568)*F568,0)&amp;"; ","")&amp;IF(AND(BT568=1,BU568&lt;BV568),"MAX &lt; MB+LG; ","")&amp;IF(AND(BZ568&gt;0,BY568*10&gt;BZ568),"zu hoch für Tablar; ","")&amp;IF(AND(BK568=0,OR(BT568=1,V568&lt;&gt;"",S568&lt;&gt;"",T568&lt;&gt;"",W568&lt;&gt;"")),"manuell übersteuert; ","")&amp;IF(AND(BO568=0,Q568=0),"Gebinde unbekannt; ","")&amp;IF(AND(BO568=0,N(T568)&lt;=0,N(P568)&lt;=0),"Menge pro Gebinde fehlt (Ist = 1 Gebinde); ","")&amp;BJ568)</f>
        <v/>
      </c>
      <c r="BC568" s="53" t="n"/>
      <c r="BD568" s="53" t="n"/>
      <c r="BE568" s="61" t="n"/>
      <c r="BF568" s="55" t="n">
        <v>92</v>
      </c>
      <c r="BG568" s="55" t="n">
        <v>143</v>
      </c>
      <c r="BH568" s="54" t="n">
        <v>12.88000000000001</v>
      </c>
      <c r="BI568" s="55" t="n">
        <v>222</v>
      </c>
      <c r="BJ568" s="53" t="inlineStr"/>
      <c r="BK568" s="58" t="n">
        <v>0</v>
      </c>
      <c r="BL568" s="58" t="n">
        <v>568</v>
      </c>
      <c r="BM568" s="53">
        <f>IF(S568&lt;&gt;"",UPPER(TRIM(S568)),IF(O568="","LOSE",O568))</f>
        <v/>
      </c>
      <c r="BN568" s="55">
        <f>IF(BM568="LOSE",1,IF(N(T568)&gt;0,T568,IF(N(P568)&gt;0,P568,MAX(1,G568))))</f>
        <v/>
      </c>
      <c r="BO568" s="58">
        <f>IF(BM568="LOSE",1,0)</f>
        <v/>
      </c>
      <c r="BP568" s="64">
        <f>IF(BO568=0,0,IF(N(R568)&gt;0,R568,IFERROR(VLOOKUP(D568,Parameter!$A$35:$C$64,3,0)+0,0)))</f>
        <v/>
      </c>
      <c r="BQ568" s="53">
        <f>IF(V568&lt;&gt;"",V568,U568)</f>
        <v/>
      </c>
      <c r="BR568" s="53">
        <f>IF(BQ568=1,"L1",IF(OR(BQ568=2,BQ568=3),"L23",IF(BQ568="Aussen","Aussen","-")))</f>
        <v/>
      </c>
      <c r="BS568" s="66">
        <f>IF(N(W568)&gt;0,W568,0)</f>
        <v/>
      </c>
      <c r="BT568" s="58">
        <f>IF(ISNUMBER(Z568),1,0)</f>
        <v/>
      </c>
      <c r="BU568" s="55">
        <f>N(Z568)</f>
        <v/>
      </c>
      <c r="BV568" s="55">
        <f>N(L568)+N(M568)</f>
        <v/>
      </c>
      <c r="BW568" s="55">
        <f>ROUNDUP(G568/BN568,0)</f>
        <v/>
      </c>
      <c r="BX568" s="55">
        <f>ROUNDUP(BU568/BN568,0)</f>
        <v/>
      </c>
      <c r="BY568" s="58">
        <f>IF(BO568=1,0,IFERROR(VLOOKUP(BM568,'Gebinde-Kategorie'!$A$5:$G$45,5,0)+0,0))</f>
        <v/>
      </c>
      <c r="BZ568" s="58">
        <f>IFERROR(IF(OR(BQ568=1,BQ568=2,BQ568=3),N(INDEX(Parameter!$I$5:$I$7,BQ568)),0),0)</f>
        <v/>
      </c>
    </row>
    <row r="569">
      <c r="A569" s="53" t="inlineStr">
        <is>
          <t>107664</t>
        </is>
      </c>
      <c r="B569" s="53" t="inlineStr">
        <is>
          <t>Aufkleber SPGr</t>
        </is>
      </c>
      <c r="C569" s="53" t="inlineStr">
        <is>
          <t>F</t>
        </is>
      </c>
      <c r="D569" s="53" t="inlineStr">
        <is>
          <t>KTL</t>
        </is>
      </c>
      <c r="E569" s="53" t="inlineStr">
        <is>
          <t>C</t>
        </is>
      </c>
      <c r="F569" s="54" t="n">
        <v>27.68</v>
      </c>
      <c r="G569" s="55">
        <f>MAX(0,IF(Parameter!$B$20="Jahresanfang 2025 + Export",BG569+BF569,BF569))</f>
        <v/>
      </c>
      <c r="H569" s="55">
        <f>G569*F569</f>
        <v/>
      </c>
      <c r="I569" s="55">
        <f>BI569*Parameter!$B$18</f>
        <v/>
      </c>
      <c r="J569" s="56" t="n">
        <v>88.5</v>
      </c>
      <c r="K569" s="57" t="n">
        <v>0.1468926553672316</v>
      </c>
      <c r="L569" s="55" t="n">
        <v>2</v>
      </c>
      <c r="M569" s="55" t="n">
        <v>30</v>
      </c>
      <c r="N569" s="58" t="n">
        <v>21</v>
      </c>
      <c r="O569" s="53" t="inlineStr">
        <is>
          <t>S52</t>
        </is>
      </c>
      <c r="P569" s="55" t="n">
        <v>75</v>
      </c>
      <c r="Q569" s="59">
        <f>IF(BO569=1,0,IFERROR(VLOOKUP(BM569,'Gebinde-Kategorie'!$A$5:$G$45,6,0)+0,0))</f>
        <v/>
      </c>
      <c r="R569" s="60" t="n"/>
      <c r="S569" s="61" t="n"/>
      <c r="T569" s="61" t="n"/>
      <c r="U569" s="53">
        <f>IF(A569="","",IF(IFERROR(VLOOKUP(D569,Parameter!$A$35:$C$64,2,0),"Nein")="2+3",IF(ISNUMBER(SEARCH("grosser Artikel",BJ569)),2,IFERROR(VLOOKUP(BM569,Parameter!$F$35:$G$64,2,0),2)),IF(OR(IFERROR(VLOOKUP(D569,Parameter!$A$35:$C$64,2,0),"Nein")="Nein",IFERROR(VLOOKUP(D569,Parameter!$A$35:$C$64,2,0),"Nein")=""),"-",VLOOKUP(D569,Parameter!$A$35:$C$64,2,0))))</f>
        <v/>
      </c>
      <c r="V569" s="61" t="n"/>
      <c r="W569" s="62" t="n"/>
      <c r="X569" s="55">
        <f>AM569</f>
        <v/>
      </c>
      <c r="Y569" s="55">
        <f>MAX(AM569,G569)</f>
        <v/>
      </c>
      <c r="Z569" s="63" t="n"/>
      <c r="AA569" s="55">
        <f>IF(LEFT(Cockpit!$C$5,1)="A",G569,IF(BT569=1,BU569,IF(LEFT(Cockpit!$C$5,1)="B",AE569,MAX(AE569,G569))))</f>
        <v/>
      </c>
      <c r="AB569" s="55">
        <f>IF(BO569=1,0,ROUNDUP(AA569/BN569,0))</f>
        <v/>
      </c>
      <c r="AC569" s="64">
        <f>IF(BO569=1,IF(AA569&lt;=0,0,BP569*MAX(1,IF(G569&gt;0,AA569/G569,1))),AB569*Q569)</f>
        <v/>
      </c>
      <c r="AD569" s="55">
        <f>AA569*F569</f>
        <v/>
      </c>
      <c r="AE569" s="55">
        <f>ROUNDUP(MAX(I569/IF(BS569&gt;0,BS569,MAX(0.1,N(Cockpit!$C$6))),BV569)/BN569,0)*BN569</f>
        <v/>
      </c>
      <c r="AF569" s="56">
        <f>IF(AC569&gt;0,I569/AC569,-1)</f>
        <v/>
      </c>
      <c r="AG569" s="56">
        <f>IF(AND(OR(BR569="L1",BR569="L23"),AC569&gt;0),SUMIFS($AC$7:$AC$1570,$BR$7:$BR$1570,BR569,$AF$7:$AF$1570,"&gt;"&amp;AF569)+SUMIFS($AC$7:$AC$1570,$BR$7:$BR$1570,BR569,$AF$7:$AF$1570,AF569,$BL$7:$BL$1570,"&lt;="&amp;BL569),"")</f>
        <v/>
      </c>
      <c r="AH569" s="65">
        <f>IF(AG569="",0,MAX(0,MIN(1,(IF(BR569="L1",Parameter!$K$5,Parameter!$K$6+Parameter!$K$7)-(AG569-AC569))/AC569)))</f>
        <v/>
      </c>
      <c r="AI569" s="55">
        <f>IF(LEFT(Cockpit!$I$5,1)="A",G569,IF(BT569=1,BU569,IF(LEFT(Cockpit!$I$5,1)="B",AM569,MAX(AM569,G569))))</f>
        <v/>
      </c>
      <c r="AJ569" s="55">
        <f>IF(BO569=1,0,ROUNDUP(AI569/BN569,0))</f>
        <v/>
      </c>
      <c r="AK569" s="64">
        <f>IF(BO569=1,IF(AI569&lt;=0,0,BP569*MAX(1,IF(G569&gt;0,AI569/G569,1))),AJ569*Q569)</f>
        <v/>
      </c>
      <c r="AL569" s="55">
        <f>AI569*F569</f>
        <v/>
      </c>
      <c r="AM569" s="55">
        <f>ROUNDUP(MAX(I569/IF(BS569&gt;0,BS569,MAX(0.1,N(Cockpit!$I$6))),BV569)/BN569,0)*BN569</f>
        <v/>
      </c>
      <c r="AN569" s="56">
        <f>IF(AK569&gt;0,I569/AK569,-1)</f>
        <v/>
      </c>
      <c r="AO569" s="56">
        <f>IF(AND(OR(BR569="L1",BR569="L23"),AK569&gt;0),SUMIFS($AK$7:$AK$1570,$BR$7:$BR$1570,BR569,$AN$7:$AN$1570,"&gt;"&amp;AN569)+SUMIFS($AK$7:$AK$1570,$BR$7:$BR$1570,BR569,$AN$7:$AN$1570,AN569,$BL$7:$BL$1570,"&lt;="&amp;BL569),"")</f>
        <v/>
      </c>
      <c r="AP569" s="65">
        <f>IF(AO569="",0,MAX(0,MIN(1,(IF(BR569="L1",Parameter!$K$5,Parameter!$K$6+Parameter!$K$7)-(AO569-AK569))/AK569)))</f>
        <v/>
      </c>
      <c r="AQ569" s="55">
        <f>IF(LEFT(Cockpit!$O$5,1)="A",G569,IF(BT569=1,BU569,IF(LEFT(Cockpit!$O$5,1)="B",AU569,MAX(AU569,G569))))</f>
        <v/>
      </c>
      <c r="AR569" s="55">
        <f>IF(BO569=1,0,ROUNDUP(AQ569/BN569,0))</f>
        <v/>
      </c>
      <c r="AS569" s="64">
        <f>IF(BO569=1,IF(AQ569&lt;=0,0,BP569*MAX(1,IF(G569&gt;0,AQ569/G569,1))),AR569*Q569)</f>
        <v/>
      </c>
      <c r="AT569" s="55">
        <f>AQ569*F569</f>
        <v/>
      </c>
      <c r="AU569" s="55">
        <f>ROUNDUP(MAX(I569/IF(BS569&gt;0,BS569,MAX(0.1,N(Cockpit!$O$6))),BV569)/BN569,0)*BN569</f>
        <v/>
      </c>
      <c r="AV569" s="56">
        <f>IF(AS569&gt;0,I569/AS569,-1)</f>
        <v/>
      </c>
      <c r="AW569" s="56">
        <f>IF(AND(OR(BR569="L1",BR569="L23"),AS569&gt;0),SUMIFS($AS$7:$AS$1570,$BR$7:$BR$1570,BR569,$AV$7:$AV$1570,"&gt;"&amp;AV569)+SUMIFS($AS$7:$AS$1570,$BR$7:$BR$1570,BR569,$AV$7:$AV$1570,AV569,$BL$7:$BL$1570,"&lt;="&amp;BL569),"")</f>
        <v/>
      </c>
      <c r="AX569" s="65">
        <f>IF(AW569="",0,MAX(0,MIN(1,(IF(BR569="L1",Parameter!$K$5,Parameter!$K$6+Parameter!$K$7)-(AW569-AS569))/AS569)))</f>
        <v/>
      </c>
      <c r="AY569" s="53">
        <f>IF(AC569&lt;=0,"",IF(BR569="Aussen","Aussenlager",IF(BR569="-","Nicht im Lift",IF(AH569&gt;=1,"Lift",IF(AH569&lt;=0,"Aussenlager","teilweise")))))</f>
        <v/>
      </c>
      <c r="AZ569" s="53">
        <f>IF(AK569&lt;=0,"",IF(BR569="Aussen","Aussenlager",IF(BR569="-","Nicht im Lift",IF(AP569&gt;=1,"Lift",IF(AP569&lt;=0,"Aussenlager","teilweise")))))</f>
        <v/>
      </c>
      <c r="BA569" s="53">
        <f>IF(AS569&lt;=0,"",IF(BR569="Aussen","Aussenlager",IF(BR569="-","Nicht im Lift",IF(AX569&gt;=1,"Lift",IF(AX569&lt;=0,"Aussenlager","teilweise")))))</f>
        <v/>
      </c>
      <c r="BB569" s="53">
        <f>IF(A569="","",IF(BK569=1,"Neu; ","")&amp;IF(AND(BK569=0,BF569&lt;0),"negativer Bestand (Export "&amp;BF569&amp;"); ","")&amp;IF(I569&lt;=0,"Kein Verbrauch; ","")&amp;IF(BO569=1,"Lose – Fläche geschätzt; ","")&amp;IF(G569&gt;AM569,"Überbestand "&amp;ROUND(G569-AM569,0)&amp;" Stk / CHF "&amp;ROUND((G569-AM569)*F569,0)&amp;"; ","")&amp;IF(AND(BT569=1,BU569&lt;BV569),"MAX &lt; MB+LG; ","")&amp;IF(AND(BZ569&gt;0,BY569*10&gt;BZ569),"zu hoch für Tablar; ","")&amp;IF(AND(BK569=0,OR(BT569=1,V569&lt;&gt;"",S569&lt;&gt;"",T569&lt;&gt;"",W569&lt;&gt;"")),"manuell übersteuert; ","")&amp;IF(AND(BO569=0,Q569=0),"Gebinde unbekannt; ","")&amp;IF(AND(BO569=0,N(T569)&lt;=0,N(P569)&lt;=0),"Menge pro Gebinde fehlt (Ist = 1 Gebinde); ","")&amp;BJ569)</f>
        <v/>
      </c>
      <c r="BC569" s="53" t="n"/>
      <c r="BD569" s="53" t="n"/>
      <c r="BE569" s="61" t="n"/>
      <c r="BF569" s="55" t="n">
        <v>3</v>
      </c>
      <c r="BG569" s="55" t="n">
        <v>80</v>
      </c>
      <c r="BH569" s="54" t="n">
        <v>12.63999999999999</v>
      </c>
      <c r="BI569" s="55" t="n">
        <v>13</v>
      </c>
      <c r="BJ569" s="53" t="inlineStr">
        <is>
          <t>Neu</t>
        </is>
      </c>
      <c r="BK569" s="58" t="n">
        <v>0</v>
      </c>
      <c r="BL569" s="58" t="n">
        <v>569</v>
      </c>
      <c r="BM569" s="53">
        <f>IF(S569&lt;&gt;"",UPPER(TRIM(S569)),IF(O569="","LOSE",O569))</f>
        <v/>
      </c>
      <c r="BN569" s="55">
        <f>IF(BM569="LOSE",1,IF(N(T569)&gt;0,T569,IF(N(P569)&gt;0,P569,MAX(1,G569))))</f>
        <v/>
      </c>
      <c r="BO569" s="58">
        <f>IF(BM569="LOSE",1,0)</f>
        <v/>
      </c>
      <c r="BP569" s="64">
        <f>IF(BO569=0,0,IF(N(R569)&gt;0,R569,IFERROR(VLOOKUP(D569,Parameter!$A$35:$C$64,3,0)+0,0)))</f>
        <v/>
      </c>
      <c r="BQ569" s="53">
        <f>IF(V569&lt;&gt;"",V569,U569)</f>
        <v/>
      </c>
      <c r="BR569" s="53">
        <f>IF(BQ569=1,"L1",IF(OR(BQ569=2,BQ569=3),"L23",IF(BQ569="Aussen","Aussen","-")))</f>
        <v/>
      </c>
      <c r="BS569" s="66">
        <f>IF(N(W569)&gt;0,W569,0)</f>
        <v/>
      </c>
      <c r="BT569" s="58">
        <f>IF(ISNUMBER(Z569),1,0)</f>
        <v/>
      </c>
      <c r="BU569" s="55">
        <f>N(Z569)</f>
        <v/>
      </c>
      <c r="BV569" s="55">
        <f>N(L569)+N(M569)</f>
        <v/>
      </c>
      <c r="BW569" s="55">
        <f>ROUNDUP(G569/BN569,0)</f>
        <v/>
      </c>
      <c r="BX569" s="55">
        <f>ROUNDUP(BU569/BN569,0)</f>
        <v/>
      </c>
      <c r="BY569" s="58">
        <f>IF(BO569=1,0,IFERROR(VLOOKUP(BM569,'Gebinde-Kategorie'!$A$5:$G$45,5,0)+0,0))</f>
        <v/>
      </c>
      <c r="BZ569" s="58">
        <f>IFERROR(IF(OR(BQ569=1,BQ569=2,BQ569=3),N(INDEX(Parameter!$I$5:$I$7,BQ569)),0),0)</f>
        <v/>
      </c>
    </row>
    <row r="570">
      <c r="A570" s="53" t="inlineStr">
        <is>
          <t>107667</t>
        </is>
      </c>
      <c r="B570" s="53" t="inlineStr">
        <is>
          <t>Zylinderschraube mit Innensechskant</t>
        </is>
      </c>
      <c r="C570" s="53" t="inlineStr">
        <is>
          <t>F</t>
        </is>
      </c>
      <c r="D570" s="53" t="inlineStr">
        <is>
          <t>KTL</t>
        </is>
      </c>
      <c r="E570" s="53" t="inlineStr">
        <is>
          <t>C</t>
        </is>
      </c>
      <c r="F570" s="54" t="n">
        <v>0.11</v>
      </c>
      <c r="G570" s="55">
        <f>MAX(0,IF(Parameter!$B$20="Jahresanfang 2025 + Export",BG570+BF570,BF570))</f>
        <v/>
      </c>
      <c r="H570" s="55">
        <f>G570*F570</f>
        <v/>
      </c>
      <c r="I570" s="55">
        <f>BI570*Parameter!$B$18</f>
        <v/>
      </c>
      <c r="J570" s="56" t="n">
        <v>164</v>
      </c>
      <c r="K570" s="57" t="n">
        <v>1.207317073170732</v>
      </c>
      <c r="L570" s="55" t="n">
        <v>11</v>
      </c>
      <c r="M570" s="55" t="n">
        <v>200</v>
      </c>
      <c r="N570" s="58" t="n">
        <v>21</v>
      </c>
      <c r="O570" s="53" t="inlineStr">
        <is>
          <t>S32</t>
        </is>
      </c>
      <c r="P570" s="55" t="n">
        <v>304</v>
      </c>
      <c r="Q570" s="59">
        <f>IF(BO570=1,0,IFERROR(VLOOKUP(BM570,'Gebinde-Kategorie'!$A$5:$G$45,6,0)+0,0))</f>
        <v/>
      </c>
      <c r="R570" s="60" t="n"/>
      <c r="S570" s="61" t="n"/>
      <c r="T570" s="61" t="n"/>
      <c r="U570" s="53">
        <f>IF(A570="","",IF(IFERROR(VLOOKUP(D570,Parameter!$A$35:$C$64,2,0),"Nein")="2+3",IF(ISNUMBER(SEARCH("grosser Artikel",BJ570)),2,IFERROR(VLOOKUP(BM570,Parameter!$F$35:$G$64,2,0),2)),IF(OR(IFERROR(VLOOKUP(D570,Parameter!$A$35:$C$64,2,0),"Nein")="Nein",IFERROR(VLOOKUP(D570,Parameter!$A$35:$C$64,2,0),"Nein")=""),"-",VLOOKUP(D570,Parameter!$A$35:$C$64,2,0))))</f>
        <v/>
      </c>
      <c r="V570" s="61" t="n"/>
      <c r="W570" s="62" t="n"/>
      <c r="X570" s="55">
        <f>AM570</f>
        <v/>
      </c>
      <c r="Y570" s="55">
        <f>MAX(AM570,G570)</f>
        <v/>
      </c>
      <c r="Z570" s="63" t="n"/>
      <c r="AA570" s="55">
        <f>IF(LEFT(Cockpit!$C$5,1)="A",G570,IF(BT570=1,BU570,IF(LEFT(Cockpit!$C$5,1)="B",AE570,MAX(AE570,G570))))</f>
        <v/>
      </c>
      <c r="AB570" s="55">
        <f>IF(BO570=1,0,ROUNDUP(AA570/BN570,0))</f>
        <v/>
      </c>
      <c r="AC570" s="64">
        <f>IF(BO570=1,IF(AA570&lt;=0,0,BP570*MAX(1,IF(G570&gt;0,AA570/G570,1))),AB570*Q570)</f>
        <v/>
      </c>
      <c r="AD570" s="55">
        <f>AA570*F570</f>
        <v/>
      </c>
      <c r="AE570" s="55">
        <f>ROUNDUP(MAX(I570/IF(BS570&gt;0,BS570,MAX(0.1,N(Cockpit!$C$6))),BV570)/BN570,0)*BN570</f>
        <v/>
      </c>
      <c r="AF570" s="56">
        <f>IF(AC570&gt;0,I570/AC570,-1)</f>
        <v/>
      </c>
      <c r="AG570" s="56">
        <f>IF(AND(OR(BR570="L1",BR570="L23"),AC570&gt;0),SUMIFS($AC$7:$AC$1570,$BR$7:$BR$1570,BR570,$AF$7:$AF$1570,"&gt;"&amp;AF570)+SUMIFS($AC$7:$AC$1570,$BR$7:$BR$1570,BR570,$AF$7:$AF$1570,AF570,$BL$7:$BL$1570,"&lt;="&amp;BL570),"")</f>
        <v/>
      </c>
      <c r="AH570" s="65">
        <f>IF(AG570="",0,MAX(0,MIN(1,(IF(BR570="L1",Parameter!$K$5,Parameter!$K$6+Parameter!$K$7)-(AG570-AC570))/AC570)))</f>
        <v/>
      </c>
      <c r="AI570" s="55">
        <f>IF(LEFT(Cockpit!$I$5,1)="A",G570,IF(BT570=1,BU570,IF(LEFT(Cockpit!$I$5,1)="B",AM570,MAX(AM570,G570))))</f>
        <v/>
      </c>
      <c r="AJ570" s="55">
        <f>IF(BO570=1,0,ROUNDUP(AI570/BN570,0))</f>
        <v/>
      </c>
      <c r="AK570" s="64">
        <f>IF(BO570=1,IF(AI570&lt;=0,0,BP570*MAX(1,IF(G570&gt;0,AI570/G570,1))),AJ570*Q570)</f>
        <v/>
      </c>
      <c r="AL570" s="55">
        <f>AI570*F570</f>
        <v/>
      </c>
      <c r="AM570" s="55">
        <f>ROUNDUP(MAX(I570/IF(BS570&gt;0,BS570,MAX(0.1,N(Cockpit!$I$6))),BV570)/BN570,0)*BN570</f>
        <v/>
      </c>
      <c r="AN570" s="56">
        <f>IF(AK570&gt;0,I570/AK570,-1)</f>
        <v/>
      </c>
      <c r="AO570" s="56">
        <f>IF(AND(OR(BR570="L1",BR570="L23"),AK570&gt;0),SUMIFS($AK$7:$AK$1570,$BR$7:$BR$1570,BR570,$AN$7:$AN$1570,"&gt;"&amp;AN570)+SUMIFS($AK$7:$AK$1570,$BR$7:$BR$1570,BR570,$AN$7:$AN$1570,AN570,$BL$7:$BL$1570,"&lt;="&amp;BL570),"")</f>
        <v/>
      </c>
      <c r="AP570" s="65">
        <f>IF(AO570="",0,MAX(0,MIN(1,(IF(BR570="L1",Parameter!$K$5,Parameter!$K$6+Parameter!$K$7)-(AO570-AK570))/AK570)))</f>
        <v/>
      </c>
      <c r="AQ570" s="55">
        <f>IF(LEFT(Cockpit!$O$5,1)="A",G570,IF(BT570=1,BU570,IF(LEFT(Cockpit!$O$5,1)="B",AU570,MAX(AU570,G570))))</f>
        <v/>
      </c>
      <c r="AR570" s="55">
        <f>IF(BO570=1,0,ROUNDUP(AQ570/BN570,0))</f>
        <v/>
      </c>
      <c r="AS570" s="64">
        <f>IF(BO570=1,IF(AQ570&lt;=0,0,BP570*MAX(1,IF(G570&gt;0,AQ570/G570,1))),AR570*Q570)</f>
        <v/>
      </c>
      <c r="AT570" s="55">
        <f>AQ570*F570</f>
        <v/>
      </c>
      <c r="AU570" s="55">
        <f>ROUNDUP(MAX(I570/IF(BS570&gt;0,BS570,MAX(0.1,N(Cockpit!$O$6))),BV570)/BN570,0)*BN570</f>
        <v/>
      </c>
      <c r="AV570" s="56">
        <f>IF(AS570&gt;0,I570/AS570,-1)</f>
        <v/>
      </c>
      <c r="AW570" s="56">
        <f>IF(AND(OR(BR570="L1",BR570="L23"),AS570&gt;0),SUMIFS($AS$7:$AS$1570,$BR$7:$BR$1570,BR570,$AV$7:$AV$1570,"&gt;"&amp;AV570)+SUMIFS($AS$7:$AS$1570,$BR$7:$BR$1570,BR570,$AV$7:$AV$1570,AV570,$BL$7:$BL$1570,"&lt;="&amp;BL570),"")</f>
        <v/>
      </c>
      <c r="AX570" s="65">
        <f>IF(AW570="",0,MAX(0,MIN(1,(IF(BR570="L1",Parameter!$K$5,Parameter!$K$6+Parameter!$K$7)-(AW570-AS570))/AS570)))</f>
        <v/>
      </c>
      <c r="AY570" s="53">
        <f>IF(AC570&lt;=0,"",IF(BR570="Aussen","Aussenlager",IF(BR570="-","Nicht im Lift",IF(AH570&gt;=1,"Lift",IF(AH570&lt;=0,"Aussenlager","teilweise")))))</f>
        <v/>
      </c>
      <c r="AZ570" s="53">
        <f>IF(AK570&lt;=0,"",IF(BR570="Aussen","Aussenlager",IF(BR570="-","Nicht im Lift",IF(AP570&gt;=1,"Lift",IF(AP570&lt;=0,"Aussenlager","teilweise")))))</f>
        <v/>
      </c>
      <c r="BA570" s="53">
        <f>IF(AS570&lt;=0,"",IF(BR570="Aussen","Aussenlager",IF(BR570="-","Nicht im Lift",IF(AX570&gt;=1,"Lift",IF(AX570&lt;=0,"Aussenlager","teilweise")))))</f>
        <v/>
      </c>
      <c r="BB570" s="53">
        <f>IF(A570="","",IF(BK570=1,"Neu; ","")&amp;IF(AND(BK570=0,BF570&lt;0),"negativer Bestand (Export "&amp;BF570&amp;"); ","")&amp;IF(I570&lt;=0,"Kein Verbrauch; ","")&amp;IF(BO570=1,"Lose – Fläche geschätzt; ","")&amp;IF(G570&gt;AM570,"Überbestand "&amp;ROUND(G570-AM570,0)&amp;" Stk / CHF "&amp;ROUND((G570-AM570)*F570,0)&amp;"; ","")&amp;IF(AND(BT570=1,BU570&lt;BV570),"MAX &lt; MB+LG; ","")&amp;IF(AND(BZ570&gt;0,BY570*10&gt;BZ570),"zu hoch für Tablar; ","")&amp;IF(AND(BK570=0,OR(BT570=1,V570&lt;&gt;"",S570&lt;&gt;"",T570&lt;&gt;"",W570&lt;&gt;"")),"manuell übersteuert; ","")&amp;IF(AND(BO570=0,Q570=0),"Gebinde unbekannt; ","")&amp;IF(AND(BO570=0,N(T570)&lt;=0,N(P570)&lt;=0),"Menge pro Gebinde fehlt (Ist = 1 Gebinde); ","")&amp;BJ570)</f>
        <v/>
      </c>
      <c r="BC570" s="53" t="n"/>
      <c r="BD570" s="53" t="n"/>
      <c r="BE570" s="61" t="n"/>
      <c r="BF570" s="55" t="n">
        <v>34</v>
      </c>
      <c r="BG570" s="55" t="n">
        <v>160</v>
      </c>
      <c r="BH570" s="54" t="n">
        <v>11.74000000000001</v>
      </c>
      <c r="BI570" s="55" t="n">
        <v>198</v>
      </c>
      <c r="BJ570" s="53" t="inlineStr"/>
      <c r="BK570" s="58" t="n">
        <v>0</v>
      </c>
      <c r="BL570" s="58" t="n">
        <v>570</v>
      </c>
      <c r="BM570" s="53">
        <f>IF(S570&lt;&gt;"",UPPER(TRIM(S570)),IF(O570="","LOSE",O570))</f>
        <v/>
      </c>
      <c r="BN570" s="55">
        <f>IF(BM570="LOSE",1,IF(N(T570)&gt;0,T570,IF(N(P570)&gt;0,P570,MAX(1,G570))))</f>
        <v/>
      </c>
      <c r="BO570" s="58">
        <f>IF(BM570="LOSE",1,0)</f>
        <v/>
      </c>
      <c r="BP570" s="64">
        <f>IF(BO570=0,0,IF(N(R570)&gt;0,R570,IFERROR(VLOOKUP(D570,Parameter!$A$35:$C$64,3,0)+0,0)))</f>
        <v/>
      </c>
      <c r="BQ570" s="53">
        <f>IF(V570&lt;&gt;"",V570,U570)</f>
        <v/>
      </c>
      <c r="BR570" s="53">
        <f>IF(BQ570=1,"L1",IF(OR(BQ570=2,BQ570=3),"L23",IF(BQ570="Aussen","Aussen","-")))</f>
        <v/>
      </c>
      <c r="BS570" s="66">
        <f>IF(N(W570)&gt;0,W570,0)</f>
        <v/>
      </c>
      <c r="BT570" s="58">
        <f>IF(ISNUMBER(Z570),1,0)</f>
        <v/>
      </c>
      <c r="BU570" s="55">
        <f>N(Z570)</f>
        <v/>
      </c>
      <c r="BV570" s="55">
        <f>N(L570)+N(M570)</f>
        <v/>
      </c>
      <c r="BW570" s="55">
        <f>ROUNDUP(G570/BN570,0)</f>
        <v/>
      </c>
      <c r="BX570" s="55">
        <f>ROUNDUP(BU570/BN570,0)</f>
        <v/>
      </c>
      <c r="BY570" s="58">
        <f>IF(BO570=1,0,IFERROR(VLOOKUP(BM570,'Gebinde-Kategorie'!$A$5:$G$45,5,0)+0,0))</f>
        <v/>
      </c>
      <c r="BZ570" s="58">
        <f>IFERROR(IF(OR(BQ570=1,BQ570=2,BQ570=3),N(INDEX(Parameter!$I$5:$I$7,BQ570)),0),0)</f>
        <v/>
      </c>
    </row>
    <row r="571">
      <c r="A571" s="53" t="inlineStr">
        <is>
          <t>103753</t>
        </is>
      </c>
      <c r="B571" s="53" t="inlineStr">
        <is>
          <t>Zylinderschraube mit Innensechskant</t>
        </is>
      </c>
      <c r="C571" s="53" t="inlineStr">
        <is>
          <t>F</t>
        </is>
      </c>
      <c r="D571" s="53" t="inlineStr">
        <is>
          <t>KTL</t>
        </is>
      </c>
      <c r="E571" s="53" t="inlineStr">
        <is>
          <t>C</t>
        </is>
      </c>
      <c r="F571" s="54" t="n">
        <v>0.15</v>
      </c>
      <c r="G571" s="55">
        <f>MAX(0,IF(Parameter!$B$20="Jahresanfang 2025 + Export",BG571+BF571,BF571))</f>
        <v/>
      </c>
      <c r="H571" s="55">
        <f>G571*F571</f>
        <v/>
      </c>
      <c r="I571" s="55">
        <f>BI571*Parameter!$B$18</f>
        <v/>
      </c>
      <c r="J571" s="56" t="n">
        <v>177</v>
      </c>
      <c r="K571" s="57" t="n">
        <v>2.07909604519774</v>
      </c>
      <c r="L571" s="55" t="n">
        <v>14</v>
      </c>
      <c r="M571" s="55" t="n">
        <v>400</v>
      </c>
      <c r="N571" s="58" t="n">
        <v>14</v>
      </c>
      <c r="O571" s="53" t="inlineStr">
        <is>
          <t>S52</t>
        </is>
      </c>
      <c r="P571" s="55" t="n">
        <v>400</v>
      </c>
      <c r="Q571" s="59">
        <f>IF(BO571=1,0,IFERROR(VLOOKUP(BM571,'Gebinde-Kategorie'!$A$5:$G$45,6,0)+0,0))</f>
        <v/>
      </c>
      <c r="R571" s="60" t="n"/>
      <c r="S571" s="61" t="n"/>
      <c r="T571" s="61" t="n"/>
      <c r="U571" s="53">
        <f>IF(A571="","",IF(IFERROR(VLOOKUP(D571,Parameter!$A$35:$C$64,2,0),"Nein")="2+3",IF(ISNUMBER(SEARCH("grosser Artikel",BJ571)),2,IFERROR(VLOOKUP(BM571,Parameter!$F$35:$G$64,2,0),2)),IF(OR(IFERROR(VLOOKUP(D571,Parameter!$A$35:$C$64,2,0),"Nein")="Nein",IFERROR(VLOOKUP(D571,Parameter!$A$35:$C$64,2,0),"Nein")=""),"-",VLOOKUP(D571,Parameter!$A$35:$C$64,2,0))))</f>
        <v/>
      </c>
      <c r="V571" s="61" t="n"/>
      <c r="W571" s="62" t="n"/>
      <c r="X571" s="55">
        <f>AM571</f>
        <v/>
      </c>
      <c r="Y571" s="55">
        <f>MAX(AM571,G571)</f>
        <v/>
      </c>
      <c r="Z571" s="63" t="n"/>
      <c r="AA571" s="55">
        <f>IF(LEFT(Cockpit!$C$5,1)="A",G571,IF(BT571=1,BU571,IF(LEFT(Cockpit!$C$5,1)="B",AE571,MAX(AE571,G571))))</f>
        <v/>
      </c>
      <c r="AB571" s="55">
        <f>IF(BO571=1,0,ROUNDUP(AA571/BN571,0))</f>
        <v/>
      </c>
      <c r="AC571" s="64">
        <f>IF(BO571=1,IF(AA571&lt;=0,0,BP571*MAX(1,IF(G571&gt;0,AA571/G571,1))),AB571*Q571)</f>
        <v/>
      </c>
      <c r="AD571" s="55">
        <f>AA571*F571</f>
        <v/>
      </c>
      <c r="AE571" s="55">
        <f>ROUNDUP(MAX(I571/IF(BS571&gt;0,BS571,MAX(0.1,N(Cockpit!$C$6))),BV571)/BN571,0)*BN571</f>
        <v/>
      </c>
      <c r="AF571" s="56">
        <f>IF(AC571&gt;0,I571/AC571,-1)</f>
        <v/>
      </c>
      <c r="AG571" s="56">
        <f>IF(AND(OR(BR571="L1",BR571="L23"),AC571&gt;0),SUMIFS($AC$7:$AC$1570,$BR$7:$BR$1570,BR571,$AF$7:$AF$1570,"&gt;"&amp;AF571)+SUMIFS($AC$7:$AC$1570,$BR$7:$BR$1570,BR571,$AF$7:$AF$1570,AF571,$BL$7:$BL$1570,"&lt;="&amp;BL571),"")</f>
        <v/>
      </c>
      <c r="AH571" s="65">
        <f>IF(AG571="",0,MAX(0,MIN(1,(IF(BR571="L1",Parameter!$K$5,Parameter!$K$6+Parameter!$K$7)-(AG571-AC571))/AC571)))</f>
        <v/>
      </c>
      <c r="AI571" s="55">
        <f>IF(LEFT(Cockpit!$I$5,1)="A",G571,IF(BT571=1,BU571,IF(LEFT(Cockpit!$I$5,1)="B",AM571,MAX(AM571,G571))))</f>
        <v/>
      </c>
      <c r="AJ571" s="55">
        <f>IF(BO571=1,0,ROUNDUP(AI571/BN571,0))</f>
        <v/>
      </c>
      <c r="AK571" s="64">
        <f>IF(BO571=1,IF(AI571&lt;=0,0,BP571*MAX(1,IF(G571&gt;0,AI571/G571,1))),AJ571*Q571)</f>
        <v/>
      </c>
      <c r="AL571" s="55">
        <f>AI571*F571</f>
        <v/>
      </c>
      <c r="AM571" s="55">
        <f>ROUNDUP(MAX(I571/IF(BS571&gt;0,BS571,MAX(0.1,N(Cockpit!$I$6))),BV571)/BN571,0)*BN571</f>
        <v/>
      </c>
      <c r="AN571" s="56">
        <f>IF(AK571&gt;0,I571/AK571,-1)</f>
        <v/>
      </c>
      <c r="AO571" s="56">
        <f>IF(AND(OR(BR571="L1",BR571="L23"),AK571&gt;0),SUMIFS($AK$7:$AK$1570,$BR$7:$BR$1570,BR571,$AN$7:$AN$1570,"&gt;"&amp;AN571)+SUMIFS($AK$7:$AK$1570,$BR$7:$BR$1570,BR571,$AN$7:$AN$1570,AN571,$BL$7:$BL$1570,"&lt;="&amp;BL571),"")</f>
        <v/>
      </c>
      <c r="AP571" s="65">
        <f>IF(AO571="",0,MAX(0,MIN(1,(IF(BR571="L1",Parameter!$K$5,Parameter!$K$6+Parameter!$K$7)-(AO571-AK571))/AK571)))</f>
        <v/>
      </c>
      <c r="AQ571" s="55">
        <f>IF(LEFT(Cockpit!$O$5,1)="A",G571,IF(BT571=1,BU571,IF(LEFT(Cockpit!$O$5,1)="B",AU571,MAX(AU571,G571))))</f>
        <v/>
      </c>
      <c r="AR571" s="55">
        <f>IF(BO571=1,0,ROUNDUP(AQ571/BN571,0))</f>
        <v/>
      </c>
      <c r="AS571" s="64">
        <f>IF(BO571=1,IF(AQ571&lt;=0,0,BP571*MAX(1,IF(G571&gt;0,AQ571/G571,1))),AR571*Q571)</f>
        <v/>
      </c>
      <c r="AT571" s="55">
        <f>AQ571*F571</f>
        <v/>
      </c>
      <c r="AU571" s="55">
        <f>ROUNDUP(MAX(I571/IF(BS571&gt;0,BS571,MAX(0.1,N(Cockpit!$O$6))),BV571)/BN571,0)*BN571</f>
        <v/>
      </c>
      <c r="AV571" s="56">
        <f>IF(AS571&gt;0,I571/AS571,-1)</f>
        <v/>
      </c>
      <c r="AW571" s="56">
        <f>IF(AND(OR(BR571="L1",BR571="L23"),AS571&gt;0),SUMIFS($AS$7:$AS$1570,$BR$7:$BR$1570,BR571,$AV$7:$AV$1570,"&gt;"&amp;AV571)+SUMIFS($AS$7:$AS$1570,$BR$7:$BR$1570,BR571,$AV$7:$AV$1570,AV571,$BL$7:$BL$1570,"&lt;="&amp;BL571),"")</f>
        <v/>
      </c>
      <c r="AX571" s="65">
        <f>IF(AW571="",0,MAX(0,MIN(1,(IF(BR571="L1",Parameter!$K$5,Parameter!$K$6+Parameter!$K$7)-(AW571-AS571))/AS571)))</f>
        <v/>
      </c>
      <c r="AY571" s="53">
        <f>IF(AC571&lt;=0,"",IF(BR571="Aussen","Aussenlager",IF(BR571="-","Nicht im Lift",IF(AH571&gt;=1,"Lift",IF(AH571&lt;=0,"Aussenlager","teilweise")))))</f>
        <v/>
      </c>
      <c r="AZ571" s="53">
        <f>IF(AK571&lt;=0,"",IF(BR571="Aussen","Aussenlager",IF(BR571="-","Nicht im Lift",IF(AP571&gt;=1,"Lift",IF(AP571&lt;=0,"Aussenlager","teilweise")))))</f>
        <v/>
      </c>
      <c r="BA571" s="53">
        <f>IF(AS571&lt;=0,"",IF(BR571="Aussen","Aussenlager",IF(BR571="-","Nicht im Lift",IF(AX571&gt;=1,"Lift",IF(AX571&lt;=0,"Aussenlager","teilweise")))))</f>
        <v/>
      </c>
      <c r="BB571" s="53">
        <f>IF(A571="","",IF(BK571=1,"Neu; ","")&amp;IF(AND(BK571=0,BF571&lt;0),"negativer Bestand (Export "&amp;BF571&amp;"); ","")&amp;IF(I571&lt;=0,"Kein Verbrauch; ","")&amp;IF(BO571=1,"Lose – Fläche geschätzt; ","")&amp;IF(G571&gt;AM571,"Überbestand "&amp;ROUND(G571-AM571,0)&amp;" Stk / CHF "&amp;ROUND((G571-AM571)*F571,0)&amp;"; ","")&amp;IF(AND(BT571=1,BU571&lt;BV571),"MAX &lt; MB+LG; ","")&amp;IF(AND(BZ571&gt;0,BY571*10&gt;BZ571),"zu hoch für Tablar; ","")&amp;IF(AND(BK571=0,OR(BT571=1,V571&lt;&gt;"",S571&lt;&gt;"",T571&lt;&gt;"",W571&lt;&gt;"")),"manuell übersteuert; ","")&amp;IF(AND(BO571=0,Q571=0),"Gebinde unbekannt; ","")&amp;IF(AND(BO571=0,N(T571)&lt;=0,N(P571)&lt;=0),"Menge pro Gebinde fehlt (Ist = 1 Gebinde); ","")&amp;BJ571)</f>
        <v/>
      </c>
      <c r="BC571" s="53" t="n"/>
      <c r="BD571" s="53" t="n"/>
      <c r="BE571" s="61" t="n"/>
      <c r="BF571" s="55" t="n">
        <v>77</v>
      </c>
      <c r="BG571" s="55" t="n">
        <v>301</v>
      </c>
      <c r="BH571" s="54" t="n">
        <v>11.54999999999998</v>
      </c>
      <c r="BI571" s="55" t="n">
        <v>368</v>
      </c>
      <c r="BJ571" s="53" t="inlineStr">
        <is>
          <t>nicht im KTL vorhanden</t>
        </is>
      </c>
      <c r="BK571" s="58" t="n">
        <v>0</v>
      </c>
      <c r="BL571" s="58" t="n">
        <v>571</v>
      </c>
      <c r="BM571" s="53">
        <f>IF(S571&lt;&gt;"",UPPER(TRIM(S571)),IF(O571="","LOSE",O571))</f>
        <v/>
      </c>
      <c r="BN571" s="55">
        <f>IF(BM571="LOSE",1,IF(N(T571)&gt;0,T571,IF(N(P571)&gt;0,P571,MAX(1,G571))))</f>
        <v/>
      </c>
      <c r="BO571" s="58">
        <f>IF(BM571="LOSE",1,0)</f>
        <v/>
      </c>
      <c r="BP571" s="64">
        <f>IF(BO571=0,0,IF(N(R571)&gt;0,R571,IFERROR(VLOOKUP(D571,Parameter!$A$35:$C$64,3,0)+0,0)))</f>
        <v/>
      </c>
      <c r="BQ571" s="53">
        <f>IF(V571&lt;&gt;"",V571,U571)</f>
        <v/>
      </c>
      <c r="BR571" s="53">
        <f>IF(BQ571=1,"L1",IF(OR(BQ571=2,BQ571=3),"L23",IF(BQ571="Aussen","Aussen","-")))</f>
        <v/>
      </c>
      <c r="BS571" s="66">
        <f>IF(N(W571)&gt;0,W571,0)</f>
        <v/>
      </c>
      <c r="BT571" s="58">
        <f>IF(ISNUMBER(Z571),1,0)</f>
        <v/>
      </c>
      <c r="BU571" s="55">
        <f>N(Z571)</f>
        <v/>
      </c>
      <c r="BV571" s="55">
        <f>N(L571)+N(M571)</f>
        <v/>
      </c>
      <c r="BW571" s="55">
        <f>ROUNDUP(G571/BN571,0)</f>
        <v/>
      </c>
      <c r="BX571" s="55">
        <f>ROUNDUP(BU571/BN571,0)</f>
        <v/>
      </c>
      <c r="BY571" s="58">
        <f>IF(BO571=1,0,IFERROR(VLOOKUP(BM571,'Gebinde-Kategorie'!$A$5:$G$45,5,0)+0,0))</f>
        <v/>
      </c>
      <c r="BZ571" s="58">
        <f>IFERROR(IF(OR(BQ571=1,BQ571=2,BQ571=3),N(INDEX(Parameter!$I$5:$I$7,BQ571)),0),0)</f>
        <v/>
      </c>
    </row>
    <row r="572">
      <c r="A572" s="53" t="inlineStr">
        <is>
          <t>100157</t>
        </is>
      </c>
      <c r="B572" s="53" t="inlineStr">
        <is>
          <t>Halbrund-Kerbnagel</t>
        </is>
      </c>
      <c r="C572" s="53" t="inlineStr">
        <is>
          <t>F</t>
        </is>
      </c>
      <c r="D572" s="53" t="inlineStr">
        <is>
          <t>KTL</t>
        </is>
      </c>
      <c r="E572" s="53" t="inlineStr">
        <is>
          <t>C</t>
        </is>
      </c>
      <c r="F572" s="54" t="n">
        <v>0.05</v>
      </c>
      <c r="G572" s="55">
        <f>MAX(0,IF(Parameter!$B$20="Jahresanfang 2025 + Export",BG572+BF572,BF572))</f>
        <v/>
      </c>
      <c r="H572" s="55">
        <f>G572*F572</f>
        <v/>
      </c>
      <c r="I572" s="55">
        <f>BI572*Parameter!$B$18</f>
        <v/>
      </c>
      <c r="J572" s="56" t="n">
        <v>959.5</v>
      </c>
      <c r="K572" s="57" t="n">
        <v>0.5211047420531527</v>
      </c>
      <c r="L572" s="55" t="n">
        <v>29</v>
      </c>
      <c r="M572" s="55" t="n">
        <v>500</v>
      </c>
      <c r="N572" s="58" t="n">
        <v>21</v>
      </c>
      <c r="O572" s="53" t="inlineStr">
        <is>
          <t>S22</t>
        </is>
      </c>
      <c r="P572" s="55" t="n">
        <v>415</v>
      </c>
      <c r="Q572" s="59">
        <f>IF(BO572=1,0,IFERROR(VLOOKUP(BM572,'Gebinde-Kategorie'!$A$5:$G$45,6,0)+0,0))</f>
        <v/>
      </c>
      <c r="R572" s="60" t="n"/>
      <c r="S572" s="61" t="n"/>
      <c r="T572" s="61" t="n"/>
      <c r="U572" s="53">
        <f>IF(A572="","",IF(IFERROR(VLOOKUP(D572,Parameter!$A$35:$C$64,2,0),"Nein")="2+3",IF(ISNUMBER(SEARCH("grosser Artikel",BJ572)),2,IFERROR(VLOOKUP(BM572,Parameter!$F$35:$G$64,2,0),2)),IF(OR(IFERROR(VLOOKUP(D572,Parameter!$A$35:$C$64,2,0),"Nein")="Nein",IFERROR(VLOOKUP(D572,Parameter!$A$35:$C$64,2,0),"Nein")=""),"-",VLOOKUP(D572,Parameter!$A$35:$C$64,2,0))))</f>
        <v/>
      </c>
      <c r="V572" s="61" t="n"/>
      <c r="W572" s="62" t="n"/>
      <c r="X572" s="55">
        <f>AM572</f>
        <v/>
      </c>
      <c r="Y572" s="55">
        <f>MAX(AM572,G572)</f>
        <v/>
      </c>
      <c r="Z572" s="63" t="n"/>
      <c r="AA572" s="55">
        <f>IF(LEFT(Cockpit!$C$5,1)="A",G572,IF(BT572=1,BU572,IF(LEFT(Cockpit!$C$5,1)="B",AE572,MAX(AE572,G572))))</f>
        <v/>
      </c>
      <c r="AB572" s="55">
        <f>IF(BO572=1,0,ROUNDUP(AA572/BN572,0))</f>
        <v/>
      </c>
      <c r="AC572" s="64">
        <f>IF(BO572=1,IF(AA572&lt;=0,0,BP572*MAX(1,IF(G572&gt;0,AA572/G572,1))),AB572*Q572)</f>
        <v/>
      </c>
      <c r="AD572" s="55">
        <f>AA572*F572</f>
        <v/>
      </c>
      <c r="AE572" s="55">
        <f>ROUNDUP(MAX(I572/IF(BS572&gt;0,BS572,MAX(0.1,N(Cockpit!$C$6))),BV572)/BN572,0)*BN572</f>
        <v/>
      </c>
      <c r="AF572" s="56">
        <f>IF(AC572&gt;0,I572/AC572,-1)</f>
        <v/>
      </c>
      <c r="AG572" s="56">
        <f>IF(AND(OR(BR572="L1",BR572="L23"),AC572&gt;0),SUMIFS($AC$7:$AC$1570,$BR$7:$BR$1570,BR572,$AF$7:$AF$1570,"&gt;"&amp;AF572)+SUMIFS($AC$7:$AC$1570,$BR$7:$BR$1570,BR572,$AF$7:$AF$1570,AF572,$BL$7:$BL$1570,"&lt;="&amp;BL572),"")</f>
        <v/>
      </c>
      <c r="AH572" s="65">
        <f>IF(AG572="",0,MAX(0,MIN(1,(IF(BR572="L1",Parameter!$K$5,Parameter!$K$6+Parameter!$K$7)-(AG572-AC572))/AC572)))</f>
        <v/>
      </c>
      <c r="AI572" s="55">
        <f>IF(LEFT(Cockpit!$I$5,1)="A",G572,IF(BT572=1,BU572,IF(LEFT(Cockpit!$I$5,1)="B",AM572,MAX(AM572,G572))))</f>
        <v/>
      </c>
      <c r="AJ572" s="55">
        <f>IF(BO572=1,0,ROUNDUP(AI572/BN572,0))</f>
        <v/>
      </c>
      <c r="AK572" s="64">
        <f>IF(BO572=1,IF(AI572&lt;=0,0,BP572*MAX(1,IF(G572&gt;0,AI572/G572,1))),AJ572*Q572)</f>
        <v/>
      </c>
      <c r="AL572" s="55">
        <f>AI572*F572</f>
        <v/>
      </c>
      <c r="AM572" s="55">
        <f>ROUNDUP(MAX(I572/IF(BS572&gt;0,BS572,MAX(0.1,N(Cockpit!$I$6))),BV572)/BN572,0)*BN572</f>
        <v/>
      </c>
      <c r="AN572" s="56">
        <f>IF(AK572&gt;0,I572/AK572,-1)</f>
        <v/>
      </c>
      <c r="AO572" s="56">
        <f>IF(AND(OR(BR572="L1",BR572="L23"),AK572&gt;0),SUMIFS($AK$7:$AK$1570,$BR$7:$BR$1570,BR572,$AN$7:$AN$1570,"&gt;"&amp;AN572)+SUMIFS($AK$7:$AK$1570,$BR$7:$BR$1570,BR572,$AN$7:$AN$1570,AN572,$BL$7:$BL$1570,"&lt;="&amp;BL572),"")</f>
        <v/>
      </c>
      <c r="AP572" s="65">
        <f>IF(AO572="",0,MAX(0,MIN(1,(IF(BR572="L1",Parameter!$K$5,Parameter!$K$6+Parameter!$K$7)-(AO572-AK572))/AK572)))</f>
        <v/>
      </c>
      <c r="AQ572" s="55">
        <f>IF(LEFT(Cockpit!$O$5,1)="A",G572,IF(BT572=1,BU572,IF(LEFT(Cockpit!$O$5,1)="B",AU572,MAX(AU572,G572))))</f>
        <v/>
      </c>
      <c r="AR572" s="55">
        <f>IF(BO572=1,0,ROUNDUP(AQ572/BN572,0))</f>
        <v/>
      </c>
      <c r="AS572" s="64">
        <f>IF(BO572=1,IF(AQ572&lt;=0,0,BP572*MAX(1,IF(G572&gt;0,AQ572/G572,1))),AR572*Q572)</f>
        <v/>
      </c>
      <c r="AT572" s="55">
        <f>AQ572*F572</f>
        <v/>
      </c>
      <c r="AU572" s="55">
        <f>ROUNDUP(MAX(I572/IF(BS572&gt;0,BS572,MAX(0.1,N(Cockpit!$O$6))),BV572)/BN572,0)*BN572</f>
        <v/>
      </c>
      <c r="AV572" s="56">
        <f>IF(AS572&gt;0,I572/AS572,-1)</f>
        <v/>
      </c>
      <c r="AW572" s="56">
        <f>IF(AND(OR(BR572="L1",BR572="L23"),AS572&gt;0),SUMIFS($AS$7:$AS$1570,$BR$7:$BR$1570,BR572,$AV$7:$AV$1570,"&gt;"&amp;AV572)+SUMIFS($AS$7:$AS$1570,$BR$7:$BR$1570,BR572,$AV$7:$AV$1570,AV572,$BL$7:$BL$1570,"&lt;="&amp;BL572),"")</f>
        <v/>
      </c>
      <c r="AX572" s="65">
        <f>IF(AW572="",0,MAX(0,MIN(1,(IF(BR572="L1",Parameter!$K$5,Parameter!$K$6+Parameter!$K$7)-(AW572-AS572))/AS572)))</f>
        <v/>
      </c>
      <c r="AY572" s="53">
        <f>IF(AC572&lt;=0,"",IF(BR572="Aussen","Aussenlager",IF(BR572="-","Nicht im Lift",IF(AH572&gt;=1,"Lift",IF(AH572&lt;=0,"Aussenlager","teilweise")))))</f>
        <v/>
      </c>
      <c r="AZ572" s="53">
        <f>IF(AK572&lt;=0,"",IF(BR572="Aussen","Aussenlager",IF(BR572="-","Nicht im Lift",IF(AP572&gt;=1,"Lift",IF(AP572&lt;=0,"Aussenlager","teilweise")))))</f>
        <v/>
      </c>
      <c r="BA572" s="53">
        <f>IF(AS572&lt;=0,"",IF(BR572="Aussen","Aussenlager",IF(BR572="-","Nicht im Lift",IF(AX572&gt;=1,"Lift",IF(AX572&lt;=0,"Aussenlager","teilweise")))))</f>
        <v/>
      </c>
      <c r="BB572" s="53">
        <f>IF(A572="","",IF(BK572=1,"Neu; ","")&amp;IF(AND(BK572=0,BF572&lt;0),"negativer Bestand (Export "&amp;BF572&amp;"); ","")&amp;IF(I572&lt;=0,"Kein Verbrauch; ","")&amp;IF(BO572=1,"Lose – Fläche geschätzt; ","")&amp;IF(G572&gt;AM572,"Überbestand "&amp;ROUND(G572-AM572,0)&amp;" Stk / CHF "&amp;ROUND((G572-AM572)*F572,0)&amp;"; ","")&amp;IF(AND(BT572=1,BU572&lt;BV572),"MAX &lt; MB+LG; ","")&amp;IF(AND(BZ572&gt;0,BY572*10&gt;BZ572),"zu hoch für Tablar; ","")&amp;IF(AND(BK572=0,OR(BT572=1,V572&lt;&gt;"",S572&lt;&gt;"",T572&lt;&gt;"",W572&lt;&gt;"")),"manuell übersteuert; ","")&amp;IF(AND(BO572=0,Q572=0),"Gebinde unbekannt; ","")&amp;IF(AND(BO572=0,N(T572)&lt;=0,N(P572)&lt;=0),"Menge pro Gebinde fehlt (Ist = 1 Gebinde); ","")&amp;BJ572)</f>
        <v/>
      </c>
      <c r="BC572" s="53" t="n"/>
      <c r="BD572" s="53" t="n"/>
      <c r="BE572" s="61" t="n"/>
      <c r="BF572" s="55" t="n">
        <v>-101</v>
      </c>
      <c r="BG572" s="55" t="n">
        <v>804</v>
      </c>
      <c r="BH572" s="54" t="n">
        <v>11.03000000000003</v>
      </c>
      <c r="BI572" s="55" t="n">
        <v>500</v>
      </c>
      <c r="BJ572" s="53" t="inlineStr"/>
      <c r="BK572" s="58" t="n">
        <v>0</v>
      </c>
      <c r="BL572" s="58" t="n">
        <v>572</v>
      </c>
      <c r="BM572" s="53">
        <f>IF(S572&lt;&gt;"",UPPER(TRIM(S572)),IF(O572="","LOSE",O572))</f>
        <v/>
      </c>
      <c r="BN572" s="55">
        <f>IF(BM572="LOSE",1,IF(N(T572)&gt;0,T572,IF(N(P572)&gt;0,P572,MAX(1,G572))))</f>
        <v/>
      </c>
      <c r="BO572" s="58">
        <f>IF(BM572="LOSE",1,0)</f>
        <v/>
      </c>
      <c r="BP572" s="64">
        <f>IF(BO572=0,0,IF(N(R572)&gt;0,R572,IFERROR(VLOOKUP(D572,Parameter!$A$35:$C$64,3,0)+0,0)))</f>
        <v/>
      </c>
      <c r="BQ572" s="53">
        <f>IF(V572&lt;&gt;"",V572,U572)</f>
        <v/>
      </c>
      <c r="BR572" s="53">
        <f>IF(BQ572=1,"L1",IF(OR(BQ572=2,BQ572=3),"L23",IF(BQ572="Aussen","Aussen","-")))</f>
        <v/>
      </c>
      <c r="BS572" s="66">
        <f>IF(N(W572)&gt;0,W572,0)</f>
        <v/>
      </c>
      <c r="BT572" s="58">
        <f>IF(ISNUMBER(Z572),1,0)</f>
        <v/>
      </c>
      <c r="BU572" s="55">
        <f>N(Z572)</f>
        <v/>
      </c>
      <c r="BV572" s="55">
        <f>N(L572)+N(M572)</f>
        <v/>
      </c>
      <c r="BW572" s="55">
        <f>ROUNDUP(G572/BN572,0)</f>
        <v/>
      </c>
      <c r="BX572" s="55">
        <f>ROUNDUP(BU572/BN572,0)</f>
        <v/>
      </c>
      <c r="BY572" s="58">
        <f>IF(BO572=1,0,IFERROR(VLOOKUP(BM572,'Gebinde-Kategorie'!$A$5:$G$45,5,0)+0,0))</f>
        <v/>
      </c>
      <c r="BZ572" s="58">
        <f>IFERROR(IF(OR(BQ572=1,BQ572=2,BQ572=3),N(INDEX(Parameter!$I$5:$I$7,BQ572)),0),0)</f>
        <v/>
      </c>
    </row>
    <row r="573">
      <c r="A573" s="53" t="inlineStr">
        <is>
          <t>111730</t>
        </is>
      </c>
      <c r="B573" s="53" t="inlineStr">
        <is>
          <t>Gurtrohrzange</t>
        </is>
      </c>
      <c r="C573" s="53" t="inlineStr">
        <is>
          <t>F</t>
        </is>
      </c>
      <c r="D573" s="53" t="inlineStr">
        <is>
          <t>PAL</t>
        </is>
      </c>
      <c r="E573" s="53" t="inlineStr">
        <is>
          <t>C</t>
        </is>
      </c>
      <c r="F573" s="54" t="n">
        <v>10.5</v>
      </c>
      <c r="G573" s="55">
        <f>MAX(0,IF(Parameter!$B$20="Jahresanfang 2025 + Export",BG573+BF573,BF573))</f>
        <v/>
      </c>
      <c r="H573" s="55">
        <f>G573*F573</f>
        <v/>
      </c>
      <c r="I573" s="55">
        <f>BI573*Parameter!$B$18</f>
        <v/>
      </c>
      <c r="J573" s="56" t="n">
        <v>0</v>
      </c>
      <c r="K573" s="57" t="n">
        <v>0</v>
      </c>
      <c r="L573" s="55" t="n">
        <v>0</v>
      </c>
      <c r="M573" s="55" t="n">
        <v>1</v>
      </c>
      <c r="N573" s="58" t="n">
        <v>21</v>
      </c>
      <c r="O573" s="53" t="inlineStr">
        <is>
          <t>LOSE</t>
        </is>
      </c>
      <c r="P573" s="55" t="n"/>
      <c r="Q573" s="59">
        <f>IF(BO573=1,0,IFERROR(VLOOKUP(BM573,'Gebinde-Kategorie'!$A$5:$G$45,6,0)+0,0))</f>
        <v/>
      </c>
      <c r="R573" s="60" t="n"/>
      <c r="S573" s="61" t="n"/>
      <c r="T573" s="61" t="n"/>
      <c r="U573" s="53">
        <f>IF(A573="","",IF(IFERROR(VLOOKUP(D573,Parameter!$A$35:$C$64,2,0),"Nein")="2+3",IF(ISNUMBER(SEARCH("grosser Artikel",BJ573)),2,IFERROR(VLOOKUP(BM573,Parameter!$F$35:$G$64,2,0),2)),IF(OR(IFERROR(VLOOKUP(D573,Parameter!$A$35:$C$64,2,0),"Nein")="Nein",IFERROR(VLOOKUP(D573,Parameter!$A$35:$C$64,2,0),"Nein")=""),"-",VLOOKUP(D573,Parameter!$A$35:$C$64,2,0))))</f>
        <v/>
      </c>
      <c r="V573" s="61" t="n"/>
      <c r="W573" s="62" t="n"/>
      <c r="X573" s="55">
        <f>AM573</f>
        <v/>
      </c>
      <c r="Y573" s="55">
        <f>MAX(AM573,G573)</f>
        <v/>
      </c>
      <c r="Z573" s="63" t="n"/>
      <c r="AA573" s="55">
        <f>IF(LEFT(Cockpit!$C$5,1)="A",G573,IF(BT573=1,BU573,IF(LEFT(Cockpit!$C$5,1)="B",AE573,MAX(AE573,G573))))</f>
        <v/>
      </c>
      <c r="AB573" s="55">
        <f>IF(BO573=1,0,ROUNDUP(AA573/BN573,0))</f>
        <v/>
      </c>
      <c r="AC573" s="64">
        <f>IF(BO573=1,IF(AA573&lt;=0,0,BP573*MAX(1,IF(G573&gt;0,AA573/G573,1))),AB573*Q573)</f>
        <v/>
      </c>
      <c r="AD573" s="55">
        <f>AA573*F573</f>
        <v/>
      </c>
      <c r="AE573" s="55">
        <f>ROUNDUP(MAX(I573/IF(BS573&gt;0,BS573,MAX(0.1,N(Cockpit!$C$6))),BV573)/BN573,0)*BN573</f>
        <v/>
      </c>
      <c r="AF573" s="56">
        <f>IF(AC573&gt;0,I573/AC573,-1)</f>
        <v/>
      </c>
      <c r="AG573" s="56">
        <f>IF(AND(OR(BR573="L1",BR573="L23"),AC573&gt;0),SUMIFS($AC$7:$AC$1570,$BR$7:$BR$1570,BR573,$AF$7:$AF$1570,"&gt;"&amp;AF573)+SUMIFS($AC$7:$AC$1570,$BR$7:$BR$1570,BR573,$AF$7:$AF$1570,AF573,$BL$7:$BL$1570,"&lt;="&amp;BL573),"")</f>
        <v/>
      </c>
      <c r="AH573" s="65">
        <f>IF(AG573="",0,MAX(0,MIN(1,(IF(BR573="L1",Parameter!$K$5,Parameter!$K$6+Parameter!$K$7)-(AG573-AC573))/AC573)))</f>
        <v/>
      </c>
      <c r="AI573" s="55">
        <f>IF(LEFT(Cockpit!$I$5,1)="A",G573,IF(BT573=1,BU573,IF(LEFT(Cockpit!$I$5,1)="B",AM573,MAX(AM573,G573))))</f>
        <v/>
      </c>
      <c r="AJ573" s="55">
        <f>IF(BO573=1,0,ROUNDUP(AI573/BN573,0))</f>
        <v/>
      </c>
      <c r="AK573" s="64">
        <f>IF(BO573=1,IF(AI573&lt;=0,0,BP573*MAX(1,IF(G573&gt;0,AI573/G573,1))),AJ573*Q573)</f>
        <v/>
      </c>
      <c r="AL573" s="55">
        <f>AI573*F573</f>
        <v/>
      </c>
      <c r="AM573" s="55">
        <f>ROUNDUP(MAX(I573/IF(BS573&gt;0,BS573,MAX(0.1,N(Cockpit!$I$6))),BV573)/BN573,0)*BN573</f>
        <v/>
      </c>
      <c r="AN573" s="56">
        <f>IF(AK573&gt;0,I573/AK573,-1)</f>
        <v/>
      </c>
      <c r="AO573" s="56">
        <f>IF(AND(OR(BR573="L1",BR573="L23"),AK573&gt;0),SUMIFS($AK$7:$AK$1570,$BR$7:$BR$1570,BR573,$AN$7:$AN$1570,"&gt;"&amp;AN573)+SUMIFS($AK$7:$AK$1570,$BR$7:$BR$1570,BR573,$AN$7:$AN$1570,AN573,$BL$7:$BL$1570,"&lt;="&amp;BL573),"")</f>
        <v/>
      </c>
      <c r="AP573" s="65">
        <f>IF(AO573="",0,MAX(0,MIN(1,(IF(BR573="L1",Parameter!$K$5,Parameter!$K$6+Parameter!$K$7)-(AO573-AK573))/AK573)))</f>
        <v/>
      </c>
      <c r="AQ573" s="55">
        <f>IF(LEFT(Cockpit!$O$5,1)="A",G573,IF(BT573=1,BU573,IF(LEFT(Cockpit!$O$5,1)="B",AU573,MAX(AU573,G573))))</f>
        <v/>
      </c>
      <c r="AR573" s="55">
        <f>IF(BO573=1,0,ROUNDUP(AQ573/BN573,0))</f>
        <v/>
      </c>
      <c r="AS573" s="64">
        <f>IF(BO573=1,IF(AQ573&lt;=0,0,BP573*MAX(1,IF(G573&gt;0,AQ573/G573,1))),AR573*Q573)</f>
        <v/>
      </c>
      <c r="AT573" s="55">
        <f>AQ573*F573</f>
        <v/>
      </c>
      <c r="AU573" s="55">
        <f>ROUNDUP(MAX(I573/IF(BS573&gt;0,BS573,MAX(0.1,N(Cockpit!$O$6))),BV573)/BN573,0)*BN573</f>
        <v/>
      </c>
      <c r="AV573" s="56">
        <f>IF(AS573&gt;0,I573/AS573,-1)</f>
        <v/>
      </c>
      <c r="AW573" s="56">
        <f>IF(AND(OR(BR573="L1",BR573="L23"),AS573&gt;0),SUMIFS($AS$7:$AS$1570,$BR$7:$BR$1570,BR573,$AV$7:$AV$1570,"&gt;"&amp;AV573)+SUMIFS($AS$7:$AS$1570,$BR$7:$BR$1570,BR573,$AV$7:$AV$1570,AV573,$BL$7:$BL$1570,"&lt;="&amp;BL573),"")</f>
        <v/>
      </c>
      <c r="AX573" s="65">
        <f>IF(AW573="",0,MAX(0,MIN(1,(IF(BR573="L1",Parameter!$K$5,Parameter!$K$6+Parameter!$K$7)-(AW573-AS573))/AS573)))</f>
        <v/>
      </c>
      <c r="AY573" s="53">
        <f>IF(AC573&lt;=0,"",IF(BR573="Aussen","Aussenlager",IF(BR573="-","Nicht im Lift",IF(AH573&gt;=1,"Lift",IF(AH573&lt;=0,"Aussenlager","teilweise")))))</f>
        <v/>
      </c>
      <c r="AZ573" s="53">
        <f>IF(AK573&lt;=0,"",IF(BR573="Aussen","Aussenlager",IF(BR573="-","Nicht im Lift",IF(AP573&gt;=1,"Lift",IF(AP573&lt;=0,"Aussenlager","teilweise")))))</f>
        <v/>
      </c>
      <c r="BA573" s="53">
        <f>IF(AS573&lt;=0,"",IF(BR573="Aussen","Aussenlager",IF(BR573="-","Nicht im Lift",IF(AX573&gt;=1,"Lift",IF(AX573&lt;=0,"Aussenlager","teilweise")))))</f>
        <v/>
      </c>
      <c r="BB573" s="53">
        <f>IF(A573="","",IF(BK573=1,"Neu; ","")&amp;IF(AND(BK573=0,BF573&lt;0),"negativer Bestand (Export "&amp;BF573&amp;"); ","")&amp;IF(I573&lt;=0,"Kein Verbrauch; ","")&amp;IF(BO573=1,"Lose – Fläche geschätzt; ","")&amp;IF(G573&gt;AM573,"Überbestand "&amp;ROUND(G573-AM573,0)&amp;" Stk / CHF "&amp;ROUND((G573-AM573)*F573,0)&amp;"; ","")&amp;IF(AND(BT573=1,BU573&lt;BV573),"MAX &lt; MB+LG; ","")&amp;IF(AND(BZ573&gt;0,BY573*10&gt;BZ573),"zu hoch für Tablar; ","")&amp;IF(AND(BK573=0,OR(BT573=1,V573&lt;&gt;"",S573&lt;&gt;"",T573&lt;&gt;"",W573&lt;&gt;"")),"manuell übersteuert; ","")&amp;IF(AND(BO573=0,Q573=0),"Gebinde unbekannt; ","")&amp;IF(AND(BO573=0,N(T573)&lt;=0,N(P573)&lt;=0),"Menge pro Gebinde fehlt (Ist = 1 Gebinde); ","")&amp;BJ573)</f>
        <v/>
      </c>
      <c r="BC573" s="53" t="n"/>
      <c r="BD573" s="53" t="n"/>
      <c r="BE573" s="61" t="n"/>
      <c r="BF573" s="55" t="n">
        <v>1</v>
      </c>
      <c r="BG573" s="55" t="n">
        <v>0</v>
      </c>
      <c r="BH573" s="54" t="n">
        <v>10.5</v>
      </c>
      <c r="BI573" s="55" t="n">
        <v>0</v>
      </c>
      <c r="BJ573" s="53" t="inlineStr"/>
      <c r="BK573" s="58" t="n">
        <v>0</v>
      </c>
      <c r="BL573" s="58" t="n">
        <v>573</v>
      </c>
      <c r="BM573" s="53">
        <f>IF(S573&lt;&gt;"",UPPER(TRIM(S573)),IF(O573="","LOSE",O573))</f>
        <v/>
      </c>
      <c r="BN573" s="55">
        <f>IF(BM573="LOSE",1,IF(N(T573)&gt;0,T573,IF(N(P573)&gt;0,P573,MAX(1,G573))))</f>
        <v/>
      </c>
      <c r="BO573" s="58">
        <f>IF(BM573="LOSE",1,0)</f>
        <v/>
      </c>
      <c r="BP573" s="64">
        <f>IF(BO573=0,0,IF(N(R573)&gt;0,R573,IFERROR(VLOOKUP(D573,Parameter!$A$35:$C$64,3,0)+0,0)))</f>
        <v/>
      </c>
      <c r="BQ573" s="53">
        <f>IF(V573&lt;&gt;"",V573,U573)</f>
        <v/>
      </c>
      <c r="BR573" s="53">
        <f>IF(BQ573=1,"L1",IF(OR(BQ573=2,BQ573=3),"L23",IF(BQ573="Aussen","Aussen","-")))</f>
        <v/>
      </c>
      <c r="BS573" s="66">
        <f>IF(N(W573)&gt;0,W573,0)</f>
        <v/>
      </c>
      <c r="BT573" s="58">
        <f>IF(ISNUMBER(Z573),1,0)</f>
        <v/>
      </c>
      <c r="BU573" s="55">
        <f>N(Z573)</f>
        <v/>
      </c>
      <c r="BV573" s="55">
        <f>N(L573)+N(M573)</f>
        <v/>
      </c>
      <c r="BW573" s="55">
        <f>ROUNDUP(G573/BN573,0)</f>
        <v/>
      </c>
      <c r="BX573" s="55">
        <f>ROUNDUP(BU573/BN573,0)</f>
        <v/>
      </c>
      <c r="BY573" s="58">
        <f>IF(BO573=1,0,IFERROR(VLOOKUP(BM573,'Gebinde-Kategorie'!$A$5:$G$45,5,0)+0,0))</f>
        <v/>
      </c>
      <c r="BZ573" s="58">
        <f>IFERROR(IF(OR(BQ573=1,BQ573=2,BQ573=3),N(INDEX(Parameter!$I$5:$I$7,BQ573)),0),0)</f>
        <v/>
      </c>
    </row>
    <row r="574">
      <c r="A574" s="53" t="inlineStr">
        <is>
          <t>005453</t>
        </is>
      </c>
      <c r="B574" s="53" t="inlineStr">
        <is>
          <t>Aderendhülse ohne Isolation</t>
        </is>
      </c>
      <c r="C574" s="53" t="inlineStr">
        <is>
          <t>F</t>
        </is>
      </c>
      <c r="D574" s="53" t="inlineStr">
        <is>
          <t>KTL</t>
        </is>
      </c>
      <c r="E574" s="53" t="inlineStr">
        <is>
          <t>C</t>
        </is>
      </c>
      <c r="F574" s="54" t="n">
        <v>0.05</v>
      </c>
      <c r="G574" s="55">
        <f>MAX(0,IF(Parameter!$B$20="Jahresanfang 2025 + Export",BG574+BF574,BF574))</f>
        <v/>
      </c>
      <c r="H574" s="55">
        <f>G574*F574</f>
        <v/>
      </c>
      <c r="I574" s="55">
        <f>BI574*Parameter!$B$18</f>
        <v/>
      </c>
      <c r="J574" s="56" t="n">
        <v>705</v>
      </c>
      <c r="K574" s="57" t="n">
        <v>0</v>
      </c>
      <c r="L574" s="55" t="n">
        <v>0</v>
      </c>
      <c r="M574" s="55" t="n">
        <v>1</v>
      </c>
      <c r="N574" s="58" t="n">
        <v>14</v>
      </c>
      <c r="O574" s="53" t="inlineStr">
        <is>
          <t>S21</t>
        </is>
      </c>
      <c r="P574" s="55" t="n">
        <v>512</v>
      </c>
      <c r="Q574" s="59">
        <f>IF(BO574=1,0,IFERROR(VLOOKUP(BM574,'Gebinde-Kategorie'!$A$5:$G$45,6,0)+0,0))</f>
        <v/>
      </c>
      <c r="R574" s="60" t="n"/>
      <c r="S574" s="61" t="n"/>
      <c r="T574" s="61" t="n"/>
      <c r="U574" s="53">
        <f>IF(A574="","",IF(IFERROR(VLOOKUP(D574,Parameter!$A$35:$C$64,2,0),"Nein")="2+3",IF(ISNUMBER(SEARCH("grosser Artikel",BJ574)),2,IFERROR(VLOOKUP(BM574,Parameter!$F$35:$G$64,2,0),2)),IF(OR(IFERROR(VLOOKUP(D574,Parameter!$A$35:$C$64,2,0),"Nein")="Nein",IFERROR(VLOOKUP(D574,Parameter!$A$35:$C$64,2,0),"Nein")=""),"-",VLOOKUP(D574,Parameter!$A$35:$C$64,2,0))))</f>
        <v/>
      </c>
      <c r="V574" s="61" t="n"/>
      <c r="W574" s="62" t="n"/>
      <c r="X574" s="55">
        <f>AM574</f>
        <v/>
      </c>
      <c r="Y574" s="55">
        <f>MAX(AM574,G574)</f>
        <v/>
      </c>
      <c r="Z574" s="63" t="n"/>
      <c r="AA574" s="55">
        <f>IF(LEFT(Cockpit!$C$5,1)="A",G574,IF(BT574=1,BU574,IF(LEFT(Cockpit!$C$5,1)="B",AE574,MAX(AE574,G574))))</f>
        <v/>
      </c>
      <c r="AB574" s="55">
        <f>IF(BO574=1,0,ROUNDUP(AA574/BN574,0))</f>
        <v/>
      </c>
      <c r="AC574" s="64">
        <f>IF(BO574=1,IF(AA574&lt;=0,0,BP574*MAX(1,IF(G574&gt;0,AA574/G574,1))),AB574*Q574)</f>
        <v/>
      </c>
      <c r="AD574" s="55">
        <f>AA574*F574</f>
        <v/>
      </c>
      <c r="AE574" s="55">
        <f>ROUNDUP(MAX(I574/IF(BS574&gt;0,BS574,MAX(0.1,N(Cockpit!$C$6))),BV574)/BN574,0)*BN574</f>
        <v/>
      </c>
      <c r="AF574" s="56">
        <f>IF(AC574&gt;0,I574/AC574,-1)</f>
        <v/>
      </c>
      <c r="AG574" s="56">
        <f>IF(AND(OR(BR574="L1",BR574="L23"),AC574&gt;0),SUMIFS($AC$7:$AC$1570,$BR$7:$BR$1570,BR574,$AF$7:$AF$1570,"&gt;"&amp;AF574)+SUMIFS($AC$7:$AC$1570,$BR$7:$BR$1570,BR574,$AF$7:$AF$1570,AF574,$BL$7:$BL$1570,"&lt;="&amp;BL574),"")</f>
        <v/>
      </c>
      <c r="AH574" s="65">
        <f>IF(AG574="",0,MAX(0,MIN(1,(IF(BR574="L1",Parameter!$K$5,Parameter!$K$6+Parameter!$K$7)-(AG574-AC574))/AC574)))</f>
        <v/>
      </c>
      <c r="AI574" s="55">
        <f>IF(LEFT(Cockpit!$I$5,1)="A",G574,IF(BT574=1,BU574,IF(LEFT(Cockpit!$I$5,1)="B",AM574,MAX(AM574,G574))))</f>
        <v/>
      </c>
      <c r="AJ574" s="55">
        <f>IF(BO574=1,0,ROUNDUP(AI574/BN574,0))</f>
        <v/>
      </c>
      <c r="AK574" s="64">
        <f>IF(BO574=1,IF(AI574&lt;=0,0,BP574*MAX(1,IF(G574&gt;0,AI574/G574,1))),AJ574*Q574)</f>
        <v/>
      </c>
      <c r="AL574" s="55">
        <f>AI574*F574</f>
        <v/>
      </c>
      <c r="AM574" s="55">
        <f>ROUNDUP(MAX(I574/IF(BS574&gt;0,BS574,MAX(0.1,N(Cockpit!$I$6))),BV574)/BN574,0)*BN574</f>
        <v/>
      </c>
      <c r="AN574" s="56">
        <f>IF(AK574&gt;0,I574/AK574,-1)</f>
        <v/>
      </c>
      <c r="AO574" s="56">
        <f>IF(AND(OR(BR574="L1",BR574="L23"),AK574&gt;0),SUMIFS($AK$7:$AK$1570,$BR$7:$BR$1570,BR574,$AN$7:$AN$1570,"&gt;"&amp;AN574)+SUMIFS($AK$7:$AK$1570,$BR$7:$BR$1570,BR574,$AN$7:$AN$1570,AN574,$BL$7:$BL$1570,"&lt;="&amp;BL574),"")</f>
        <v/>
      </c>
      <c r="AP574" s="65">
        <f>IF(AO574="",0,MAX(0,MIN(1,(IF(BR574="L1",Parameter!$K$5,Parameter!$K$6+Parameter!$K$7)-(AO574-AK574))/AK574)))</f>
        <v/>
      </c>
      <c r="AQ574" s="55">
        <f>IF(LEFT(Cockpit!$O$5,1)="A",G574,IF(BT574=1,BU574,IF(LEFT(Cockpit!$O$5,1)="B",AU574,MAX(AU574,G574))))</f>
        <v/>
      </c>
      <c r="AR574" s="55">
        <f>IF(BO574=1,0,ROUNDUP(AQ574/BN574,0))</f>
        <v/>
      </c>
      <c r="AS574" s="64">
        <f>IF(BO574=1,IF(AQ574&lt;=0,0,BP574*MAX(1,IF(G574&gt;0,AQ574/G574,1))),AR574*Q574)</f>
        <v/>
      </c>
      <c r="AT574" s="55">
        <f>AQ574*F574</f>
        <v/>
      </c>
      <c r="AU574" s="55">
        <f>ROUNDUP(MAX(I574/IF(BS574&gt;0,BS574,MAX(0.1,N(Cockpit!$O$6))),BV574)/BN574,0)*BN574</f>
        <v/>
      </c>
      <c r="AV574" s="56">
        <f>IF(AS574&gt;0,I574/AS574,-1)</f>
        <v/>
      </c>
      <c r="AW574" s="56">
        <f>IF(AND(OR(BR574="L1",BR574="L23"),AS574&gt;0),SUMIFS($AS$7:$AS$1570,$BR$7:$BR$1570,BR574,$AV$7:$AV$1570,"&gt;"&amp;AV574)+SUMIFS($AS$7:$AS$1570,$BR$7:$BR$1570,BR574,$AV$7:$AV$1570,AV574,$BL$7:$BL$1570,"&lt;="&amp;BL574),"")</f>
        <v/>
      </c>
      <c r="AX574" s="65">
        <f>IF(AW574="",0,MAX(0,MIN(1,(IF(BR574="L1",Parameter!$K$5,Parameter!$K$6+Parameter!$K$7)-(AW574-AS574))/AS574)))</f>
        <v/>
      </c>
      <c r="AY574" s="53">
        <f>IF(AC574&lt;=0,"",IF(BR574="Aussen","Aussenlager",IF(BR574="-","Nicht im Lift",IF(AH574&gt;=1,"Lift",IF(AH574&lt;=0,"Aussenlager","teilweise")))))</f>
        <v/>
      </c>
      <c r="AZ574" s="53">
        <f>IF(AK574&lt;=0,"",IF(BR574="Aussen","Aussenlager",IF(BR574="-","Nicht im Lift",IF(AP574&gt;=1,"Lift",IF(AP574&lt;=0,"Aussenlager","teilweise")))))</f>
        <v/>
      </c>
      <c r="BA574" s="53">
        <f>IF(AS574&lt;=0,"",IF(BR574="Aussen","Aussenlager",IF(BR574="-","Nicht im Lift",IF(AX574&gt;=1,"Lift",IF(AX574&lt;=0,"Aussenlager","teilweise")))))</f>
        <v/>
      </c>
      <c r="BB574" s="53">
        <f>IF(A574="","",IF(BK574=1,"Neu; ","")&amp;IF(AND(BK574=0,BF574&lt;0),"negativer Bestand (Export "&amp;BF574&amp;"); ","")&amp;IF(I574&lt;=0,"Kein Verbrauch; ","")&amp;IF(BO574=1,"Lose – Fläche geschätzt; ","")&amp;IF(G574&gt;AM574,"Überbestand "&amp;ROUND(G574-AM574,0)&amp;" Stk / CHF "&amp;ROUND((G574-AM574)*F574,0)&amp;"; ","")&amp;IF(AND(BT574=1,BU574&lt;BV574),"MAX &lt; MB+LG; ","")&amp;IF(AND(BZ574&gt;0,BY574*10&gt;BZ574),"zu hoch für Tablar; ","")&amp;IF(AND(BK574=0,OR(BT574=1,V574&lt;&gt;"",S574&lt;&gt;"",T574&lt;&gt;"",W574&lt;&gt;"")),"manuell übersteuert; ","")&amp;IF(AND(BO574=0,Q574=0),"Gebinde unbekannt; ","")&amp;IF(AND(BO574=0,N(T574)&lt;=0,N(P574)&lt;=0),"Menge pro Gebinde fehlt (Ist = 1 Gebinde); ","")&amp;BJ574)</f>
        <v/>
      </c>
      <c r="BC574" s="53" t="n"/>
      <c r="BD574" s="53" t="n"/>
      <c r="BE574" s="61" t="n"/>
      <c r="BF574" s="55" t="n">
        <v>210</v>
      </c>
      <c r="BG574" s="55" t="n">
        <v>600</v>
      </c>
      <c r="BH574" s="54" t="n">
        <v>10.5</v>
      </c>
      <c r="BI574" s="55" t="n">
        <v>0</v>
      </c>
      <c r="BJ574" s="53" t="inlineStr">
        <is>
          <t>Handlager</t>
        </is>
      </c>
      <c r="BK574" s="58" t="n">
        <v>0</v>
      </c>
      <c r="BL574" s="58" t="n">
        <v>574</v>
      </c>
      <c r="BM574" s="53">
        <f>IF(S574&lt;&gt;"",UPPER(TRIM(S574)),IF(O574="","LOSE",O574))</f>
        <v/>
      </c>
      <c r="BN574" s="55">
        <f>IF(BM574="LOSE",1,IF(N(T574)&gt;0,T574,IF(N(P574)&gt;0,P574,MAX(1,G574))))</f>
        <v/>
      </c>
      <c r="BO574" s="58">
        <f>IF(BM574="LOSE",1,0)</f>
        <v/>
      </c>
      <c r="BP574" s="64">
        <f>IF(BO574=0,0,IF(N(R574)&gt;0,R574,IFERROR(VLOOKUP(D574,Parameter!$A$35:$C$64,3,0)+0,0)))</f>
        <v/>
      </c>
      <c r="BQ574" s="53">
        <f>IF(V574&lt;&gt;"",V574,U574)</f>
        <v/>
      </c>
      <c r="BR574" s="53">
        <f>IF(BQ574=1,"L1",IF(OR(BQ574=2,BQ574=3),"L23",IF(BQ574="Aussen","Aussen","-")))</f>
        <v/>
      </c>
      <c r="BS574" s="66">
        <f>IF(N(W574)&gt;0,W574,0)</f>
        <v/>
      </c>
      <c r="BT574" s="58">
        <f>IF(ISNUMBER(Z574),1,0)</f>
        <v/>
      </c>
      <c r="BU574" s="55">
        <f>N(Z574)</f>
        <v/>
      </c>
      <c r="BV574" s="55">
        <f>N(L574)+N(M574)</f>
        <v/>
      </c>
      <c r="BW574" s="55">
        <f>ROUNDUP(G574/BN574,0)</f>
        <v/>
      </c>
      <c r="BX574" s="55">
        <f>ROUNDUP(BU574/BN574,0)</f>
        <v/>
      </c>
      <c r="BY574" s="58">
        <f>IF(BO574=1,0,IFERROR(VLOOKUP(BM574,'Gebinde-Kategorie'!$A$5:$G$45,5,0)+0,0))</f>
        <v/>
      </c>
      <c r="BZ574" s="58">
        <f>IFERROR(IF(OR(BQ574=1,BQ574=2,BQ574=3),N(INDEX(Parameter!$I$5:$I$7,BQ574)),0),0)</f>
        <v/>
      </c>
    </row>
    <row r="575">
      <c r="A575" s="53" t="inlineStr">
        <is>
          <t>005762</t>
        </is>
      </c>
      <c r="B575" s="53" t="inlineStr">
        <is>
          <t>Zugfederklemme</t>
        </is>
      </c>
      <c r="C575" s="53" t="inlineStr">
        <is>
          <t>F</t>
        </is>
      </c>
      <c r="D575" s="53" t="inlineStr">
        <is>
          <t>KTL</t>
        </is>
      </c>
      <c r="E575" s="53" t="inlineStr">
        <is>
          <t>C</t>
        </is>
      </c>
      <c r="F575" s="54" t="n">
        <v>2.8</v>
      </c>
      <c r="G575" s="55">
        <f>MAX(0,IF(Parameter!$B$20="Jahresanfang 2025 + Export",BG575+BF575,BF575))</f>
        <v/>
      </c>
      <c r="H575" s="55">
        <f>G575*F575</f>
        <v/>
      </c>
      <c r="I575" s="55">
        <f>BI575*Parameter!$B$18</f>
        <v/>
      </c>
      <c r="J575" s="56" t="n">
        <v>19</v>
      </c>
      <c r="K575" s="57" t="n">
        <v>0</v>
      </c>
      <c r="L575" s="55" t="n">
        <v>0</v>
      </c>
      <c r="M575" s="55" t="n">
        <v>1</v>
      </c>
      <c r="N575" s="58" t="n">
        <v>42</v>
      </c>
      <c r="O575" s="53" t="inlineStr">
        <is>
          <t>S32</t>
        </is>
      </c>
      <c r="P575" s="55" t="n">
        <v>18</v>
      </c>
      <c r="Q575" s="59">
        <f>IF(BO575=1,0,IFERROR(VLOOKUP(BM575,'Gebinde-Kategorie'!$A$5:$G$45,6,0)+0,0))</f>
        <v/>
      </c>
      <c r="R575" s="60" t="n"/>
      <c r="S575" s="61" t="n"/>
      <c r="T575" s="61" t="n"/>
      <c r="U575" s="53">
        <f>IF(A575="","",IF(IFERROR(VLOOKUP(D575,Parameter!$A$35:$C$64,2,0),"Nein")="2+3",IF(ISNUMBER(SEARCH("grosser Artikel",BJ575)),2,IFERROR(VLOOKUP(BM575,Parameter!$F$35:$G$64,2,0),2)),IF(OR(IFERROR(VLOOKUP(D575,Parameter!$A$35:$C$64,2,0),"Nein")="Nein",IFERROR(VLOOKUP(D575,Parameter!$A$35:$C$64,2,0),"Nein")=""),"-",VLOOKUP(D575,Parameter!$A$35:$C$64,2,0))))</f>
        <v/>
      </c>
      <c r="V575" s="61" t="n"/>
      <c r="W575" s="62" t="n"/>
      <c r="X575" s="55">
        <f>AM575</f>
        <v/>
      </c>
      <c r="Y575" s="55">
        <f>MAX(AM575,G575)</f>
        <v/>
      </c>
      <c r="Z575" s="63" t="n"/>
      <c r="AA575" s="55">
        <f>IF(LEFT(Cockpit!$C$5,1)="A",G575,IF(BT575=1,BU575,IF(LEFT(Cockpit!$C$5,1)="B",AE575,MAX(AE575,G575))))</f>
        <v/>
      </c>
      <c r="AB575" s="55">
        <f>IF(BO575=1,0,ROUNDUP(AA575/BN575,0))</f>
        <v/>
      </c>
      <c r="AC575" s="64">
        <f>IF(BO575=1,IF(AA575&lt;=0,0,BP575*MAX(1,IF(G575&gt;0,AA575/G575,1))),AB575*Q575)</f>
        <v/>
      </c>
      <c r="AD575" s="55">
        <f>AA575*F575</f>
        <v/>
      </c>
      <c r="AE575" s="55">
        <f>ROUNDUP(MAX(I575/IF(BS575&gt;0,BS575,MAX(0.1,N(Cockpit!$C$6))),BV575)/BN575,0)*BN575</f>
        <v/>
      </c>
      <c r="AF575" s="56">
        <f>IF(AC575&gt;0,I575/AC575,-1)</f>
        <v/>
      </c>
      <c r="AG575" s="56">
        <f>IF(AND(OR(BR575="L1",BR575="L23"),AC575&gt;0),SUMIFS($AC$7:$AC$1570,$BR$7:$BR$1570,BR575,$AF$7:$AF$1570,"&gt;"&amp;AF575)+SUMIFS($AC$7:$AC$1570,$BR$7:$BR$1570,BR575,$AF$7:$AF$1570,AF575,$BL$7:$BL$1570,"&lt;="&amp;BL575),"")</f>
        <v/>
      </c>
      <c r="AH575" s="65">
        <f>IF(AG575="",0,MAX(0,MIN(1,(IF(BR575="L1",Parameter!$K$5,Parameter!$K$6+Parameter!$K$7)-(AG575-AC575))/AC575)))</f>
        <v/>
      </c>
      <c r="AI575" s="55">
        <f>IF(LEFT(Cockpit!$I$5,1)="A",G575,IF(BT575=1,BU575,IF(LEFT(Cockpit!$I$5,1)="B",AM575,MAX(AM575,G575))))</f>
        <v/>
      </c>
      <c r="AJ575" s="55">
        <f>IF(BO575=1,0,ROUNDUP(AI575/BN575,0))</f>
        <v/>
      </c>
      <c r="AK575" s="64">
        <f>IF(BO575=1,IF(AI575&lt;=0,0,BP575*MAX(1,IF(G575&gt;0,AI575/G575,1))),AJ575*Q575)</f>
        <v/>
      </c>
      <c r="AL575" s="55">
        <f>AI575*F575</f>
        <v/>
      </c>
      <c r="AM575" s="55">
        <f>ROUNDUP(MAX(I575/IF(BS575&gt;0,BS575,MAX(0.1,N(Cockpit!$I$6))),BV575)/BN575,0)*BN575</f>
        <v/>
      </c>
      <c r="AN575" s="56">
        <f>IF(AK575&gt;0,I575/AK575,-1)</f>
        <v/>
      </c>
      <c r="AO575" s="56">
        <f>IF(AND(OR(BR575="L1",BR575="L23"),AK575&gt;0),SUMIFS($AK$7:$AK$1570,$BR$7:$BR$1570,BR575,$AN$7:$AN$1570,"&gt;"&amp;AN575)+SUMIFS($AK$7:$AK$1570,$BR$7:$BR$1570,BR575,$AN$7:$AN$1570,AN575,$BL$7:$BL$1570,"&lt;="&amp;BL575),"")</f>
        <v/>
      </c>
      <c r="AP575" s="65">
        <f>IF(AO575="",0,MAX(0,MIN(1,(IF(BR575="L1",Parameter!$K$5,Parameter!$K$6+Parameter!$K$7)-(AO575-AK575))/AK575)))</f>
        <v/>
      </c>
      <c r="AQ575" s="55">
        <f>IF(LEFT(Cockpit!$O$5,1)="A",G575,IF(BT575=1,BU575,IF(LEFT(Cockpit!$O$5,1)="B",AU575,MAX(AU575,G575))))</f>
        <v/>
      </c>
      <c r="AR575" s="55">
        <f>IF(BO575=1,0,ROUNDUP(AQ575/BN575,0))</f>
        <v/>
      </c>
      <c r="AS575" s="64">
        <f>IF(BO575=1,IF(AQ575&lt;=0,0,BP575*MAX(1,IF(G575&gt;0,AQ575/G575,1))),AR575*Q575)</f>
        <v/>
      </c>
      <c r="AT575" s="55">
        <f>AQ575*F575</f>
        <v/>
      </c>
      <c r="AU575" s="55">
        <f>ROUNDUP(MAX(I575/IF(BS575&gt;0,BS575,MAX(0.1,N(Cockpit!$O$6))),BV575)/BN575,0)*BN575</f>
        <v/>
      </c>
      <c r="AV575" s="56">
        <f>IF(AS575&gt;0,I575/AS575,-1)</f>
        <v/>
      </c>
      <c r="AW575" s="56">
        <f>IF(AND(OR(BR575="L1",BR575="L23"),AS575&gt;0),SUMIFS($AS$7:$AS$1570,$BR$7:$BR$1570,BR575,$AV$7:$AV$1570,"&gt;"&amp;AV575)+SUMIFS($AS$7:$AS$1570,$BR$7:$BR$1570,BR575,$AV$7:$AV$1570,AV575,$BL$7:$BL$1570,"&lt;="&amp;BL575),"")</f>
        <v/>
      </c>
      <c r="AX575" s="65">
        <f>IF(AW575="",0,MAX(0,MIN(1,(IF(BR575="L1",Parameter!$K$5,Parameter!$K$6+Parameter!$K$7)-(AW575-AS575))/AS575)))</f>
        <v/>
      </c>
      <c r="AY575" s="53">
        <f>IF(AC575&lt;=0,"",IF(BR575="Aussen","Aussenlager",IF(BR575="-","Nicht im Lift",IF(AH575&gt;=1,"Lift",IF(AH575&lt;=0,"Aussenlager","teilweise")))))</f>
        <v/>
      </c>
      <c r="AZ575" s="53">
        <f>IF(AK575&lt;=0,"",IF(BR575="Aussen","Aussenlager",IF(BR575="-","Nicht im Lift",IF(AP575&gt;=1,"Lift",IF(AP575&lt;=0,"Aussenlager","teilweise")))))</f>
        <v/>
      </c>
      <c r="BA575" s="53">
        <f>IF(AS575&lt;=0,"",IF(BR575="Aussen","Aussenlager",IF(BR575="-","Nicht im Lift",IF(AX575&gt;=1,"Lift",IF(AX575&lt;=0,"Aussenlager","teilweise")))))</f>
        <v/>
      </c>
      <c r="BB575" s="53">
        <f>IF(A575="","",IF(BK575=1,"Neu; ","")&amp;IF(AND(BK575=0,BF575&lt;0),"negativer Bestand (Export "&amp;BF575&amp;"); ","")&amp;IF(I575&lt;=0,"Kein Verbrauch; ","")&amp;IF(BO575=1,"Lose – Fläche geschätzt; ","")&amp;IF(G575&gt;AM575,"Überbestand "&amp;ROUND(G575-AM575,0)&amp;" Stk / CHF "&amp;ROUND((G575-AM575)*F575,0)&amp;"; ","")&amp;IF(AND(BT575=1,BU575&lt;BV575),"MAX &lt; MB+LG; ","")&amp;IF(AND(BZ575&gt;0,BY575*10&gt;BZ575),"zu hoch für Tablar; ","")&amp;IF(AND(BK575=0,OR(BT575=1,V575&lt;&gt;"",S575&lt;&gt;"",T575&lt;&gt;"",W575&lt;&gt;"")),"manuell übersteuert; ","")&amp;IF(AND(BO575=0,Q575=0),"Gebinde unbekannt; ","")&amp;IF(AND(BO575=0,N(T575)&lt;=0,N(P575)&lt;=0),"Menge pro Gebinde fehlt (Ist = 1 Gebinde); ","")&amp;BJ575)</f>
        <v/>
      </c>
      <c r="BC575" s="53" t="n"/>
      <c r="BD575" s="53" t="n"/>
      <c r="BE575" s="61" t="n"/>
      <c r="BF575" s="55" t="n">
        <v>2</v>
      </c>
      <c r="BG575" s="55" t="n">
        <v>18</v>
      </c>
      <c r="BH575" s="54" t="n">
        <v>10.1</v>
      </c>
      <c r="BI575" s="55" t="n">
        <v>0</v>
      </c>
      <c r="BJ575" s="53" t="inlineStr">
        <is>
          <t>Überbestand</t>
        </is>
      </c>
      <c r="BK575" s="58" t="n">
        <v>0</v>
      </c>
      <c r="BL575" s="58" t="n">
        <v>575</v>
      </c>
      <c r="BM575" s="53">
        <f>IF(S575&lt;&gt;"",UPPER(TRIM(S575)),IF(O575="","LOSE",O575))</f>
        <v/>
      </c>
      <c r="BN575" s="55">
        <f>IF(BM575="LOSE",1,IF(N(T575)&gt;0,T575,IF(N(P575)&gt;0,P575,MAX(1,G575))))</f>
        <v/>
      </c>
      <c r="BO575" s="58">
        <f>IF(BM575="LOSE",1,0)</f>
        <v/>
      </c>
      <c r="BP575" s="64">
        <f>IF(BO575=0,0,IF(N(R575)&gt;0,R575,IFERROR(VLOOKUP(D575,Parameter!$A$35:$C$64,3,0)+0,0)))</f>
        <v/>
      </c>
      <c r="BQ575" s="53">
        <f>IF(V575&lt;&gt;"",V575,U575)</f>
        <v/>
      </c>
      <c r="BR575" s="53">
        <f>IF(BQ575=1,"L1",IF(OR(BQ575=2,BQ575=3),"L23",IF(BQ575="Aussen","Aussen","-")))</f>
        <v/>
      </c>
      <c r="BS575" s="66">
        <f>IF(N(W575)&gt;0,W575,0)</f>
        <v/>
      </c>
      <c r="BT575" s="58">
        <f>IF(ISNUMBER(Z575),1,0)</f>
        <v/>
      </c>
      <c r="BU575" s="55">
        <f>N(Z575)</f>
        <v/>
      </c>
      <c r="BV575" s="55">
        <f>N(L575)+N(M575)</f>
        <v/>
      </c>
      <c r="BW575" s="55">
        <f>ROUNDUP(G575/BN575,0)</f>
        <v/>
      </c>
      <c r="BX575" s="55">
        <f>ROUNDUP(BU575/BN575,0)</f>
        <v/>
      </c>
      <c r="BY575" s="58">
        <f>IF(BO575=1,0,IFERROR(VLOOKUP(BM575,'Gebinde-Kategorie'!$A$5:$G$45,5,0)+0,0))</f>
        <v/>
      </c>
      <c r="BZ575" s="58">
        <f>IFERROR(IF(OR(BQ575=1,BQ575=2,BQ575=3),N(INDEX(Parameter!$I$5:$I$7,BQ575)),0),0)</f>
        <v/>
      </c>
    </row>
    <row r="576">
      <c r="A576" s="53" t="inlineStr">
        <is>
          <t>107538</t>
        </is>
      </c>
      <c r="B576" s="53" t="inlineStr">
        <is>
          <t>Indikator</t>
        </is>
      </c>
      <c r="C576" s="53" t="inlineStr">
        <is>
          <t>F</t>
        </is>
      </c>
      <c r="D576" s="53" t="inlineStr">
        <is>
          <t>KTL</t>
        </is>
      </c>
      <c r="E576" s="53" t="inlineStr">
        <is>
          <t>C</t>
        </is>
      </c>
      <c r="F576" s="54" t="n">
        <v>35.51</v>
      </c>
      <c r="G576" s="55">
        <f>MAX(0,IF(Parameter!$B$20="Jahresanfang 2025 + Export",BG576+BF576,BF576))</f>
        <v/>
      </c>
      <c r="H576" s="55">
        <f>G576*F576</f>
        <v/>
      </c>
      <c r="I576" s="55">
        <f>BI576*Parameter!$B$18</f>
        <v/>
      </c>
      <c r="J576" s="56" t="n">
        <v>25.5</v>
      </c>
      <c r="K576" s="57" t="n">
        <v>1.137254901960784</v>
      </c>
      <c r="L576" s="55" t="n">
        <v>2</v>
      </c>
      <c r="M576" s="55" t="n">
        <v>30</v>
      </c>
      <c r="N576" s="58" t="n">
        <v>28</v>
      </c>
      <c r="O576" s="53" t="inlineStr">
        <is>
          <t>S52</t>
        </is>
      </c>
      <c r="P576" s="55" t="n">
        <v>30</v>
      </c>
      <c r="Q576" s="59">
        <f>IF(BO576=1,0,IFERROR(VLOOKUP(BM576,'Gebinde-Kategorie'!$A$5:$G$45,6,0)+0,0))</f>
        <v/>
      </c>
      <c r="R576" s="60" t="n"/>
      <c r="S576" s="61" t="n"/>
      <c r="T576" s="61" t="n"/>
      <c r="U576" s="53">
        <f>IF(A576="","",IF(IFERROR(VLOOKUP(D576,Parameter!$A$35:$C$64,2,0),"Nein")="2+3",IF(ISNUMBER(SEARCH("grosser Artikel",BJ576)),2,IFERROR(VLOOKUP(BM576,Parameter!$F$35:$G$64,2,0),2)),IF(OR(IFERROR(VLOOKUP(D576,Parameter!$A$35:$C$64,2,0),"Nein")="Nein",IFERROR(VLOOKUP(D576,Parameter!$A$35:$C$64,2,0),"Nein")=""),"-",VLOOKUP(D576,Parameter!$A$35:$C$64,2,0))))</f>
        <v/>
      </c>
      <c r="V576" s="61" t="n"/>
      <c r="W576" s="62" t="n"/>
      <c r="X576" s="55">
        <f>AM576</f>
        <v/>
      </c>
      <c r="Y576" s="55">
        <f>MAX(AM576,G576)</f>
        <v/>
      </c>
      <c r="Z576" s="63" t="n"/>
      <c r="AA576" s="55">
        <f>IF(LEFT(Cockpit!$C$5,1)="A",G576,IF(BT576=1,BU576,IF(LEFT(Cockpit!$C$5,1)="B",AE576,MAX(AE576,G576))))</f>
        <v/>
      </c>
      <c r="AB576" s="55">
        <f>IF(BO576=1,0,ROUNDUP(AA576/BN576,0))</f>
        <v/>
      </c>
      <c r="AC576" s="64">
        <f>IF(BO576=1,IF(AA576&lt;=0,0,BP576*MAX(1,IF(G576&gt;0,AA576/G576,1))),AB576*Q576)</f>
        <v/>
      </c>
      <c r="AD576" s="55">
        <f>AA576*F576</f>
        <v/>
      </c>
      <c r="AE576" s="55">
        <f>ROUNDUP(MAX(I576/IF(BS576&gt;0,BS576,MAX(0.1,N(Cockpit!$C$6))),BV576)/BN576,0)*BN576</f>
        <v/>
      </c>
      <c r="AF576" s="56">
        <f>IF(AC576&gt;0,I576/AC576,-1)</f>
        <v/>
      </c>
      <c r="AG576" s="56">
        <f>IF(AND(OR(BR576="L1",BR576="L23"),AC576&gt;0),SUMIFS($AC$7:$AC$1570,$BR$7:$BR$1570,BR576,$AF$7:$AF$1570,"&gt;"&amp;AF576)+SUMIFS($AC$7:$AC$1570,$BR$7:$BR$1570,BR576,$AF$7:$AF$1570,AF576,$BL$7:$BL$1570,"&lt;="&amp;BL576),"")</f>
        <v/>
      </c>
      <c r="AH576" s="65">
        <f>IF(AG576="",0,MAX(0,MIN(1,(IF(BR576="L1",Parameter!$K$5,Parameter!$K$6+Parameter!$K$7)-(AG576-AC576))/AC576)))</f>
        <v/>
      </c>
      <c r="AI576" s="55">
        <f>IF(LEFT(Cockpit!$I$5,1)="A",G576,IF(BT576=1,BU576,IF(LEFT(Cockpit!$I$5,1)="B",AM576,MAX(AM576,G576))))</f>
        <v/>
      </c>
      <c r="AJ576" s="55">
        <f>IF(BO576=1,0,ROUNDUP(AI576/BN576,0))</f>
        <v/>
      </c>
      <c r="AK576" s="64">
        <f>IF(BO576=1,IF(AI576&lt;=0,0,BP576*MAX(1,IF(G576&gt;0,AI576/G576,1))),AJ576*Q576)</f>
        <v/>
      </c>
      <c r="AL576" s="55">
        <f>AI576*F576</f>
        <v/>
      </c>
      <c r="AM576" s="55">
        <f>ROUNDUP(MAX(I576/IF(BS576&gt;0,BS576,MAX(0.1,N(Cockpit!$I$6))),BV576)/BN576,0)*BN576</f>
        <v/>
      </c>
      <c r="AN576" s="56">
        <f>IF(AK576&gt;0,I576/AK576,-1)</f>
        <v/>
      </c>
      <c r="AO576" s="56">
        <f>IF(AND(OR(BR576="L1",BR576="L23"),AK576&gt;0),SUMIFS($AK$7:$AK$1570,$BR$7:$BR$1570,BR576,$AN$7:$AN$1570,"&gt;"&amp;AN576)+SUMIFS($AK$7:$AK$1570,$BR$7:$BR$1570,BR576,$AN$7:$AN$1570,AN576,$BL$7:$BL$1570,"&lt;="&amp;BL576),"")</f>
        <v/>
      </c>
      <c r="AP576" s="65">
        <f>IF(AO576="",0,MAX(0,MIN(1,(IF(BR576="L1",Parameter!$K$5,Parameter!$K$6+Parameter!$K$7)-(AO576-AK576))/AK576)))</f>
        <v/>
      </c>
      <c r="AQ576" s="55">
        <f>IF(LEFT(Cockpit!$O$5,1)="A",G576,IF(BT576=1,BU576,IF(LEFT(Cockpit!$O$5,1)="B",AU576,MAX(AU576,G576))))</f>
        <v/>
      </c>
      <c r="AR576" s="55">
        <f>IF(BO576=1,0,ROUNDUP(AQ576/BN576,0))</f>
        <v/>
      </c>
      <c r="AS576" s="64">
        <f>IF(BO576=1,IF(AQ576&lt;=0,0,BP576*MAX(1,IF(G576&gt;0,AQ576/G576,1))),AR576*Q576)</f>
        <v/>
      </c>
      <c r="AT576" s="55">
        <f>AQ576*F576</f>
        <v/>
      </c>
      <c r="AU576" s="55">
        <f>ROUNDUP(MAX(I576/IF(BS576&gt;0,BS576,MAX(0.1,N(Cockpit!$O$6))),BV576)/BN576,0)*BN576</f>
        <v/>
      </c>
      <c r="AV576" s="56">
        <f>IF(AS576&gt;0,I576/AS576,-1)</f>
        <v/>
      </c>
      <c r="AW576" s="56">
        <f>IF(AND(OR(BR576="L1",BR576="L23"),AS576&gt;0),SUMIFS($AS$7:$AS$1570,$BR$7:$BR$1570,BR576,$AV$7:$AV$1570,"&gt;"&amp;AV576)+SUMIFS($AS$7:$AS$1570,$BR$7:$BR$1570,BR576,$AV$7:$AV$1570,AV576,$BL$7:$BL$1570,"&lt;="&amp;BL576),"")</f>
        <v/>
      </c>
      <c r="AX576" s="65">
        <f>IF(AW576="",0,MAX(0,MIN(1,(IF(BR576="L1",Parameter!$K$5,Parameter!$K$6+Parameter!$K$7)-(AW576-AS576))/AS576)))</f>
        <v/>
      </c>
      <c r="AY576" s="53">
        <f>IF(AC576&lt;=0,"",IF(BR576="Aussen","Aussenlager",IF(BR576="-","Nicht im Lift",IF(AH576&gt;=1,"Lift",IF(AH576&lt;=0,"Aussenlager","teilweise")))))</f>
        <v/>
      </c>
      <c r="AZ576" s="53">
        <f>IF(AK576&lt;=0,"",IF(BR576="Aussen","Aussenlager",IF(BR576="-","Nicht im Lift",IF(AP576&gt;=1,"Lift",IF(AP576&lt;=0,"Aussenlager","teilweise")))))</f>
        <v/>
      </c>
      <c r="BA576" s="53">
        <f>IF(AS576&lt;=0,"",IF(BR576="Aussen","Aussenlager",IF(BR576="-","Nicht im Lift",IF(AX576&gt;=1,"Lift",IF(AX576&lt;=0,"Aussenlager","teilweise")))))</f>
        <v/>
      </c>
      <c r="BB576" s="53">
        <f>IF(A576="","",IF(BK576=1,"Neu; ","")&amp;IF(AND(BK576=0,BF576&lt;0),"negativer Bestand (Export "&amp;BF576&amp;"); ","")&amp;IF(I576&lt;=0,"Kein Verbrauch; ","")&amp;IF(BO576=1,"Lose – Fläche geschätzt; ","")&amp;IF(G576&gt;AM576,"Überbestand "&amp;ROUND(G576-AM576,0)&amp;" Stk / CHF "&amp;ROUND((G576-AM576)*F576,0)&amp;"; ","")&amp;IF(AND(BT576=1,BU576&lt;BV576),"MAX &lt; MB+LG; ","")&amp;IF(AND(BZ576&gt;0,BY576*10&gt;BZ576),"zu hoch für Tablar; ","")&amp;IF(AND(BK576=0,OR(BT576=1,V576&lt;&gt;"",S576&lt;&gt;"",T576&lt;&gt;"",W576&lt;&gt;"")),"manuell übersteuert; ","")&amp;IF(AND(BO576=0,Q576=0),"Gebinde unbekannt; ","")&amp;IF(AND(BO576=0,N(T576)&lt;=0,N(P576)&lt;=0),"Menge pro Gebinde fehlt (Ist = 1 Gebinde); ","")&amp;BJ576)</f>
        <v/>
      </c>
      <c r="BC576" s="53" t="n"/>
      <c r="BD576" s="53" t="n"/>
      <c r="BE576" s="61" t="n"/>
      <c r="BF576" s="55" t="n">
        <v>2</v>
      </c>
      <c r="BG576" s="55" t="n">
        <v>20</v>
      </c>
      <c r="BH576" s="54" t="n">
        <v>10.02000000000066</v>
      </c>
      <c r="BI576" s="55" t="n">
        <v>29</v>
      </c>
      <c r="BJ576" s="53" t="inlineStr"/>
      <c r="BK576" s="58" t="n">
        <v>0</v>
      </c>
      <c r="BL576" s="58" t="n">
        <v>576</v>
      </c>
      <c r="BM576" s="53">
        <f>IF(S576&lt;&gt;"",UPPER(TRIM(S576)),IF(O576="","LOSE",O576))</f>
        <v/>
      </c>
      <c r="BN576" s="55">
        <f>IF(BM576="LOSE",1,IF(N(T576)&gt;0,T576,IF(N(P576)&gt;0,P576,MAX(1,G576))))</f>
        <v/>
      </c>
      <c r="BO576" s="58">
        <f>IF(BM576="LOSE",1,0)</f>
        <v/>
      </c>
      <c r="BP576" s="64">
        <f>IF(BO576=0,0,IF(N(R576)&gt;0,R576,IFERROR(VLOOKUP(D576,Parameter!$A$35:$C$64,3,0)+0,0)))</f>
        <v/>
      </c>
      <c r="BQ576" s="53">
        <f>IF(V576&lt;&gt;"",V576,U576)</f>
        <v/>
      </c>
      <c r="BR576" s="53">
        <f>IF(BQ576=1,"L1",IF(OR(BQ576=2,BQ576=3),"L23",IF(BQ576="Aussen","Aussen","-")))</f>
        <v/>
      </c>
      <c r="BS576" s="66">
        <f>IF(N(W576)&gt;0,W576,0)</f>
        <v/>
      </c>
      <c r="BT576" s="58">
        <f>IF(ISNUMBER(Z576),1,0)</f>
        <v/>
      </c>
      <c r="BU576" s="55">
        <f>N(Z576)</f>
        <v/>
      </c>
      <c r="BV576" s="55">
        <f>N(L576)+N(M576)</f>
        <v/>
      </c>
      <c r="BW576" s="55">
        <f>ROUNDUP(G576/BN576,0)</f>
        <v/>
      </c>
      <c r="BX576" s="55">
        <f>ROUNDUP(BU576/BN576,0)</f>
        <v/>
      </c>
      <c r="BY576" s="58">
        <f>IF(BO576=1,0,IFERROR(VLOOKUP(BM576,'Gebinde-Kategorie'!$A$5:$G$45,5,0)+0,0))</f>
        <v/>
      </c>
      <c r="BZ576" s="58">
        <f>IFERROR(IF(OR(BQ576=1,BQ576=2,BQ576=3),N(INDEX(Parameter!$I$5:$I$7,BQ576)),0),0)</f>
        <v/>
      </c>
    </row>
    <row r="577">
      <c r="A577" s="53" t="inlineStr">
        <is>
          <t>005456</t>
        </is>
      </c>
      <c r="B577" s="53" t="inlineStr">
        <is>
          <t>Aderendhülse isoliert rot</t>
        </is>
      </c>
      <c r="C577" s="53" t="inlineStr">
        <is>
          <t>F</t>
        </is>
      </c>
      <c r="D577" s="53" t="inlineStr">
        <is>
          <t>KTL</t>
        </is>
      </c>
      <c r="E577" s="53" t="inlineStr">
        <is>
          <t>C</t>
        </is>
      </c>
      <c r="F577" s="54" t="n">
        <v>0.05</v>
      </c>
      <c r="G577" s="55">
        <f>MAX(0,IF(Parameter!$B$20="Jahresanfang 2025 + Export",BG577+BF577,BF577))</f>
        <v/>
      </c>
      <c r="H577" s="55">
        <f>G577*F577</f>
        <v/>
      </c>
      <c r="I577" s="55">
        <f>BI577*Parameter!$B$18</f>
        <v/>
      </c>
      <c r="J577" s="56" t="n">
        <v>867</v>
      </c>
      <c r="K577" s="57" t="n">
        <v>0.7727797001153403</v>
      </c>
      <c r="L577" s="55" t="n">
        <v>52</v>
      </c>
      <c r="M577" s="55" t="n">
        <v>670</v>
      </c>
      <c r="N577" s="58" t="n">
        <v>28</v>
      </c>
      <c r="O577" s="53" t="inlineStr">
        <is>
          <t>S21</t>
        </is>
      </c>
      <c r="P577" s="55" t="n">
        <v>773</v>
      </c>
      <c r="Q577" s="59">
        <f>IF(BO577=1,0,IFERROR(VLOOKUP(BM577,'Gebinde-Kategorie'!$A$5:$G$45,6,0)+0,0))</f>
        <v/>
      </c>
      <c r="R577" s="60" t="n"/>
      <c r="S577" s="61" t="n"/>
      <c r="T577" s="61" t="n"/>
      <c r="U577" s="53">
        <f>IF(A577="","",IF(IFERROR(VLOOKUP(D577,Parameter!$A$35:$C$64,2,0),"Nein")="2+3",IF(ISNUMBER(SEARCH("grosser Artikel",BJ577)),2,IFERROR(VLOOKUP(BM577,Parameter!$F$35:$G$64,2,0),2)),IF(OR(IFERROR(VLOOKUP(D577,Parameter!$A$35:$C$64,2,0),"Nein")="Nein",IFERROR(VLOOKUP(D577,Parameter!$A$35:$C$64,2,0),"Nein")=""),"-",VLOOKUP(D577,Parameter!$A$35:$C$64,2,0))))</f>
        <v/>
      </c>
      <c r="V577" s="61" t="n"/>
      <c r="W577" s="62" t="n"/>
      <c r="X577" s="55">
        <f>AM577</f>
        <v/>
      </c>
      <c r="Y577" s="55">
        <f>MAX(AM577,G577)</f>
        <v/>
      </c>
      <c r="Z577" s="63" t="n"/>
      <c r="AA577" s="55">
        <f>IF(LEFT(Cockpit!$C$5,1)="A",G577,IF(BT577=1,BU577,IF(LEFT(Cockpit!$C$5,1)="B",AE577,MAX(AE577,G577))))</f>
        <v/>
      </c>
      <c r="AB577" s="55">
        <f>IF(BO577=1,0,ROUNDUP(AA577/BN577,0))</f>
        <v/>
      </c>
      <c r="AC577" s="64">
        <f>IF(BO577=1,IF(AA577&lt;=0,0,BP577*MAX(1,IF(G577&gt;0,AA577/G577,1))),AB577*Q577)</f>
        <v/>
      </c>
      <c r="AD577" s="55">
        <f>AA577*F577</f>
        <v/>
      </c>
      <c r="AE577" s="55">
        <f>ROUNDUP(MAX(I577/IF(BS577&gt;0,BS577,MAX(0.1,N(Cockpit!$C$6))),BV577)/BN577,0)*BN577</f>
        <v/>
      </c>
      <c r="AF577" s="56">
        <f>IF(AC577&gt;0,I577/AC577,-1)</f>
        <v/>
      </c>
      <c r="AG577" s="56">
        <f>IF(AND(OR(BR577="L1",BR577="L23"),AC577&gt;0),SUMIFS($AC$7:$AC$1570,$BR$7:$BR$1570,BR577,$AF$7:$AF$1570,"&gt;"&amp;AF577)+SUMIFS($AC$7:$AC$1570,$BR$7:$BR$1570,BR577,$AF$7:$AF$1570,AF577,$BL$7:$BL$1570,"&lt;="&amp;BL577),"")</f>
        <v/>
      </c>
      <c r="AH577" s="65">
        <f>IF(AG577="",0,MAX(0,MIN(1,(IF(BR577="L1",Parameter!$K$5,Parameter!$K$6+Parameter!$K$7)-(AG577-AC577))/AC577)))</f>
        <v/>
      </c>
      <c r="AI577" s="55">
        <f>IF(LEFT(Cockpit!$I$5,1)="A",G577,IF(BT577=1,BU577,IF(LEFT(Cockpit!$I$5,1)="B",AM577,MAX(AM577,G577))))</f>
        <v/>
      </c>
      <c r="AJ577" s="55">
        <f>IF(BO577=1,0,ROUNDUP(AI577/BN577,0))</f>
        <v/>
      </c>
      <c r="AK577" s="64">
        <f>IF(BO577=1,IF(AI577&lt;=0,0,BP577*MAX(1,IF(G577&gt;0,AI577/G577,1))),AJ577*Q577)</f>
        <v/>
      </c>
      <c r="AL577" s="55">
        <f>AI577*F577</f>
        <v/>
      </c>
      <c r="AM577" s="55">
        <f>ROUNDUP(MAX(I577/IF(BS577&gt;0,BS577,MAX(0.1,N(Cockpit!$I$6))),BV577)/BN577,0)*BN577</f>
        <v/>
      </c>
      <c r="AN577" s="56">
        <f>IF(AK577&gt;0,I577/AK577,-1)</f>
        <v/>
      </c>
      <c r="AO577" s="56">
        <f>IF(AND(OR(BR577="L1",BR577="L23"),AK577&gt;0),SUMIFS($AK$7:$AK$1570,$BR$7:$BR$1570,BR577,$AN$7:$AN$1570,"&gt;"&amp;AN577)+SUMIFS($AK$7:$AK$1570,$BR$7:$BR$1570,BR577,$AN$7:$AN$1570,AN577,$BL$7:$BL$1570,"&lt;="&amp;BL577),"")</f>
        <v/>
      </c>
      <c r="AP577" s="65">
        <f>IF(AO577="",0,MAX(0,MIN(1,(IF(BR577="L1",Parameter!$K$5,Parameter!$K$6+Parameter!$K$7)-(AO577-AK577))/AK577)))</f>
        <v/>
      </c>
      <c r="AQ577" s="55">
        <f>IF(LEFT(Cockpit!$O$5,1)="A",G577,IF(BT577=1,BU577,IF(LEFT(Cockpit!$O$5,1)="B",AU577,MAX(AU577,G577))))</f>
        <v/>
      </c>
      <c r="AR577" s="55">
        <f>IF(BO577=1,0,ROUNDUP(AQ577/BN577,0))</f>
        <v/>
      </c>
      <c r="AS577" s="64">
        <f>IF(BO577=1,IF(AQ577&lt;=0,0,BP577*MAX(1,IF(G577&gt;0,AQ577/G577,1))),AR577*Q577)</f>
        <v/>
      </c>
      <c r="AT577" s="55">
        <f>AQ577*F577</f>
        <v/>
      </c>
      <c r="AU577" s="55">
        <f>ROUNDUP(MAX(I577/IF(BS577&gt;0,BS577,MAX(0.1,N(Cockpit!$O$6))),BV577)/BN577,0)*BN577</f>
        <v/>
      </c>
      <c r="AV577" s="56">
        <f>IF(AS577&gt;0,I577/AS577,-1)</f>
        <v/>
      </c>
      <c r="AW577" s="56">
        <f>IF(AND(OR(BR577="L1",BR577="L23"),AS577&gt;0),SUMIFS($AS$7:$AS$1570,$BR$7:$BR$1570,BR577,$AV$7:$AV$1570,"&gt;"&amp;AV577)+SUMIFS($AS$7:$AS$1570,$BR$7:$BR$1570,BR577,$AV$7:$AV$1570,AV577,$BL$7:$BL$1570,"&lt;="&amp;BL577),"")</f>
        <v/>
      </c>
      <c r="AX577" s="65">
        <f>IF(AW577="",0,MAX(0,MIN(1,(IF(BR577="L1",Parameter!$K$5,Parameter!$K$6+Parameter!$K$7)-(AW577-AS577))/AS577)))</f>
        <v/>
      </c>
      <c r="AY577" s="53">
        <f>IF(AC577&lt;=0,"",IF(BR577="Aussen","Aussenlager",IF(BR577="-","Nicht im Lift",IF(AH577&gt;=1,"Lift",IF(AH577&lt;=0,"Aussenlager","teilweise")))))</f>
        <v/>
      </c>
      <c r="AZ577" s="53">
        <f>IF(AK577&lt;=0,"",IF(BR577="Aussen","Aussenlager",IF(BR577="-","Nicht im Lift",IF(AP577&gt;=1,"Lift",IF(AP577&lt;=0,"Aussenlager","teilweise")))))</f>
        <v/>
      </c>
      <c r="BA577" s="53">
        <f>IF(AS577&lt;=0,"",IF(BR577="Aussen","Aussenlager",IF(BR577="-","Nicht im Lift",IF(AX577&gt;=1,"Lift",IF(AX577&lt;=0,"Aussenlager","teilweise")))))</f>
        <v/>
      </c>
      <c r="BB577" s="53">
        <f>IF(A577="","",IF(BK577=1,"Neu; ","")&amp;IF(AND(BK577=0,BF577&lt;0),"negativer Bestand (Export "&amp;BF577&amp;"); ","")&amp;IF(I577&lt;=0,"Kein Verbrauch; ","")&amp;IF(BO577=1,"Lose – Fläche geschätzt; ","")&amp;IF(G577&gt;AM577,"Überbestand "&amp;ROUND(G577-AM577,0)&amp;" Stk / CHF "&amp;ROUND((G577-AM577)*F577,0)&amp;"; ","")&amp;IF(AND(BT577=1,BU577&lt;BV577),"MAX &lt; MB+LG; ","")&amp;IF(AND(BZ577&gt;0,BY577*10&gt;BZ577),"zu hoch für Tablar; ","")&amp;IF(AND(BK577=0,OR(BT577=1,V577&lt;&gt;"",S577&lt;&gt;"",T577&lt;&gt;"",W577&lt;&gt;"")),"manuell übersteuert; ","")&amp;IF(AND(BO577=0,Q577=0),"Gebinde unbekannt; ","")&amp;IF(AND(BO577=0,N(T577)&lt;=0,N(P577)&lt;=0),"Menge pro Gebinde fehlt (Ist = 1 Gebinde); ","")&amp;BJ577)</f>
        <v/>
      </c>
      <c r="BC577" s="53" t="n"/>
      <c r="BD577" s="53" t="n"/>
      <c r="BE577" s="61" t="n"/>
      <c r="BF577" s="55" t="n">
        <v>86</v>
      </c>
      <c r="BG577" s="55" t="n">
        <v>705</v>
      </c>
      <c r="BH577" s="54" t="n">
        <v>10</v>
      </c>
      <c r="BI577" s="55" t="n">
        <v>670</v>
      </c>
      <c r="BJ577" s="53" t="inlineStr">
        <is>
          <t>Handlager</t>
        </is>
      </c>
      <c r="BK577" s="58" t="n">
        <v>0</v>
      </c>
      <c r="BL577" s="58" t="n">
        <v>577</v>
      </c>
      <c r="BM577" s="53">
        <f>IF(S577&lt;&gt;"",UPPER(TRIM(S577)),IF(O577="","LOSE",O577))</f>
        <v/>
      </c>
      <c r="BN577" s="55">
        <f>IF(BM577="LOSE",1,IF(N(T577)&gt;0,T577,IF(N(P577)&gt;0,P577,MAX(1,G577))))</f>
        <v/>
      </c>
      <c r="BO577" s="58">
        <f>IF(BM577="LOSE",1,0)</f>
        <v/>
      </c>
      <c r="BP577" s="64">
        <f>IF(BO577=0,0,IF(N(R577)&gt;0,R577,IFERROR(VLOOKUP(D577,Parameter!$A$35:$C$64,3,0)+0,0)))</f>
        <v/>
      </c>
      <c r="BQ577" s="53">
        <f>IF(V577&lt;&gt;"",V577,U577)</f>
        <v/>
      </c>
      <c r="BR577" s="53">
        <f>IF(BQ577=1,"L1",IF(OR(BQ577=2,BQ577=3),"L23",IF(BQ577="Aussen","Aussen","-")))</f>
        <v/>
      </c>
      <c r="BS577" s="66">
        <f>IF(N(W577)&gt;0,W577,0)</f>
        <v/>
      </c>
      <c r="BT577" s="58">
        <f>IF(ISNUMBER(Z577),1,0)</f>
        <v/>
      </c>
      <c r="BU577" s="55">
        <f>N(Z577)</f>
        <v/>
      </c>
      <c r="BV577" s="55">
        <f>N(L577)+N(M577)</f>
        <v/>
      </c>
      <c r="BW577" s="55">
        <f>ROUNDUP(G577/BN577,0)</f>
        <v/>
      </c>
      <c r="BX577" s="55">
        <f>ROUNDUP(BU577/BN577,0)</f>
        <v/>
      </c>
      <c r="BY577" s="58">
        <f>IF(BO577=1,0,IFERROR(VLOOKUP(BM577,'Gebinde-Kategorie'!$A$5:$G$45,5,0)+0,0))</f>
        <v/>
      </c>
      <c r="BZ577" s="58">
        <f>IFERROR(IF(OR(BQ577=1,BQ577=2,BQ577=3),N(INDEX(Parameter!$I$5:$I$7,BQ577)),0),0)</f>
        <v/>
      </c>
    </row>
    <row r="578">
      <c r="A578" s="53" t="inlineStr">
        <is>
          <t>102438</t>
        </is>
      </c>
      <c r="B578" s="53" t="inlineStr">
        <is>
          <t>Sechskantmutter</t>
        </is>
      </c>
      <c r="C578" s="53" t="inlineStr">
        <is>
          <t>F</t>
        </is>
      </c>
      <c r="D578" s="53" t="inlineStr">
        <is>
          <t>KTL</t>
        </is>
      </c>
      <c r="E578" s="53" t="inlineStr">
        <is>
          <t>C</t>
        </is>
      </c>
      <c r="F578" s="54" t="n">
        <v>0.07000000000000001</v>
      </c>
      <c r="G578" s="55">
        <f>MAX(0,IF(Parameter!$B$20="Jahresanfang 2025 + Export",BG578+BF578,BF578))</f>
        <v/>
      </c>
      <c r="H578" s="55">
        <f>G578*F578</f>
        <v/>
      </c>
      <c r="I578" s="55">
        <f>BI578*Parameter!$B$18</f>
        <v/>
      </c>
      <c r="J578" s="56" t="n">
        <v>129.5</v>
      </c>
      <c r="K578" s="57" t="n">
        <v>1.081081081081081</v>
      </c>
      <c r="L578" s="55" t="n">
        <v>8</v>
      </c>
      <c r="M578" s="55" t="n">
        <v>200</v>
      </c>
      <c r="N578" s="58" t="n">
        <v>21</v>
      </c>
      <c r="O578" s="53" t="inlineStr">
        <is>
          <t>S21</t>
        </is>
      </c>
      <c r="P578" s="55" t="n">
        <v>250</v>
      </c>
      <c r="Q578" s="59">
        <f>IF(BO578=1,0,IFERROR(VLOOKUP(BM578,'Gebinde-Kategorie'!$A$5:$G$45,6,0)+0,0))</f>
        <v/>
      </c>
      <c r="R578" s="60" t="n"/>
      <c r="S578" s="61" t="n"/>
      <c r="T578" s="61" t="n"/>
      <c r="U578" s="53">
        <f>IF(A578="","",IF(IFERROR(VLOOKUP(D578,Parameter!$A$35:$C$64,2,0),"Nein")="2+3",IF(ISNUMBER(SEARCH("grosser Artikel",BJ578)),2,IFERROR(VLOOKUP(BM578,Parameter!$F$35:$G$64,2,0),2)),IF(OR(IFERROR(VLOOKUP(D578,Parameter!$A$35:$C$64,2,0),"Nein")="Nein",IFERROR(VLOOKUP(D578,Parameter!$A$35:$C$64,2,0),"Nein")=""),"-",VLOOKUP(D578,Parameter!$A$35:$C$64,2,0))))</f>
        <v/>
      </c>
      <c r="V578" s="61" t="n"/>
      <c r="W578" s="62" t="n"/>
      <c r="X578" s="55">
        <f>AM578</f>
        <v/>
      </c>
      <c r="Y578" s="55">
        <f>MAX(AM578,G578)</f>
        <v/>
      </c>
      <c r="Z578" s="63" t="n"/>
      <c r="AA578" s="55">
        <f>IF(LEFT(Cockpit!$C$5,1)="A",G578,IF(BT578=1,BU578,IF(LEFT(Cockpit!$C$5,1)="B",AE578,MAX(AE578,G578))))</f>
        <v/>
      </c>
      <c r="AB578" s="55">
        <f>IF(BO578=1,0,ROUNDUP(AA578/BN578,0))</f>
        <v/>
      </c>
      <c r="AC578" s="64">
        <f>IF(BO578=1,IF(AA578&lt;=0,0,BP578*MAX(1,IF(G578&gt;0,AA578/G578,1))),AB578*Q578)</f>
        <v/>
      </c>
      <c r="AD578" s="55">
        <f>AA578*F578</f>
        <v/>
      </c>
      <c r="AE578" s="55">
        <f>ROUNDUP(MAX(I578/IF(BS578&gt;0,BS578,MAX(0.1,N(Cockpit!$C$6))),BV578)/BN578,0)*BN578</f>
        <v/>
      </c>
      <c r="AF578" s="56">
        <f>IF(AC578&gt;0,I578/AC578,-1)</f>
        <v/>
      </c>
      <c r="AG578" s="56">
        <f>IF(AND(OR(BR578="L1",BR578="L23"),AC578&gt;0),SUMIFS($AC$7:$AC$1570,$BR$7:$BR$1570,BR578,$AF$7:$AF$1570,"&gt;"&amp;AF578)+SUMIFS($AC$7:$AC$1570,$BR$7:$BR$1570,BR578,$AF$7:$AF$1570,AF578,$BL$7:$BL$1570,"&lt;="&amp;BL578),"")</f>
        <v/>
      </c>
      <c r="AH578" s="65">
        <f>IF(AG578="",0,MAX(0,MIN(1,(IF(BR578="L1",Parameter!$K$5,Parameter!$K$6+Parameter!$K$7)-(AG578-AC578))/AC578)))</f>
        <v/>
      </c>
      <c r="AI578" s="55">
        <f>IF(LEFT(Cockpit!$I$5,1)="A",G578,IF(BT578=1,BU578,IF(LEFT(Cockpit!$I$5,1)="B",AM578,MAX(AM578,G578))))</f>
        <v/>
      </c>
      <c r="AJ578" s="55">
        <f>IF(BO578=1,0,ROUNDUP(AI578/BN578,0))</f>
        <v/>
      </c>
      <c r="AK578" s="64">
        <f>IF(BO578=1,IF(AI578&lt;=0,0,BP578*MAX(1,IF(G578&gt;0,AI578/G578,1))),AJ578*Q578)</f>
        <v/>
      </c>
      <c r="AL578" s="55">
        <f>AI578*F578</f>
        <v/>
      </c>
      <c r="AM578" s="55">
        <f>ROUNDUP(MAX(I578/IF(BS578&gt;0,BS578,MAX(0.1,N(Cockpit!$I$6))),BV578)/BN578,0)*BN578</f>
        <v/>
      </c>
      <c r="AN578" s="56">
        <f>IF(AK578&gt;0,I578/AK578,-1)</f>
        <v/>
      </c>
      <c r="AO578" s="56">
        <f>IF(AND(OR(BR578="L1",BR578="L23"),AK578&gt;0),SUMIFS($AK$7:$AK$1570,$BR$7:$BR$1570,BR578,$AN$7:$AN$1570,"&gt;"&amp;AN578)+SUMIFS($AK$7:$AK$1570,$BR$7:$BR$1570,BR578,$AN$7:$AN$1570,AN578,$BL$7:$BL$1570,"&lt;="&amp;BL578),"")</f>
        <v/>
      </c>
      <c r="AP578" s="65">
        <f>IF(AO578="",0,MAX(0,MIN(1,(IF(BR578="L1",Parameter!$K$5,Parameter!$K$6+Parameter!$K$7)-(AO578-AK578))/AK578)))</f>
        <v/>
      </c>
      <c r="AQ578" s="55">
        <f>IF(LEFT(Cockpit!$O$5,1)="A",G578,IF(BT578=1,BU578,IF(LEFT(Cockpit!$O$5,1)="B",AU578,MAX(AU578,G578))))</f>
        <v/>
      </c>
      <c r="AR578" s="55">
        <f>IF(BO578=1,0,ROUNDUP(AQ578/BN578,0))</f>
        <v/>
      </c>
      <c r="AS578" s="64">
        <f>IF(BO578=1,IF(AQ578&lt;=0,0,BP578*MAX(1,IF(G578&gt;0,AQ578/G578,1))),AR578*Q578)</f>
        <v/>
      </c>
      <c r="AT578" s="55">
        <f>AQ578*F578</f>
        <v/>
      </c>
      <c r="AU578" s="55">
        <f>ROUNDUP(MAX(I578/IF(BS578&gt;0,BS578,MAX(0.1,N(Cockpit!$O$6))),BV578)/BN578,0)*BN578</f>
        <v/>
      </c>
      <c r="AV578" s="56">
        <f>IF(AS578&gt;0,I578/AS578,-1)</f>
        <v/>
      </c>
      <c r="AW578" s="56">
        <f>IF(AND(OR(BR578="L1",BR578="L23"),AS578&gt;0),SUMIFS($AS$7:$AS$1570,$BR$7:$BR$1570,BR578,$AV$7:$AV$1570,"&gt;"&amp;AV578)+SUMIFS($AS$7:$AS$1570,$BR$7:$BR$1570,BR578,$AV$7:$AV$1570,AV578,$BL$7:$BL$1570,"&lt;="&amp;BL578),"")</f>
        <v/>
      </c>
      <c r="AX578" s="65">
        <f>IF(AW578="",0,MAX(0,MIN(1,(IF(BR578="L1",Parameter!$K$5,Parameter!$K$6+Parameter!$K$7)-(AW578-AS578))/AS578)))</f>
        <v/>
      </c>
      <c r="AY578" s="53">
        <f>IF(AC578&lt;=0,"",IF(BR578="Aussen","Aussenlager",IF(BR578="-","Nicht im Lift",IF(AH578&gt;=1,"Lift",IF(AH578&lt;=0,"Aussenlager","teilweise")))))</f>
        <v/>
      </c>
      <c r="AZ578" s="53">
        <f>IF(AK578&lt;=0,"",IF(BR578="Aussen","Aussenlager",IF(BR578="-","Nicht im Lift",IF(AP578&gt;=1,"Lift",IF(AP578&lt;=0,"Aussenlager","teilweise")))))</f>
        <v/>
      </c>
      <c r="BA578" s="53">
        <f>IF(AS578&lt;=0,"",IF(BR578="Aussen","Aussenlager",IF(BR578="-","Nicht im Lift",IF(AX578&gt;=1,"Lift",IF(AX578&lt;=0,"Aussenlager","teilweise")))))</f>
        <v/>
      </c>
      <c r="BB578" s="53">
        <f>IF(A578="","",IF(BK578=1,"Neu; ","")&amp;IF(AND(BK578=0,BF578&lt;0),"negativer Bestand (Export "&amp;BF578&amp;"); ","")&amp;IF(I578&lt;=0,"Kein Verbrauch; ","")&amp;IF(BO578=1,"Lose – Fläche geschätzt; ","")&amp;IF(G578&gt;AM578,"Überbestand "&amp;ROUND(G578-AM578,0)&amp;" Stk / CHF "&amp;ROUND((G578-AM578)*F578,0)&amp;"; ","")&amp;IF(AND(BT578=1,BU578&lt;BV578),"MAX &lt; MB+LG; ","")&amp;IF(AND(BZ578&gt;0,BY578*10&gt;BZ578),"zu hoch für Tablar; ","")&amp;IF(AND(BK578=0,OR(BT578=1,V578&lt;&gt;"",S578&lt;&gt;"",T578&lt;&gt;"",W578&lt;&gt;"")),"manuell übersteuert; ","")&amp;IF(AND(BO578=0,Q578=0),"Gebinde unbekannt; ","")&amp;IF(AND(BO578=0,N(T578)&lt;=0,N(P578)&lt;=0),"Menge pro Gebinde fehlt (Ist = 1 Gebinde); ","")&amp;BJ578)</f>
        <v/>
      </c>
      <c r="BC578" s="53" t="n"/>
      <c r="BD578" s="53" t="n"/>
      <c r="BE578" s="61" t="n"/>
      <c r="BF578" s="55" t="n">
        <v>-1</v>
      </c>
      <c r="BG578" s="55" t="n">
        <v>199</v>
      </c>
      <c r="BH578" s="54" t="n">
        <v>9.880000000000003</v>
      </c>
      <c r="BI578" s="55" t="n">
        <v>140</v>
      </c>
      <c r="BJ578" s="53" t="inlineStr"/>
      <c r="BK578" s="58" t="n">
        <v>0</v>
      </c>
      <c r="BL578" s="58" t="n">
        <v>578</v>
      </c>
      <c r="BM578" s="53">
        <f>IF(S578&lt;&gt;"",UPPER(TRIM(S578)),IF(O578="","LOSE",O578))</f>
        <v/>
      </c>
      <c r="BN578" s="55">
        <f>IF(BM578="LOSE",1,IF(N(T578)&gt;0,T578,IF(N(P578)&gt;0,P578,MAX(1,G578))))</f>
        <v/>
      </c>
      <c r="BO578" s="58">
        <f>IF(BM578="LOSE",1,0)</f>
        <v/>
      </c>
      <c r="BP578" s="64">
        <f>IF(BO578=0,0,IF(N(R578)&gt;0,R578,IFERROR(VLOOKUP(D578,Parameter!$A$35:$C$64,3,0)+0,0)))</f>
        <v/>
      </c>
      <c r="BQ578" s="53">
        <f>IF(V578&lt;&gt;"",V578,U578)</f>
        <v/>
      </c>
      <c r="BR578" s="53">
        <f>IF(BQ578=1,"L1",IF(OR(BQ578=2,BQ578=3),"L23",IF(BQ578="Aussen","Aussen","-")))</f>
        <v/>
      </c>
      <c r="BS578" s="66">
        <f>IF(N(W578)&gt;0,W578,0)</f>
        <v/>
      </c>
      <c r="BT578" s="58">
        <f>IF(ISNUMBER(Z578),1,0)</f>
        <v/>
      </c>
      <c r="BU578" s="55">
        <f>N(Z578)</f>
        <v/>
      </c>
      <c r="BV578" s="55">
        <f>N(L578)+N(M578)</f>
        <v/>
      </c>
      <c r="BW578" s="55">
        <f>ROUNDUP(G578/BN578,0)</f>
        <v/>
      </c>
      <c r="BX578" s="55">
        <f>ROUNDUP(BU578/BN578,0)</f>
        <v/>
      </c>
      <c r="BY578" s="58">
        <f>IF(BO578=1,0,IFERROR(VLOOKUP(BM578,'Gebinde-Kategorie'!$A$5:$G$45,5,0)+0,0))</f>
        <v/>
      </c>
      <c r="BZ578" s="58">
        <f>IFERROR(IF(OR(BQ578=1,BQ578=2,BQ578=3),N(INDEX(Parameter!$I$5:$I$7,BQ578)),0),0)</f>
        <v/>
      </c>
    </row>
    <row r="579">
      <c r="A579" s="53" t="inlineStr">
        <is>
          <t>111723</t>
        </is>
      </c>
      <c r="B579" s="53" t="inlineStr">
        <is>
          <t>Verlaengerung</t>
        </is>
      </c>
      <c r="C579" s="53" t="inlineStr">
        <is>
          <t>F</t>
        </is>
      </c>
      <c r="D579" s="53" t="inlineStr">
        <is>
          <t>PAL</t>
        </is>
      </c>
      <c r="E579" s="53" t="inlineStr">
        <is>
          <t>C</t>
        </is>
      </c>
      <c r="F579" s="54" t="n">
        <v>9.550000000000001</v>
      </c>
      <c r="G579" s="55">
        <f>MAX(0,IF(Parameter!$B$20="Jahresanfang 2025 + Export",BG579+BF579,BF579))</f>
        <v/>
      </c>
      <c r="H579" s="55">
        <f>G579*F579</f>
        <v/>
      </c>
      <c r="I579" s="55">
        <f>BI579*Parameter!$B$18</f>
        <v/>
      </c>
      <c r="J579" s="56" t="n">
        <v>0</v>
      </c>
      <c r="K579" s="57" t="n">
        <v>0</v>
      </c>
      <c r="L579" s="55" t="n">
        <v>0</v>
      </c>
      <c r="M579" s="55" t="n">
        <v>1</v>
      </c>
      <c r="N579" s="58" t="n">
        <v>21</v>
      </c>
      <c r="O579" s="53" t="inlineStr">
        <is>
          <t>LOSE</t>
        </is>
      </c>
      <c r="P579" s="55" t="n"/>
      <c r="Q579" s="59">
        <f>IF(BO579=1,0,IFERROR(VLOOKUP(BM579,'Gebinde-Kategorie'!$A$5:$G$45,6,0)+0,0))</f>
        <v/>
      </c>
      <c r="R579" s="60" t="n"/>
      <c r="S579" s="61" t="n"/>
      <c r="T579" s="61" t="n"/>
      <c r="U579" s="53">
        <f>IF(A579="","",IF(IFERROR(VLOOKUP(D579,Parameter!$A$35:$C$64,2,0),"Nein")="2+3",IF(ISNUMBER(SEARCH("grosser Artikel",BJ579)),2,IFERROR(VLOOKUP(BM579,Parameter!$F$35:$G$64,2,0),2)),IF(OR(IFERROR(VLOOKUP(D579,Parameter!$A$35:$C$64,2,0),"Nein")="Nein",IFERROR(VLOOKUP(D579,Parameter!$A$35:$C$64,2,0),"Nein")=""),"-",VLOOKUP(D579,Parameter!$A$35:$C$64,2,0))))</f>
        <v/>
      </c>
      <c r="V579" s="61" t="n"/>
      <c r="W579" s="62" t="n"/>
      <c r="X579" s="55">
        <f>AM579</f>
        <v/>
      </c>
      <c r="Y579" s="55">
        <f>MAX(AM579,G579)</f>
        <v/>
      </c>
      <c r="Z579" s="63" t="n"/>
      <c r="AA579" s="55">
        <f>IF(LEFT(Cockpit!$C$5,1)="A",G579,IF(BT579=1,BU579,IF(LEFT(Cockpit!$C$5,1)="B",AE579,MAX(AE579,G579))))</f>
        <v/>
      </c>
      <c r="AB579" s="55">
        <f>IF(BO579=1,0,ROUNDUP(AA579/BN579,0))</f>
        <v/>
      </c>
      <c r="AC579" s="64">
        <f>IF(BO579=1,IF(AA579&lt;=0,0,BP579*MAX(1,IF(G579&gt;0,AA579/G579,1))),AB579*Q579)</f>
        <v/>
      </c>
      <c r="AD579" s="55">
        <f>AA579*F579</f>
        <v/>
      </c>
      <c r="AE579" s="55">
        <f>ROUNDUP(MAX(I579/IF(BS579&gt;0,BS579,MAX(0.1,N(Cockpit!$C$6))),BV579)/BN579,0)*BN579</f>
        <v/>
      </c>
      <c r="AF579" s="56">
        <f>IF(AC579&gt;0,I579/AC579,-1)</f>
        <v/>
      </c>
      <c r="AG579" s="56">
        <f>IF(AND(OR(BR579="L1",BR579="L23"),AC579&gt;0),SUMIFS($AC$7:$AC$1570,$BR$7:$BR$1570,BR579,$AF$7:$AF$1570,"&gt;"&amp;AF579)+SUMIFS($AC$7:$AC$1570,$BR$7:$BR$1570,BR579,$AF$7:$AF$1570,AF579,$BL$7:$BL$1570,"&lt;="&amp;BL579),"")</f>
        <v/>
      </c>
      <c r="AH579" s="65">
        <f>IF(AG579="",0,MAX(0,MIN(1,(IF(BR579="L1",Parameter!$K$5,Parameter!$K$6+Parameter!$K$7)-(AG579-AC579))/AC579)))</f>
        <v/>
      </c>
      <c r="AI579" s="55">
        <f>IF(LEFT(Cockpit!$I$5,1)="A",G579,IF(BT579=1,BU579,IF(LEFT(Cockpit!$I$5,1)="B",AM579,MAX(AM579,G579))))</f>
        <v/>
      </c>
      <c r="AJ579" s="55">
        <f>IF(BO579=1,0,ROUNDUP(AI579/BN579,0))</f>
        <v/>
      </c>
      <c r="AK579" s="64">
        <f>IF(BO579=1,IF(AI579&lt;=0,0,BP579*MAX(1,IF(G579&gt;0,AI579/G579,1))),AJ579*Q579)</f>
        <v/>
      </c>
      <c r="AL579" s="55">
        <f>AI579*F579</f>
        <v/>
      </c>
      <c r="AM579" s="55">
        <f>ROUNDUP(MAX(I579/IF(BS579&gt;0,BS579,MAX(0.1,N(Cockpit!$I$6))),BV579)/BN579,0)*BN579</f>
        <v/>
      </c>
      <c r="AN579" s="56">
        <f>IF(AK579&gt;0,I579/AK579,-1)</f>
        <v/>
      </c>
      <c r="AO579" s="56">
        <f>IF(AND(OR(BR579="L1",BR579="L23"),AK579&gt;0),SUMIFS($AK$7:$AK$1570,$BR$7:$BR$1570,BR579,$AN$7:$AN$1570,"&gt;"&amp;AN579)+SUMIFS($AK$7:$AK$1570,$BR$7:$BR$1570,BR579,$AN$7:$AN$1570,AN579,$BL$7:$BL$1570,"&lt;="&amp;BL579),"")</f>
        <v/>
      </c>
      <c r="AP579" s="65">
        <f>IF(AO579="",0,MAX(0,MIN(1,(IF(BR579="L1",Parameter!$K$5,Parameter!$K$6+Parameter!$K$7)-(AO579-AK579))/AK579)))</f>
        <v/>
      </c>
      <c r="AQ579" s="55">
        <f>IF(LEFT(Cockpit!$O$5,1)="A",G579,IF(BT579=1,BU579,IF(LEFT(Cockpit!$O$5,1)="B",AU579,MAX(AU579,G579))))</f>
        <v/>
      </c>
      <c r="AR579" s="55">
        <f>IF(BO579=1,0,ROUNDUP(AQ579/BN579,0))</f>
        <v/>
      </c>
      <c r="AS579" s="64">
        <f>IF(BO579=1,IF(AQ579&lt;=0,0,BP579*MAX(1,IF(G579&gt;0,AQ579/G579,1))),AR579*Q579)</f>
        <v/>
      </c>
      <c r="AT579" s="55">
        <f>AQ579*F579</f>
        <v/>
      </c>
      <c r="AU579" s="55">
        <f>ROUNDUP(MAX(I579/IF(BS579&gt;0,BS579,MAX(0.1,N(Cockpit!$O$6))),BV579)/BN579,0)*BN579</f>
        <v/>
      </c>
      <c r="AV579" s="56">
        <f>IF(AS579&gt;0,I579/AS579,-1)</f>
        <v/>
      </c>
      <c r="AW579" s="56">
        <f>IF(AND(OR(BR579="L1",BR579="L23"),AS579&gt;0),SUMIFS($AS$7:$AS$1570,$BR$7:$BR$1570,BR579,$AV$7:$AV$1570,"&gt;"&amp;AV579)+SUMIFS($AS$7:$AS$1570,$BR$7:$BR$1570,BR579,$AV$7:$AV$1570,AV579,$BL$7:$BL$1570,"&lt;="&amp;BL579),"")</f>
        <v/>
      </c>
      <c r="AX579" s="65">
        <f>IF(AW579="",0,MAX(0,MIN(1,(IF(BR579="L1",Parameter!$K$5,Parameter!$K$6+Parameter!$K$7)-(AW579-AS579))/AS579)))</f>
        <v/>
      </c>
      <c r="AY579" s="53">
        <f>IF(AC579&lt;=0,"",IF(BR579="Aussen","Aussenlager",IF(BR579="-","Nicht im Lift",IF(AH579&gt;=1,"Lift",IF(AH579&lt;=0,"Aussenlager","teilweise")))))</f>
        <v/>
      </c>
      <c r="AZ579" s="53">
        <f>IF(AK579&lt;=0,"",IF(BR579="Aussen","Aussenlager",IF(BR579="-","Nicht im Lift",IF(AP579&gt;=1,"Lift",IF(AP579&lt;=0,"Aussenlager","teilweise")))))</f>
        <v/>
      </c>
      <c r="BA579" s="53">
        <f>IF(AS579&lt;=0,"",IF(BR579="Aussen","Aussenlager",IF(BR579="-","Nicht im Lift",IF(AX579&gt;=1,"Lift",IF(AX579&lt;=0,"Aussenlager","teilweise")))))</f>
        <v/>
      </c>
      <c r="BB579" s="53">
        <f>IF(A579="","",IF(BK579=1,"Neu; ","")&amp;IF(AND(BK579=0,BF579&lt;0),"negativer Bestand (Export "&amp;BF579&amp;"); ","")&amp;IF(I579&lt;=0,"Kein Verbrauch; ","")&amp;IF(BO579=1,"Lose – Fläche geschätzt; ","")&amp;IF(G579&gt;AM579,"Überbestand "&amp;ROUND(G579-AM579,0)&amp;" Stk / CHF "&amp;ROUND((G579-AM579)*F579,0)&amp;"; ","")&amp;IF(AND(BT579=1,BU579&lt;BV579),"MAX &lt; MB+LG; ","")&amp;IF(AND(BZ579&gt;0,BY579*10&gt;BZ579),"zu hoch für Tablar; ","")&amp;IF(AND(BK579=0,OR(BT579=1,V579&lt;&gt;"",S579&lt;&gt;"",T579&lt;&gt;"",W579&lt;&gt;"")),"manuell übersteuert; ","")&amp;IF(AND(BO579=0,Q579=0),"Gebinde unbekannt; ","")&amp;IF(AND(BO579=0,N(T579)&lt;=0,N(P579)&lt;=0),"Menge pro Gebinde fehlt (Ist = 1 Gebinde); ","")&amp;BJ579)</f>
        <v/>
      </c>
      <c r="BC579" s="53" t="n"/>
      <c r="BD579" s="53" t="n"/>
      <c r="BE579" s="61" t="n"/>
      <c r="BF579" s="55" t="n">
        <v>1</v>
      </c>
      <c r="BG579" s="55" t="n">
        <v>0</v>
      </c>
      <c r="BH579" s="54" t="n">
        <v>9.550000000000001</v>
      </c>
      <c r="BI579" s="55" t="n">
        <v>0</v>
      </c>
      <c r="BJ579" s="53" t="inlineStr"/>
      <c r="BK579" s="58" t="n">
        <v>0</v>
      </c>
      <c r="BL579" s="58" t="n">
        <v>579</v>
      </c>
      <c r="BM579" s="53">
        <f>IF(S579&lt;&gt;"",UPPER(TRIM(S579)),IF(O579="","LOSE",O579))</f>
        <v/>
      </c>
      <c r="BN579" s="55">
        <f>IF(BM579="LOSE",1,IF(N(T579)&gt;0,T579,IF(N(P579)&gt;0,P579,MAX(1,G579))))</f>
        <v/>
      </c>
      <c r="BO579" s="58">
        <f>IF(BM579="LOSE",1,0)</f>
        <v/>
      </c>
      <c r="BP579" s="64">
        <f>IF(BO579=0,0,IF(N(R579)&gt;0,R579,IFERROR(VLOOKUP(D579,Parameter!$A$35:$C$64,3,0)+0,0)))</f>
        <v/>
      </c>
      <c r="BQ579" s="53">
        <f>IF(V579&lt;&gt;"",V579,U579)</f>
        <v/>
      </c>
      <c r="BR579" s="53">
        <f>IF(BQ579=1,"L1",IF(OR(BQ579=2,BQ579=3),"L23",IF(BQ579="Aussen","Aussen","-")))</f>
        <v/>
      </c>
      <c r="BS579" s="66">
        <f>IF(N(W579)&gt;0,W579,0)</f>
        <v/>
      </c>
      <c r="BT579" s="58">
        <f>IF(ISNUMBER(Z579),1,0)</f>
        <v/>
      </c>
      <c r="BU579" s="55">
        <f>N(Z579)</f>
        <v/>
      </c>
      <c r="BV579" s="55">
        <f>N(L579)+N(M579)</f>
        <v/>
      </c>
      <c r="BW579" s="55">
        <f>ROUNDUP(G579/BN579,0)</f>
        <v/>
      </c>
      <c r="BX579" s="55">
        <f>ROUNDUP(BU579/BN579,0)</f>
        <v/>
      </c>
      <c r="BY579" s="58">
        <f>IF(BO579=1,0,IFERROR(VLOOKUP(BM579,'Gebinde-Kategorie'!$A$5:$G$45,5,0)+0,0))</f>
        <v/>
      </c>
      <c r="BZ579" s="58">
        <f>IFERROR(IF(OR(BQ579=1,BQ579=2,BQ579=3),N(INDEX(Parameter!$I$5:$I$7,BQ579)),0),0)</f>
        <v/>
      </c>
    </row>
    <row r="580">
      <c r="A580" s="53" t="inlineStr">
        <is>
          <t>111646</t>
        </is>
      </c>
      <c r="B580" s="53" t="inlineStr">
        <is>
          <t>Ringgabelschlüssel</t>
        </is>
      </c>
      <c r="C580" s="53" t="inlineStr">
        <is>
          <t>F</t>
        </is>
      </c>
      <c r="D580" s="53" t="inlineStr">
        <is>
          <t>PAL</t>
        </is>
      </c>
      <c r="E580" s="53" t="inlineStr">
        <is>
          <t>C</t>
        </is>
      </c>
      <c r="F580" s="54" t="n">
        <v>9.5</v>
      </c>
      <c r="G580" s="55">
        <f>MAX(0,IF(Parameter!$B$20="Jahresanfang 2025 + Export",BG580+BF580,BF580))</f>
        <v/>
      </c>
      <c r="H580" s="55">
        <f>G580*F580</f>
        <v/>
      </c>
      <c r="I580" s="55">
        <f>BI580*Parameter!$B$18</f>
        <v/>
      </c>
      <c r="J580" s="56" t="n">
        <v>0</v>
      </c>
      <c r="K580" s="57" t="n">
        <v>0</v>
      </c>
      <c r="L580" s="55" t="n">
        <v>0</v>
      </c>
      <c r="M580" s="55" t="n">
        <v>1</v>
      </c>
      <c r="N580" s="58" t="n">
        <v>21</v>
      </c>
      <c r="O580" s="53" t="inlineStr">
        <is>
          <t>LOSE</t>
        </is>
      </c>
      <c r="P580" s="55" t="n"/>
      <c r="Q580" s="59">
        <f>IF(BO580=1,0,IFERROR(VLOOKUP(BM580,'Gebinde-Kategorie'!$A$5:$G$45,6,0)+0,0))</f>
        <v/>
      </c>
      <c r="R580" s="60" t="n"/>
      <c r="S580" s="61" t="n"/>
      <c r="T580" s="61" t="n"/>
      <c r="U580" s="53">
        <f>IF(A580="","",IF(IFERROR(VLOOKUP(D580,Parameter!$A$35:$C$64,2,0),"Nein")="2+3",IF(ISNUMBER(SEARCH("grosser Artikel",BJ580)),2,IFERROR(VLOOKUP(BM580,Parameter!$F$35:$G$64,2,0),2)),IF(OR(IFERROR(VLOOKUP(D580,Parameter!$A$35:$C$64,2,0),"Nein")="Nein",IFERROR(VLOOKUP(D580,Parameter!$A$35:$C$64,2,0),"Nein")=""),"-",VLOOKUP(D580,Parameter!$A$35:$C$64,2,0))))</f>
        <v/>
      </c>
      <c r="V580" s="61" t="n"/>
      <c r="W580" s="62" t="n"/>
      <c r="X580" s="55">
        <f>AM580</f>
        <v/>
      </c>
      <c r="Y580" s="55">
        <f>MAX(AM580,G580)</f>
        <v/>
      </c>
      <c r="Z580" s="63" t="n"/>
      <c r="AA580" s="55">
        <f>IF(LEFT(Cockpit!$C$5,1)="A",G580,IF(BT580=1,BU580,IF(LEFT(Cockpit!$C$5,1)="B",AE580,MAX(AE580,G580))))</f>
        <v/>
      </c>
      <c r="AB580" s="55">
        <f>IF(BO580=1,0,ROUNDUP(AA580/BN580,0))</f>
        <v/>
      </c>
      <c r="AC580" s="64">
        <f>IF(BO580=1,IF(AA580&lt;=0,0,BP580*MAX(1,IF(G580&gt;0,AA580/G580,1))),AB580*Q580)</f>
        <v/>
      </c>
      <c r="AD580" s="55">
        <f>AA580*F580</f>
        <v/>
      </c>
      <c r="AE580" s="55">
        <f>ROUNDUP(MAX(I580/IF(BS580&gt;0,BS580,MAX(0.1,N(Cockpit!$C$6))),BV580)/BN580,0)*BN580</f>
        <v/>
      </c>
      <c r="AF580" s="56">
        <f>IF(AC580&gt;0,I580/AC580,-1)</f>
        <v/>
      </c>
      <c r="AG580" s="56">
        <f>IF(AND(OR(BR580="L1",BR580="L23"),AC580&gt;0),SUMIFS($AC$7:$AC$1570,$BR$7:$BR$1570,BR580,$AF$7:$AF$1570,"&gt;"&amp;AF580)+SUMIFS($AC$7:$AC$1570,$BR$7:$BR$1570,BR580,$AF$7:$AF$1570,AF580,$BL$7:$BL$1570,"&lt;="&amp;BL580),"")</f>
        <v/>
      </c>
      <c r="AH580" s="65">
        <f>IF(AG580="",0,MAX(0,MIN(1,(IF(BR580="L1",Parameter!$K$5,Parameter!$K$6+Parameter!$K$7)-(AG580-AC580))/AC580)))</f>
        <v/>
      </c>
      <c r="AI580" s="55">
        <f>IF(LEFT(Cockpit!$I$5,1)="A",G580,IF(BT580=1,BU580,IF(LEFT(Cockpit!$I$5,1)="B",AM580,MAX(AM580,G580))))</f>
        <v/>
      </c>
      <c r="AJ580" s="55">
        <f>IF(BO580=1,0,ROUNDUP(AI580/BN580,0))</f>
        <v/>
      </c>
      <c r="AK580" s="64">
        <f>IF(BO580=1,IF(AI580&lt;=0,0,BP580*MAX(1,IF(G580&gt;0,AI580/G580,1))),AJ580*Q580)</f>
        <v/>
      </c>
      <c r="AL580" s="55">
        <f>AI580*F580</f>
        <v/>
      </c>
      <c r="AM580" s="55">
        <f>ROUNDUP(MAX(I580/IF(BS580&gt;0,BS580,MAX(0.1,N(Cockpit!$I$6))),BV580)/BN580,0)*BN580</f>
        <v/>
      </c>
      <c r="AN580" s="56">
        <f>IF(AK580&gt;0,I580/AK580,-1)</f>
        <v/>
      </c>
      <c r="AO580" s="56">
        <f>IF(AND(OR(BR580="L1",BR580="L23"),AK580&gt;0),SUMIFS($AK$7:$AK$1570,$BR$7:$BR$1570,BR580,$AN$7:$AN$1570,"&gt;"&amp;AN580)+SUMIFS($AK$7:$AK$1570,$BR$7:$BR$1570,BR580,$AN$7:$AN$1570,AN580,$BL$7:$BL$1570,"&lt;="&amp;BL580),"")</f>
        <v/>
      </c>
      <c r="AP580" s="65">
        <f>IF(AO580="",0,MAX(0,MIN(1,(IF(BR580="L1",Parameter!$K$5,Parameter!$K$6+Parameter!$K$7)-(AO580-AK580))/AK580)))</f>
        <v/>
      </c>
      <c r="AQ580" s="55">
        <f>IF(LEFT(Cockpit!$O$5,1)="A",G580,IF(BT580=1,BU580,IF(LEFT(Cockpit!$O$5,1)="B",AU580,MAX(AU580,G580))))</f>
        <v/>
      </c>
      <c r="AR580" s="55">
        <f>IF(BO580=1,0,ROUNDUP(AQ580/BN580,0))</f>
        <v/>
      </c>
      <c r="AS580" s="64">
        <f>IF(BO580=1,IF(AQ580&lt;=0,0,BP580*MAX(1,IF(G580&gt;0,AQ580/G580,1))),AR580*Q580)</f>
        <v/>
      </c>
      <c r="AT580" s="55">
        <f>AQ580*F580</f>
        <v/>
      </c>
      <c r="AU580" s="55">
        <f>ROUNDUP(MAX(I580/IF(BS580&gt;0,BS580,MAX(0.1,N(Cockpit!$O$6))),BV580)/BN580,0)*BN580</f>
        <v/>
      </c>
      <c r="AV580" s="56">
        <f>IF(AS580&gt;0,I580/AS580,-1)</f>
        <v/>
      </c>
      <c r="AW580" s="56">
        <f>IF(AND(OR(BR580="L1",BR580="L23"),AS580&gt;0),SUMIFS($AS$7:$AS$1570,$BR$7:$BR$1570,BR580,$AV$7:$AV$1570,"&gt;"&amp;AV580)+SUMIFS($AS$7:$AS$1570,$BR$7:$BR$1570,BR580,$AV$7:$AV$1570,AV580,$BL$7:$BL$1570,"&lt;="&amp;BL580),"")</f>
        <v/>
      </c>
      <c r="AX580" s="65">
        <f>IF(AW580="",0,MAX(0,MIN(1,(IF(BR580="L1",Parameter!$K$5,Parameter!$K$6+Parameter!$K$7)-(AW580-AS580))/AS580)))</f>
        <v/>
      </c>
      <c r="AY580" s="53">
        <f>IF(AC580&lt;=0,"",IF(BR580="Aussen","Aussenlager",IF(BR580="-","Nicht im Lift",IF(AH580&gt;=1,"Lift",IF(AH580&lt;=0,"Aussenlager","teilweise")))))</f>
        <v/>
      </c>
      <c r="AZ580" s="53">
        <f>IF(AK580&lt;=0,"",IF(BR580="Aussen","Aussenlager",IF(BR580="-","Nicht im Lift",IF(AP580&gt;=1,"Lift",IF(AP580&lt;=0,"Aussenlager","teilweise")))))</f>
        <v/>
      </c>
      <c r="BA580" s="53">
        <f>IF(AS580&lt;=0,"",IF(BR580="Aussen","Aussenlager",IF(BR580="-","Nicht im Lift",IF(AX580&gt;=1,"Lift",IF(AX580&lt;=0,"Aussenlager","teilweise")))))</f>
        <v/>
      </c>
      <c r="BB580" s="53">
        <f>IF(A580="","",IF(BK580=1,"Neu; ","")&amp;IF(AND(BK580=0,BF580&lt;0),"negativer Bestand (Export "&amp;BF580&amp;"); ","")&amp;IF(I580&lt;=0,"Kein Verbrauch; ","")&amp;IF(BO580=1,"Lose – Fläche geschätzt; ","")&amp;IF(G580&gt;AM580,"Überbestand "&amp;ROUND(G580-AM580,0)&amp;" Stk / CHF "&amp;ROUND((G580-AM580)*F580,0)&amp;"; ","")&amp;IF(AND(BT580=1,BU580&lt;BV580),"MAX &lt; MB+LG; ","")&amp;IF(AND(BZ580&gt;0,BY580*10&gt;BZ580),"zu hoch für Tablar; ","")&amp;IF(AND(BK580=0,OR(BT580=1,V580&lt;&gt;"",S580&lt;&gt;"",T580&lt;&gt;"",W580&lt;&gt;"")),"manuell übersteuert; ","")&amp;IF(AND(BO580=0,Q580=0),"Gebinde unbekannt; ","")&amp;IF(AND(BO580=0,N(T580)&lt;=0,N(P580)&lt;=0),"Menge pro Gebinde fehlt (Ist = 1 Gebinde); ","")&amp;BJ580)</f>
        <v/>
      </c>
      <c r="BC580" s="53" t="n"/>
      <c r="BD580" s="53" t="n"/>
      <c r="BE580" s="61" t="n"/>
      <c r="BF580" s="55" t="n">
        <v>1</v>
      </c>
      <c r="BG580" s="55" t="n">
        <v>0</v>
      </c>
      <c r="BH580" s="54" t="n">
        <v>9.5</v>
      </c>
      <c r="BI580" s="55" t="n">
        <v>0</v>
      </c>
      <c r="BJ580" s="53" t="inlineStr"/>
      <c r="BK580" s="58" t="n">
        <v>0</v>
      </c>
      <c r="BL580" s="58" t="n">
        <v>580</v>
      </c>
      <c r="BM580" s="53">
        <f>IF(S580&lt;&gt;"",UPPER(TRIM(S580)),IF(O580="","LOSE",O580))</f>
        <v/>
      </c>
      <c r="BN580" s="55">
        <f>IF(BM580="LOSE",1,IF(N(T580)&gt;0,T580,IF(N(P580)&gt;0,P580,MAX(1,G580))))</f>
        <v/>
      </c>
      <c r="BO580" s="58">
        <f>IF(BM580="LOSE",1,0)</f>
        <v/>
      </c>
      <c r="BP580" s="64">
        <f>IF(BO580=0,0,IF(N(R580)&gt;0,R580,IFERROR(VLOOKUP(D580,Parameter!$A$35:$C$64,3,0)+0,0)))</f>
        <v/>
      </c>
      <c r="BQ580" s="53">
        <f>IF(V580&lt;&gt;"",V580,U580)</f>
        <v/>
      </c>
      <c r="BR580" s="53">
        <f>IF(BQ580=1,"L1",IF(OR(BQ580=2,BQ580=3),"L23",IF(BQ580="Aussen","Aussen","-")))</f>
        <v/>
      </c>
      <c r="BS580" s="66">
        <f>IF(N(W580)&gt;0,W580,0)</f>
        <v/>
      </c>
      <c r="BT580" s="58">
        <f>IF(ISNUMBER(Z580),1,0)</f>
        <v/>
      </c>
      <c r="BU580" s="55">
        <f>N(Z580)</f>
        <v/>
      </c>
      <c r="BV580" s="55">
        <f>N(L580)+N(M580)</f>
        <v/>
      </c>
      <c r="BW580" s="55">
        <f>ROUNDUP(G580/BN580,0)</f>
        <v/>
      </c>
      <c r="BX580" s="55">
        <f>ROUNDUP(BU580/BN580,0)</f>
        <v/>
      </c>
      <c r="BY580" s="58">
        <f>IF(BO580=1,0,IFERROR(VLOOKUP(BM580,'Gebinde-Kategorie'!$A$5:$G$45,5,0)+0,0))</f>
        <v/>
      </c>
      <c r="BZ580" s="58">
        <f>IFERROR(IF(OR(BQ580=1,BQ580=2,BQ580=3),N(INDEX(Parameter!$I$5:$I$7,BQ580)),0),0)</f>
        <v/>
      </c>
    </row>
    <row r="581">
      <c r="A581" s="53" t="inlineStr">
        <is>
          <t>110868</t>
        </is>
      </c>
      <c r="B581" s="53" t="inlineStr">
        <is>
          <t>Adapter</t>
        </is>
      </c>
      <c r="C581" s="53" t="inlineStr">
        <is>
          <t>F</t>
        </is>
      </c>
      <c r="D581" s="53" t="inlineStr">
        <is>
          <t>KTL</t>
        </is>
      </c>
      <c r="E581" s="53" t="inlineStr">
        <is>
          <t>C</t>
        </is>
      </c>
      <c r="F581" s="54" t="n">
        <v>3.15</v>
      </c>
      <c r="G581" s="55">
        <f>MAX(0,IF(Parameter!$B$20="Jahresanfang 2025 + Export",BG581+BF581,BF581))</f>
        <v/>
      </c>
      <c r="H581" s="55">
        <f>G581*F581</f>
        <v/>
      </c>
      <c r="I581" s="55">
        <f>BI581*Parameter!$B$18</f>
        <v/>
      </c>
      <c r="J581" s="56" t="n">
        <v>3</v>
      </c>
      <c r="K581" s="57" t="n">
        <v>1.333333333333333</v>
      </c>
      <c r="L581" s="55" t="n">
        <v>0</v>
      </c>
      <c r="M581" s="55" t="n">
        <v>5</v>
      </c>
      <c r="N581" s="58" t="n">
        <v>14</v>
      </c>
      <c r="O581" s="53" t="inlineStr">
        <is>
          <t>S21</t>
        </is>
      </c>
      <c r="P581" s="55" t="n">
        <v>3</v>
      </c>
      <c r="Q581" s="59">
        <f>IF(BO581=1,0,IFERROR(VLOOKUP(BM581,'Gebinde-Kategorie'!$A$5:$G$45,6,0)+0,0))</f>
        <v/>
      </c>
      <c r="R581" s="60" t="n"/>
      <c r="S581" s="61" t="n"/>
      <c r="T581" s="61" t="n"/>
      <c r="U581" s="53">
        <f>IF(A581="","",IF(IFERROR(VLOOKUP(D581,Parameter!$A$35:$C$64,2,0),"Nein")="2+3",IF(ISNUMBER(SEARCH("grosser Artikel",BJ581)),2,IFERROR(VLOOKUP(BM581,Parameter!$F$35:$G$64,2,0),2)),IF(OR(IFERROR(VLOOKUP(D581,Parameter!$A$35:$C$64,2,0),"Nein")="Nein",IFERROR(VLOOKUP(D581,Parameter!$A$35:$C$64,2,0),"Nein")=""),"-",VLOOKUP(D581,Parameter!$A$35:$C$64,2,0))))</f>
        <v/>
      </c>
      <c r="V581" s="61" t="n"/>
      <c r="W581" s="62" t="n"/>
      <c r="X581" s="55">
        <f>AM581</f>
        <v/>
      </c>
      <c r="Y581" s="55">
        <f>MAX(AM581,G581)</f>
        <v/>
      </c>
      <c r="Z581" s="63" t="n"/>
      <c r="AA581" s="55">
        <f>IF(LEFT(Cockpit!$C$5,1)="A",G581,IF(BT581=1,BU581,IF(LEFT(Cockpit!$C$5,1)="B",AE581,MAX(AE581,G581))))</f>
        <v/>
      </c>
      <c r="AB581" s="55">
        <f>IF(BO581=1,0,ROUNDUP(AA581/BN581,0))</f>
        <v/>
      </c>
      <c r="AC581" s="64">
        <f>IF(BO581=1,IF(AA581&lt;=0,0,BP581*MAX(1,IF(G581&gt;0,AA581/G581,1))),AB581*Q581)</f>
        <v/>
      </c>
      <c r="AD581" s="55">
        <f>AA581*F581</f>
        <v/>
      </c>
      <c r="AE581" s="55">
        <f>ROUNDUP(MAX(I581/IF(BS581&gt;0,BS581,MAX(0.1,N(Cockpit!$C$6))),BV581)/BN581,0)*BN581</f>
        <v/>
      </c>
      <c r="AF581" s="56">
        <f>IF(AC581&gt;0,I581/AC581,-1)</f>
        <v/>
      </c>
      <c r="AG581" s="56">
        <f>IF(AND(OR(BR581="L1",BR581="L23"),AC581&gt;0),SUMIFS($AC$7:$AC$1570,$BR$7:$BR$1570,BR581,$AF$7:$AF$1570,"&gt;"&amp;AF581)+SUMIFS($AC$7:$AC$1570,$BR$7:$BR$1570,BR581,$AF$7:$AF$1570,AF581,$BL$7:$BL$1570,"&lt;="&amp;BL581),"")</f>
        <v/>
      </c>
      <c r="AH581" s="65">
        <f>IF(AG581="",0,MAX(0,MIN(1,(IF(BR581="L1",Parameter!$K$5,Parameter!$K$6+Parameter!$K$7)-(AG581-AC581))/AC581)))</f>
        <v/>
      </c>
      <c r="AI581" s="55">
        <f>IF(LEFT(Cockpit!$I$5,1)="A",G581,IF(BT581=1,BU581,IF(LEFT(Cockpit!$I$5,1)="B",AM581,MAX(AM581,G581))))</f>
        <v/>
      </c>
      <c r="AJ581" s="55">
        <f>IF(BO581=1,0,ROUNDUP(AI581/BN581,0))</f>
        <v/>
      </c>
      <c r="AK581" s="64">
        <f>IF(BO581=1,IF(AI581&lt;=0,0,BP581*MAX(1,IF(G581&gt;0,AI581/G581,1))),AJ581*Q581)</f>
        <v/>
      </c>
      <c r="AL581" s="55">
        <f>AI581*F581</f>
        <v/>
      </c>
      <c r="AM581" s="55">
        <f>ROUNDUP(MAX(I581/IF(BS581&gt;0,BS581,MAX(0.1,N(Cockpit!$I$6))),BV581)/BN581,0)*BN581</f>
        <v/>
      </c>
      <c r="AN581" s="56">
        <f>IF(AK581&gt;0,I581/AK581,-1)</f>
        <v/>
      </c>
      <c r="AO581" s="56">
        <f>IF(AND(OR(BR581="L1",BR581="L23"),AK581&gt;0),SUMIFS($AK$7:$AK$1570,$BR$7:$BR$1570,BR581,$AN$7:$AN$1570,"&gt;"&amp;AN581)+SUMIFS($AK$7:$AK$1570,$BR$7:$BR$1570,BR581,$AN$7:$AN$1570,AN581,$BL$7:$BL$1570,"&lt;="&amp;BL581),"")</f>
        <v/>
      </c>
      <c r="AP581" s="65">
        <f>IF(AO581="",0,MAX(0,MIN(1,(IF(BR581="L1",Parameter!$K$5,Parameter!$K$6+Parameter!$K$7)-(AO581-AK581))/AK581)))</f>
        <v/>
      </c>
      <c r="AQ581" s="55">
        <f>IF(LEFT(Cockpit!$O$5,1)="A",G581,IF(BT581=1,BU581,IF(LEFT(Cockpit!$O$5,1)="B",AU581,MAX(AU581,G581))))</f>
        <v/>
      </c>
      <c r="AR581" s="55">
        <f>IF(BO581=1,0,ROUNDUP(AQ581/BN581,0))</f>
        <v/>
      </c>
      <c r="AS581" s="64">
        <f>IF(BO581=1,IF(AQ581&lt;=0,0,BP581*MAX(1,IF(G581&gt;0,AQ581/G581,1))),AR581*Q581)</f>
        <v/>
      </c>
      <c r="AT581" s="55">
        <f>AQ581*F581</f>
        <v/>
      </c>
      <c r="AU581" s="55">
        <f>ROUNDUP(MAX(I581/IF(BS581&gt;0,BS581,MAX(0.1,N(Cockpit!$O$6))),BV581)/BN581,0)*BN581</f>
        <v/>
      </c>
      <c r="AV581" s="56">
        <f>IF(AS581&gt;0,I581/AS581,-1)</f>
        <v/>
      </c>
      <c r="AW581" s="56">
        <f>IF(AND(OR(BR581="L1",BR581="L23"),AS581&gt;0),SUMIFS($AS$7:$AS$1570,$BR$7:$BR$1570,BR581,$AV$7:$AV$1570,"&gt;"&amp;AV581)+SUMIFS($AS$7:$AS$1570,$BR$7:$BR$1570,BR581,$AV$7:$AV$1570,AV581,$BL$7:$BL$1570,"&lt;="&amp;BL581),"")</f>
        <v/>
      </c>
      <c r="AX581" s="65">
        <f>IF(AW581="",0,MAX(0,MIN(1,(IF(BR581="L1",Parameter!$K$5,Parameter!$K$6+Parameter!$K$7)-(AW581-AS581))/AS581)))</f>
        <v/>
      </c>
      <c r="AY581" s="53">
        <f>IF(AC581&lt;=0,"",IF(BR581="Aussen","Aussenlager",IF(BR581="-","Nicht im Lift",IF(AH581&gt;=1,"Lift",IF(AH581&lt;=0,"Aussenlager","teilweise")))))</f>
        <v/>
      </c>
      <c r="AZ581" s="53">
        <f>IF(AK581&lt;=0,"",IF(BR581="Aussen","Aussenlager",IF(BR581="-","Nicht im Lift",IF(AP581&gt;=1,"Lift",IF(AP581&lt;=0,"Aussenlager","teilweise")))))</f>
        <v/>
      </c>
      <c r="BA581" s="53">
        <f>IF(AS581&lt;=0,"",IF(BR581="Aussen","Aussenlager",IF(BR581="-","Nicht im Lift",IF(AX581&gt;=1,"Lift",IF(AX581&lt;=0,"Aussenlager","teilweise")))))</f>
        <v/>
      </c>
      <c r="BB581" s="53">
        <f>IF(A581="","",IF(BK581=1,"Neu; ","")&amp;IF(AND(BK581=0,BF581&lt;0),"negativer Bestand (Export "&amp;BF581&amp;"); ","")&amp;IF(I581&lt;=0,"Kein Verbrauch; ","")&amp;IF(BO581=1,"Lose – Fläche geschätzt; ","")&amp;IF(G581&gt;AM581,"Überbestand "&amp;ROUND(G581-AM581,0)&amp;" Stk / CHF "&amp;ROUND((G581-AM581)*F581,0)&amp;"; ","")&amp;IF(AND(BT581=1,BU581&lt;BV581),"MAX &lt; MB+LG; ","")&amp;IF(AND(BZ581&gt;0,BY581*10&gt;BZ581),"zu hoch für Tablar; ","")&amp;IF(AND(BK581=0,OR(BT581=1,V581&lt;&gt;"",S581&lt;&gt;"",T581&lt;&gt;"",W581&lt;&gt;"")),"manuell übersteuert; ","")&amp;IF(AND(BO581=0,Q581=0),"Gebinde unbekannt; ","")&amp;IF(AND(BO581=0,N(T581)&lt;=0,N(P581)&lt;=0),"Menge pro Gebinde fehlt (Ist = 1 Gebinde); ","")&amp;BJ581)</f>
        <v/>
      </c>
      <c r="BC581" s="53" t="n"/>
      <c r="BD581" s="53" t="n"/>
      <c r="BE581" s="61" t="n"/>
      <c r="BF581" s="55" t="n">
        <v>3</v>
      </c>
      <c r="BG581" s="55" t="n">
        <v>0</v>
      </c>
      <c r="BH581" s="54" t="n">
        <v>9.449999999999996</v>
      </c>
      <c r="BI581" s="55" t="n">
        <v>4</v>
      </c>
      <c r="BJ581" s="53" t="inlineStr"/>
      <c r="BK581" s="58" t="n">
        <v>0</v>
      </c>
      <c r="BL581" s="58" t="n">
        <v>581</v>
      </c>
      <c r="BM581" s="53">
        <f>IF(S581&lt;&gt;"",UPPER(TRIM(S581)),IF(O581="","LOSE",O581))</f>
        <v/>
      </c>
      <c r="BN581" s="55">
        <f>IF(BM581="LOSE",1,IF(N(T581)&gt;0,T581,IF(N(P581)&gt;0,P581,MAX(1,G581))))</f>
        <v/>
      </c>
      <c r="BO581" s="58">
        <f>IF(BM581="LOSE",1,0)</f>
        <v/>
      </c>
      <c r="BP581" s="64">
        <f>IF(BO581=0,0,IF(N(R581)&gt;0,R581,IFERROR(VLOOKUP(D581,Parameter!$A$35:$C$64,3,0)+0,0)))</f>
        <v/>
      </c>
      <c r="BQ581" s="53">
        <f>IF(V581&lt;&gt;"",V581,U581)</f>
        <v/>
      </c>
      <c r="BR581" s="53">
        <f>IF(BQ581=1,"L1",IF(OR(BQ581=2,BQ581=3),"L23",IF(BQ581="Aussen","Aussen","-")))</f>
        <v/>
      </c>
      <c r="BS581" s="66">
        <f>IF(N(W581)&gt;0,W581,0)</f>
        <v/>
      </c>
      <c r="BT581" s="58">
        <f>IF(ISNUMBER(Z581),1,0)</f>
        <v/>
      </c>
      <c r="BU581" s="55">
        <f>N(Z581)</f>
        <v/>
      </c>
      <c r="BV581" s="55">
        <f>N(L581)+N(M581)</f>
        <v/>
      </c>
      <c r="BW581" s="55">
        <f>ROUNDUP(G581/BN581,0)</f>
        <v/>
      </c>
      <c r="BX581" s="55">
        <f>ROUNDUP(BU581/BN581,0)</f>
        <v/>
      </c>
      <c r="BY581" s="58">
        <f>IF(BO581=1,0,IFERROR(VLOOKUP(BM581,'Gebinde-Kategorie'!$A$5:$G$45,5,0)+0,0))</f>
        <v/>
      </c>
      <c r="BZ581" s="58">
        <f>IFERROR(IF(OR(BQ581=1,BQ581=2,BQ581=3),N(INDEX(Parameter!$I$5:$I$7,BQ581)),0),0)</f>
        <v/>
      </c>
    </row>
    <row r="582">
      <c r="A582" s="53" t="inlineStr">
        <is>
          <t>108040</t>
        </is>
      </c>
      <c r="B582" s="53" t="inlineStr">
        <is>
          <t>Modulträgerrahmen B6</t>
        </is>
      </c>
      <c r="C582" s="53" t="inlineStr">
        <is>
          <t>F</t>
        </is>
      </c>
      <c r="D582" s="53" t="inlineStr">
        <is>
          <t>KTL</t>
        </is>
      </c>
      <c r="E582" s="53" t="inlineStr">
        <is>
          <t>C</t>
        </is>
      </c>
      <c r="F582" s="54" t="n">
        <v>9.27</v>
      </c>
      <c r="G582" s="55">
        <f>MAX(0,IF(Parameter!$B$20="Jahresanfang 2025 + Export",BG582+BF582,BF582))</f>
        <v/>
      </c>
      <c r="H582" s="55">
        <f>G582*F582</f>
        <v/>
      </c>
      <c r="I582" s="55">
        <f>BI582*Parameter!$B$18</f>
        <v/>
      </c>
      <c r="J582" s="56" t="n">
        <v>110.5</v>
      </c>
      <c r="K582" s="57" t="n">
        <v>0.009049773755656109</v>
      </c>
      <c r="L582" s="55" t="n">
        <v>0</v>
      </c>
      <c r="M582" s="55" t="n">
        <v>1</v>
      </c>
      <c r="N582" s="58" t="n">
        <v>28</v>
      </c>
      <c r="O582" s="53" t="inlineStr">
        <is>
          <t>S51</t>
        </is>
      </c>
      <c r="P582" s="55" t="n">
        <v>23</v>
      </c>
      <c r="Q582" s="59">
        <f>IF(BO582=1,0,IFERROR(VLOOKUP(BM582,'Gebinde-Kategorie'!$A$5:$G$45,6,0)+0,0))</f>
        <v/>
      </c>
      <c r="R582" s="60" t="n"/>
      <c r="S582" s="61" t="n"/>
      <c r="T582" s="61" t="n"/>
      <c r="U582" s="53">
        <f>IF(A582="","",IF(IFERROR(VLOOKUP(D582,Parameter!$A$35:$C$64,2,0),"Nein")="2+3",IF(ISNUMBER(SEARCH("grosser Artikel",BJ582)),2,IFERROR(VLOOKUP(BM582,Parameter!$F$35:$G$64,2,0),2)),IF(OR(IFERROR(VLOOKUP(D582,Parameter!$A$35:$C$64,2,0),"Nein")="Nein",IFERROR(VLOOKUP(D582,Parameter!$A$35:$C$64,2,0),"Nein")=""),"-",VLOOKUP(D582,Parameter!$A$35:$C$64,2,0))))</f>
        <v/>
      </c>
      <c r="V582" s="61" t="n"/>
      <c r="W582" s="62" t="n"/>
      <c r="X582" s="55">
        <f>AM582</f>
        <v/>
      </c>
      <c r="Y582" s="55">
        <f>MAX(AM582,G582)</f>
        <v/>
      </c>
      <c r="Z582" s="63" t="n"/>
      <c r="AA582" s="55">
        <f>IF(LEFT(Cockpit!$C$5,1)="A",G582,IF(BT582=1,BU582,IF(LEFT(Cockpit!$C$5,1)="B",AE582,MAX(AE582,G582))))</f>
        <v/>
      </c>
      <c r="AB582" s="55">
        <f>IF(BO582=1,0,ROUNDUP(AA582/BN582,0))</f>
        <v/>
      </c>
      <c r="AC582" s="64">
        <f>IF(BO582=1,IF(AA582&lt;=0,0,BP582*MAX(1,IF(G582&gt;0,AA582/G582,1))),AB582*Q582)</f>
        <v/>
      </c>
      <c r="AD582" s="55">
        <f>AA582*F582</f>
        <v/>
      </c>
      <c r="AE582" s="55">
        <f>ROUNDUP(MAX(I582/IF(BS582&gt;0,BS582,MAX(0.1,N(Cockpit!$C$6))),BV582)/BN582,0)*BN582</f>
        <v/>
      </c>
      <c r="AF582" s="56">
        <f>IF(AC582&gt;0,I582/AC582,-1)</f>
        <v/>
      </c>
      <c r="AG582" s="56">
        <f>IF(AND(OR(BR582="L1",BR582="L23"),AC582&gt;0),SUMIFS($AC$7:$AC$1570,$BR$7:$BR$1570,BR582,$AF$7:$AF$1570,"&gt;"&amp;AF582)+SUMIFS($AC$7:$AC$1570,$BR$7:$BR$1570,BR582,$AF$7:$AF$1570,AF582,$BL$7:$BL$1570,"&lt;="&amp;BL582),"")</f>
        <v/>
      </c>
      <c r="AH582" s="65">
        <f>IF(AG582="",0,MAX(0,MIN(1,(IF(BR582="L1",Parameter!$K$5,Parameter!$K$6+Parameter!$K$7)-(AG582-AC582))/AC582)))</f>
        <v/>
      </c>
      <c r="AI582" s="55">
        <f>IF(LEFT(Cockpit!$I$5,1)="A",G582,IF(BT582=1,BU582,IF(LEFT(Cockpit!$I$5,1)="B",AM582,MAX(AM582,G582))))</f>
        <v/>
      </c>
      <c r="AJ582" s="55">
        <f>IF(BO582=1,0,ROUNDUP(AI582/BN582,0))</f>
        <v/>
      </c>
      <c r="AK582" s="64">
        <f>IF(BO582=1,IF(AI582&lt;=0,0,BP582*MAX(1,IF(G582&gt;0,AI582/G582,1))),AJ582*Q582)</f>
        <v/>
      </c>
      <c r="AL582" s="55">
        <f>AI582*F582</f>
        <v/>
      </c>
      <c r="AM582" s="55">
        <f>ROUNDUP(MAX(I582/IF(BS582&gt;0,BS582,MAX(0.1,N(Cockpit!$I$6))),BV582)/BN582,0)*BN582</f>
        <v/>
      </c>
      <c r="AN582" s="56">
        <f>IF(AK582&gt;0,I582/AK582,-1)</f>
        <v/>
      </c>
      <c r="AO582" s="56">
        <f>IF(AND(OR(BR582="L1",BR582="L23"),AK582&gt;0),SUMIFS($AK$7:$AK$1570,$BR$7:$BR$1570,BR582,$AN$7:$AN$1570,"&gt;"&amp;AN582)+SUMIFS($AK$7:$AK$1570,$BR$7:$BR$1570,BR582,$AN$7:$AN$1570,AN582,$BL$7:$BL$1570,"&lt;="&amp;BL582),"")</f>
        <v/>
      </c>
      <c r="AP582" s="65">
        <f>IF(AO582="",0,MAX(0,MIN(1,(IF(BR582="L1",Parameter!$K$5,Parameter!$K$6+Parameter!$K$7)-(AO582-AK582))/AK582)))</f>
        <v/>
      </c>
      <c r="AQ582" s="55">
        <f>IF(LEFT(Cockpit!$O$5,1)="A",G582,IF(BT582=1,BU582,IF(LEFT(Cockpit!$O$5,1)="B",AU582,MAX(AU582,G582))))</f>
        <v/>
      </c>
      <c r="AR582" s="55">
        <f>IF(BO582=1,0,ROUNDUP(AQ582/BN582,0))</f>
        <v/>
      </c>
      <c r="AS582" s="64">
        <f>IF(BO582=1,IF(AQ582&lt;=0,0,BP582*MAX(1,IF(G582&gt;0,AQ582/G582,1))),AR582*Q582)</f>
        <v/>
      </c>
      <c r="AT582" s="55">
        <f>AQ582*F582</f>
        <v/>
      </c>
      <c r="AU582" s="55">
        <f>ROUNDUP(MAX(I582/IF(BS582&gt;0,BS582,MAX(0.1,N(Cockpit!$O$6))),BV582)/BN582,0)*BN582</f>
        <v/>
      </c>
      <c r="AV582" s="56">
        <f>IF(AS582&gt;0,I582/AS582,-1)</f>
        <v/>
      </c>
      <c r="AW582" s="56">
        <f>IF(AND(OR(BR582="L1",BR582="L23"),AS582&gt;0),SUMIFS($AS$7:$AS$1570,$BR$7:$BR$1570,BR582,$AV$7:$AV$1570,"&gt;"&amp;AV582)+SUMIFS($AS$7:$AS$1570,$BR$7:$BR$1570,BR582,$AV$7:$AV$1570,AV582,$BL$7:$BL$1570,"&lt;="&amp;BL582),"")</f>
        <v/>
      </c>
      <c r="AX582" s="65">
        <f>IF(AW582="",0,MAX(0,MIN(1,(IF(BR582="L1",Parameter!$K$5,Parameter!$K$6+Parameter!$K$7)-(AW582-AS582))/AS582)))</f>
        <v/>
      </c>
      <c r="AY582" s="53">
        <f>IF(AC582&lt;=0,"",IF(BR582="Aussen","Aussenlager",IF(BR582="-","Nicht im Lift",IF(AH582&gt;=1,"Lift",IF(AH582&lt;=0,"Aussenlager","teilweise")))))</f>
        <v/>
      </c>
      <c r="AZ582" s="53">
        <f>IF(AK582&lt;=0,"",IF(BR582="Aussen","Aussenlager",IF(BR582="-","Nicht im Lift",IF(AP582&gt;=1,"Lift",IF(AP582&lt;=0,"Aussenlager","teilweise")))))</f>
        <v/>
      </c>
      <c r="BA582" s="53">
        <f>IF(AS582&lt;=0,"",IF(BR582="Aussen","Aussenlager",IF(BR582="-","Nicht im Lift",IF(AX582&gt;=1,"Lift",IF(AX582&lt;=0,"Aussenlager","teilweise")))))</f>
        <v/>
      </c>
      <c r="BB582" s="53">
        <f>IF(A582="","",IF(BK582=1,"Neu; ","")&amp;IF(AND(BK582=0,BF582&lt;0),"negativer Bestand (Export "&amp;BF582&amp;"); ","")&amp;IF(I582&lt;=0,"Kein Verbrauch; ","")&amp;IF(BO582=1,"Lose – Fläche geschätzt; ","")&amp;IF(G582&gt;AM582,"Überbestand "&amp;ROUND(G582-AM582,0)&amp;" Stk / CHF "&amp;ROUND((G582-AM582)*F582,0)&amp;"; ","")&amp;IF(AND(BT582=1,BU582&lt;BV582),"MAX &lt; MB+LG; ","")&amp;IF(AND(BZ582&gt;0,BY582*10&gt;BZ582),"zu hoch für Tablar; ","")&amp;IF(AND(BK582=0,OR(BT582=1,V582&lt;&gt;"",S582&lt;&gt;"",T582&lt;&gt;"",W582&lt;&gt;"")),"manuell übersteuert; ","")&amp;IF(AND(BO582=0,Q582=0),"Gebinde unbekannt; ","")&amp;IF(AND(BO582=0,N(T582)&lt;=0,N(P582)&lt;=0),"Menge pro Gebinde fehlt (Ist = 1 Gebinde); ","")&amp;BJ582)</f>
        <v/>
      </c>
      <c r="BC582" s="53" t="n"/>
      <c r="BD582" s="53" t="n"/>
      <c r="BE582" s="61" t="n"/>
      <c r="BF582" s="55" t="n">
        <v>1</v>
      </c>
      <c r="BG582" s="55" t="n">
        <v>109</v>
      </c>
      <c r="BH582" s="54" t="n">
        <v>9.27</v>
      </c>
      <c r="BI582" s="55" t="n">
        <v>1</v>
      </c>
      <c r="BJ582" s="53" t="inlineStr"/>
      <c r="BK582" s="58" t="n">
        <v>0</v>
      </c>
      <c r="BL582" s="58" t="n">
        <v>582</v>
      </c>
      <c r="BM582" s="53">
        <f>IF(S582&lt;&gt;"",UPPER(TRIM(S582)),IF(O582="","LOSE",O582))</f>
        <v/>
      </c>
      <c r="BN582" s="55">
        <f>IF(BM582="LOSE",1,IF(N(T582)&gt;0,T582,IF(N(P582)&gt;0,P582,MAX(1,G582))))</f>
        <v/>
      </c>
      <c r="BO582" s="58">
        <f>IF(BM582="LOSE",1,0)</f>
        <v/>
      </c>
      <c r="BP582" s="64">
        <f>IF(BO582=0,0,IF(N(R582)&gt;0,R582,IFERROR(VLOOKUP(D582,Parameter!$A$35:$C$64,3,0)+0,0)))</f>
        <v/>
      </c>
      <c r="BQ582" s="53">
        <f>IF(V582&lt;&gt;"",V582,U582)</f>
        <v/>
      </c>
      <c r="BR582" s="53">
        <f>IF(BQ582=1,"L1",IF(OR(BQ582=2,BQ582=3),"L23",IF(BQ582="Aussen","Aussen","-")))</f>
        <v/>
      </c>
      <c r="BS582" s="66">
        <f>IF(N(W582)&gt;0,W582,0)</f>
        <v/>
      </c>
      <c r="BT582" s="58">
        <f>IF(ISNUMBER(Z582),1,0)</f>
        <v/>
      </c>
      <c r="BU582" s="55">
        <f>N(Z582)</f>
        <v/>
      </c>
      <c r="BV582" s="55">
        <f>N(L582)+N(M582)</f>
        <v/>
      </c>
      <c r="BW582" s="55">
        <f>ROUNDUP(G582/BN582,0)</f>
        <v/>
      </c>
      <c r="BX582" s="55">
        <f>ROUNDUP(BU582/BN582,0)</f>
        <v/>
      </c>
      <c r="BY582" s="58">
        <f>IF(BO582=1,0,IFERROR(VLOOKUP(BM582,'Gebinde-Kategorie'!$A$5:$G$45,5,0)+0,0))</f>
        <v/>
      </c>
      <c r="BZ582" s="58">
        <f>IFERROR(IF(OR(BQ582=1,BQ582=2,BQ582=3),N(INDEX(Parameter!$I$5:$I$7,BQ582)),0),0)</f>
        <v/>
      </c>
    </row>
    <row r="583">
      <c r="A583" s="53" t="inlineStr">
        <is>
          <t>110889</t>
        </is>
      </c>
      <c r="B583" s="53" t="inlineStr">
        <is>
          <t>Flachdichtring</t>
        </is>
      </c>
      <c r="C583" s="53" t="inlineStr">
        <is>
          <t>F</t>
        </is>
      </c>
      <c r="D583" s="53" t="inlineStr">
        <is>
          <t>PAL</t>
        </is>
      </c>
      <c r="E583" s="53" t="inlineStr">
        <is>
          <t>C</t>
        </is>
      </c>
      <c r="F583" s="54" t="n">
        <v>0.53</v>
      </c>
      <c r="G583" s="55">
        <f>MAX(0,IF(Parameter!$B$20="Jahresanfang 2025 + Export",BG583+BF583,BF583))</f>
        <v/>
      </c>
      <c r="H583" s="55">
        <f>G583*F583</f>
        <v/>
      </c>
      <c r="I583" s="55">
        <f>BI583*Parameter!$B$18</f>
        <v/>
      </c>
      <c r="J583" s="56" t="n">
        <v>0</v>
      </c>
      <c r="K583" s="57" t="n">
        <v>0</v>
      </c>
      <c r="L583" s="55" t="n">
        <v>0</v>
      </c>
      <c r="M583" s="55" t="n">
        <v>1</v>
      </c>
      <c r="N583" s="58" t="n">
        <v>31</v>
      </c>
      <c r="O583" s="53" t="inlineStr">
        <is>
          <t>LOSE</t>
        </is>
      </c>
      <c r="P583" s="55" t="n"/>
      <c r="Q583" s="59">
        <f>IF(BO583=1,0,IFERROR(VLOOKUP(BM583,'Gebinde-Kategorie'!$A$5:$G$45,6,0)+0,0))</f>
        <v/>
      </c>
      <c r="R583" s="60" t="n"/>
      <c r="S583" s="61" t="n"/>
      <c r="T583" s="61" t="n"/>
      <c r="U583" s="53">
        <f>IF(A583="","",IF(IFERROR(VLOOKUP(D583,Parameter!$A$35:$C$64,2,0),"Nein")="2+3",IF(ISNUMBER(SEARCH("grosser Artikel",BJ583)),2,IFERROR(VLOOKUP(BM583,Parameter!$F$35:$G$64,2,0),2)),IF(OR(IFERROR(VLOOKUP(D583,Parameter!$A$35:$C$64,2,0),"Nein")="Nein",IFERROR(VLOOKUP(D583,Parameter!$A$35:$C$64,2,0),"Nein")=""),"-",VLOOKUP(D583,Parameter!$A$35:$C$64,2,0))))</f>
        <v/>
      </c>
      <c r="V583" s="61" t="n"/>
      <c r="W583" s="62" t="n"/>
      <c r="X583" s="55">
        <f>AM583</f>
        <v/>
      </c>
      <c r="Y583" s="55">
        <f>MAX(AM583,G583)</f>
        <v/>
      </c>
      <c r="Z583" s="63" t="n"/>
      <c r="AA583" s="55">
        <f>IF(LEFT(Cockpit!$C$5,1)="A",G583,IF(BT583=1,BU583,IF(LEFT(Cockpit!$C$5,1)="B",AE583,MAX(AE583,G583))))</f>
        <v/>
      </c>
      <c r="AB583" s="55">
        <f>IF(BO583=1,0,ROUNDUP(AA583/BN583,0))</f>
        <v/>
      </c>
      <c r="AC583" s="64">
        <f>IF(BO583=1,IF(AA583&lt;=0,0,BP583*MAX(1,IF(G583&gt;0,AA583/G583,1))),AB583*Q583)</f>
        <v/>
      </c>
      <c r="AD583" s="55">
        <f>AA583*F583</f>
        <v/>
      </c>
      <c r="AE583" s="55">
        <f>ROUNDUP(MAX(I583/IF(BS583&gt;0,BS583,MAX(0.1,N(Cockpit!$C$6))),BV583)/BN583,0)*BN583</f>
        <v/>
      </c>
      <c r="AF583" s="56">
        <f>IF(AC583&gt;0,I583/AC583,-1)</f>
        <v/>
      </c>
      <c r="AG583" s="56">
        <f>IF(AND(OR(BR583="L1",BR583="L23"),AC583&gt;0),SUMIFS($AC$7:$AC$1570,$BR$7:$BR$1570,BR583,$AF$7:$AF$1570,"&gt;"&amp;AF583)+SUMIFS($AC$7:$AC$1570,$BR$7:$BR$1570,BR583,$AF$7:$AF$1570,AF583,$BL$7:$BL$1570,"&lt;="&amp;BL583),"")</f>
        <v/>
      </c>
      <c r="AH583" s="65">
        <f>IF(AG583="",0,MAX(0,MIN(1,(IF(BR583="L1",Parameter!$K$5,Parameter!$K$6+Parameter!$K$7)-(AG583-AC583))/AC583)))</f>
        <v/>
      </c>
      <c r="AI583" s="55">
        <f>IF(LEFT(Cockpit!$I$5,1)="A",G583,IF(BT583=1,BU583,IF(LEFT(Cockpit!$I$5,1)="B",AM583,MAX(AM583,G583))))</f>
        <v/>
      </c>
      <c r="AJ583" s="55">
        <f>IF(BO583=1,0,ROUNDUP(AI583/BN583,0))</f>
        <v/>
      </c>
      <c r="AK583" s="64">
        <f>IF(BO583=1,IF(AI583&lt;=0,0,BP583*MAX(1,IF(G583&gt;0,AI583/G583,1))),AJ583*Q583)</f>
        <v/>
      </c>
      <c r="AL583" s="55">
        <f>AI583*F583</f>
        <v/>
      </c>
      <c r="AM583" s="55">
        <f>ROUNDUP(MAX(I583/IF(BS583&gt;0,BS583,MAX(0.1,N(Cockpit!$I$6))),BV583)/BN583,0)*BN583</f>
        <v/>
      </c>
      <c r="AN583" s="56">
        <f>IF(AK583&gt;0,I583/AK583,-1)</f>
        <v/>
      </c>
      <c r="AO583" s="56">
        <f>IF(AND(OR(BR583="L1",BR583="L23"),AK583&gt;0),SUMIFS($AK$7:$AK$1570,$BR$7:$BR$1570,BR583,$AN$7:$AN$1570,"&gt;"&amp;AN583)+SUMIFS($AK$7:$AK$1570,$BR$7:$BR$1570,BR583,$AN$7:$AN$1570,AN583,$BL$7:$BL$1570,"&lt;="&amp;BL583),"")</f>
        <v/>
      </c>
      <c r="AP583" s="65">
        <f>IF(AO583="",0,MAX(0,MIN(1,(IF(BR583="L1",Parameter!$K$5,Parameter!$K$6+Parameter!$K$7)-(AO583-AK583))/AK583)))</f>
        <v/>
      </c>
      <c r="AQ583" s="55">
        <f>IF(LEFT(Cockpit!$O$5,1)="A",G583,IF(BT583=1,BU583,IF(LEFT(Cockpit!$O$5,1)="B",AU583,MAX(AU583,G583))))</f>
        <v/>
      </c>
      <c r="AR583" s="55">
        <f>IF(BO583=1,0,ROUNDUP(AQ583/BN583,0))</f>
        <v/>
      </c>
      <c r="AS583" s="64">
        <f>IF(BO583=1,IF(AQ583&lt;=0,0,BP583*MAX(1,IF(G583&gt;0,AQ583/G583,1))),AR583*Q583)</f>
        <v/>
      </c>
      <c r="AT583" s="55">
        <f>AQ583*F583</f>
        <v/>
      </c>
      <c r="AU583" s="55">
        <f>ROUNDUP(MAX(I583/IF(BS583&gt;0,BS583,MAX(0.1,N(Cockpit!$O$6))),BV583)/BN583,0)*BN583</f>
        <v/>
      </c>
      <c r="AV583" s="56">
        <f>IF(AS583&gt;0,I583/AS583,-1)</f>
        <v/>
      </c>
      <c r="AW583" s="56">
        <f>IF(AND(OR(BR583="L1",BR583="L23"),AS583&gt;0),SUMIFS($AS$7:$AS$1570,$BR$7:$BR$1570,BR583,$AV$7:$AV$1570,"&gt;"&amp;AV583)+SUMIFS($AS$7:$AS$1570,$BR$7:$BR$1570,BR583,$AV$7:$AV$1570,AV583,$BL$7:$BL$1570,"&lt;="&amp;BL583),"")</f>
        <v/>
      </c>
      <c r="AX583" s="65">
        <f>IF(AW583="",0,MAX(0,MIN(1,(IF(BR583="L1",Parameter!$K$5,Parameter!$K$6+Parameter!$K$7)-(AW583-AS583))/AS583)))</f>
        <v/>
      </c>
      <c r="AY583" s="53">
        <f>IF(AC583&lt;=0,"",IF(BR583="Aussen","Aussenlager",IF(BR583="-","Nicht im Lift",IF(AH583&gt;=1,"Lift",IF(AH583&lt;=0,"Aussenlager","teilweise")))))</f>
        <v/>
      </c>
      <c r="AZ583" s="53">
        <f>IF(AK583&lt;=0,"",IF(BR583="Aussen","Aussenlager",IF(BR583="-","Nicht im Lift",IF(AP583&gt;=1,"Lift",IF(AP583&lt;=0,"Aussenlager","teilweise")))))</f>
        <v/>
      </c>
      <c r="BA583" s="53">
        <f>IF(AS583&lt;=0,"",IF(BR583="Aussen","Aussenlager",IF(BR583="-","Nicht im Lift",IF(AX583&gt;=1,"Lift",IF(AX583&lt;=0,"Aussenlager","teilweise")))))</f>
        <v/>
      </c>
      <c r="BB583" s="53">
        <f>IF(A583="","",IF(BK583=1,"Neu; ","")&amp;IF(AND(BK583=0,BF583&lt;0),"negativer Bestand (Export "&amp;BF583&amp;"); ","")&amp;IF(I583&lt;=0,"Kein Verbrauch; ","")&amp;IF(BO583=1,"Lose – Fläche geschätzt; ","")&amp;IF(G583&gt;AM583,"Überbestand "&amp;ROUND(G583-AM583,0)&amp;" Stk / CHF "&amp;ROUND((G583-AM583)*F583,0)&amp;"; ","")&amp;IF(AND(BT583=1,BU583&lt;BV583),"MAX &lt; MB+LG; ","")&amp;IF(AND(BZ583&gt;0,BY583*10&gt;BZ583),"zu hoch für Tablar; ","")&amp;IF(AND(BK583=0,OR(BT583=1,V583&lt;&gt;"",S583&lt;&gt;"",T583&lt;&gt;"",W583&lt;&gt;"")),"manuell übersteuert; ","")&amp;IF(AND(BO583=0,Q583=0),"Gebinde unbekannt; ","")&amp;IF(AND(BO583=0,N(T583)&lt;=0,N(P583)&lt;=0),"Menge pro Gebinde fehlt (Ist = 1 Gebinde); ","")&amp;BJ583)</f>
        <v/>
      </c>
      <c r="BC583" s="53" t="n"/>
      <c r="BD583" s="53" t="n"/>
      <c r="BE583" s="61" t="n"/>
      <c r="BF583" s="55" t="n">
        <v>17</v>
      </c>
      <c r="BG583" s="55" t="n">
        <v>0</v>
      </c>
      <c r="BH583" s="54" t="n">
        <v>9.010000000000002</v>
      </c>
      <c r="BI583" s="55" t="n">
        <v>2</v>
      </c>
      <c r="BJ583" s="53" t="inlineStr"/>
      <c r="BK583" s="58" t="n">
        <v>0</v>
      </c>
      <c r="BL583" s="58" t="n">
        <v>583</v>
      </c>
      <c r="BM583" s="53">
        <f>IF(S583&lt;&gt;"",UPPER(TRIM(S583)),IF(O583="","LOSE",O583))</f>
        <v/>
      </c>
      <c r="BN583" s="55">
        <f>IF(BM583="LOSE",1,IF(N(T583)&gt;0,T583,IF(N(P583)&gt;0,P583,MAX(1,G583))))</f>
        <v/>
      </c>
      <c r="BO583" s="58">
        <f>IF(BM583="LOSE",1,0)</f>
        <v/>
      </c>
      <c r="BP583" s="64">
        <f>IF(BO583=0,0,IF(N(R583)&gt;0,R583,IFERROR(VLOOKUP(D583,Parameter!$A$35:$C$64,3,0)+0,0)))</f>
        <v/>
      </c>
      <c r="BQ583" s="53">
        <f>IF(V583&lt;&gt;"",V583,U583)</f>
        <v/>
      </c>
      <c r="BR583" s="53">
        <f>IF(BQ583=1,"L1",IF(OR(BQ583=2,BQ583=3),"L23",IF(BQ583="Aussen","Aussen","-")))</f>
        <v/>
      </c>
      <c r="BS583" s="66">
        <f>IF(N(W583)&gt;0,W583,0)</f>
        <v/>
      </c>
      <c r="BT583" s="58">
        <f>IF(ISNUMBER(Z583),1,0)</f>
        <v/>
      </c>
      <c r="BU583" s="55">
        <f>N(Z583)</f>
        <v/>
      </c>
      <c r="BV583" s="55">
        <f>N(L583)+N(M583)</f>
        <v/>
      </c>
      <c r="BW583" s="55">
        <f>ROUNDUP(G583/BN583,0)</f>
        <v/>
      </c>
      <c r="BX583" s="55">
        <f>ROUNDUP(BU583/BN583,0)</f>
        <v/>
      </c>
      <c r="BY583" s="58">
        <f>IF(BO583=1,0,IFERROR(VLOOKUP(BM583,'Gebinde-Kategorie'!$A$5:$G$45,5,0)+0,0))</f>
        <v/>
      </c>
      <c r="BZ583" s="58">
        <f>IFERROR(IF(OR(BQ583=1,BQ583=2,BQ583=3),N(INDEX(Parameter!$I$5:$I$7,BQ583)),0),0)</f>
        <v/>
      </c>
    </row>
    <row r="584">
      <c r="A584" s="53" t="inlineStr">
        <is>
          <t>105339</t>
        </is>
      </c>
      <c r="B584" s="53" t="inlineStr">
        <is>
          <t>O-Ring</t>
        </is>
      </c>
      <c r="C584" s="53" t="inlineStr">
        <is>
          <t>F</t>
        </is>
      </c>
      <c r="D584" s="53" t="inlineStr">
        <is>
          <t>KTL</t>
        </is>
      </c>
      <c r="E584" s="53" t="inlineStr">
        <is>
          <t>C</t>
        </is>
      </c>
      <c r="F584" s="54" t="n">
        <v>0.1</v>
      </c>
      <c r="G584" s="55">
        <f>MAX(0,IF(Parameter!$B$20="Jahresanfang 2025 + Export",BG584+BF584,BF584))</f>
        <v/>
      </c>
      <c r="H584" s="55">
        <f>G584*F584</f>
        <v/>
      </c>
      <c r="I584" s="55">
        <f>BI584*Parameter!$B$18</f>
        <v/>
      </c>
      <c r="J584" s="56" t="n">
        <v>480.5</v>
      </c>
      <c r="K584" s="57" t="n">
        <v>1.290322580645161</v>
      </c>
      <c r="L584" s="55" t="n">
        <v>48</v>
      </c>
      <c r="M584" s="55" t="n">
        <v>620</v>
      </c>
      <c r="N584" s="58" t="n">
        <v>28</v>
      </c>
      <c r="O584" s="53" t="inlineStr">
        <is>
          <t>S22</t>
        </is>
      </c>
      <c r="P584" s="55" t="n">
        <v>177</v>
      </c>
      <c r="Q584" s="59">
        <f>IF(BO584=1,0,IFERROR(VLOOKUP(BM584,'Gebinde-Kategorie'!$A$5:$G$45,6,0)+0,0))</f>
        <v/>
      </c>
      <c r="R584" s="60" t="n"/>
      <c r="S584" s="61" t="n"/>
      <c r="T584" s="61" t="n"/>
      <c r="U584" s="53">
        <f>IF(A584="","",IF(IFERROR(VLOOKUP(D584,Parameter!$A$35:$C$64,2,0),"Nein")="2+3",IF(ISNUMBER(SEARCH("grosser Artikel",BJ584)),2,IFERROR(VLOOKUP(BM584,Parameter!$F$35:$G$64,2,0),2)),IF(OR(IFERROR(VLOOKUP(D584,Parameter!$A$35:$C$64,2,0),"Nein")="Nein",IFERROR(VLOOKUP(D584,Parameter!$A$35:$C$64,2,0),"Nein")=""),"-",VLOOKUP(D584,Parameter!$A$35:$C$64,2,0))))</f>
        <v/>
      </c>
      <c r="V584" s="61" t="n"/>
      <c r="W584" s="62" t="n"/>
      <c r="X584" s="55">
        <f>AM584</f>
        <v/>
      </c>
      <c r="Y584" s="55">
        <f>MAX(AM584,G584)</f>
        <v/>
      </c>
      <c r="Z584" s="63" t="n"/>
      <c r="AA584" s="55">
        <f>IF(LEFT(Cockpit!$C$5,1)="A",G584,IF(BT584=1,BU584,IF(LEFT(Cockpit!$C$5,1)="B",AE584,MAX(AE584,G584))))</f>
        <v/>
      </c>
      <c r="AB584" s="55">
        <f>IF(BO584=1,0,ROUNDUP(AA584/BN584,0))</f>
        <v/>
      </c>
      <c r="AC584" s="64">
        <f>IF(BO584=1,IF(AA584&lt;=0,0,BP584*MAX(1,IF(G584&gt;0,AA584/G584,1))),AB584*Q584)</f>
        <v/>
      </c>
      <c r="AD584" s="55">
        <f>AA584*F584</f>
        <v/>
      </c>
      <c r="AE584" s="55">
        <f>ROUNDUP(MAX(I584/IF(BS584&gt;0,BS584,MAX(0.1,N(Cockpit!$C$6))),BV584)/BN584,0)*BN584</f>
        <v/>
      </c>
      <c r="AF584" s="56">
        <f>IF(AC584&gt;0,I584/AC584,-1)</f>
        <v/>
      </c>
      <c r="AG584" s="56">
        <f>IF(AND(OR(BR584="L1",BR584="L23"),AC584&gt;0),SUMIFS($AC$7:$AC$1570,$BR$7:$BR$1570,BR584,$AF$7:$AF$1570,"&gt;"&amp;AF584)+SUMIFS($AC$7:$AC$1570,$BR$7:$BR$1570,BR584,$AF$7:$AF$1570,AF584,$BL$7:$BL$1570,"&lt;="&amp;BL584),"")</f>
        <v/>
      </c>
      <c r="AH584" s="65">
        <f>IF(AG584="",0,MAX(0,MIN(1,(IF(BR584="L1",Parameter!$K$5,Parameter!$K$6+Parameter!$K$7)-(AG584-AC584))/AC584)))</f>
        <v/>
      </c>
      <c r="AI584" s="55">
        <f>IF(LEFT(Cockpit!$I$5,1)="A",G584,IF(BT584=1,BU584,IF(LEFT(Cockpit!$I$5,1)="B",AM584,MAX(AM584,G584))))</f>
        <v/>
      </c>
      <c r="AJ584" s="55">
        <f>IF(BO584=1,0,ROUNDUP(AI584/BN584,0))</f>
        <v/>
      </c>
      <c r="AK584" s="64">
        <f>IF(BO584=1,IF(AI584&lt;=0,0,BP584*MAX(1,IF(G584&gt;0,AI584/G584,1))),AJ584*Q584)</f>
        <v/>
      </c>
      <c r="AL584" s="55">
        <f>AI584*F584</f>
        <v/>
      </c>
      <c r="AM584" s="55">
        <f>ROUNDUP(MAX(I584/IF(BS584&gt;0,BS584,MAX(0.1,N(Cockpit!$I$6))),BV584)/BN584,0)*BN584</f>
        <v/>
      </c>
      <c r="AN584" s="56">
        <f>IF(AK584&gt;0,I584/AK584,-1)</f>
        <v/>
      </c>
      <c r="AO584" s="56">
        <f>IF(AND(OR(BR584="L1",BR584="L23"),AK584&gt;0),SUMIFS($AK$7:$AK$1570,$BR$7:$BR$1570,BR584,$AN$7:$AN$1570,"&gt;"&amp;AN584)+SUMIFS($AK$7:$AK$1570,$BR$7:$BR$1570,BR584,$AN$7:$AN$1570,AN584,$BL$7:$BL$1570,"&lt;="&amp;BL584),"")</f>
        <v/>
      </c>
      <c r="AP584" s="65">
        <f>IF(AO584="",0,MAX(0,MIN(1,(IF(BR584="L1",Parameter!$K$5,Parameter!$K$6+Parameter!$K$7)-(AO584-AK584))/AK584)))</f>
        <v/>
      </c>
      <c r="AQ584" s="55">
        <f>IF(LEFT(Cockpit!$O$5,1)="A",G584,IF(BT584=1,BU584,IF(LEFT(Cockpit!$O$5,1)="B",AU584,MAX(AU584,G584))))</f>
        <v/>
      </c>
      <c r="AR584" s="55">
        <f>IF(BO584=1,0,ROUNDUP(AQ584/BN584,0))</f>
        <v/>
      </c>
      <c r="AS584" s="64">
        <f>IF(BO584=1,IF(AQ584&lt;=0,0,BP584*MAX(1,IF(G584&gt;0,AQ584/G584,1))),AR584*Q584)</f>
        <v/>
      </c>
      <c r="AT584" s="55">
        <f>AQ584*F584</f>
        <v/>
      </c>
      <c r="AU584" s="55">
        <f>ROUNDUP(MAX(I584/IF(BS584&gt;0,BS584,MAX(0.1,N(Cockpit!$O$6))),BV584)/BN584,0)*BN584</f>
        <v/>
      </c>
      <c r="AV584" s="56">
        <f>IF(AS584&gt;0,I584/AS584,-1)</f>
        <v/>
      </c>
      <c r="AW584" s="56">
        <f>IF(AND(OR(BR584="L1",BR584="L23"),AS584&gt;0),SUMIFS($AS$7:$AS$1570,$BR$7:$BR$1570,BR584,$AV$7:$AV$1570,"&gt;"&amp;AV584)+SUMIFS($AS$7:$AS$1570,$BR$7:$BR$1570,BR584,$AV$7:$AV$1570,AV584,$BL$7:$BL$1570,"&lt;="&amp;BL584),"")</f>
        <v/>
      </c>
      <c r="AX584" s="65">
        <f>IF(AW584="",0,MAX(0,MIN(1,(IF(BR584="L1",Parameter!$K$5,Parameter!$K$6+Parameter!$K$7)-(AW584-AS584))/AS584)))</f>
        <v/>
      </c>
      <c r="AY584" s="53">
        <f>IF(AC584&lt;=0,"",IF(BR584="Aussen","Aussenlager",IF(BR584="-","Nicht im Lift",IF(AH584&gt;=1,"Lift",IF(AH584&lt;=0,"Aussenlager","teilweise")))))</f>
        <v/>
      </c>
      <c r="AZ584" s="53">
        <f>IF(AK584&lt;=0,"",IF(BR584="Aussen","Aussenlager",IF(BR584="-","Nicht im Lift",IF(AP584&gt;=1,"Lift",IF(AP584&lt;=0,"Aussenlager","teilweise")))))</f>
        <v/>
      </c>
      <c r="BA584" s="53">
        <f>IF(AS584&lt;=0,"",IF(BR584="Aussen","Aussenlager",IF(BR584="-","Nicht im Lift",IF(AX584&gt;=1,"Lift",IF(AX584&lt;=0,"Aussenlager","teilweise")))))</f>
        <v/>
      </c>
      <c r="BB584" s="53">
        <f>IF(A584="","",IF(BK584=1,"Neu; ","")&amp;IF(AND(BK584=0,BF584&lt;0),"negativer Bestand (Export "&amp;BF584&amp;"); ","")&amp;IF(I584&lt;=0,"Kein Verbrauch; ","")&amp;IF(BO584=1,"Lose – Fläche geschätzt; ","")&amp;IF(G584&gt;AM584,"Überbestand "&amp;ROUND(G584-AM584,0)&amp;" Stk / CHF "&amp;ROUND((G584-AM584)*F584,0)&amp;"; ","")&amp;IF(AND(BT584=1,BU584&lt;BV584),"MAX &lt; MB+LG; ","")&amp;IF(AND(BZ584&gt;0,BY584*10&gt;BZ584),"zu hoch für Tablar; ","")&amp;IF(AND(BK584=0,OR(BT584=1,V584&lt;&gt;"",S584&lt;&gt;"",T584&lt;&gt;"",W584&lt;&gt;"")),"manuell übersteuert; ","")&amp;IF(AND(BO584=0,Q584=0),"Gebinde unbekannt; ","")&amp;IF(AND(BO584=0,N(T584)&lt;=0,N(P584)&lt;=0),"Menge pro Gebinde fehlt (Ist = 1 Gebinde); ","")&amp;BJ584)</f>
        <v/>
      </c>
      <c r="BC584" s="53" t="n"/>
      <c r="BD584" s="53" t="n"/>
      <c r="BE584" s="61" t="n"/>
      <c r="BF584" s="55" t="n">
        <v>88</v>
      </c>
      <c r="BG584" s="55" t="n">
        <v>301</v>
      </c>
      <c r="BH584" s="54" t="n">
        <v>8.800000000000004</v>
      </c>
      <c r="BI584" s="55" t="n">
        <v>620</v>
      </c>
      <c r="BJ584" s="53" t="inlineStr"/>
      <c r="BK584" s="58" t="n">
        <v>0</v>
      </c>
      <c r="BL584" s="58" t="n">
        <v>584</v>
      </c>
      <c r="BM584" s="53">
        <f>IF(S584&lt;&gt;"",UPPER(TRIM(S584)),IF(O584="","LOSE",O584))</f>
        <v/>
      </c>
      <c r="BN584" s="55">
        <f>IF(BM584="LOSE",1,IF(N(T584)&gt;0,T584,IF(N(P584)&gt;0,P584,MAX(1,G584))))</f>
        <v/>
      </c>
      <c r="BO584" s="58">
        <f>IF(BM584="LOSE",1,0)</f>
        <v/>
      </c>
      <c r="BP584" s="64">
        <f>IF(BO584=0,0,IF(N(R584)&gt;0,R584,IFERROR(VLOOKUP(D584,Parameter!$A$35:$C$64,3,0)+0,0)))</f>
        <v/>
      </c>
      <c r="BQ584" s="53">
        <f>IF(V584&lt;&gt;"",V584,U584)</f>
        <v/>
      </c>
      <c r="BR584" s="53">
        <f>IF(BQ584=1,"L1",IF(OR(BQ584=2,BQ584=3),"L23",IF(BQ584="Aussen","Aussen","-")))</f>
        <v/>
      </c>
      <c r="BS584" s="66">
        <f>IF(N(W584)&gt;0,W584,0)</f>
        <v/>
      </c>
      <c r="BT584" s="58">
        <f>IF(ISNUMBER(Z584),1,0)</f>
        <v/>
      </c>
      <c r="BU584" s="55">
        <f>N(Z584)</f>
        <v/>
      </c>
      <c r="BV584" s="55">
        <f>N(L584)+N(M584)</f>
        <v/>
      </c>
      <c r="BW584" s="55">
        <f>ROUNDUP(G584/BN584,0)</f>
        <v/>
      </c>
      <c r="BX584" s="55">
        <f>ROUNDUP(BU584/BN584,0)</f>
        <v/>
      </c>
      <c r="BY584" s="58">
        <f>IF(BO584=1,0,IFERROR(VLOOKUP(BM584,'Gebinde-Kategorie'!$A$5:$G$45,5,0)+0,0))</f>
        <v/>
      </c>
      <c r="BZ584" s="58">
        <f>IFERROR(IF(OR(BQ584=1,BQ584=2,BQ584=3),N(INDEX(Parameter!$I$5:$I$7,BQ584)),0),0)</f>
        <v/>
      </c>
    </row>
    <row r="585">
      <c r="A585" s="53" t="inlineStr">
        <is>
          <t>108642</t>
        </is>
      </c>
      <c r="B585" s="53" t="inlineStr">
        <is>
          <t>Sensor-/Aktor -Kabel</t>
        </is>
      </c>
      <c r="C585" s="53" t="inlineStr">
        <is>
          <t>F</t>
        </is>
      </c>
      <c r="D585" s="53" t="inlineStr">
        <is>
          <t>KTL</t>
        </is>
      </c>
      <c r="E585" s="53" t="inlineStr">
        <is>
          <t>C</t>
        </is>
      </c>
      <c r="F585" s="54" t="n">
        <v>8.609999999999999</v>
      </c>
      <c r="G585" s="55">
        <f>MAX(0,IF(Parameter!$B$20="Jahresanfang 2025 + Export",BG585+BF585,BF585))</f>
        <v/>
      </c>
      <c r="H585" s="55">
        <f>G585*F585</f>
        <v/>
      </c>
      <c r="I585" s="55">
        <f>BI585*Parameter!$B$18</f>
        <v/>
      </c>
      <c r="J585" s="56" t="n">
        <v>39</v>
      </c>
      <c r="K585" s="57" t="n">
        <v>0</v>
      </c>
      <c r="L585" s="55" t="n">
        <v>0</v>
      </c>
      <c r="M585" s="55" t="n">
        <v>1</v>
      </c>
      <c r="N585" s="58" t="n">
        <v>28</v>
      </c>
      <c r="O585" s="53" t="inlineStr">
        <is>
          <t>S62</t>
        </is>
      </c>
      <c r="P585" s="55" t="n">
        <v>40</v>
      </c>
      <c r="Q585" s="59">
        <f>IF(BO585=1,0,IFERROR(VLOOKUP(BM585,'Gebinde-Kategorie'!$A$5:$G$45,6,0)+0,0))</f>
        <v/>
      </c>
      <c r="R585" s="60" t="n"/>
      <c r="S585" s="61" t="n"/>
      <c r="T585" s="61" t="n"/>
      <c r="U585" s="53">
        <f>IF(A585="","",IF(IFERROR(VLOOKUP(D585,Parameter!$A$35:$C$64,2,0),"Nein")="2+3",IF(ISNUMBER(SEARCH("grosser Artikel",BJ585)),2,IFERROR(VLOOKUP(BM585,Parameter!$F$35:$G$64,2,0),2)),IF(OR(IFERROR(VLOOKUP(D585,Parameter!$A$35:$C$64,2,0),"Nein")="Nein",IFERROR(VLOOKUP(D585,Parameter!$A$35:$C$64,2,0),"Nein")=""),"-",VLOOKUP(D585,Parameter!$A$35:$C$64,2,0))))</f>
        <v/>
      </c>
      <c r="V585" s="61" t="n"/>
      <c r="W585" s="62" t="n"/>
      <c r="X585" s="55">
        <f>AM585</f>
        <v/>
      </c>
      <c r="Y585" s="55">
        <f>MAX(AM585,G585)</f>
        <v/>
      </c>
      <c r="Z585" s="63" t="n"/>
      <c r="AA585" s="55">
        <f>IF(LEFT(Cockpit!$C$5,1)="A",G585,IF(BT585=1,BU585,IF(LEFT(Cockpit!$C$5,1)="B",AE585,MAX(AE585,G585))))</f>
        <v/>
      </c>
      <c r="AB585" s="55">
        <f>IF(BO585=1,0,ROUNDUP(AA585/BN585,0))</f>
        <v/>
      </c>
      <c r="AC585" s="64">
        <f>IF(BO585=1,IF(AA585&lt;=0,0,BP585*MAX(1,IF(G585&gt;0,AA585/G585,1))),AB585*Q585)</f>
        <v/>
      </c>
      <c r="AD585" s="55">
        <f>AA585*F585</f>
        <v/>
      </c>
      <c r="AE585" s="55">
        <f>ROUNDUP(MAX(I585/IF(BS585&gt;0,BS585,MAX(0.1,N(Cockpit!$C$6))),BV585)/BN585,0)*BN585</f>
        <v/>
      </c>
      <c r="AF585" s="56">
        <f>IF(AC585&gt;0,I585/AC585,-1)</f>
        <v/>
      </c>
      <c r="AG585" s="56">
        <f>IF(AND(OR(BR585="L1",BR585="L23"),AC585&gt;0),SUMIFS($AC$7:$AC$1570,$BR$7:$BR$1570,BR585,$AF$7:$AF$1570,"&gt;"&amp;AF585)+SUMIFS($AC$7:$AC$1570,$BR$7:$BR$1570,BR585,$AF$7:$AF$1570,AF585,$BL$7:$BL$1570,"&lt;="&amp;BL585),"")</f>
        <v/>
      </c>
      <c r="AH585" s="65">
        <f>IF(AG585="",0,MAX(0,MIN(1,(IF(BR585="L1",Parameter!$K$5,Parameter!$K$6+Parameter!$K$7)-(AG585-AC585))/AC585)))</f>
        <v/>
      </c>
      <c r="AI585" s="55">
        <f>IF(LEFT(Cockpit!$I$5,1)="A",G585,IF(BT585=1,BU585,IF(LEFT(Cockpit!$I$5,1)="B",AM585,MAX(AM585,G585))))</f>
        <v/>
      </c>
      <c r="AJ585" s="55">
        <f>IF(BO585=1,0,ROUNDUP(AI585/BN585,0))</f>
        <v/>
      </c>
      <c r="AK585" s="64">
        <f>IF(BO585=1,IF(AI585&lt;=0,0,BP585*MAX(1,IF(G585&gt;0,AI585/G585,1))),AJ585*Q585)</f>
        <v/>
      </c>
      <c r="AL585" s="55">
        <f>AI585*F585</f>
        <v/>
      </c>
      <c r="AM585" s="55">
        <f>ROUNDUP(MAX(I585/IF(BS585&gt;0,BS585,MAX(0.1,N(Cockpit!$I$6))),BV585)/BN585,0)*BN585</f>
        <v/>
      </c>
      <c r="AN585" s="56">
        <f>IF(AK585&gt;0,I585/AK585,-1)</f>
        <v/>
      </c>
      <c r="AO585" s="56">
        <f>IF(AND(OR(BR585="L1",BR585="L23"),AK585&gt;0),SUMIFS($AK$7:$AK$1570,$BR$7:$BR$1570,BR585,$AN$7:$AN$1570,"&gt;"&amp;AN585)+SUMIFS($AK$7:$AK$1570,$BR$7:$BR$1570,BR585,$AN$7:$AN$1570,AN585,$BL$7:$BL$1570,"&lt;="&amp;BL585),"")</f>
        <v/>
      </c>
      <c r="AP585" s="65">
        <f>IF(AO585="",0,MAX(0,MIN(1,(IF(BR585="L1",Parameter!$K$5,Parameter!$K$6+Parameter!$K$7)-(AO585-AK585))/AK585)))</f>
        <v/>
      </c>
      <c r="AQ585" s="55">
        <f>IF(LEFT(Cockpit!$O$5,1)="A",G585,IF(BT585=1,BU585,IF(LEFT(Cockpit!$O$5,1)="B",AU585,MAX(AU585,G585))))</f>
        <v/>
      </c>
      <c r="AR585" s="55">
        <f>IF(BO585=1,0,ROUNDUP(AQ585/BN585,0))</f>
        <v/>
      </c>
      <c r="AS585" s="64">
        <f>IF(BO585=1,IF(AQ585&lt;=0,0,BP585*MAX(1,IF(G585&gt;0,AQ585/G585,1))),AR585*Q585)</f>
        <v/>
      </c>
      <c r="AT585" s="55">
        <f>AQ585*F585</f>
        <v/>
      </c>
      <c r="AU585" s="55">
        <f>ROUNDUP(MAX(I585/IF(BS585&gt;0,BS585,MAX(0.1,N(Cockpit!$O$6))),BV585)/BN585,0)*BN585</f>
        <v/>
      </c>
      <c r="AV585" s="56">
        <f>IF(AS585&gt;0,I585/AS585,-1)</f>
        <v/>
      </c>
      <c r="AW585" s="56">
        <f>IF(AND(OR(BR585="L1",BR585="L23"),AS585&gt;0),SUMIFS($AS$7:$AS$1570,$BR$7:$BR$1570,BR585,$AV$7:$AV$1570,"&gt;"&amp;AV585)+SUMIFS($AS$7:$AS$1570,$BR$7:$BR$1570,BR585,$AV$7:$AV$1570,AV585,$BL$7:$BL$1570,"&lt;="&amp;BL585),"")</f>
        <v/>
      </c>
      <c r="AX585" s="65">
        <f>IF(AW585="",0,MAX(0,MIN(1,(IF(BR585="L1",Parameter!$K$5,Parameter!$K$6+Parameter!$K$7)-(AW585-AS585))/AS585)))</f>
        <v/>
      </c>
      <c r="AY585" s="53">
        <f>IF(AC585&lt;=0,"",IF(BR585="Aussen","Aussenlager",IF(BR585="-","Nicht im Lift",IF(AH585&gt;=1,"Lift",IF(AH585&lt;=0,"Aussenlager","teilweise")))))</f>
        <v/>
      </c>
      <c r="AZ585" s="53">
        <f>IF(AK585&lt;=0,"",IF(BR585="Aussen","Aussenlager",IF(BR585="-","Nicht im Lift",IF(AP585&gt;=1,"Lift",IF(AP585&lt;=0,"Aussenlager","teilweise")))))</f>
        <v/>
      </c>
      <c r="BA585" s="53">
        <f>IF(AS585&lt;=0,"",IF(BR585="Aussen","Aussenlager",IF(BR585="-","Nicht im Lift",IF(AX585&gt;=1,"Lift",IF(AX585&lt;=0,"Aussenlager","teilweise")))))</f>
        <v/>
      </c>
      <c r="BB585" s="53">
        <f>IF(A585="","",IF(BK585=1,"Neu; ","")&amp;IF(AND(BK585=0,BF585&lt;0),"negativer Bestand (Export "&amp;BF585&amp;"); ","")&amp;IF(I585&lt;=0,"Kein Verbrauch; ","")&amp;IF(BO585=1,"Lose – Fläche geschätzt; ","")&amp;IF(G585&gt;AM585,"Überbestand "&amp;ROUND(G585-AM585,0)&amp;" Stk / CHF "&amp;ROUND((G585-AM585)*F585,0)&amp;"; ","")&amp;IF(AND(BT585=1,BU585&lt;BV585),"MAX &lt; MB+LG; ","")&amp;IF(AND(BZ585&gt;0,BY585*10&gt;BZ585),"zu hoch für Tablar; ","")&amp;IF(AND(BK585=0,OR(BT585=1,V585&lt;&gt;"",S585&lt;&gt;"",T585&lt;&gt;"",W585&lt;&gt;"")),"manuell übersteuert; ","")&amp;IF(AND(BO585=0,Q585=0),"Gebinde unbekannt; ","")&amp;IF(AND(BO585=0,N(T585)&lt;=0,N(P585)&lt;=0),"Menge pro Gebinde fehlt (Ist = 1 Gebinde); ","")&amp;BJ585)</f>
        <v/>
      </c>
      <c r="BC585" s="53" t="n"/>
      <c r="BD585" s="53" t="n"/>
      <c r="BE585" s="61" t="n"/>
      <c r="BF585" s="55" t="n">
        <v>1</v>
      </c>
      <c r="BG585" s="55" t="n">
        <v>38</v>
      </c>
      <c r="BH585" s="54" t="n">
        <v>8.609999999999999</v>
      </c>
      <c r="BI585" s="55" t="n">
        <v>0</v>
      </c>
      <c r="BJ585" s="53" t="inlineStr"/>
      <c r="BK585" s="58" t="n">
        <v>0</v>
      </c>
      <c r="BL585" s="58" t="n">
        <v>585</v>
      </c>
      <c r="BM585" s="53">
        <f>IF(S585&lt;&gt;"",UPPER(TRIM(S585)),IF(O585="","LOSE",O585))</f>
        <v/>
      </c>
      <c r="BN585" s="55">
        <f>IF(BM585="LOSE",1,IF(N(T585)&gt;0,T585,IF(N(P585)&gt;0,P585,MAX(1,G585))))</f>
        <v/>
      </c>
      <c r="BO585" s="58">
        <f>IF(BM585="LOSE",1,0)</f>
        <v/>
      </c>
      <c r="BP585" s="64">
        <f>IF(BO585=0,0,IF(N(R585)&gt;0,R585,IFERROR(VLOOKUP(D585,Parameter!$A$35:$C$64,3,0)+0,0)))</f>
        <v/>
      </c>
      <c r="BQ585" s="53">
        <f>IF(V585&lt;&gt;"",V585,U585)</f>
        <v/>
      </c>
      <c r="BR585" s="53">
        <f>IF(BQ585=1,"L1",IF(OR(BQ585=2,BQ585=3),"L23",IF(BQ585="Aussen","Aussen","-")))</f>
        <v/>
      </c>
      <c r="BS585" s="66">
        <f>IF(N(W585)&gt;0,W585,0)</f>
        <v/>
      </c>
      <c r="BT585" s="58">
        <f>IF(ISNUMBER(Z585),1,0)</f>
        <v/>
      </c>
      <c r="BU585" s="55">
        <f>N(Z585)</f>
        <v/>
      </c>
      <c r="BV585" s="55">
        <f>N(L585)+N(M585)</f>
        <v/>
      </c>
      <c r="BW585" s="55">
        <f>ROUNDUP(G585/BN585,0)</f>
        <v/>
      </c>
      <c r="BX585" s="55">
        <f>ROUNDUP(BU585/BN585,0)</f>
        <v/>
      </c>
      <c r="BY585" s="58">
        <f>IF(BO585=1,0,IFERROR(VLOOKUP(BM585,'Gebinde-Kategorie'!$A$5:$G$45,5,0)+0,0))</f>
        <v/>
      </c>
      <c r="BZ585" s="58">
        <f>IFERROR(IF(OR(BQ585=1,BQ585=2,BQ585=3),N(INDEX(Parameter!$I$5:$I$7,BQ585)),0),0)</f>
        <v/>
      </c>
    </row>
    <row r="586">
      <c r="A586" s="53" t="inlineStr">
        <is>
          <t>100896</t>
        </is>
      </c>
      <c r="B586" s="53" t="inlineStr">
        <is>
          <t>Unterlagsscheibe</t>
        </is>
      </c>
      <c r="C586" s="53" t="inlineStr">
        <is>
          <t>F</t>
        </is>
      </c>
      <c r="D586" s="53" t="inlineStr">
        <is>
          <t>KTL</t>
        </is>
      </c>
      <c r="E586" s="53" t="inlineStr">
        <is>
          <t>C</t>
        </is>
      </c>
      <c r="F586" s="54" t="n">
        <v>0.05</v>
      </c>
      <c r="G586" s="55">
        <f>MAX(0,IF(Parameter!$B$20="Jahresanfang 2025 + Export",BG586+BF586,BF586))</f>
        <v/>
      </c>
      <c r="H586" s="55">
        <f>G586*F586</f>
        <v/>
      </c>
      <c r="I586" s="55">
        <f>BI586*Parameter!$B$18</f>
        <v/>
      </c>
      <c r="J586" s="56" t="n">
        <v>206</v>
      </c>
      <c r="K586" s="57" t="n">
        <v>2.058252427184466</v>
      </c>
      <c r="L586" s="55" t="n">
        <v>24</v>
      </c>
      <c r="M586" s="55" t="n">
        <v>500</v>
      </c>
      <c r="N586" s="58" t="n">
        <v>21</v>
      </c>
      <c r="O586" s="53" t="inlineStr">
        <is>
          <t>S51</t>
        </is>
      </c>
      <c r="P586" s="55" t="n">
        <v>133</v>
      </c>
      <c r="Q586" s="59">
        <f>IF(BO586=1,0,IFERROR(VLOOKUP(BM586,'Gebinde-Kategorie'!$A$5:$G$45,6,0)+0,0))</f>
        <v/>
      </c>
      <c r="R586" s="60" t="n"/>
      <c r="S586" s="61" t="n"/>
      <c r="T586" s="61" t="n"/>
      <c r="U586" s="53">
        <f>IF(A586="","",IF(IFERROR(VLOOKUP(D586,Parameter!$A$35:$C$64,2,0),"Nein")="2+3",IF(ISNUMBER(SEARCH("grosser Artikel",BJ586)),2,IFERROR(VLOOKUP(BM586,Parameter!$F$35:$G$64,2,0),2)),IF(OR(IFERROR(VLOOKUP(D586,Parameter!$A$35:$C$64,2,0),"Nein")="Nein",IFERROR(VLOOKUP(D586,Parameter!$A$35:$C$64,2,0),"Nein")=""),"-",VLOOKUP(D586,Parameter!$A$35:$C$64,2,0))))</f>
        <v/>
      </c>
      <c r="V586" s="61" t="n"/>
      <c r="W586" s="62" t="n"/>
      <c r="X586" s="55">
        <f>AM586</f>
        <v/>
      </c>
      <c r="Y586" s="55">
        <f>MAX(AM586,G586)</f>
        <v/>
      </c>
      <c r="Z586" s="63" t="n"/>
      <c r="AA586" s="55">
        <f>IF(LEFT(Cockpit!$C$5,1)="A",G586,IF(BT586=1,BU586,IF(LEFT(Cockpit!$C$5,1)="B",AE586,MAX(AE586,G586))))</f>
        <v/>
      </c>
      <c r="AB586" s="55">
        <f>IF(BO586=1,0,ROUNDUP(AA586/BN586,0))</f>
        <v/>
      </c>
      <c r="AC586" s="64">
        <f>IF(BO586=1,IF(AA586&lt;=0,0,BP586*MAX(1,IF(G586&gt;0,AA586/G586,1))),AB586*Q586)</f>
        <v/>
      </c>
      <c r="AD586" s="55">
        <f>AA586*F586</f>
        <v/>
      </c>
      <c r="AE586" s="55">
        <f>ROUNDUP(MAX(I586/IF(BS586&gt;0,BS586,MAX(0.1,N(Cockpit!$C$6))),BV586)/BN586,0)*BN586</f>
        <v/>
      </c>
      <c r="AF586" s="56">
        <f>IF(AC586&gt;0,I586/AC586,-1)</f>
        <v/>
      </c>
      <c r="AG586" s="56">
        <f>IF(AND(OR(BR586="L1",BR586="L23"),AC586&gt;0),SUMIFS($AC$7:$AC$1570,$BR$7:$BR$1570,BR586,$AF$7:$AF$1570,"&gt;"&amp;AF586)+SUMIFS($AC$7:$AC$1570,$BR$7:$BR$1570,BR586,$AF$7:$AF$1570,AF586,$BL$7:$BL$1570,"&lt;="&amp;BL586),"")</f>
        <v/>
      </c>
      <c r="AH586" s="65">
        <f>IF(AG586="",0,MAX(0,MIN(1,(IF(BR586="L1",Parameter!$K$5,Parameter!$K$6+Parameter!$K$7)-(AG586-AC586))/AC586)))</f>
        <v/>
      </c>
      <c r="AI586" s="55">
        <f>IF(LEFT(Cockpit!$I$5,1)="A",G586,IF(BT586=1,BU586,IF(LEFT(Cockpit!$I$5,1)="B",AM586,MAX(AM586,G586))))</f>
        <v/>
      </c>
      <c r="AJ586" s="55">
        <f>IF(BO586=1,0,ROUNDUP(AI586/BN586,0))</f>
        <v/>
      </c>
      <c r="AK586" s="64">
        <f>IF(BO586=1,IF(AI586&lt;=0,0,BP586*MAX(1,IF(G586&gt;0,AI586/G586,1))),AJ586*Q586)</f>
        <v/>
      </c>
      <c r="AL586" s="55">
        <f>AI586*F586</f>
        <v/>
      </c>
      <c r="AM586" s="55">
        <f>ROUNDUP(MAX(I586/IF(BS586&gt;0,BS586,MAX(0.1,N(Cockpit!$I$6))),BV586)/BN586,0)*BN586</f>
        <v/>
      </c>
      <c r="AN586" s="56">
        <f>IF(AK586&gt;0,I586/AK586,-1)</f>
        <v/>
      </c>
      <c r="AO586" s="56">
        <f>IF(AND(OR(BR586="L1",BR586="L23"),AK586&gt;0),SUMIFS($AK$7:$AK$1570,$BR$7:$BR$1570,BR586,$AN$7:$AN$1570,"&gt;"&amp;AN586)+SUMIFS($AK$7:$AK$1570,$BR$7:$BR$1570,BR586,$AN$7:$AN$1570,AN586,$BL$7:$BL$1570,"&lt;="&amp;BL586),"")</f>
        <v/>
      </c>
      <c r="AP586" s="65">
        <f>IF(AO586="",0,MAX(0,MIN(1,(IF(BR586="L1",Parameter!$K$5,Parameter!$K$6+Parameter!$K$7)-(AO586-AK586))/AK586)))</f>
        <v/>
      </c>
      <c r="AQ586" s="55">
        <f>IF(LEFT(Cockpit!$O$5,1)="A",G586,IF(BT586=1,BU586,IF(LEFT(Cockpit!$O$5,1)="B",AU586,MAX(AU586,G586))))</f>
        <v/>
      </c>
      <c r="AR586" s="55">
        <f>IF(BO586=1,0,ROUNDUP(AQ586/BN586,0))</f>
        <v/>
      </c>
      <c r="AS586" s="64">
        <f>IF(BO586=1,IF(AQ586&lt;=0,0,BP586*MAX(1,IF(G586&gt;0,AQ586/G586,1))),AR586*Q586)</f>
        <v/>
      </c>
      <c r="AT586" s="55">
        <f>AQ586*F586</f>
        <v/>
      </c>
      <c r="AU586" s="55">
        <f>ROUNDUP(MAX(I586/IF(BS586&gt;0,BS586,MAX(0.1,N(Cockpit!$O$6))),BV586)/BN586,0)*BN586</f>
        <v/>
      </c>
      <c r="AV586" s="56">
        <f>IF(AS586&gt;0,I586/AS586,-1)</f>
        <v/>
      </c>
      <c r="AW586" s="56">
        <f>IF(AND(OR(BR586="L1",BR586="L23"),AS586&gt;0),SUMIFS($AS$7:$AS$1570,$BR$7:$BR$1570,BR586,$AV$7:$AV$1570,"&gt;"&amp;AV586)+SUMIFS($AS$7:$AS$1570,$BR$7:$BR$1570,BR586,$AV$7:$AV$1570,AV586,$BL$7:$BL$1570,"&lt;="&amp;BL586),"")</f>
        <v/>
      </c>
      <c r="AX586" s="65">
        <f>IF(AW586="",0,MAX(0,MIN(1,(IF(BR586="L1",Parameter!$K$5,Parameter!$K$6+Parameter!$K$7)-(AW586-AS586))/AS586)))</f>
        <v/>
      </c>
      <c r="AY586" s="53">
        <f>IF(AC586&lt;=0,"",IF(BR586="Aussen","Aussenlager",IF(BR586="-","Nicht im Lift",IF(AH586&gt;=1,"Lift",IF(AH586&lt;=0,"Aussenlager","teilweise")))))</f>
        <v/>
      </c>
      <c r="AZ586" s="53">
        <f>IF(AK586&lt;=0,"",IF(BR586="Aussen","Aussenlager",IF(BR586="-","Nicht im Lift",IF(AP586&gt;=1,"Lift",IF(AP586&lt;=0,"Aussenlager","teilweise")))))</f>
        <v/>
      </c>
      <c r="BA586" s="53">
        <f>IF(AS586&lt;=0,"",IF(BR586="Aussen","Aussenlager",IF(BR586="-","Nicht im Lift",IF(AX586&gt;=1,"Lift",IF(AX586&lt;=0,"Aussenlager","teilweise")))))</f>
        <v/>
      </c>
      <c r="BB586" s="53">
        <f>IF(A586="","",IF(BK586=1,"Neu; ","")&amp;IF(AND(BK586=0,BF586&lt;0),"negativer Bestand (Export "&amp;BF586&amp;"); ","")&amp;IF(I586&lt;=0,"Kein Verbrauch; ","")&amp;IF(BO586=1,"Lose – Fläche geschätzt; ","")&amp;IF(G586&gt;AM586,"Überbestand "&amp;ROUND(G586-AM586,0)&amp;" Stk / CHF "&amp;ROUND((G586-AM586)*F586,0)&amp;"; ","")&amp;IF(AND(BT586=1,BU586&lt;BV586),"MAX &lt; MB+LG; ","")&amp;IF(AND(BZ586&gt;0,BY586*10&gt;BZ586),"zu hoch für Tablar; ","")&amp;IF(AND(BK586=0,OR(BT586=1,V586&lt;&gt;"",S586&lt;&gt;"",T586&lt;&gt;"",W586&lt;&gt;"")),"manuell übersteuert; ","")&amp;IF(AND(BO586=0,Q586=0),"Gebinde unbekannt; ","")&amp;IF(AND(BO586=0,N(T586)&lt;=0,N(P586)&lt;=0),"Menge pro Gebinde fehlt (Ist = 1 Gebinde); ","")&amp;BJ586)</f>
        <v/>
      </c>
      <c r="BC586" s="53" t="n"/>
      <c r="BD586" s="53" t="n"/>
      <c r="BE586" s="61" t="n"/>
      <c r="BF586" s="55" t="n">
        <v>168</v>
      </c>
      <c r="BG586" s="55" t="n">
        <v>272</v>
      </c>
      <c r="BH586" s="54" t="n">
        <v>8.399999999999997</v>
      </c>
      <c r="BI586" s="55" t="n">
        <v>424</v>
      </c>
      <c r="BJ586" s="53" t="inlineStr"/>
      <c r="BK586" s="58" t="n">
        <v>0</v>
      </c>
      <c r="BL586" s="58" t="n">
        <v>586</v>
      </c>
      <c r="BM586" s="53">
        <f>IF(S586&lt;&gt;"",UPPER(TRIM(S586)),IF(O586="","LOSE",O586))</f>
        <v/>
      </c>
      <c r="BN586" s="55">
        <f>IF(BM586="LOSE",1,IF(N(T586)&gt;0,T586,IF(N(P586)&gt;0,P586,MAX(1,G586))))</f>
        <v/>
      </c>
      <c r="BO586" s="58">
        <f>IF(BM586="LOSE",1,0)</f>
        <v/>
      </c>
      <c r="BP586" s="64">
        <f>IF(BO586=0,0,IF(N(R586)&gt;0,R586,IFERROR(VLOOKUP(D586,Parameter!$A$35:$C$64,3,0)+0,0)))</f>
        <v/>
      </c>
      <c r="BQ586" s="53">
        <f>IF(V586&lt;&gt;"",V586,U586)</f>
        <v/>
      </c>
      <c r="BR586" s="53">
        <f>IF(BQ586=1,"L1",IF(OR(BQ586=2,BQ586=3),"L23",IF(BQ586="Aussen","Aussen","-")))</f>
        <v/>
      </c>
      <c r="BS586" s="66">
        <f>IF(N(W586)&gt;0,W586,0)</f>
        <v/>
      </c>
      <c r="BT586" s="58">
        <f>IF(ISNUMBER(Z586),1,0)</f>
        <v/>
      </c>
      <c r="BU586" s="55">
        <f>N(Z586)</f>
        <v/>
      </c>
      <c r="BV586" s="55">
        <f>N(L586)+N(M586)</f>
        <v/>
      </c>
      <c r="BW586" s="55">
        <f>ROUNDUP(G586/BN586,0)</f>
        <v/>
      </c>
      <c r="BX586" s="55">
        <f>ROUNDUP(BU586/BN586,0)</f>
        <v/>
      </c>
      <c r="BY586" s="58">
        <f>IF(BO586=1,0,IFERROR(VLOOKUP(BM586,'Gebinde-Kategorie'!$A$5:$G$45,5,0)+0,0))</f>
        <v/>
      </c>
      <c r="BZ586" s="58">
        <f>IFERROR(IF(OR(BQ586=1,BQ586=2,BQ586=3),N(INDEX(Parameter!$I$5:$I$7,BQ586)),0),0)</f>
        <v/>
      </c>
    </row>
    <row r="587">
      <c r="A587" s="53" t="inlineStr">
        <is>
          <t>111647</t>
        </is>
      </c>
      <c r="B587" s="53" t="inlineStr">
        <is>
          <t>Schraubenzieher flach</t>
        </is>
      </c>
      <c r="C587" s="53" t="inlineStr">
        <is>
          <t>F</t>
        </is>
      </c>
      <c r="D587" s="53" t="inlineStr">
        <is>
          <t>PAL</t>
        </is>
      </c>
      <c r="E587" s="53" t="inlineStr">
        <is>
          <t>C</t>
        </is>
      </c>
      <c r="F587" s="54" t="n">
        <v>8.300000000000001</v>
      </c>
      <c r="G587" s="55">
        <f>MAX(0,IF(Parameter!$B$20="Jahresanfang 2025 + Export",BG587+BF587,BF587))</f>
        <v/>
      </c>
      <c r="H587" s="55">
        <f>G587*F587</f>
        <v/>
      </c>
      <c r="I587" s="55">
        <f>BI587*Parameter!$B$18</f>
        <v/>
      </c>
      <c r="J587" s="56" t="n">
        <v>0</v>
      </c>
      <c r="K587" s="57" t="n">
        <v>0</v>
      </c>
      <c r="L587" s="55" t="n">
        <v>0</v>
      </c>
      <c r="M587" s="55" t="n">
        <v>1</v>
      </c>
      <c r="N587" s="58" t="n">
        <v>21</v>
      </c>
      <c r="O587" s="53" t="inlineStr">
        <is>
          <t>LOSE</t>
        </is>
      </c>
      <c r="P587" s="55" t="n"/>
      <c r="Q587" s="59">
        <f>IF(BO587=1,0,IFERROR(VLOOKUP(BM587,'Gebinde-Kategorie'!$A$5:$G$45,6,0)+0,0))</f>
        <v/>
      </c>
      <c r="R587" s="60" t="n"/>
      <c r="S587" s="61" t="n"/>
      <c r="T587" s="61" t="n"/>
      <c r="U587" s="53">
        <f>IF(A587="","",IF(IFERROR(VLOOKUP(D587,Parameter!$A$35:$C$64,2,0),"Nein")="2+3",IF(ISNUMBER(SEARCH("grosser Artikel",BJ587)),2,IFERROR(VLOOKUP(BM587,Parameter!$F$35:$G$64,2,0),2)),IF(OR(IFERROR(VLOOKUP(D587,Parameter!$A$35:$C$64,2,0),"Nein")="Nein",IFERROR(VLOOKUP(D587,Parameter!$A$35:$C$64,2,0),"Nein")=""),"-",VLOOKUP(D587,Parameter!$A$35:$C$64,2,0))))</f>
        <v/>
      </c>
      <c r="V587" s="61" t="n"/>
      <c r="W587" s="62" t="n"/>
      <c r="X587" s="55">
        <f>AM587</f>
        <v/>
      </c>
      <c r="Y587" s="55">
        <f>MAX(AM587,G587)</f>
        <v/>
      </c>
      <c r="Z587" s="63" t="n"/>
      <c r="AA587" s="55">
        <f>IF(LEFT(Cockpit!$C$5,1)="A",G587,IF(BT587=1,BU587,IF(LEFT(Cockpit!$C$5,1)="B",AE587,MAX(AE587,G587))))</f>
        <v/>
      </c>
      <c r="AB587" s="55">
        <f>IF(BO587=1,0,ROUNDUP(AA587/BN587,0))</f>
        <v/>
      </c>
      <c r="AC587" s="64">
        <f>IF(BO587=1,IF(AA587&lt;=0,0,BP587*MAX(1,IF(G587&gt;0,AA587/G587,1))),AB587*Q587)</f>
        <v/>
      </c>
      <c r="AD587" s="55">
        <f>AA587*F587</f>
        <v/>
      </c>
      <c r="AE587" s="55">
        <f>ROUNDUP(MAX(I587/IF(BS587&gt;0,BS587,MAX(0.1,N(Cockpit!$C$6))),BV587)/BN587,0)*BN587</f>
        <v/>
      </c>
      <c r="AF587" s="56">
        <f>IF(AC587&gt;0,I587/AC587,-1)</f>
        <v/>
      </c>
      <c r="AG587" s="56">
        <f>IF(AND(OR(BR587="L1",BR587="L23"),AC587&gt;0),SUMIFS($AC$7:$AC$1570,$BR$7:$BR$1570,BR587,$AF$7:$AF$1570,"&gt;"&amp;AF587)+SUMIFS($AC$7:$AC$1570,$BR$7:$BR$1570,BR587,$AF$7:$AF$1570,AF587,$BL$7:$BL$1570,"&lt;="&amp;BL587),"")</f>
        <v/>
      </c>
      <c r="AH587" s="65">
        <f>IF(AG587="",0,MAX(0,MIN(1,(IF(BR587="L1",Parameter!$K$5,Parameter!$K$6+Parameter!$K$7)-(AG587-AC587))/AC587)))</f>
        <v/>
      </c>
      <c r="AI587" s="55">
        <f>IF(LEFT(Cockpit!$I$5,1)="A",G587,IF(BT587=1,BU587,IF(LEFT(Cockpit!$I$5,1)="B",AM587,MAX(AM587,G587))))</f>
        <v/>
      </c>
      <c r="AJ587" s="55">
        <f>IF(BO587=1,0,ROUNDUP(AI587/BN587,0))</f>
        <v/>
      </c>
      <c r="AK587" s="64">
        <f>IF(BO587=1,IF(AI587&lt;=0,0,BP587*MAX(1,IF(G587&gt;0,AI587/G587,1))),AJ587*Q587)</f>
        <v/>
      </c>
      <c r="AL587" s="55">
        <f>AI587*F587</f>
        <v/>
      </c>
      <c r="AM587" s="55">
        <f>ROUNDUP(MAX(I587/IF(BS587&gt;0,BS587,MAX(0.1,N(Cockpit!$I$6))),BV587)/BN587,0)*BN587</f>
        <v/>
      </c>
      <c r="AN587" s="56">
        <f>IF(AK587&gt;0,I587/AK587,-1)</f>
        <v/>
      </c>
      <c r="AO587" s="56">
        <f>IF(AND(OR(BR587="L1",BR587="L23"),AK587&gt;0),SUMIFS($AK$7:$AK$1570,$BR$7:$BR$1570,BR587,$AN$7:$AN$1570,"&gt;"&amp;AN587)+SUMIFS($AK$7:$AK$1570,$BR$7:$BR$1570,BR587,$AN$7:$AN$1570,AN587,$BL$7:$BL$1570,"&lt;="&amp;BL587),"")</f>
        <v/>
      </c>
      <c r="AP587" s="65">
        <f>IF(AO587="",0,MAX(0,MIN(1,(IF(BR587="L1",Parameter!$K$5,Parameter!$K$6+Parameter!$K$7)-(AO587-AK587))/AK587)))</f>
        <v/>
      </c>
      <c r="AQ587" s="55">
        <f>IF(LEFT(Cockpit!$O$5,1)="A",G587,IF(BT587=1,BU587,IF(LEFT(Cockpit!$O$5,1)="B",AU587,MAX(AU587,G587))))</f>
        <v/>
      </c>
      <c r="AR587" s="55">
        <f>IF(BO587=1,0,ROUNDUP(AQ587/BN587,0))</f>
        <v/>
      </c>
      <c r="AS587" s="64">
        <f>IF(BO587=1,IF(AQ587&lt;=0,0,BP587*MAX(1,IF(G587&gt;0,AQ587/G587,1))),AR587*Q587)</f>
        <v/>
      </c>
      <c r="AT587" s="55">
        <f>AQ587*F587</f>
        <v/>
      </c>
      <c r="AU587" s="55">
        <f>ROUNDUP(MAX(I587/IF(BS587&gt;0,BS587,MAX(0.1,N(Cockpit!$O$6))),BV587)/BN587,0)*BN587</f>
        <v/>
      </c>
      <c r="AV587" s="56">
        <f>IF(AS587&gt;0,I587/AS587,-1)</f>
        <v/>
      </c>
      <c r="AW587" s="56">
        <f>IF(AND(OR(BR587="L1",BR587="L23"),AS587&gt;0),SUMIFS($AS$7:$AS$1570,$BR$7:$BR$1570,BR587,$AV$7:$AV$1570,"&gt;"&amp;AV587)+SUMIFS($AS$7:$AS$1570,$BR$7:$BR$1570,BR587,$AV$7:$AV$1570,AV587,$BL$7:$BL$1570,"&lt;="&amp;BL587),"")</f>
        <v/>
      </c>
      <c r="AX587" s="65">
        <f>IF(AW587="",0,MAX(0,MIN(1,(IF(BR587="L1",Parameter!$K$5,Parameter!$K$6+Parameter!$K$7)-(AW587-AS587))/AS587)))</f>
        <v/>
      </c>
      <c r="AY587" s="53">
        <f>IF(AC587&lt;=0,"",IF(BR587="Aussen","Aussenlager",IF(BR587="-","Nicht im Lift",IF(AH587&gt;=1,"Lift",IF(AH587&lt;=0,"Aussenlager","teilweise")))))</f>
        <v/>
      </c>
      <c r="AZ587" s="53">
        <f>IF(AK587&lt;=0,"",IF(BR587="Aussen","Aussenlager",IF(BR587="-","Nicht im Lift",IF(AP587&gt;=1,"Lift",IF(AP587&lt;=0,"Aussenlager","teilweise")))))</f>
        <v/>
      </c>
      <c r="BA587" s="53">
        <f>IF(AS587&lt;=0,"",IF(BR587="Aussen","Aussenlager",IF(BR587="-","Nicht im Lift",IF(AX587&gt;=1,"Lift",IF(AX587&lt;=0,"Aussenlager","teilweise")))))</f>
        <v/>
      </c>
      <c r="BB587" s="53">
        <f>IF(A587="","",IF(BK587=1,"Neu; ","")&amp;IF(AND(BK587=0,BF587&lt;0),"negativer Bestand (Export "&amp;BF587&amp;"); ","")&amp;IF(I587&lt;=0,"Kein Verbrauch; ","")&amp;IF(BO587=1,"Lose – Fläche geschätzt; ","")&amp;IF(G587&gt;AM587,"Überbestand "&amp;ROUND(G587-AM587,0)&amp;" Stk / CHF "&amp;ROUND((G587-AM587)*F587,0)&amp;"; ","")&amp;IF(AND(BT587=1,BU587&lt;BV587),"MAX &lt; MB+LG; ","")&amp;IF(AND(BZ587&gt;0,BY587*10&gt;BZ587),"zu hoch für Tablar; ","")&amp;IF(AND(BK587=0,OR(BT587=1,V587&lt;&gt;"",S587&lt;&gt;"",T587&lt;&gt;"",W587&lt;&gt;"")),"manuell übersteuert; ","")&amp;IF(AND(BO587=0,Q587=0),"Gebinde unbekannt; ","")&amp;IF(AND(BO587=0,N(T587)&lt;=0,N(P587)&lt;=0),"Menge pro Gebinde fehlt (Ist = 1 Gebinde); ","")&amp;BJ587)</f>
        <v/>
      </c>
      <c r="BC587" s="53" t="n"/>
      <c r="BD587" s="53" t="n"/>
      <c r="BE587" s="61" t="n"/>
      <c r="BF587" s="55" t="n">
        <v>1</v>
      </c>
      <c r="BG587" s="55" t="n">
        <v>0</v>
      </c>
      <c r="BH587" s="54" t="n">
        <v>8.300000000000001</v>
      </c>
      <c r="BI587" s="55" t="n">
        <v>0</v>
      </c>
      <c r="BJ587" s="53" t="inlineStr"/>
      <c r="BK587" s="58" t="n">
        <v>0</v>
      </c>
      <c r="BL587" s="58" t="n">
        <v>587</v>
      </c>
      <c r="BM587" s="53">
        <f>IF(S587&lt;&gt;"",UPPER(TRIM(S587)),IF(O587="","LOSE",O587))</f>
        <v/>
      </c>
      <c r="BN587" s="55">
        <f>IF(BM587="LOSE",1,IF(N(T587)&gt;0,T587,IF(N(P587)&gt;0,P587,MAX(1,G587))))</f>
        <v/>
      </c>
      <c r="BO587" s="58">
        <f>IF(BM587="LOSE",1,0)</f>
        <v/>
      </c>
      <c r="BP587" s="64">
        <f>IF(BO587=0,0,IF(N(R587)&gt;0,R587,IFERROR(VLOOKUP(D587,Parameter!$A$35:$C$64,3,0)+0,0)))</f>
        <v/>
      </c>
      <c r="BQ587" s="53">
        <f>IF(V587&lt;&gt;"",V587,U587)</f>
        <v/>
      </c>
      <c r="BR587" s="53">
        <f>IF(BQ587=1,"L1",IF(OR(BQ587=2,BQ587=3),"L23",IF(BQ587="Aussen","Aussen","-")))</f>
        <v/>
      </c>
      <c r="BS587" s="66">
        <f>IF(N(W587)&gt;0,W587,0)</f>
        <v/>
      </c>
      <c r="BT587" s="58">
        <f>IF(ISNUMBER(Z587),1,0)</f>
        <v/>
      </c>
      <c r="BU587" s="55">
        <f>N(Z587)</f>
        <v/>
      </c>
      <c r="BV587" s="55">
        <f>N(L587)+N(M587)</f>
        <v/>
      </c>
      <c r="BW587" s="55">
        <f>ROUNDUP(G587/BN587,0)</f>
        <v/>
      </c>
      <c r="BX587" s="55">
        <f>ROUNDUP(BU587/BN587,0)</f>
        <v/>
      </c>
      <c r="BY587" s="58">
        <f>IF(BO587=1,0,IFERROR(VLOOKUP(BM587,'Gebinde-Kategorie'!$A$5:$G$45,5,0)+0,0))</f>
        <v/>
      </c>
      <c r="BZ587" s="58">
        <f>IFERROR(IF(OR(BQ587=1,BQ587=2,BQ587=3),N(INDEX(Parameter!$I$5:$I$7,BQ587)),0),0)</f>
        <v/>
      </c>
    </row>
    <row r="588">
      <c r="A588" s="53" t="inlineStr">
        <is>
          <t>107543</t>
        </is>
      </c>
      <c r="B588" s="53" t="inlineStr">
        <is>
          <t>Dichtung</t>
        </is>
      </c>
      <c r="C588" s="53" t="inlineStr">
        <is>
          <t>F</t>
        </is>
      </c>
      <c r="D588" s="53" t="inlineStr">
        <is>
          <t>KTL</t>
        </is>
      </c>
      <c r="E588" s="53" t="inlineStr">
        <is>
          <t>C</t>
        </is>
      </c>
      <c r="F588" s="54" t="n">
        <v>0.68</v>
      </c>
      <c r="G588" s="55">
        <f>MAX(0,IF(Parameter!$B$20="Jahresanfang 2025 + Export",BG588+BF588,BF588))</f>
        <v/>
      </c>
      <c r="H588" s="55">
        <f>G588*F588</f>
        <v/>
      </c>
      <c r="I588" s="55">
        <f>BI588*Parameter!$B$18</f>
        <v/>
      </c>
      <c r="J588" s="56" t="n">
        <v>78</v>
      </c>
      <c r="K588" s="57" t="n">
        <v>0</v>
      </c>
      <c r="L588" s="55" t="n">
        <v>0</v>
      </c>
      <c r="M588" s="55" t="n">
        <v>1</v>
      </c>
      <c r="N588" s="58" t="n">
        <v>21</v>
      </c>
      <c r="O588" s="53" t="inlineStr">
        <is>
          <t>S21</t>
        </is>
      </c>
      <c r="P588" s="55" t="n">
        <v>100</v>
      </c>
      <c r="Q588" s="59">
        <f>IF(BO588=1,0,IFERROR(VLOOKUP(BM588,'Gebinde-Kategorie'!$A$5:$G$45,6,0)+0,0))</f>
        <v/>
      </c>
      <c r="R588" s="60" t="n"/>
      <c r="S588" s="61" t="n"/>
      <c r="T588" s="61" t="n"/>
      <c r="U588" s="53">
        <f>IF(A588="","",IF(IFERROR(VLOOKUP(D588,Parameter!$A$35:$C$64,2,0),"Nein")="2+3",IF(ISNUMBER(SEARCH("grosser Artikel",BJ588)),2,IFERROR(VLOOKUP(BM588,Parameter!$F$35:$G$64,2,0),2)),IF(OR(IFERROR(VLOOKUP(D588,Parameter!$A$35:$C$64,2,0),"Nein")="Nein",IFERROR(VLOOKUP(D588,Parameter!$A$35:$C$64,2,0),"Nein")=""),"-",VLOOKUP(D588,Parameter!$A$35:$C$64,2,0))))</f>
        <v/>
      </c>
      <c r="V588" s="61" t="n"/>
      <c r="W588" s="62" t="n"/>
      <c r="X588" s="55">
        <f>AM588</f>
        <v/>
      </c>
      <c r="Y588" s="55">
        <f>MAX(AM588,G588)</f>
        <v/>
      </c>
      <c r="Z588" s="63" t="n"/>
      <c r="AA588" s="55">
        <f>IF(LEFT(Cockpit!$C$5,1)="A",G588,IF(BT588=1,BU588,IF(LEFT(Cockpit!$C$5,1)="B",AE588,MAX(AE588,G588))))</f>
        <v/>
      </c>
      <c r="AB588" s="55">
        <f>IF(BO588=1,0,ROUNDUP(AA588/BN588,0))</f>
        <v/>
      </c>
      <c r="AC588" s="64">
        <f>IF(BO588=1,IF(AA588&lt;=0,0,BP588*MAX(1,IF(G588&gt;0,AA588/G588,1))),AB588*Q588)</f>
        <v/>
      </c>
      <c r="AD588" s="55">
        <f>AA588*F588</f>
        <v/>
      </c>
      <c r="AE588" s="55">
        <f>ROUNDUP(MAX(I588/IF(BS588&gt;0,BS588,MAX(0.1,N(Cockpit!$C$6))),BV588)/BN588,0)*BN588</f>
        <v/>
      </c>
      <c r="AF588" s="56">
        <f>IF(AC588&gt;0,I588/AC588,-1)</f>
        <v/>
      </c>
      <c r="AG588" s="56">
        <f>IF(AND(OR(BR588="L1",BR588="L23"),AC588&gt;0),SUMIFS($AC$7:$AC$1570,$BR$7:$BR$1570,BR588,$AF$7:$AF$1570,"&gt;"&amp;AF588)+SUMIFS($AC$7:$AC$1570,$BR$7:$BR$1570,BR588,$AF$7:$AF$1570,AF588,$BL$7:$BL$1570,"&lt;="&amp;BL588),"")</f>
        <v/>
      </c>
      <c r="AH588" s="65">
        <f>IF(AG588="",0,MAX(0,MIN(1,(IF(BR588="L1",Parameter!$K$5,Parameter!$K$6+Parameter!$K$7)-(AG588-AC588))/AC588)))</f>
        <v/>
      </c>
      <c r="AI588" s="55">
        <f>IF(LEFT(Cockpit!$I$5,1)="A",G588,IF(BT588=1,BU588,IF(LEFT(Cockpit!$I$5,1)="B",AM588,MAX(AM588,G588))))</f>
        <v/>
      </c>
      <c r="AJ588" s="55">
        <f>IF(BO588=1,0,ROUNDUP(AI588/BN588,0))</f>
        <v/>
      </c>
      <c r="AK588" s="64">
        <f>IF(BO588=1,IF(AI588&lt;=0,0,BP588*MAX(1,IF(G588&gt;0,AI588/G588,1))),AJ588*Q588)</f>
        <v/>
      </c>
      <c r="AL588" s="55">
        <f>AI588*F588</f>
        <v/>
      </c>
      <c r="AM588" s="55">
        <f>ROUNDUP(MAX(I588/IF(BS588&gt;0,BS588,MAX(0.1,N(Cockpit!$I$6))),BV588)/BN588,0)*BN588</f>
        <v/>
      </c>
      <c r="AN588" s="56">
        <f>IF(AK588&gt;0,I588/AK588,-1)</f>
        <v/>
      </c>
      <c r="AO588" s="56">
        <f>IF(AND(OR(BR588="L1",BR588="L23"),AK588&gt;0),SUMIFS($AK$7:$AK$1570,$BR$7:$BR$1570,BR588,$AN$7:$AN$1570,"&gt;"&amp;AN588)+SUMIFS($AK$7:$AK$1570,$BR$7:$BR$1570,BR588,$AN$7:$AN$1570,AN588,$BL$7:$BL$1570,"&lt;="&amp;BL588),"")</f>
        <v/>
      </c>
      <c r="AP588" s="65">
        <f>IF(AO588="",0,MAX(0,MIN(1,(IF(BR588="L1",Parameter!$K$5,Parameter!$K$6+Parameter!$K$7)-(AO588-AK588))/AK588)))</f>
        <v/>
      </c>
      <c r="AQ588" s="55">
        <f>IF(LEFT(Cockpit!$O$5,1)="A",G588,IF(BT588=1,BU588,IF(LEFT(Cockpit!$O$5,1)="B",AU588,MAX(AU588,G588))))</f>
        <v/>
      </c>
      <c r="AR588" s="55">
        <f>IF(BO588=1,0,ROUNDUP(AQ588/BN588,0))</f>
        <v/>
      </c>
      <c r="AS588" s="64">
        <f>IF(BO588=1,IF(AQ588&lt;=0,0,BP588*MAX(1,IF(G588&gt;0,AQ588/G588,1))),AR588*Q588)</f>
        <v/>
      </c>
      <c r="AT588" s="55">
        <f>AQ588*F588</f>
        <v/>
      </c>
      <c r="AU588" s="55">
        <f>ROUNDUP(MAX(I588/IF(BS588&gt;0,BS588,MAX(0.1,N(Cockpit!$O$6))),BV588)/BN588,0)*BN588</f>
        <v/>
      </c>
      <c r="AV588" s="56">
        <f>IF(AS588&gt;0,I588/AS588,-1)</f>
        <v/>
      </c>
      <c r="AW588" s="56">
        <f>IF(AND(OR(BR588="L1",BR588="L23"),AS588&gt;0),SUMIFS($AS$7:$AS$1570,$BR$7:$BR$1570,BR588,$AV$7:$AV$1570,"&gt;"&amp;AV588)+SUMIFS($AS$7:$AS$1570,$BR$7:$BR$1570,BR588,$AV$7:$AV$1570,AV588,$BL$7:$BL$1570,"&lt;="&amp;BL588),"")</f>
        <v/>
      </c>
      <c r="AX588" s="65">
        <f>IF(AW588="",0,MAX(0,MIN(1,(IF(BR588="L1",Parameter!$K$5,Parameter!$K$6+Parameter!$K$7)-(AW588-AS588))/AS588)))</f>
        <v/>
      </c>
      <c r="AY588" s="53">
        <f>IF(AC588&lt;=0,"",IF(BR588="Aussen","Aussenlager",IF(BR588="-","Nicht im Lift",IF(AH588&gt;=1,"Lift",IF(AH588&lt;=0,"Aussenlager","teilweise")))))</f>
        <v/>
      </c>
      <c r="AZ588" s="53">
        <f>IF(AK588&lt;=0,"",IF(BR588="Aussen","Aussenlager",IF(BR588="-","Nicht im Lift",IF(AP588&gt;=1,"Lift",IF(AP588&lt;=0,"Aussenlager","teilweise")))))</f>
        <v/>
      </c>
      <c r="BA588" s="53">
        <f>IF(AS588&lt;=0,"",IF(BR588="Aussen","Aussenlager",IF(BR588="-","Nicht im Lift",IF(AX588&gt;=1,"Lift",IF(AX588&lt;=0,"Aussenlager","teilweise")))))</f>
        <v/>
      </c>
      <c r="BB588" s="53">
        <f>IF(A588="","",IF(BK588=1,"Neu; ","")&amp;IF(AND(BK588=0,BF588&lt;0),"negativer Bestand (Export "&amp;BF588&amp;"); ","")&amp;IF(I588&lt;=0,"Kein Verbrauch; ","")&amp;IF(BO588=1,"Lose – Fläche geschätzt; ","")&amp;IF(G588&gt;AM588,"Überbestand "&amp;ROUND(G588-AM588,0)&amp;" Stk / CHF "&amp;ROUND((G588-AM588)*F588,0)&amp;"; ","")&amp;IF(AND(BT588=1,BU588&lt;BV588),"MAX &lt; MB+LG; ","")&amp;IF(AND(BZ588&gt;0,BY588*10&gt;BZ588),"zu hoch für Tablar; ","")&amp;IF(AND(BK588=0,OR(BT588=1,V588&lt;&gt;"",S588&lt;&gt;"",T588&lt;&gt;"",W588&lt;&gt;"")),"manuell übersteuert; ","")&amp;IF(AND(BO588=0,Q588=0),"Gebinde unbekannt; ","")&amp;IF(AND(BO588=0,N(T588)&lt;=0,N(P588)&lt;=0),"Menge pro Gebinde fehlt (Ist = 1 Gebinde); ","")&amp;BJ588)</f>
        <v/>
      </c>
      <c r="BC588" s="53" t="n"/>
      <c r="BD588" s="53" t="n"/>
      <c r="BE588" s="61" t="n"/>
      <c r="BF588" s="55" t="n">
        <v>12</v>
      </c>
      <c r="BG588" s="55" t="n">
        <v>72</v>
      </c>
      <c r="BH588" s="54" t="n">
        <v>8.16</v>
      </c>
      <c r="BI588" s="55" t="n">
        <v>0</v>
      </c>
      <c r="BJ588" s="53" t="inlineStr">
        <is>
          <t>Neuer Art.</t>
        </is>
      </c>
      <c r="BK588" s="58" t="n">
        <v>0</v>
      </c>
      <c r="BL588" s="58" t="n">
        <v>588</v>
      </c>
      <c r="BM588" s="53">
        <f>IF(S588&lt;&gt;"",UPPER(TRIM(S588)),IF(O588="","LOSE",O588))</f>
        <v/>
      </c>
      <c r="BN588" s="55">
        <f>IF(BM588="LOSE",1,IF(N(T588)&gt;0,T588,IF(N(P588)&gt;0,P588,MAX(1,G588))))</f>
        <v/>
      </c>
      <c r="BO588" s="58">
        <f>IF(BM588="LOSE",1,0)</f>
        <v/>
      </c>
      <c r="BP588" s="64">
        <f>IF(BO588=0,0,IF(N(R588)&gt;0,R588,IFERROR(VLOOKUP(D588,Parameter!$A$35:$C$64,3,0)+0,0)))</f>
        <v/>
      </c>
      <c r="BQ588" s="53">
        <f>IF(V588&lt;&gt;"",V588,U588)</f>
        <v/>
      </c>
      <c r="BR588" s="53">
        <f>IF(BQ588=1,"L1",IF(OR(BQ588=2,BQ588=3),"L23",IF(BQ588="Aussen","Aussen","-")))</f>
        <v/>
      </c>
      <c r="BS588" s="66">
        <f>IF(N(W588)&gt;0,W588,0)</f>
        <v/>
      </c>
      <c r="BT588" s="58">
        <f>IF(ISNUMBER(Z588),1,0)</f>
        <v/>
      </c>
      <c r="BU588" s="55">
        <f>N(Z588)</f>
        <v/>
      </c>
      <c r="BV588" s="55">
        <f>N(L588)+N(M588)</f>
        <v/>
      </c>
      <c r="BW588" s="55">
        <f>ROUNDUP(G588/BN588,0)</f>
        <v/>
      </c>
      <c r="BX588" s="55">
        <f>ROUNDUP(BU588/BN588,0)</f>
        <v/>
      </c>
      <c r="BY588" s="58">
        <f>IF(BO588=1,0,IFERROR(VLOOKUP(BM588,'Gebinde-Kategorie'!$A$5:$G$45,5,0)+0,0))</f>
        <v/>
      </c>
      <c r="BZ588" s="58">
        <f>IFERROR(IF(OR(BQ588=1,BQ588=2,BQ588=3),N(INDEX(Parameter!$I$5:$I$7,BQ588)),0),0)</f>
        <v/>
      </c>
    </row>
    <row r="589">
      <c r="A589" s="53" t="inlineStr">
        <is>
          <t>108498</t>
        </is>
      </c>
      <c r="B589" s="53" t="inlineStr">
        <is>
          <t>Adapter Edelstahl</t>
        </is>
      </c>
      <c r="C589" s="53" t="inlineStr">
        <is>
          <t>F</t>
        </is>
      </c>
      <c r="D589" s="53" t="inlineStr">
        <is>
          <t>KTL</t>
        </is>
      </c>
      <c r="E589" s="53" t="inlineStr">
        <is>
          <t>C</t>
        </is>
      </c>
      <c r="F589" s="54" t="n">
        <v>43.93</v>
      </c>
      <c r="G589" s="55">
        <f>MAX(0,IF(Parameter!$B$20="Jahresanfang 2025 + Export",BG589+BF589,BF589))</f>
        <v/>
      </c>
      <c r="H589" s="55">
        <f>G589*F589</f>
        <v/>
      </c>
      <c r="I589" s="55">
        <f>BI589*Parameter!$B$18</f>
        <v/>
      </c>
      <c r="J589" s="56" t="n">
        <v>7.5</v>
      </c>
      <c r="K589" s="57" t="n">
        <v>1.6</v>
      </c>
      <c r="L589" s="55" t="n">
        <v>1</v>
      </c>
      <c r="M589" s="55" t="n">
        <v>10</v>
      </c>
      <c r="N589" s="58" t="n">
        <v>35</v>
      </c>
      <c r="O589" s="53" t="inlineStr">
        <is>
          <t>S33</t>
        </is>
      </c>
      <c r="P589" s="55" t="n">
        <v>27</v>
      </c>
      <c r="Q589" s="59">
        <f>IF(BO589=1,0,IFERROR(VLOOKUP(BM589,'Gebinde-Kategorie'!$A$5:$G$45,6,0)+0,0))</f>
        <v/>
      </c>
      <c r="R589" s="60" t="n"/>
      <c r="S589" s="61" t="n"/>
      <c r="T589" s="61" t="n"/>
      <c r="U589" s="53">
        <f>IF(A589="","",IF(IFERROR(VLOOKUP(D589,Parameter!$A$35:$C$64,2,0),"Nein")="2+3",IF(ISNUMBER(SEARCH("grosser Artikel",BJ589)),2,IFERROR(VLOOKUP(BM589,Parameter!$F$35:$G$64,2,0),2)),IF(OR(IFERROR(VLOOKUP(D589,Parameter!$A$35:$C$64,2,0),"Nein")="Nein",IFERROR(VLOOKUP(D589,Parameter!$A$35:$C$64,2,0),"Nein")=""),"-",VLOOKUP(D589,Parameter!$A$35:$C$64,2,0))))</f>
        <v/>
      </c>
      <c r="V589" s="61" t="n"/>
      <c r="W589" s="62" t="n"/>
      <c r="X589" s="55">
        <f>AM589</f>
        <v/>
      </c>
      <c r="Y589" s="55">
        <f>MAX(AM589,G589)</f>
        <v/>
      </c>
      <c r="Z589" s="63" t="n"/>
      <c r="AA589" s="55">
        <f>IF(LEFT(Cockpit!$C$5,1)="A",G589,IF(BT589=1,BU589,IF(LEFT(Cockpit!$C$5,1)="B",AE589,MAX(AE589,G589))))</f>
        <v/>
      </c>
      <c r="AB589" s="55">
        <f>IF(BO589=1,0,ROUNDUP(AA589/BN589,0))</f>
        <v/>
      </c>
      <c r="AC589" s="64">
        <f>IF(BO589=1,IF(AA589&lt;=0,0,BP589*MAX(1,IF(G589&gt;0,AA589/G589,1))),AB589*Q589)</f>
        <v/>
      </c>
      <c r="AD589" s="55">
        <f>AA589*F589</f>
        <v/>
      </c>
      <c r="AE589" s="55">
        <f>ROUNDUP(MAX(I589/IF(BS589&gt;0,BS589,MAX(0.1,N(Cockpit!$C$6))),BV589)/BN589,0)*BN589</f>
        <v/>
      </c>
      <c r="AF589" s="56">
        <f>IF(AC589&gt;0,I589/AC589,-1)</f>
        <v/>
      </c>
      <c r="AG589" s="56">
        <f>IF(AND(OR(BR589="L1",BR589="L23"),AC589&gt;0),SUMIFS($AC$7:$AC$1570,$BR$7:$BR$1570,BR589,$AF$7:$AF$1570,"&gt;"&amp;AF589)+SUMIFS($AC$7:$AC$1570,$BR$7:$BR$1570,BR589,$AF$7:$AF$1570,AF589,$BL$7:$BL$1570,"&lt;="&amp;BL589),"")</f>
        <v/>
      </c>
      <c r="AH589" s="65">
        <f>IF(AG589="",0,MAX(0,MIN(1,(IF(BR589="L1",Parameter!$K$5,Parameter!$K$6+Parameter!$K$7)-(AG589-AC589))/AC589)))</f>
        <v/>
      </c>
      <c r="AI589" s="55">
        <f>IF(LEFT(Cockpit!$I$5,1)="A",G589,IF(BT589=1,BU589,IF(LEFT(Cockpit!$I$5,1)="B",AM589,MAX(AM589,G589))))</f>
        <v/>
      </c>
      <c r="AJ589" s="55">
        <f>IF(BO589=1,0,ROUNDUP(AI589/BN589,0))</f>
        <v/>
      </c>
      <c r="AK589" s="64">
        <f>IF(BO589=1,IF(AI589&lt;=0,0,BP589*MAX(1,IF(G589&gt;0,AI589/G589,1))),AJ589*Q589)</f>
        <v/>
      </c>
      <c r="AL589" s="55">
        <f>AI589*F589</f>
        <v/>
      </c>
      <c r="AM589" s="55">
        <f>ROUNDUP(MAX(I589/IF(BS589&gt;0,BS589,MAX(0.1,N(Cockpit!$I$6))),BV589)/BN589,0)*BN589</f>
        <v/>
      </c>
      <c r="AN589" s="56">
        <f>IF(AK589&gt;0,I589/AK589,-1)</f>
        <v/>
      </c>
      <c r="AO589" s="56">
        <f>IF(AND(OR(BR589="L1",BR589="L23"),AK589&gt;0),SUMIFS($AK$7:$AK$1570,$BR$7:$BR$1570,BR589,$AN$7:$AN$1570,"&gt;"&amp;AN589)+SUMIFS($AK$7:$AK$1570,$BR$7:$BR$1570,BR589,$AN$7:$AN$1570,AN589,$BL$7:$BL$1570,"&lt;="&amp;BL589),"")</f>
        <v/>
      </c>
      <c r="AP589" s="65">
        <f>IF(AO589="",0,MAX(0,MIN(1,(IF(BR589="L1",Parameter!$K$5,Parameter!$K$6+Parameter!$K$7)-(AO589-AK589))/AK589)))</f>
        <v/>
      </c>
      <c r="AQ589" s="55">
        <f>IF(LEFT(Cockpit!$O$5,1)="A",G589,IF(BT589=1,BU589,IF(LEFT(Cockpit!$O$5,1)="B",AU589,MAX(AU589,G589))))</f>
        <v/>
      </c>
      <c r="AR589" s="55">
        <f>IF(BO589=1,0,ROUNDUP(AQ589/BN589,0))</f>
        <v/>
      </c>
      <c r="AS589" s="64">
        <f>IF(BO589=1,IF(AQ589&lt;=0,0,BP589*MAX(1,IF(G589&gt;0,AQ589/G589,1))),AR589*Q589)</f>
        <v/>
      </c>
      <c r="AT589" s="55">
        <f>AQ589*F589</f>
        <v/>
      </c>
      <c r="AU589" s="55">
        <f>ROUNDUP(MAX(I589/IF(BS589&gt;0,BS589,MAX(0.1,N(Cockpit!$O$6))),BV589)/BN589,0)*BN589</f>
        <v/>
      </c>
      <c r="AV589" s="56">
        <f>IF(AS589&gt;0,I589/AS589,-1)</f>
        <v/>
      </c>
      <c r="AW589" s="56">
        <f>IF(AND(OR(BR589="L1",BR589="L23"),AS589&gt;0),SUMIFS($AS$7:$AS$1570,$BR$7:$BR$1570,BR589,$AV$7:$AV$1570,"&gt;"&amp;AV589)+SUMIFS($AS$7:$AS$1570,$BR$7:$BR$1570,BR589,$AV$7:$AV$1570,AV589,$BL$7:$BL$1570,"&lt;="&amp;BL589),"")</f>
        <v/>
      </c>
      <c r="AX589" s="65">
        <f>IF(AW589="",0,MAX(0,MIN(1,(IF(BR589="L1",Parameter!$K$5,Parameter!$K$6+Parameter!$K$7)-(AW589-AS589))/AS589)))</f>
        <v/>
      </c>
      <c r="AY589" s="53">
        <f>IF(AC589&lt;=0,"",IF(BR589="Aussen","Aussenlager",IF(BR589="-","Nicht im Lift",IF(AH589&gt;=1,"Lift",IF(AH589&lt;=0,"Aussenlager","teilweise")))))</f>
        <v/>
      </c>
      <c r="AZ589" s="53">
        <f>IF(AK589&lt;=0,"",IF(BR589="Aussen","Aussenlager",IF(BR589="-","Nicht im Lift",IF(AP589&gt;=1,"Lift",IF(AP589&lt;=0,"Aussenlager","teilweise")))))</f>
        <v/>
      </c>
      <c r="BA589" s="53">
        <f>IF(AS589&lt;=0,"",IF(BR589="Aussen","Aussenlager",IF(BR589="-","Nicht im Lift",IF(AX589&gt;=1,"Lift",IF(AX589&lt;=0,"Aussenlager","teilweise")))))</f>
        <v/>
      </c>
      <c r="BB589" s="53">
        <f>IF(A589="","",IF(BK589=1,"Neu; ","")&amp;IF(AND(BK589=0,BF589&lt;0),"negativer Bestand (Export "&amp;BF589&amp;"); ","")&amp;IF(I589&lt;=0,"Kein Verbrauch; ","")&amp;IF(BO589=1,"Lose – Fläche geschätzt; ","")&amp;IF(G589&gt;AM589,"Überbestand "&amp;ROUND(G589-AM589,0)&amp;" Stk / CHF "&amp;ROUND((G589-AM589)*F589,0)&amp;"; ","")&amp;IF(AND(BT589=1,BU589&lt;BV589),"MAX &lt; MB+LG; ","")&amp;IF(AND(BZ589&gt;0,BY589*10&gt;BZ589),"zu hoch für Tablar; ","")&amp;IF(AND(BK589=0,OR(BT589=1,V589&lt;&gt;"",S589&lt;&gt;"",T589&lt;&gt;"",W589&lt;&gt;"")),"manuell übersteuert; ","")&amp;IF(AND(BO589=0,Q589=0),"Gebinde unbekannt; ","")&amp;IF(AND(BO589=0,N(T589)&lt;=0,N(P589)&lt;=0),"Menge pro Gebinde fehlt (Ist = 1 Gebinde); ","")&amp;BJ589)</f>
        <v/>
      </c>
      <c r="BC589" s="53" t="n"/>
      <c r="BD589" s="53" t="n"/>
      <c r="BE589" s="61" t="n"/>
      <c r="BF589" s="55" t="n">
        <v>0</v>
      </c>
      <c r="BG589" s="55" t="n">
        <v>8</v>
      </c>
      <c r="BH589" s="54" t="n">
        <v>8.159999999999883</v>
      </c>
      <c r="BI589" s="55" t="n">
        <v>12</v>
      </c>
      <c r="BJ589" s="53" t="inlineStr"/>
      <c r="BK589" s="58" t="n">
        <v>0</v>
      </c>
      <c r="BL589" s="58" t="n">
        <v>589</v>
      </c>
      <c r="BM589" s="53">
        <f>IF(S589&lt;&gt;"",UPPER(TRIM(S589)),IF(O589="","LOSE",O589))</f>
        <v/>
      </c>
      <c r="BN589" s="55">
        <f>IF(BM589="LOSE",1,IF(N(T589)&gt;0,T589,IF(N(P589)&gt;0,P589,MAX(1,G589))))</f>
        <v/>
      </c>
      <c r="BO589" s="58">
        <f>IF(BM589="LOSE",1,0)</f>
        <v/>
      </c>
      <c r="BP589" s="64">
        <f>IF(BO589=0,0,IF(N(R589)&gt;0,R589,IFERROR(VLOOKUP(D589,Parameter!$A$35:$C$64,3,0)+0,0)))</f>
        <v/>
      </c>
      <c r="BQ589" s="53">
        <f>IF(V589&lt;&gt;"",V589,U589)</f>
        <v/>
      </c>
      <c r="BR589" s="53">
        <f>IF(BQ589=1,"L1",IF(OR(BQ589=2,BQ589=3),"L23",IF(BQ589="Aussen","Aussen","-")))</f>
        <v/>
      </c>
      <c r="BS589" s="66">
        <f>IF(N(W589)&gt;0,W589,0)</f>
        <v/>
      </c>
      <c r="BT589" s="58">
        <f>IF(ISNUMBER(Z589),1,0)</f>
        <v/>
      </c>
      <c r="BU589" s="55">
        <f>N(Z589)</f>
        <v/>
      </c>
      <c r="BV589" s="55">
        <f>N(L589)+N(M589)</f>
        <v/>
      </c>
      <c r="BW589" s="55">
        <f>ROUNDUP(G589/BN589,0)</f>
        <v/>
      </c>
      <c r="BX589" s="55">
        <f>ROUNDUP(BU589/BN589,0)</f>
        <v/>
      </c>
      <c r="BY589" s="58">
        <f>IF(BO589=1,0,IFERROR(VLOOKUP(BM589,'Gebinde-Kategorie'!$A$5:$G$45,5,0)+0,0))</f>
        <v/>
      </c>
      <c r="BZ589" s="58">
        <f>IFERROR(IF(OR(BQ589=1,BQ589=2,BQ589=3),N(INDEX(Parameter!$I$5:$I$7,BQ589)),0),0)</f>
        <v/>
      </c>
    </row>
    <row r="590">
      <c r="A590" s="53" t="inlineStr">
        <is>
          <t>100385</t>
        </is>
      </c>
      <c r="B590" s="53" t="inlineStr">
        <is>
          <t>Doppelnippel</t>
        </is>
      </c>
      <c r="C590" s="53" t="inlineStr">
        <is>
          <t>F</t>
        </is>
      </c>
      <c r="D590" s="53" t="inlineStr">
        <is>
          <t>KTL</t>
        </is>
      </c>
      <c r="E590" s="53" t="inlineStr">
        <is>
          <t>C</t>
        </is>
      </c>
      <c r="F590" s="54" t="n">
        <v>2.6</v>
      </c>
      <c r="G590" s="55">
        <f>MAX(0,IF(Parameter!$B$20="Jahresanfang 2025 + Export",BG590+BF590,BF590))</f>
        <v/>
      </c>
      <c r="H590" s="55">
        <f>G590*F590</f>
        <v/>
      </c>
      <c r="I590" s="55">
        <f>BI590*Parameter!$B$18</f>
        <v/>
      </c>
      <c r="J590" s="56" t="n">
        <v>68.5</v>
      </c>
      <c r="K590" s="57" t="n">
        <v>0</v>
      </c>
      <c r="L590" s="55" t="n">
        <v>0</v>
      </c>
      <c r="M590" s="55" t="n">
        <v>1</v>
      </c>
      <c r="N590" s="58" t="n">
        <v>28</v>
      </c>
      <c r="O590" s="53" t="inlineStr">
        <is>
          <t>S21</t>
        </is>
      </c>
      <c r="P590" s="55" t="n">
        <v>100</v>
      </c>
      <c r="Q590" s="59">
        <f>IF(BO590=1,0,IFERROR(VLOOKUP(BM590,'Gebinde-Kategorie'!$A$5:$G$45,6,0)+0,0))</f>
        <v/>
      </c>
      <c r="R590" s="60" t="n"/>
      <c r="S590" s="61" t="n"/>
      <c r="T590" s="61" t="n"/>
      <c r="U590" s="53">
        <f>IF(A590="","",IF(IFERROR(VLOOKUP(D590,Parameter!$A$35:$C$64,2,0),"Nein")="2+3",IF(ISNUMBER(SEARCH("grosser Artikel",BJ590)),2,IFERROR(VLOOKUP(BM590,Parameter!$F$35:$G$64,2,0),2)),IF(OR(IFERROR(VLOOKUP(D590,Parameter!$A$35:$C$64,2,0),"Nein")="Nein",IFERROR(VLOOKUP(D590,Parameter!$A$35:$C$64,2,0),"Nein")=""),"-",VLOOKUP(D590,Parameter!$A$35:$C$64,2,0))))</f>
        <v/>
      </c>
      <c r="V590" s="61" t="n"/>
      <c r="W590" s="62" t="n"/>
      <c r="X590" s="55">
        <f>AM590</f>
        <v/>
      </c>
      <c r="Y590" s="55">
        <f>MAX(AM590,G590)</f>
        <v/>
      </c>
      <c r="Z590" s="63" t="n"/>
      <c r="AA590" s="55">
        <f>IF(LEFT(Cockpit!$C$5,1)="A",G590,IF(BT590=1,BU590,IF(LEFT(Cockpit!$C$5,1)="B",AE590,MAX(AE590,G590))))</f>
        <v/>
      </c>
      <c r="AB590" s="55">
        <f>IF(BO590=1,0,ROUNDUP(AA590/BN590,0))</f>
        <v/>
      </c>
      <c r="AC590" s="64">
        <f>IF(BO590=1,IF(AA590&lt;=0,0,BP590*MAX(1,IF(G590&gt;0,AA590/G590,1))),AB590*Q590)</f>
        <v/>
      </c>
      <c r="AD590" s="55">
        <f>AA590*F590</f>
        <v/>
      </c>
      <c r="AE590" s="55">
        <f>ROUNDUP(MAX(I590/IF(BS590&gt;0,BS590,MAX(0.1,N(Cockpit!$C$6))),BV590)/BN590,0)*BN590</f>
        <v/>
      </c>
      <c r="AF590" s="56">
        <f>IF(AC590&gt;0,I590/AC590,-1)</f>
        <v/>
      </c>
      <c r="AG590" s="56">
        <f>IF(AND(OR(BR590="L1",BR590="L23"),AC590&gt;0),SUMIFS($AC$7:$AC$1570,$BR$7:$BR$1570,BR590,$AF$7:$AF$1570,"&gt;"&amp;AF590)+SUMIFS($AC$7:$AC$1570,$BR$7:$BR$1570,BR590,$AF$7:$AF$1570,AF590,$BL$7:$BL$1570,"&lt;="&amp;BL590),"")</f>
        <v/>
      </c>
      <c r="AH590" s="65">
        <f>IF(AG590="",0,MAX(0,MIN(1,(IF(BR590="L1",Parameter!$K$5,Parameter!$K$6+Parameter!$K$7)-(AG590-AC590))/AC590)))</f>
        <v/>
      </c>
      <c r="AI590" s="55">
        <f>IF(LEFT(Cockpit!$I$5,1)="A",G590,IF(BT590=1,BU590,IF(LEFT(Cockpit!$I$5,1)="B",AM590,MAX(AM590,G590))))</f>
        <v/>
      </c>
      <c r="AJ590" s="55">
        <f>IF(BO590=1,0,ROUNDUP(AI590/BN590,0))</f>
        <v/>
      </c>
      <c r="AK590" s="64">
        <f>IF(BO590=1,IF(AI590&lt;=0,0,BP590*MAX(1,IF(G590&gt;0,AI590/G590,1))),AJ590*Q590)</f>
        <v/>
      </c>
      <c r="AL590" s="55">
        <f>AI590*F590</f>
        <v/>
      </c>
      <c r="AM590" s="55">
        <f>ROUNDUP(MAX(I590/IF(BS590&gt;0,BS590,MAX(0.1,N(Cockpit!$I$6))),BV590)/BN590,0)*BN590</f>
        <v/>
      </c>
      <c r="AN590" s="56">
        <f>IF(AK590&gt;0,I590/AK590,-1)</f>
        <v/>
      </c>
      <c r="AO590" s="56">
        <f>IF(AND(OR(BR590="L1",BR590="L23"),AK590&gt;0),SUMIFS($AK$7:$AK$1570,$BR$7:$BR$1570,BR590,$AN$7:$AN$1570,"&gt;"&amp;AN590)+SUMIFS($AK$7:$AK$1570,$BR$7:$BR$1570,BR590,$AN$7:$AN$1570,AN590,$BL$7:$BL$1570,"&lt;="&amp;BL590),"")</f>
        <v/>
      </c>
      <c r="AP590" s="65">
        <f>IF(AO590="",0,MAX(0,MIN(1,(IF(BR590="L1",Parameter!$K$5,Parameter!$K$6+Parameter!$K$7)-(AO590-AK590))/AK590)))</f>
        <v/>
      </c>
      <c r="AQ590" s="55">
        <f>IF(LEFT(Cockpit!$O$5,1)="A",G590,IF(BT590=1,BU590,IF(LEFT(Cockpit!$O$5,1)="B",AU590,MAX(AU590,G590))))</f>
        <v/>
      </c>
      <c r="AR590" s="55">
        <f>IF(BO590=1,0,ROUNDUP(AQ590/BN590,0))</f>
        <v/>
      </c>
      <c r="AS590" s="64">
        <f>IF(BO590=1,IF(AQ590&lt;=0,0,BP590*MAX(1,IF(G590&gt;0,AQ590/G590,1))),AR590*Q590)</f>
        <v/>
      </c>
      <c r="AT590" s="55">
        <f>AQ590*F590</f>
        <v/>
      </c>
      <c r="AU590" s="55">
        <f>ROUNDUP(MAX(I590/IF(BS590&gt;0,BS590,MAX(0.1,N(Cockpit!$O$6))),BV590)/BN590,0)*BN590</f>
        <v/>
      </c>
      <c r="AV590" s="56">
        <f>IF(AS590&gt;0,I590/AS590,-1)</f>
        <v/>
      </c>
      <c r="AW590" s="56">
        <f>IF(AND(OR(BR590="L1",BR590="L23"),AS590&gt;0),SUMIFS($AS$7:$AS$1570,$BR$7:$BR$1570,BR590,$AV$7:$AV$1570,"&gt;"&amp;AV590)+SUMIFS($AS$7:$AS$1570,$BR$7:$BR$1570,BR590,$AV$7:$AV$1570,AV590,$BL$7:$BL$1570,"&lt;="&amp;BL590),"")</f>
        <v/>
      </c>
      <c r="AX590" s="65">
        <f>IF(AW590="",0,MAX(0,MIN(1,(IF(BR590="L1",Parameter!$K$5,Parameter!$K$6+Parameter!$K$7)-(AW590-AS590))/AS590)))</f>
        <v/>
      </c>
      <c r="AY590" s="53">
        <f>IF(AC590&lt;=0,"",IF(BR590="Aussen","Aussenlager",IF(BR590="-","Nicht im Lift",IF(AH590&gt;=1,"Lift",IF(AH590&lt;=0,"Aussenlager","teilweise")))))</f>
        <v/>
      </c>
      <c r="AZ590" s="53">
        <f>IF(AK590&lt;=0,"",IF(BR590="Aussen","Aussenlager",IF(BR590="-","Nicht im Lift",IF(AP590&gt;=1,"Lift",IF(AP590&lt;=0,"Aussenlager","teilweise")))))</f>
        <v/>
      </c>
      <c r="BA590" s="53">
        <f>IF(AS590&lt;=0,"",IF(BR590="Aussen","Aussenlager",IF(BR590="-","Nicht im Lift",IF(AX590&gt;=1,"Lift",IF(AX590&lt;=0,"Aussenlager","teilweise")))))</f>
        <v/>
      </c>
      <c r="BB590" s="53">
        <f>IF(A590="","",IF(BK590=1,"Neu; ","")&amp;IF(AND(BK590=0,BF590&lt;0),"negativer Bestand (Export "&amp;BF590&amp;"); ","")&amp;IF(I590&lt;=0,"Kein Verbrauch; ","")&amp;IF(BO590=1,"Lose – Fläche geschätzt; ","")&amp;IF(G590&gt;AM590,"Überbestand "&amp;ROUND(G590-AM590,0)&amp;" Stk / CHF "&amp;ROUND((G590-AM590)*F590,0)&amp;"; ","")&amp;IF(AND(BT590=1,BU590&lt;BV590),"MAX &lt; MB+LG; ","")&amp;IF(AND(BZ590&gt;0,BY590*10&gt;BZ590),"zu hoch für Tablar; ","")&amp;IF(AND(BK590=0,OR(BT590=1,V590&lt;&gt;"",S590&lt;&gt;"",T590&lt;&gt;"",W590&lt;&gt;"")),"manuell übersteuert; ","")&amp;IF(AND(BO590=0,Q590=0),"Gebinde unbekannt; ","")&amp;IF(AND(BO590=0,N(T590)&lt;=0,N(P590)&lt;=0),"Menge pro Gebinde fehlt (Ist = 1 Gebinde); ","")&amp;BJ590)</f>
        <v/>
      </c>
      <c r="BC590" s="53" t="n"/>
      <c r="BD590" s="53" t="n"/>
      <c r="BE590" s="61" t="n"/>
      <c r="BF590" s="55" t="n">
        <v>3</v>
      </c>
      <c r="BG590" s="55" t="n">
        <v>67</v>
      </c>
      <c r="BH590" s="54" t="n">
        <v>7.8</v>
      </c>
      <c r="BI590" s="55" t="n">
        <v>0</v>
      </c>
      <c r="BJ590" s="53" t="inlineStr"/>
      <c r="BK590" s="58" t="n">
        <v>0</v>
      </c>
      <c r="BL590" s="58" t="n">
        <v>590</v>
      </c>
      <c r="BM590" s="53">
        <f>IF(S590&lt;&gt;"",UPPER(TRIM(S590)),IF(O590="","LOSE",O590))</f>
        <v/>
      </c>
      <c r="BN590" s="55">
        <f>IF(BM590="LOSE",1,IF(N(T590)&gt;0,T590,IF(N(P590)&gt;0,P590,MAX(1,G590))))</f>
        <v/>
      </c>
      <c r="BO590" s="58">
        <f>IF(BM590="LOSE",1,0)</f>
        <v/>
      </c>
      <c r="BP590" s="64">
        <f>IF(BO590=0,0,IF(N(R590)&gt;0,R590,IFERROR(VLOOKUP(D590,Parameter!$A$35:$C$64,3,0)+0,0)))</f>
        <v/>
      </c>
      <c r="BQ590" s="53">
        <f>IF(V590&lt;&gt;"",V590,U590)</f>
        <v/>
      </c>
      <c r="BR590" s="53">
        <f>IF(BQ590=1,"L1",IF(OR(BQ590=2,BQ590=3),"L23",IF(BQ590="Aussen","Aussen","-")))</f>
        <v/>
      </c>
      <c r="BS590" s="66">
        <f>IF(N(W590)&gt;0,W590,0)</f>
        <v/>
      </c>
      <c r="BT590" s="58">
        <f>IF(ISNUMBER(Z590),1,0)</f>
        <v/>
      </c>
      <c r="BU590" s="55">
        <f>N(Z590)</f>
        <v/>
      </c>
      <c r="BV590" s="55">
        <f>N(L590)+N(M590)</f>
        <v/>
      </c>
      <c r="BW590" s="55">
        <f>ROUNDUP(G590/BN590,0)</f>
        <v/>
      </c>
      <c r="BX590" s="55">
        <f>ROUNDUP(BU590/BN590,0)</f>
        <v/>
      </c>
      <c r="BY590" s="58">
        <f>IF(BO590=1,0,IFERROR(VLOOKUP(BM590,'Gebinde-Kategorie'!$A$5:$G$45,5,0)+0,0))</f>
        <v/>
      </c>
      <c r="BZ590" s="58">
        <f>IFERROR(IF(OR(BQ590=1,BQ590=2,BQ590=3),N(INDEX(Parameter!$I$5:$I$7,BQ590)),0),0)</f>
        <v/>
      </c>
    </row>
    <row r="591">
      <c r="A591" s="53" t="inlineStr">
        <is>
          <t>111240</t>
        </is>
      </c>
      <c r="B591" s="53" t="inlineStr">
        <is>
          <t>Blende</t>
        </is>
      </c>
      <c r="C591" s="53" t="inlineStr">
        <is>
          <t>F</t>
        </is>
      </c>
      <c r="D591" s="53" t="inlineStr">
        <is>
          <t>KTL</t>
        </is>
      </c>
      <c r="E591" s="53" t="inlineStr">
        <is>
          <t>C</t>
        </is>
      </c>
      <c r="F591" s="54" t="n">
        <v>2.6</v>
      </c>
      <c r="G591" s="55">
        <f>MAX(0,IF(Parameter!$B$20="Jahresanfang 2025 + Export",BG591+BF591,BF591))</f>
        <v/>
      </c>
      <c r="H591" s="55">
        <f>G591*F591</f>
        <v/>
      </c>
      <c r="I591" s="55">
        <f>BI591*Parameter!$B$18</f>
        <v/>
      </c>
      <c r="J591" s="56" t="n">
        <v>9</v>
      </c>
      <c r="K591" s="57" t="n">
        <v>0.2222222222222222</v>
      </c>
      <c r="L591" s="55" t="n">
        <v>0</v>
      </c>
      <c r="M591" s="55" t="n">
        <v>10</v>
      </c>
      <c r="N591" s="58" t="n">
        <v>14</v>
      </c>
      <c r="O591" s="53" t="inlineStr">
        <is>
          <t>S21</t>
        </is>
      </c>
      <c r="P591" s="55" t="n">
        <v>20</v>
      </c>
      <c r="Q591" s="59">
        <f>IF(BO591=1,0,IFERROR(VLOOKUP(BM591,'Gebinde-Kategorie'!$A$5:$G$45,6,0)+0,0))</f>
        <v/>
      </c>
      <c r="R591" s="60" t="n"/>
      <c r="S591" s="61" t="n"/>
      <c r="T591" s="61" t="n"/>
      <c r="U591" s="53">
        <f>IF(A591="","",IF(IFERROR(VLOOKUP(D591,Parameter!$A$35:$C$64,2,0),"Nein")="2+3",IF(ISNUMBER(SEARCH("grosser Artikel",BJ591)),2,IFERROR(VLOOKUP(BM591,Parameter!$F$35:$G$64,2,0),2)),IF(OR(IFERROR(VLOOKUP(D591,Parameter!$A$35:$C$64,2,0),"Nein")="Nein",IFERROR(VLOOKUP(D591,Parameter!$A$35:$C$64,2,0),"Nein")=""),"-",VLOOKUP(D591,Parameter!$A$35:$C$64,2,0))))</f>
        <v/>
      </c>
      <c r="V591" s="61" t="n"/>
      <c r="W591" s="62" t="n"/>
      <c r="X591" s="55">
        <f>AM591</f>
        <v/>
      </c>
      <c r="Y591" s="55">
        <f>MAX(AM591,G591)</f>
        <v/>
      </c>
      <c r="Z591" s="63" t="n"/>
      <c r="AA591" s="55">
        <f>IF(LEFT(Cockpit!$C$5,1)="A",G591,IF(BT591=1,BU591,IF(LEFT(Cockpit!$C$5,1)="B",AE591,MAX(AE591,G591))))</f>
        <v/>
      </c>
      <c r="AB591" s="55">
        <f>IF(BO591=1,0,ROUNDUP(AA591/BN591,0))</f>
        <v/>
      </c>
      <c r="AC591" s="64">
        <f>IF(BO591=1,IF(AA591&lt;=0,0,BP591*MAX(1,IF(G591&gt;0,AA591/G591,1))),AB591*Q591)</f>
        <v/>
      </c>
      <c r="AD591" s="55">
        <f>AA591*F591</f>
        <v/>
      </c>
      <c r="AE591" s="55">
        <f>ROUNDUP(MAX(I591/IF(BS591&gt;0,BS591,MAX(0.1,N(Cockpit!$C$6))),BV591)/BN591,0)*BN591</f>
        <v/>
      </c>
      <c r="AF591" s="56">
        <f>IF(AC591&gt;0,I591/AC591,-1)</f>
        <v/>
      </c>
      <c r="AG591" s="56">
        <f>IF(AND(OR(BR591="L1",BR591="L23"),AC591&gt;0),SUMIFS($AC$7:$AC$1570,$BR$7:$BR$1570,BR591,$AF$7:$AF$1570,"&gt;"&amp;AF591)+SUMIFS($AC$7:$AC$1570,$BR$7:$BR$1570,BR591,$AF$7:$AF$1570,AF591,$BL$7:$BL$1570,"&lt;="&amp;BL591),"")</f>
        <v/>
      </c>
      <c r="AH591" s="65">
        <f>IF(AG591="",0,MAX(0,MIN(1,(IF(BR591="L1",Parameter!$K$5,Parameter!$K$6+Parameter!$K$7)-(AG591-AC591))/AC591)))</f>
        <v/>
      </c>
      <c r="AI591" s="55">
        <f>IF(LEFT(Cockpit!$I$5,1)="A",G591,IF(BT591=1,BU591,IF(LEFT(Cockpit!$I$5,1)="B",AM591,MAX(AM591,G591))))</f>
        <v/>
      </c>
      <c r="AJ591" s="55">
        <f>IF(BO591=1,0,ROUNDUP(AI591/BN591,0))</f>
        <v/>
      </c>
      <c r="AK591" s="64">
        <f>IF(BO591=1,IF(AI591&lt;=0,0,BP591*MAX(1,IF(G591&gt;0,AI591/G591,1))),AJ591*Q591)</f>
        <v/>
      </c>
      <c r="AL591" s="55">
        <f>AI591*F591</f>
        <v/>
      </c>
      <c r="AM591" s="55">
        <f>ROUNDUP(MAX(I591/IF(BS591&gt;0,BS591,MAX(0.1,N(Cockpit!$I$6))),BV591)/BN591,0)*BN591</f>
        <v/>
      </c>
      <c r="AN591" s="56">
        <f>IF(AK591&gt;0,I591/AK591,-1)</f>
        <v/>
      </c>
      <c r="AO591" s="56">
        <f>IF(AND(OR(BR591="L1",BR591="L23"),AK591&gt;0),SUMIFS($AK$7:$AK$1570,$BR$7:$BR$1570,BR591,$AN$7:$AN$1570,"&gt;"&amp;AN591)+SUMIFS($AK$7:$AK$1570,$BR$7:$BR$1570,BR591,$AN$7:$AN$1570,AN591,$BL$7:$BL$1570,"&lt;="&amp;BL591),"")</f>
        <v/>
      </c>
      <c r="AP591" s="65">
        <f>IF(AO591="",0,MAX(0,MIN(1,(IF(BR591="L1",Parameter!$K$5,Parameter!$K$6+Parameter!$K$7)-(AO591-AK591))/AK591)))</f>
        <v/>
      </c>
      <c r="AQ591" s="55">
        <f>IF(LEFT(Cockpit!$O$5,1)="A",G591,IF(BT591=1,BU591,IF(LEFT(Cockpit!$O$5,1)="B",AU591,MAX(AU591,G591))))</f>
        <v/>
      </c>
      <c r="AR591" s="55">
        <f>IF(BO591=1,0,ROUNDUP(AQ591/BN591,0))</f>
        <v/>
      </c>
      <c r="AS591" s="64">
        <f>IF(BO591=1,IF(AQ591&lt;=0,0,BP591*MAX(1,IF(G591&gt;0,AQ591/G591,1))),AR591*Q591)</f>
        <v/>
      </c>
      <c r="AT591" s="55">
        <f>AQ591*F591</f>
        <v/>
      </c>
      <c r="AU591" s="55">
        <f>ROUNDUP(MAX(I591/IF(BS591&gt;0,BS591,MAX(0.1,N(Cockpit!$O$6))),BV591)/BN591,0)*BN591</f>
        <v/>
      </c>
      <c r="AV591" s="56">
        <f>IF(AS591&gt;0,I591/AS591,-1)</f>
        <v/>
      </c>
      <c r="AW591" s="56">
        <f>IF(AND(OR(BR591="L1",BR591="L23"),AS591&gt;0),SUMIFS($AS$7:$AS$1570,$BR$7:$BR$1570,BR591,$AV$7:$AV$1570,"&gt;"&amp;AV591)+SUMIFS($AS$7:$AS$1570,$BR$7:$BR$1570,BR591,$AV$7:$AV$1570,AV591,$BL$7:$BL$1570,"&lt;="&amp;BL591),"")</f>
        <v/>
      </c>
      <c r="AX591" s="65">
        <f>IF(AW591="",0,MAX(0,MIN(1,(IF(BR591="L1",Parameter!$K$5,Parameter!$K$6+Parameter!$K$7)-(AW591-AS591))/AS591)))</f>
        <v/>
      </c>
      <c r="AY591" s="53">
        <f>IF(AC591&lt;=0,"",IF(BR591="Aussen","Aussenlager",IF(BR591="-","Nicht im Lift",IF(AH591&gt;=1,"Lift",IF(AH591&lt;=0,"Aussenlager","teilweise")))))</f>
        <v/>
      </c>
      <c r="AZ591" s="53">
        <f>IF(AK591&lt;=0,"",IF(BR591="Aussen","Aussenlager",IF(BR591="-","Nicht im Lift",IF(AP591&gt;=1,"Lift",IF(AP591&lt;=0,"Aussenlager","teilweise")))))</f>
        <v/>
      </c>
      <c r="BA591" s="53">
        <f>IF(AS591&lt;=0,"",IF(BR591="Aussen","Aussenlager",IF(BR591="-","Nicht im Lift",IF(AX591&gt;=1,"Lift",IF(AX591&lt;=0,"Aussenlager","teilweise")))))</f>
        <v/>
      </c>
      <c r="BB591" s="53">
        <f>IF(A591="","",IF(BK591=1,"Neu; ","")&amp;IF(AND(BK591=0,BF591&lt;0),"negativer Bestand (Export "&amp;BF591&amp;"); ","")&amp;IF(I591&lt;=0,"Kein Verbrauch; ","")&amp;IF(BO591=1,"Lose – Fläche geschätzt; ","")&amp;IF(G591&gt;AM591,"Überbestand "&amp;ROUND(G591-AM591,0)&amp;" Stk / CHF "&amp;ROUND((G591-AM591)*F591,0)&amp;"; ","")&amp;IF(AND(BT591=1,BU591&lt;BV591),"MAX &lt; MB+LG; ","")&amp;IF(AND(BZ591&gt;0,BY591*10&gt;BZ591),"zu hoch für Tablar; ","")&amp;IF(AND(BK591=0,OR(BT591=1,V591&lt;&gt;"",S591&lt;&gt;"",T591&lt;&gt;"",W591&lt;&gt;"")),"manuell übersteuert; ","")&amp;IF(AND(BO591=0,Q591=0),"Gebinde unbekannt; ","")&amp;IF(AND(BO591=0,N(T591)&lt;=0,N(P591)&lt;=0),"Menge pro Gebinde fehlt (Ist = 1 Gebinde); ","")&amp;BJ591)</f>
        <v/>
      </c>
      <c r="BC591" s="53" t="n"/>
      <c r="BD591" s="53" t="n"/>
      <c r="BE591" s="61" t="n"/>
      <c r="BF591" s="55" t="n">
        <v>3</v>
      </c>
      <c r="BG591" s="55" t="n">
        <v>0</v>
      </c>
      <c r="BH591" s="54" t="n">
        <v>7.799999999999997</v>
      </c>
      <c r="BI591" s="55" t="n">
        <v>2</v>
      </c>
      <c r="BJ591" s="53" t="inlineStr"/>
      <c r="BK591" s="58" t="n">
        <v>0</v>
      </c>
      <c r="BL591" s="58" t="n">
        <v>591</v>
      </c>
      <c r="BM591" s="53">
        <f>IF(S591&lt;&gt;"",UPPER(TRIM(S591)),IF(O591="","LOSE",O591))</f>
        <v/>
      </c>
      <c r="BN591" s="55">
        <f>IF(BM591="LOSE",1,IF(N(T591)&gt;0,T591,IF(N(P591)&gt;0,P591,MAX(1,G591))))</f>
        <v/>
      </c>
      <c r="BO591" s="58">
        <f>IF(BM591="LOSE",1,0)</f>
        <v/>
      </c>
      <c r="BP591" s="64">
        <f>IF(BO591=0,0,IF(N(R591)&gt;0,R591,IFERROR(VLOOKUP(D591,Parameter!$A$35:$C$64,3,0)+0,0)))</f>
        <v/>
      </c>
      <c r="BQ591" s="53">
        <f>IF(V591&lt;&gt;"",V591,U591)</f>
        <v/>
      </c>
      <c r="BR591" s="53">
        <f>IF(BQ591=1,"L1",IF(OR(BQ591=2,BQ591=3),"L23",IF(BQ591="Aussen","Aussen","-")))</f>
        <v/>
      </c>
      <c r="BS591" s="66">
        <f>IF(N(W591)&gt;0,W591,0)</f>
        <v/>
      </c>
      <c r="BT591" s="58">
        <f>IF(ISNUMBER(Z591),1,0)</f>
        <v/>
      </c>
      <c r="BU591" s="55">
        <f>N(Z591)</f>
        <v/>
      </c>
      <c r="BV591" s="55">
        <f>N(L591)+N(M591)</f>
        <v/>
      </c>
      <c r="BW591" s="55">
        <f>ROUNDUP(G591/BN591,0)</f>
        <v/>
      </c>
      <c r="BX591" s="55">
        <f>ROUNDUP(BU591/BN591,0)</f>
        <v/>
      </c>
      <c r="BY591" s="58">
        <f>IF(BO591=1,0,IFERROR(VLOOKUP(BM591,'Gebinde-Kategorie'!$A$5:$G$45,5,0)+0,0))</f>
        <v/>
      </c>
      <c r="BZ591" s="58">
        <f>IFERROR(IF(OR(BQ591=1,BQ591=2,BQ591=3),N(INDEX(Parameter!$I$5:$I$7,BQ591)),0),0)</f>
        <v/>
      </c>
    </row>
    <row r="592">
      <c r="A592" s="53" t="inlineStr">
        <is>
          <t>002026</t>
        </is>
      </c>
      <c r="B592" s="53" t="inlineStr">
        <is>
          <t>Schraubenzieher</t>
        </is>
      </c>
      <c r="C592" s="53" t="inlineStr">
        <is>
          <t>F</t>
        </is>
      </c>
      <c r="D592" s="53" t="inlineStr">
        <is>
          <t>KTL</t>
        </is>
      </c>
      <c r="E592" s="53" t="inlineStr">
        <is>
          <t>C</t>
        </is>
      </c>
      <c r="F592" s="54" t="n">
        <v>7.76</v>
      </c>
      <c r="G592" s="55">
        <f>MAX(0,IF(Parameter!$B$20="Jahresanfang 2025 + Export",BG592+BF592,BF592))</f>
        <v/>
      </c>
      <c r="H592" s="55">
        <f>G592*F592</f>
        <v/>
      </c>
      <c r="I592" s="55">
        <f>BI592*Parameter!$B$18</f>
        <v/>
      </c>
      <c r="J592" s="56" t="n">
        <v>2.5</v>
      </c>
      <c r="K592" s="57" t="n">
        <v>0</v>
      </c>
      <c r="L592" s="55" t="n">
        <v>0</v>
      </c>
      <c r="M592" s="55" t="n">
        <v>1</v>
      </c>
      <c r="N592" s="58" t="n">
        <v>14</v>
      </c>
      <c r="O592" s="53" t="inlineStr">
        <is>
          <t>S33</t>
        </is>
      </c>
      <c r="P592" s="55" t="n">
        <v>30</v>
      </c>
      <c r="Q592" s="59">
        <f>IF(BO592=1,0,IFERROR(VLOOKUP(BM592,'Gebinde-Kategorie'!$A$5:$G$45,6,0)+0,0))</f>
        <v/>
      </c>
      <c r="R592" s="60" t="n"/>
      <c r="S592" s="61" t="n"/>
      <c r="T592" s="61" t="n"/>
      <c r="U592" s="53">
        <f>IF(A592="","",IF(IFERROR(VLOOKUP(D592,Parameter!$A$35:$C$64,2,0),"Nein")="2+3",IF(ISNUMBER(SEARCH("grosser Artikel",BJ592)),2,IFERROR(VLOOKUP(BM592,Parameter!$F$35:$G$64,2,0),2)),IF(OR(IFERROR(VLOOKUP(D592,Parameter!$A$35:$C$64,2,0),"Nein")="Nein",IFERROR(VLOOKUP(D592,Parameter!$A$35:$C$64,2,0),"Nein")=""),"-",VLOOKUP(D592,Parameter!$A$35:$C$64,2,0))))</f>
        <v/>
      </c>
      <c r="V592" s="61" t="n"/>
      <c r="W592" s="62" t="n"/>
      <c r="X592" s="55">
        <f>AM592</f>
        <v/>
      </c>
      <c r="Y592" s="55">
        <f>MAX(AM592,G592)</f>
        <v/>
      </c>
      <c r="Z592" s="63" t="n"/>
      <c r="AA592" s="55">
        <f>IF(LEFT(Cockpit!$C$5,1)="A",G592,IF(BT592=1,BU592,IF(LEFT(Cockpit!$C$5,1)="B",AE592,MAX(AE592,G592))))</f>
        <v/>
      </c>
      <c r="AB592" s="55">
        <f>IF(BO592=1,0,ROUNDUP(AA592/BN592,0))</f>
        <v/>
      </c>
      <c r="AC592" s="64">
        <f>IF(BO592=1,IF(AA592&lt;=0,0,BP592*MAX(1,IF(G592&gt;0,AA592/G592,1))),AB592*Q592)</f>
        <v/>
      </c>
      <c r="AD592" s="55">
        <f>AA592*F592</f>
        <v/>
      </c>
      <c r="AE592" s="55">
        <f>ROUNDUP(MAX(I592/IF(BS592&gt;0,BS592,MAX(0.1,N(Cockpit!$C$6))),BV592)/BN592,0)*BN592</f>
        <v/>
      </c>
      <c r="AF592" s="56">
        <f>IF(AC592&gt;0,I592/AC592,-1)</f>
        <v/>
      </c>
      <c r="AG592" s="56">
        <f>IF(AND(OR(BR592="L1",BR592="L23"),AC592&gt;0),SUMIFS($AC$7:$AC$1570,$BR$7:$BR$1570,BR592,$AF$7:$AF$1570,"&gt;"&amp;AF592)+SUMIFS($AC$7:$AC$1570,$BR$7:$BR$1570,BR592,$AF$7:$AF$1570,AF592,$BL$7:$BL$1570,"&lt;="&amp;BL592),"")</f>
        <v/>
      </c>
      <c r="AH592" s="65">
        <f>IF(AG592="",0,MAX(0,MIN(1,(IF(BR592="L1",Parameter!$K$5,Parameter!$K$6+Parameter!$K$7)-(AG592-AC592))/AC592)))</f>
        <v/>
      </c>
      <c r="AI592" s="55">
        <f>IF(LEFT(Cockpit!$I$5,1)="A",G592,IF(BT592=1,BU592,IF(LEFT(Cockpit!$I$5,1)="B",AM592,MAX(AM592,G592))))</f>
        <v/>
      </c>
      <c r="AJ592" s="55">
        <f>IF(BO592=1,0,ROUNDUP(AI592/BN592,0))</f>
        <v/>
      </c>
      <c r="AK592" s="64">
        <f>IF(BO592=1,IF(AI592&lt;=0,0,BP592*MAX(1,IF(G592&gt;0,AI592/G592,1))),AJ592*Q592)</f>
        <v/>
      </c>
      <c r="AL592" s="55">
        <f>AI592*F592</f>
        <v/>
      </c>
      <c r="AM592" s="55">
        <f>ROUNDUP(MAX(I592/IF(BS592&gt;0,BS592,MAX(0.1,N(Cockpit!$I$6))),BV592)/BN592,0)*BN592</f>
        <v/>
      </c>
      <c r="AN592" s="56">
        <f>IF(AK592&gt;0,I592/AK592,-1)</f>
        <v/>
      </c>
      <c r="AO592" s="56">
        <f>IF(AND(OR(BR592="L1",BR592="L23"),AK592&gt;0),SUMIFS($AK$7:$AK$1570,$BR$7:$BR$1570,BR592,$AN$7:$AN$1570,"&gt;"&amp;AN592)+SUMIFS($AK$7:$AK$1570,$BR$7:$BR$1570,BR592,$AN$7:$AN$1570,AN592,$BL$7:$BL$1570,"&lt;="&amp;BL592),"")</f>
        <v/>
      </c>
      <c r="AP592" s="65">
        <f>IF(AO592="",0,MAX(0,MIN(1,(IF(BR592="L1",Parameter!$K$5,Parameter!$K$6+Parameter!$K$7)-(AO592-AK592))/AK592)))</f>
        <v/>
      </c>
      <c r="AQ592" s="55">
        <f>IF(LEFT(Cockpit!$O$5,1)="A",G592,IF(BT592=1,BU592,IF(LEFT(Cockpit!$O$5,1)="B",AU592,MAX(AU592,G592))))</f>
        <v/>
      </c>
      <c r="AR592" s="55">
        <f>IF(BO592=1,0,ROUNDUP(AQ592/BN592,0))</f>
        <v/>
      </c>
      <c r="AS592" s="64">
        <f>IF(BO592=1,IF(AQ592&lt;=0,0,BP592*MAX(1,IF(G592&gt;0,AQ592/G592,1))),AR592*Q592)</f>
        <v/>
      </c>
      <c r="AT592" s="55">
        <f>AQ592*F592</f>
        <v/>
      </c>
      <c r="AU592" s="55">
        <f>ROUNDUP(MAX(I592/IF(BS592&gt;0,BS592,MAX(0.1,N(Cockpit!$O$6))),BV592)/BN592,0)*BN592</f>
        <v/>
      </c>
      <c r="AV592" s="56">
        <f>IF(AS592&gt;0,I592/AS592,-1)</f>
        <v/>
      </c>
      <c r="AW592" s="56">
        <f>IF(AND(OR(BR592="L1",BR592="L23"),AS592&gt;0),SUMIFS($AS$7:$AS$1570,$BR$7:$BR$1570,BR592,$AV$7:$AV$1570,"&gt;"&amp;AV592)+SUMIFS($AS$7:$AS$1570,$BR$7:$BR$1570,BR592,$AV$7:$AV$1570,AV592,$BL$7:$BL$1570,"&lt;="&amp;BL592),"")</f>
        <v/>
      </c>
      <c r="AX592" s="65">
        <f>IF(AW592="",0,MAX(0,MIN(1,(IF(BR592="L1",Parameter!$K$5,Parameter!$K$6+Parameter!$K$7)-(AW592-AS592))/AS592)))</f>
        <v/>
      </c>
      <c r="AY592" s="53">
        <f>IF(AC592&lt;=0,"",IF(BR592="Aussen","Aussenlager",IF(BR592="-","Nicht im Lift",IF(AH592&gt;=1,"Lift",IF(AH592&lt;=0,"Aussenlager","teilweise")))))</f>
        <v/>
      </c>
      <c r="AZ592" s="53">
        <f>IF(AK592&lt;=0,"",IF(BR592="Aussen","Aussenlager",IF(BR592="-","Nicht im Lift",IF(AP592&gt;=1,"Lift",IF(AP592&lt;=0,"Aussenlager","teilweise")))))</f>
        <v/>
      </c>
      <c r="BA592" s="53">
        <f>IF(AS592&lt;=0,"",IF(BR592="Aussen","Aussenlager",IF(BR592="-","Nicht im Lift",IF(AX592&gt;=1,"Lift",IF(AX592&lt;=0,"Aussenlager","teilweise")))))</f>
        <v/>
      </c>
      <c r="BB592" s="53">
        <f>IF(A592="","",IF(BK592=1,"Neu; ","")&amp;IF(AND(BK592=0,BF592&lt;0),"negativer Bestand (Export "&amp;BF592&amp;"); ","")&amp;IF(I592&lt;=0,"Kein Verbrauch; ","")&amp;IF(BO592=1,"Lose – Fläche geschätzt; ","")&amp;IF(G592&gt;AM592,"Überbestand "&amp;ROUND(G592-AM592,0)&amp;" Stk / CHF "&amp;ROUND((G592-AM592)*F592,0)&amp;"; ","")&amp;IF(AND(BT592=1,BU592&lt;BV592),"MAX &lt; MB+LG; ","")&amp;IF(AND(BZ592&gt;0,BY592*10&gt;BZ592),"zu hoch für Tablar; ","")&amp;IF(AND(BK592=0,OR(BT592=1,V592&lt;&gt;"",S592&lt;&gt;"",T592&lt;&gt;"",W592&lt;&gt;"")),"manuell übersteuert; ","")&amp;IF(AND(BO592=0,Q592=0),"Gebinde unbekannt; ","")&amp;IF(AND(BO592=0,N(T592)&lt;=0,N(P592)&lt;=0),"Menge pro Gebinde fehlt (Ist = 1 Gebinde); ","")&amp;BJ592)</f>
        <v/>
      </c>
      <c r="BC592" s="53" t="n"/>
      <c r="BD592" s="53" t="n"/>
      <c r="BE592" s="61" t="n"/>
      <c r="BF592" s="55" t="n">
        <v>1</v>
      </c>
      <c r="BG592" s="55" t="n">
        <v>2</v>
      </c>
      <c r="BH592" s="54" t="n">
        <v>7.76</v>
      </c>
      <c r="BI592" s="55" t="n">
        <v>0</v>
      </c>
      <c r="BJ592" s="53" t="inlineStr"/>
      <c r="BK592" s="58" t="n">
        <v>0</v>
      </c>
      <c r="BL592" s="58" t="n">
        <v>592</v>
      </c>
      <c r="BM592" s="53">
        <f>IF(S592&lt;&gt;"",UPPER(TRIM(S592)),IF(O592="","LOSE",O592))</f>
        <v/>
      </c>
      <c r="BN592" s="55">
        <f>IF(BM592="LOSE",1,IF(N(T592)&gt;0,T592,IF(N(P592)&gt;0,P592,MAX(1,G592))))</f>
        <v/>
      </c>
      <c r="BO592" s="58">
        <f>IF(BM592="LOSE",1,0)</f>
        <v/>
      </c>
      <c r="BP592" s="64">
        <f>IF(BO592=0,0,IF(N(R592)&gt;0,R592,IFERROR(VLOOKUP(D592,Parameter!$A$35:$C$64,3,0)+0,0)))</f>
        <v/>
      </c>
      <c r="BQ592" s="53">
        <f>IF(V592&lt;&gt;"",V592,U592)</f>
        <v/>
      </c>
      <c r="BR592" s="53">
        <f>IF(BQ592=1,"L1",IF(OR(BQ592=2,BQ592=3),"L23",IF(BQ592="Aussen","Aussen","-")))</f>
        <v/>
      </c>
      <c r="BS592" s="66">
        <f>IF(N(W592)&gt;0,W592,0)</f>
        <v/>
      </c>
      <c r="BT592" s="58">
        <f>IF(ISNUMBER(Z592),1,0)</f>
        <v/>
      </c>
      <c r="BU592" s="55">
        <f>N(Z592)</f>
        <v/>
      </c>
      <c r="BV592" s="55">
        <f>N(L592)+N(M592)</f>
        <v/>
      </c>
      <c r="BW592" s="55">
        <f>ROUNDUP(G592/BN592,0)</f>
        <v/>
      </c>
      <c r="BX592" s="55">
        <f>ROUNDUP(BU592/BN592,0)</f>
        <v/>
      </c>
      <c r="BY592" s="58">
        <f>IF(BO592=1,0,IFERROR(VLOOKUP(BM592,'Gebinde-Kategorie'!$A$5:$G$45,5,0)+0,0))</f>
        <v/>
      </c>
      <c r="BZ592" s="58">
        <f>IFERROR(IF(OR(BQ592=1,BQ592=2,BQ592=3),N(INDEX(Parameter!$I$5:$I$7,BQ592)),0),0)</f>
        <v/>
      </c>
    </row>
    <row r="593">
      <c r="A593" s="53" t="inlineStr">
        <is>
          <t>005255</t>
        </is>
      </c>
      <c r="B593" s="53" t="inlineStr">
        <is>
          <t>Zylinderschraube mit Innensechskant</t>
        </is>
      </c>
      <c r="C593" s="53" t="inlineStr">
        <is>
          <t>F</t>
        </is>
      </c>
      <c r="D593" s="53" t="inlineStr">
        <is>
          <t>KTL</t>
        </is>
      </c>
      <c r="E593" s="53" t="inlineStr">
        <is>
          <t>C</t>
        </is>
      </c>
      <c r="F593" s="54" t="n">
        <v>1.23</v>
      </c>
      <c r="G593" s="55">
        <f>MAX(0,IF(Parameter!$B$20="Jahresanfang 2025 + Export",BG593+BF593,BF593))</f>
        <v/>
      </c>
      <c r="H593" s="55">
        <f>G593*F593</f>
        <v/>
      </c>
      <c r="I593" s="55">
        <f>BI593*Parameter!$B$18</f>
        <v/>
      </c>
      <c r="J593" s="56" t="n">
        <v>263</v>
      </c>
      <c r="K593" s="57" t="n">
        <v>0</v>
      </c>
      <c r="L593" s="55" t="n">
        <v>0</v>
      </c>
      <c r="M593" s="55" t="n">
        <v>1</v>
      </c>
      <c r="N593" s="58" t="n">
        <v>21</v>
      </c>
      <c r="O593" s="53" t="inlineStr">
        <is>
          <t>S52</t>
        </is>
      </c>
      <c r="P593" s="55" t="n">
        <v>286</v>
      </c>
      <c r="Q593" s="59">
        <f>IF(BO593=1,0,IFERROR(VLOOKUP(BM593,'Gebinde-Kategorie'!$A$5:$G$45,6,0)+0,0))</f>
        <v/>
      </c>
      <c r="R593" s="60" t="n"/>
      <c r="S593" s="61" t="n"/>
      <c r="T593" s="61" t="n"/>
      <c r="U593" s="53">
        <f>IF(A593="","",IF(IFERROR(VLOOKUP(D593,Parameter!$A$35:$C$64,2,0),"Nein")="2+3",IF(ISNUMBER(SEARCH("grosser Artikel",BJ593)),2,IFERROR(VLOOKUP(BM593,Parameter!$F$35:$G$64,2,0),2)),IF(OR(IFERROR(VLOOKUP(D593,Parameter!$A$35:$C$64,2,0),"Nein")="Nein",IFERROR(VLOOKUP(D593,Parameter!$A$35:$C$64,2,0),"Nein")=""),"-",VLOOKUP(D593,Parameter!$A$35:$C$64,2,0))))</f>
        <v/>
      </c>
      <c r="V593" s="61" t="n"/>
      <c r="W593" s="62" t="n"/>
      <c r="X593" s="55">
        <f>AM593</f>
        <v/>
      </c>
      <c r="Y593" s="55">
        <f>MAX(AM593,G593)</f>
        <v/>
      </c>
      <c r="Z593" s="63" t="n"/>
      <c r="AA593" s="55">
        <f>IF(LEFT(Cockpit!$C$5,1)="A",G593,IF(BT593=1,BU593,IF(LEFT(Cockpit!$C$5,1)="B",AE593,MAX(AE593,G593))))</f>
        <v/>
      </c>
      <c r="AB593" s="55">
        <f>IF(BO593=1,0,ROUNDUP(AA593/BN593,0))</f>
        <v/>
      </c>
      <c r="AC593" s="64">
        <f>IF(BO593=1,IF(AA593&lt;=0,0,BP593*MAX(1,IF(G593&gt;0,AA593/G593,1))),AB593*Q593)</f>
        <v/>
      </c>
      <c r="AD593" s="55">
        <f>AA593*F593</f>
        <v/>
      </c>
      <c r="AE593" s="55">
        <f>ROUNDUP(MAX(I593/IF(BS593&gt;0,BS593,MAX(0.1,N(Cockpit!$C$6))),BV593)/BN593,0)*BN593</f>
        <v/>
      </c>
      <c r="AF593" s="56">
        <f>IF(AC593&gt;0,I593/AC593,-1)</f>
        <v/>
      </c>
      <c r="AG593" s="56">
        <f>IF(AND(OR(BR593="L1",BR593="L23"),AC593&gt;0),SUMIFS($AC$7:$AC$1570,$BR$7:$BR$1570,BR593,$AF$7:$AF$1570,"&gt;"&amp;AF593)+SUMIFS($AC$7:$AC$1570,$BR$7:$BR$1570,BR593,$AF$7:$AF$1570,AF593,$BL$7:$BL$1570,"&lt;="&amp;BL593),"")</f>
        <v/>
      </c>
      <c r="AH593" s="65">
        <f>IF(AG593="",0,MAX(0,MIN(1,(IF(BR593="L1",Parameter!$K$5,Parameter!$K$6+Parameter!$K$7)-(AG593-AC593))/AC593)))</f>
        <v/>
      </c>
      <c r="AI593" s="55">
        <f>IF(LEFT(Cockpit!$I$5,1)="A",G593,IF(BT593=1,BU593,IF(LEFT(Cockpit!$I$5,1)="B",AM593,MAX(AM593,G593))))</f>
        <v/>
      </c>
      <c r="AJ593" s="55">
        <f>IF(BO593=1,0,ROUNDUP(AI593/BN593,0))</f>
        <v/>
      </c>
      <c r="AK593" s="64">
        <f>IF(BO593=1,IF(AI593&lt;=0,0,BP593*MAX(1,IF(G593&gt;0,AI593/G593,1))),AJ593*Q593)</f>
        <v/>
      </c>
      <c r="AL593" s="55">
        <f>AI593*F593</f>
        <v/>
      </c>
      <c r="AM593" s="55">
        <f>ROUNDUP(MAX(I593/IF(BS593&gt;0,BS593,MAX(0.1,N(Cockpit!$I$6))),BV593)/BN593,0)*BN593</f>
        <v/>
      </c>
      <c r="AN593" s="56">
        <f>IF(AK593&gt;0,I593/AK593,-1)</f>
        <v/>
      </c>
      <c r="AO593" s="56">
        <f>IF(AND(OR(BR593="L1",BR593="L23"),AK593&gt;0),SUMIFS($AK$7:$AK$1570,$BR$7:$BR$1570,BR593,$AN$7:$AN$1570,"&gt;"&amp;AN593)+SUMIFS($AK$7:$AK$1570,$BR$7:$BR$1570,BR593,$AN$7:$AN$1570,AN593,$BL$7:$BL$1570,"&lt;="&amp;BL593),"")</f>
        <v/>
      </c>
      <c r="AP593" s="65">
        <f>IF(AO593="",0,MAX(0,MIN(1,(IF(BR593="L1",Parameter!$K$5,Parameter!$K$6+Parameter!$K$7)-(AO593-AK593))/AK593)))</f>
        <v/>
      </c>
      <c r="AQ593" s="55">
        <f>IF(LEFT(Cockpit!$O$5,1)="A",G593,IF(BT593=1,BU593,IF(LEFT(Cockpit!$O$5,1)="B",AU593,MAX(AU593,G593))))</f>
        <v/>
      </c>
      <c r="AR593" s="55">
        <f>IF(BO593=1,0,ROUNDUP(AQ593/BN593,0))</f>
        <v/>
      </c>
      <c r="AS593" s="64">
        <f>IF(BO593=1,IF(AQ593&lt;=0,0,BP593*MAX(1,IF(G593&gt;0,AQ593/G593,1))),AR593*Q593)</f>
        <v/>
      </c>
      <c r="AT593" s="55">
        <f>AQ593*F593</f>
        <v/>
      </c>
      <c r="AU593" s="55">
        <f>ROUNDUP(MAX(I593/IF(BS593&gt;0,BS593,MAX(0.1,N(Cockpit!$O$6))),BV593)/BN593,0)*BN593</f>
        <v/>
      </c>
      <c r="AV593" s="56">
        <f>IF(AS593&gt;0,I593/AS593,-1)</f>
        <v/>
      </c>
      <c r="AW593" s="56">
        <f>IF(AND(OR(BR593="L1",BR593="L23"),AS593&gt;0),SUMIFS($AS$7:$AS$1570,$BR$7:$BR$1570,BR593,$AV$7:$AV$1570,"&gt;"&amp;AV593)+SUMIFS($AS$7:$AS$1570,$BR$7:$BR$1570,BR593,$AV$7:$AV$1570,AV593,$BL$7:$BL$1570,"&lt;="&amp;BL593),"")</f>
        <v/>
      </c>
      <c r="AX593" s="65">
        <f>IF(AW593="",0,MAX(0,MIN(1,(IF(BR593="L1",Parameter!$K$5,Parameter!$K$6+Parameter!$K$7)-(AW593-AS593))/AS593)))</f>
        <v/>
      </c>
      <c r="AY593" s="53">
        <f>IF(AC593&lt;=0,"",IF(BR593="Aussen","Aussenlager",IF(BR593="-","Nicht im Lift",IF(AH593&gt;=1,"Lift",IF(AH593&lt;=0,"Aussenlager","teilweise")))))</f>
        <v/>
      </c>
      <c r="AZ593" s="53">
        <f>IF(AK593&lt;=0,"",IF(BR593="Aussen","Aussenlager",IF(BR593="-","Nicht im Lift",IF(AP593&gt;=1,"Lift",IF(AP593&lt;=0,"Aussenlager","teilweise")))))</f>
        <v/>
      </c>
      <c r="BA593" s="53">
        <f>IF(AS593&lt;=0,"",IF(BR593="Aussen","Aussenlager",IF(BR593="-","Nicht im Lift",IF(AX593&gt;=1,"Lift",IF(AX593&lt;=0,"Aussenlager","teilweise")))))</f>
        <v/>
      </c>
      <c r="BB593" s="53">
        <f>IF(A593="","",IF(BK593=1,"Neu; ","")&amp;IF(AND(BK593=0,BF593&lt;0),"negativer Bestand (Export "&amp;BF593&amp;"); ","")&amp;IF(I593&lt;=0,"Kein Verbrauch; ","")&amp;IF(BO593=1,"Lose – Fläche geschätzt; ","")&amp;IF(G593&gt;AM593,"Überbestand "&amp;ROUND(G593-AM593,0)&amp;" Stk / CHF "&amp;ROUND((G593-AM593)*F593,0)&amp;"; ","")&amp;IF(AND(BT593=1,BU593&lt;BV593),"MAX &lt; MB+LG; ","")&amp;IF(AND(BZ593&gt;0,BY593*10&gt;BZ593),"zu hoch für Tablar; ","")&amp;IF(AND(BK593=0,OR(BT593=1,V593&lt;&gt;"",S593&lt;&gt;"",T593&lt;&gt;"",W593&lt;&gt;"")),"manuell übersteuert; ","")&amp;IF(AND(BO593=0,Q593=0),"Gebinde unbekannt; ","")&amp;IF(AND(BO593=0,N(T593)&lt;=0,N(P593)&lt;=0),"Menge pro Gebinde fehlt (Ist = 1 Gebinde); ","")&amp;BJ593)</f>
        <v/>
      </c>
      <c r="BC593" s="53" t="n"/>
      <c r="BD593" s="53" t="n"/>
      <c r="BE593" s="61" t="n"/>
      <c r="BF593" s="55" t="n">
        <v>6</v>
      </c>
      <c r="BG593" s="55" t="n">
        <v>260</v>
      </c>
      <c r="BH593" s="54" t="n">
        <v>7.38</v>
      </c>
      <c r="BI593" s="55" t="n">
        <v>0</v>
      </c>
      <c r="BJ593" s="53" t="inlineStr">
        <is>
          <t>Überbestand</t>
        </is>
      </c>
      <c r="BK593" s="58" t="n">
        <v>0</v>
      </c>
      <c r="BL593" s="58" t="n">
        <v>593</v>
      </c>
      <c r="BM593" s="53">
        <f>IF(S593&lt;&gt;"",UPPER(TRIM(S593)),IF(O593="","LOSE",O593))</f>
        <v/>
      </c>
      <c r="BN593" s="55">
        <f>IF(BM593="LOSE",1,IF(N(T593)&gt;0,T593,IF(N(P593)&gt;0,P593,MAX(1,G593))))</f>
        <v/>
      </c>
      <c r="BO593" s="58">
        <f>IF(BM593="LOSE",1,0)</f>
        <v/>
      </c>
      <c r="BP593" s="64">
        <f>IF(BO593=0,0,IF(N(R593)&gt;0,R593,IFERROR(VLOOKUP(D593,Parameter!$A$35:$C$64,3,0)+0,0)))</f>
        <v/>
      </c>
      <c r="BQ593" s="53">
        <f>IF(V593&lt;&gt;"",V593,U593)</f>
        <v/>
      </c>
      <c r="BR593" s="53">
        <f>IF(BQ593=1,"L1",IF(OR(BQ593=2,BQ593=3),"L23",IF(BQ593="Aussen","Aussen","-")))</f>
        <v/>
      </c>
      <c r="BS593" s="66">
        <f>IF(N(W593)&gt;0,W593,0)</f>
        <v/>
      </c>
      <c r="BT593" s="58">
        <f>IF(ISNUMBER(Z593),1,0)</f>
        <v/>
      </c>
      <c r="BU593" s="55">
        <f>N(Z593)</f>
        <v/>
      </c>
      <c r="BV593" s="55">
        <f>N(L593)+N(M593)</f>
        <v/>
      </c>
      <c r="BW593" s="55">
        <f>ROUNDUP(G593/BN593,0)</f>
        <v/>
      </c>
      <c r="BX593" s="55">
        <f>ROUNDUP(BU593/BN593,0)</f>
        <v/>
      </c>
      <c r="BY593" s="58">
        <f>IF(BO593=1,0,IFERROR(VLOOKUP(BM593,'Gebinde-Kategorie'!$A$5:$G$45,5,0)+0,0))</f>
        <v/>
      </c>
      <c r="BZ593" s="58">
        <f>IFERROR(IF(OR(BQ593=1,BQ593=2,BQ593=3),N(INDEX(Parameter!$I$5:$I$7,BQ593)),0),0)</f>
        <v/>
      </c>
    </row>
    <row r="594">
      <c r="A594" s="53" t="inlineStr">
        <is>
          <t>100263</t>
        </is>
      </c>
      <c r="B594" s="53" t="inlineStr">
        <is>
          <t>Gewindestift</t>
        </is>
      </c>
      <c r="C594" s="53" t="inlineStr">
        <is>
          <t>F</t>
        </is>
      </c>
      <c r="D594" s="53" t="inlineStr">
        <is>
          <t>KTL</t>
        </is>
      </c>
      <c r="E594" s="53" t="inlineStr">
        <is>
          <t>C</t>
        </is>
      </c>
      <c r="F594" s="54" t="n">
        <v>0.01</v>
      </c>
      <c r="G594" s="55">
        <f>MAX(0,IF(Parameter!$B$20="Jahresanfang 2025 + Export",BG594+BF594,BF594))</f>
        <v/>
      </c>
      <c r="H594" s="55">
        <f>G594*F594</f>
        <v/>
      </c>
      <c r="I594" s="55">
        <f>BI594*Parameter!$B$18</f>
        <v/>
      </c>
      <c r="J594" s="56" t="n">
        <v>1235</v>
      </c>
      <c r="K594" s="57" t="n">
        <v>1.100404858299595</v>
      </c>
      <c r="L594" s="55" t="n">
        <v>79</v>
      </c>
      <c r="M594" s="55" t="n">
        <v>1000</v>
      </c>
      <c r="N594" s="58" t="n">
        <v>21</v>
      </c>
      <c r="O594" s="53" t="inlineStr">
        <is>
          <t>S32</t>
        </is>
      </c>
      <c r="P594" s="55" t="n">
        <v>326</v>
      </c>
      <c r="Q594" s="59">
        <f>IF(BO594=1,0,IFERROR(VLOOKUP(BM594,'Gebinde-Kategorie'!$A$5:$G$45,6,0)+0,0))</f>
        <v/>
      </c>
      <c r="R594" s="60" t="n"/>
      <c r="S594" s="61" t="n"/>
      <c r="T594" s="61" t="n"/>
      <c r="U594" s="53">
        <f>IF(A594="","",IF(IFERROR(VLOOKUP(D594,Parameter!$A$35:$C$64,2,0),"Nein")="2+3",IF(ISNUMBER(SEARCH("grosser Artikel",BJ594)),2,IFERROR(VLOOKUP(BM594,Parameter!$F$35:$G$64,2,0),2)),IF(OR(IFERROR(VLOOKUP(D594,Parameter!$A$35:$C$64,2,0),"Nein")="Nein",IFERROR(VLOOKUP(D594,Parameter!$A$35:$C$64,2,0),"Nein")=""),"-",VLOOKUP(D594,Parameter!$A$35:$C$64,2,0))))</f>
        <v/>
      </c>
      <c r="V594" s="61" t="n"/>
      <c r="W594" s="62" t="n"/>
      <c r="X594" s="55">
        <f>AM594</f>
        <v/>
      </c>
      <c r="Y594" s="55">
        <f>MAX(AM594,G594)</f>
        <v/>
      </c>
      <c r="Z594" s="63" t="n"/>
      <c r="AA594" s="55">
        <f>IF(LEFT(Cockpit!$C$5,1)="A",G594,IF(BT594=1,BU594,IF(LEFT(Cockpit!$C$5,1)="B",AE594,MAX(AE594,G594))))</f>
        <v/>
      </c>
      <c r="AB594" s="55">
        <f>IF(BO594=1,0,ROUNDUP(AA594/BN594,0))</f>
        <v/>
      </c>
      <c r="AC594" s="64">
        <f>IF(BO594=1,IF(AA594&lt;=0,0,BP594*MAX(1,IF(G594&gt;0,AA594/G594,1))),AB594*Q594)</f>
        <v/>
      </c>
      <c r="AD594" s="55">
        <f>AA594*F594</f>
        <v/>
      </c>
      <c r="AE594" s="55">
        <f>ROUNDUP(MAX(I594/IF(BS594&gt;0,BS594,MAX(0.1,N(Cockpit!$C$6))),BV594)/BN594,0)*BN594</f>
        <v/>
      </c>
      <c r="AF594" s="56">
        <f>IF(AC594&gt;0,I594/AC594,-1)</f>
        <v/>
      </c>
      <c r="AG594" s="56">
        <f>IF(AND(OR(BR594="L1",BR594="L23"),AC594&gt;0),SUMIFS($AC$7:$AC$1570,$BR$7:$BR$1570,BR594,$AF$7:$AF$1570,"&gt;"&amp;AF594)+SUMIFS($AC$7:$AC$1570,$BR$7:$BR$1570,BR594,$AF$7:$AF$1570,AF594,$BL$7:$BL$1570,"&lt;="&amp;BL594),"")</f>
        <v/>
      </c>
      <c r="AH594" s="65">
        <f>IF(AG594="",0,MAX(0,MIN(1,(IF(BR594="L1",Parameter!$K$5,Parameter!$K$6+Parameter!$K$7)-(AG594-AC594))/AC594)))</f>
        <v/>
      </c>
      <c r="AI594" s="55">
        <f>IF(LEFT(Cockpit!$I$5,1)="A",G594,IF(BT594=1,BU594,IF(LEFT(Cockpit!$I$5,1)="B",AM594,MAX(AM594,G594))))</f>
        <v/>
      </c>
      <c r="AJ594" s="55">
        <f>IF(BO594=1,0,ROUNDUP(AI594/BN594,0))</f>
        <v/>
      </c>
      <c r="AK594" s="64">
        <f>IF(BO594=1,IF(AI594&lt;=0,0,BP594*MAX(1,IF(G594&gt;0,AI594/G594,1))),AJ594*Q594)</f>
        <v/>
      </c>
      <c r="AL594" s="55">
        <f>AI594*F594</f>
        <v/>
      </c>
      <c r="AM594" s="55">
        <f>ROUNDUP(MAX(I594/IF(BS594&gt;0,BS594,MAX(0.1,N(Cockpit!$I$6))),BV594)/BN594,0)*BN594</f>
        <v/>
      </c>
      <c r="AN594" s="56">
        <f>IF(AK594&gt;0,I594/AK594,-1)</f>
        <v/>
      </c>
      <c r="AO594" s="56">
        <f>IF(AND(OR(BR594="L1",BR594="L23"),AK594&gt;0),SUMIFS($AK$7:$AK$1570,$BR$7:$BR$1570,BR594,$AN$7:$AN$1570,"&gt;"&amp;AN594)+SUMIFS($AK$7:$AK$1570,$BR$7:$BR$1570,BR594,$AN$7:$AN$1570,AN594,$BL$7:$BL$1570,"&lt;="&amp;BL594),"")</f>
        <v/>
      </c>
      <c r="AP594" s="65">
        <f>IF(AO594="",0,MAX(0,MIN(1,(IF(BR594="L1",Parameter!$K$5,Parameter!$K$6+Parameter!$K$7)-(AO594-AK594))/AK594)))</f>
        <v/>
      </c>
      <c r="AQ594" s="55">
        <f>IF(LEFT(Cockpit!$O$5,1)="A",G594,IF(BT594=1,BU594,IF(LEFT(Cockpit!$O$5,1)="B",AU594,MAX(AU594,G594))))</f>
        <v/>
      </c>
      <c r="AR594" s="55">
        <f>IF(BO594=1,0,ROUNDUP(AQ594/BN594,0))</f>
        <v/>
      </c>
      <c r="AS594" s="64">
        <f>IF(BO594=1,IF(AQ594&lt;=0,0,BP594*MAX(1,IF(G594&gt;0,AQ594/G594,1))),AR594*Q594)</f>
        <v/>
      </c>
      <c r="AT594" s="55">
        <f>AQ594*F594</f>
        <v/>
      </c>
      <c r="AU594" s="55">
        <f>ROUNDUP(MAX(I594/IF(BS594&gt;0,BS594,MAX(0.1,N(Cockpit!$O$6))),BV594)/BN594,0)*BN594</f>
        <v/>
      </c>
      <c r="AV594" s="56">
        <f>IF(AS594&gt;0,I594/AS594,-1)</f>
        <v/>
      </c>
      <c r="AW594" s="56">
        <f>IF(AND(OR(BR594="L1",BR594="L23"),AS594&gt;0),SUMIFS($AS$7:$AS$1570,$BR$7:$BR$1570,BR594,$AV$7:$AV$1570,"&gt;"&amp;AV594)+SUMIFS($AS$7:$AS$1570,$BR$7:$BR$1570,BR594,$AV$7:$AV$1570,AV594,$BL$7:$BL$1570,"&lt;="&amp;BL594),"")</f>
        <v/>
      </c>
      <c r="AX594" s="65">
        <f>IF(AW594="",0,MAX(0,MIN(1,(IF(BR594="L1",Parameter!$K$5,Parameter!$K$6+Parameter!$K$7)-(AW594-AS594))/AS594)))</f>
        <v/>
      </c>
      <c r="AY594" s="53">
        <f>IF(AC594&lt;=0,"",IF(BR594="Aussen","Aussenlager",IF(BR594="-","Nicht im Lift",IF(AH594&gt;=1,"Lift",IF(AH594&lt;=0,"Aussenlager","teilweise")))))</f>
        <v/>
      </c>
      <c r="AZ594" s="53">
        <f>IF(AK594&lt;=0,"",IF(BR594="Aussen","Aussenlager",IF(BR594="-","Nicht im Lift",IF(AP594&gt;=1,"Lift",IF(AP594&lt;=0,"Aussenlager","teilweise")))))</f>
        <v/>
      </c>
      <c r="BA594" s="53">
        <f>IF(AS594&lt;=0,"",IF(BR594="Aussen","Aussenlager",IF(BR594="-","Nicht im Lift",IF(AX594&gt;=1,"Lift",IF(AX594&lt;=0,"Aussenlager","teilweise")))))</f>
        <v/>
      </c>
      <c r="BB594" s="53">
        <f>IF(A594="","",IF(BK594=1,"Neu; ","")&amp;IF(AND(BK594=0,BF594&lt;0),"negativer Bestand (Export "&amp;BF594&amp;"); ","")&amp;IF(I594&lt;=0,"Kein Verbrauch; ","")&amp;IF(BO594=1,"Lose – Fläche geschätzt; ","")&amp;IF(G594&gt;AM594,"Überbestand "&amp;ROUND(G594-AM594,0)&amp;" Stk / CHF "&amp;ROUND((G594-AM594)*F594,0)&amp;"; ","")&amp;IF(AND(BT594=1,BU594&lt;BV594),"MAX &lt; MB+LG; ","")&amp;IF(AND(BZ594&gt;0,BY594*10&gt;BZ594),"zu hoch für Tablar; ","")&amp;IF(AND(BK594=0,OR(BT594=1,V594&lt;&gt;"",S594&lt;&gt;"",T594&lt;&gt;"",W594&lt;&gt;"")),"manuell übersteuert; ","")&amp;IF(AND(BO594=0,Q594=0),"Gebinde unbekannt; ","")&amp;IF(AND(BO594=0,N(T594)&lt;=0,N(P594)&lt;=0),"Menge pro Gebinde fehlt (Ist = 1 Gebinde); ","")&amp;BJ594)</f>
        <v/>
      </c>
      <c r="BC594" s="53" t="n"/>
      <c r="BD594" s="53" t="n"/>
      <c r="BE594" s="61" t="n"/>
      <c r="BF594" s="55" t="n">
        <v>738</v>
      </c>
      <c r="BG594" s="55" t="n">
        <v>1216</v>
      </c>
      <c r="BH594" s="54" t="n">
        <v>7.379999999999988</v>
      </c>
      <c r="BI594" s="55" t="n">
        <v>1359</v>
      </c>
      <c r="BJ594" s="53" t="inlineStr"/>
      <c r="BK594" s="58" t="n">
        <v>0</v>
      </c>
      <c r="BL594" s="58" t="n">
        <v>594</v>
      </c>
      <c r="BM594" s="53">
        <f>IF(S594&lt;&gt;"",UPPER(TRIM(S594)),IF(O594="","LOSE",O594))</f>
        <v/>
      </c>
      <c r="BN594" s="55">
        <f>IF(BM594="LOSE",1,IF(N(T594)&gt;0,T594,IF(N(P594)&gt;0,P594,MAX(1,G594))))</f>
        <v/>
      </c>
      <c r="BO594" s="58">
        <f>IF(BM594="LOSE",1,0)</f>
        <v/>
      </c>
      <c r="BP594" s="64">
        <f>IF(BO594=0,0,IF(N(R594)&gt;0,R594,IFERROR(VLOOKUP(D594,Parameter!$A$35:$C$64,3,0)+0,0)))</f>
        <v/>
      </c>
      <c r="BQ594" s="53">
        <f>IF(V594&lt;&gt;"",V594,U594)</f>
        <v/>
      </c>
      <c r="BR594" s="53">
        <f>IF(BQ594=1,"L1",IF(OR(BQ594=2,BQ594=3),"L23",IF(BQ594="Aussen","Aussen","-")))</f>
        <v/>
      </c>
      <c r="BS594" s="66">
        <f>IF(N(W594)&gt;0,W594,0)</f>
        <v/>
      </c>
      <c r="BT594" s="58">
        <f>IF(ISNUMBER(Z594),1,0)</f>
        <v/>
      </c>
      <c r="BU594" s="55">
        <f>N(Z594)</f>
        <v/>
      </c>
      <c r="BV594" s="55">
        <f>N(L594)+N(M594)</f>
        <v/>
      </c>
      <c r="BW594" s="55">
        <f>ROUNDUP(G594/BN594,0)</f>
        <v/>
      </c>
      <c r="BX594" s="55">
        <f>ROUNDUP(BU594/BN594,0)</f>
        <v/>
      </c>
      <c r="BY594" s="58">
        <f>IF(BO594=1,0,IFERROR(VLOOKUP(BM594,'Gebinde-Kategorie'!$A$5:$G$45,5,0)+0,0))</f>
        <v/>
      </c>
      <c r="BZ594" s="58">
        <f>IFERROR(IF(OR(BQ594=1,BQ594=2,BQ594=3),N(INDEX(Parameter!$I$5:$I$7,BQ594)),0),0)</f>
        <v/>
      </c>
    </row>
    <row r="595">
      <c r="A595" s="53" t="inlineStr">
        <is>
          <t>001156</t>
        </is>
      </c>
      <c r="B595" s="53" t="inlineStr">
        <is>
          <t>Kabelbinder schwarz</t>
        </is>
      </c>
      <c r="C595" s="53" t="inlineStr">
        <is>
          <t>F</t>
        </is>
      </c>
      <c r="D595" s="53" t="inlineStr">
        <is>
          <t>KTL</t>
        </is>
      </c>
      <c r="E595" s="53" t="inlineStr">
        <is>
          <t>C</t>
        </is>
      </c>
      <c r="F595" s="54" t="n">
        <v>0.17</v>
      </c>
      <c r="G595" s="55">
        <f>MAX(0,IF(Parameter!$B$20="Jahresanfang 2025 + Export",BG595+BF595,BF595))</f>
        <v/>
      </c>
      <c r="H595" s="55">
        <f>G595*F595</f>
        <v/>
      </c>
      <c r="I595" s="55">
        <f>BI595*Parameter!$B$18</f>
        <v/>
      </c>
      <c r="J595" s="56" t="n">
        <v>832</v>
      </c>
      <c r="K595" s="57" t="n">
        <v>2.019230769230769</v>
      </c>
      <c r="L595" s="55" t="n">
        <v>65</v>
      </c>
      <c r="M595" s="55" t="n">
        <v>2000</v>
      </c>
      <c r="N595" s="58" t="n">
        <v>14</v>
      </c>
      <c r="O595" s="53" t="inlineStr">
        <is>
          <t>S51</t>
        </is>
      </c>
      <c r="P595" s="55" t="n">
        <v>2303</v>
      </c>
      <c r="Q595" s="59">
        <f>IF(BO595=1,0,IFERROR(VLOOKUP(BM595,'Gebinde-Kategorie'!$A$5:$G$45,6,0)+0,0))</f>
        <v/>
      </c>
      <c r="R595" s="60" t="n"/>
      <c r="S595" s="61" t="n"/>
      <c r="T595" s="61" t="n"/>
      <c r="U595" s="53">
        <f>IF(A595="","",IF(IFERROR(VLOOKUP(D595,Parameter!$A$35:$C$64,2,0),"Nein")="2+3",IF(ISNUMBER(SEARCH("grosser Artikel",BJ595)),2,IFERROR(VLOOKUP(BM595,Parameter!$F$35:$G$64,2,0),2)),IF(OR(IFERROR(VLOOKUP(D595,Parameter!$A$35:$C$64,2,0),"Nein")="Nein",IFERROR(VLOOKUP(D595,Parameter!$A$35:$C$64,2,0),"Nein")=""),"-",VLOOKUP(D595,Parameter!$A$35:$C$64,2,0))))</f>
        <v/>
      </c>
      <c r="V595" s="61" t="n"/>
      <c r="W595" s="62" t="n"/>
      <c r="X595" s="55">
        <f>AM595</f>
        <v/>
      </c>
      <c r="Y595" s="55">
        <f>MAX(AM595,G595)</f>
        <v/>
      </c>
      <c r="Z595" s="63" t="n"/>
      <c r="AA595" s="55">
        <f>IF(LEFT(Cockpit!$C$5,1)="A",G595,IF(BT595=1,BU595,IF(LEFT(Cockpit!$C$5,1)="B",AE595,MAX(AE595,G595))))</f>
        <v/>
      </c>
      <c r="AB595" s="55">
        <f>IF(BO595=1,0,ROUNDUP(AA595/BN595,0))</f>
        <v/>
      </c>
      <c r="AC595" s="64">
        <f>IF(BO595=1,IF(AA595&lt;=0,0,BP595*MAX(1,IF(G595&gt;0,AA595/G595,1))),AB595*Q595)</f>
        <v/>
      </c>
      <c r="AD595" s="55">
        <f>AA595*F595</f>
        <v/>
      </c>
      <c r="AE595" s="55">
        <f>ROUNDUP(MAX(I595/IF(BS595&gt;0,BS595,MAX(0.1,N(Cockpit!$C$6))),BV595)/BN595,0)*BN595</f>
        <v/>
      </c>
      <c r="AF595" s="56">
        <f>IF(AC595&gt;0,I595/AC595,-1)</f>
        <v/>
      </c>
      <c r="AG595" s="56">
        <f>IF(AND(OR(BR595="L1",BR595="L23"),AC595&gt;0),SUMIFS($AC$7:$AC$1570,$BR$7:$BR$1570,BR595,$AF$7:$AF$1570,"&gt;"&amp;AF595)+SUMIFS($AC$7:$AC$1570,$BR$7:$BR$1570,BR595,$AF$7:$AF$1570,AF595,$BL$7:$BL$1570,"&lt;="&amp;BL595),"")</f>
        <v/>
      </c>
      <c r="AH595" s="65">
        <f>IF(AG595="",0,MAX(0,MIN(1,(IF(BR595="L1",Parameter!$K$5,Parameter!$K$6+Parameter!$K$7)-(AG595-AC595))/AC595)))</f>
        <v/>
      </c>
      <c r="AI595" s="55">
        <f>IF(LEFT(Cockpit!$I$5,1)="A",G595,IF(BT595=1,BU595,IF(LEFT(Cockpit!$I$5,1)="B",AM595,MAX(AM595,G595))))</f>
        <v/>
      </c>
      <c r="AJ595" s="55">
        <f>IF(BO595=1,0,ROUNDUP(AI595/BN595,0))</f>
        <v/>
      </c>
      <c r="AK595" s="64">
        <f>IF(BO595=1,IF(AI595&lt;=0,0,BP595*MAX(1,IF(G595&gt;0,AI595/G595,1))),AJ595*Q595)</f>
        <v/>
      </c>
      <c r="AL595" s="55">
        <f>AI595*F595</f>
        <v/>
      </c>
      <c r="AM595" s="55">
        <f>ROUNDUP(MAX(I595/IF(BS595&gt;0,BS595,MAX(0.1,N(Cockpit!$I$6))),BV595)/BN595,0)*BN595</f>
        <v/>
      </c>
      <c r="AN595" s="56">
        <f>IF(AK595&gt;0,I595/AK595,-1)</f>
        <v/>
      </c>
      <c r="AO595" s="56">
        <f>IF(AND(OR(BR595="L1",BR595="L23"),AK595&gt;0),SUMIFS($AK$7:$AK$1570,$BR$7:$BR$1570,BR595,$AN$7:$AN$1570,"&gt;"&amp;AN595)+SUMIFS($AK$7:$AK$1570,$BR$7:$BR$1570,BR595,$AN$7:$AN$1570,AN595,$BL$7:$BL$1570,"&lt;="&amp;BL595),"")</f>
        <v/>
      </c>
      <c r="AP595" s="65">
        <f>IF(AO595="",0,MAX(0,MIN(1,(IF(BR595="L1",Parameter!$K$5,Parameter!$K$6+Parameter!$K$7)-(AO595-AK595))/AK595)))</f>
        <v/>
      </c>
      <c r="AQ595" s="55">
        <f>IF(LEFT(Cockpit!$O$5,1)="A",G595,IF(BT595=1,BU595,IF(LEFT(Cockpit!$O$5,1)="B",AU595,MAX(AU595,G595))))</f>
        <v/>
      </c>
      <c r="AR595" s="55">
        <f>IF(BO595=1,0,ROUNDUP(AQ595/BN595,0))</f>
        <v/>
      </c>
      <c r="AS595" s="64">
        <f>IF(BO595=1,IF(AQ595&lt;=0,0,BP595*MAX(1,IF(G595&gt;0,AQ595/G595,1))),AR595*Q595)</f>
        <v/>
      </c>
      <c r="AT595" s="55">
        <f>AQ595*F595</f>
        <v/>
      </c>
      <c r="AU595" s="55">
        <f>ROUNDUP(MAX(I595/IF(BS595&gt;0,BS595,MAX(0.1,N(Cockpit!$O$6))),BV595)/BN595,0)*BN595</f>
        <v/>
      </c>
      <c r="AV595" s="56">
        <f>IF(AS595&gt;0,I595/AS595,-1)</f>
        <v/>
      </c>
      <c r="AW595" s="56">
        <f>IF(AND(OR(BR595="L1",BR595="L23"),AS595&gt;0),SUMIFS($AS$7:$AS$1570,$BR$7:$BR$1570,BR595,$AV$7:$AV$1570,"&gt;"&amp;AV595)+SUMIFS($AS$7:$AS$1570,$BR$7:$BR$1570,BR595,$AV$7:$AV$1570,AV595,$BL$7:$BL$1570,"&lt;="&amp;BL595),"")</f>
        <v/>
      </c>
      <c r="AX595" s="65">
        <f>IF(AW595="",0,MAX(0,MIN(1,(IF(BR595="L1",Parameter!$K$5,Parameter!$K$6+Parameter!$K$7)-(AW595-AS595))/AS595)))</f>
        <v/>
      </c>
      <c r="AY595" s="53">
        <f>IF(AC595&lt;=0,"",IF(BR595="Aussen","Aussenlager",IF(BR595="-","Nicht im Lift",IF(AH595&gt;=1,"Lift",IF(AH595&lt;=0,"Aussenlager","teilweise")))))</f>
        <v/>
      </c>
      <c r="AZ595" s="53">
        <f>IF(AK595&lt;=0,"",IF(BR595="Aussen","Aussenlager",IF(BR595="-","Nicht im Lift",IF(AP595&gt;=1,"Lift",IF(AP595&lt;=0,"Aussenlager","teilweise")))))</f>
        <v/>
      </c>
      <c r="BA595" s="53">
        <f>IF(AS595&lt;=0,"",IF(BR595="Aussen","Aussenlager",IF(BR595="-","Nicht im Lift",IF(AX595&gt;=1,"Lift",IF(AX595&lt;=0,"Aussenlager","teilweise")))))</f>
        <v/>
      </c>
      <c r="BB595" s="53">
        <f>IF(A595="","",IF(BK595=1,"Neu; ","")&amp;IF(AND(BK595=0,BF595&lt;0),"negativer Bestand (Export "&amp;BF595&amp;"); ","")&amp;IF(I595&lt;=0,"Kein Verbrauch; ","")&amp;IF(BO595=1,"Lose – Fläche geschätzt; ","")&amp;IF(G595&gt;AM595,"Überbestand "&amp;ROUND(G595-AM595,0)&amp;" Stk / CHF "&amp;ROUND((G595-AM595)*F595,0)&amp;"; ","")&amp;IF(AND(BT595=1,BU595&lt;BV595),"MAX &lt; MB+LG; ","")&amp;IF(AND(BZ595&gt;0,BY595*10&gt;BZ595),"zu hoch für Tablar; ","")&amp;IF(AND(BK595=0,OR(BT595=1,V595&lt;&gt;"",S595&lt;&gt;"",T595&lt;&gt;"",W595&lt;&gt;"")),"manuell übersteuert; ","")&amp;IF(AND(BO595=0,Q595=0),"Gebinde unbekannt; ","")&amp;IF(AND(BO595=0,N(T595)&lt;=0,N(P595)&lt;=0),"Menge pro Gebinde fehlt (Ist = 1 Gebinde); ","")&amp;BJ595)</f>
        <v/>
      </c>
      <c r="BC595" s="53" t="n"/>
      <c r="BD595" s="53" t="n"/>
      <c r="BE595" s="61" t="n"/>
      <c r="BF595" s="55" t="n">
        <v>42</v>
      </c>
      <c r="BG595" s="55" t="n">
        <v>669</v>
      </c>
      <c r="BH595" s="54" t="n">
        <v>7.140000000000001</v>
      </c>
      <c r="BI595" s="55" t="n">
        <v>1680</v>
      </c>
      <c r="BJ595" s="53" t="inlineStr"/>
      <c r="BK595" s="58" t="n">
        <v>0</v>
      </c>
      <c r="BL595" s="58" t="n">
        <v>595</v>
      </c>
      <c r="BM595" s="53">
        <f>IF(S595&lt;&gt;"",UPPER(TRIM(S595)),IF(O595="","LOSE",O595))</f>
        <v/>
      </c>
      <c r="BN595" s="55">
        <f>IF(BM595="LOSE",1,IF(N(T595)&gt;0,T595,IF(N(P595)&gt;0,P595,MAX(1,G595))))</f>
        <v/>
      </c>
      <c r="BO595" s="58">
        <f>IF(BM595="LOSE",1,0)</f>
        <v/>
      </c>
      <c r="BP595" s="64">
        <f>IF(BO595=0,0,IF(N(R595)&gt;0,R595,IFERROR(VLOOKUP(D595,Parameter!$A$35:$C$64,3,0)+0,0)))</f>
        <v/>
      </c>
      <c r="BQ595" s="53">
        <f>IF(V595&lt;&gt;"",V595,U595)</f>
        <v/>
      </c>
      <c r="BR595" s="53">
        <f>IF(BQ595=1,"L1",IF(OR(BQ595=2,BQ595=3),"L23",IF(BQ595="Aussen","Aussen","-")))</f>
        <v/>
      </c>
      <c r="BS595" s="66">
        <f>IF(N(W595)&gt;0,W595,0)</f>
        <v/>
      </c>
      <c r="BT595" s="58">
        <f>IF(ISNUMBER(Z595),1,0)</f>
        <v/>
      </c>
      <c r="BU595" s="55">
        <f>N(Z595)</f>
        <v/>
      </c>
      <c r="BV595" s="55">
        <f>N(L595)+N(M595)</f>
        <v/>
      </c>
      <c r="BW595" s="55">
        <f>ROUNDUP(G595/BN595,0)</f>
        <v/>
      </c>
      <c r="BX595" s="55">
        <f>ROUNDUP(BU595/BN595,0)</f>
        <v/>
      </c>
      <c r="BY595" s="58">
        <f>IF(BO595=1,0,IFERROR(VLOOKUP(BM595,'Gebinde-Kategorie'!$A$5:$G$45,5,0)+0,0))</f>
        <v/>
      </c>
      <c r="BZ595" s="58">
        <f>IFERROR(IF(OR(BQ595=1,BQ595=2,BQ595=3),N(INDEX(Parameter!$I$5:$I$7,BQ595)),0),0)</f>
        <v/>
      </c>
    </row>
    <row r="596">
      <c r="A596" s="53" t="inlineStr">
        <is>
          <t>107313</t>
        </is>
      </c>
      <c r="B596" s="53" t="inlineStr">
        <is>
          <t>Verschlussstopfen</t>
        </is>
      </c>
      <c r="C596" s="53" t="inlineStr">
        <is>
          <t>F</t>
        </is>
      </c>
      <c r="D596" s="53" t="inlineStr">
        <is>
          <t>KTL</t>
        </is>
      </c>
      <c r="E596" s="53" t="inlineStr">
        <is>
          <t>C</t>
        </is>
      </c>
      <c r="F596" s="54" t="n">
        <v>0.15</v>
      </c>
      <c r="G596" s="55">
        <f>MAX(0,IF(Parameter!$B$20="Jahresanfang 2025 + Export",BG596+BF596,BF596))</f>
        <v/>
      </c>
      <c r="H596" s="55">
        <f>G596*F596</f>
        <v/>
      </c>
      <c r="I596" s="55">
        <f>BI596*Parameter!$B$18</f>
        <v/>
      </c>
      <c r="J596" s="56" t="n">
        <v>423</v>
      </c>
      <c r="K596" s="57" t="n">
        <v>0</v>
      </c>
      <c r="L596" s="55" t="n">
        <v>0</v>
      </c>
      <c r="M596" s="55" t="n">
        <v>1</v>
      </c>
      <c r="N596" s="58" t="n">
        <v>21</v>
      </c>
      <c r="O596" s="53" t="inlineStr">
        <is>
          <t>S32</t>
        </is>
      </c>
      <c r="P596" s="55" t="n">
        <v>406</v>
      </c>
      <c r="Q596" s="59">
        <f>IF(BO596=1,0,IFERROR(VLOOKUP(BM596,'Gebinde-Kategorie'!$A$5:$G$45,6,0)+0,0))</f>
        <v/>
      </c>
      <c r="R596" s="60" t="n"/>
      <c r="S596" s="61" t="n"/>
      <c r="T596" s="61" t="n"/>
      <c r="U596" s="53">
        <f>IF(A596="","",IF(IFERROR(VLOOKUP(D596,Parameter!$A$35:$C$64,2,0),"Nein")="2+3",IF(ISNUMBER(SEARCH("grosser Artikel",BJ596)),2,IFERROR(VLOOKUP(BM596,Parameter!$F$35:$G$64,2,0),2)),IF(OR(IFERROR(VLOOKUP(D596,Parameter!$A$35:$C$64,2,0),"Nein")="Nein",IFERROR(VLOOKUP(D596,Parameter!$A$35:$C$64,2,0),"Nein")=""),"-",VLOOKUP(D596,Parameter!$A$35:$C$64,2,0))))</f>
        <v/>
      </c>
      <c r="V596" s="61" t="n"/>
      <c r="W596" s="62" t="n"/>
      <c r="X596" s="55">
        <f>AM596</f>
        <v/>
      </c>
      <c r="Y596" s="55">
        <f>MAX(AM596,G596)</f>
        <v/>
      </c>
      <c r="Z596" s="63" t="n"/>
      <c r="AA596" s="55">
        <f>IF(LEFT(Cockpit!$C$5,1)="A",G596,IF(BT596=1,BU596,IF(LEFT(Cockpit!$C$5,1)="B",AE596,MAX(AE596,G596))))</f>
        <v/>
      </c>
      <c r="AB596" s="55">
        <f>IF(BO596=1,0,ROUNDUP(AA596/BN596,0))</f>
        <v/>
      </c>
      <c r="AC596" s="64">
        <f>IF(BO596=1,IF(AA596&lt;=0,0,BP596*MAX(1,IF(G596&gt;0,AA596/G596,1))),AB596*Q596)</f>
        <v/>
      </c>
      <c r="AD596" s="55">
        <f>AA596*F596</f>
        <v/>
      </c>
      <c r="AE596" s="55">
        <f>ROUNDUP(MAX(I596/IF(BS596&gt;0,BS596,MAX(0.1,N(Cockpit!$C$6))),BV596)/BN596,0)*BN596</f>
        <v/>
      </c>
      <c r="AF596" s="56">
        <f>IF(AC596&gt;0,I596/AC596,-1)</f>
        <v/>
      </c>
      <c r="AG596" s="56">
        <f>IF(AND(OR(BR596="L1",BR596="L23"),AC596&gt;0),SUMIFS($AC$7:$AC$1570,$BR$7:$BR$1570,BR596,$AF$7:$AF$1570,"&gt;"&amp;AF596)+SUMIFS($AC$7:$AC$1570,$BR$7:$BR$1570,BR596,$AF$7:$AF$1570,AF596,$BL$7:$BL$1570,"&lt;="&amp;BL596),"")</f>
        <v/>
      </c>
      <c r="AH596" s="65">
        <f>IF(AG596="",0,MAX(0,MIN(1,(IF(BR596="L1",Parameter!$K$5,Parameter!$K$6+Parameter!$K$7)-(AG596-AC596))/AC596)))</f>
        <v/>
      </c>
      <c r="AI596" s="55">
        <f>IF(LEFT(Cockpit!$I$5,1)="A",G596,IF(BT596=1,BU596,IF(LEFT(Cockpit!$I$5,1)="B",AM596,MAX(AM596,G596))))</f>
        <v/>
      </c>
      <c r="AJ596" s="55">
        <f>IF(BO596=1,0,ROUNDUP(AI596/BN596,0))</f>
        <v/>
      </c>
      <c r="AK596" s="64">
        <f>IF(BO596=1,IF(AI596&lt;=0,0,BP596*MAX(1,IF(G596&gt;0,AI596/G596,1))),AJ596*Q596)</f>
        <v/>
      </c>
      <c r="AL596" s="55">
        <f>AI596*F596</f>
        <v/>
      </c>
      <c r="AM596" s="55">
        <f>ROUNDUP(MAX(I596/IF(BS596&gt;0,BS596,MAX(0.1,N(Cockpit!$I$6))),BV596)/BN596,0)*BN596</f>
        <v/>
      </c>
      <c r="AN596" s="56">
        <f>IF(AK596&gt;0,I596/AK596,-1)</f>
        <v/>
      </c>
      <c r="AO596" s="56">
        <f>IF(AND(OR(BR596="L1",BR596="L23"),AK596&gt;0),SUMIFS($AK$7:$AK$1570,$BR$7:$BR$1570,BR596,$AN$7:$AN$1570,"&gt;"&amp;AN596)+SUMIFS($AK$7:$AK$1570,$BR$7:$BR$1570,BR596,$AN$7:$AN$1570,AN596,$BL$7:$BL$1570,"&lt;="&amp;BL596),"")</f>
        <v/>
      </c>
      <c r="AP596" s="65">
        <f>IF(AO596="",0,MAX(0,MIN(1,(IF(BR596="L1",Parameter!$K$5,Parameter!$K$6+Parameter!$K$7)-(AO596-AK596))/AK596)))</f>
        <v/>
      </c>
      <c r="AQ596" s="55">
        <f>IF(LEFT(Cockpit!$O$5,1)="A",G596,IF(BT596=1,BU596,IF(LEFT(Cockpit!$O$5,1)="B",AU596,MAX(AU596,G596))))</f>
        <v/>
      </c>
      <c r="AR596" s="55">
        <f>IF(BO596=1,0,ROUNDUP(AQ596/BN596,0))</f>
        <v/>
      </c>
      <c r="AS596" s="64">
        <f>IF(BO596=1,IF(AQ596&lt;=0,0,BP596*MAX(1,IF(G596&gt;0,AQ596/G596,1))),AR596*Q596)</f>
        <v/>
      </c>
      <c r="AT596" s="55">
        <f>AQ596*F596</f>
        <v/>
      </c>
      <c r="AU596" s="55">
        <f>ROUNDUP(MAX(I596/IF(BS596&gt;0,BS596,MAX(0.1,N(Cockpit!$O$6))),BV596)/BN596,0)*BN596</f>
        <v/>
      </c>
      <c r="AV596" s="56">
        <f>IF(AS596&gt;0,I596/AS596,-1)</f>
        <v/>
      </c>
      <c r="AW596" s="56">
        <f>IF(AND(OR(BR596="L1",BR596="L23"),AS596&gt;0),SUMIFS($AS$7:$AS$1570,$BR$7:$BR$1570,BR596,$AV$7:$AV$1570,"&gt;"&amp;AV596)+SUMIFS($AS$7:$AS$1570,$BR$7:$BR$1570,BR596,$AV$7:$AV$1570,AV596,$BL$7:$BL$1570,"&lt;="&amp;BL596),"")</f>
        <v/>
      </c>
      <c r="AX596" s="65">
        <f>IF(AW596="",0,MAX(0,MIN(1,(IF(BR596="L1",Parameter!$K$5,Parameter!$K$6+Parameter!$K$7)-(AW596-AS596))/AS596)))</f>
        <v/>
      </c>
      <c r="AY596" s="53">
        <f>IF(AC596&lt;=0,"",IF(BR596="Aussen","Aussenlager",IF(BR596="-","Nicht im Lift",IF(AH596&gt;=1,"Lift",IF(AH596&lt;=0,"Aussenlager","teilweise")))))</f>
        <v/>
      </c>
      <c r="AZ596" s="53">
        <f>IF(AK596&lt;=0,"",IF(BR596="Aussen","Aussenlager",IF(BR596="-","Nicht im Lift",IF(AP596&gt;=1,"Lift",IF(AP596&lt;=0,"Aussenlager","teilweise")))))</f>
        <v/>
      </c>
      <c r="BA596" s="53">
        <f>IF(AS596&lt;=0,"",IF(BR596="Aussen","Aussenlager",IF(BR596="-","Nicht im Lift",IF(AX596&gt;=1,"Lift",IF(AX596&lt;=0,"Aussenlager","teilweise")))))</f>
        <v/>
      </c>
      <c r="BB596" s="53">
        <f>IF(A596="","",IF(BK596=1,"Neu; ","")&amp;IF(AND(BK596=0,BF596&lt;0),"negativer Bestand (Export "&amp;BF596&amp;"); ","")&amp;IF(I596&lt;=0,"Kein Verbrauch; ","")&amp;IF(BO596=1,"Lose – Fläche geschätzt; ","")&amp;IF(G596&gt;AM596,"Überbestand "&amp;ROUND(G596-AM596,0)&amp;" Stk / CHF "&amp;ROUND((G596-AM596)*F596,0)&amp;"; ","")&amp;IF(AND(BT596=1,BU596&lt;BV596),"MAX &lt; MB+LG; ","")&amp;IF(AND(BZ596&gt;0,BY596*10&gt;BZ596),"zu hoch für Tablar; ","")&amp;IF(AND(BK596=0,OR(BT596=1,V596&lt;&gt;"",S596&lt;&gt;"",T596&lt;&gt;"",W596&lt;&gt;"")),"manuell übersteuert; ","")&amp;IF(AND(BO596=0,Q596=0),"Gebinde unbekannt; ","")&amp;IF(AND(BO596=0,N(T596)&lt;=0,N(P596)&lt;=0),"Menge pro Gebinde fehlt (Ist = 1 Gebinde); ","")&amp;BJ596)</f>
        <v/>
      </c>
      <c r="BC596" s="53" t="n"/>
      <c r="BD596" s="53" t="n"/>
      <c r="BE596" s="61" t="n"/>
      <c r="BF596" s="55" t="n">
        <v>46</v>
      </c>
      <c r="BG596" s="55" t="n">
        <v>400</v>
      </c>
      <c r="BH596" s="54" t="n">
        <v>6.9</v>
      </c>
      <c r="BI596" s="55" t="n">
        <v>0</v>
      </c>
      <c r="BJ596" s="53" t="inlineStr">
        <is>
          <t>Neu</t>
        </is>
      </c>
      <c r="BK596" s="58" t="n">
        <v>0</v>
      </c>
      <c r="BL596" s="58" t="n">
        <v>596</v>
      </c>
      <c r="BM596" s="53">
        <f>IF(S596&lt;&gt;"",UPPER(TRIM(S596)),IF(O596="","LOSE",O596))</f>
        <v/>
      </c>
      <c r="BN596" s="55">
        <f>IF(BM596="LOSE",1,IF(N(T596)&gt;0,T596,IF(N(P596)&gt;0,P596,MAX(1,G596))))</f>
        <v/>
      </c>
      <c r="BO596" s="58">
        <f>IF(BM596="LOSE",1,0)</f>
        <v/>
      </c>
      <c r="BP596" s="64">
        <f>IF(BO596=0,0,IF(N(R596)&gt;0,R596,IFERROR(VLOOKUP(D596,Parameter!$A$35:$C$64,3,0)+0,0)))</f>
        <v/>
      </c>
      <c r="BQ596" s="53">
        <f>IF(V596&lt;&gt;"",V596,U596)</f>
        <v/>
      </c>
      <c r="BR596" s="53">
        <f>IF(BQ596=1,"L1",IF(OR(BQ596=2,BQ596=3),"L23",IF(BQ596="Aussen","Aussen","-")))</f>
        <v/>
      </c>
      <c r="BS596" s="66">
        <f>IF(N(W596)&gt;0,W596,0)</f>
        <v/>
      </c>
      <c r="BT596" s="58">
        <f>IF(ISNUMBER(Z596),1,0)</f>
        <v/>
      </c>
      <c r="BU596" s="55">
        <f>N(Z596)</f>
        <v/>
      </c>
      <c r="BV596" s="55">
        <f>N(L596)+N(M596)</f>
        <v/>
      </c>
      <c r="BW596" s="55">
        <f>ROUNDUP(G596/BN596,0)</f>
        <v/>
      </c>
      <c r="BX596" s="55">
        <f>ROUNDUP(BU596/BN596,0)</f>
        <v/>
      </c>
      <c r="BY596" s="58">
        <f>IF(BO596=1,0,IFERROR(VLOOKUP(BM596,'Gebinde-Kategorie'!$A$5:$G$45,5,0)+0,0))</f>
        <v/>
      </c>
      <c r="BZ596" s="58">
        <f>IFERROR(IF(OR(BQ596=1,BQ596=2,BQ596=3),N(INDEX(Parameter!$I$5:$I$7,BQ596)),0),0)</f>
        <v/>
      </c>
    </row>
    <row r="597">
      <c r="A597" s="53" t="inlineStr">
        <is>
          <t>111648</t>
        </is>
      </c>
      <c r="B597" s="53" t="inlineStr">
        <is>
          <t>Ringgabelschlüssel</t>
        </is>
      </c>
      <c r="C597" s="53" t="inlineStr">
        <is>
          <t>F</t>
        </is>
      </c>
      <c r="D597" s="53" t="inlineStr">
        <is>
          <t>PAL</t>
        </is>
      </c>
      <c r="E597" s="53" t="inlineStr">
        <is>
          <t>C</t>
        </is>
      </c>
      <c r="F597" s="54" t="n">
        <v>6.8</v>
      </c>
      <c r="G597" s="55">
        <f>MAX(0,IF(Parameter!$B$20="Jahresanfang 2025 + Export",BG597+BF597,BF597))</f>
        <v/>
      </c>
      <c r="H597" s="55">
        <f>G597*F597</f>
        <v/>
      </c>
      <c r="I597" s="55">
        <f>BI597*Parameter!$B$18</f>
        <v/>
      </c>
      <c r="J597" s="56" t="n">
        <v>0</v>
      </c>
      <c r="K597" s="57" t="n">
        <v>0</v>
      </c>
      <c r="L597" s="55" t="n">
        <v>0</v>
      </c>
      <c r="M597" s="55" t="n">
        <v>1</v>
      </c>
      <c r="N597" s="58" t="n">
        <v>21</v>
      </c>
      <c r="O597" s="53" t="inlineStr">
        <is>
          <t>LOSE</t>
        </is>
      </c>
      <c r="P597" s="55" t="n"/>
      <c r="Q597" s="59">
        <f>IF(BO597=1,0,IFERROR(VLOOKUP(BM597,'Gebinde-Kategorie'!$A$5:$G$45,6,0)+0,0))</f>
        <v/>
      </c>
      <c r="R597" s="60" t="n"/>
      <c r="S597" s="61" t="n"/>
      <c r="T597" s="61" t="n"/>
      <c r="U597" s="53">
        <f>IF(A597="","",IF(IFERROR(VLOOKUP(D597,Parameter!$A$35:$C$64,2,0),"Nein")="2+3",IF(ISNUMBER(SEARCH("grosser Artikel",BJ597)),2,IFERROR(VLOOKUP(BM597,Parameter!$F$35:$G$64,2,0),2)),IF(OR(IFERROR(VLOOKUP(D597,Parameter!$A$35:$C$64,2,0),"Nein")="Nein",IFERROR(VLOOKUP(D597,Parameter!$A$35:$C$64,2,0),"Nein")=""),"-",VLOOKUP(D597,Parameter!$A$35:$C$64,2,0))))</f>
        <v/>
      </c>
      <c r="V597" s="61" t="n"/>
      <c r="W597" s="62" t="n"/>
      <c r="X597" s="55">
        <f>AM597</f>
        <v/>
      </c>
      <c r="Y597" s="55">
        <f>MAX(AM597,G597)</f>
        <v/>
      </c>
      <c r="Z597" s="63" t="n"/>
      <c r="AA597" s="55">
        <f>IF(LEFT(Cockpit!$C$5,1)="A",G597,IF(BT597=1,BU597,IF(LEFT(Cockpit!$C$5,1)="B",AE597,MAX(AE597,G597))))</f>
        <v/>
      </c>
      <c r="AB597" s="55">
        <f>IF(BO597=1,0,ROUNDUP(AA597/BN597,0))</f>
        <v/>
      </c>
      <c r="AC597" s="64">
        <f>IF(BO597=1,IF(AA597&lt;=0,0,BP597*MAX(1,IF(G597&gt;0,AA597/G597,1))),AB597*Q597)</f>
        <v/>
      </c>
      <c r="AD597" s="55">
        <f>AA597*F597</f>
        <v/>
      </c>
      <c r="AE597" s="55">
        <f>ROUNDUP(MAX(I597/IF(BS597&gt;0,BS597,MAX(0.1,N(Cockpit!$C$6))),BV597)/BN597,0)*BN597</f>
        <v/>
      </c>
      <c r="AF597" s="56">
        <f>IF(AC597&gt;0,I597/AC597,-1)</f>
        <v/>
      </c>
      <c r="AG597" s="56">
        <f>IF(AND(OR(BR597="L1",BR597="L23"),AC597&gt;0),SUMIFS($AC$7:$AC$1570,$BR$7:$BR$1570,BR597,$AF$7:$AF$1570,"&gt;"&amp;AF597)+SUMIFS($AC$7:$AC$1570,$BR$7:$BR$1570,BR597,$AF$7:$AF$1570,AF597,$BL$7:$BL$1570,"&lt;="&amp;BL597),"")</f>
        <v/>
      </c>
      <c r="AH597" s="65">
        <f>IF(AG597="",0,MAX(0,MIN(1,(IF(BR597="L1",Parameter!$K$5,Parameter!$K$6+Parameter!$K$7)-(AG597-AC597))/AC597)))</f>
        <v/>
      </c>
      <c r="AI597" s="55">
        <f>IF(LEFT(Cockpit!$I$5,1)="A",G597,IF(BT597=1,BU597,IF(LEFT(Cockpit!$I$5,1)="B",AM597,MAX(AM597,G597))))</f>
        <v/>
      </c>
      <c r="AJ597" s="55">
        <f>IF(BO597=1,0,ROUNDUP(AI597/BN597,0))</f>
        <v/>
      </c>
      <c r="AK597" s="64">
        <f>IF(BO597=1,IF(AI597&lt;=0,0,BP597*MAX(1,IF(G597&gt;0,AI597/G597,1))),AJ597*Q597)</f>
        <v/>
      </c>
      <c r="AL597" s="55">
        <f>AI597*F597</f>
        <v/>
      </c>
      <c r="AM597" s="55">
        <f>ROUNDUP(MAX(I597/IF(BS597&gt;0,BS597,MAX(0.1,N(Cockpit!$I$6))),BV597)/BN597,0)*BN597</f>
        <v/>
      </c>
      <c r="AN597" s="56">
        <f>IF(AK597&gt;0,I597/AK597,-1)</f>
        <v/>
      </c>
      <c r="AO597" s="56">
        <f>IF(AND(OR(BR597="L1",BR597="L23"),AK597&gt;0),SUMIFS($AK$7:$AK$1570,$BR$7:$BR$1570,BR597,$AN$7:$AN$1570,"&gt;"&amp;AN597)+SUMIFS($AK$7:$AK$1570,$BR$7:$BR$1570,BR597,$AN$7:$AN$1570,AN597,$BL$7:$BL$1570,"&lt;="&amp;BL597),"")</f>
        <v/>
      </c>
      <c r="AP597" s="65">
        <f>IF(AO597="",0,MAX(0,MIN(1,(IF(BR597="L1",Parameter!$K$5,Parameter!$K$6+Parameter!$K$7)-(AO597-AK597))/AK597)))</f>
        <v/>
      </c>
      <c r="AQ597" s="55">
        <f>IF(LEFT(Cockpit!$O$5,1)="A",G597,IF(BT597=1,BU597,IF(LEFT(Cockpit!$O$5,1)="B",AU597,MAX(AU597,G597))))</f>
        <v/>
      </c>
      <c r="AR597" s="55">
        <f>IF(BO597=1,0,ROUNDUP(AQ597/BN597,0))</f>
        <v/>
      </c>
      <c r="AS597" s="64">
        <f>IF(BO597=1,IF(AQ597&lt;=0,0,BP597*MAX(1,IF(G597&gt;0,AQ597/G597,1))),AR597*Q597)</f>
        <v/>
      </c>
      <c r="AT597" s="55">
        <f>AQ597*F597</f>
        <v/>
      </c>
      <c r="AU597" s="55">
        <f>ROUNDUP(MAX(I597/IF(BS597&gt;0,BS597,MAX(0.1,N(Cockpit!$O$6))),BV597)/BN597,0)*BN597</f>
        <v/>
      </c>
      <c r="AV597" s="56">
        <f>IF(AS597&gt;0,I597/AS597,-1)</f>
        <v/>
      </c>
      <c r="AW597" s="56">
        <f>IF(AND(OR(BR597="L1",BR597="L23"),AS597&gt;0),SUMIFS($AS$7:$AS$1570,$BR$7:$BR$1570,BR597,$AV$7:$AV$1570,"&gt;"&amp;AV597)+SUMIFS($AS$7:$AS$1570,$BR$7:$BR$1570,BR597,$AV$7:$AV$1570,AV597,$BL$7:$BL$1570,"&lt;="&amp;BL597),"")</f>
        <v/>
      </c>
      <c r="AX597" s="65">
        <f>IF(AW597="",0,MAX(0,MIN(1,(IF(BR597="L1",Parameter!$K$5,Parameter!$K$6+Parameter!$K$7)-(AW597-AS597))/AS597)))</f>
        <v/>
      </c>
      <c r="AY597" s="53">
        <f>IF(AC597&lt;=0,"",IF(BR597="Aussen","Aussenlager",IF(BR597="-","Nicht im Lift",IF(AH597&gt;=1,"Lift",IF(AH597&lt;=0,"Aussenlager","teilweise")))))</f>
        <v/>
      </c>
      <c r="AZ597" s="53">
        <f>IF(AK597&lt;=0,"",IF(BR597="Aussen","Aussenlager",IF(BR597="-","Nicht im Lift",IF(AP597&gt;=1,"Lift",IF(AP597&lt;=0,"Aussenlager","teilweise")))))</f>
        <v/>
      </c>
      <c r="BA597" s="53">
        <f>IF(AS597&lt;=0,"",IF(BR597="Aussen","Aussenlager",IF(BR597="-","Nicht im Lift",IF(AX597&gt;=1,"Lift",IF(AX597&lt;=0,"Aussenlager","teilweise")))))</f>
        <v/>
      </c>
      <c r="BB597" s="53">
        <f>IF(A597="","",IF(BK597=1,"Neu; ","")&amp;IF(AND(BK597=0,BF597&lt;0),"negativer Bestand (Export "&amp;BF597&amp;"); ","")&amp;IF(I597&lt;=0,"Kein Verbrauch; ","")&amp;IF(BO597=1,"Lose – Fläche geschätzt; ","")&amp;IF(G597&gt;AM597,"Überbestand "&amp;ROUND(G597-AM597,0)&amp;" Stk / CHF "&amp;ROUND((G597-AM597)*F597,0)&amp;"; ","")&amp;IF(AND(BT597=1,BU597&lt;BV597),"MAX &lt; MB+LG; ","")&amp;IF(AND(BZ597&gt;0,BY597*10&gt;BZ597),"zu hoch für Tablar; ","")&amp;IF(AND(BK597=0,OR(BT597=1,V597&lt;&gt;"",S597&lt;&gt;"",T597&lt;&gt;"",W597&lt;&gt;"")),"manuell übersteuert; ","")&amp;IF(AND(BO597=0,Q597=0),"Gebinde unbekannt; ","")&amp;IF(AND(BO597=0,N(T597)&lt;=0,N(P597)&lt;=0),"Menge pro Gebinde fehlt (Ist = 1 Gebinde); ","")&amp;BJ597)</f>
        <v/>
      </c>
      <c r="BC597" s="53" t="n"/>
      <c r="BD597" s="53" t="n"/>
      <c r="BE597" s="61" t="n"/>
      <c r="BF597" s="55" t="n">
        <v>1</v>
      </c>
      <c r="BG597" s="55" t="n">
        <v>0</v>
      </c>
      <c r="BH597" s="54" t="n">
        <v>6.8</v>
      </c>
      <c r="BI597" s="55" t="n">
        <v>0</v>
      </c>
      <c r="BJ597" s="53" t="inlineStr"/>
      <c r="BK597" s="58" t="n">
        <v>0</v>
      </c>
      <c r="BL597" s="58" t="n">
        <v>597</v>
      </c>
      <c r="BM597" s="53">
        <f>IF(S597&lt;&gt;"",UPPER(TRIM(S597)),IF(O597="","LOSE",O597))</f>
        <v/>
      </c>
      <c r="BN597" s="55">
        <f>IF(BM597="LOSE",1,IF(N(T597)&gt;0,T597,IF(N(P597)&gt;0,P597,MAX(1,G597))))</f>
        <v/>
      </c>
      <c r="BO597" s="58">
        <f>IF(BM597="LOSE",1,0)</f>
        <v/>
      </c>
      <c r="BP597" s="64">
        <f>IF(BO597=0,0,IF(N(R597)&gt;0,R597,IFERROR(VLOOKUP(D597,Parameter!$A$35:$C$64,3,0)+0,0)))</f>
        <v/>
      </c>
      <c r="BQ597" s="53">
        <f>IF(V597&lt;&gt;"",V597,U597)</f>
        <v/>
      </c>
      <c r="BR597" s="53">
        <f>IF(BQ597=1,"L1",IF(OR(BQ597=2,BQ597=3),"L23",IF(BQ597="Aussen","Aussen","-")))</f>
        <v/>
      </c>
      <c r="BS597" s="66">
        <f>IF(N(W597)&gt;0,W597,0)</f>
        <v/>
      </c>
      <c r="BT597" s="58">
        <f>IF(ISNUMBER(Z597),1,0)</f>
        <v/>
      </c>
      <c r="BU597" s="55">
        <f>N(Z597)</f>
        <v/>
      </c>
      <c r="BV597" s="55">
        <f>N(L597)+N(M597)</f>
        <v/>
      </c>
      <c r="BW597" s="55">
        <f>ROUNDUP(G597/BN597,0)</f>
        <v/>
      </c>
      <c r="BX597" s="55">
        <f>ROUNDUP(BU597/BN597,0)</f>
        <v/>
      </c>
      <c r="BY597" s="58">
        <f>IF(BO597=1,0,IFERROR(VLOOKUP(BM597,'Gebinde-Kategorie'!$A$5:$G$45,5,0)+0,0))</f>
        <v/>
      </c>
      <c r="BZ597" s="58">
        <f>IFERROR(IF(OR(BQ597=1,BQ597=2,BQ597=3),N(INDEX(Parameter!$I$5:$I$7,BQ597)),0),0)</f>
        <v/>
      </c>
    </row>
    <row r="598">
      <c r="A598" s="53" t="inlineStr">
        <is>
          <t>106478</t>
        </is>
      </c>
      <c r="B598" s="53" t="inlineStr">
        <is>
          <t>O-Ring</t>
        </is>
      </c>
      <c r="C598" s="53" t="inlineStr">
        <is>
          <t>F</t>
        </is>
      </c>
      <c r="D598" s="53" t="inlineStr">
        <is>
          <t>KTL</t>
        </is>
      </c>
      <c r="E598" s="53" t="inlineStr">
        <is>
          <t>C</t>
        </is>
      </c>
      <c r="F598" s="54" t="n">
        <v>0.37</v>
      </c>
      <c r="G598" s="55">
        <f>MAX(0,IF(Parameter!$B$20="Jahresanfang 2025 + Export",BG598+BF598,BF598))</f>
        <v/>
      </c>
      <c r="H598" s="55">
        <f>G598*F598</f>
        <v/>
      </c>
      <c r="I598" s="55">
        <f>BI598*Parameter!$B$18</f>
        <v/>
      </c>
      <c r="J598" s="56" t="n">
        <v>24</v>
      </c>
      <c r="K598" s="57" t="n">
        <v>0.8333333333333334</v>
      </c>
      <c r="L598" s="55" t="n">
        <v>1</v>
      </c>
      <c r="M598" s="55" t="n">
        <v>20</v>
      </c>
      <c r="N598" s="58" t="n">
        <v>35</v>
      </c>
      <c r="O598" s="53" t="inlineStr">
        <is>
          <t>S21</t>
        </is>
      </c>
      <c r="P598" s="55" t="n">
        <v>30</v>
      </c>
      <c r="Q598" s="59">
        <f>IF(BO598=1,0,IFERROR(VLOOKUP(BM598,'Gebinde-Kategorie'!$A$5:$G$45,6,0)+0,0))</f>
        <v/>
      </c>
      <c r="R598" s="60" t="n"/>
      <c r="S598" s="61" t="n"/>
      <c r="T598" s="61" t="n"/>
      <c r="U598" s="53">
        <f>IF(A598="","",IF(IFERROR(VLOOKUP(D598,Parameter!$A$35:$C$64,2,0),"Nein")="2+3",IF(ISNUMBER(SEARCH("grosser Artikel",BJ598)),2,IFERROR(VLOOKUP(BM598,Parameter!$F$35:$G$64,2,0),2)),IF(OR(IFERROR(VLOOKUP(D598,Parameter!$A$35:$C$64,2,0),"Nein")="Nein",IFERROR(VLOOKUP(D598,Parameter!$A$35:$C$64,2,0),"Nein")=""),"-",VLOOKUP(D598,Parameter!$A$35:$C$64,2,0))))</f>
        <v/>
      </c>
      <c r="V598" s="61" t="n"/>
      <c r="W598" s="62" t="n"/>
      <c r="X598" s="55">
        <f>AM598</f>
        <v/>
      </c>
      <c r="Y598" s="55">
        <f>MAX(AM598,G598)</f>
        <v/>
      </c>
      <c r="Z598" s="63" t="n"/>
      <c r="AA598" s="55">
        <f>IF(LEFT(Cockpit!$C$5,1)="A",G598,IF(BT598=1,BU598,IF(LEFT(Cockpit!$C$5,1)="B",AE598,MAX(AE598,G598))))</f>
        <v/>
      </c>
      <c r="AB598" s="55">
        <f>IF(BO598=1,0,ROUNDUP(AA598/BN598,0))</f>
        <v/>
      </c>
      <c r="AC598" s="64">
        <f>IF(BO598=1,IF(AA598&lt;=0,0,BP598*MAX(1,IF(G598&gt;0,AA598/G598,1))),AB598*Q598)</f>
        <v/>
      </c>
      <c r="AD598" s="55">
        <f>AA598*F598</f>
        <v/>
      </c>
      <c r="AE598" s="55">
        <f>ROUNDUP(MAX(I598/IF(BS598&gt;0,BS598,MAX(0.1,N(Cockpit!$C$6))),BV598)/BN598,0)*BN598</f>
        <v/>
      </c>
      <c r="AF598" s="56">
        <f>IF(AC598&gt;0,I598/AC598,-1)</f>
        <v/>
      </c>
      <c r="AG598" s="56">
        <f>IF(AND(OR(BR598="L1",BR598="L23"),AC598&gt;0),SUMIFS($AC$7:$AC$1570,$BR$7:$BR$1570,BR598,$AF$7:$AF$1570,"&gt;"&amp;AF598)+SUMIFS($AC$7:$AC$1570,$BR$7:$BR$1570,BR598,$AF$7:$AF$1570,AF598,$BL$7:$BL$1570,"&lt;="&amp;BL598),"")</f>
        <v/>
      </c>
      <c r="AH598" s="65">
        <f>IF(AG598="",0,MAX(0,MIN(1,(IF(BR598="L1",Parameter!$K$5,Parameter!$K$6+Parameter!$K$7)-(AG598-AC598))/AC598)))</f>
        <v/>
      </c>
      <c r="AI598" s="55">
        <f>IF(LEFT(Cockpit!$I$5,1)="A",G598,IF(BT598=1,BU598,IF(LEFT(Cockpit!$I$5,1)="B",AM598,MAX(AM598,G598))))</f>
        <v/>
      </c>
      <c r="AJ598" s="55">
        <f>IF(BO598=1,0,ROUNDUP(AI598/BN598,0))</f>
        <v/>
      </c>
      <c r="AK598" s="64">
        <f>IF(BO598=1,IF(AI598&lt;=0,0,BP598*MAX(1,IF(G598&gt;0,AI598/G598,1))),AJ598*Q598)</f>
        <v/>
      </c>
      <c r="AL598" s="55">
        <f>AI598*F598</f>
        <v/>
      </c>
      <c r="AM598" s="55">
        <f>ROUNDUP(MAX(I598/IF(BS598&gt;0,BS598,MAX(0.1,N(Cockpit!$I$6))),BV598)/BN598,0)*BN598</f>
        <v/>
      </c>
      <c r="AN598" s="56">
        <f>IF(AK598&gt;0,I598/AK598,-1)</f>
        <v/>
      </c>
      <c r="AO598" s="56">
        <f>IF(AND(OR(BR598="L1",BR598="L23"),AK598&gt;0),SUMIFS($AK$7:$AK$1570,$BR$7:$BR$1570,BR598,$AN$7:$AN$1570,"&gt;"&amp;AN598)+SUMIFS($AK$7:$AK$1570,$BR$7:$BR$1570,BR598,$AN$7:$AN$1570,AN598,$BL$7:$BL$1570,"&lt;="&amp;BL598),"")</f>
        <v/>
      </c>
      <c r="AP598" s="65">
        <f>IF(AO598="",0,MAX(0,MIN(1,(IF(BR598="L1",Parameter!$K$5,Parameter!$K$6+Parameter!$K$7)-(AO598-AK598))/AK598)))</f>
        <v/>
      </c>
      <c r="AQ598" s="55">
        <f>IF(LEFT(Cockpit!$O$5,1)="A",G598,IF(BT598=1,BU598,IF(LEFT(Cockpit!$O$5,1)="B",AU598,MAX(AU598,G598))))</f>
        <v/>
      </c>
      <c r="AR598" s="55">
        <f>IF(BO598=1,0,ROUNDUP(AQ598/BN598,0))</f>
        <v/>
      </c>
      <c r="AS598" s="64">
        <f>IF(BO598=1,IF(AQ598&lt;=0,0,BP598*MAX(1,IF(G598&gt;0,AQ598/G598,1))),AR598*Q598)</f>
        <v/>
      </c>
      <c r="AT598" s="55">
        <f>AQ598*F598</f>
        <v/>
      </c>
      <c r="AU598" s="55">
        <f>ROUNDUP(MAX(I598/IF(BS598&gt;0,BS598,MAX(0.1,N(Cockpit!$O$6))),BV598)/BN598,0)*BN598</f>
        <v/>
      </c>
      <c r="AV598" s="56">
        <f>IF(AS598&gt;0,I598/AS598,-1)</f>
        <v/>
      </c>
      <c r="AW598" s="56">
        <f>IF(AND(OR(BR598="L1",BR598="L23"),AS598&gt;0),SUMIFS($AS$7:$AS$1570,$BR$7:$BR$1570,BR598,$AV$7:$AV$1570,"&gt;"&amp;AV598)+SUMIFS($AS$7:$AS$1570,$BR$7:$BR$1570,BR598,$AV$7:$AV$1570,AV598,$BL$7:$BL$1570,"&lt;="&amp;BL598),"")</f>
        <v/>
      </c>
      <c r="AX598" s="65">
        <f>IF(AW598="",0,MAX(0,MIN(1,(IF(BR598="L1",Parameter!$K$5,Parameter!$K$6+Parameter!$K$7)-(AW598-AS598))/AS598)))</f>
        <v/>
      </c>
      <c r="AY598" s="53">
        <f>IF(AC598&lt;=0,"",IF(BR598="Aussen","Aussenlager",IF(BR598="-","Nicht im Lift",IF(AH598&gt;=1,"Lift",IF(AH598&lt;=0,"Aussenlager","teilweise")))))</f>
        <v/>
      </c>
      <c r="AZ598" s="53">
        <f>IF(AK598&lt;=0,"",IF(BR598="Aussen","Aussenlager",IF(BR598="-","Nicht im Lift",IF(AP598&gt;=1,"Lift",IF(AP598&lt;=0,"Aussenlager","teilweise")))))</f>
        <v/>
      </c>
      <c r="BA598" s="53">
        <f>IF(AS598&lt;=0,"",IF(BR598="Aussen","Aussenlager",IF(BR598="-","Nicht im Lift",IF(AX598&gt;=1,"Lift",IF(AX598&lt;=0,"Aussenlager","teilweise")))))</f>
        <v/>
      </c>
      <c r="BB598" s="53">
        <f>IF(A598="","",IF(BK598=1,"Neu; ","")&amp;IF(AND(BK598=0,BF598&lt;0),"negativer Bestand (Export "&amp;BF598&amp;"); ","")&amp;IF(I598&lt;=0,"Kein Verbrauch; ","")&amp;IF(BO598=1,"Lose – Fläche geschätzt; ","")&amp;IF(G598&gt;AM598,"Überbestand "&amp;ROUND(G598-AM598,0)&amp;" Stk / CHF "&amp;ROUND((G598-AM598)*F598,0)&amp;"; ","")&amp;IF(AND(BT598=1,BU598&lt;BV598),"MAX &lt; MB+LG; ","")&amp;IF(AND(BZ598&gt;0,BY598*10&gt;BZ598),"zu hoch für Tablar; ","")&amp;IF(AND(BK598=0,OR(BT598=1,V598&lt;&gt;"",S598&lt;&gt;"",T598&lt;&gt;"",W598&lt;&gt;"")),"manuell übersteuert; ","")&amp;IF(AND(BO598=0,Q598=0),"Gebinde unbekannt; ","")&amp;IF(AND(BO598=0,N(T598)&lt;=0,N(P598)&lt;=0),"Menge pro Gebinde fehlt (Ist = 1 Gebinde); ","")&amp;BJ598)</f>
        <v/>
      </c>
      <c r="BC598" s="53" t="n"/>
      <c r="BD598" s="53" t="n"/>
      <c r="BE598" s="61" t="n"/>
      <c r="BF598" s="55" t="n">
        <v>18</v>
      </c>
      <c r="BG598" s="55" t="n">
        <v>0</v>
      </c>
      <c r="BH598" s="54" t="n">
        <v>6.660000000000002</v>
      </c>
      <c r="BI598" s="55" t="n">
        <v>20</v>
      </c>
      <c r="BJ598" s="53" t="inlineStr"/>
      <c r="BK598" s="58" t="n">
        <v>0</v>
      </c>
      <c r="BL598" s="58" t="n">
        <v>598</v>
      </c>
      <c r="BM598" s="53">
        <f>IF(S598&lt;&gt;"",UPPER(TRIM(S598)),IF(O598="","LOSE",O598))</f>
        <v/>
      </c>
      <c r="BN598" s="55">
        <f>IF(BM598="LOSE",1,IF(N(T598)&gt;0,T598,IF(N(P598)&gt;0,P598,MAX(1,G598))))</f>
        <v/>
      </c>
      <c r="BO598" s="58">
        <f>IF(BM598="LOSE",1,0)</f>
        <v/>
      </c>
      <c r="BP598" s="64">
        <f>IF(BO598=0,0,IF(N(R598)&gt;0,R598,IFERROR(VLOOKUP(D598,Parameter!$A$35:$C$64,3,0)+0,0)))</f>
        <v/>
      </c>
      <c r="BQ598" s="53">
        <f>IF(V598&lt;&gt;"",V598,U598)</f>
        <v/>
      </c>
      <c r="BR598" s="53">
        <f>IF(BQ598=1,"L1",IF(OR(BQ598=2,BQ598=3),"L23",IF(BQ598="Aussen","Aussen","-")))</f>
        <v/>
      </c>
      <c r="BS598" s="66">
        <f>IF(N(W598)&gt;0,W598,0)</f>
        <v/>
      </c>
      <c r="BT598" s="58">
        <f>IF(ISNUMBER(Z598),1,0)</f>
        <v/>
      </c>
      <c r="BU598" s="55">
        <f>N(Z598)</f>
        <v/>
      </c>
      <c r="BV598" s="55">
        <f>N(L598)+N(M598)</f>
        <v/>
      </c>
      <c r="BW598" s="55">
        <f>ROUNDUP(G598/BN598,0)</f>
        <v/>
      </c>
      <c r="BX598" s="55">
        <f>ROUNDUP(BU598/BN598,0)</f>
        <v/>
      </c>
      <c r="BY598" s="58">
        <f>IF(BO598=1,0,IFERROR(VLOOKUP(BM598,'Gebinde-Kategorie'!$A$5:$G$45,5,0)+0,0))</f>
        <v/>
      </c>
      <c r="BZ598" s="58">
        <f>IFERROR(IF(OR(BQ598=1,BQ598=2,BQ598=3),N(INDEX(Parameter!$I$5:$I$7,BQ598)),0),0)</f>
        <v/>
      </c>
    </row>
    <row r="599">
      <c r="A599" s="53" t="inlineStr">
        <is>
          <t>106969</t>
        </is>
      </c>
      <c r="B599" s="53" t="inlineStr">
        <is>
          <t>Feldklemme</t>
        </is>
      </c>
      <c r="C599" s="53" t="inlineStr">
        <is>
          <t>F</t>
        </is>
      </c>
      <c r="D599" s="53" t="inlineStr">
        <is>
          <t>KTL</t>
        </is>
      </c>
      <c r="E599" s="53" t="inlineStr">
        <is>
          <t>C</t>
        </is>
      </c>
      <c r="F599" s="54" t="n">
        <v>6.65</v>
      </c>
      <c r="G599" s="55">
        <f>MAX(0,IF(Parameter!$B$20="Jahresanfang 2025 + Export",BG599+BF599,BF599))</f>
        <v/>
      </c>
      <c r="H599" s="55">
        <f>G599*F599</f>
        <v/>
      </c>
      <c r="I599" s="55">
        <f>BI599*Parameter!$B$18</f>
        <v/>
      </c>
      <c r="J599" s="56" t="n">
        <v>50.5</v>
      </c>
      <c r="K599" s="57" t="n">
        <v>0</v>
      </c>
      <c r="L599" s="55" t="n">
        <v>0</v>
      </c>
      <c r="M599" s="55" t="n">
        <v>1</v>
      </c>
      <c r="N599" s="58" t="n">
        <v>70</v>
      </c>
      <c r="O599" s="53" t="inlineStr">
        <is>
          <t>S33</t>
        </is>
      </c>
      <c r="P599" s="55" t="n">
        <v>55</v>
      </c>
      <c r="Q599" s="59">
        <f>IF(BO599=1,0,IFERROR(VLOOKUP(BM599,'Gebinde-Kategorie'!$A$5:$G$45,6,0)+0,0))</f>
        <v/>
      </c>
      <c r="R599" s="60" t="n"/>
      <c r="S599" s="61" t="n"/>
      <c r="T599" s="61" t="n"/>
      <c r="U599" s="53">
        <f>IF(A599="","",IF(IFERROR(VLOOKUP(D599,Parameter!$A$35:$C$64,2,0),"Nein")="2+3",IF(ISNUMBER(SEARCH("grosser Artikel",BJ599)),2,IFERROR(VLOOKUP(BM599,Parameter!$F$35:$G$64,2,0),2)),IF(OR(IFERROR(VLOOKUP(D599,Parameter!$A$35:$C$64,2,0),"Nein")="Nein",IFERROR(VLOOKUP(D599,Parameter!$A$35:$C$64,2,0),"Nein")=""),"-",VLOOKUP(D599,Parameter!$A$35:$C$64,2,0))))</f>
        <v/>
      </c>
      <c r="V599" s="61" t="n"/>
      <c r="W599" s="62" t="n"/>
      <c r="X599" s="55">
        <f>AM599</f>
        <v/>
      </c>
      <c r="Y599" s="55">
        <f>MAX(AM599,G599)</f>
        <v/>
      </c>
      <c r="Z599" s="63" t="n"/>
      <c r="AA599" s="55">
        <f>IF(LEFT(Cockpit!$C$5,1)="A",G599,IF(BT599=1,BU599,IF(LEFT(Cockpit!$C$5,1)="B",AE599,MAX(AE599,G599))))</f>
        <v/>
      </c>
      <c r="AB599" s="55">
        <f>IF(BO599=1,0,ROUNDUP(AA599/BN599,0))</f>
        <v/>
      </c>
      <c r="AC599" s="64">
        <f>IF(BO599=1,IF(AA599&lt;=0,0,BP599*MAX(1,IF(G599&gt;0,AA599/G599,1))),AB599*Q599)</f>
        <v/>
      </c>
      <c r="AD599" s="55">
        <f>AA599*F599</f>
        <v/>
      </c>
      <c r="AE599" s="55">
        <f>ROUNDUP(MAX(I599/IF(BS599&gt;0,BS599,MAX(0.1,N(Cockpit!$C$6))),BV599)/BN599,0)*BN599</f>
        <v/>
      </c>
      <c r="AF599" s="56">
        <f>IF(AC599&gt;0,I599/AC599,-1)</f>
        <v/>
      </c>
      <c r="AG599" s="56">
        <f>IF(AND(OR(BR599="L1",BR599="L23"),AC599&gt;0),SUMIFS($AC$7:$AC$1570,$BR$7:$BR$1570,BR599,$AF$7:$AF$1570,"&gt;"&amp;AF599)+SUMIFS($AC$7:$AC$1570,$BR$7:$BR$1570,BR599,$AF$7:$AF$1570,AF599,$BL$7:$BL$1570,"&lt;="&amp;BL599),"")</f>
        <v/>
      </c>
      <c r="AH599" s="65">
        <f>IF(AG599="",0,MAX(0,MIN(1,(IF(BR599="L1",Parameter!$K$5,Parameter!$K$6+Parameter!$K$7)-(AG599-AC599))/AC599)))</f>
        <v/>
      </c>
      <c r="AI599" s="55">
        <f>IF(LEFT(Cockpit!$I$5,1)="A",G599,IF(BT599=1,BU599,IF(LEFT(Cockpit!$I$5,1)="B",AM599,MAX(AM599,G599))))</f>
        <v/>
      </c>
      <c r="AJ599" s="55">
        <f>IF(BO599=1,0,ROUNDUP(AI599/BN599,0))</f>
        <v/>
      </c>
      <c r="AK599" s="64">
        <f>IF(BO599=1,IF(AI599&lt;=0,0,BP599*MAX(1,IF(G599&gt;0,AI599/G599,1))),AJ599*Q599)</f>
        <v/>
      </c>
      <c r="AL599" s="55">
        <f>AI599*F599</f>
        <v/>
      </c>
      <c r="AM599" s="55">
        <f>ROUNDUP(MAX(I599/IF(BS599&gt;0,BS599,MAX(0.1,N(Cockpit!$I$6))),BV599)/BN599,0)*BN599</f>
        <v/>
      </c>
      <c r="AN599" s="56">
        <f>IF(AK599&gt;0,I599/AK599,-1)</f>
        <v/>
      </c>
      <c r="AO599" s="56">
        <f>IF(AND(OR(BR599="L1",BR599="L23"),AK599&gt;0),SUMIFS($AK$7:$AK$1570,$BR$7:$BR$1570,BR599,$AN$7:$AN$1570,"&gt;"&amp;AN599)+SUMIFS($AK$7:$AK$1570,$BR$7:$BR$1570,BR599,$AN$7:$AN$1570,AN599,$BL$7:$BL$1570,"&lt;="&amp;BL599),"")</f>
        <v/>
      </c>
      <c r="AP599" s="65">
        <f>IF(AO599="",0,MAX(0,MIN(1,(IF(BR599="L1",Parameter!$K$5,Parameter!$K$6+Parameter!$K$7)-(AO599-AK599))/AK599)))</f>
        <v/>
      </c>
      <c r="AQ599" s="55">
        <f>IF(LEFT(Cockpit!$O$5,1)="A",G599,IF(BT599=1,BU599,IF(LEFT(Cockpit!$O$5,1)="B",AU599,MAX(AU599,G599))))</f>
        <v/>
      </c>
      <c r="AR599" s="55">
        <f>IF(BO599=1,0,ROUNDUP(AQ599/BN599,0))</f>
        <v/>
      </c>
      <c r="AS599" s="64">
        <f>IF(BO599=1,IF(AQ599&lt;=0,0,BP599*MAX(1,IF(G599&gt;0,AQ599/G599,1))),AR599*Q599)</f>
        <v/>
      </c>
      <c r="AT599" s="55">
        <f>AQ599*F599</f>
        <v/>
      </c>
      <c r="AU599" s="55">
        <f>ROUNDUP(MAX(I599/IF(BS599&gt;0,BS599,MAX(0.1,N(Cockpit!$O$6))),BV599)/BN599,0)*BN599</f>
        <v/>
      </c>
      <c r="AV599" s="56">
        <f>IF(AS599&gt;0,I599/AS599,-1)</f>
        <v/>
      </c>
      <c r="AW599" s="56">
        <f>IF(AND(OR(BR599="L1",BR599="L23"),AS599&gt;0),SUMIFS($AS$7:$AS$1570,$BR$7:$BR$1570,BR599,$AV$7:$AV$1570,"&gt;"&amp;AV599)+SUMIFS($AS$7:$AS$1570,$BR$7:$BR$1570,BR599,$AV$7:$AV$1570,AV599,$BL$7:$BL$1570,"&lt;="&amp;BL599),"")</f>
        <v/>
      </c>
      <c r="AX599" s="65">
        <f>IF(AW599="",0,MAX(0,MIN(1,(IF(BR599="L1",Parameter!$K$5,Parameter!$K$6+Parameter!$K$7)-(AW599-AS599))/AS599)))</f>
        <v/>
      </c>
      <c r="AY599" s="53">
        <f>IF(AC599&lt;=0,"",IF(BR599="Aussen","Aussenlager",IF(BR599="-","Nicht im Lift",IF(AH599&gt;=1,"Lift",IF(AH599&lt;=0,"Aussenlager","teilweise")))))</f>
        <v/>
      </c>
      <c r="AZ599" s="53">
        <f>IF(AK599&lt;=0,"",IF(BR599="Aussen","Aussenlager",IF(BR599="-","Nicht im Lift",IF(AP599&gt;=1,"Lift",IF(AP599&lt;=0,"Aussenlager","teilweise")))))</f>
        <v/>
      </c>
      <c r="BA599" s="53">
        <f>IF(AS599&lt;=0,"",IF(BR599="Aussen","Aussenlager",IF(BR599="-","Nicht im Lift",IF(AX599&gt;=1,"Lift",IF(AX599&lt;=0,"Aussenlager","teilweise")))))</f>
        <v/>
      </c>
      <c r="BB599" s="53">
        <f>IF(A599="","",IF(BK599=1,"Neu; ","")&amp;IF(AND(BK599=0,BF599&lt;0),"negativer Bestand (Export "&amp;BF599&amp;"); ","")&amp;IF(I599&lt;=0,"Kein Verbrauch; ","")&amp;IF(BO599=1,"Lose – Fläche geschätzt; ","")&amp;IF(G599&gt;AM599,"Überbestand "&amp;ROUND(G599-AM599,0)&amp;" Stk / CHF "&amp;ROUND((G599-AM599)*F599,0)&amp;"; ","")&amp;IF(AND(BT599=1,BU599&lt;BV599),"MAX &lt; MB+LG; ","")&amp;IF(AND(BZ599&gt;0,BY599*10&gt;BZ599),"zu hoch für Tablar; ","")&amp;IF(AND(BK599=0,OR(BT599=1,V599&lt;&gt;"",S599&lt;&gt;"",T599&lt;&gt;"",W599&lt;&gt;"")),"manuell übersteuert; ","")&amp;IF(AND(BO599=0,Q599=0),"Gebinde unbekannt; ","")&amp;IF(AND(BO599=0,N(T599)&lt;=0,N(P599)&lt;=0),"Menge pro Gebinde fehlt (Ist = 1 Gebinde); ","")&amp;BJ599)</f>
        <v/>
      </c>
      <c r="BC599" s="53" t="n"/>
      <c r="BD599" s="53" t="n"/>
      <c r="BE599" s="61" t="n"/>
      <c r="BF599" s="55" t="n">
        <v>1</v>
      </c>
      <c r="BG599" s="55" t="n">
        <v>50</v>
      </c>
      <c r="BH599" s="54" t="n">
        <v>6.65</v>
      </c>
      <c r="BI599" s="55" t="n">
        <v>0</v>
      </c>
      <c r="BJ599" s="53" t="inlineStr"/>
      <c r="BK599" s="58" t="n">
        <v>0</v>
      </c>
      <c r="BL599" s="58" t="n">
        <v>599</v>
      </c>
      <c r="BM599" s="53">
        <f>IF(S599&lt;&gt;"",UPPER(TRIM(S599)),IF(O599="","LOSE",O599))</f>
        <v/>
      </c>
      <c r="BN599" s="55">
        <f>IF(BM599="LOSE",1,IF(N(T599)&gt;0,T599,IF(N(P599)&gt;0,P599,MAX(1,G599))))</f>
        <v/>
      </c>
      <c r="BO599" s="58">
        <f>IF(BM599="LOSE",1,0)</f>
        <v/>
      </c>
      <c r="BP599" s="64">
        <f>IF(BO599=0,0,IF(N(R599)&gt;0,R599,IFERROR(VLOOKUP(D599,Parameter!$A$35:$C$64,3,0)+0,0)))</f>
        <v/>
      </c>
      <c r="BQ599" s="53">
        <f>IF(V599&lt;&gt;"",V599,U599)</f>
        <v/>
      </c>
      <c r="BR599" s="53">
        <f>IF(BQ599=1,"L1",IF(OR(BQ599=2,BQ599=3),"L23",IF(BQ599="Aussen","Aussen","-")))</f>
        <v/>
      </c>
      <c r="BS599" s="66">
        <f>IF(N(W599)&gt;0,W599,0)</f>
        <v/>
      </c>
      <c r="BT599" s="58">
        <f>IF(ISNUMBER(Z599),1,0)</f>
        <v/>
      </c>
      <c r="BU599" s="55">
        <f>N(Z599)</f>
        <v/>
      </c>
      <c r="BV599" s="55">
        <f>N(L599)+N(M599)</f>
        <v/>
      </c>
      <c r="BW599" s="55">
        <f>ROUNDUP(G599/BN599,0)</f>
        <v/>
      </c>
      <c r="BX599" s="55">
        <f>ROUNDUP(BU599/BN599,0)</f>
        <v/>
      </c>
      <c r="BY599" s="58">
        <f>IF(BO599=1,0,IFERROR(VLOOKUP(BM599,'Gebinde-Kategorie'!$A$5:$G$45,5,0)+0,0))</f>
        <v/>
      </c>
      <c r="BZ599" s="58">
        <f>IFERROR(IF(OR(BQ599=1,BQ599=2,BQ599=3),N(INDEX(Parameter!$I$5:$I$7,BQ599)),0),0)</f>
        <v/>
      </c>
    </row>
    <row r="600">
      <c r="A600" s="53" t="inlineStr">
        <is>
          <t>001143</t>
        </is>
      </c>
      <c r="B600" s="53" t="inlineStr">
        <is>
          <t>UV-beständiger Verschlussbeutel mittel</t>
        </is>
      </c>
      <c r="C600" s="53" t="inlineStr">
        <is>
          <t>F</t>
        </is>
      </c>
      <c r="D600" s="53" t="inlineStr">
        <is>
          <t>KTL</t>
        </is>
      </c>
      <c r="E600" s="53" t="inlineStr">
        <is>
          <t>C</t>
        </is>
      </c>
      <c r="F600" s="54" t="n">
        <v>0.14</v>
      </c>
      <c r="G600" s="55">
        <f>MAX(0,IF(Parameter!$B$20="Jahresanfang 2025 + Export",BG600+BF600,BF600))</f>
        <v/>
      </c>
      <c r="H600" s="55">
        <f>G600*F600</f>
        <v/>
      </c>
      <c r="I600" s="55">
        <f>BI600*Parameter!$B$18</f>
        <v/>
      </c>
      <c r="J600" s="56" t="n">
        <v>200</v>
      </c>
      <c r="K600" s="57" t="n">
        <v>0.255</v>
      </c>
      <c r="L600" s="55" t="n">
        <v>2</v>
      </c>
      <c r="M600" s="55" t="n">
        <v>500</v>
      </c>
      <c r="N600" s="58" t="n">
        <v>21</v>
      </c>
      <c r="O600" s="53" t="inlineStr">
        <is>
          <t>S51</t>
        </is>
      </c>
      <c r="P600" s="55" t="n">
        <v>600</v>
      </c>
      <c r="Q600" s="59">
        <f>IF(BO600=1,0,IFERROR(VLOOKUP(BM600,'Gebinde-Kategorie'!$A$5:$G$45,6,0)+0,0))</f>
        <v/>
      </c>
      <c r="R600" s="60" t="n"/>
      <c r="S600" s="61" t="n"/>
      <c r="T600" s="61" t="n"/>
      <c r="U600" s="53">
        <f>IF(A600="","",IF(IFERROR(VLOOKUP(D600,Parameter!$A$35:$C$64,2,0),"Nein")="2+3",IF(ISNUMBER(SEARCH("grosser Artikel",BJ600)),2,IFERROR(VLOOKUP(BM600,Parameter!$F$35:$G$64,2,0),2)),IF(OR(IFERROR(VLOOKUP(D600,Parameter!$A$35:$C$64,2,0),"Nein")="Nein",IFERROR(VLOOKUP(D600,Parameter!$A$35:$C$64,2,0),"Nein")=""),"-",VLOOKUP(D600,Parameter!$A$35:$C$64,2,0))))</f>
        <v/>
      </c>
      <c r="V600" s="61" t="n"/>
      <c r="W600" s="62" t="n"/>
      <c r="X600" s="55">
        <f>AM600</f>
        <v/>
      </c>
      <c r="Y600" s="55">
        <f>MAX(AM600,G600)</f>
        <v/>
      </c>
      <c r="Z600" s="63" t="n"/>
      <c r="AA600" s="55">
        <f>IF(LEFT(Cockpit!$C$5,1)="A",G600,IF(BT600=1,BU600,IF(LEFT(Cockpit!$C$5,1)="B",AE600,MAX(AE600,G600))))</f>
        <v/>
      </c>
      <c r="AB600" s="55">
        <f>IF(BO600=1,0,ROUNDUP(AA600/BN600,0))</f>
        <v/>
      </c>
      <c r="AC600" s="64">
        <f>IF(BO600=1,IF(AA600&lt;=0,0,BP600*MAX(1,IF(G600&gt;0,AA600/G600,1))),AB600*Q600)</f>
        <v/>
      </c>
      <c r="AD600" s="55">
        <f>AA600*F600</f>
        <v/>
      </c>
      <c r="AE600" s="55">
        <f>ROUNDUP(MAX(I600/IF(BS600&gt;0,BS600,MAX(0.1,N(Cockpit!$C$6))),BV600)/BN600,0)*BN600</f>
        <v/>
      </c>
      <c r="AF600" s="56">
        <f>IF(AC600&gt;0,I600/AC600,-1)</f>
        <v/>
      </c>
      <c r="AG600" s="56">
        <f>IF(AND(OR(BR600="L1",BR600="L23"),AC600&gt;0),SUMIFS($AC$7:$AC$1570,$BR$7:$BR$1570,BR600,$AF$7:$AF$1570,"&gt;"&amp;AF600)+SUMIFS($AC$7:$AC$1570,$BR$7:$BR$1570,BR600,$AF$7:$AF$1570,AF600,$BL$7:$BL$1570,"&lt;="&amp;BL600),"")</f>
        <v/>
      </c>
      <c r="AH600" s="65">
        <f>IF(AG600="",0,MAX(0,MIN(1,(IF(BR600="L1",Parameter!$K$5,Parameter!$K$6+Parameter!$K$7)-(AG600-AC600))/AC600)))</f>
        <v/>
      </c>
      <c r="AI600" s="55">
        <f>IF(LEFT(Cockpit!$I$5,1)="A",G600,IF(BT600=1,BU600,IF(LEFT(Cockpit!$I$5,1)="B",AM600,MAX(AM600,G600))))</f>
        <v/>
      </c>
      <c r="AJ600" s="55">
        <f>IF(BO600=1,0,ROUNDUP(AI600/BN600,0))</f>
        <v/>
      </c>
      <c r="AK600" s="64">
        <f>IF(BO600=1,IF(AI600&lt;=0,0,BP600*MAX(1,IF(G600&gt;0,AI600/G600,1))),AJ600*Q600)</f>
        <v/>
      </c>
      <c r="AL600" s="55">
        <f>AI600*F600</f>
        <v/>
      </c>
      <c r="AM600" s="55">
        <f>ROUNDUP(MAX(I600/IF(BS600&gt;0,BS600,MAX(0.1,N(Cockpit!$I$6))),BV600)/BN600,0)*BN600</f>
        <v/>
      </c>
      <c r="AN600" s="56">
        <f>IF(AK600&gt;0,I600/AK600,-1)</f>
        <v/>
      </c>
      <c r="AO600" s="56">
        <f>IF(AND(OR(BR600="L1",BR600="L23"),AK600&gt;0),SUMIFS($AK$7:$AK$1570,$BR$7:$BR$1570,BR600,$AN$7:$AN$1570,"&gt;"&amp;AN600)+SUMIFS($AK$7:$AK$1570,$BR$7:$BR$1570,BR600,$AN$7:$AN$1570,AN600,$BL$7:$BL$1570,"&lt;="&amp;BL600),"")</f>
        <v/>
      </c>
      <c r="AP600" s="65">
        <f>IF(AO600="",0,MAX(0,MIN(1,(IF(BR600="L1",Parameter!$K$5,Parameter!$K$6+Parameter!$K$7)-(AO600-AK600))/AK600)))</f>
        <v/>
      </c>
      <c r="AQ600" s="55">
        <f>IF(LEFT(Cockpit!$O$5,1)="A",G600,IF(BT600=1,BU600,IF(LEFT(Cockpit!$O$5,1)="B",AU600,MAX(AU600,G600))))</f>
        <v/>
      </c>
      <c r="AR600" s="55">
        <f>IF(BO600=1,0,ROUNDUP(AQ600/BN600,0))</f>
        <v/>
      </c>
      <c r="AS600" s="64">
        <f>IF(BO600=1,IF(AQ600&lt;=0,0,BP600*MAX(1,IF(G600&gt;0,AQ600/G600,1))),AR600*Q600)</f>
        <v/>
      </c>
      <c r="AT600" s="55">
        <f>AQ600*F600</f>
        <v/>
      </c>
      <c r="AU600" s="55">
        <f>ROUNDUP(MAX(I600/IF(BS600&gt;0,BS600,MAX(0.1,N(Cockpit!$O$6))),BV600)/BN600,0)*BN600</f>
        <v/>
      </c>
      <c r="AV600" s="56">
        <f>IF(AS600&gt;0,I600/AS600,-1)</f>
        <v/>
      </c>
      <c r="AW600" s="56">
        <f>IF(AND(OR(BR600="L1",BR600="L23"),AS600&gt;0),SUMIFS($AS$7:$AS$1570,$BR$7:$BR$1570,BR600,$AV$7:$AV$1570,"&gt;"&amp;AV600)+SUMIFS($AS$7:$AS$1570,$BR$7:$BR$1570,BR600,$AV$7:$AV$1570,AV600,$BL$7:$BL$1570,"&lt;="&amp;BL600),"")</f>
        <v/>
      </c>
      <c r="AX600" s="65">
        <f>IF(AW600="",0,MAX(0,MIN(1,(IF(BR600="L1",Parameter!$K$5,Parameter!$K$6+Parameter!$K$7)-(AW600-AS600))/AS600)))</f>
        <v/>
      </c>
      <c r="AY600" s="53">
        <f>IF(AC600&lt;=0,"",IF(BR600="Aussen","Aussenlager",IF(BR600="-","Nicht im Lift",IF(AH600&gt;=1,"Lift",IF(AH600&lt;=0,"Aussenlager","teilweise")))))</f>
        <v/>
      </c>
      <c r="AZ600" s="53">
        <f>IF(AK600&lt;=0,"",IF(BR600="Aussen","Aussenlager",IF(BR600="-","Nicht im Lift",IF(AP600&gt;=1,"Lift",IF(AP600&lt;=0,"Aussenlager","teilweise")))))</f>
        <v/>
      </c>
      <c r="BA600" s="53">
        <f>IF(AS600&lt;=0,"",IF(BR600="Aussen","Aussenlager",IF(BR600="-","Nicht im Lift",IF(AX600&gt;=1,"Lift",IF(AX600&lt;=0,"Aussenlager","teilweise")))))</f>
        <v/>
      </c>
      <c r="BB600" s="53">
        <f>IF(A600="","",IF(BK600=1,"Neu; ","")&amp;IF(AND(BK600=0,BF600&lt;0),"negativer Bestand (Export "&amp;BF600&amp;"); ","")&amp;IF(I600&lt;=0,"Kein Verbrauch; ","")&amp;IF(BO600=1,"Lose – Fläche geschätzt; ","")&amp;IF(G600&gt;AM600,"Überbestand "&amp;ROUND(G600-AM600,0)&amp;" Stk / CHF "&amp;ROUND((G600-AM600)*F600,0)&amp;"; ","")&amp;IF(AND(BT600=1,BU600&lt;BV600),"MAX &lt; MB+LG; ","")&amp;IF(AND(BZ600&gt;0,BY600*10&gt;BZ600),"zu hoch für Tablar; ","")&amp;IF(AND(BK600=0,OR(BT600=1,V600&lt;&gt;"",S600&lt;&gt;"",T600&lt;&gt;"",W600&lt;&gt;"")),"manuell übersteuert; ","")&amp;IF(AND(BO600=0,Q600=0),"Gebinde unbekannt; ","")&amp;IF(AND(BO600=0,N(T600)&lt;=0,N(P600)&lt;=0),"Menge pro Gebinde fehlt (Ist = 1 Gebinde); ","")&amp;BJ600)</f>
        <v/>
      </c>
      <c r="BC600" s="53" t="n"/>
      <c r="BD600" s="53" t="n"/>
      <c r="BE600" s="61" t="n"/>
      <c r="BF600" s="55" t="n">
        <v>50</v>
      </c>
      <c r="BG600" s="55" t="n">
        <v>100</v>
      </c>
      <c r="BH600" s="54" t="n">
        <v>5.999999999999989</v>
      </c>
      <c r="BI600" s="55" t="n">
        <v>51</v>
      </c>
      <c r="BJ600" s="53" t="inlineStr"/>
      <c r="BK600" s="58" t="n">
        <v>0</v>
      </c>
      <c r="BL600" s="58" t="n">
        <v>600</v>
      </c>
      <c r="BM600" s="53">
        <f>IF(S600&lt;&gt;"",UPPER(TRIM(S600)),IF(O600="","LOSE",O600))</f>
        <v/>
      </c>
      <c r="BN600" s="55">
        <f>IF(BM600="LOSE",1,IF(N(T600)&gt;0,T600,IF(N(P600)&gt;0,P600,MAX(1,G600))))</f>
        <v/>
      </c>
      <c r="BO600" s="58">
        <f>IF(BM600="LOSE",1,0)</f>
        <v/>
      </c>
      <c r="BP600" s="64">
        <f>IF(BO600=0,0,IF(N(R600)&gt;0,R600,IFERROR(VLOOKUP(D600,Parameter!$A$35:$C$64,3,0)+0,0)))</f>
        <v/>
      </c>
      <c r="BQ600" s="53">
        <f>IF(V600&lt;&gt;"",V600,U600)</f>
        <v/>
      </c>
      <c r="BR600" s="53">
        <f>IF(BQ600=1,"L1",IF(OR(BQ600=2,BQ600=3),"L23",IF(BQ600="Aussen","Aussen","-")))</f>
        <v/>
      </c>
      <c r="BS600" s="66">
        <f>IF(N(W600)&gt;0,W600,0)</f>
        <v/>
      </c>
      <c r="BT600" s="58">
        <f>IF(ISNUMBER(Z600),1,0)</f>
        <v/>
      </c>
      <c r="BU600" s="55">
        <f>N(Z600)</f>
        <v/>
      </c>
      <c r="BV600" s="55">
        <f>N(L600)+N(M600)</f>
        <v/>
      </c>
      <c r="BW600" s="55">
        <f>ROUNDUP(G600/BN600,0)</f>
        <v/>
      </c>
      <c r="BX600" s="55">
        <f>ROUNDUP(BU600/BN600,0)</f>
        <v/>
      </c>
      <c r="BY600" s="58">
        <f>IF(BO600=1,0,IFERROR(VLOOKUP(BM600,'Gebinde-Kategorie'!$A$5:$G$45,5,0)+0,0))</f>
        <v/>
      </c>
      <c r="BZ600" s="58">
        <f>IFERROR(IF(OR(BQ600=1,BQ600=2,BQ600=3),N(INDEX(Parameter!$I$5:$I$7,BQ600)),0),0)</f>
        <v/>
      </c>
    </row>
    <row r="601">
      <c r="A601" s="53" t="inlineStr">
        <is>
          <t>005708</t>
        </is>
      </c>
      <c r="B601" s="53" t="inlineStr">
        <is>
          <t>Kontaktmodul</t>
        </is>
      </c>
      <c r="C601" s="53" t="inlineStr">
        <is>
          <t>F</t>
        </is>
      </c>
      <c r="D601" s="53" t="inlineStr">
        <is>
          <t>KTL</t>
        </is>
      </c>
      <c r="E601" s="53" t="inlineStr">
        <is>
          <t>C</t>
        </is>
      </c>
      <c r="F601" s="54" t="n">
        <v>4.65</v>
      </c>
      <c r="G601" s="55">
        <f>MAX(0,IF(Parameter!$B$20="Jahresanfang 2025 + Export",BG601+BF601,BF601))</f>
        <v/>
      </c>
      <c r="H601" s="55">
        <f>G601*F601</f>
        <v/>
      </c>
      <c r="I601" s="55">
        <f>BI601*Parameter!$B$18</f>
        <v/>
      </c>
      <c r="J601" s="56" t="n">
        <v>11.5</v>
      </c>
      <c r="K601" s="57" t="n">
        <v>0.6956521739130435</v>
      </c>
      <c r="L601" s="55" t="n">
        <v>0</v>
      </c>
      <c r="M601" s="55" t="n">
        <v>10</v>
      </c>
      <c r="N601" s="58" t="n">
        <v>14</v>
      </c>
      <c r="O601" s="53" t="inlineStr">
        <is>
          <t>S32</t>
        </is>
      </c>
      <c r="P601" s="55" t="n">
        <v>7</v>
      </c>
      <c r="Q601" s="59">
        <f>IF(BO601=1,0,IFERROR(VLOOKUP(BM601,'Gebinde-Kategorie'!$A$5:$G$45,6,0)+0,0))</f>
        <v/>
      </c>
      <c r="R601" s="60" t="n"/>
      <c r="S601" s="61" t="n"/>
      <c r="T601" s="61" t="n"/>
      <c r="U601" s="53">
        <f>IF(A601="","",IF(IFERROR(VLOOKUP(D601,Parameter!$A$35:$C$64,2,0),"Nein")="2+3",IF(ISNUMBER(SEARCH("grosser Artikel",BJ601)),2,IFERROR(VLOOKUP(BM601,Parameter!$F$35:$G$64,2,0),2)),IF(OR(IFERROR(VLOOKUP(D601,Parameter!$A$35:$C$64,2,0),"Nein")="Nein",IFERROR(VLOOKUP(D601,Parameter!$A$35:$C$64,2,0),"Nein")=""),"-",VLOOKUP(D601,Parameter!$A$35:$C$64,2,0))))</f>
        <v/>
      </c>
      <c r="V601" s="61" t="n"/>
      <c r="W601" s="62" t="n"/>
      <c r="X601" s="55">
        <f>AM601</f>
        <v/>
      </c>
      <c r="Y601" s="55">
        <f>MAX(AM601,G601)</f>
        <v/>
      </c>
      <c r="Z601" s="63" t="n"/>
      <c r="AA601" s="55">
        <f>IF(LEFT(Cockpit!$C$5,1)="A",G601,IF(BT601=1,BU601,IF(LEFT(Cockpit!$C$5,1)="B",AE601,MAX(AE601,G601))))</f>
        <v/>
      </c>
      <c r="AB601" s="55">
        <f>IF(BO601=1,0,ROUNDUP(AA601/BN601,0))</f>
        <v/>
      </c>
      <c r="AC601" s="64">
        <f>IF(BO601=1,IF(AA601&lt;=0,0,BP601*MAX(1,IF(G601&gt;0,AA601/G601,1))),AB601*Q601)</f>
        <v/>
      </c>
      <c r="AD601" s="55">
        <f>AA601*F601</f>
        <v/>
      </c>
      <c r="AE601" s="55">
        <f>ROUNDUP(MAX(I601/IF(BS601&gt;0,BS601,MAX(0.1,N(Cockpit!$C$6))),BV601)/BN601,0)*BN601</f>
        <v/>
      </c>
      <c r="AF601" s="56">
        <f>IF(AC601&gt;0,I601/AC601,-1)</f>
        <v/>
      </c>
      <c r="AG601" s="56">
        <f>IF(AND(OR(BR601="L1",BR601="L23"),AC601&gt;0),SUMIFS($AC$7:$AC$1570,$BR$7:$BR$1570,BR601,$AF$7:$AF$1570,"&gt;"&amp;AF601)+SUMIFS($AC$7:$AC$1570,$BR$7:$BR$1570,BR601,$AF$7:$AF$1570,AF601,$BL$7:$BL$1570,"&lt;="&amp;BL601),"")</f>
        <v/>
      </c>
      <c r="AH601" s="65">
        <f>IF(AG601="",0,MAX(0,MIN(1,(IF(BR601="L1",Parameter!$K$5,Parameter!$K$6+Parameter!$K$7)-(AG601-AC601))/AC601)))</f>
        <v/>
      </c>
      <c r="AI601" s="55">
        <f>IF(LEFT(Cockpit!$I$5,1)="A",G601,IF(BT601=1,BU601,IF(LEFT(Cockpit!$I$5,1)="B",AM601,MAX(AM601,G601))))</f>
        <v/>
      </c>
      <c r="AJ601" s="55">
        <f>IF(BO601=1,0,ROUNDUP(AI601/BN601,0))</f>
        <v/>
      </c>
      <c r="AK601" s="64">
        <f>IF(BO601=1,IF(AI601&lt;=0,0,BP601*MAX(1,IF(G601&gt;0,AI601/G601,1))),AJ601*Q601)</f>
        <v/>
      </c>
      <c r="AL601" s="55">
        <f>AI601*F601</f>
        <v/>
      </c>
      <c r="AM601" s="55">
        <f>ROUNDUP(MAX(I601/IF(BS601&gt;0,BS601,MAX(0.1,N(Cockpit!$I$6))),BV601)/BN601,0)*BN601</f>
        <v/>
      </c>
      <c r="AN601" s="56">
        <f>IF(AK601&gt;0,I601/AK601,-1)</f>
        <v/>
      </c>
      <c r="AO601" s="56">
        <f>IF(AND(OR(BR601="L1",BR601="L23"),AK601&gt;0),SUMIFS($AK$7:$AK$1570,$BR$7:$BR$1570,BR601,$AN$7:$AN$1570,"&gt;"&amp;AN601)+SUMIFS($AK$7:$AK$1570,$BR$7:$BR$1570,BR601,$AN$7:$AN$1570,AN601,$BL$7:$BL$1570,"&lt;="&amp;BL601),"")</f>
        <v/>
      </c>
      <c r="AP601" s="65">
        <f>IF(AO601="",0,MAX(0,MIN(1,(IF(BR601="L1",Parameter!$K$5,Parameter!$K$6+Parameter!$K$7)-(AO601-AK601))/AK601)))</f>
        <v/>
      </c>
      <c r="AQ601" s="55">
        <f>IF(LEFT(Cockpit!$O$5,1)="A",G601,IF(BT601=1,BU601,IF(LEFT(Cockpit!$O$5,1)="B",AU601,MAX(AU601,G601))))</f>
        <v/>
      </c>
      <c r="AR601" s="55">
        <f>IF(BO601=1,0,ROUNDUP(AQ601/BN601,0))</f>
        <v/>
      </c>
      <c r="AS601" s="64">
        <f>IF(BO601=1,IF(AQ601&lt;=0,0,BP601*MAX(1,IF(G601&gt;0,AQ601/G601,1))),AR601*Q601)</f>
        <v/>
      </c>
      <c r="AT601" s="55">
        <f>AQ601*F601</f>
        <v/>
      </c>
      <c r="AU601" s="55">
        <f>ROUNDUP(MAX(I601/IF(BS601&gt;0,BS601,MAX(0.1,N(Cockpit!$O$6))),BV601)/BN601,0)*BN601</f>
        <v/>
      </c>
      <c r="AV601" s="56">
        <f>IF(AS601&gt;0,I601/AS601,-1)</f>
        <v/>
      </c>
      <c r="AW601" s="56">
        <f>IF(AND(OR(BR601="L1",BR601="L23"),AS601&gt;0),SUMIFS($AS$7:$AS$1570,$BR$7:$BR$1570,BR601,$AV$7:$AV$1570,"&gt;"&amp;AV601)+SUMIFS($AS$7:$AS$1570,$BR$7:$BR$1570,BR601,$AV$7:$AV$1570,AV601,$BL$7:$BL$1570,"&lt;="&amp;BL601),"")</f>
        <v/>
      </c>
      <c r="AX601" s="65">
        <f>IF(AW601="",0,MAX(0,MIN(1,(IF(BR601="L1",Parameter!$K$5,Parameter!$K$6+Parameter!$K$7)-(AW601-AS601))/AS601)))</f>
        <v/>
      </c>
      <c r="AY601" s="53">
        <f>IF(AC601&lt;=0,"",IF(BR601="Aussen","Aussenlager",IF(BR601="-","Nicht im Lift",IF(AH601&gt;=1,"Lift",IF(AH601&lt;=0,"Aussenlager","teilweise")))))</f>
        <v/>
      </c>
      <c r="AZ601" s="53">
        <f>IF(AK601&lt;=0,"",IF(BR601="Aussen","Aussenlager",IF(BR601="-","Nicht im Lift",IF(AP601&gt;=1,"Lift",IF(AP601&lt;=0,"Aussenlager","teilweise")))))</f>
        <v/>
      </c>
      <c r="BA601" s="53">
        <f>IF(AS601&lt;=0,"",IF(BR601="Aussen","Aussenlager",IF(BR601="-","Nicht im Lift",IF(AX601&gt;=1,"Lift",IF(AX601&lt;=0,"Aussenlager","teilweise")))))</f>
        <v/>
      </c>
      <c r="BB601" s="53">
        <f>IF(A601="","",IF(BK601=1,"Neu; ","")&amp;IF(AND(BK601=0,BF601&lt;0),"negativer Bestand (Export "&amp;BF601&amp;"); ","")&amp;IF(I601&lt;=0,"Kein Verbrauch; ","")&amp;IF(BO601=1,"Lose – Fläche geschätzt; ","")&amp;IF(G601&gt;AM601,"Überbestand "&amp;ROUND(G601-AM601,0)&amp;" Stk / CHF "&amp;ROUND((G601-AM601)*F601,0)&amp;"; ","")&amp;IF(AND(BT601=1,BU601&lt;BV601),"MAX &lt; MB+LG; ","")&amp;IF(AND(BZ601&gt;0,BY601*10&gt;BZ601),"zu hoch für Tablar; ","")&amp;IF(AND(BK601=0,OR(BT601=1,V601&lt;&gt;"",S601&lt;&gt;"",T601&lt;&gt;"",W601&lt;&gt;"")),"manuell übersteuert; ","")&amp;IF(AND(BO601=0,Q601=0),"Gebinde unbekannt; ","")&amp;IF(AND(BO601=0,N(T601)&lt;=0,N(P601)&lt;=0),"Menge pro Gebinde fehlt (Ist = 1 Gebinde); ","")&amp;BJ601)</f>
        <v/>
      </c>
      <c r="BC601" s="53" t="n"/>
      <c r="BD601" s="53" t="n"/>
      <c r="BE601" s="61" t="n"/>
      <c r="BF601" s="55" t="n">
        <v>2</v>
      </c>
      <c r="BG601" s="55" t="n">
        <v>7</v>
      </c>
      <c r="BH601" s="54" t="n">
        <v>5.660000000000004</v>
      </c>
      <c r="BI601" s="55" t="n">
        <v>8</v>
      </c>
      <c r="BJ601" s="53" t="inlineStr"/>
      <c r="BK601" s="58" t="n">
        <v>0</v>
      </c>
      <c r="BL601" s="58" t="n">
        <v>601</v>
      </c>
      <c r="BM601" s="53">
        <f>IF(S601&lt;&gt;"",UPPER(TRIM(S601)),IF(O601="","LOSE",O601))</f>
        <v/>
      </c>
      <c r="BN601" s="55">
        <f>IF(BM601="LOSE",1,IF(N(T601)&gt;0,T601,IF(N(P601)&gt;0,P601,MAX(1,G601))))</f>
        <v/>
      </c>
      <c r="BO601" s="58">
        <f>IF(BM601="LOSE",1,0)</f>
        <v/>
      </c>
      <c r="BP601" s="64">
        <f>IF(BO601=0,0,IF(N(R601)&gt;0,R601,IFERROR(VLOOKUP(D601,Parameter!$A$35:$C$64,3,0)+0,0)))</f>
        <v/>
      </c>
      <c r="BQ601" s="53">
        <f>IF(V601&lt;&gt;"",V601,U601)</f>
        <v/>
      </c>
      <c r="BR601" s="53">
        <f>IF(BQ601=1,"L1",IF(OR(BQ601=2,BQ601=3),"L23",IF(BQ601="Aussen","Aussen","-")))</f>
        <v/>
      </c>
      <c r="BS601" s="66">
        <f>IF(N(W601)&gt;0,W601,0)</f>
        <v/>
      </c>
      <c r="BT601" s="58">
        <f>IF(ISNUMBER(Z601),1,0)</f>
        <v/>
      </c>
      <c r="BU601" s="55">
        <f>N(Z601)</f>
        <v/>
      </c>
      <c r="BV601" s="55">
        <f>N(L601)+N(M601)</f>
        <v/>
      </c>
      <c r="BW601" s="55">
        <f>ROUNDUP(G601/BN601,0)</f>
        <v/>
      </c>
      <c r="BX601" s="55">
        <f>ROUNDUP(BU601/BN601,0)</f>
        <v/>
      </c>
      <c r="BY601" s="58">
        <f>IF(BO601=1,0,IFERROR(VLOOKUP(BM601,'Gebinde-Kategorie'!$A$5:$G$45,5,0)+0,0))</f>
        <v/>
      </c>
      <c r="BZ601" s="58">
        <f>IFERROR(IF(OR(BQ601=1,BQ601=2,BQ601=3),N(INDEX(Parameter!$I$5:$I$7,BQ601)),0),0)</f>
        <v/>
      </c>
    </row>
    <row r="602">
      <c r="A602" s="53" t="inlineStr">
        <is>
          <t>110985</t>
        </is>
      </c>
      <c r="B602" s="53" t="inlineStr">
        <is>
          <t>Adapter</t>
        </is>
      </c>
      <c r="C602" s="53" t="inlineStr">
        <is>
          <t>F</t>
        </is>
      </c>
      <c r="D602" s="53" t="inlineStr">
        <is>
          <t>A-BEZ</t>
        </is>
      </c>
      <c r="E602" s="53" t="inlineStr">
        <is>
          <t>C</t>
        </is>
      </c>
      <c r="F602" s="54" t="n">
        <v>2.8</v>
      </c>
      <c r="G602" s="55">
        <f>MAX(0,IF(Parameter!$B$20="Jahresanfang 2025 + Export",BG602+BF602,BF602))</f>
        <v/>
      </c>
      <c r="H602" s="55">
        <f>G602*F602</f>
        <v/>
      </c>
      <c r="I602" s="55">
        <f>BI602*Parameter!$B$18</f>
        <v/>
      </c>
      <c r="J602" s="56" t="n">
        <v>1</v>
      </c>
      <c r="K602" s="57" t="n">
        <v>23</v>
      </c>
      <c r="L602" s="55" t="n">
        <v>0</v>
      </c>
      <c r="M602" s="55" t="n">
        <v>10</v>
      </c>
      <c r="N602" s="58" t="n">
        <v>14</v>
      </c>
      <c r="O602" s="53" t="inlineStr">
        <is>
          <t>LOSE</t>
        </is>
      </c>
      <c r="P602" s="55" t="n"/>
      <c r="Q602" s="59">
        <f>IF(BO602=1,0,IFERROR(VLOOKUP(BM602,'Gebinde-Kategorie'!$A$5:$G$45,6,0)+0,0))</f>
        <v/>
      </c>
      <c r="R602" s="60" t="n"/>
      <c r="S602" s="61" t="n"/>
      <c r="T602" s="61" t="n"/>
      <c r="U602" s="53">
        <f>IF(A602="","",IF(IFERROR(VLOOKUP(D602,Parameter!$A$35:$C$64,2,0),"Nein")="2+3",IF(ISNUMBER(SEARCH("grosser Artikel",BJ602)),2,IFERROR(VLOOKUP(BM602,Parameter!$F$35:$G$64,2,0),2)),IF(OR(IFERROR(VLOOKUP(D602,Parameter!$A$35:$C$64,2,0),"Nein")="Nein",IFERROR(VLOOKUP(D602,Parameter!$A$35:$C$64,2,0),"Nein")=""),"-",VLOOKUP(D602,Parameter!$A$35:$C$64,2,0))))</f>
        <v/>
      </c>
      <c r="V602" s="61" t="n"/>
      <c r="W602" s="62" t="n"/>
      <c r="X602" s="55">
        <f>AM602</f>
        <v/>
      </c>
      <c r="Y602" s="55">
        <f>MAX(AM602,G602)</f>
        <v/>
      </c>
      <c r="Z602" s="63" t="n"/>
      <c r="AA602" s="55">
        <f>IF(LEFT(Cockpit!$C$5,1)="A",G602,IF(BT602=1,BU602,IF(LEFT(Cockpit!$C$5,1)="B",AE602,MAX(AE602,G602))))</f>
        <v/>
      </c>
      <c r="AB602" s="55">
        <f>IF(BO602=1,0,ROUNDUP(AA602/BN602,0))</f>
        <v/>
      </c>
      <c r="AC602" s="64">
        <f>IF(BO602=1,IF(AA602&lt;=0,0,BP602*MAX(1,IF(G602&gt;0,AA602/G602,1))),AB602*Q602)</f>
        <v/>
      </c>
      <c r="AD602" s="55">
        <f>AA602*F602</f>
        <v/>
      </c>
      <c r="AE602" s="55">
        <f>ROUNDUP(MAX(I602/IF(BS602&gt;0,BS602,MAX(0.1,N(Cockpit!$C$6))),BV602)/BN602,0)*BN602</f>
        <v/>
      </c>
      <c r="AF602" s="56">
        <f>IF(AC602&gt;0,I602/AC602,-1)</f>
        <v/>
      </c>
      <c r="AG602" s="56">
        <f>IF(AND(OR(BR602="L1",BR602="L23"),AC602&gt;0),SUMIFS($AC$7:$AC$1570,$BR$7:$BR$1570,BR602,$AF$7:$AF$1570,"&gt;"&amp;AF602)+SUMIFS($AC$7:$AC$1570,$BR$7:$BR$1570,BR602,$AF$7:$AF$1570,AF602,$BL$7:$BL$1570,"&lt;="&amp;BL602),"")</f>
        <v/>
      </c>
      <c r="AH602" s="65">
        <f>IF(AG602="",0,MAX(0,MIN(1,(IF(BR602="L1",Parameter!$K$5,Parameter!$K$6+Parameter!$K$7)-(AG602-AC602))/AC602)))</f>
        <v/>
      </c>
      <c r="AI602" s="55">
        <f>IF(LEFT(Cockpit!$I$5,1)="A",G602,IF(BT602=1,BU602,IF(LEFT(Cockpit!$I$5,1)="B",AM602,MAX(AM602,G602))))</f>
        <v/>
      </c>
      <c r="AJ602" s="55">
        <f>IF(BO602=1,0,ROUNDUP(AI602/BN602,0))</f>
        <v/>
      </c>
      <c r="AK602" s="64">
        <f>IF(BO602=1,IF(AI602&lt;=0,0,BP602*MAX(1,IF(G602&gt;0,AI602/G602,1))),AJ602*Q602)</f>
        <v/>
      </c>
      <c r="AL602" s="55">
        <f>AI602*F602</f>
        <v/>
      </c>
      <c r="AM602" s="55">
        <f>ROUNDUP(MAX(I602/IF(BS602&gt;0,BS602,MAX(0.1,N(Cockpit!$I$6))),BV602)/BN602,0)*BN602</f>
        <v/>
      </c>
      <c r="AN602" s="56">
        <f>IF(AK602&gt;0,I602/AK602,-1)</f>
        <v/>
      </c>
      <c r="AO602" s="56">
        <f>IF(AND(OR(BR602="L1",BR602="L23"),AK602&gt;0),SUMIFS($AK$7:$AK$1570,$BR$7:$BR$1570,BR602,$AN$7:$AN$1570,"&gt;"&amp;AN602)+SUMIFS($AK$7:$AK$1570,$BR$7:$BR$1570,BR602,$AN$7:$AN$1570,AN602,$BL$7:$BL$1570,"&lt;="&amp;BL602),"")</f>
        <v/>
      </c>
      <c r="AP602" s="65">
        <f>IF(AO602="",0,MAX(0,MIN(1,(IF(BR602="L1",Parameter!$K$5,Parameter!$K$6+Parameter!$K$7)-(AO602-AK602))/AK602)))</f>
        <v/>
      </c>
      <c r="AQ602" s="55">
        <f>IF(LEFT(Cockpit!$O$5,1)="A",G602,IF(BT602=1,BU602,IF(LEFT(Cockpit!$O$5,1)="B",AU602,MAX(AU602,G602))))</f>
        <v/>
      </c>
      <c r="AR602" s="55">
        <f>IF(BO602=1,0,ROUNDUP(AQ602/BN602,0))</f>
        <v/>
      </c>
      <c r="AS602" s="64">
        <f>IF(BO602=1,IF(AQ602&lt;=0,0,BP602*MAX(1,IF(G602&gt;0,AQ602/G602,1))),AR602*Q602)</f>
        <v/>
      </c>
      <c r="AT602" s="55">
        <f>AQ602*F602</f>
        <v/>
      </c>
      <c r="AU602" s="55">
        <f>ROUNDUP(MAX(I602/IF(BS602&gt;0,BS602,MAX(0.1,N(Cockpit!$O$6))),BV602)/BN602,0)*BN602</f>
        <v/>
      </c>
      <c r="AV602" s="56">
        <f>IF(AS602&gt;0,I602/AS602,-1)</f>
        <v/>
      </c>
      <c r="AW602" s="56">
        <f>IF(AND(OR(BR602="L1",BR602="L23"),AS602&gt;0),SUMIFS($AS$7:$AS$1570,$BR$7:$BR$1570,BR602,$AV$7:$AV$1570,"&gt;"&amp;AV602)+SUMIFS($AS$7:$AS$1570,$BR$7:$BR$1570,BR602,$AV$7:$AV$1570,AV602,$BL$7:$BL$1570,"&lt;="&amp;BL602),"")</f>
        <v/>
      </c>
      <c r="AX602" s="65">
        <f>IF(AW602="",0,MAX(0,MIN(1,(IF(BR602="L1",Parameter!$K$5,Parameter!$K$6+Parameter!$K$7)-(AW602-AS602))/AS602)))</f>
        <v/>
      </c>
      <c r="AY602" s="53">
        <f>IF(AC602&lt;=0,"",IF(BR602="Aussen","Aussenlager",IF(BR602="-","Nicht im Lift",IF(AH602&gt;=1,"Lift",IF(AH602&lt;=0,"Aussenlager","teilweise")))))</f>
        <v/>
      </c>
      <c r="AZ602" s="53">
        <f>IF(AK602&lt;=0,"",IF(BR602="Aussen","Aussenlager",IF(BR602="-","Nicht im Lift",IF(AP602&gt;=1,"Lift",IF(AP602&lt;=0,"Aussenlager","teilweise")))))</f>
        <v/>
      </c>
      <c r="BA602" s="53">
        <f>IF(AS602&lt;=0,"",IF(BR602="Aussen","Aussenlager",IF(BR602="-","Nicht im Lift",IF(AX602&gt;=1,"Lift",IF(AX602&lt;=0,"Aussenlager","teilweise")))))</f>
        <v/>
      </c>
      <c r="BB602" s="53">
        <f>IF(A602="","",IF(BK602=1,"Neu; ","")&amp;IF(AND(BK602=0,BF602&lt;0),"negativer Bestand (Export "&amp;BF602&amp;"); ","")&amp;IF(I602&lt;=0,"Kein Verbrauch; ","")&amp;IF(BO602=1,"Lose – Fläche geschätzt; ","")&amp;IF(G602&gt;AM602,"Überbestand "&amp;ROUND(G602-AM602,0)&amp;" Stk / CHF "&amp;ROUND((G602-AM602)*F602,0)&amp;"; ","")&amp;IF(AND(BT602=1,BU602&lt;BV602),"MAX &lt; MB+LG; ","")&amp;IF(AND(BZ602&gt;0,BY602*10&gt;BZ602),"zu hoch für Tablar; ","")&amp;IF(AND(BK602=0,OR(BT602=1,V602&lt;&gt;"",S602&lt;&gt;"",T602&lt;&gt;"",W602&lt;&gt;"")),"manuell übersteuert; ","")&amp;IF(AND(BO602=0,Q602=0),"Gebinde unbekannt; ","")&amp;IF(AND(BO602=0,N(T602)&lt;=0,N(P602)&lt;=0),"Menge pro Gebinde fehlt (Ist = 1 Gebinde); ","")&amp;BJ602)</f>
        <v/>
      </c>
      <c r="BC602" s="53" t="n"/>
      <c r="BD602" s="53" t="n"/>
      <c r="BE602" s="61" t="n"/>
      <c r="BF602" s="55" t="n">
        <v>2</v>
      </c>
      <c r="BG602" s="55" t="n">
        <v>0</v>
      </c>
      <c r="BH602" s="54" t="n">
        <v>5.599999999999994</v>
      </c>
      <c r="BI602" s="55" t="n">
        <v>23</v>
      </c>
      <c r="BJ602" s="53" t="inlineStr"/>
      <c r="BK602" s="58" t="n">
        <v>0</v>
      </c>
      <c r="BL602" s="58" t="n">
        <v>602</v>
      </c>
      <c r="BM602" s="53">
        <f>IF(S602&lt;&gt;"",UPPER(TRIM(S602)),IF(O602="","LOSE",O602))</f>
        <v/>
      </c>
      <c r="BN602" s="55">
        <f>IF(BM602="LOSE",1,IF(N(T602)&gt;0,T602,IF(N(P602)&gt;0,P602,MAX(1,G602))))</f>
        <v/>
      </c>
      <c r="BO602" s="58">
        <f>IF(BM602="LOSE",1,0)</f>
        <v/>
      </c>
      <c r="BP602" s="64">
        <f>IF(BO602=0,0,IF(N(R602)&gt;0,R602,IFERROR(VLOOKUP(D602,Parameter!$A$35:$C$64,3,0)+0,0)))</f>
        <v/>
      </c>
      <c r="BQ602" s="53">
        <f>IF(V602&lt;&gt;"",V602,U602)</f>
        <v/>
      </c>
      <c r="BR602" s="53">
        <f>IF(BQ602=1,"L1",IF(OR(BQ602=2,BQ602=3),"L23",IF(BQ602="Aussen","Aussen","-")))</f>
        <v/>
      </c>
      <c r="BS602" s="66">
        <f>IF(N(W602)&gt;0,W602,0)</f>
        <v/>
      </c>
      <c r="BT602" s="58">
        <f>IF(ISNUMBER(Z602),1,0)</f>
        <v/>
      </c>
      <c r="BU602" s="55">
        <f>N(Z602)</f>
        <v/>
      </c>
      <c r="BV602" s="55">
        <f>N(L602)+N(M602)</f>
        <v/>
      </c>
      <c r="BW602" s="55">
        <f>ROUNDUP(G602/BN602,0)</f>
        <v/>
      </c>
      <c r="BX602" s="55">
        <f>ROUNDUP(BU602/BN602,0)</f>
        <v/>
      </c>
      <c r="BY602" s="58">
        <f>IF(BO602=1,0,IFERROR(VLOOKUP(BM602,'Gebinde-Kategorie'!$A$5:$G$45,5,0)+0,0))</f>
        <v/>
      </c>
      <c r="BZ602" s="58">
        <f>IFERROR(IF(OR(BQ602=1,BQ602=2,BQ602=3),N(INDEX(Parameter!$I$5:$I$7,BQ602)),0),0)</f>
        <v/>
      </c>
    </row>
    <row r="603">
      <c r="A603" s="53" t="inlineStr">
        <is>
          <t>106999</t>
        </is>
      </c>
      <c r="B603" s="53" t="inlineStr">
        <is>
          <t>Leuchtmelder Kunststoff, weiss</t>
        </is>
      </c>
      <c r="C603" s="53" t="inlineStr">
        <is>
          <t>F</t>
        </is>
      </c>
      <c r="D603" s="53" t="inlineStr">
        <is>
          <t>KTL</t>
        </is>
      </c>
      <c r="E603" s="53" t="inlineStr">
        <is>
          <t>C</t>
        </is>
      </c>
      <c r="F603" s="54" t="n">
        <v>4.15</v>
      </c>
      <c r="G603" s="55">
        <f>MAX(0,IF(Parameter!$B$20="Jahresanfang 2025 + Export",BG603+BF603,BF603))</f>
        <v/>
      </c>
      <c r="H603" s="55">
        <f>G603*F603</f>
        <v/>
      </c>
      <c r="I603" s="55">
        <f>BI603*Parameter!$B$18</f>
        <v/>
      </c>
      <c r="J603" s="56" t="n">
        <v>8</v>
      </c>
      <c r="K603" s="57" t="n">
        <v>0.125</v>
      </c>
      <c r="L603" s="55" t="n">
        <v>0</v>
      </c>
      <c r="M603" s="55" t="n">
        <v>1</v>
      </c>
      <c r="N603" s="58" t="n">
        <v>14</v>
      </c>
      <c r="O603" s="53" t="inlineStr">
        <is>
          <t>S41</t>
        </is>
      </c>
      <c r="P603" s="55" t="n">
        <v>10</v>
      </c>
      <c r="Q603" s="59">
        <f>IF(BO603=1,0,IFERROR(VLOOKUP(BM603,'Gebinde-Kategorie'!$A$5:$G$45,6,0)+0,0))</f>
        <v/>
      </c>
      <c r="R603" s="60" t="n"/>
      <c r="S603" s="61" t="n"/>
      <c r="T603" s="61" t="n"/>
      <c r="U603" s="53">
        <f>IF(A603="","",IF(IFERROR(VLOOKUP(D603,Parameter!$A$35:$C$64,2,0),"Nein")="2+3",IF(ISNUMBER(SEARCH("grosser Artikel",BJ603)),2,IFERROR(VLOOKUP(BM603,Parameter!$F$35:$G$64,2,0),2)),IF(OR(IFERROR(VLOOKUP(D603,Parameter!$A$35:$C$64,2,0),"Nein")="Nein",IFERROR(VLOOKUP(D603,Parameter!$A$35:$C$64,2,0),"Nein")=""),"-",VLOOKUP(D603,Parameter!$A$35:$C$64,2,0))))</f>
        <v/>
      </c>
      <c r="V603" s="61" t="n"/>
      <c r="W603" s="62" t="n"/>
      <c r="X603" s="55">
        <f>AM603</f>
        <v/>
      </c>
      <c r="Y603" s="55">
        <f>MAX(AM603,G603)</f>
        <v/>
      </c>
      <c r="Z603" s="63" t="n"/>
      <c r="AA603" s="55">
        <f>IF(LEFT(Cockpit!$C$5,1)="A",G603,IF(BT603=1,BU603,IF(LEFT(Cockpit!$C$5,1)="B",AE603,MAX(AE603,G603))))</f>
        <v/>
      </c>
      <c r="AB603" s="55">
        <f>IF(BO603=1,0,ROUNDUP(AA603/BN603,0))</f>
        <v/>
      </c>
      <c r="AC603" s="64">
        <f>IF(BO603=1,IF(AA603&lt;=0,0,BP603*MAX(1,IF(G603&gt;0,AA603/G603,1))),AB603*Q603)</f>
        <v/>
      </c>
      <c r="AD603" s="55">
        <f>AA603*F603</f>
        <v/>
      </c>
      <c r="AE603" s="55">
        <f>ROUNDUP(MAX(I603/IF(BS603&gt;0,BS603,MAX(0.1,N(Cockpit!$C$6))),BV603)/BN603,0)*BN603</f>
        <v/>
      </c>
      <c r="AF603" s="56">
        <f>IF(AC603&gt;0,I603/AC603,-1)</f>
        <v/>
      </c>
      <c r="AG603" s="56">
        <f>IF(AND(OR(BR603="L1",BR603="L23"),AC603&gt;0),SUMIFS($AC$7:$AC$1570,$BR$7:$BR$1570,BR603,$AF$7:$AF$1570,"&gt;"&amp;AF603)+SUMIFS($AC$7:$AC$1570,$BR$7:$BR$1570,BR603,$AF$7:$AF$1570,AF603,$BL$7:$BL$1570,"&lt;="&amp;BL603),"")</f>
        <v/>
      </c>
      <c r="AH603" s="65">
        <f>IF(AG603="",0,MAX(0,MIN(1,(IF(BR603="L1",Parameter!$K$5,Parameter!$K$6+Parameter!$K$7)-(AG603-AC603))/AC603)))</f>
        <v/>
      </c>
      <c r="AI603" s="55">
        <f>IF(LEFT(Cockpit!$I$5,1)="A",G603,IF(BT603=1,BU603,IF(LEFT(Cockpit!$I$5,1)="B",AM603,MAX(AM603,G603))))</f>
        <v/>
      </c>
      <c r="AJ603" s="55">
        <f>IF(BO603=1,0,ROUNDUP(AI603/BN603,0))</f>
        <v/>
      </c>
      <c r="AK603" s="64">
        <f>IF(BO603=1,IF(AI603&lt;=0,0,BP603*MAX(1,IF(G603&gt;0,AI603/G603,1))),AJ603*Q603)</f>
        <v/>
      </c>
      <c r="AL603" s="55">
        <f>AI603*F603</f>
        <v/>
      </c>
      <c r="AM603" s="55">
        <f>ROUNDUP(MAX(I603/IF(BS603&gt;0,BS603,MAX(0.1,N(Cockpit!$I$6))),BV603)/BN603,0)*BN603</f>
        <v/>
      </c>
      <c r="AN603" s="56">
        <f>IF(AK603&gt;0,I603/AK603,-1)</f>
        <v/>
      </c>
      <c r="AO603" s="56">
        <f>IF(AND(OR(BR603="L1",BR603="L23"),AK603&gt;0),SUMIFS($AK$7:$AK$1570,$BR$7:$BR$1570,BR603,$AN$7:$AN$1570,"&gt;"&amp;AN603)+SUMIFS($AK$7:$AK$1570,$BR$7:$BR$1570,BR603,$AN$7:$AN$1570,AN603,$BL$7:$BL$1570,"&lt;="&amp;BL603),"")</f>
        <v/>
      </c>
      <c r="AP603" s="65">
        <f>IF(AO603="",0,MAX(0,MIN(1,(IF(BR603="L1",Parameter!$K$5,Parameter!$K$6+Parameter!$K$7)-(AO603-AK603))/AK603)))</f>
        <v/>
      </c>
      <c r="AQ603" s="55">
        <f>IF(LEFT(Cockpit!$O$5,1)="A",G603,IF(BT603=1,BU603,IF(LEFT(Cockpit!$O$5,1)="B",AU603,MAX(AU603,G603))))</f>
        <v/>
      </c>
      <c r="AR603" s="55">
        <f>IF(BO603=1,0,ROUNDUP(AQ603/BN603,0))</f>
        <v/>
      </c>
      <c r="AS603" s="64">
        <f>IF(BO603=1,IF(AQ603&lt;=0,0,BP603*MAX(1,IF(G603&gt;0,AQ603/G603,1))),AR603*Q603)</f>
        <v/>
      </c>
      <c r="AT603" s="55">
        <f>AQ603*F603</f>
        <v/>
      </c>
      <c r="AU603" s="55">
        <f>ROUNDUP(MAX(I603/IF(BS603&gt;0,BS603,MAX(0.1,N(Cockpit!$O$6))),BV603)/BN603,0)*BN603</f>
        <v/>
      </c>
      <c r="AV603" s="56">
        <f>IF(AS603&gt;0,I603/AS603,-1)</f>
        <v/>
      </c>
      <c r="AW603" s="56">
        <f>IF(AND(OR(BR603="L1",BR603="L23"),AS603&gt;0),SUMIFS($AS$7:$AS$1570,$BR$7:$BR$1570,BR603,$AV$7:$AV$1570,"&gt;"&amp;AV603)+SUMIFS($AS$7:$AS$1570,$BR$7:$BR$1570,BR603,$AV$7:$AV$1570,AV603,$BL$7:$BL$1570,"&lt;="&amp;BL603),"")</f>
        <v/>
      </c>
      <c r="AX603" s="65">
        <f>IF(AW603="",0,MAX(0,MIN(1,(IF(BR603="L1",Parameter!$K$5,Parameter!$K$6+Parameter!$K$7)-(AW603-AS603))/AS603)))</f>
        <v/>
      </c>
      <c r="AY603" s="53">
        <f>IF(AC603&lt;=0,"",IF(BR603="Aussen","Aussenlager",IF(BR603="-","Nicht im Lift",IF(AH603&gt;=1,"Lift",IF(AH603&lt;=0,"Aussenlager","teilweise")))))</f>
        <v/>
      </c>
      <c r="AZ603" s="53">
        <f>IF(AK603&lt;=0,"",IF(BR603="Aussen","Aussenlager",IF(BR603="-","Nicht im Lift",IF(AP603&gt;=1,"Lift",IF(AP603&lt;=0,"Aussenlager","teilweise")))))</f>
        <v/>
      </c>
      <c r="BA603" s="53">
        <f>IF(AS603&lt;=0,"",IF(BR603="Aussen","Aussenlager",IF(BR603="-","Nicht im Lift",IF(AX603&gt;=1,"Lift",IF(AX603&lt;=0,"Aussenlager","teilweise")))))</f>
        <v/>
      </c>
      <c r="BB603" s="53">
        <f>IF(A603="","",IF(BK603=1,"Neu; ","")&amp;IF(AND(BK603=0,BF603&lt;0),"negativer Bestand (Export "&amp;BF603&amp;"); ","")&amp;IF(I603&lt;=0,"Kein Verbrauch; ","")&amp;IF(BO603=1,"Lose – Fläche geschätzt; ","")&amp;IF(G603&gt;AM603,"Überbestand "&amp;ROUND(G603-AM603,0)&amp;" Stk / CHF "&amp;ROUND((G603-AM603)*F603,0)&amp;"; ","")&amp;IF(AND(BT603=1,BU603&lt;BV603),"MAX &lt; MB+LG; ","")&amp;IF(AND(BZ603&gt;0,BY603*10&gt;BZ603),"zu hoch für Tablar; ","")&amp;IF(AND(BK603=0,OR(BT603=1,V603&lt;&gt;"",S603&lt;&gt;"",T603&lt;&gt;"",W603&lt;&gt;"")),"manuell übersteuert; ","")&amp;IF(AND(BO603=0,Q603=0),"Gebinde unbekannt; ","")&amp;IF(AND(BO603=0,N(T603)&lt;=0,N(P603)&lt;=0),"Menge pro Gebinde fehlt (Ist = 1 Gebinde); ","")&amp;BJ603)</f>
        <v/>
      </c>
      <c r="BC603" s="53" t="n"/>
      <c r="BD603" s="53" t="n"/>
      <c r="BE603" s="61" t="n"/>
      <c r="BF603" s="55" t="n">
        <v>1</v>
      </c>
      <c r="BG603" s="55" t="n">
        <v>7</v>
      </c>
      <c r="BH603" s="54" t="n">
        <v>5.48</v>
      </c>
      <c r="BI603" s="55" t="n">
        <v>1</v>
      </c>
      <c r="BJ603" s="53" t="inlineStr">
        <is>
          <t>überbestand</t>
        </is>
      </c>
      <c r="BK603" s="58" t="n">
        <v>0</v>
      </c>
      <c r="BL603" s="58" t="n">
        <v>603</v>
      </c>
      <c r="BM603" s="53">
        <f>IF(S603&lt;&gt;"",UPPER(TRIM(S603)),IF(O603="","LOSE",O603))</f>
        <v/>
      </c>
      <c r="BN603" s="55">
        <f>IF(BM603="LOSE",1,IF(N(T603)&gt;0,T603,IF(N(P603)&gt;0,P603,MAX(1,G603))))</f>
        <v/>
      </c>
      <c r="BO603" s="58">
        <f>IF(BM603="LOSE",1,0)</f>
        <v/>
      </c>
      <c r="BP603" s="64">
        <f>IF(BO603=0,0,IF(N(R603)&gt;0,R603,IFERROR(VLOOKUP(D603,Parameter!$A$35:$C$64,3,0)+0,0)))</f>
        <v/>
      </c>
      <c r="BQ603" s="53">
        <f>IF(V603&lt;&gt;"",V603,U603)</f>
        <v/>
      </c>
      <c r="BR603" s="53">
        <f>IF(BQ603=1,"L1",IF(OR(BQ603=2,BQ603=3),"L23",IF(BQ603="Aussen","Aussen","-")))</f>
        <v/>
      </c>
      <c r="BS603" s="66">
        <f>IF(N(W603)&gt;0,W603,0)</f>
        <v/>
      </c>
      <c r="BT603" s="58">
        <f>IF(ISNUMBER(Z603),1,0)</f>
        <v/>
      </c>
      <c r="BU603" s="55">
        <f>N(Z603)</f>
        <v/>
      </c>
      <c r="BV603" s="55">
        <f>N(L603)+N(M603)</f>
        <v/>
      </c>
      <c r="BW603" s="55">
        <f>ROUNDUP(G603/BN603,0)</f>
        <v/>
      </c>
      <c r="BX603" s="55">
        <f>ROUNDUP(BU603/BN603,0)</f>
        <v/>
      </c>
      <c r="BY603" s="58">
        <f>IF(BO603=1,0,IFERROR(VLOOKUP(BM603,'Gebinde-Kategorie'!$A$5:$G$45,5,0)+0,0))</f>
        <v/>
      </c>
      <c r="BZ603" s="58">
        <f>IFERROR(IF(OR(BQ603=1,BQ603=2,BQ603=3),N(INDEX(Parameter!$I$5:$I$7,BQ603)),0),0)</f>
        <v/>
      </c>
    </row>
    <row r="604">
      <c r="A604" s="53" t="inlineStr">
        <is>
          <t>102445</t>
        </is>
      </c>
      <c r="B604" s="53" t="inlineStr">
        <is>
          <t>Unterlagsscheibe</t>
        </is>
      </c>
      <c r="C604" s="53" t="inlineStr">
        <is>
          <t>F</t>
        </is>
      </c>
      <c r="D604" s="53" t="inlineStr">
        <is>
          <t>KTL</t>
        </is>
      </c>
      <c r="E604" s="53" t="inlineStr">
        <is>
          <t>C</t>
        </is>
      </c>
      <c r="F604" s="54" t="n">
        <v>0.01</v>
      </c>
      <c r="G604" s="55">
        <f>MAX(0,IF(Parameter!$B$20="Jahresanfang 2025 + Export",BG604+BF604,BF604))</f>
        <v/>
      </c>
      <c r="H604" s="55">
        <f>G604*F604</f>
        <v/>
      </c>
      <c r="I604" s="55">
        <f>BI604*Parameter!$B$18</f>
        <v/>
      </c>
      <c r="J604" s="56" t="n">
        <v>152.5</v>
      </c>
      <c r="K604" s="57" t="n">
        <v>0.7213114754098361</v>
      </c>
      <c r="L604" s="55" t="n">
        <v>6</v>
      </c>
      <c r="M604" s="55" t="n">
        <v>110</v>
      </c>
      <c r="N604" s="58" t="n">
        <v>21</v>
      </c>
      <c r="O604" s="53" t="inlineStr">
        <is>
          <t>S33</t>
        </is>
      </c>
      <c r="P604" s="55" t="n">
        <v>1831</v>
      </c>
      <c r="Q604" s="59">
        <f>IF(BO604=1,0,IFERROR(VLOOKUP(BM604,'Gebinde-Kategorie'!$A$5:$G$45,6,0)+0,0))</f>
        <v/>
      </c>
      <c r="R604" s="60" t="n"/>
      <c r="S604" s="61" t="n"/>
      <c r="T604" s="61" t="n"/>
      <c r="U604" s="53">
        <f>IF(A604="","",IF(IFERROR(VLOOKUP(D604,Parameter!$A$35:$C$64,2,0),"Nein")="2+3",IF(ISNUMBER(SEARCH("grosser Artikel",BJ604)),2,IFERROR(VLOOKUP(BM604,Parameter!$F$35:$G$64,2,0),2)),IF(OR(IFERROR(VLOOKUP(D604,Parameter!$A$35:$C$64,2,0),"Nein")="Nein",IFERROR(VLOOKUP(D604,Parameter!$A$35:$C$64,2,0),"Nein")=""),"-",VLOOKUP(D604,Parameter!$A$35:$C$64,2,0))))</f>
        <v/>
      </c>
      <c r="V604" s="61" t="n"/>
      <c r="W604" s="62" t="n"/>
      <c r="X604" s="55">
        <f>AM604</f>
        <v/>
      </c>
      <c r="Y604" s="55">
        <f>MAX(AM604,G604)</f>
        <v/>
      </c>
      <c r="Z604" s="63" t="n"/>
      <c r="AA604" s="55">
        <f>IF(LEFT(Cockpit!$C$5,1)="A",G604,IF(BT604=1,BU604,IF(LEFT(Cockpit!$C$5,1)="B",AE604,MAX(AE604,G604))))</f>
        <v/>
      </c>
      <c r="AB604" s="55">
        <f>IF(BO604=1,0,ROUNDUP(AA604/BN604,0))</f>
        <v/>
      </c>
      <c r="AC604" s="64">
        <f>IF(BO604=1,IF(AA604&lt;=0,0,BP604*MAX(1,IF(G604&gt;0,AA604/G604,1))),AB604*Q604)</f>
        <v/>
      </c>
      <c r="AD604" s="55">
        <f>AA604*F604</f>
        <v/>
      </c>
      <c r="AE604" s="55">
        <f>ROUNDUP(MAX(I604/IF(BS604&gt;0,BS604,MAX(0.1,N(Cockpit!$C$6))),BV604)/BN604,0)*BN604</f>
        <v/>
      </c>
      <c r="AF604" s="56">
        <f>IF(AC604&gt;0,I604/AC604,-1)</f>
        <v/>
      </c>
      <c r="AG604" s="56">
        <f>IF(AND(OR(BR604="L1",BR604="L23"),AC604&gt;0),SUMIFS($AC$7:$AC$1570,$BR$7:$BR$1570,BR604,$AF$7:$AF$1570,"&gt;"&amp;AF604)+SUMIFS($AC$7:$AC$1570,$BR$7:$BR$1570,BR604,$AF$7:$AF$1570,AF604,$BL$7:$BL$1570,"&lt;="&amp;BL604),"")</f>
        <v/>
      </c>
      <c r="AH604" s="65">
        <f>IF(AG604="",0,MAX(0,MIN(1,(IF(BR604="L1",Parameter!$K$5,Parameter!$K$6+Parameter!$K$7)-(AG604-AC604))/AC604)))</f>
        <v/>
      </c>
      <c r="AI604" s="55">
        <f>IF(LEFT(Cockpit!$I$5,1)="A",G604,IF(BT604=1,BU604,IF(LEFT(Cockpit!$I$5,1)="B",AM604,MAX(AM604,G604))))</f>
        <v/>
      </c>
      <c r="AJ604" s="55">
        <f>IF(BO604=1,0,ROUNDUP(AI604/BN604,0))</f>
        <v/>
      </c>
      <c r="AK604" s="64">
        <f>IF(BO604=1,IF(AI604&lt;=0,0,BP604*MAX(1,IF(G604&gt;0,AI604/G604,1))),AJ604*Q604)</f>
        <v/>
      </c>
      <c r="AL604" s="55">
        <f>AI604*F604</f>
        <v/>
      </c>
      <c r="AM604" s="55">
        <f>ROUNDUP(MAX(I604/IF(BS604&gt;0,BS604,MAX(0.1,N(Cockpit!$I$6))),BV604)/BN604,0)*BN604</f>
        <v/>
      </c>
      <c r="AN604" s="56">
        <f>IF(AK604&gt;0,I604/AK604,-1)</f>
        <v/>
      </c>
      <c r="AO604" s="56">
        <f>IF(AND(OR(BR604="L1",BR604="L23"),AK604&gt;0),SUMIFS($AK$7:$AK$1570,$BR$7:$BR$1570,BR604,$AN$7:$AN$1570,"&gt;"&amp;AN604)+SUMIFS($AK$7:$AK$1570,$BR$7:$BR$1570,BR604,$AN$7:$AN$1570,AN604,$BL$7:$BL$1570,"&lt;="&amp;BL604),"")</f>
        <v/>
      </c>
      <c r="AP604" s="65">
        <f>IF(AO604="",0,MAX(0,MIN(1,(IF(BR604="L1",Parameter!$K$5,Parameter!$K$6+Parameter!$K$7)-(AO604-AK604))/AK604)))</f>
        <v/>
      </c>
      <c r="AQ604" s="55">
        <f>IF(LEFT(Cockpit!$O$5,1)="A",G604,IF(BT604=1,BU604,IF(LEFT(Cockpit!$O$5,1)="B",AU604,MAX(AU604,G604))))</f>
        <v/>
      </c>
      <c r="AR604" s="55">
        <f>IF(BO604=1,0,ROUNDUP(AQ604/BN604,0))</f>
        <v/>
      </c>
      <c r="AS604" s="64">
        <f>IF(BO604=1,IF(AQ604&lt;=0,0,BP604*MAX(1,IF(G604&gt;0,AQ604/G604,1))),AR604*Q604)</f>
        <v/>
      </c>
      <c r="AT604" s="55">
        <f>AQ604*F604</f>
        <v/>
      </c>
      <c r="AU604" s="55">
        <f>ROUNDUP(MAX(I604/IF(BS604&gt;0,BS604,MAX(0.1,N(Cockpit!$O$6))),BV604)/BN604,0)*BN604</f>
        <v/>
      </c>
      <c r="AV604" s="56">
        <f>IF(AS604&gt;0,I604/AS604,-1)</f>
        <v/>
      </c>
      <c r="AW604" s="56">
        <f>IF(AND(OR(BR604="L1",BR604="L23"),AS604&gt;0),SUMIFS($AS$7:$AS$1570,$BR$7:$BR$1570,BR604,$AV$7:$AV$1570,"&gt;"&amp;AV604)+SUMIFS($AS$7:$AS$1570,$BR$7:$BR$1570,BR604,$AV$7:$AV$1570,AV604,$BL$7:$BL$1570,"&lt;="&amp;BL604),"")</f>
        <v/>
      </c>
      <c r="AX604" s="65">
        <f>IF(AW604="",0,MAX(0,MIN(1,(IF(BR604="L1",Parameter!$K$5,Parameter!$K$6+Parameter!$K$7)-(AW604-AS604))/AS604)))</f>
        <v/>
      </c>
      <c r="AY604" s="53">
        <f>IF(AC604&lt;=0,"",IF(BR604="Aussen","Aussenlager",IF(BR604="-","Nicht im Lift",IF(AH604&gt;=1,"Lift",IF(AH604&lt;=0,"Aussenlager","teilweise")))))</f>
        <v/>
      </c>
      <c r="AZ604" s="53">
        <f>IF(AK604&lt;=0,"",IF(BR604="Aussen","Aussenlager",IF(BR604="-","Nicht im Lift",IF(AP604&gt;=1,"Lift",IF(AP604&lt;=0,"Aussenlager","teilweise")))))</f>
        <v/>
      </c>
      <c r="BA604" s="53">
        <f>IF(AS604&lt;=0,"",IF(BR604="Aussen","Aussenlager",IF(BR604="-","Nicht im Lift",IF(AX604&gt;=1,"Lift",IF(AX604&lt;=0,"Aussenlager","teilweise")))))</f>
        <v/>
      </c>
      <c r="BB604" s="53">
        <f>IF(A604="","",IF(BK604=1,"Neu; ","")&amp;IF(AND(BK604=0,BF604&lt;0),"negativer Bestand (Export "&amp;BF604&amp;"); ","")&amp;IF(I604&lt;=0,"Kein Verbrauch; ","")&amp;IF(BO604=1,"Lose – Fläche geschätzt; ","")&amp;IF(G604&gt;AM604,"Überbestand "&amp;ROUND(G604-AM604,0)&amp;" Stk / CHF "&amp;ROUND((G604-AM604)*F604,0)&amp;"; ","")&amp;IF(AND(BT604=1,BU604&lt;BV604),"MAX &lt; MB+LG; ","")&amp;IF(AND(BZ604&gt;0,BY604*10&gt;BZ604),"zu hoch für Tablar; ","")&amp;IF(AND(BK604=0,OR(BT604=1,V604&lt;&gt;"",S604&lt;&gt;"",T604&lt;&gt;"",W604&lt;&gt;"")),"manuell übersteuert; ","")&amp;IF(AND(BO604=0,Q604=0),"Gebinde unbekannt; ","")&amp;IF(AND(BO604=0,N(T604)&lt;=0,N(P604)&lt;=0),"Menge pro Gebinde fehlt (Ist = 1 Gebinde); ","")&amp;BJ604)</f>
        <v/>
      </c>
      <c r="BC604" s="53" t="n"/>
      <c r="BD604" s="53" t="n"/>
      <c r="BE604" s="61" t="n"/>
      <c r="BF604" s="55" t="n">
        <v>534</v>
      </c>
      <c r="BG604" s="55" t="n">
        <v>207</v>
      </c>
      <c r="BH604" s="54" t="n">
        <v>5.34</v>
      </c>
      <c r="BI604" s="55" t="n">
        <v>110</v>
      </c>
      <c r="BJ604" s="53" t="inlineStr">
        <is>
          <t>Überbestand</t>
        </is>
      </c>
      <c r="BK604" s="58" t="n">
        <v>0</v>
      </c>
      <c r="BL604" s="58" t="n">
        <v>604</v>
      </c>
      <c r="BM604" s="53">
        <f>IF(S604&lt;&gt;"",UPPER(TRIM(S604)),IF(O604="","LOSE",O604))</f>
        <v/>
      </c>
      <c r="BN604" s="55">
        <f>IF(BM604="LOSE",1,IF(N(T604)&gt;0,T604,IF(N(P604)&gt;0,P604,MAX(1,G604))))</f>
        <v/>
      </c>
      <c r="BO604" s="58">
        <f>IF(BM604="LOSE",1,0)</f>
        <v/>
      </c>
      <c r="BP604" s="64">
        <f>IF(BO604=0,0,IF(N(R604)&gt;0,R604,IFERROR(VLOOKUP(D604,Parameter!$A$35:$C$64,3,0)+0,0)))</f>
        <v/>
      </c>
      <c r="BQ604" s="53">
        <f>IF(V604&lt;&gt;"",V604,U604)</f>
        <v/>
      </c>
      <c r="BR604" s="53">
        <f>IF(BQ604=1,"L1",IF(OR(BQ604=2,BQ604=3),"L23",IF(BQ604="Aussen","Aussen","-")))</f>
        <v/>
      </c>
      <c r="BS604" s="66">
        <f>IF(N(W604)&gt;0,W604,0)</f>
        <v/>
      </c>
      <c r="BT604" s="58">
        <f>IF(ISNUMBER(Z604),1,0)</f>
        <v/>
      </c>
      <c r="BU604" s="55">
        <f>N(Z604)</f>
        <v/>
      </c>
      <c r="BV604" s="55">
        <f>N(L604)+N(M604)</f>
        <v/>
      </c>
      <c r="BW604" s="55">
        <f>ROUNDUP(G604/BN604,0)</f>
        <v/>
      </c>
      <c r="BX604" s="55">
        <f>ROUNDUP(BU604/BN604,0)</f>
        <v/>
      </c>
      <c r="BY604" s="58">
        <f>IF(BO604=1,0,IFERROR(VLOOKUP(BM604,'Gebinde-Kategorie'!$A$5:$G$45,5,0)+0,0))</f>
        <v/>
      </c>
      <c r="BZ604" s="58">
        <f>IFERROR(IF(OR(BQ604=1,BQ604=2,BQ604=3),N(INDEX(Parameter!$I$5:$I$7,BQ604)),0),0)</f>
        <v/>
      </c>
    </row>
    <row r="605">
      <c r="A605" s="53" t="inlineStr">
        <is>
          <t>005261</t>
        </is>
      </c>
      <c r="B605" s="53" t="inlineStr">
        <is>
          <t>O-Ring</t>
        </is>
      </c>
      <c r="C605" s="53" t="inlineStr">
        <is>
          <t>F</t>
        </is>
      </c>
      <c r="D605" s="53" t="inlineStr">
        <is>
          <t>KTL</t>
        </is>
      </c>
      <c r="E605" s="53" t="inlineStr">
        <is>
          <t>C</t>
        </is>
      </c>
      <c r="F605" s="54" t="n">
        <v>0.09</v>
      </c>
      <c r="G605" s="55">
        <f>MAX(0,IF(Parameter!$B$20="Jahresanfang 2025 + Export",BG605+BF605,BF605))</f>
        <v/>
      </c>
      <c r="H605" s="55">
        <f>G605*F605</f>
        <v/>
      </c>
      <c r="I605" s="55">
        <f>BI605*Parameter!$B$18</f>
        <v/>
      </c>
      <c r="J605" s="56" t="n">
        <v>549</v>
      </c>
      <c r="K605" s="57" t="n">
        <v>0.848816029143898</v>
      </c>
      <c r="L605" s="55" t="n">
        <v>18</v>
      </c>
      <c r="M605" s="55" t="n">
        <v>465</v>
      </c>
      <c r="N605" s="58" t="n">
        <v>14</v>
      </c>
      <c r="O605" s="53" t="inlineStr">
        <is>
          <t>S22</t>
        </is>
      </c>
      <c r="P605" s="55" t="n">
        <v>783</v>
      </c>
      <c r="Q605" s="59">
        <f>IF(BO605=1,0,IFERROR(VLOOKUP(BM605,'Gebinde-Kategorie'!$A$5:$G$45,6,0)+0,0))</f>
        <v/>
      </c>
      <c r="R605" s="60" t="n"/>
      <c r="S605" s="61" t="n"/>
      <c r="T605" s="61" t="n"/>
      <c r="U605" s="53">
        <f>IF(A605="","",IF(IFERROR(VLOOKUP(D605,Parameter!$A$35:$C$64,2,0),"Nein")="2+3",IF(ISNUMBER(SEARCH("grosser Artikel",BJ605)),2,IFERROR(VLOOKUP(BM605,Parameter!$F$35:$G$64,2,0),2)),IF(OR(IFERROR(VLOOKUP(D605,Parameter!$A$35:$C$64,2,0),"Nein")="Nein",IFERROR(VLOOKUP(D605,Parameter!$A$35:$C$64,2,0),"Nein")=""),"-",VLOOKUP(D605,Parameter!$A$35:$C$64,2,0))))</f>
        <v/>
      </c>
      <c r="V605" s="61" t="n"/>
      <c r="W605" s="62" t="n"/>
      <c r="X605" s="55">
        <f>AM605</f>
        <v/>
      </c>
      <c r="Y605" s="55">
        <f>MAX(AM605,G605)</f>
        <v/>
      </c>
      <c r="Z605" s="63" t="n"/>
      <c r="AA605" s="55">
        <f>IF(LEFT(Cockpit!$C$5,1)="A",G605,IF(BT605=1,BU605,IF(LEFT(Cockpit!$C$5,1)="B",AE605,MAX(AE605,G605))))</f>
        <v/>
      </c>
      <c r="AB605" s="55">
        <f>IF(BO605=1,0,ROUNDUP(AA605/BN605,0))</f>
        <v/>
      </c>
      <c r="AC605" s="64">
        <f>IF(BO605=1,IF(AA605&lt;=0,0,BP605*MAX(1,IF(G605&gt;0,AA605/G605,1))),AB605*Q605)</f>
        <v/>
      </c>
      <c r="AD605" s="55">
        <f>AA605*F605</f>
        <v/>
      </c>
      <c r="AE605" s="55">
        <f>ROUNDUP(MAX(I605/IF(BS605&gt;0,BS605,MAX(0.1,N(Cockpit!$C$6))),BV605)/BN605,0)*BN605</f>
        <v/>
      </c>
      <c r="AF605" s="56">
        <f>IF(AC605&gt;0,I605/AC605,-1)</f>
        <v/>
      </c>
      <c r="AG605" s="56">
        <f>IF(AND(OR(BR605="L1",BR605="L23"),AC605&gt;0),SUMIFS($AC$7:$AC$1570,$BR$7:$BR$1570,BR605,$AF$7:$AF$1570,"&gt;"&amp;AF605)+SUMIFS($AC$7:$AC$1570,$BR$7:$BR$1570,BR605,$AF$7:$AF$1570,AF605,$BL$7:$BL$1570,"&lt;="&amp;BL605),"")</f>
        <v/>
      </c>
      <c r="AH605" s="65">
        <f>IF(AG605="",0,MAX(0,MIN(1,(IF(BR605="L1",Parameter!$K$5,Parameter!$K$6+Parameter!$K$7)-(AG605-AC605))/AC605)))</f>
        <v/>
      </c>
      <c r="AI605" s="55">
        <f>IF(LEFT(Cockpit!$I$5,1)="A",G605,IF(BT605=1,BU605,IF(LEFT(Cockpit!$I$5,1)="B",AM605,MAX(AM605,G605))))</f>
        <v/>
      </c>
      <c r="AJ605" s="55">
        <f>IF(BO605=1,0,ROUNDUP(AI605/BN605,0))</f>
        <v/>
      </c>
      <c r="AK605" s="64">
        <f>IF(BO605=1,IF(AI605&lt;=0,0,BP605*MAX(1,IF(G605&gt;0,AI605/G605,1))),AJ605*Q605)</f>
        <v/>
      </c>
      <c r="AL605" s="55">
        <f>AI605*F605</f>
        <v/>
      </c>
      <c r="AM605" s="55">
        <f>ROUNDUP(MAX(I605/IF(BS605&gt;0,BS605,MAX(0.1,N(Cockpit!$I$6))),BV605)/BN605,0)*BN605</f>
        <v/>
      </c>
      <c r="AN605" s="56">
        <f>IF(AK605&gt;0,I605/AK605,-1)</f>
        <v/>
      </c>
      <c r="AO605" s="56">
        <f>IF(AND(OR(BR605="L1",BR605="L23"),AK605&gt;0),SUMIFS($AK$7:$AK$1570,$BR$7:$BR$1570,BR605,$AN$7:$AN$1570,"&gt;"&amp;AN605)+SUMIFS($AK$7:$AK$1570,$BR$7:$BR$1570,BR605,$AN$7:$AN$1570,AN605,$BL$7:$BL$1570,"&lt;="&amp;BL605),"")</f>
        <v/>
      </c>
      <c r="AP605" s="65">
        <f>IF(AO605="",0,MAX(0,MIN(1,(IF(BR605="L1",Parameter!$K$5,Parameter!$K$6+Parameter!$K$7)-(AO605-AK605))/AK605)))</f>
        <v/>
      </c>
      <c r="AQ605" s="55">
        <f>IF(LEFT(Cockpit!$O$5,1)="A",G605,IF(BT605=1,BU605,IF(LEFT(Cockpit!$O$5,1)="B",AU605,MAX(AU605,G605))))</f>
        <v/>
      </c>
      <c r="AR605" s="55">
        <f>IF(BO605=1,0,ROUNDUP(AQ605/BN605,0))</f>
        <v/>
      </c>
      <c r="AS605" s="64">
        <f>IF(BO605=1,IF(AQ605&lt;=0,0,BP605*MAX(1,IF(G605&gt;0,AQ605/G605,1))),AR605*Q605)</f>
        <v/>
      </c>
      <c r="AT605" s="55">
        <f>AQ605*F605</f>
        <v/>
      </c>
      <c r="AU605" s="55">
        <f>ROUNDUP(MAX(I605/IF(BS605&gt;0,BS605,MAX(0.1,N(Cockpit!$O$6))),BV605)/BN605,0)*BN605</f>
        <v/>
      </c>
      <c r="AV605" s="56">
        <f>IF(AS605&gt;0,I605/AS605,-1)</f>
        <v/>
      </c>
      <c r="AW605" s="56">
        <f>IF(AND(OR(BR605="L1",BR605="L23"),AS605&gt;0),SUMIFS($AS$7:$AS$1570,$BR$7:$BR$1570,BR605,$AV$7:$AV$1570,"&gt;"&amp;AV605)+SUMIFS($AS$7:$AS$1570,$BR$7:$BR$1570,BR605,$AV$7:$AV$1570,AV605,$BL$7:$BL$1570,"&lt;="&amp;BL605),"")</f>
        <v/>
      </c>
      <c r="AX605" s="65">
        <f>IF(AW605="",0,MAX(0,MIN(1,(IF(BR605="L1",Parameter!$K$5,Parameter!$K$6+Parameter!$K$7)-(AW605-AS605))/AS605)))</f>
        <v/>
      </c>
      <c r="AY605" s="53">
        <f>IF(AC605&lt;=0,"",IF(BR605="Aussen","Aussenlager",IF(BR605="-","Nicht im Lift",IF(AH605&gt;=1,"Lift",IF(AH605&lt;=0,"Aussenlager","teilweise")))))</f>
        <v/>
      </c>
      <c r="AZ605" s="53">
        <f>IF(AK605&lt;=0,"",IF(BR605="Aussen","Aussenlager",IF(BR605="-","Nicht im Lift",IF(AP605&gt;=1,"Lift",IF(AP605&lt;=0,"Aussenlager","teilweise")))))</f>
        <v/>
      </c>
      <c r="BA605" s="53">
        <f>IF(AS605&lt;=0,"",IF(BR605="Aussen","Aussenlager",IF(BR605="-","Nicht im Lift",IF(AX605&gt;=1,"Lift",IF(AX605&lt;=0,"Aussenlager","teilweise")))))</f>
        <v/>
      </c>
      <c r="BB605" s="53">
        <f>IF(A605="","",IF(BK605=1,"Neu; ","")&amp;IF(AND(BK605=0,BF605&lt;0),"negativer Bestand (Export "&amp;BF605&amp;"); ","")&amp;IF(I605&lt;=0,"Kein Verbrauch; ","")&amp;IF(BO605=1,"Lose – Fläche geschätzt; ","")&amp;IF(G605&gt;AM605,"Überbestand "&amp;ROUND(G605-AM605,0)&amp;" Stk / CHF "&amp;ROUND((G605-AM605)*F605,0)&amp;"; ","")&amp;IF(AND(BT605=1,BU605&lt;BV605),"MAX &lt; MB+LG; ","")&amp;IF(AND(BZ605&gt;0,BY605*10&gt;BZ605),"zu hoch für Tablar; ","")&amp;IF(AND(BK605=0,OR(BT605=1,V605&lt;&gt;"",S605&lt;&gt;"",T605&lt;&gt;"",W605&lt;&gt;"")),"manuell übersteuert; ","")&amp;IF(AND(BO605=0,Q605=0),"Gebinde unbekannt; ","")&amp;IF(AND(BO605=0,N(T605)&lt;=0,N(P605)&lt;=0),"Menge pro Gebinde fehlt (Ist = 1 Gebinde); ","")&amp;BJ605)</f>
        <v/>
      </c>
      <c r="BC605" s="53" t="n"/>
      <c r="BD605" s="53" t="n"/>
      <c r="BE605" s="61" t="n"/>
      <c r="BF605" s="55" t="n">
        <v>18</v>
      </c>
      <c r="BG605" s="55" t="n">
        <v>426</v>
      </c>
      <c r="BH605" s="54" t="n">
        <v>5.339999999999986</v>
      </c>
      <c r="BI605" s="55" t="n">
        <v>466</v>
      </c>
      <c r="BJ605" s="53" t="inlineStr"/>
      <c r="BK605" s="58" t="n">
        <v>0</v>
      </c>
      <c r="BL605" s="58" t="n">
        <v>605</v>
      </c>
      <c r="BM605" s="53">
        <f>IF(S605&lt;&gt;"",UPPER(TRIM(S605)),IF(O605="","LOSE",O605))</f>
        <v/>
      </c>
      <c r="BN605" s="55">
        <f>IF(BM605="LOSE",1,IF(N(T605)&gt;0,T605,IF(N(P605)&gt;0,P605,MAX(1,G605))))</f>
        <v/>
      </c>
      <c r="BO605" s="58">
        <f>IF(BM605="LOSE",1,0)</f>
        <v/>
      </c>
      <c r="BP605" s="64">
        <f>IF(BO605=0,0,IF(N(R605)&gt;0,R605,IFERROR(VLOOKUP(D605,Parameter!$A$35:$C$64,3,0)+0,0)))</f>
        <v/>
      </c>
      <c r="BQ605" s="53">
        <f>IF(V605&lt;&gt;"",V605,U605)</f>
        <v/>
      </c>
      <c r="BR605" s="53">
        <f>IF(BQ605=1,"L1",IF(OR(BQ605=2,BQ605=3),"L23",IF(BQ605="Aussen","Aussen","-")))</f>
        <v/>
      </c>
      <c r="BS605" s="66">
        <f>IF(N(W605)&gt;0,W605,0)</f>
        <v/>
      </c>
      <c r="BT605" s="58">
        <f>IF(ISNUMBER(Z605),1,0)</f>
        <v/>
      </c>
      <c r="BU605" s="55">
        <f>N(Z605)</f>
        <v/>
      </c>
      <c r="BV605" s="55">
        <f>N(L605)+N(M605)</f>
        <v/>
      </c>
      <c r="BW605" s="55">
        <f>ROUNDUP(G605/BN605,0)</f>
        <v/>
      </c>
      <c r="BX605" s="55">
        <f>ROUNDUP(BU605/BN605,0)</f>
        <v/>
      </c>
      <c r="BY605" s="58">
        <f>IF(BO605=1,0,IFERROR(VLOOKUP(BM605,'Gebinde-Kategorie'!$A$5:$G$45,5,0)+0,0))</f>
        <v/>
      </c>
      <c r="BZ605" s="58">
        <f>IFERROR(IF(OR(BQ605=1,BQ605=2,BQ605=3),N(INDEX(Parameter!$I$5:$I$7,BQ605)),0),0)</f>
        <v/>
      </c>
    </row>
    <row r="606">
      <c r="A606" s="53" t="inlineStr">
        <is>
          <t>108047</t>
        </is>
      </c>
      <c r="B606" s="53" t="inlineStr">
        <is>
          <t>Halbrundkopfschraube mit Innensechskant</t>
        </is>
      </c>
      <c r="C606" s="53" t="inlineStr">
        <is>
          <t>F</t>
        </is>
      </c>
      <c r="D606" s="53" t="inlineStr">
        <is>
          <t>KTL</t>
        </is>
      </c>
      <c r="E606" s="53" t="inlineStr">
        <is>
          <t>C</t>
        </is>
      </c>
      <c r="F606" s="54" t="n">
        <v>0.03</v>
      </c>
      <c r="G606" s="55">
        <f>MAX(0,IF(Parameter!$B$20="Jahresanfang 2025 + Export",BG606+BF606,BF606))</f>
        <v/>
      </c>
      <c r="H606" s="55">
        <f>G606*F606</f>
        <v/>
      </c>
      <c r="I606" s="55">
        <f>BI606*Parameter!$B$18</f>
        <v/>
      </c>
      <c r="J606" s="56" t="n">
        <v>220.5</v>
      </c>
      <c r="K606" s="57" t="n">
        <v>1.369614512471655</v>
      </c>
      <c r="L606" s="55" t="n">
        <v>17</v>
      </c>
      <c r="M606" s="55" t="n">
        <v>500</v>
      </c>
      <c r="N606" s="58" t="n">
        <v>21</v>
      </c>
      <c r="O606" s="53" t="inlineStr">
        <is>
          <t>S22</t>
        </is>
      </c>
      <c r="P606" s="55" t="n">
        <v>300</v>
      </c>
      <c r="Q606" s="59">
        <f>IF(BO606=1,0,IFERROR(VLOOKUP(BM606,'Gebinde-Kategorie'!$A$5:$G$45,6,0)+0,0))</f>
        <v/>
      </c>
      <c r="R606" s="60" t="n"/>
      <c r="S606" s="61" t="n"/>
      <c r="T606" s="61" t="n"/>
      <c r="U606" s="53">
        <f>IF(A606="","",IF(IFERROR(VLOOKUP(D606,Parameter!$A$35:$C$64,2,0),"Nein")="2+3",IF(ISNUMBER(SEARCH("grosser Artikel",BJ606)),2,IFERROR(VLOOKUP(BM606,Parameter!$F$35:$G$64,2,0),2)),IF(OR(IFERROR(VLOOKUP(D606,Parameter!$A$35:$C$64,2,0),"Nein")="Nein",IFERROR(VLOOKUP(D606,Parameter!$A$35:$C$64,2,0),"Nein")=""),"-",VLOOKUP(D606,Parameter!$A$35:$C$64,2,0))))</f>
        <v/>
      </c>
      <c r="V606" s="61" t="n"/>
      <c r="W606" s="62" t="n"/>
      <c r="X606" s="55">
        <f>AM606</f>
        <v/>
      </c>
      <c r="Y606" s="55">
        <f>MAX(AM606,G606)</f>
        <v/>
      </c>
      <c r="Z606" s="63" t="n"/>
      <c r="AA606" s="55">
        <f>IF(LEFT(Cockpit!$C$5,1)="A",G606,IF(BT606=1,BU606,IF(LEFT(Cockpit!$C$5,1)="B",AE606,MAX(AE606,G606))))</f>
        <v/>
      </c>
      <c r="AB606" s="55">
        <f>IF(BO606=1,0,ROUNDUP(AA606/BN606,0))</f>
        <v/>
      </c>
      <c r="AC606" s="64">
        <f>IF(BO606=1,IF(AA606&lt;=0,0,BP606*MAX(1,IF(G606&gt;0,AA606/G606,1))),AB606*Q606)</f>
        <v/>
      </c>
      <c r="AD606" s="55">
        <f>AA606*F606</f>
        <v/>
      </c>
      <c r="AE606" s="55">
        <f>ROUNDUP(MAX(I606/IF(BS606&gt;0,BS606,MAX(0.1,N(Cockpit!$C$6))),BV606)/BN606,0)*BN606</f>
        <v/>
      </c>
      <c r="AF606" s="56">
        <f>IF(AC606&gt;0,I606/AC606,-1)</f>
        <v/>
      </c>
      <c r="AG606" s="56">
        <f>IF(AND(OR(BR606="L1",BR606="L23"),AC606&gt;0),SUMIFS($AC$7:$AC$1570,$BR$7:$BR$1570,BR606,$AF$7:$AF$1570,"&gt;"&amp;AF606)+SUMIFS($AC$7:$AC$1570,$BR$7:$BR$1570,BR606,$AF$7:$AF$1570,AF606,$BL$7:$BL$1570,"&lt;="&amp;BL606),"")</f>
        <v/>
      </c>
      <c r="AH606" s="65">
        <f>IF(AG606="",0,MAX(0,MIN(1,(IF(BR606="L1",Parameter!$K$5,Parameter!$K$6+Parameter!$K$7)-(AG606-AC606))/AC606)))</f>
        <v/>
      </c>
      <c r="AI606" s="55">
        <f>IF(LEFT(Cockpit!$I$5,1)="A",G606,IF(BT606=1,BU606,IF(LEFT(Cockpit!$I$5,1)="B",AM606,MAX(AM606,G606))))</f>
        <v/>
      </c>
      <c r="AJ606" s="55">
        <f>IF(BO606=1,0,ROUNDUP(AI606/BN606,0))</f>
        <v/>
      </c>
      <c r="AK606" s="64">
        <f>IF(BO606=1,IF(AI606&lt;=0,0,BP606*MAX(1,IF(G606&gt;0,AI606/G606,1))),AJ606*Q606)</f>
        <v/>
      </c>
      <c r="AL606" s="55">
        <f>AI606*F606</f>
        <v/>
      </c>
      <c r="AM606" s="55">
        <f>ROUNDUP(MAX(I606/IF(BS606&gt;0,BS606,MAX(0.1,N(Cockpit!$I$6))),BV606)/BN606,0)*BN606</f>
        <v/>
      </c>
      <c r="AN606" s="56">
        <f>IF(AK606&gt;0,I606/AK606,-1)</f>
        <v/>
      </c>
      <c r="AO606" s="56">
        <f>IF(AND(OR(BR606="L1",BR606="L23"),AK606&gt;0),SUMIFS($AK$7:$AK$1570,$BR$7:$BR$1570,BR606,$AN$7:$AN$1570,"&gt;"&amp;AN606)+SUMIFS($AK$7:$AK$1570,$BR$7:$BR$1570,BR606,$AN$7:$AN$1570,AN606,$BL$7:$BL$1570,"&lt;="&amp;BL606),"")</f>
        <v/>
      </c>
      <c r="AP606" s="65">
        <f>IF(AO606="",0,MAX(0,MIN(1,(IF(BR606="L1",Parameter!$K$5,Parameter!$K$6+Parameter!$K$7)-(AO606-AK606))/AK606)))</f>
        <v/>
      </c>
      <c r="AQ606" s="55">
        <f>IF(LEFT(Cockpit!$O$5,1)="A",G606,IF(BT606=1,BU606,IF(LEFT(Cockpit!$O$5,1)="B",AU606,MAX(AU606,G606))))</f>
        <v/>
      </c>
      <c r="AR606" s="55">
        <f>IF(BO606=1,0,ROUNDUP(AQ606/BN606,0))</f>
        <v/>
      </c>
      <c r="AS606" s="64">
        <f>IF(BO606=1,IF(AQ606&lt;=0,0,BP606*MAX(1,IF(G606&gt;0,AQ606/G606,1))),AR606*Q606)</f>
        <v/>
      </c>
      <c r="AT606" s="55">
        <f>AQ606*F606</f>
        <v/>
      </c>
      <c r="AU606" s="55">
        <f>ROUNDUP(MAX(I606/IF(BS606&gt;0,BS606,MAX(0.1,N(Cockpit!$O$6))),BV606)/BN606,0)*BN606</f>
        <v/>
      </c>
      <c r="AV606" s="56">
        <f>IF(AS606&gt;0,I606/AS606,-1)</f>
        <v/>
      </c>
      <c r="AW606" s="56">
        <f>IF(AND(OR(BR606="L1",BR606="L23"),AS606&gt;0),SUMIFS($AS$7:$AS$1570,$BR$7:$BR$1570,BR606,$AV$7:$AV$1570,"&gt;"&amp;AV606)+SUMIFS($AS$7:$AS$1570,$BR$7:$BR$1570,BR606,$AV$7:$AV$1570,AV606,$BL$7:$BL$1570,"&lt;="&amp;BL606),"")</f>
        <v/>
      </c>
      <c r="AX606" s="65">
        <f>IF(AW606="",0,MAX(0,MIN(1,(IF(BR606="L1",Parameter!$K$5,Parameter!$K$6+Parameter!$K$7)-(AW606-AS606))/AS606)))</f>
        <v/>
      </c>
      <c r="AY606" s="53">
        <f>IF(AC606&lt;=0,"",IF(BR606="Aussen","Aussenlager",IF(BR606="-","Nicht im Lift",IF(AH606&gt;=1,"Lift",IF(AH606&lt;=0,"Aussenlager","teilweise")))))</f>
        <v/>
      </c>
      <c r="AZ606" s="53">
        <f>IF(AK606&lt;=0,"",IF(BR606="Aussen","Aussenlager",IF(BR606="-","Nicht im Lift",IF(AP606&gt;=1,"Lift",IF(AP606&lt;=0,"Aussenlager","teilweise")))))</f>
        <v/>
      </c>
      <c r="BA606" s="53">
        <f>IF(AS606&lt;=0,"",IF(BR606="Aussen","Aussenlager",IF(BR606="-","Nicht im Lift",IF(AX606&gt;=1,"Lift",IF(AX606&lt;=0,"Aussenlager","teilweise")))))</f>
        <v/>
      </c>
      <c r="BB606" s="53">
        <f>IF(A606="","",IF(BK606=1,"Neu; ","")&amp;IF(AND(BK606=0,BF606&lt;0),"negativer Bestand (Export "&amp;BF606&amp;"); ","")&amp;IF(I606&lt;=0,"Kein Verbrauch; ","")&amp;IF(BO606=1,"Lose – Fläche geschätzt; ","")&amp;IF(G606&gt;AM606,"Überbestand "&amp;ROUND(G606-AM606,0)&amp;" Stk / CHF "&amp;ROUND((G606-AM606)*F606,0)&amp;"; ","")&amp;IF(AND(BT606=1,BU606&lt;BV606),"MAX &lt; MB+LG; ","")&amp;IF(AND(BZ606&gt;0,BY606*10&gt;BZ606),"zu hoch für Tablar; ","")&amp;IF(AND(BK606=0,OR(BT606=1,V606&lt;&gt;"",S606&lt;&gt;"",T606&lt;&gt;"",W606&lt;&gt;"")),"manuell übersteuert; ","")&amp;IF(AND(BO606=0,Q606=0),"Gebinde unbekannt; ","")&amp;IF(AND(BO606=0,N(T606)&lt;=0,N(P606)&lt;=0),"Menge pro Gebinde fehlt (Ist = 1 Gebinde); ","")&amp;BJ606)</f>
        <v/>
      </c>
      <c r="BC606" s="53" t="n"/>
      <c r="BD606" s="53" t="n"/>
      <c r="BE606" s="61" t="n"/>
      <c r="BF606" s="55" t="n">
        <v>175</v>
      </c>
      <c r="BG606" s="55" t="n">
        <v>273</v>
      </c>
      <c r="BH606" s="54" t="n">
        <v>5.249999999999998</v>
      </c>
      <c r="BI606" s="55" t="n">
        <v>302</v>
      </c>
      <c r="BJ606" s="53" t="inlineStr">
        <is>
          <t>nicht im KTL vorhanden</t>
        </is>
      </c>
      <c r="BK606" s="58" t="n">
        <v>0</v>
      </c>
      <c r="BL606" s="58" t="n">
        <v>606</v>
      </c>
      <c r="BM606" s="53">
        <f>IF(S606&lt;&gt;"",UPPER(TRIM(S606)),IF(O606="","LOSE",O606))</f>
        <v/>
      </c>
      <c r="BN606" s="55">
        <f>IF(BM606="LOSE",1,IF(N(T606)&gt;0,T606,IF(N(P606)&gt;0,P606,MAX(1,G606))))</f>
        <v/>
      </c>
      <c r="BO606" s="58">
        <f>IF(BM606="LOSE",1,0)</f>
        <v/>
      </c>
      <c r="BP606" s="64">
        <f>IF(BO606=0,0,IF(N(R606)&gt;0,R606,IFERROR(VLOOKUP(D606,Parameter!$A$35:$C$64,3,0)+0,0)))</f>
        <v/>
      </c>
      <c r="BQ606" s="53">
        <f>IF(V606&lt;&gt;"",V606,U606)</f>
        <v/>
      </c>
      <c r="BR606" s="53">
        <f>IF(BQ606=1,"L1",IF(OR(BQ606=2,BQ606=3),"L23",IF(BQ606="Aussen","Aussen","-")))</f>
        <v/>
      </c>
      <c r="BS606" s="66">
        <f>IF(N(W606)&gt;0,W606,0)</f>
        <v/>
      </c>
      <c r="BT606" s="58">
        <f>IF(ISNUMBER(Z606),1,0)</f>
        <v/>
      </c>
      <c r="BU606" s="55">
        <f>N(Z606)</f>
        <v/>
      </c>
      <c r="BV606" s="55">
        <f>N(L606)+N(M606)</f>
        <v/>
      </c>
      <c r="BW606" s="55">
        <f>ROUNDUP(G606/BN606,0)</f>
        <v/>
      </c>
      <c r="BX606" s="55">
        <f>ROUNDUP(BU606/BN606,0)</f>
        <v/>
      </c>
      <c r="BY606" s="58">
        <f>IF(BO606=1,0,IFERROR(VLOOKUP(BM606,'Gebinde-Kategorie'!$A$5:$G$45,5,0)+0,0))</f>
        <v/>
      </c>
      <c r="BZ606" s="58">
        <f>IFERROR(IF(OR(BQ606=1,BQ606=2,BQ606=3),N(INDEX(Parameter!$I$5:$I$7,BQ606)),0),0)</f>
        <v/>
      </c>
    </row>
    <row r="607">
      <c r="A607" s="53" t="inlineStr">
        <is>
          <t>100172</t>
        </is>
      </c>
      <c r="B607" s="53" t="inlineStr">
        <is>
          <t>O-Ring</t>
        </is>
      </c>
      <c r="C607" s="53" t="inlineStr">
        <is>
          <t>F</t>
        </is>
      </c>
      <c r="D607" s="53" t="inlineStr">
        <is>
          <t>KTL</t>
        </is>
      </c>
      <c r="E607" s="53" t="inlineStr">
        <is>
          <t>C</t>
        </is>
      </c>
      <c r="F607" s="54" t="n">
        <v>0.2</v>
      </c>
      <c r="G607" s="55">
        <f>MAX(0,IF(Parameter!$B$20="Jahresanfang 2025 + Export",BG607+BF607,BF607))</f>
        <v/>
      </c>
      <c r="H607" s="55">
        <f>G607*F607</f>
        <v/>
      </c>
      <c r="I607" s="55">
        <f>BI607*Parameter!$B$18</f>
        <v/>
      </c>
      <c r="J607" s="56" t="n">
        <v>114.5</v>
      </c>
      <c r="K607" s="57" t="n">
        <v>2.323144104803494</v>
      </c>
      <c r="L607" s="55" t="n">
        <v>10</v>
      </c>
      <c r="M607" s="55" t="n">
        <v>265</v>
      </c>
      <c r="N607" s="58" t="n">
        <v>14</v>
      </c>
      <c r="O607" s="53" t="inlineStr">
        <is>
          <t>S32</t>
        </is>
      </c>
      <c r="P607" s="55" t="n">
        <v>612</v>
      </c>
      <c r="Q607" s="59">
        <f>IF(BO607=1,0,IFERROR(VLOOKUP(BM607,'Gebinde-Kategorie'!$A$5:$G$45,6,0)+0,0))</f>
        <v/>
      </c>
      <c r="R607" s="60" t="n"/>
      <c r="S607" s="61" t="n"/>
      <c r="T607" s="61" t="n"/>
      <c r="U607" s="53">
        <f>IF(A607="","",IF(IFERROR(VLOOKUP(D607,Parameter!$A$35:$C$64,2,0),"Nein")="2+3",IF(ISNUMBER(SEARCH("grosser Artikel",BJ607)),2,IFERROR(VLOOKUP(BM607,Parameter!$F$35:$G$64,2,0),2)),IF(OR(IFERROR(VLOOKUP(D607,Parameter!$A$35:$C$64,2,0),"Nein")="Nein",IFERROR(VLOOKUP(D607,Parameter!$A$35:$C$64,2,0),"Nein")=""),"-",VLOOKUP(D607,Parameter!$A$35:$C$64,2,0))))</f>
        <v/>
      </c>
      <c r="V607" s="61" t="n"/>
      <c r="W607" s="62" t="n"/>
      <c r="X607" s="55">
        <f>AM607</f>
        <v/>
      </c>
      <c r="Y607" s="55">
        <f>MAX(AM607,G607)</f>
        <v/>
      </c>
      <c r="Z607" s="63" t="n"/>
      <c r="AA607" s="55">
        <f>IF(LEFT(Cockpit!$C$5,1)="A",G607,IF(BT607=1,BU607,IF(LEFT(Cockpit!$C$5,1)="B",AE607,MAX(AE607,G607))))</f>
        <v/>
      </c>
      <c r="AB607" s="55">
        <f>IF(BO607=1,0,ROUNDUP(AA607/BN607,0))</f>
        <v/>
      </c>
      <c r="AC607" s="64">
        <f>IF(BO607=1,IF(AA607&lt;=0,0,BP607*MAX(1,IF(G607&gt;0,AA607/G607,1))),AB607*Q607)</f>
        <v/>
      </c>
      <c r="AD607" s="55">
        <f>AA607*F607</f>
        <v/>
      </c>
      <c r="AE607" s="55">
        <f>ROUNDUP(MAX(I607/IF(BS607&gt;0,BS607,MAX(0.1,N(Cockpit!$C$6))),BV607)/BN607,0)*BN607</f>
        <v/>
      </c>
      <c r="AF607" s="56">
        <f>IF(AC607&gt;0,I607/AC607,-1)</f>
        <v/>
      </c>
      <c r="AG607" s="56">
        <f>IF(AND(OR(BR607="L1",BR607="L23"),AC607&gt;0),SUMIFS($AC$7:$AC$1570,$BR$7:$BR$1570,BR607,$AF$7:$AF$1570,"&gt;"&amp;AF607)+SUMIFS($AC$7:$AC$1570,$BR$7:$BR$1570,BR607,$AF$7:$AF$1570,AF607,$BL$7:$BL$1570,"&lt;="&amp;BL607),"")</f>
        <v/>
      </c>
      <c r="AH607" s="65">
        <f>IF(AG607="",0,MAX(0,MIN(1,(IF(BR607="L1",Parameter!$K$5,Parameter!$K$6+Parameter!$K$7)-(AG607-AC607))/AC607)))</f>
        <v/>
      </c>
      <c r="AI607" s="55">
        <f>IF(LEFT(Cockpit!$I$5,1)="A",G607,IF(BT607=1,BU607,IF(LEFT(Cockpit!$I$5,1)="B",AM607,MAX(AM607,G607))))</f>
        <v/>
      </c>
      <c r="AJ607" s="55">
        <f>IF(BO607=1,0,ROUNDUP(AI607/BN607,0))</f>
        <v/>
      </c>
      <c r="AK607" s="64">
        <f>IF(BO607=1,IF(AI607&lt;=0,0,BP607*MAX(1,IF(G607&gt;0,AI607/G607,1))),AJ607*Q607)</f>
        <v/>
      </c>
      <c r="AL607" s="55">
        <f>AI607*F607</f>
        <v/>
      </c>
      <c r="AM607" s="55">
        <f>ROUNDUP(MAX(I607/IF(BS607&gt;0,BS607,MAX(0.1,N(Cockpit!$I$6))),BV607)/BN607,0)*BN607</f>
        <v/>
      </c>
      <c r="AN607" s="56">
        <f>IF(AK607&gt;0,I607/AK607,-1)</f>
        <v/>
      </c>
      <c r="AO607" s="56">
        <f>IF(AND(OR(BR607="L1",BR607="L23"),AK607&gt;0),SUMIFS($AK$7:$AK$1570,$BR$7:$BR$1570,BR607,$AN$7:$AN$1570,"&gt;"&amp;AN607)+SUMIFS($AK$7:$AK$1570,$BR$7:$BR$1570,BR607,$AN$7:$AN$1570,AN607,$BL$7:$BL$1570,"&lt;="&amp;BL607),"")</f>
        <v/>
      </c>
      <c r="AP607" s="65">
        <f>IF(AO607="",0,MAX(0,MIN(1,(IF(BR607="L1",Parameter!$K$5,Parameter!$K$6+Parameter!$K$7)-(AO607-AK607))/AK607)))</f>
        <v/>
      </c>
      <c r="AQ607" s="55">
        <f>IF(LEFT(Cockpit!$O$5,1)="A",G607,IF(BT607=1,BU607,IF(LEFT(Cockpit!$O$5,1)="B",AU607,MAX(AU607,G607))))</f>
        <v/>
      </c>
      <c r="AR607" s="55">
        <f>IF(BO607=1,0,ROUNDUP(AQ607/BN607,0))</f>
        <v/>
      </c>
      <c r="AS607" s="64">
        <f>IF(BO607=1,IF(AQ607&lt;=0,0,BP607*MAX(1,IF(G607&gt;0,AQ607/G607,1))),AR607*Q607)</f>
        <v/>
      </c>
      <c r="AT607" s="55">
        <f>AQ607*F607</f>
        <v/>
      </c>
      <c r="AU607" s="55">
        <f>ROUNDUP(MAX(I607/IF(BS607&gt;0,BS607,MAX(0.1,N(Cockpit!$O$6))),BV607)/BN607,0)*BN607</f>
        <v/>
      </c>
      <c r="AV607" s="56">
        <f>IF(AS607&gt;0,I607/AS607,-1)</f>
        <v/>
      </c>
      <c r="AW607" s="56">
        <f>IF(AND(OR(BR607="L1",BR607="L23"),AS607&gt;0),SUMIFS($AS$7:$AS$1570,$BR$7:$BR$1570,BR607,$AV$7:$AV$1570,"&gt;"&amp;AV607)+SUMIFS($AS$7:$AS$1570,$BR$7:$BR$1570,BR607,$AV$7:$AV$1570,AV607,$BL$7:$BL$1570,"&lt;="&amp;BL607),"")</f>
        <v/>
      </c>
      <c r="AX607" s="65">
        <f>IF(AW607="",0,MAX(0,MIN(1,(IF(BR607="L1",Parameter!$K$5,Parameter!$K$6+Parameter!$K$7)-(AW607-AS607))/AS607)))</f>
        <v/>
      </c>
      <c r="AY607" s="53">
        <f>IF(AC607&lt;=0,"",IF(BR607="Aussen","Aussenlager",IF(BR607="-","Nicht im Lift",IF(AH607&gt;=1,"Lift",IF(AH607&lt;=0,"Aussenlager","teilweise")))))</f>
        <v/>
      </c>
      <c r="AZ607" s="53">
        <f>IF(AK607&lt;=0,"",IF(BR607="Aussen","Aussenlager",IF(BR607="-","Nicht im Lift",IF(AP607&gt;=1,"Lift",IF(AP607&lt;=0,"Aussenlager","teilweise")))))</f>
        <v/>
      </c>
      <c r="BA607" s="53">
        <f>IF(AS607&lt;=0,"",IF(BR607="Aussen","Aussenlager",IF(BR607="-","Nicht im Lift",IF(AX607&gt;=1,"Lift",IF(AX607&lt;=0,"Aussenlager","teilweise")))))</f>
        <v/>
      </c>
      <c r="BB607" s="53">
        <f>IF(A607="","",IF(BK607=1,"Neu; ","")&amp;IF(AND(BK607=0,BF607&lt;0),"negativer Bestand (Export "&amp;BF607&amp;"); ","")&amp;IF(I607&lt;=0,"Kein Verbrauch; ","")&amp;IF(BO607=1,"Lose – Fläche geschätzt; ","")&amp;IF(G607&gt;AM607,"Überbestand "&amp;ROUND(G607-AM607,0)&amp;" Stk / CHF "&amp;ROUND((G607-AM607)*F607,0)&amp;"; ","")&amp;IF(AND(BT607=1,BU607&lt;BV607),"MAX &lt; MB+LG; ","")&amp;IF(AND(BZ607&gt;0,BY607*10&gt;BZ607),"zu hoch für Tablar; ","")&amp;IF(AND(BK607=0,OR(BT607=1,V607&lt;&gt;"",S607&lt;&gt;"",T607&lt;&gt;"",W607&lt;&gt;"")),"manuell übersteuert; ","")&amp;IF(AND(BO607=0,Q607=0),"Gebinde unbekannt; ","")&amp;IF(AND(BO607=0,N(T607)&lt;=0,N(P607)&lt;=0),"Menge pro Gebinde fehlt (Ist = 1 Gebinde); ","")&amp;BJ607)</f>
        <v/>
      </c>
      <c r="BC607" s="53" t="n"/>
      <c r="BD607" s="53" t="n"/>
      <c r="BE607" s="61" t="n"/>
      <c r="BF607" s="55" t="n">
        <v>26</v>
      </c>
      <c r="BG607" s="55" t="n">
        <v>129</v>
      </c>
      <c r="BH607" s="54" t="n">
        <v>5.199999999999982</v>
      </c>
      <c r="BI607" s="55" t="n">
        <v>266</v>
      </c>
      <c r="BJ607" s="53" t="inlineStr"/>
      <c r="BK607" s="58" t="n">
        <v>0</v>
      </c>
      <c r="BL607" s="58" t="n">
        <v>607</v>
      </c>
      <c r="BM607" s="53">
        <f>IF(S607&lt;&gt;"",UPPER(TRIM(S607)),IF(O607="","LOSE",O607))</f>
        <v/>
      </c>
      <c r="BN607" s="55">
        <f>IF(BM607="LOSE",1,IF(N(T607)&gt;0,T607,IF(N(P607)&gt;0,P607,MAX(1,G607))))</f>
        <v/>
      </c>
      <c r="BO607" s="58">
        <f>IF(BM607="LOSE",1,0)</f>
        <v/>
      </c>
      <c r="BP607" s="64">
        <f>IF(BO607=0,0,IF(N(R607)&gt;0,R607,IFERROR(VLOOKUP(D607,Parameter!$A$35:$C$64,3,0)+0,0)))</f>
        <v/>
      </c>
      <c r="BQ607" s="53">
        <f>IF(V607&lt;&gt;"",V607,U607)</f>
        <v/>
      </c>
      <c r="BR607" s="53">
        <f>IF(BQ607=1,"L1",IF(OR(BQ607=2,BQ607=3),"L23",IF(BQ607="Aussen","Aussen","-")))</f>
        <v/>
      </c>
      <c r="BS607" s="66">
        <f>IF(N(W607)&gt;0,W607,0)</f>
        <v/>
      </c>
      <c r="BT607" s="58">
        <f>IF(ISNUMBER(Z607),1,0)</f>
        <v/>
      </c>
      <c r="BU607" s="55">
        <f>N(Z607)</f>
        <v/>
      </c>
      <c r="BV607" s="55">
        <f>N(L607)+N(M607)</f>
        <v/>
      </c>
      <c r="BW607" s="55">
        <f>ROUNDUP(G607/BN607,0)</f>
        <v/>
      </c>
      <c r="BX607" s="55">
        <f>ROUNDUP(BU607/BN607,0)</f>
        <v/>
      </c>
      <c r="BY607" s="58">
        <f>IF(BO607=1,0,IFERROR(VLOOKUP(BM607,'Gebinde-Kategorie'!$A$5:$G$45,5,0)+0,0))</f>
        <v/>
      </c>
      <c r="BZ607" s="58">
        <f>IFERROR(IF(OR(BQ607=1,BQ607=2,BQ607=3),N(INDEX(Parameter!$I$5:$I$7,BQ607)),0),0)</f>
        <v/>
      </c>
    </row>
    <row r="608">
      <c r="A608" s="53" t="inlineStr">
        <is>
          <t>005761</t>
        </is>
      </c>
      <c r="B608" s="53" t="inlineStr">
        <is>
          <t>Zugfederklemme</t>
        </is>
      </c>
      <c r="C608" s="53" t="inlineStr">
        <is>
          <t>F</t>
        </is>
      </c>
      <c r="D608" s="53" t="inlineStr">
        <is>
          <t>KTL</t>
        </is>
      </c>
      <c r="E608" s="53" t="inlineStr">
        <is>
          <t>C</t>
        </is>
      </c>
      <c r="F608" s="54" t="n">
        <v>0.85</v>
      </c>
      <c r="G608" s="55">
        <f>MAX(0,IF(Parameter!$B$20="Jahresanfang 2025 + Export",BG608+BF608,BF608))</f>
        <v/>
      </c>
      <c r="H608" s="55">
        <f>G608*F608</f>
        <v/>
      </c>
      <c r="I608" s="55">
        <f>BI608*Parameter!$B$18</f>
        <v/>
      </c>
      <c r="J608" s="56" t="n">
        <v>18</v>
      </c>
      <c r="K608" s="57" t="n">
        <v>0</v>
      </c>
      <c r="L608" s="55" t="n">
        <v>0</v>
      </c>
      <c r="M608" s="55" t="n">
        <v>1</v>
      </c>
      <c r="N608" s="58" t="n">
        <v>42</v>
      </c>
      <c r="O608" s="53" t="inlineStr">
        <is>
          <t>S32</t>
        </is>
      </c>
      <c r="P608" s="55" t="n">
        <v>16</v>
      </c>
      <c r="Q608" s="59">
        <f>IF(BO608=1,0,IFERROR(VLOOKUP(BM608,'Gebinde-Kategorie'!$A$5:$G$45,6,0)+0,0))</f>
        <v/>
      </c>
      <c r="R608" s="60" t="n"/>
      <c r="S608" s="61" t="n"/>
      <c r="T608" s="61" t="n"/>
      <c r="U608" s="53">
        <f>IF(A608="","",IF(IFERROR(VLOOKUP(D608,Parameter!$A$35:$C$64,2,0),"Nein")="2+3",IF(ISNUMBER(SEARCH("grosser Artikel",BJ608)),2,IFERROR(VLOOKUP(BM608,Parameter!$F$35:$G$64,2,0),2)),IF(OR(IFERROR(VLOOKUP(D608,Parameter!$A$35:$C$64,2,0),"Nein")="Nein",IFERROR(VLOOKUP(D608,Parameter!$A$35:$C$64,2,0),"Nein")=""),"-",VLOOKUP(D608,Parameter!$A$35:$C$64,2,0))))</f>
        <v/>
      </c>
      <c r="V608" s="61" t="n"/>
      <c r="W608" s="62" t="n"/>
      <c r="X608" s="55">
        <f>AM608</f>
        <v/>
      </c>
      <c r="Y608" s="55">
        <f>MAX(AM608,G608)</f>
        <v/>
      </c>
      <c r="Z608" s="63" t="n"/>
      <c r="AA608" s="55">
        <f>IF(LEFT(Cockpit!$C$5,1)="A",G608,IF(BT608=1,BU608,IF(LEFT(Cockpit!$C$5,1)="B",AE608,MAX(AE608,G608))))</f>
        <v/>
      </c>
      <c r="AB608" s="55">
        <f>IF(BO608=1,0,ROUNDUP(AA608/BN608,0))</f>
        <v/>
      </c>
      <c r="AC608" s="64">
        <f>IF(BO608=1,IF(AA608&lt;=0,0,BP608*MAX(1,IF(G608&gt;0,AA608/G608,1))),AB608*Q608)</f>
        <v/>
      </c>
      <c r="AD608" s="55">
        <f>AA608*F608</f>
        <v/>
      </c>
      <c r="AE608" s="55">
        <f>ROUNDUP(MAX(I608/IF(BS608&gt;0,BS608,MAX(0.1,N(Cockpit!$C$6))),BV608)/BN608,0)*BN608</f>
        <v/>
      </c>
      <c r="AF608" s="56">
        <f>IF(AC608&gt;0,I608/AC608,-1)</f>
        <v/>
      </c>
      <c r="AG608" s="56">
        <f>IF(AND(OR(BR608="L1",BR608="L23"),AC608&gt;0),SUMIFS($AC$7:$AC$1570,$BR$7:$BR$1570,BR608,$AF$7:$AF$1570,"&gt;"&amp;AF608)+SUMIFS($AC$7:$AC$1570,$BR$7:$BR$1570,BR608,$AF$7:$AF$1570,AF608,$BL$7:$BL$1570,"&lt;="&amp;BL608),"")</f>
        <v/>
      </c>
      <c r="AH608" s="65">
        <f>IF(AG608="",0,MAX(0,MIN(1,(IF(BR608="L1",Parameter!$K$5,Parameter!$K$6+Parameter!$K$7)-(AG608-AC608))/AC608)))</f>
        <v/>
      </c>
      <c r="AI608" s="55">
        <f>IF(LEFT(Cockpit!$I$5,1)="A",G608,IF(BT608=1,BU608,IF(LEFT(Cockpit!$I$5,1)="B",AM608,MAX(AM608,G608))))</f>
        <v/>
      </c>
      <c r="AJ608" s="55">
        <f>IF(BO608=1,0,ROUNDUP(AI608/BN608,0))</f>
        <v/>
      </c>
      <c r="AK608" s="64">
        <f>IF(BO608=1,IF(AI608&lt;=0,0,BP608*MAX(1,IF(G608&gt;0,AI608/G608,1))),AJ608*Q608)</f>
        <v/>
      </c>
      <c r="AL608" s="55">
        <f>AI608*F608</f>
        <v/>
      </c>
      <c r="AM608" s="55">
        <f>ROUNDUP(MAX(I608/IF(BS608&gt;0,BS608,MAX(0.1,N(Cockpit!$I$6))),BV608)/BN608,0)*BN608</f>
        <v/>
      </c>
      <c r="AN608" s="56">
        <f>IF(AK608&gt;0,I608/AK608,-1)</f>
        <v/>
      </c>
      <c r="AO608" s="56">
        <f>IF(AND(OR(BR608="L1",BR608="L23"),AK608&gt;0),SUMIFS($AK$7:$AK$1570,$BR$7:$BR$1570,BR608,$AN$7:$AN$1570,"&gt;"&amp;AN608)+SUMIFS($AK$7:$AK$1570,$BR$7:$BR$1570,BR608,$AN$7:$AN$1570,AN608,$BL$7:$BL$1570,"&lt;="&amp;BL608),"")</f>
        <v/>
      </c>
      <c r="AP608" s="65">
        <f>IF(AO608="",0,MAX(0,MIN(1,(IF(BR608="L1",Parameter!$K$5,Parameter!$K$6+Parameter!$K$7)-(AO608-AK608))/AK608)))</f>
        <v/>
      </c>
      <c r="AQ608" s="55">
        <f>IF(LEFT(Cockpit!$O$5,1)="A",G608,IF(BT608=1,BU608,IF(LEFT(Cockpit!$O$5,1)="B",AU608,MAX(AU608,G608))))</f>
        <v/>
      </c>
      <c r="AR608" s="55">
        <f>IF(BO608=1,0,ROUNDUP(AQ608/BN608,0))</f>
        <v/>
      </c>
      <c r="AS608" s="64">
        <f>IF(BO608=1,IF(AQ608&lt;=0,0,BP608*MAX(1,IF(G608&gt;0,AQ608/G608,1))),AR608*Q608)</f>
        <v/>
      </c>
      <c r="AT608" s="55">
        <f>AQ608*F608</f>
        <v/>
      </c>
      <c r="AU608" s="55">
        <f>ROUNDUP(MAX(I608/IF(BS608&gt;0,BS608,MAX(0.1,N(Cockpit!$O$6))),BV608)/BN608,0)*BN608</f>
        <v/>
      </c>
      <c r="AV608" s="56">
        <f>IF(AS608&gt;0,I608/AS608,-1)</f>
        <v/>
      </c>
      <c r="AW608" s="56">
        <f>IF(AND(OR(BR608="L1",BR608="L23"),AS608&gt;0),SUMIFS($AS$7:$AS$1570,$BR$7:$BR$1570,BR608,$AV$7:$AV$1570,"&gt;"&amp;AV608)+SUMIFS($AS$7:$AS$1570,$BR$7:$BR$1570,BR608,$AV$7:$AV$1570,AV608,$BL$7:$BL$1570,"&lt;="&amp;BL608),"")</f>
        <v/>
      </c>
      <c r="AX608" s="65">
        <f>IF(AW608="",0,MAX(0,MIN(1,(IF(BR608="L1",Parameter!$K$5,Parameter!$K$6+Parameter!$K$7)-(AW608-AS608))/AS608)))</f>
        <v/>
      </c>
      <c r="AY608" s="53">
        <f>IF(AC608&lt;=0,"",IF(BR608="Aussen","Aussenlager",IF(BR608="-","Nicht im Lift",IF(AH608&gt;=1,"Lift",IF(AH608&lt;=0,"Aussenlager","teilweise")))))</f>
        <v/>
      </c>
      <c r="AZ608" s="53">
        <f>IF(AK608&lt;=0,"",IF(BR608="Aussen","Aussenlager",IF(BR608="-","Nicht im Lift",IF(AP608&gt;=1,"Lift",IF(AP608&lt;=0,"Aussenlager","teilweise")))))</f>
        <v/>
      </c>
      <c r="BA608" s="53">
        <f>IF(AS608&lt;=0,"",IF(BR608="Aussen","Aussenlager",IF(BR608="-","Nicht im Lift",IF(AX608&gt;=1,"Lift",IF(AX608&lt;=0,"Aussenlager","teilweise")))))</f>
        <v/>
      </c>
      <c r="BB608" s="53">
        <f>IF(A608="","",IF(BK608=1,"Neu; ","")&amp;IF(AND(BK608=0,BF608&lt;0),"negativer Bestand (Export "&amp;BF608&amp;"); ","")&amp;IF(I608&lt;=0,"Kein Verbrauch; ","")&amp;IF(BO608=1,"Lose – Fläche geschätzt; ","")&amp;IF(G608&gt;AM608,"Überbestand "&amp;ROUND(G608-AM608,0)&amp;" Stk / CHF "&amp;ROUND((G608-AM608)*F608,0)&amp;"; ","")&amp;IF(AND(BT608=1,BU608&lt;BV608),"MAX &lt; MB+LG; ","")&amp;IF(AND(BZ608&gt;0,BY608*10&gt;BZ608),"zu hoch für Tablar; ","")&amp;IF(AND(BK608=0,OR(BT608=1,V608&lt;&gt;"",S608&lt;&gt;"",T608&lt;&gt;"",W608&lt;&gt;"")),"manuell übersteuert; ","")&amp;IF(AND(BO608=0,Q608=0),"Gebinde unbekannt; ","")&amp;IF(AND(BO608=0,N(T608)&lt;=0,N(P608)&lt;=0),"Menge pro Gebinde fehlt (Ist = 1 Gebinde); ","")&amp;BJ608)</f>
        <v/>
      </c>
      <c r="BC608" s="53" t="n"/>
      <c r="BD608" s="53" t="n"/>
      <c r="BE608" s="61" t="n"/>
      <c r="BF608" s="55" t="n">
        <v>4</v>
      </c>
      <c r="BG608" s="55" t="n">
        <v>16</v>
      </c>
      <c r="BH608" s="54" t="n">
        <v>5</v>
      </c>
      <c r="BI608" s="55" t="n">
        <v>0</v>
      </c>
      <c r="BJ608" s="53" t="inlineStr">
        <is>
          <t>Überbestand</t>
        </is>
      </c>
      <c r="BK608" s="58" t="n">
        <v>0</v>
      </c>
      <c r="BL608" s="58" t="n">
        <v>608</v>
      </c>
      <c r="BM608" s="53">
        <f>IF(S608&lt;&gt;"",UPPER(TRIM(S608)),IF(O608="","LOSE",O608))</f>
        <v/>
      </c>
      <c r="BN608" s="55">
        <f>IF(BM608="LOSE",1,IF(N(T608)&gt;0,T608,IF(N(P608)&gt;0,P608,MAX(1,G608))))</f>
        <v/>
      </c>
      <c r="BO608" s="58">
        <f>IF(BM608="LOSE",1,0)</f>
        <v/>
      </c>
      <c r="BP608" s="64">
        <f>IF(BO608=0,0,IF(N(R608)&gt;0,R608,IFERROR(VLOOKUP(D608,Parameter!$A$35:$C$64,3,0)+0,0)))</f>
        <v/>
      </c>
      <c r="BQ608" s="53">
        <f>IF(V608&lt;&gt;"",V608,U608)</f>
        <v/>
      </c>
      <c r="BR608" s="53">
        <f>IF(BQ608=1,"L1",IF(OR(BQ608=2,BQ608=3),"L23",IF(BQ608="Aussen","Aussen","-")))</f>
        <v/>
      </c>
      <c r="BS608" s="66">
        <f>IF(N(W608)&gt;0,W608,0)</f>
        <v/>
      </c>
      <c r="BT608" s="58">
        <f>IF(ISNUMBER(Z608),1,0)</f>
        <v/>
      </c>
      <c r="BU608" s="55">
        <f>N(Z608)</f>
        <v/>
      </c>
      <c r="BV608" s="55">
        <f>N(L608)+N(M608)</f>
        <v/>
      </c>
      <c r="BW608" s="55">
        <f>ROUNDUP(G608/BN608,0)</f>
        <v/>
      </c>
      <c r="BX608" s="55">
        <f>ROUNDUP(BU608/BN608,0)</f>
        <v/>
      </c>
      <c r="BY608" s="58">
        <f>IF(BO608=1,0,IFERROR(VLOOKUP(BM608,'Gebinde-Kategorie'!$A$5:$G$45,5,0)+0,0))</f>
        <v/>
      </c>
      <c r="BZ608" s="58">
        <f>IFERROR(IF(OR(BQ608=1,BQ608=2,BQ608=3),N(INDEX(Parameter!$I$5:$I$7,BQ608)),0),0)</f>
        <v/>
      </c>
    </row>
    <row r="609">
      <c r="A609" s="53" t="inlineStr">
        <is>
          <t>102437</t>
        </is>
      </c>
      <c r="B609" s="53" t="inlineStr">
        <is>
          <t>Sechskantmutter</t>
        </is>
      </c>
      <c r="C609" s="53" t="inlineStr">
        <is>
          <t>F</t>
        </is>
      </c>
      <c r="D609" s="53" t="inlineStr">
        <is>
          <t>KTL</t>
        </is>
      </c>
      <c r="E609" s="53" t="inlineStr">
        <is>
          <t>C</t>
        </is>
      </c>
      <c r="F609" s="54" t="n">
        <v>0.01</v>
      </c>
      <c r="G609" s="55">
        <f>MAX(0,IF(Parameter!$B$20="Jahresanfang 2025 + Export",BG609+BF609,BF609))</f>
        <v/>
      </c>
      <c r="H609" s="55">
        <f>G609*F609</f>
        <v/>
      </c>
      <c r="I609" s="55">
        <f>BI609*Parameter!$B$18</f>
        <v/>
      </c>
      <c r="J609" s="56" t="n">
        <v>95.5</v>
      </c>
      <c r="K609" s="57" t="n">
        <v>5.549738219895288</v>
      </c>
      <c r="L609" s="55" t="n">
        <v>30</v>
      </c>
      <c r="M609" s="55" t="n">
        <v>600</v>
      </c>
      <c r="N609" s="58" t="n">
        <v>21</v>
      </c>
      <c r="O609" s="53" t="inlineStr">
        <is>
          <t>S33</t>
        </is>
      </c>
      <c r="P609" s="55" t="n">
        <v>885</v>
      </c>
      <c r="Q609" s="59">
        <f>IF(BO609=1,0,IFERROR(VLOOKUP(BM609,'Gebinde-Kategorie'!$A$5:$G$45,6,0)+0,0))</f>
        <v/>
      </c>
      <c r="R609" s="60" t="n"/>
      <c r="S609" s="61" t="n"/>
      <c r="T609" s="61" t="n"/>
      <c r="U609" s="53">
        <f>IF(A609="","",IF(IFERROR(VLOOKUP(D609,Parameter!$A$35:$C$64,2,0),"Nein")="2+3",IF(ISNUMBER(SEARCH("grosser Artikel",BJ609)),2,IFERROR(VLOOKUP(BM609,Parameter!$F$35:$G$64,2,0),2)),IF(OR(IFERROR(VLOOKUP(D609,Parameter!$A$35:$C$64,2,0),"Nein")="Nein",IFERROR(VLOOKUP(D609,Parameter!$A$35:$C$64,2,0),"Nein")=""),"-",VLOOKUP(D609,Parameter!$A$35:$C$64,2,0))))</f>
        <v/>
      </c>
      <c r="V609" s="61" t="n"/>
      <c r="W609" s="62" t="n"/>
      <c r="X609" s="55">
        <f>AM609</f>
        <v/>
      </c>
      <c r="Y609" s="55">
        <f>MAX(AM609,G609)</f>
        <v/>
      </c>
      <c r="Z609" s="63" t="n"/>
      <c r="AA609" s="55">
        <f>IF(LEFT(Cockpit!$C$5,1)="A",G609,IF(BT609=1,BU609,IF(LEFT(Cockpit!$C$5,1)="B",AE609,MAX(AE609,G609))))</f>
        <v/>
      </c>
      <c r="AB609" s="55">
        <f>IF(BO609=1,0,ROUNDUP(AA609/BN609,0))</f>
        <v/>
      </c>
      <c r="AC609" s="64">
        <f>IF(BO609=1,IF(AA609&lt;=0,0,BP609*MAX(1,IF(G609&gt;0,AA609/G609,1))),AB609*Q609)</f>
        <v/>
      </c>
      <c r="AD609" s="55">
        <f>AA609*F609</f>
        <v/>
      </c>
      <c r="AE609" s="55">
        <f>ROUNDUP(MAX(I609/IF(BS609&gt;0,BS609,MAX(0.1,N(Cockpit!$C$6))),BV609)/BN609,0)*BN609</f>
        <v/>
      </c>
      <c r="AF609" s="56">
        <f>IF(AC609&gt;0,I609/AC609,-1)</f>
        <v/>
      </c>
      <c r="AG609" s="56">
        <f>IF(AND(OR(BR609="L1",BR609="L23"),AC609&gt;0),SUMIFS($AC$7:$AC$1570,$BR$7:$BR$1570,BR609,$AF$7:$AF$1570,"&gt;"&amp;AF609)+SUMIFS($AC$7:$AC$1570,$BR$7:$BR$1570,BR609,$AF$7:$AF$1570,AF609,$BL$7:$BL$1570,"&lt;="&amp;BL609),"")</f>
        <v/>
      </c>
      <c r="AH609" s="65">
        <f>IF(AG609="",0,MAX(0,MIN(1,(IF(BR609="L1",Parameter!$K$5,Parameter!$K$6+Parameter!$K$7)-(AG609-AC609))/AC609)))</f>
        <v/>
      </c>
      <c r="AI609" s="55">
        <f>IF(LEFT(Cockpit!$I$5,1)="A",G609,IF(BT609=1,BU609,IF(LEFT(Cockpit!$I$5,1)="B",AM609,MAX(AM609,G609))))</f>
        <v/>
      </c>
      <c r="AJ609" s="55">
        <f>IF(BO609=1,0,ROUNDUP(AI609/BN609,0))</f>
        <v/>
      </c>
      <c r="AK609" s="64">
        <f>IF(BO609=1,IF(AI609&lt;=0,0,BP609*MAX(1,IF(G609&gt;0,AI609/G609,1))),AJ609*Q609)</f>
        <v/>
      </c>
      <c r="AL609" s="55">
        <f>AI609*F609</f>
        <v/>
      </c>
      <c r="AM609" s="55">
        <f>ROUNDUP(MAX(I609/IF(BS609&gt;0,BS609,MAX(0.1,N(Cockpit!$I$6))),BV609)/BN609,0)*BN609</f>
        <v/>
      </c>
      <c r="AN609" s="56">
        <f>IF(AK609&gt;0,I609/AK609,-1)</f>
        <v/>
      </c>
      <c r="AO609" s="56">
        <f>IF(AND(OR(BR609="L1",BR609="L23"),AK609&gt;0),SUMIFS($AK$7:$AK$1570,$BR$7:$BR$1570,BR609,$AN$7:$AN$1570,"&gt;"&amp;AN609)+SUMIFS($AK$7:$AK$1570,$BR$7:$BR$1570,BR609,$AN$7:$AN$1570,AN609,$BL$7:$BL$1570,"&lt;="&amp;BL609),"")</f>
        <v/>
      </c>
      <c r="AP609" s="65">
        <f>IF(AO609="",0,MAX(0,MIN(1,(IF(BR609="L1",Parameter!$K$5,Parameter!$K$6+Parameter!$K$7)-(AO609-AK609))/AK609)))</f>
        <v/>
      </c>
      <c r="AQ609" s="55">
        <f>IF(LEFT(Cockpit!$O$5,1)="A",G609,IF(BT609=1,BU609,IF(LEFT(Cockpit!$O$5,1)="B",AU609,MAX(AU609,G609))))</f>
        <v/>
      </c>
      <c r="AR609" s="55">
        <f>IF(BO609=1,0,ROUNDUP(AQ609/BN609,0))</f>
        <v/>
      </c>
      <c r="AS609" s="64">
        <f>IF(BO609=1,IF(AQ609&lt;=0,0,BP609*MAX(1,IF(G609&gt;0,AQ609/G609,1))),AR609*Q609)</f>
        <v/>
      </c>
      <c r="AT609" s="55">
        <f>AQ609*F609</f>
        <v/>
      </c>
      <c r="AU609" s="55">
        <f>ROUNDUP(MAX(I609/IF(BS609&gt;0,BS609,MAX(0.1,N(Cockpit!$O$6))),BV609)/BN609,0)*BN609</f>
        <v/>
      </c>
      <c r="AV609" s="56">
        <f>IF(AS609&gt;0,I609/AS609,-1)</f>
        <v/>
      </c>
      <c r="AW609" s="56">
        <f>IF(AND(OR(BR609="L1",BR609="L23"),AS609&gt;0),SUMIFS($AS$7:$AS$1570,$BR$7:$BR$1570,BR609,$AV$7:$AV$1570,"&gt;"&amp;AV609)+SUMIFS($AS$7:$AS$1570,$BR$7:$BR$1570,BR609,$AV$7:$AV$1570,AV609,$BL$7:$BL$1570,"&lt;="&amp;BL609),"")</f>
        <v/>
      </c>
      <c r="AX609" s="65">
        <f>IF(AW609="",0,MAX(0,MIN(1,(IF(BR609="L1",Parameter!$K$5,Parameter!$K$6+Parameter!$K$7)-(AW609-AS609))/AS609)))</f>
        <v/>
      </c>
      <c r="AY609" s="53">
        <f>IF(AC609&lt;=0,"",IF(BR609="Aussen","Aussenlager",IF(BR609="-","Nicht im Lift",IF(AH609&gt;=1,"Lift",IF(AH609&lt;=0,"Aussenlager","teilweise")))))</f>
        <v/>
      </c>
      <c r="AZ609" s="53">
        <f>IF(AK609&lt;=0,"",IF(BR609="Aussen","Aussenlager",IF(BR609="-","Nicht im Lift",IF(AP609&gt;=1,"Lift",IF(AP609&lt;=0,"Aussenlager","teilweise")))))</f>
        <v/>
      </c>
      <c r="BA609" s="53">
        <f>IF(AS609&lt;=0,"",IF(BR609="Aussen","Aussenlager",IF(BR609="-","Nicht im Lift",IF(AX609&gt;=1,"Lift",IF(AX609&lt;=0,"Aussenlager","teilweise")))))</f>
        <v/>
      </c>
      <c r="BB609" s="53">
        <f>IF(A609="","",IF(BK609=1,"Neu; ","")&amp;IF(AND(BK609=0,BF609&lt;0),"negativer Bestand (Export "&amp;BF609&amp;"); ","")&amp;IF(I609&lt;=0,"Kein Verbrauch; ","")&amp;IF(BO609=1,"Lose – Fläche geschätzt; ","")&amp;IF(G609&gt;AM609,"Überbestand "&amp;ROUND(G609-AM609,0)&amp;" Stk / CHF "&amp;ROUND((G609-AM609)*F609,0)&amp;"; ","")&amp;IF(AND(BT609=1,BU609&lt;BV609),"MAX &lt; MB+LG; ","")&amp;IF(AND(BZ609&gt;0,BY609*10&gt;BZ609),"zu hoch für Tablar; ","")&amp;IF(AND(BK609=0,OR(BT609=1,V609&lt;&gt;"",S609&lt;&gt;"",T609&lt;&gt;"",W609&lt;&gt;"")),"manuell übersteuert; ","")&amp;IF(AND(BO609=0,Q609=0),"Gebinde unbekannt; ","")&amp;IF(AND(BO609=0,N(T609)&lt;=0,N(P609)&lt;=0),"Menge pro Gebinde fehlt (Ist = 1 Gebinde); ","")&amp;BJ609)</f>
        <v/>
      </c>
      <c r="BC609" s="53" t="n"/>
      <c r="BD609" s="53" t="n"/>
      <c r="BE609" s="61" t="n"/>
      <c r="BF609" s="55" t="n">
        <v>495</v>
      </c>
      <c r="BG609" s="55" t="n">
        <v>84</v>
      </c>
      <c r="BH609" s="54" t="n">
        <v>4.950000000000001</v>
      </c>
      <c r="BI609" s="55" t="n">
        <v>530</v>
      </c>
      <c r="BJ609" s="53" t="inlineStr"/>
      <c r="BK609" s="58" t="n">
        <v>0</v>
      </c>
      <c r="BL609" s="58" t="n">
        <v>609</v>
      </c>
      <c r="BM609" s="53">
        <f>IF(S609&lt;&gt;"",UPPER(TRIM(S609)),IF(O609="","LOSE",O609))</f>
        <v/>
      </c>
      <c r="BN609" s="55">
        <f>IF(BM609="LOSE",1,IF(N(T609)&gt;0,T609,IF(N(P609)&gt;0,P609,MAX(1,G609))))</f>
        <v/>
      </c>
      <c r="BO609" s="58">
        <f>IF(BM609="LOSE",1,0)</f>
        <v/>
      </c>
      <c r="BP609" s="64">
        <f>IF(BO609=0,0,IF(N(R609)&gt;0,R609,IFERROR(VLOOKUP(D609,Parameter!$A$35:$C$64,3,0)+0,0)))</f>
        <v/>
      </c>
      <c r="BQ609" s="53">
        <f>IF(V609&lt;&gt;"",V609,U609)</f>
        <v/>
      </c>
      <c r="BR609" s="53">
        <f>IF(BQ609=1,"L1",IF(OR(BQ609=2,BQ609=3),"L23",IF(BQ609="Aussen","Aussen","-")))</f>
        <v/>
      </c>
      <c r="BS609" s="66">
        <f>IF(N(W609)&gt;0,W609,0)</f>
        <v/>
      </c>
      <c r="BT609" s="58">
        <f>IF(ISNUMBER(Z609),1,0)</f>
        <v/>
      </c>
      <c r="BU609" s="55">
        <f>N(Z609)</f>
        <v/>
      </c>
      <c r="BV609" s="55">
        <f>N(L609)+N(M609)</f>
        <v/>
      </c>
      <c r="BW609" s="55">
        <f>ROUNDUP(G609/BN609,0)</f>
        <v/>
      </c>
      <c r="BX609" s="55">
        <f>ROUNDUP(BU609/BN609,0)</f>
        <v/>
      </c>
      <c r="BY609" s="58">
        <f>IF(BO609=1,0,IFERROR(VLOOKUP(BM609,'Gebinde-Kategorie'!$A$5:$G$45,5,0)+0,0))</f>
        <v/>
      </c>
      <c r="BZ609" s="58">
        <f>IFERROR(IF(OR(BQ609=1,BQ609=2,BQ609=3),N(INDEX(Parameter!$I$5:$I$7,BQ609)),0),0)</f>
        <v/>
      </c>
    </row>
    <row r="610">
      <c r="A610" s="53" t="inlineStr">
        <is>
          <t>110966</t>
        </is>
      </c>
      <c r="B610" s="53" t="inlineStr">
        <is>
          <t>Batterie</t>
        </is>
      </c>
      <c r="C610" s="53" t="inlineStr">
        <is>
          <t>F</t>
        </is>
      </c>
      <c r="D610" s="53" t="inlineStr">
        <is>
          <t>PAL</t>
        </is>
      </c>
      <c r="E610" s="53" t="inlineStr">
        <is>
          <t>C</t>
        </is>
      </c>
      <c r="F610" s="54" t="n">
        <v>0.33</v>
      </c>
      <c r="G610" s="55">
        <f>MAX(0,IF(Parameter!$B$20="Jahresanfang 2025 + Export",BG610+BF610,BF610))</f>
        <v/>
      </c>
      <c r="H610" s="55">
        <f>G610*F610</f>
        <v/>
      </c>
      <c r="I610" s="55">
        <f>BI610*Parameter!$B$18</f>
        <v/>
      </c>
      <c r="J610" s="56" t="n">
        <v>0</v>
      </c>
      <c r="K610" s="57" t="n">
        <v>0</v>
      </c>
      <c r="L610" s="55" t="n">
        <v>0</v>
      </c>
      <c r="M610" s="55" t="n">
        <v>5</v>
      </c>
      <c r="N610" s="58" t="n">
        <v>21</v>
      </c>
      <c r="O610" s="53" t="inlineStr">
        <is>
          <t>LOSE</t>
        </is>
      </c>
      <c r="P610" s="55" t="n"/>
      <c r="Q610" s="59">
        <f>IF(BO610=1,0,IFERROR(VLOOKUP(BM610,'Gebinde-Kategorie'!$A$5:$G$45,6,0)+0,0))</f>
        <v/>
      </c>
      <c r="R610" s="60" t="n"/>
      <c r="S610" s="61" t="n"/>
      <c r="T610" s="61" t="n"/>
      <c r="U610" s="53">
        <f>IF(A610="","",IF(IFERROR(VLOOKUP(D610,Parameter!$A$35:$C$64,2,0),"Nein")="2+3",IF(ISNUMBER(SEARCH("grosser Artikel",BJ610)),2,IFERROR(VLOOKUP(BM610,Parameter!$F$35:$G$64,2,0),2)),IF(OR(IFERROR(VLOOKUP(D610,Parameter!$A$35:$C$64,2,0),"Nein")="Nein",IFERROR(VLOOKUP(D610,Parameter!$A$35:$C$64,2,0),"Nein")=""),"-",VLOOKUP(D610,Parameter!$A$35:$C$64,2,0))))</f>
        <v/>
      </c>
      <c r="V610" s="61" t="n"/>
      <c r="W610" s="62" t="n"/>
      <c r="X610" s="55">
        <f>AM610</f>
        <v/>
      </c>
      <c r="Y610" s="55">
        <f>MAX(AM610,G610)</f>
        <v/>
      </c>
      <c r="Z610" s="63" t="n"/>
      <c r="AA610" s="55">
        <f>IF(LEFT(Cockpit!$C$5,1)="A",G610,IF(BT610=1,BU610,IF(LEFT(Cockpit!$C$5,1)="B",AE610,MAX(AE610,G610))))</f>
        <v/>
      </c>
      <c r="AB610" s="55">
        <f>IF(BO610=1,0,ROUNDUP(AA610/BN610,0))</f>
        <v/>
      </c>
      <c r="AC610" s="64">
        <f>IF(BO610=1,IF(AA610&lt;=0,0,BP610*MAX(1,IF(G610&gt;0,AA610/G610,1))),AB610*Q610)</f>
        <v/>
      </c>
      <c r="AD610" s="55">
        <f>AA610*F610</f>
        <v/>
      </c>
      <c r="AE610" s="55">
        <f>ROUNDUP(MAX(I610/IF(BS610&gt;0,BS610,MAX(0.1,N(Cockpit!$C$6))),BV610)/BN610,0)*BN610</f>
        <v/>
      </c>
      <c r="AF610" s="56">
        <f>IF(AC610&gt;0,I610/AC610,-1)</f>
        <v/>
      </c>
      <c r="AG610" s="56">
        <f>IF(AND(OR(BR610="L1",BR610="L23"),AC610&gt;0),SUMIFS($AC$7:$AC$1570,$BR$7:$BR$1570,BR610,$AF$7:$AF$1570,"&gt;"&amp;AF610)+SUMIFS($AC$7:$AC$1570,$BR$7:$BR$1570,BR610,$AF$7:$AF$1570,AF610,$BL$7:$BL$1570,"&lt;="&amp;BL610),"")</f>
        <v/>
      </c>
      <c r="AH610" s="65">
        <f>IF(AG610="",0,MAX(0,MIN(1,(IF(BR610="L1",Parameter!$K$5,Parameter!$K$6+Parameter!$K$7)-(AG610-AC610))/AC610)))</f>
        <v/>
      </c>
      <c r="AI610" s="55">
        <f>IF(LEFT(Cockpit!$I$5,1)="A",G610,IF(BT610=1,BU610,IF(LEFT(Cockpit!$I$5,1)="B",AM610,MAX(AM610,G610))))</f>
        <v/>
      </c>
      <c r="AJ610" s="55">
        <f>IF(BO610=1,0,ROUNDUP(AI610/BN610,0))</f>
        <v/>
      </c>
      <c r="AK610" s="64">
        <f>IF(BO610=1,IF(AI610&lt;=0,0,BP610*MAX(1,IF(G610&gt;0,AI610/G610,1))),AJ610*Q610)</f>
        <v/>
      </c>
      <c r="AL610" s="55">
        <f>AI610*F610</f>
        <v/>
      </c>
      <c r="AM610" s="55">
        <f>ROUNDUP(MAX(I610/IF(BS610&gt;0,BS610,MAX(0.1,N(Cockpit!$I$6))),BV610)/BN610,0)*BN610</f>
        <v/>
      </c>
      <c r="AN610" s="56">
        <f>IF(AK610&gt;0,I610/AK610,-1)</f>
        <v/>
      </c>
      <c r="AO610" s="56">
        <f>IF(AND(OR(BR610="L1",BR610="L23"),AK610&gt;0),SUMIFS($AK$7:$AK$1570,$BR$7:$BR$1570,BR610,$AN$7:$AN$1570,"&gt;"&amp;AN610)+SUMIFS($AK$7:$AK$1570,$BR$7:$BR$1570,BR610,$AN$7:$AN$1570,AN610,$BL$7:$BL$1570,"&lt;="&amp;BL610),"")</f>
        <v/>
      </c>
      <c r="AP610" s="65">
        <f>IF(AO610="",0,MAX(0,MIN(1,(IF(BR610="L1",Parameter!$K$5,Parameter!$K$6+Parameter!$K$7)-(AO610-AK610))/AK610)))</f>
        <v/>
      </c>
      <c r="AQ610" s="55">
        <f>IF(LEFT(Cockpit!$O$5,1)="A",G610,IF(BT610=1,BU610,IF(LEFT(Cockpit!$O$5,1)="B",AU610,MAX(AU610,G610))))</f>
        <v/>
      </c>
      <c r="AR610" s="55">
        <f>IF(BO610=1,0,ROUNDUP(AQ610/BN610,0))</f>
        <v/>
      </c>
      <c r="AS610" s="64">
        <f>IF(BO610=1,IF(AQ610&lt;=0,0,BP610*MAX(1,IF(G610&gt;0,AQ610/G610,1))),AR610*Q610)</f>
        <v/>
      </c>
      <c r="AT610" s="55">
        <f>AQ610*F610</f>
        <v/>
      </c>
      <c r="AU610" s="55">
        <f>ROUNDUP(MAX(I610/IF(BS610&gt;0,BS610,MAX(0.1,N(Cockpit!$O$6))),BV610)/BN610,0)*BN610</f>
        <v/>
      </c>
      <c r="AV610" s="56">
        <f>IF(AS610&gt;0,I610/AS610,-1)</f>
        <v/>
      </c>
      <c r="AW610" s="56">
        <f>IF(AND(OR(BR610="L1",BR610="L23"),AS610&gt;0),SUMIFS($AS$7:$AS$1570,$BR$7:$BR$1570,BR610,$AV$7:$AV$1570,"&gt;"&amp;AV610)+SUMIFS($AS$7:$AS$1570,$BR$7:$BR$1570,BR610,$AV$7:$AV$1570,AV610,$BL$7:$BL$1570,"&lt;="&amp;BL610),"")</f>
        <v/>
      </c>
      <c r="AX610" s="65">
        <f>IF(AW610="",0,MAX(0,MIN(1,(IF(BR610="L1",Parameter!$K$5,Parameter!$K$6+Parameter!$K$7)-(AW610-AS610))/AS610)))</f>
        <v/>
      </c>
      <c r="AY610" s="53">
        <f>IF(AC610&lt;=0,"",IF(BR610="Aussen","Aussenlager",IF(BR610="-","Nicht im Lift",IF(AH610&gt;=1,"Lift",IF(AH610&lt;=0,"Aussenlager","teilweise")))))</f>
        <v/>
      </c>
      <c r="AZ610" s="53">
        <f>IF(AK610&lt;=0,"",IF(BR610="Aussen","Aussenlager",IF(BR610="-","Nicht im Lift",IF(AP610&gt;=1,"Lift",IF(AP610&lt;=0,"Aussenlager","teilweise")))))</f>
        <v/>
      </c>
      <c r="BA610" s="53">
        <f>IF(AS610&lt;=0,"",IF(BR610="Aussen","Aussenlager",IF(BR610="-","Nicht im Lift",IF(AX610&gt;=1,"Lift",IF(AX610&lt;=0,"Aussenlager","teilweise")))))</f>
        <v/>
      </c>
      <c r="BB610" s="53">
        <f>IF(A610="","",IF(BK610=1,"Neu; ","")&amp;IF(AND(BK610=0,BF610&lt;0),"negativer Bestand (Export "&amp;BF610&amp;"); ","")&amp;IF(I610&lt;=0,"Kein Verbrauch; ","")&amp;IF(BO610=1,"Lose – Fläche geschätzt; ","")&amp;IF(G610&gt;AM610,"Überbestand "&amp;ROUND(G610-AM610,0)&amp;" Stk / CHF "&amp;ROUND((G610-AM610)*F610,0)&amp;"; ","")&amp;IF(AND(BT610=1,BU610&lt;BV610),"MAX &lt; MB+LG; ","")&amp;IF(AND(BZ610&gt;0,BY610*10&gt;BZ610),"zu hoch für Tablar; ","")&amp;IF(AND(BK610=0,OR(BT610=1,V610&lt;&gt;"",S610&lt;&gt;"",T610&lt;&gt;"",W610&lt;&gt;"")),"manuell übersteuert; ","")&amp;IF(AND(BO610=0,Q610=0),"Gebinde unbekannt; ","")&amp;IF(AND(BO610=0,N(T610)&lt;=0,N(P610)&lt;=0),"Menge pro Gebinde fehlt (Ist = 1 Gebinde); ","")&amp;BJ610)</f>
        <v/>
      </c>
      <c r="BC610" s="53" t="n"/>
      <c r="BD610" s="53" t="n"/>
      <c r="BE610" s="61" t="n"/>
      <c r="BF610" s="55" t="n">
        <v>15</v>
      </c>
      <c r="BG610" s="55" t="n">
        <v>0</v>
      </c>
      <c r="BH610" s="54" t="n">
        <v>4.949999999999998</v>
      </c>
      <c r="BI610" s="55" t="n">
        <v>6</v>
      </c>
      <c r="BJ610" s="53" t="inlineStr"/>
      <c r="BK610" s="58" t="n">
        <v>0</v>
      </c>
      <c r="BL610" s="58" t="n">
        <v>610</v>
      </c>
      <c r="BM610" s="53">
        <f>IF(S610&lt;&gt;"",UPPER(TRIM(S610)),IF(O610="","LOSE",O610))</f>
        <v/>
      </c>
      <c r="BN610" s="55">
        <f>IF(BM610="LOSE",1,IF(N(T610)&gt;0,T610,IF(N(P610)&gt;0,P610,MAX(1,G610))))</f>
        <v/>
      </c>
      <c r="BO610" s="58">
        <f>IF(BM610="LOSE",1,0)</f>
        <v/>
      </c>
      <c r="BP610" s="64">
        <f>IF(BO610=0,0,IF(N(R610)&gt;0,R610,IFERROR(VLOOKUP(D610,Parameter!$A$35:$C$64,3,0)+0,0)))</f>
        <v/>
      </c>
      <c r="BQ610" s="53">
        <f>IF(V610&lt;&gt;"",V610,U610)</f>
        <v/>
      </c>
      <c r="BR610" s="53">
        <f>IF(BQ610=1,"L1",IF(OR(BQ610=2,BQ610=3),"L23",IF(BQ610="Aussen","Aussen","-")))</f>
        <v/>
      </c>
      <c r="BS610" s="66">
        <f>IF(N(W610)&gt;0,W610,0)</f>
        <v/>
      </c>
      <c r="BT610" s="58">
        <f>IF(ISNUMBER(Z610),1,0)</f>
        <v/>
      </c>
      <c r="BU610" s="55">
        <f>N(Z610)</f>
        <v/>
      </c>
      <c r="BV610" s="55">
        <f>N(L610)+N(M610)</f>
        <v/>
      </c>
      <c r="BW610" s="55">
        <f>ROUNDUP(G610/BN610,0)</f>
        <v/>
      </c>
      <c r="BX610" s="55">
        <f>ROUNDUP(BU610/BN610,0)</f>
        <v/>
      </c>
      <c r="BY610" s="58">
        <f>IF(BO610=1,0,IFERROR(VLOOKUP(BM610,'Gebinde-Kategorie'!$A$5:$G$45,5,0)+0,0))</f>
        <v/>
      </c>
      <c r="BZ610" s="58">
        <f>IFERROR(IF(OR(BQ610=1,BQ610=2,BQ610=3),N(INDEX(Parameter!$I$5:$I$7,BQ610)),0),0)</f>
        <v/>
      </c>
    </row>
    <row r="611">
      <c r="A611" s="53" t="inlineStr">
        <is>
          <t>108568</t>
        </is>
      </c>
      <c r="B611" s="53" t="inlineStr">
        <is>
          <t>Zylinderschraube mit Innensechskant</t>
        </is>
      </c>
      <c r="C611" s="53" t="inlineStr">
        <is>
          <t>F</t>
        </is>
      </c>
      <c r="D611" s="53" t="inlineStr">
        <is>
          <t>KTL</t>
        </is>
      </c>
      <c r="E611" s="53" t="inlineStr">
        <is>
          <t>C</t>
        </is>
      </c>
      <c r="F611" s="54" t="n">
        <v>0.06</v>
      </c>
      <c r="G611" s="55">
        <f>MAX(0,IF(Parameter!$B$20="Jahresanfang 2025 + Export",BG611+BF611,BF611))</f>
        <v/>
      </c>
      <c r="H611" s="55">
        <f>G611*F611</f>
        <v/>
      </c>
      <c r="I611" s="55">
        <f>BI611*Parameter!$B$18</f>
        <v/>
      </c>
      <c r="J611" s="56" t="n">
        <v>267.5</v>
      </c>
      <c r="K611" s="57" t="n">
        <v>2.385046728971963</v>
      </c>
      <c r="L611" s="55" t="n">
        <v>37</v>
      </c>
      <c r="M611" s="55" t="n">
        <v>800</v>
      </c>
      <c r="N611" s="58" t="n">
        <v>21</v>
      </c>
      <c r="O611" s="53" t="inlineStr">
        <is>
          <t>S33</t>
        </is>
      </c>
      <c r="P611" s="55" t="n">
        <v>605</v>
      </c>
      <c r="Q611" s="59">
        <f>IF(BO611=1,0,IFERROR(VLOOKUP(BM611,'Gebinde-Kategorie'!$A$5:$G$45,6,0)+0,0))</f>
        <v/>
      </c>
      <c r="R611" s="60" t="n"/>
      <c r="S611" s="61" t="n"/>
      <c r="T611" s="61" t="n"/>
      <c r="U611" s="53">
        <f>IF(A611="","",IF(IFERROR(VLOOKUP(D611,Parameter!$A$35:$C$64,2,0),"Nein")="2+3",IF(ISNUMBER(SEARCH("grosser Artikel",BJ611)),2,IFERROR(VLOOKUP(BM611,Parameter!$F$35:$G$64,2,0),2)),IF(OR(IFERROR(VLOOKUP(D611,Parameter!$A$35:$C$64,2,0),"Nein")="Nein",IFERROR(VLOOKUP(D611,Parameter!$A$35:$C$64,2,0),"Nein")=""),"-",VLOOKUP(D611,Parameter!$A$35:$C$64,2,0))))</f>
        <v/>
      </c>
      <c r="V611" s="61" t="n"/>
      <c r="W611" s="62" t="n"/>
      <c r="X611" s="55">
        <f>AM611</f>
        <v/>
      </c>
      <c r="Y611" s="55">
        <f>MAX(AM611,G611)</f>
        <v/>
      </c>
      <c r="Z611" s="63" t="n"/>
      <c r="AA611" s="55">
        <f>IF(LEFT(Cockpit!$C$5,1)="A",G611,IF(BT611=1,BU611,IF(LEFT(Cockpit!$C$5,1)="B",AE611,MAX(AE611,G611))))</f>
        <v/>
      </c>
      <c r="AB611" s="55">
        <f>IF(BO611=1,0,ROUNDUP(AA611/BN611,0))</f>
        <v/>
      </c>
      <c r="AC611" s="64">
        <f>IF(BO611=1,IF(AA611&lt;=0,0,BP611*MAX(1,IF(G611&gt;0,AA611/G611,1))),AB611*Q611)</f>
        <v/>
      </c>
      <c r="AD611" s="55">
        <f>AA611*F611</f>
        <v/>
      </c>
      <c r="AE611" s="55">
        <f>ROUNDUP(MAX(I611/IF(BS611&gt;0,BS611,MAX(0.1,N(Cockpit!$C$6))),BV611)/BN611,0)*BN611</f>
        <v/>
      </c>
      <c r="AF611" s="56">
        <f>IF(AC611&gt;0,I611/AC611,-1)</f>
        <v/>
      </c>
      <c r="AG611" s="56">
        <f>IF(AND(OR(BR611="L1",BR611="L23"),AC611&gt;0),SUMIFS($AC$7:$AC$1570,$BR$7:$BR$1570,BR611,$AF$7:$AF$1570,"&gt;"&amp;AF611)+SUMIFS($AC$7:$AC$1570,$BR$7:$BR$1570,BR611,$AF$7:$AF$1570,AF611,$BL$7:$BL$1570,"&lt;="&amp;BL611),"")</f>
        <v/>
      </c>
      <c r="AH611" s="65">
        <f>IF(AG611="",0,MAX(0,MIN(1,(IF(BR611="L1",Parameter!$K$5,Parameter!$K$6+Parameter!$K$7)-(AG611-AC611))/AC611)))</f>
        <v/>
      </c>
      <c r="AI611" s="55">
        <f>IF(LEFT(Cockpit!$I$5,1)="A",G611,IF(BT611=1,BU611,IF(LEFT(Cockpit!$I$5,1)="B",AM611,MAX(AM611,G611))))</f>
        <v/>
      </c>
      <c r="AJ611" s="55">
        <f>IF(BO611=1,0,ROUNDUP(AI611/BN611,0))</f>
        <v/>
      </c>
      <c r="AK611" s="64">
        <f>IF(BO611=1,IF(AI611&lt;=0,0,BP611*MAX(1,IF(G611&gt;0,AI611/G611,1))),AJ611*Q611)</f>
        <v/>
      </c>
      <c r="AL611" s="55">
        <f>AI611*F611</f>
        <v/>
      </c>
      <c r="AM611" s="55">
        <f>ROUNDUP(MAX(I611/IF(BS611&gt;0,BS611,MAX(0.1,N(Cockpit!$I$6))),BV611)/BN611,0)*BN611</f>
        <v/>
      </c>
      <c r="AN611" s="56">
        <f>IF(AK611&gt;0,I611/AK611,-1)</f>
        <v/>
      </c>
      <c r="AO611" s="56">
        <f>IF(AND(OR(BR611="L1",BR611="L23"),AK611&gt;0),SUMIFS($AK$7:$AK$1570,$BR$7:$BR$1570,BR611,$AN$7:$AN$1570,"&gt;"&amp;AN611)+SUMIFS($AK$7:$AK$1570,$BR$7:$BR$1570,BR611,$AN$7:$AN$1570,AN611,$BL$7:$BL$1570,"&lt;="&amp;BL611),"")</f>
        <v/>
      </c>
      <c r="AP611" s="65">
        <f>IF(AO611="",0,MAX(0,MIN(1,(IF(BR611="L1",Parameter!$K$5,Parameter!$K$6+Parameter!$K$7)-(AO611-AK611))/AK611)))</f>
        <v/>
      </c>
      <c r="AQ611" s="55">
        <f>IF(LEFT(Cockpit!$O$5,1)="A",G611,IF(BT611=1,BU611,IF(LEFT(Cockpit!$O$5,1)="B",AU611,MAX(AU611,G611))))</f>
        <v/>
      </c>
      <c r="AR611" s="55">
        <f>IF(BO611=1,0,ROUNDUP(AQ611/BN611,0))</f>
        <v/>
      </c>
      <c r="AS611" s="64">
        <f>IF(BO611=1,IF(AQ611&lt;=0,0,BP611*MAX(1,IF(G611&gt;0,AQ611/G611,1))),AR611*Q611)</f>
        <v/>
      </c>
      <c r="AT611" s="55">
        <f>AQ611*F611</f>
        <v/>
      </c>
      <c r="AU611" s="55">
        <f>ROUNDUP(MAX(I611/IF(BS611&gt;0,BS611,MAX(0.1,N(Cockpit!$O$6))),BV611)/BN611,0)*BN611</f>
        <v/>
      </c>
      <c r="AV611" s="56">
        <f>IF(AS611&gt;0,I611/AS611,-1)</f>
        <v/>
      </c>
      <c r="AW611" s="56">
        <f>IF(AND(OR(BR611="L1",BR611="L23"),AS611&gt;0),SUMIFS($AS$7:$AS$1570,$BR$7:$BR$1570,BR611,$AV$7:$AV$1570,"&gt;"&amp;AV611)+SUMIFS($AS$7:$AS$1570,$BR$7:$BR$1570,BR611,$AV$7:$AV$1570,AV611,$BL$7:$BL$1570,"&lt;="&amp;BL611),"")</f>
        <v/>
      </c>
      <c r="AX611" s="65">
        <f>IF(AW611="",0,MAX(0,MIN(1,(IF(BR611="L1",Parameter!$K$5,Parameter!$K$6+Parameter!$K$7)-(AW611-AS611))/AS611)))</f>
        <v/>
      </c>
      <c r="AY611" s="53">
        <f>IF(AC611&lt;=0,"",IF(BR611="Aussen","Aussenlager",IF(BR611="-","Nicht im Lift",IF(AH611&gt;=1,"Lift",IF(AH611&lt;=0,"Aussenlager","teilweise")))))</f>
        <v/>
      </c>
      <c r="AZ611" s="53">
        <f>IF(AK611&lt;=0,"",IF(BR611="Aussen","Aussenlager",IF(BR611="-","Nicht im Lift",IF(AP611&gt;=1,"Lift",IF(AP611&lt;=0,"Aussenlager","teilweise")))))</f>
        <v/>
      </c>
      <c r="BA611" s="53">
        <f>IF(AS611&lt;=0,"",IF(BR611="Aussen","Aussenlager",IF(BR611="-","Nicht im Lift",IF(AX611&gt;=1,"Lift",IF(AX611&lt;=0,"Aussenlager","teilweise")))))</f>
        <v/>
      </c>
      <c r="BB611" s="53">
        <f>IF(A611="","",IF(BK611=1,"Neu; ","")&amp;IF(AND(BK611=0,BF611&lt;0),"negativer Bestand (Export "&amp;BF611&amp;"); ","")&amp;IF(I611&lt;=0,"Kein Verbrauch; ","")&amp;IF(BO611=1,"Lose – Fläche geschätzt; ","")&amp;IF(G611&gt;AM611,"Überbestand "&amp;ROUND(G611-AM611,0)&amp;" Stk / CHF "&amp;ROUND((G611-AM611)*F611,0)&amp;"; ","")&amp;IF(AND(BT611=1,BU611&lt;BV611),"MAX &lt; MB+LG; ","")&amp;IF(AND(BZ611&gt;0,BY611*10&gt;BZ611),"zu hoch für Tablar; ","")&amp;IF(AND(BK611=0,OR(BT611=1,V611&lt;&gt;"",S611&lt;&gt;"",T611&lt;&gt;"",W611&lt;&gt;"")),"manuell übersteuert; ","")&amp;IF(AND(BO611=0,Q611=0),"Gebinde unbekannt; ","")&amp;IF(AND(BO611=0,N(T611)&lt;=0,N(P611)&lt;=0),"Menge pro Gebinde fehlt (Ist = 1 Gebinde); ","")&amp;BJ611)</f>
        <v/>
      </c>
      <c r="BC611" s="53" t="n"/>
      <c r="BD611" s="53" t="n"/>
      <c r="BE611" s="61" t="n"/>
      <c r="BF611" s="55" t="n">
        <v>81</v>
      </c>
      <c r="BG611" s="55" t="n">
        <v>196</v>
      </c>
      <c r="BH611" s="54" t="n">
        <v>4.860000000000005</v>
      </c>
      <c r="BI611" s="55" t="n">
        <v>638</v>
      </c>
      <c r="BJ611" s="53" t="inlineStr"/>
      <c r="BK611" s="58" t="n">
        <v>0</v>
      </c>
      <c r="BL611" s="58" t="n">
        <v>611</v>
      </c>
      <c r="BM611" s="53">
        <f>IF(S611&lt;&gt;"",UPPER(TRIM(S611)),IF(O611="","LOSE",O611))</f>
        <v/>
      </c>
      <c r="BN611" s="55">
        <f>IF(BM611="LOSE",1,IF(N(T611)&gt;0,T611,IF(N(P611)&gt;0,P611,MAX(1,G611))))</f>
        <v/>
      </c>
      <c r="BO611" s="58">
        <f>IF(BM611="LOSE",1,0)</f>
        <v/>
      </c>
      <c r="BP611" s="64">
        <f>IF(BO611=0,0,IF(N(R611)&gt;0,R611,IFERROR(VLOOKUP(D611,Parameter!$A$35:$C$64,3,0)+0,0)))</f>
        <v/>
      </c>
      <c r="BQ611" s="53">
        <f>IF(V611&lt;&gt;"",V611,U611)</f>
        <v/>
      </c>
      <c r="BR611" s="53">
        <f>IF(BQ611=1,"L1",IF(OR(BQ611=2,BQ611=3),"L23",IF(BQ611="Aussen","Aussen","-")))</f>
        <v/>
      </c>
      <c r="BS611" s="66">
        <f>IF(N(W611)&gt;0,W611,0)</f>
        <v/>
      </c>
      <c r="BT611" s="58">
        <f>IF(ISNUMBER(Z611),1,0)</f>
        <v/>
      </c>
      <c r="BU611" s="55">
        <f>N(Z611)</f>
        <v/>
      </c>
      <c r="BV611" s="55">
        <f>N(L611)+N(M611)</f>
        <v/>
      </c>
      <c r="BW611" s="55">
        <f>ROUNDUP(G611/BN611,0)</f>
        <v/>
      </c>
      <c r="BX611" s="55">
        <f>ROUNDUP(BU611/BN611,0)</f>
        <v/>
      </c>
      <c r="BY611" s="58">
        <f>IF(BO611=1,0,IFERROR(VLOOKUP(BM611,'Gebinde-Kategorie'!$A$5:$G$45,5,0)+0,0))</f>
        <v/>
      </c>
      <c r="BZ611" s="58">
        <f>IFERROR(IF(OR(BQ611=1,BQ611=2,BQ611=3),N(INDEX(Parameter!$I$5:$I$7,BQ611)),0),0)</f>
        <v/>
      </c>
    </row>
    <row r="612">
      <c r="A612" s="53" t="inlineStr">
        <is>
          <t>102436</t>
        </is>
      </c>
      <c r="B612" s="53" t="inlineStr">
        <is>
          <t>Etikett</t>
        </is>
      </c>
      <c r="C612" s="53" t="inlineStr">
        <is>
          <t>F</t>
        </is>
      </c>
      <c r="D612" s="53" t="inlineStr">
        <is>
          <t>KTL</t>
        </is>
      </c>
      <c r="E612" s="53" t="inlineStr">
        <is>
          <t>C</t>
        </is>
      </c>
      <c r="F612" s="54" t="n">
        <v>0.05</v>
      </c>
      <c r="G612" s="55">
        <f>MAX(0,IF(Parameter!$B$20="Jahresanfang 2025 + Export",BG612+BF612,BF612))</f>
        <v/>
      </c>
      <c r="H612" s="55">
        <f>G612*F612</f>
        <v/>
      </c>
      <c r="I612" s="55">
        <f>BI612*Parameter!$B$18</f>
        <v/>
      </c>
      <c r="J612" s="56" t="n">
        <v>52</v>
      </c>
      <c r="K612" s="57" t="n">
        <v>0</v>
      </c>
      <c r="L612" s="55" t="n">
        <v>0</v>
      </c>
      <c r="M612" s="55" t="n">
        <v>10</v>
      </c>
      <c r="N612" s="58" t="n">
        <v>14</v>
      </c>
      <c r="O612" s="53" t="inlineStr">
        <is>
          <t>S22</t>
        </is>
      </c>
      <c r="P612" s="55" t="n">
        <v>100</v>
      </c>
      <c r="Q612" s="59">
        <f>IF(BO612=1,0,IFERROR(VLOOKUP(BM612,'Gebinde-Kategorie'!$A$5:$G$45,6,0)+0,0))</f>
        <v/>
      </c>
      <c r="R612" s="60" t="n"/>
      <c r="S612" s="61" t="n"/>
      <c r="T612" s="61" t="n"/>
      <c r="U612" s="53">
        <f>IF(A612="","",IF(IFERROR(VLOOKUP(D612,Parameter!$A$35:$C$64,2,0),"Nein")="2+3",IF(ISNUMBER(SEARCH("grosser Artikel",BJ612)),2,IFERROR(VLOOKUP(BM612,Parameter!$F$35:$G$64,2,0),2)),IF(OR(IFERROR(VLOOKUP(D612,Parameter!$A$35:$C$64,2,0),"Nein")="Nein",IFERROR(VLOOKUP(D612,Parameter!$A$35:$C$64,2,0),"Nein")=""),"-",VLOOKUP(D612,Parameter!$A$35:$C$64,2,0))))</f>
        <v/>
      </c>
      <c r="V612" s="61" t="n"/>
      <c r="W612" s="62" t="n"/>
      <c r="X612" s="55">
        <f>AM612</f>
        <v/>
      </c>
      <c r="Y612" s="55">
        <f>MAX(AM612,G612)</f>
        <v/>
      </c>
      <c r="Z612" s="63" t="n"/>
      <c r="AA612" s="55">
        <f>IF(LEFT(Cockpit!$C$5,1)="A",G612,IF(BT612=1,BU612,IF(LEFT(Cockpit!$C$5,1)="B",AE612,MAX(AE612,G612))))</f>
        <v/>
      </c>
      <c r="AB612" s="55">
        <f>IF(BO612=1,0,ROUNDUP(AA612/BN612,0))</f>
        <v/>
      </c>
      <c r="AC612" s="64">
        <f>IF(BO612=1,IF(AA612&lt;=0,0,BP612*MAX(1,IF(G612&gt;0,AA612/G612,1))),AB612*Q612)</f>
        <v/>
      </c>
      <c r="AD612" s="55">
        <f>AA612*F612</f>
        <v/>
      </c>
      <c r="AE612" s="55">
        <f>ROUNDUP(MAX(I612/IF(BS612&gt;0,BS612,MAX(0.1,N(Cockpit!$C$6))),BV612)/BN612,0)*BN612</f>
        <v/>
      </c>
      <c r="AF612" s="56">
        <f>IF(AC612&gt;0,I612/AC612,-1)</f>
        <v/>
      </c>
      <c r="AG612" s="56">
        <f>IF(AND(OR(BR612="L1",BR612="L23"),AC612&gt;0),SUMIFS($AC$7:$AC$1570,$BR$7:$BR$1570,BR612,$AF$7:$AF$1570,"&gt;"&amp;AF612)+SUMIFS($AC$7:$AC$1570,$BR$7:$BR$1570,BR612,$AF$7:$AF$1570,AF612,$BL$7:$BL$1570,"&lt;="&amp;BL612),"")</f>
        <v/>
      </c>
      <c r="AH612" s="65">
        <f>IF(AG612="",0,MAX(0,MIN(1,(IF(BR612="L1",Parameter!$K$5,Parameter!$K$6+Parameter!$K$7)-(AG612-AC612))/AC612)))</f>
        <v/>
      </c>
      <c r="AI612" s="55">
        <f>IF(LEFT(Cockpit!$I$5,1)="A",G612,IF(BT612=1,BU612,IF(LEFT(Cockpit!$I$5,1)="B",AM612,MAX(AM612,G612))))</f>
        <v/>
      </c>
      <c r="AJ612" s="55">
        <f>IF(BO612=1,0,ROUNDUP(AI612/BN612,0))</f>
        <v/>
      </c>
      <c r="AK612" s="64">
        <f>IF(BO612=1,IF(AI612&lt;=0,0,BP612*MAX(1,IF(G612&gt;0,AI612/G612,1))),AJ612*Q612)</f>
        <v/>
      </c>
      <c r="AL612" s="55">
        <f>AI612*F612</f>
        <v/>
      </c>
      <c r="AM612" s="55">
        <f>ROUNDUP(MAX(I612/IF(BS612&gt;0,BS612,MAX(0.1,N(Cockpit!$I$6))),BV612)/BN612,0)*BN612</f>
        <v/>
      </c>
      <c r="AN612" s="56">
        <f>IF(AK612&gt;0,I612/AK612,-1)</f>
        <v/>
      </c>
      <c r="AO612" s="56">
        <f>IF(AND(OR(BR612="L1",BR612="L23"),AK612&gt;0),SUMIFS($AK$7:$AK$1570,$BR$7:$BR$1570,BR612,$AN$7:$AN$1570,"&gt;"&amp;AN612)+SUMIFS($AK$7:$AK$1570,$BR$7:$BR$1570,BR612,$AN$7:$AN$1570,AN612,$BL$7:$BL$1570,"&lt;="&amp;BL612),"")</f>
        <v/>
      </c>
      <c r="AP612" s="65">
        <f>IF(AO612="",0,MAX(0,MIN(1,(IF(BR612="L1",Parameter!$K$5,Parameter!$K$6+Parameter!$K$7)-(AO612-AK612))/AK612)))</f>
        <v/>
      </c>
      <c r="AQ612" s="55">
        <f>IF(LEFT(Cockpit!$O$5,1)="A",G612,IF(BT612=1,BU612,IF(LEFT(Cockpit!$O$5,1)="B",AU612,MAX(AU612,G612))))</f>
        <v/>
      </c>
      <c r="AR612" s="55">
        <f>IF(BO612=1,0,ROUNDUP(AQ612/BN612,0))</f>
        <v/>
      </c>
      <c r="AS612" s="64">
        <f>IF(BO612=1,IF(AQ612&lt;=0,0,BP612*MAX(1,IF(G612&gt;0,AQ612/G612,1))),AR612*Q612)</f>
        <v/>
      </c>
      <c r="AT612" s="55">
        <f>AQ612*F612</f>
        <v/>
      </c>
      <c r="AU612" s="55">
        <f>ROUNDUP(MAX(I612/IF(BS612&gt;0,BS612,MAX(0.1,N(Cockpit!$O$6))),BV612)/BN612,0)*BN612</f>
        <v/>
      </c>
      <c r="AV612" s="56">
        <f>IF(AS612&gt;0,I612/AS612,-1)</f>
        <v/>
      </c>
      <c r="AW612" s="56">
        <f>IF(AND(OR(BR612="L1",BR612="L23"),AS612&gt;0),SUMIFS($AS$7:$AS$1570,$BR$7:$BR$1570,BR612,$AV$7:$AV$1570,"&gt;"&amp;AV612)+SUMIFS($AS$7:$AS$1570,$BR$7:$BR$1570,BR612,$AV$7:$AV$1570,AV612,$BL$7:$BL$1570,"&lt;="&amp;BL612),"")</f>
        <v/>
      </c>
      <c r="AX612" s="65">
        <f>IF(AW612="",0,MAX(0,MIN(1,(IF(BR612="L1",Parameter!$K$5,Parameter!$K$6+Parameter!$K$7)-(AW612-AS612))/AS612)))</f>
        <v/>
      </c>
      <c r="AY612" s="53">
        <f>IF(AC612&lt;=0,"",IF(BR612="Aussen","Aussenlager",IF(BR612="-","Nicht im Lift",IF(AH612&gt;=1,"Lift",IF(AH612&lt;=0,"Aussenlager","teilweise")))))</f>
        <v/>
      </c>
      <c r="AZ612" s="53">
        <f>IF(AK612&lt;=0,"",IF(BR612="Aussen","Aussenlager",IF(BR612="-","Nicht im Lift",IF(AP612&gt;=1,"Lift",IF(AP612&lt;=0,"Aussenlager","teilweise")))))</f>
        <v/>
      </c>
      <c r="BA612" s="53">
        <f>IF(AS612&lt;=0,"",IF(BR612="Aussen","Aussenlager",IF(BR612="-","Nicht im Lift",IF(AX612&gt;=1,"Lift",IF(AX612&lt;=0,"Aussenlager","teilweise")))))</f>
        <v/>
      </c>
      <c r="BB612" s="53">
        <f>IF(A612="","",IF(BK612=1,"Neu; ","")&amp;IF(AND(BK612=0,BF612&lt;0),"negativer Bestand (Export "&amp;BF612&amp;"); ","")&amp;IF(I612&lt;=0,"Kein Verbrauch; ","")&amp;IF(BO612=1,"Lose – Fläche geschätzt; ","")&amp;IF(G612&gt;AM612,"Überbestand "&amp;ROUND(G612-AM612,0)&amp;" Stk / CHF "&amp;ROUND((G612-AM612)*F612,0)&amp;"; ","")&amp;IF(AND(BT612=1,BU612&lt;BV612),"MAX &lt; MB+LG; ","")&amp;IF(AND(BZ612&gt;0,BY612*10&gt;BZ612),"zu hoch für Tablar; ","")&amp;IF(AND(BK612=0,OR(BT612=1,V612&lt;&gt;"",S612&lt;&gt;"",T612&lt;&gt;"",W612&lt;&gt;"")),"manuell übersteuert; ","")&amp;IF(AND(BO612=0,Q612=0),"Gebinde unbekannt; ","")&amp;IF(AND(BO612=0,N(T612)&lt;=0,N(P612)&lt;=0),"Menge pro Gebinde fehlt (Ist = 1 Gebinde); ","")&amp;BJ612)</f>
        <v/>
      </c>
      <c r="BC612" s="53" t="n"/>
      <c r="BD612" s="53" t="n"/>
      <c r="BE612" s="61" t="n"/>
      <c r="BF612" s="55" t="n">
        <v>96</v>
      </c>
      <c r="BG612" s="55" t="n">
        <v>4</v>
      </c>
      <c r="BH612" s="54" t="n">
        <v>4.799999999999998</v>
      </c>
      <c r="BI612" s="55" t="n">
        <v>0</v>
      </c>
      <c r="BJ612" s="53" t="inlineStr"/>
      <c r="BK612" s="58" t="n">
        <v>0</v>
      </c>
      <c r="BL612" s="58" t="n">
        <v>612</v>
      </c>
      <c r="BM612" s="53">
        <f>IF(S612&lt;&gt;"",UPPER(TRIM(S612)),IF(O612="","LOSE",O612))</f>
        <v/>
      </c>
      <c r="BN612" s="55">
        <f>IF(BM612="LOSE",1,IF(N(T612)&gt;0,T612,IF(N(P612)&gt;0,P612,MAX(1,G612))))</f>
        <v/>
      </c>
      <c r="BO612" s="58">
        <f>IF(BM612="LOSE",1,0)</f>
        <v/>
      </c>
      <c r="BP612" s="64">
        <f>IF(BO612=0,0,IF(N(R612)&gt;0,R612,IFERROR(VLOOKUP(D612,Parameter!$A$35:$C$64,3,0)+0,0)))</f>
        <v/>
      </c>
      <c r="BQ612" s="53">
        <f>IF(V612&lt;&gt;"",V612,U612)</f>
        <v/>
      </c>
      <c r="BR612" s="53">
        <f>IF(BQ612=1,"L1",IF(OR(BQ612=2,BQ612=3),"L23",IF(BQ612="Aussen","Aussen","-")))</f>
        <v/>
      </c>
      <c r="BS612" s="66">
        <f>IF(N(W612)&gt;0,W612,0)</f>
        <v/>
      </c>
      <c r="BT612" s="58">
        <f>IF(ISNUMBER(Z612),1,0)</f>
        <v/>
      </c>
      <c r="BU612" s="55">
        <f>N(Z612)</f>
        <v/>
      </c>
      <c r="BV612" s="55">
        <f>N(L612)+N(M612)</f>
        <v/>
      </c>
      <c r="BW612" s="55">
        <f>ROUNDUP(G612/BN612,0)</f>
        <v/>
      </c>
      <c r="BX612" s="55">
        <f>ROUNDUP(BU612/BN612,0)</f>
        <v/>
      </c>
      <c r="BY612" s="58">
        <f>IF(BO612=1,0,IFERROR(VLOOKUP(BM612,'Gebinde-Kategorie'!$A$5:$G$45,5,0)+0,0))</f>
        <v/>
      </c>
      <c r="BZ612" s="58">
        <f>IFERROR(IF(OR(BQ612=1,BQ612=2,BQ612=3),N(INDEX(Parameter!$I$5:$I$7,BQ612)),0),0)</f>
        <v/>
      </c>
    </row>
    <row r="613">
      <c r="A613" s="53" t="inlineStr">
        <is>
          <t>108269</t>
        </is>
      </c>
      <c r="B613" s="53" t="inlineStr">
        <is>
          <t>Wartungskleber AC200</t>
        </is>
      </c>
      <c r="C613" s="53" t="inlineStr">
        <is>
          <t>F</t>
        </is>
      </c>
      <c r="D613" s="53" t="inlineStr">
        <is>
          <t>KTL</t>
        </is>
      </c>
      <c r="E613" s="53" t="inlineStr">
        <is>
          <t>C</t>
        </is>
      </c>
      <c r="F613" s="54" t="n">
        <v>2.38</v>
      </c>
      <c r="G613" s="55">
        <f>MAX(0,IF(Parameter!$B$20="Jahresanfang 2025 + Export",BG613+BF613,BF613))</f>
        <v/>
      </c>
      <c r="H613" s="55">
        <f>G613*F613</f>
        <v/>
      </c>
      <c r="I613" s="55">
        <f>BI613*Parameter!$B$18</f>
        <v/>
      </c>
      <c r="J613" s="56" t="n">
        <v>109</v>
      </c>
      <c r="K613" s="57" t="n">
        <v>0</v>
      </c>
      <c r="L613" s="55" t="n">
        <v>0</v>
      </c>
      <c r="M613" s="55" t="n">
        <v>50</v>
      </c>
      <c r="N613" s="58" t="n">
        <v>28</v>
      </c>
      <c r="O613" s="53" t="inlineStr">
        <is>
          <t>S33</t>
        </is>
      </c>
      <c r="P613" s="55" t="n">
        <v>110</v>
      </c>
      <c r="Q613" s="59">
        <f>IF(BO613=1,0,IFERROR(VLOOKUP(BM613,'Gebinde-Kategorie'!$A$5:$G$45,6,0)+0,0))</f>
        <v/>
      </c>
      <c r="R613" s="60" t="n"/>
      <c r="S613" s="61" t="n"/>
      <c r="T613" s="61" t="n"/>
      <c r="U613" s="53">
        <f>IF(A613="","",IF(IFERROR(VLOOKUP(D613,Parameter!$A$35:$C$64,2,0),"Nein")="2+3",IF(ISNUMBER(SEARCH("grosser Artikel",BJ613)),2,IFERROR(VLOOKUP(BM613,Parameter!$F$35:$G$64,2,0),2)),IF(OR(IFERROR(VLOOKUP(D613,Parameter!$A$35:$C$64,2,0),"Nein")="Nein",IFERROR(VLOOKUP(D613,Parameter!$A$35:$C$64,2,0),"Nein")=""),"-",VLOOKUP(D613,Parameter!$A$35:$C$64,2,0))))</f>
        <v/>
      </c>
      <c r="V613" s="61" t="n"/>
      <c r="W613" s="62" t="n"/>
      <c r="X613" s="55">
        <f>AM613</f>
        <v/>
      </c>
      <c r="Y613" s="55">
        <f>MAX(AM613,G613)</f>
        <v/>
      </c>
      <c r="Z613" s="63" t="n"/>
      <c r="AA613" s="55">
        <f>IF(LEFT(Cockpit!$C$5,1)="A",G613,IF(BT613=1,BU613,IF(LEFT(Cockpit!$C$5,1)="B",AE613,MAX(AE613,G613))))</f>
        <v/>
      </c>
      <c r="AB613" s="55">
        <f>IF(BO613=1,0,ROUNDUP(AA613/BN613,0))</f>
        <v/>
      </c>
      <c r="AC613" s="64">
        <f>IF(BO613=1,IF(AA613&lt;=0,0,BP613*MAX(1,IF(G613&gt;0,AA613/G613,1))),AB613*Q613)</f>
        <v/>
      </c>
      <c r="AD613" s="55">
        <f>AA613*F613</f>
        <v/>
      </c>
      <c r="AE613" s="55">
        <f>ROUNDUP(MAX(I613/IF(BS613&gt;0,BS613,MAX(0.1,N(Cockpit!$C$6))),BV613)/BN613,0)*BN613</f>
        <v/>
      </c>
      <c r="AF613" s="56">
        <f>IF(AC613&gt;0,I613/AC613,-1)</f>
        <v/>
      </c>
      <c r="AG613" s="56">
        <f>IF(AND(OR(BR613="L1",BR613="L23"),AC613&gt;0),SUMIFS($AC$7:$AC$1570,$BR$7:$BR$1570,BR613,$AF$7:$AF$1570,"&gt;"&amp;AF613)+SUMIFS($AC$7:$AC$1570,$BR$7:$BR$1570,BR613,$AF$7:$AF$1570,AF613,$BL$7:$BL$1570,"&lt;="&amp;BL613),"")</f>
        <v/>
      </c>
      <c r="AH613" s="65">
        <f>IF(AG613="",0,MAX(0,MIN(1,(IF(BR613="L1",Parameter!$K$5,Parameter!$K$6+Parameter!$K$7)-(AG613-AC613))/AC613)))</f>
        <v/>
      </c>
      <c r="AI613" s="55">
        <f>IF(LEFT(Cockpit!$I$5,1)="A",G613,IF(BT613=1,BU613,IF(LEFT(Cockpit!$I$5,1)="B",AM613,MAX(AM613,G613))))</f>
        <v/>
      </c>
      <c r="AJ613" s="55">
        <f>IF(BO613=1,0,ROUNDUP(AI613/BN613,0))</f>
        <v/>
      </c>
      <c r="AK613" s="64">
        <f>IF(BO613=1,IF(AI613&lt;=0,0,BP613*MAX(1,IF(G613&gt;0,AI613/G613,1))),AJ613*Q613)</f>
        <v/>
      </c>
      <c r="AL613" s="55">
        <f>AI613*F613</f>
        <v/>
      </c>
      <c r="AM613" s="55">
        <f>ROUNDUP(MAX(I613/IF(BS613&gt;0,BS613,MAX(0.1,N(Cockpit!$I$6))),BV613)/BN613,0)*BN613</f>
        <v/>
      </c>
      <c r="AN613" s="56">
        <f>IF(AK613&gt;0,I613/AK613,-1)</f>
        <v/>
      </c>
      <c r="AO613" s="56">
        <f>IF(AND(OR(BR613="L1",BR613="L23"),AK613&gt;0),SUMIFS($AK$7:$AK$1570,$BR$7:$BR$1570,BR613,$AN$7:$AN$1570,"&gt;"&amp;AN613)+SUMIFS($AK$7:$AK$1570,$BR$7:$BR$1570,BR613,$AN$7:$AN$1570,AN613,$BL$7:$BL$1570,"&lt;="&amp;BL613),"")</f>
        <v/>
      </c>
      <c r="AP613" s="65">
        <f>IF(AO613="",0,MAX(0,MIN(1,(IF(BR613="L1",Parameter!$K$5,Parameter!$K$6+Parameter!$K$7)-(AO613-AK613))/AK613)))</f>
        <v/>
      </c>
      <c r="AQ613" s="55">
        <f>IF(LEFT(Cockpit!$O$5,1)="A",G613,IF(BT613=1,BU613,IF(LEFT(Cockpit!$O$5,1)="B",AU613,MAX(AU613,G613))))</f>
        <v/>
      </c>
      <c r="AR613" s="55">
        <f>IF(BO613=1,0,ROUNDUP(AQ613/BN613,0))</f>
        <v/>
      </c>
      <c r="AS613" s="64">
        <f>IF(BO613=1,IF(AQ613&lt;=0,0,BP613*MAX(1,IF(G613&gt;0,AQ613/G613,1))),AR613*Q613)</f>
        <v/>
      </c>
      <c r="AT613" s="55">
        <f>AQ613*F613</f>
        <v/>
      </c>
      <c r="AU613" s="55">
        <f>ROUNDUP(MAX(I613/IF(BS613&gt;0,BS613,MAX(0.1,N(Cockpit!$O$6))),BV613)/BN613,0)*BN613</f>
        <v/>
      </c>
      <c r="AV613" s="56">
        <f>IF(AS613&gt;0,I613/AS613,-1)</f>
        <v/>
      </c>
      <c r="AW613" s="56">
        <f>IF(AND(OR(BR613="L1",BR613="L23"),AS613&gt;0),SUMIFS($AS$7:$AS$1570,$BR$7:$BR$1570,BR613,$AV$7:$AV$1570,"&gt;"&amp;AV613)+SUMIFS($AS$7:$AS$1570,$BR$7:$BR$1570,BR613,$AV$7:$AV$1570,AV613,$BL$7:$BL$1570,"&lt;="&amp;BL613),"")</f>
        <v/>
      </c>
      <c r="AX613" s="65">
        <f>IF(AW613="",0,MAX(0,MIN(1,(IF(BR613="L1",Parameter!$K$5,Parameter!$K$6+Parameter!$K$7)-(AW613-AS613))/AS613)))</f>
        <v/>
      </c>
      <c r="AY613" s="53">
        <f>IF(AC613&lt;=0,"",IF(BR613="Aussen","Aussenlager",IF(BR613="-","Nicht im Lift",IF(AH613&gt;=1,"Lift",IF(AH613&lt;=0,"Aussenlager","teilweise")))))</f>
        <v/>
      </c>
      <c r="AZ613" s="53">
        <f>IF(AK613&lt;=0,"",IF(BR613="Aussen","Aussenlager",IF(BR613="-","Nicht im Lift",IF(AP613&gt;=1,"Lift",IF(AP613&lt;=0,"Aussenlager","teilweise")))))</f>
        <v/>
      </c>
      <c r="BA613" s="53">
        <f>IF(AS613&lt;=0,"",IF(BR613="Aussen","Aussenlager",IF(BR613="-","Nicht im Lift",IF(AX613&gt;=1,"Lift",IF(AX613&lt;=0,"Aussenlager","teilweise")))))</f>
        <v/>
      </c>
      <c r="BB613" s="53">
        <f>IF(A613="","",IF(BK613=1,"Neu; ","")&amp;IF(AND(BK613=0,BF613&lt;0),"negativer Bestand (Export "&amp;BF613&amp;"); ","")&amp;IF(I613&lt;=0,"Kein Verbrauch; ","")&amp;IF(BO613=1,"Lose – Fläche geschätzt; ","")&amp;IF(G613&gt;AM613,"Überbestand "&amp;ROUND(G613-AM613,0)&amp;" Stk / CHF "&amp;ROUND((G613-AM613)*F613,0)&amp;"; ","")&amp;IF(AND(BT613=1,BU613&lt;BV613),"MAX &lt; MB+LG; ","")&amp;IF(AND(BZ613&gt;0,BY613*10&gt;BZ613),"zu hoch für Tablar; ","")&amp;IF(AND(BK613=0,OR(BT613=1,V613&lt;&gt;"",S613&lt;&gt;"",T613&lt;&gt;"",W613&lt;&gt;"")),"manuell übersteuert; ","")&amp;IF(AND(BO613=0,Q613=0),"Gebinde unbekannt; ","")&amp;IF(AND(BO613=0,N(T613)&lt;=0,N(P613)&lt;=0),"Menge pro Gebinde fehlt (Ist = 1 Gebinde); ","")&amp;BJ613)</f>
        <v/>
      </c>
      <c r="BC613" s="53" t="n"/>
      <c r="BD613" s="53" t="n"/>
      <c r="BE613" s="61" t="n"/>
      <c r="BF613" s="55" t="n">
        <v>2</v>
      </c>
      <c r="BG613" s="55" t="n">
        <v>108</v>
      </c>
      <c r="BH613" s="54" t="n">
        <v>4.76</v>
      </c>
      <c r="BI613" s="55" t="n">
        <v>0</v>
      </c>
      <c r="BJ613" s="53" t="inlineStr"/>
      <c r="BK613" s="58" t="n">
        <v>0</v>
      </c>
      <c r="BL613" s="58" t="n">
        <v>613</v>
      </c>
      <c r="BM613" s="53">
        <f>IF(S613&lt;&gt;"",UPPER(TRIM(S613)),IF(O613="","LOSE",O613))</f>
        <v/>
      </c>
      <c r="BN613" s="55">
        <f>IF(BM613="LOSE",1,IF(N(T613)&gt;0,T613,IF(N(P613)&gt;0,P613,MAX(1,G613))))</f>
        <v/>
      </c>
      <c r="BO613" s="58">
        <f>IF(BM613="LOSE",1,0)</f>
        <v/>
      </c>
      <c r="BP613" s="64">
        <f>IF(BO613=0,0,IF(N(R613)&gt;0,R613,IFERROR(VLOOKUP(D613,Parameter!$A$35:$C$64,3,0)+0,0)))</f>
        <v/>
      </c>
      <c r="BQ613" s="53">
        <f>IF(V613&lt;&gt;"",V613,U613)</f>
        <v/>
      </c>
      <c r="BR613" s="53">
        <f>IF(BQ613=1,"L1",IF(OR(BQ613=2,BQ613=3),"L23",IF(BQ613="Aussen","Aussen","-")))</f>
        <v/>
      </c>
      <c r="BS613" s="66">
        <f>IF(N(W613)&gt;0,W613,0)</f>
        <v/>
      </c>
      <c r="BT613" s="58">
        <f>IF(ISNUMBER(Z613),1,0)</f>
        <v/>
      </c>
      <c r="BU613" s="55">
        <f>N(Z613)</f>
        <v/>
      </c>
      <c r="BV613" s="55">
        <f>N(L613)+N(M613)</f>
        <v/>
      </c>
      <c r="BW613" s="55">
        <f>ROUNDUP(G613/BN613,0)</f>
        <v/>
      </c>
      <c r="BX613" s="55">
        <f>ROUNDUP(BU613/BN613,0)</f>
        <v/>
      </c>
      <c r="BY613" s="58">
        <f>IF(BO613=1,0,IFERROR(VLOOKUP(BM613,'Gebinde-Kategorie'!$A$5:$G$45,5,0)+0,0))</f>
        <v/>
      </c>
      <c r="BZ613" s="58">
        <f>IFERROR(IF(OR(BQ613=1,BQ613=2,BQ613=3),N(INDEX(Parameter!$I$5:$I$7,BQ613)),0),0)</f>
        <v/>
      </c>
    </row>
    <row r="614">
      <c r="A614" s="53" t="inlineStr">
        <is>
          <t>110815</t>
        </is>
      </c>
      <c r="B614" s="53" t="inlineStr">
        <is>
          <t>Senkschraube mit Innensechskant</t>
        </is>
      </c>
      <c r="C614" s="53" t="inlineStr">
        <is>
          <t>F</t>
        </is>
      </c>
      <c r="D614" s="53" t="inlineStr">
        <is>
          <t>A-BEZ</t>
        </is>
      </c>
      <c r="E614" s="53" t="inlineStr">
        <is>
          <t>C</t>
        </is>
      </c>
      <c r="F614" s="54" t="n">
        <v>0.29</v>
      </c>
      <c r="G614" s="55">
        <f>MAX(0,IF(Parameter!$B$20="Jahresanfang 2025 + Export",BG614+BF614,BF614))</f>
        <v/>
      </c>
      <c r="H614" s="55">
        <f>G614*F614</f>
        <v/>
      </c>
      <c r="I614" s="55">
        <f>BI614*Parameter!$B$18</f>
        <v/>
      </c>
      <c r="J614" s="56" t="n">
        <v>8</v>
      </c>
      <c r="K614" s="57" t="n">
        <v>4.25</v>
      </c>
      <c r="L614" s="55" t="n">
        <v>0</v>
      </c>
      <c r="M614" s="55" t="n">
        <v>50</v>
      </c>
      <c r="N614" s="58" t="n">
        <v>21</v>
      </c>
      <c r="O614" s="53" t="inlineStr">
        <is>
          <t>LOSE</t>
        </is>
      </c>
      <c r="P614" s="55" t="n"/>
      <c r="Q614" s="59">
        <f>IF(BO614=1,0,IFERROR(VLOOKUP(BM614,'Gebinde-Kategorie'!$A$5:$G$45,6,0)+0,0))</f>
        <v/>
      </c>
      <c r="R614" s="60" t="n"/>
      <c r="S614" s="61" t="n"/>
      <c r="T614" s="61" t="n"/>
      <c r="U614" s="53">
        <f>IF(A614="","",IF(IFERROR(VLOOKUP(D614,Parameter!$A$35:$C$64,2,0),"Nein")="2+3",IF(ISNUMBER(SEARCH("grosser Artikel",BJ614)),2,IFERROR(VLOOKUP(BM614,Parameter!$F$35:$G$64,2,0),2)),IF(OR(IFERROR(VLOOKUP(D614,Parameter!$A$35:$C$64,2,0),"Nein")="Nein",IFERROR(VLOOKUP(D614,Parameter!$A$35:$C$64,2,0),"Nein")=""),"-",VLOOKUP(D614,Parameter!$A$35:$C$64,2,0))))</f>
        <v/>
      </c>
      <c r="V614" s="61" t="n"/>
      <c r="W614" s="62" t="n"/>
      <c r="X614" s="55">
        <f>AM614</f>
        <v/>
      </c>
      <c r="Y614" s="55">
        <f>MAX(AM614,G614)</f>
        <v/>
      </c>
      <c r="Z614" s="63" t="n"/>
      <c r="AA614" s="55">
        <f>IF(LEFT(Cockpit!$C$5,1)="A",G614,IF(BT614=1,BU614,IF(LEFT(Cockpit!$C$5,1)="B",AE614,MAX(AE614,G614))))</f>
        <v/>
      </c>
      <c r="AB614" s="55">
        <f>IF(BO614=1,0,ROUNDUP(AA614/BN614,0))</f>
        <v/>
      </c>
      <c r="AC614" s="64">
        <f>IF(BO614=1,IF(AA614&lt;=0,0,BP614*MAX(1,IF(G614&gt;0,AA614/G614,1))),AB614*Q614)</f>
        <v/>
      </c>
      <c r="AD614" s="55">
        <f>AA614*F614</f>
        <v/>
      </c>
      <c r="AE614" s="55">
        <f>ROUNDUP(MAX(I614/IF(BS614&gt;0,BS614,MAX(0.1,N(Cockpit!$C$6))),BV614)/BN614,0)*BN614</f>
        <v/>
      </c>
      <c r="AF614" s="56">
        <f>IF(AC614&gt;0,I614/AC614,-1)</f>
        <v/>
      </c>
      <c r="AG614" s="56">
        <f>IF(AND(OR(BR614="L1",BR614="L23"),AC614&gt;0),SUMIFS($AC$7:$AC$1570,$BR$7:$BR$1570,BR614,$AF$7:$AF$1570,"&gt;"&amp;AF614)+SUMIFS($AC$7:$AC$1570,$BR$7:$BR$1570,BR614,$AF$7:$AF$1570,AF614,$BL$7:$BL$1570,"&lt;="&amp;BL614),"")</f>
        <v/>
      </c>
      <c r="AH614" s="65">
        <f>IF(AG614="",0,MAX(0,MIN(1,(IF(BR614="L1",Parameter!$K$5,Parameter!$K$6+Parameter!$K$7)-(AG614-AC614))/AC614)))</f>
        <v/>
      </c>
      <c r="AI614" s="55">
        <f>IF(LEFT(Cockpit!$I$5,1)="A",G614,IF(BT614=1,BU614,IF(LEFT(Cockpit!$I$5,1)="B",AM614,MAX(AM614,G614))))</f>
        <v/>
      </c>
      <c r="AJ614" s="55">
        <f>IF(BO614=1,0,ROUNDUP(AI614/BN614,0))</f>
        <v/>
      </c>
      <c r="AK614" s="64">
        <f>IF(BO614=1,IF(AI614&lt;=0,0,BP614*MAX(1,IF(G614&gt;0,AI614/G614,1))),AJ614*Q614)</f>
        <v/>
      </c>
      <c r="AL614" s="55">
        <f>AI614*F614</f>
        <v/>
      </c>
      <c r="AM614" s="55">
        <f>ROUNDUP(MAX(I614/IF(BS614&gt;0,BS614,MAX(0.1,N(Cockpit!$I$6))),BV614)/BN614,0)*BN614</f>
        <v/>
      </c>
      <c r="AN614" s="56">
        <f>IF(AK614&gt;0,I614/AK614,-1)</f>
        <v/>
      </c>
      <c r="AO614" s="56">
        <f>IF(AND(OR(BR614="L1",BR614="L23"),AK614&gt;0),SUMIFS($AK$7:$AK$1570,$BR$7:$BR$1570,BR614,$AN$7:$AN$1570,"&gt;"&amp;AN614)+SUMIFS($AK$7:$AK$1570,$BR$7:$BR$1570,BR614,$AN$7:$AN$1570,AN614,$BL$7:$BL$1570,"&lt;="&amp;BL614),"")</f>
        <v/>
      </c>
      <c r="AP614" s="65">
        <f>IF(AO614="",0,MAX(0,MIN(1,(IF(BR614="L1",Parameter!$K$5,Parameter!$K$6+Parameter!$K$7)-(AO614-AK614))/AK614)))</f>
        <v/>
      </c>
      <c r="AQ614" s="55">
        <f>IF(LEFT(Cockpit!$O$5,1)="A",G614,IF(BT614=1,BU614,IF(LEFT(Cockpit!$O$5,1)="B",AU614,MAX(AU614,G614))))</f>
        <v/>
      </c>
      <c r="AR614" s="55">
        <f>IF(BO614=1,0,ROUNDUP(AQ614/BN614,0))</f>
        <v/>
      </c>
      <c r="AS614" s="64">
        <f>IF(BO614=1,IF(AQ614&lt;=0,0,BP614*MAX(1,IF(G614&gt;0,AQ614/G614,1))),AR614*Q614)</f>
        <v/>
      </c>
      <c r="AT614" s="55">
        <f>AQ614*F614</f>
        <v/>
      </c>
      <c r="AU614" s="55">
        <f>ROUNDUP(MAX(I614/IF(BS614&gt;0,BS614,MAX(0.1,N(Cockpit!$O$6))),BV614)/BN614,0)*BN614</f>
        <v/>
      </c>
      <c r="AV614" s="56">
        <f>IF(AS614&gt;0,I614/AS614,-1)</f>
        <v/>
      </c>
      <c r="AW614" s="56">
        <f>IF(AND(OR(BR614="L1",BR614="L23"),AS614&gt;0),SUMIFS($AS$7:$AS$1570,$BR$7:$BR$1570,BR614,$AV$7:$AV$1570,"&gt;"&amp;AV614)+SUMIFS($AS$7:$AS$1570,$BR$7:$BR$1570,BR614,$AV$7:$AV$1570,AV614,$BL$7:$BL$1570,"&lt;="&amp;BL614),"")</f>
        <v/>
      </c>
      <c r="AX614" s="65">
        <f>IF(AW614="",0,MAX(0,MIN(1,(IF(BR614="L1",Parameter!$K$5,Parameter!$K$6+Parameter!$K$7)-(AW614-AS614))/AS614)))</f>
        <v/>
      </c>
      <c r="AY614" s="53">
        <f>IF(AC614&lt;=0,"",IF(BR614="Aussen","Aussenlager",IF(BR614="-","Nicht im Lift",IF(AH614&gt;=1,"Lift",IF(AH614&lt;=0,"Aussenlager","teilweise")))))</f>
        <v/>
      </c>
      <c r="AZ614" s="53">
        <f>IF(AK614&lt;=0,"",IF(BR614="Aussen","Aussenlager",IF(BR614="-","Nicht im Lift",IF(AP614&gt;=1,"Lift",IF(AP614&lt;=0,"Aussenlager","teilweise")))))</f>
        <v/>
      </c>
      <c r="BA614" s="53">
        <f>IF(AS614&lt;=0,"",IF(BR614="Aussen","Aussenlager",IF(BR614="-","Nicht im Lift",IF(AX614&gt;=1,"Lift",IF(AX614&lt;=0,"Aussenlager","teilweise")))))</f>
        <v/>
      </c>
      <c r="BB614" s="53">
        <f>IF(A614="","",IF(BK614=1,"Neu; ","")&amp;IF(AND(BK614=0,BF614&lt;0),"negativer Bestand (Export "&amp;BF614&amp;"); ","")&amp;IF(I614&lt;=0,"Kein Verbrauch; ","")&amp;IF(BO614=1,"Lose – Fläche geschätzt; ","")&amp;IF(G614&gt;AM614,"Überbestand "&amp;ROUND(G614-AM614,0)&amp;" Stk / CHF "&amp;ROUND((G614-AM614)*F614,0)&amp;"; ","")&amp;IF(AND(BT614=1,BU614&lt;BV614),"MAX &lt; MB+LG; ","")&amp;IF(AND(BZ614&gt;0,BY614*10&gt;BZ614),"zu hoch für Tablar; ","")&amp;IF(AND(BK614=0,OR(BT614=1,V614&lt;&gt;"",S614&lt;&gt;"",T614&lt;&gt;"",W614&lt;&gt;"")),"manuell übersteuert; ","")&amp;IF(AND(BO614=0,Q614=0),"Gebinde unbekannt; ","")&amp;IF(AND(BO614=0,N(T614)&lt;=0,N(P614)&lt;=0),"Menge pro Gebinde fehlt (Ist = 1 Gebinde); ","")&amp;BJ614)</f>
        <v/>
      </c>
      <c r="BC614" s="53" t="n"/>
      <c r="BD614" s="53" t="n"/>
      <c r="BE614" s="61" t="n"/>
      <c r="BF614" s="55" t="n">
        <v>16</v>
      </c>
      <c r="BG614" s="55" t="n">
        <v>0</v>
      </c>
      <c r="BH614" s="54" t="n">
        <v>4.640000000000001</v>
      </c>
      <c r="BI614" s="55" t="n">
        <v>34</v>
      </c>
      <c r="BJ614" s="53" t="inlineStr"/>
      <c r="BK614" s="58" t="n">
        <v>0</v>
      </c>
      <c r="BL614" s="58" t="n">
        <v>614</v>
      </c>
      <c r="BM614" s="53">
        <f>IF(S614&lt;&gt;"",UPPER(TRIM(S614)),IF(O614="","LOSE",O614))</f>
        <v/>
      </c>
      <c r="BN614" s="55">
        <f>IF(BM614="LOSE",1,IF(N(T614)&gt;0,T614,IF(N(P614)&gt;0,P614,MAX(1,G614))))</f>
        <v/>
      </c>
      <c r="BO614" s="58">
        <f>IF(BM614="LOSE",1,0)</f>
        <v/>
      </c>
      <c r="BP614" s="64">
        <f>IF(BO614=0,0,IF(N(R614)&gt;0,R614,IFERROR(VLOOKUP(D614,Parameter!$A$35:$C$64,3,0)+0,0)))</f>
        <v/>
      </c>
      <c r="BQ614" s="53">
        <f>IF(V614&lt;&gt;"",V614,U614)</f>
        <v/>
      </c>
      <c r="BR614" s="53">
        <f>IF(BQ614=1,"L1",IF(OR(BQ614=2,BQ614=3),"L23",IF(BQ614="Aussen","Aussen","-")))</f>
        <v/>
      </c>
      <c r="BS614" s="66">
        <f>IF(N(W614)&gt;0,W614,0)</f>
        <v/>
      </c>
      <c r="BT614" s="58">
        <f>IF(ISNUMBER(Z614),1,0)</f>
        <v/>
      </c>
      <c r="BU614" s="55">
        <f>N(Z614)</f>
        <v/>
      </c>
      <c r="BV614" s="55">
        <f>N(L614)+N(M614)</f>
        <v/>
      </c>
      <c r="BW614" s="55">
        <f>ROUNDUP(G614/BN614,0)</f>
        <v/>
      </c>
      <c r="BX614" s="55">
        <f>ROUNDUP(BU614/BN614,0)</f>
        <v/>
      </c>
      <c r="BY614" s="58">
        <f>IF(BO614=1,0,IFERROR(VLOOKUP(BM614,'Gebinde-Kategorie'!$A$5:$G$45,5,0)+0,0))</f>
        <v/>
      </c>
      <c r="BZ614" s="58">
        <f>IFERROR(IF(OR(BQ614=1,BQ614=2,BQ614=3),N(INDEX(Parameter!$I$5:$I$7,BQ614)),0),0)</f>
        <v/>
      </c>
    </row>
    <row r="615">
      <c r="A615" s="53" t="inlineStr">
        <is>
          <t>101657</t>
        </is>
      </c>
      <c r="B615" s="53" t="inlineStr">
        <is>
          <t>Überwurfmutter</t>
        </is>
      </c>
      <c r="C615" s="53" t="inlineStr">
        <is>
          <t>F</t>
        </is>
      </c>
      <c r="D615" s="53" t="inlineStr">
        <is>
          <t>KTL</t>
        </is>
      </c>
      <c r="E615" s="53" t="inlineStr">
        <is>
          <t>C</t>
        </is>
      </c>
      <c r="F615" s="54" t="n">
        <v>0.58</v>
      </c>
      <c r="G615" s="55">
        <f>MAX(0,IF(Parameter!$B$20="Jahresanfang 2025 + Export",BG615+BF615,BF615))</f>
        <v/>
      </c>
      <c r="H615" s="55">
        <f>G615*F615</f>
        <v/>
      </c>
      <c r="I615" s="55">
        <f>BI615*Parameter!$B$18</f>
        <v/>
      </c>
      <c r="J615" s="56" t="n">
        <v>110.5</v>
      </c>
      <c r="K615" s="57" t="n">
        <v>0</v>
      </c>
      <c r="L615" s="55" t="n">
        <v>0</v>
      </c>
      <c r="M615" s="55" t="n">
        <v>1</v>
      </c>
      <c r="N615" s="58" t="n">
        <v>21</v>
      </c>
      <c r="O615" s="53" t="inlineStr">
        <is>
          <t>S32</t>
        </is>
      </c>
      <c r="P615" s="55" t="n">
        <v>123</v>
      </c>
      <c r="Q615" s="59">
        <f>IF(BO615=1,0,IFERROR(VLOOKUP(BM615,'Gebinde-Kategorie'!$A$5:$G$45,6,0)+0,0))</f>
        <v/>
      </c>
      <c r="R615" s="60" t="n"/>
      <c r="S615" s="61" t="n"/>
      <c r="T615" s="61" t="n"/>
      <c r="U615" s="53">
        <f>IF(A615="","",IF(IFERROR(VLOOKUP(D615,Parameter!$A$35:$C$64,2,0),"Nein")="2+3",IF(ISNUMBER(SEARCH("grosser Artikel",BJ615)),2,IFERROR(VLOOKUP(BM615,Parameter!$F$35:$G$64,2,0),2)),IF(OR(IFERROR(VLOOKUP(D615,Parameter!$A$35:$C$64,2,0),"Nein")="Nein",IFERROR(VLOOKUP(D615,Parameter!$A$35:$C$64,2,0),"Nein")=""),"-",VLOOKUP(D615,Parameter!$A$35:$C$64,2,0))))</f>
        <v/>
      </c>
      <c r="V615" s="61" t="n"/>
      <c r="W615" s="62" t="n"/>
      <c r="X615" s="55">
        <f>AM615</f>
        <v/>
      </c>
      <c r="Y615" s="55">
        <f>MAX(AM615,G615)</f>
        <v/>
      </c>
      <c r="Z615" s="63" t="n"/>
      <c r="AA615" s="55">
        <f>IF(LEFT(Cockpit!$C$5,1)="A",G615,IF(BT615=1,BU615,IF(LEFT(Cockpit!$C$5,1)="B",AE615,MAX(AE615,G615))))</f>
        <v/>
      </c>
      <c r="AB615" s="55">
        <f>IF(BO615=1,0,ROUNDUP(AA615/BN615,0))</f>
        <v/>
      </c>
      <c r="AC615" s="64">
        <f>IF(BO615=1,IF(AA615&lt;=0,0,BP615*MAX(1,IF(G615&gt;0,AA615/G615,1))),AB615*Q615)</f>
        <v/>
      </c>
      <c r="AD615" s="55">
        <f>AA615*F615</f>
        <v/>
      </c>
      <c r="AE615" s="55">
        <f>ROUNDUP(MAX(I615/IF(BS615&gt;0,BS615,MAX(0.1,N(Cockpit!$C$6))),BV615)/BN615,0)*BN615</f>
        <v/>
      </c>
      <c r="AF615" s="56">
        <f>IF(AC615&gt;0,I615/AC615,-1)</f>
        <v/>
      </c>
      <c r="AG615" s="56">
        <f>IF(AND(OR(BR615="L1",BR615="L23"),AC615&gt;0),SUMIFS($AC$7:$AC$1570,$BR$7:$BR$1570,BR615,$AF$7:$AF$1570,"&gt;"&amp;AF615)+SUMIFS($AC$7:$AC$1570,$BR$7:$BR$1570,BR615,$AF$7:$AF$1570,AF615,$BL$7:$BL$1570,"&lt;="&amp;BL615),"")</f>
        <v/>
      </c>
      <c r="AH615" s="65">
        <f>IF(AG615="",0,MAX(0,MIN(1,(IF(BR615="L1",Parameter!$K$5,Parameter!$K$6+Parameter!$K$7)-(AG615-AC615))/AC615)))</f>
        <v/>
      </c>
      <c r="AI615" s="55">
        <f>IF(LEFT(Cockpit!$I$5,1)="A",G615,IF(BT615=1,BU615,IF(LEFT(Cockpit!$I$5,1)="B",AM615,MAX(AM615,G615))))</f>
        <v/>
      </c>
      <c r="AJ615" s="55">
        <f>IF(BO615=1,0,ROUNDUP(AI615/BN615,0))</f>
        <v/>
      </c>
      <c r="AK615" s="64">
        <f>IF(BO615=1,IF(AI615&lt;=0,0,BP615*MAX(1,IF(G615&gt;0,AI615/G615,1))),AJ615*Q615)</f>
        <v/>
      </c>
      <c r="AL615" s="55">
        <f>AI615*F615</f>
        <v/>
      </c>
      <c r="AM615" s="55">
        <f>ROUNDUP(MAX(I615/IF(BS615&gt;0,BS615,MAX(0.1,N(Cockpit!$I$6))),BV615)/BN615,0)*BN615</f>
        <v/>
      </c>
      <c r="AN615" s="56">
        <f>IF(AK615&gt;0,I615/AK615,-1)</f>
        <v/>
      </c>
      <c r="AO615" s="56">
        <f>IF(AND(OR(BR615="L1",BR615="L23"),AK615&gt;0),SUMIFS($AK$7:$AK$1570,$BR$7:$BR$1570,BR615,$AN$7:$AN$1570,"&gt;"&amp;AN615)+SUMIFS($AK$7:$AK$1570,$BR$7:$BR$1570,BR615,$AN$7:$AN$1570,AN615,$BL$7:$BL$1570,"&lt;="&amp;BL615),"")</f>
        <v/>
      </c>
      <c r="AP615" s="65">
        <f>IF(AO615="",0,MAX(0,MIN(1,(IF(BR615="L1",Parameter!$K$5,Parameter!$K$6+Parameter!$K$7)-(AO615-AK615))/AK615)))</f>
        <v/>
      </c>
      <c r="AQ615" s="55">
        <f>IF(LEFT(Cockpit!$O$5,1)="A",G615,IF(BT615=1,BU615,IF(LEFT(Cockpit!$O$5,1)="B",AU615,MAX(AU615,G615))))</f>
        <v/>
      </c>
      <c r="AR615" s="55">
        <f>IF(BO615=1,0,ROUNDUP(AQ615/BN615,0))</f>
        <v/>
      </c>
      <c r="AS615" s="64">
        <f>IF(BO615=1,IF(AQ615&lt;=0,0,BP615*MAX(1,IF(G615&gt;0,AQ615/G615,1))),AR615*Q615)</f>
        <v/>
      </c>
      <c r="AT615" s="55">
        <f>AQ615*F615</f>
        <v/>
      </c>
      <c r="AU615" s="55">
        <f>ROUNDUP(MAX(I615/IF(BS615&gt;0,BS615,MAX(0.1,N(Cockpit!$O$6))),BV615)/BN615,0)*BN615</f>
        <v/>
      </c>
      <c r="AV615" s="56">
        <f>IF(AS615&gt;0,I615/AS615,-1)</f>
        <v/>
      </c>
      <c r="AW615" s="56">
        <f>IF(AND(OR(BR615="L1",BR615="L23"),AS615&gt;0),SUMIFS($AS$7:$AS$1570,$BR$7:$BR$1570,BR615,$AV$7:$AV$1570,"&gt;"&amp;AV615)+SUMIFS($AS$7:$AS$1570,$BR$7:$BR$1570,BR615,$AV$7:$AV$1570,AV615,$BL$7:$BL$1570,"&lt;="&amp;BL615),"")</f>
        <v/>
      </c>
      <c r="AX615" s="65">
        <f>IF(AW615="",0,MAX(0,MIN(1,(IF(BR615="L1",Parameter!$K$5,Parameter!$K$6+Parameter!$K$7)-(AW615-AS615))/AS615)))</f>
        <v/>
      </c>
      <c r="AY615" s="53">
        <f>IF(AC615&lt;=0,"",IF(BR615="Aussen","Aussenlager",IF(BR615="-","Nicht im Lift",IF(AH615&gt;=1,"Lift",IF(AH615&lt;=0,"Aussenlager","teilweise")))))</f>
        <v/>
      </c>
      <c r="AZ615" s="53">
        <f>IF(AK615&lt;=0,"",IF(BR615="Aussen","Aussenlager",IF(BR615="-","Nicht im Lift",IF(AP615&gt;=1,"Lift",IF(AP615&lt;=0,"Aussenlager","teilweise")))))</f>
        <v/>
      </c>
      <c r="BA615" s="53">
        <f>IF(AS615&lt;=0,"",IF(BR615="Aussen","Aussenlager",IF(BR615="-","Nicht im Lift",IF(AX615&gt;=1,"Lift",IF(AX615&lt;=0,"Aussenlager","teilweise")))))</f>
        <v/>
      </c>
      <c r="BB615" s="53">
        <f>IF(A615="","",IF(BK615=1,"Neu; ","")&amp;IF(AND(BK615=0,BF615&lt;0),"negativer Bestand (Export "&amp;BF615&amp;"); ","")&amp;IF(I615&lt;=0,"Kein Verbrauch; ","")&amp;IF(BO615=1,"Lose – Fläche geschätzt; ","")&amp;IF(G615&gt;AM615,"Überbestand "&amp;ROUND(G615-AM615,0)&amp;" Stk / CHF "&amp;ROUND((G615-AM615)*F615,0)&amp;"; ","")&amp;IF(AND(BT615=1,BU615&lt;BV615),"MAX &lt; MB+LG; ","")&amp;IF(AND(BZ615&gt;0,BY615*10&gt;BZ615),"zu hoch für Tablar; ","")&amp;IF(AND(BK615=0,OR(BT615=1,V615&lt;&gt;"",S615&lt;&gt;"",T615&lt;&gt;"",W615&lt;&gt;"")),"manuell übersteuert; ","")&amp;IF(AND(BO615=0,Q615=0),"Gebinde unbekannt; ","")&amp;IF(AND(BO615=0,N(T615)&lt;=0,N(P615)&lt;=0),"Menge pro Gebinde fehlt (Ist = 1 Gebinde); ","")&amp;BJ615)</f>
        <v/>
      </c>
      <c r="BC615" s="53" t="n"/>
      <c r="BD615" s="53" t="n"/>
      <c r="BE615" s="61" t="n"/>
      <c r="BF615" s="55" t="n">
        <v>8</v>
      </c>
      <c r="BG615" s="55" t="n">
        <v>106</v>
      </c>
      <c r="BH615" s="54" t="n">
        <v>4.64</v>
      </c>
      <c r="BI615" s="55" t="n">
        <v>0</v>
      </c>
      <c r="BJ615" s="53" t="inlineStr">
        <is>
          <t>Überbestand</t>
        </is>
      </c>
      <c r="BK615" s="58" t="n">
        <v>0</v>
      </c>
      <c r="BL615" s="58" t="n">
        <v>615</v>
      </c>
      <c r="BM615" s="53">
        <f>IF(S615&lt;&gt;"",UPPER(TRIM(S615)),IF(O615="","LOSE",O615))</f>
        <v/>
      </c>
      <c r="BN615" s="55">
        <f>IF(BM615="LOSE",1,IF(N(T615)&gt;0,T615,IF(N(P615)&gt;0,P615,MAX(1,G615))))</f>
        <v/>
      </c>
      <c r="BO615" s="58">
        <f>IF(BM615="LOSE",1,0)</f>
        <v/>
      </c>
      <c r="BP615" s="64">
        <f>IF(BO615=0,0,IF(N(R615)&gt;0,R615,IFERROR(VLOOKUP(D615,Parameter!$A$35:$C$64,3,0)+0,0)))</f>
        <v/>
      </c>
      <c r="BQ615" s="53">
        <f>IF(V615&lt;&gt;"",V615,U615)</f>
        <v/>
      </c>
      <c r="BR615" s="53">
        <f>IF(BQ615=1,"L1",IF(OR(BQ615=2,BQ615=3),"L23",IF(BQ615="Aussen","Aussen","-")))</f>
        <v/>
      </c>
      <c r="BS615" s="66">
        <f>IF(N(W615)&gt;0,W615,0)</f>
        <v/>
      </c>
      <c r="BT615" s="58">
        <f>IF(ISNUMBER(Z615),1,0)</f>
        <v/>
      </c>
      <c r="BU615" s="55">
        <f>N(Z615)</f>
        <v/>
      </c>
      <c r="BV615" s="55">
        <f>N(L615)+N(M615)</f>
        <v/>
      </c>
      <c r="BW615" s="55">
        <f>ROUNDUP(G615/BN615,0)</f>
        <v/>
      </c>
      <c r="BX615" s="55">
        <f>ROUNDUP(BU615/BN615,0)</f>
        <v/>
      </c>
      <c r="BY615" s="58">
        <f>IF(BO615=1,0,IFERROR(VLOOKUP(BM615,'Gebinde-Kategorie'!$A$5:$G$45,5,0)+0,0))</f>
        <v/>
      </c>
      <c r="BZ615" s="58">
        <f>IFERROR(IF(OR(BQ615=1,BQ615=2,BQ615=3),N(INDEX(Parameter!$I$5:$I$7,BQ615)),0),0)</f>
        <v/>
      </c>
    </row>
    <row r="616">
      <c r="A616" s="53" t="inlineStr">
        <is>
          <t>101449</t>
        </is>
      </c>
      <c r="B616" s="53" t="inlineStr">
        <is>
          <t>Zylinderschraube mit Innensechskant</t>
        </is>
      </c>
      <c r="C616" s="53" t="inlineStr">
        <is>
          <t>F</t>
        </is>
      </c>
      <c r="D616" s="53" t="inlineStr">
        <is>
          <t>PAL</t>
        </is>
      </c>
      <c r="E616" s="53" t="inlineStr">
        <is>
          <t>C</t>
        </is>
      </c>
      <c r="F616" s="54" t="n">
        <v>0.46</v>
      </c>
      <c r="G616" s="55">
        <f>MAX(0,IF(Parameter!$B$20="Jahresanfang 2025 + Export",BG616+BF616,BF616))</f>
        <v/>
      </c>
      <c r="H616" s="55">
        <f>G616*F616</f>
        <v/>
      </c>
      <c r="I616" s="55">
        <f>BI616*Parameter!$B$18</f>
        <v/>
      </c>
      <c r="J616" s="56" t="n">
        <v>3393</v>
      </c>
      <c r="K616" s="57" t="n">
        <v>0.01414677276746242</v>
      </c>
      <c r="L616" s="55" t="n">
        <v>2</v>
      </c>
      <c r="M616" s="55" t="n">
        <v>50</v>
      </c>
      <c r="N616" s="58" t="n">
        <v>21</v>
      </c>
      <c r="O616" s="53" t="inlineStr">
        <is>
          <t>S71</t>
        </is>
      </c>
      <c r="P616" s="55" t="n">
        <v>1000</v>
      </c>
      <c r="Q616" s="59">
        <f>IF(BO616=1,0,IFERROR(VLOOKUP(BM616,'Gebinde-Kategorie'!$A$5:$G$45,6,0)+0,0))</f>
        <v/>
      </c>
      <c r="R616" s="60" t="n"/>
      <c r="S616" s="61" t="n"/>
      <c r="T616" s="61" t="n"/>
      <c r="U616" s="53">
        <f>IF(A616="","",IF(IFERROR(VLOOKUP(D616,Parameter!$A$35:$C$64,2,0),"Nein")="2+3",IF(ISNUMBER(SEARCH("grosser Artikel",BJ616)),2,IFERROR(VLOOKUP(BM616,Parameter!$F$35:$G$64,2,0),2)),IF(OR(IFERROR(VLOOKUP(D616,Parameter!$A$35:$C$64,2,0),"Nein")="Nein",IFERROR(VLOOKUP(D616,Parameter!$A$35:$C$64,2,0),"Nein")=""),"-",VLOOKUP(D616,Parameter!$A$35:$C$64,2,0))))</f>
        <v/>
      </c>
      <c r="V616" s="61" t="n"/>
      <c r="W616" s="62" t="n"/>
      <c r="X616" s="55">
        <f>AM616</f>
        <v/>
      </c>
      <c r="Y616" s="55">
        <f>MAX(AM616,G616)</f>
        <v/>
      </c>
      <c r="Z616" s="63" t="n"/>
      <c r="AA616" s="55">
        <f>IF(LEFT(Cockpit!$C$5,1)="A",G616,IF(BT616=1,BU616,IF(LEFT(Cockpit!$C$5,1)="B",AE616,MAX(AE616,G616))))</f>
        <v/>
      </c>
      <c r="AB616" s="55">
        <f>IF(BO616=1,0,ROUNDUP(AA616/BN616,0))</f>
        <v/>
      </c>
      <c r="AC616" s="64">
        <f>IF(BO616=1,IF(AA616&lt;=0,0,BP616*MAX(1,IF(G616&gt;0,AA616/G616,1))),AB616*Q616)</f>
        <v/>
      </c>
      <c r="AD616" s="55">
        <f>AA616*F616</f>
        <v/>
      </c>
      <c r="AE616" s="55">
        <f>ROUNDUP(MAX(I616/IF(BS616&gt;0,BS616,MAX(0.1,N(Cockpit!$C$6))),BV616)/BN616,0)*BN616</f>
        <v/>
      </c>
      <c r="AF616" s="56">
        <f>IF(AC616&gt;0,I616/AC616,-1)</f>
        <v/>
      </c>
      <c r="AG616" s="56">
        <f>IF(AND(OR(BR616="L1",BR616="L23"),AC616&gt;0),SUMIFS($AC$7:$AC$1570,$BR$7:$BR$1570,BR616,$AF$7:$AF$1570,"&gt;"&amp;AF616)+SUMIFS($AC$7:$AC$1570,$BR$7:$BR$1570,BR616,$AF$7:$AF$1570,AF616,$BL$7:$BL$1570,"&lt;="&amp;BL616),"")</f>
        <v/>
      </c>
      <c r="AH616" s="65">
        <f>IF(AG616="",0,MAX(0,MIN(1,(IF(BR616="L1",Parameter!$K$5,Parameter!$K$6+Parameter!$K$7)-(AG616-AC616))/AC616)))</f>
        <v/>
      </c>
      <c r="AI616" s="55">
        <f>IF(LEFT(Cockpit!$I$5,1)="A",G616,IF(BT616=1,BU616,IF(LEFT(Cockpit!$I$5,1)="B",AM616,MAX(AM616,G616))))</f>
        <v/>
      </c>
      <c r="AJ616" s="55">
        <f>IF(BO616=1,0,ROUNDUP(AI616/BN616,0))</f>
        <v/>
      </c>
      <c r="AK616" s="64">
        <f>IF(BO616=1,IF(AI616&lt;=0,0,BP616*MAX(1,IF(G616&gt;0,AI616/G616,1))),AJ616*Q616)</f>
        <v/>
      </c>
      <c r="AL616" s="55">
        <f>AI616*F616</f>
        <v/>
      </c>
      <c r="AM616" s="55">
        <f>ROUNDUP(MAX(I616/IF(BS616&gt;0,BS616,MAX(0.1,N(Cockpit!$I$6))),BV616)/BN616,0)*BN616</f>
        <v/>
      </c>
      <c r="AN616" s="56">
        <f>IF(AK616&gt;0,I616/AK616,-1)</f>
        <v/>
      </c>
      <c r="AO616" s="56">
        <f>IF(AND(OR(BR616="L1",BR616="L23"),AK616&gt;0),SUMIFS($AK$7:$AK$1570,$BR$7:$BR$1570,BR616,$AN$7:$AN$1570,"&gt;"&amp;AN616)+SUMIFS($AK$7:$AK$1570,$BR$7:$BR$1570,BR616,$AN$7:$AN$1570,AN616,$BL$7:$BL$1570,"&lt;="&amp;BL616),"")</f>
        <v/>
      </c>
      <c r="AP616" s="65">
        <f>IF(AO616="",0,MAX(0,MIN(1,(IF(BR616="L1",Parameter!$K$5,Parameter!$K$6+Parameter!$K$7)-(AO616-AK616))/AK616)))</f>
        <v/>
      </c>
      <c r="AQ616" s="55">
        <f>IF(LEFT(Cockpit!$O$5,1)="A",G616,IF(BT616=1,BU616,IF(LEFT(Cockpit!$O$5,1)="B",AU616,MAX(AU616,G616))))</f>
        <v/>
      </c>
      <c r="AR616" s="55">
        <f>IF(BO616=1,0,ROUNDUP(AQ616/BN616,0))</f>
        <v/>
      </c>
      <c r="AS616" s="64">
        <f>IF(BO616=1,IF(AQ616&lt;=0,0,BP616*MAX(1,IF(G616&gt;0,AQ616/G616,1))),AR616*Q616)</f>
        <v/>
      </c>
      <c r="AT616" s="55">
        <f>AQ616*F616</f>
        <v/>
      </c>
      <c r="AU616" s="55">
        <f>ROUNDUP(MAX(I616/IF(BS616&gt;0,BS616,MAX(0.1,N(Cockpit!$O$6))),BV616)/BN616,0)*BN616</f>
        <v/>
      </c>
      <c r="AV616" s="56">
        <f>IF(AS616&gt;0,I616/AS616,-1)</f>
        <v/>
      </c>
      <c r="AW616" s="56">
        <f>IF(AND(OR(BR616="L1",BR616="L23"),AS616&gt;0),SUMIFS($AS$7:$AS$1570,$BR$7:$BR$1570,BR616,$AV$7:$AV$1570,"&gt;"&amp;AV616)+SUMIFS($AS$7:$AS$1570,$BR$7:$BR$1570,BR616,$AV$7:$AV$1570,AV616,$BL$7:$BL$1570,"&lt;="&amp;BL616),"")</f>
        <v/>
      </c>
      <c r="AX616" s="65">
        <f>IF(AW616="",0,MAX(0,MIN(1,(IF(BR616="L1",Parameter!$K$5,Parameter!$K$6+Parameter!$K$7)-(AW616-AS616))/AS616)))</f>
        <v/>
      </c>
      <c r="AY616" s="53">
        <f>IF(AC616&lt;=0,"",IF(BR616="Aussen","Aussenlager",IF(BR616="-","Nicht im Lift",IF(AH616&gt;=1,"Lift",IF(AH616&lt;=0,"Aussenlager","teilweise")))))</f>
        <v/>
      </c>
      <c r="AZ616" s="53">
        <f>IF(AK616&lt;=0,"",IF(BR616="Aussen","Aussenlager",IF(BR616="-","Nicht im Lift",IF(AP616&gt;=1,"Lift",IF(AP616&lt;=0,"Aussenlager","teilweise")))))</f>
        <v/>
      </c>
      <c r="BA616" s="53">
        <f>IF(AS616&lt;=0,"",IF(BR616="Aussen","Aussenlager",IF(BR616="-","Nicht im Lift",IF(AX616&gt;=1,"Lift",IF(AX616&lt;=0,"Aussenlager","teilweise")))))</f>
        <v/>
      </c>
      <c r="BB616" s="53">
        <f>IF(A616="","",IF(BK616=1,"Neu; ","")&amp;IF(AND(BK616=0,BF616&lt;0),"negativer Bestand (Export "&amp;BF616&amp;"); ","")&amp;IF(I616&lt;=0,"Kein Verbrauch; ","")&amp;IF(BO616=1,"Lose – Fläche geschätzt; ","")&amp;IF(G616&gt;AM616,"Überbestand "&amp;ROUND(G616-AM616,0)&amp;" Stk / CHF "&amp;ROUND((G616-AM616)*F616,0)&amp;"; ","")&amp;IF(AND(BT616=1,BU616&lt;BV616),"MAX &lt; MB+LG; ","")&amp;IF(AND(BZ616&gt;0,BY616*10&gt;BZ616),"zu hoch für Tablar; ","")&amp;IF(AND(BK616=0,OR(BT616=1,V616&lt;&gt;"",S616&lt;&gt;"",T616&lt;&gt;"",W616&lt;&gt;"")),"manuell übersteuert; ","")&amp;IF(AND(BO616=0,Q616=0),"Gebinde unbekannt; ","")&amp;IF(AND(BO616=0,N(T616)&lt;=0,N(P616)&lt;=0),"Menge pro Gebinde fehlt (Ist = 1 Gebinde); ","")&amp;BJ616)</f>
        <v/>
      </c>
      <c r="BC616" s="53" t="n"/>
      <c r="BD616" s="53" t="n"/>
      <c r="BE616" s="61" t="n"/>
      <c r="BF616" s="55" t="n">
        <v>10</v>
      </c>
      <c r="BG616" s="55" t="n">
        <v>3384</v>
      </c>
      <c r="BH616" s="54" t="n">
        <v>4.600000000000001</v>
      </c>
      <c r="BI616" s="55" t="n">
        <v>48</v>
      </c>
      <c r="BJ616" s="53" t="inlineStr">
        <is>
          <t>Twin; grosse  Artikelmenge</t>
        </is>
      </c>
      <c r="BK616" s="58" t="n">
        <v>0</v>
      </c>
      <c r="BL616" s="58" t="n">
        <v>616</v>
      </c>
      <c r="BM616" s="53">
        <f>IF(S616&lt;&gt;"",UPPER(TRIM(S616)),IF(O616="","LOSE",O616))</f>
        <v/>
      </c>
      <c r="BN616" s="55">
        <f>IF(BM616="LOSE",1,IF(N(T616)&gt;0,T616,IF(N(P616)&gt;0,P616,MAX(1,G616))))</f>
        <v/>
      </c>
      <c r="BO616" s="58">
        <f>IF(BM616="LOSE",1,0)</f>
        <v/>
      </c>
      <c r="BP616" s="64">
        <f>IF(BO616=0,0,IF(N(R616)&gt;0,R616,IFERROR(VLOOKUP(D616,Parameter!$A$35:$C$64,3,0)+0,0)))</f>
        <v/>
      </c>
      <c r="BQ616" s="53">
        <f>IF(V616&lt;&gt;"",V616,U616)</f>
        <v/>
      </c>
      <c r="BR616" s="53">
        <f>IF(BQ616=1,"L1",IF(OR(BQ616=2,BQ616=3),"L23",IF(BQ616="Aussen","Aussen","-")))</f>
        <v/>
      </c>
      <c r="BS616" s="66">
        <f>IF(N(W616)&gt;0,W616,0)</f>
        <v/>
      </c>
      <c r="BT616" s="58">
        <f>IF(ISNUMBER(Z616),1,0)</f>
        <v/>
      </c>
      <c r="BU616" s="55">
        <f>N(Z616)</f>
        <v/>
      </c>
      <c r="BV616" s="55">
        <f>N(L616)+N(M616)</f>
        <v/>
      </c>
      <c r="BW616" s="55">
        <f>ROUNDUP(G616/BN616,0)</f>
        <v/>
      </c>
      <c r="BX616" s="55">
        <f>ROUNDUP(BU616/BN616,0)</f>
        <v/>
      </c>
      <c r="BY616" s="58">
        <f>IF(BO616=1,0,IFERROR(VLOOKUP(BM616,'Gebinde-Kategorie'!$A$5:$G$45,5,0)+0,0))</f>
        <v/>
      </c>
      <c r="BZ616" s="58">
        <f>IFERROR(IF(OR(BQ616=1,BQ616=2,BQ616=3),N(INDEX(Parameter!$I$5:$I$7,BQ616)),0),0)</f>
        <v/>
      </c>
    </row>
    <row r="617">
      <c r="A617" s="53" t="inlineStr">
        <is>
          <t>105882</t>
        </is>
      </c>
      <c r="B617" s="53" t="inlineStr">
        <is>
          <t>Etikett</t>
        </is>
      </c>
      <c r="C617" s="53" t="inlineStr">
        <is>
          <t>F</t>
        </is>
      </c>
      <c r="D617" s="53" t="inlineStr">
        <is>
          <t>KTL</t>
        </is>
      </c>
      <c r="E617" s="53" t="inlineStr">
        <is>
          <t>C</t>
        </is>
      </c>
      <c r="F617" s="54" t="n">
        <v>0.05</v>
      </c>
      <c r="G617" s="55">
        <f>MAX(0,IF(Parameter!$B$20="Jahresanfang 2025 + Export",BG617+BF617,BF617))</f>
        <v/>
      </c>
      <c r="H617" s="55">
        <f>G617*F617</f>
        <v/>
      </c>
      <c r="I617" s="55">
        <f>BI617*Parameter!$B$18</f>
        <v/>
      </c>
      <c r="J617" s="56" t="n">
        <v>145.5</v>
      </c>
      <c r="K617" s="57" t="n">
        <v>0.2611683848797251</v>
      </c>
      <c r="L617" s="55" t="n">
        <v>0</v>
      </c>
      <c r="M617" s="55" t="n">
        <v>40</v>
      </c>
      <c r="N617" s="58" t="n">
        <v>14</v>
      </c>
      <c r="O617" s="53" t="inlineStr">
        <is>
          <t>S21</t>
        </is>
      </c>
      <c r="P617" s="55" t="n">
        <v>190</v>
      </c>
      <c r="Q617" s="59">
        <f>IF(BO617=1,0,IFERROR(VLOOKUP(BM617,'Gebinde-Kategorie'!$A$5:$G$45,6,0)+0,0))</f>
        <v/>
      </c>
      <c r="R617" s="60" t="n"/>
      <c r="S617" s="61" t="n"/>
      <c r="T617" s="61" t="n"/>
      <c r="U617" s="53">
        <f>IF(A617="","",IF(IFERROR(VLOOKUP(D617,Parameter!$A$35:$C$64,2,0),"Nein")="2+3",IF(ISNUMBER(SEARCH("grosser Artikel",BJ617)),2,IFERROR(VLOOKUP(BM617,Parameter!$F$35:$G$64,2,0),2)),IF(OR(IFERROR(VLOOKUP(D617,Parameter!$A$35:$C$64,2,0),"Nein")="Nein",IFERROR(VLOOKUP(D617,Parameter!$A$35:$C$64,2,0),"Nein")=""),"-",VLOOKUP(D617,Parameter!$A$35:$C$64,2,0))))</f>
        <v/>
      </c>
      <c r="V617" s="61" t="n"/>
      <c r="W617" s="62" t="n"/>
      <c r="X617" s="55">
        <f>AM617</f>
        <v/>
      </c>
      <c r="Y617" s="55">
        <f>MAX(AM617,G617)</f>
        <v/>
      </c>
      <c r="Z617" s="63" t="n"/>
      <c r="AA617" s="55">
        <f>IF(LEFT(Cockpit!$C$5,1)="A",G617,IF(BT617=1,BU617,IF(LEFT(Cockpit!$C$5,1)="B",AE617,MAX(AE617,G617))))</f>
        <v/>
      </c>
      <c r="AB617" s="55">
        <f>IF(BO617=1,0,ROUNDUP(AA617/BN617,0))</f>
        <v/>
      </c>
      <c r="AC617" s="64">
        <f>IF(BO617=1,IF(AA617&lt;=0,0,BP617*MAX(1,IF(G617&gt;0,AA617/G617,1))),AB617*Q617)</f>
        <v/>
      </c>
      <c r="AD617" s="55">
        <f>AA617*F617</f>
        <v/>
      </c>
      <c r="AE617" s="55">
        <f>ROUNDUP(MAX(I617/IF(BS617&gt;0,BS617,MAX(0.1,N(Cockpit!$C$6))),BV617)/BN617,0)*BN617</f>
        <v/>
      </c>
      <c r="AF617" s="56">
        <f>IF(AC617&gt;0,I617/AC617,-1)</f>
        <v/>
      </c>
      <c r="AG617" s="56">
        <f>IF(AND(OR(BR617="L1",BR617="L23"),AC617&gt;0),SUMIFS($AC$7:$AC$1570,$BR$7:$BR$1570,BR617,$AF$7:$AF$1570,"&gt;"&amp;AF617)+SUMIFS($AC$7:$AC$1570,$BR$7:$BR$1570,BR617,$AF$7:$AF$1570,AF617,$BL$7:$BL$1570,"&lt;="&amp;BL617),"")</f>
        <v/>
      </c>
      <c r="AH617" s="65">
        <f>IF(AG617="",0,MAX(0,MIN(1,(IF(BR617="L1",Parameter!$K$5,Parameter!$K$6+Parameter!$K$7)-(AG617-AC617))/AC617)))</f>
        <v/>
      </c>
      <c r="AI617" s="55">
        <f>IF(LEFT(Cockpit!$I$5,1)="A",G617,IF(BT617=1,BU617,IF(LEFT(Cockpit!$I$5,1)="B",AM617,MAX(AM617,G617))))</f>
        <v/>
      </c>
      <c r="AJ617" s="55">
        <f>IF(BO617=1,0,ROUNDUP(AI617/BN617,0))</f>
        <v/>
      </c>
      <c r="AK617" s="64">
        <f>IF(BO617=1,IF(AI617&lt;=0,0,BP617*MAX(1,IF(G617&gt;0,AI617/G617,1))),AJ617*Q617)</f>
        <v/>
      </c>
      <c r="AL617" s="55">
        <f>AI617*F617</f>
        <v/>
      </c>
      <c r="AM617" s="55">
        <f>ROUNDUP(MAX(I617/IF(BS617&gt;0,BS617,MAX(0.1,N(Cockpit!$I$6))),BV617)/BN617,0)*BN617</f>
        <v/>
      </c>
      <c r="AN617" s="56">
        <f>IF(AK617&gt;0,I617/AK617,-1)</f>
        <v/>
      </c>
      <c r="AO617" s="56">
        <f>IF(AND(OR(BR617="L1",BR617="L23"),AK617&gt;0),SUMIFS($AK$7:$AK$1570,$BR$7:$BR$1570,BR617,$AN$7:$AN$1570,"&gt;"&amp;AN617)+SUMIFS($AK$7:$AK$1570,$BR$7:$BR$1570,BR617,$AN$7:$AN$1570,AN617,$BL$7:$BL$1570,"&lt;="&amp;BL617),"")</f>
        <v/>
      </c>
      <c r="AP617" s="65">
        <f>IF(AO617="",0,MAX(0,MIN(1,(IF(BR617="L1",Parameter!$K$5,Parameter!$K$6+Parameter!$K$7)-(AO617-AK617))/AK617)))</f>
        <v/>
      </c>
      <c r="AQ617" s="55">
        <f>IF(LEFT(Cockpit!$O$5,1)="A",G617,IF(BT617=1,BU617,IF(LEFT(Cockpit!$O$5,1)="B",AU617,MAX(AU617,G617))))</f>
        <v/>
      </c>
      <c r="AR617" s="55">
        <f>IF(BO617=1,0,ROUNDUP(AQ617/BN617,0))</f>
        <v/>
      </c>
      <c r="AS617" s="64">
        <f>IF(BO617=1,IF(AQ617&lt;=0,0,BP617*MAX(1,IF(G617&gt;0,AQ617/G617,1))),AR617*Q617)</f>
        <v/>
      </c>
      <c r="AT617" s="55">
        <f>AQ617*F617</f>
        <v/>
      </c>
      <c r="AU617" s="55">
        <f>ROUNDUP(MAX(I617/IF(BS617&gt;0,BS617,MAX(0.1,N(Cockpit!$O$6))),BV617)/BN617,0)*BN617</f>
        <v/>
      </c>
      <c r="AV617" s="56">
        <f>IF(AS617&gt;0,I617/AS617,-1)</f>
        <v/>
      </c>
      <c r="AW617" s="56">
        <f>IF(AND(OR(BR617="L1",BR617="L23"),AS617&gt;0),SUMIFS($AS$7:$AS$1570,$BR$7:$BR$1570,BR617,$AV$7:$AV$1570,"&gt;"&amp;AV617)+SUMIFS($AS$7:$AS$1570,$BR$7:$BR$1570,BR617,$AV$7:$AV$1570,AV617,$BL$7:$BL$1570,"&lt;="&amp;BL617),"")</f>
        <v/>
      </c>
      <c r="AX617" s="65">
        <f>IF(AW617="",0,MAX(0,MIN(1,(IF(BR617="L1",Parameter!$K$5,Parameter!$K$6+Parameter!$K$7)-(AW617-AS617))/AS617)))</f>
        <v/>
      </c>
      <c r="AY617" s="53">
        <f>IF(AC617&lt;=0,"",IF(BR617="Aussen","Aussenlager",IF(BR617="-","Nicht im Lift",IF(AH617&gt;=1,"Lift",IF(AH617&lt;=0,"Aussenlager","teilweise")))))</f>
        <v/>
      </c>
      <c r="AZ617" s="53">
        <f>IF(AK617&lt;=0,"",IF(BR617="Aussen","Aussenlager",IF(BR617="-","Nicht im Lift",IF(AP617&gt;=1,"Lift",IF(AP617&lt;=0,"Aussenlager","teilweise")))))</f>
        <v/>
      </c>
      <c r="BA617" s="53">
        <f>IF(AS617&lt;=0,"",IF(BR617="Aussen","Aussenlager",IF(BR617="-","Nicht im Lift",IF(AX617&gt;=1,"Lift",IF(AX617&lt;=0,"Aussenlager","teilweise")))))</f>
        <v/>
      </c>
      <c r="BB617" s="53">
        <f>IF(A617="","",IF(BK617=1,"Neu; ","")&amp;IF(AND(BK617=0,BF617&lt;0),"negativer Bestand (Export "&amp;BF617&amp;"); ","")&amp;IF(I617&lt;=0,"Kein Verbrauch; ","")&amp;IF(BO617=1,"Lose – Fläche geschätzt; ","")&amp;IF(G617&gt;AM617,"Überbestand "&amp;ROUND(G617-AM617,0)&amp;" Stk / CHF "&amp;ROUND((G617-AM617)*F617,0)&amp;"; ","")&amp;IF(AND(BT617=1,BU617&lt;BV617),"MAX &lt; MB+LG; ","")&amp;IF(AND(BZ617&gt;0,BY617*10&gt;BZ617),"zu hoch für Tablar; ","")&amp;IF(AND(BK617=0,OR(BT617=1,V617&lt;&gt;"",S617&lt;&gt;"",T617&lt;&gt;"",W617&lt;&gt;"")),"manuell übersteuert; ","")&amp;IF(AND(BO617=0,Q617=0),"Gebinde unbekannt; ","")&amp;IF(AND(BO617=0,N(T617)&lt;=0,N(P617)&lt;=0),"Menge pro Gebinde fehlt (Ist = 1 Gebinde); ","")&amp;BJ617)</f>
        <v/>
      </c>
      <c r="BC617" s="53" t="n"/>
      <c r="BD617" s="53" t="n"/>
      <c r="BE617" s="61" t="n"/>
      <c r="BF617" s="55" t="n">
        <v>91</v>
      </c>
      <c r="BG617" s="55" t="n">
        <v>97</v>
      </c>
      <c r="BH617" s="54" t="n">
        <v>4.55</v>
      </c>
      <c r="BI617" s="55" t="n">
        <v>38</v>
      </c>
      <c r="BJ617" s="53" t="inlineStr"/>
      <c r="BK617" s="58" t="n">
        <v>0</v>
      </c>
      <c r="BL617" s="58" t="n">
        <v>617</v>
      </c>
      <c r="BM617" s="53">
        <f>IF(S617&lt;&gt;"",UPPER(TRIM(S617)),IF(O617="","LOSE",O617))</f>
        <v/>
      </c>
      <c r="BN617" s="55">
        <f>IF(BM617="LOSE",1,IF(N(T617)&gt;0,T617,IF(N(P617)&gt;0,P617,MAX(1,G617))))</f>
        <v/>
      </c>
      <c r="BO617" s="58">
        <f>IF(BM617="LOSE",1,0)</f>
        <v/>
      </c>
      <c r="BP617" s="64">
        <f>IF(BO617=0,0,IF(N(R617)&gt;0,R617,IFERROR(VLOOKUP(D617,Parameter!$A$35:$C$64,3,0)+0,0)))</f>
        <v/>
      </c>
      <c r="BQ617" s="53">
        <f>IF(V617&lt;&gt;"",V617,U617)</f>
        <v/>
      </c>
      <c r="BR617" s="53">
        <f>IF(BQ617=1,"L1",IF(OR(BQ617=2,BQ617=3),"L23",IF(BQ617="Aussen","Aussen","-")))</f>
        <v/>
      </c>
      <c r="BS617" s="66">
        <f>IF(N(W617)&gt;0,W617,0)</f>
        <v/>
      </c>
      <c r="BT617" s="58">
        <f>IF(ISNUMBER(Z617),1,0)</f>
        <v/>
      </c>
      <c r="BU617" s="55">
        <f>N(Z617)</f>
        <v/>
      </c>
      <c r="BV617" s="55">
        <f>N(L617)+N(M617)</f>
        <v/>
      </c>
      <c r="BW617" s="55">
        <f>ROUNDUP(G617/BN617,0)</f>
        <v/>
      </c>
      <c r="BX617" s="55">
        <f>ROUNDUP(BU617/BN617,0)</f>
        <v/>
      </c>
      <c r="BY617" s="58">
        <f>IF(BO617=1,0,IFERROR(VLOOKUP(BM617,'Gebinde-Kategorie'!$A$5:$G$45,5,0)+0,0))</f>
        <v/>
      </c>
      <c r="BZ617" s="58">
        <f>IFERROR(IF(OR(BQ617=1,BQ617=2,BQ617=3),N(INDEX(Parameter!$I$5:$I$7,BQ617)),0),0)</f>
        <v/>
      </c>
    </row>
    <row r="618">
      <c r="A618" s="53" t="inlineStr">
        <is>
          <t>110127</t>
        </is>
      </c>
      <c r="B618" s="53" t="inlineStr">
        <is>
          <t>Beiblatt</t>
        </is>
      </c>
      <c r="C618" s="53" t="inlineStr">
        <is>
          <t>F</t>
        </is>
      </c>
      <c r="D618" s="53" t="inlineStr">
        <is>
          <t>PAL</t>
        </is>
      </c>
      <c r="E618" s="53" t="inlineStr">
        <is>
          <t>C</t>
        </is>
      </c>
      <c r="F618" s="54" t="n">
        <v>0.05</v>
      </c>
      <c r="G618" s="55">
        <f>MAX(0,IF(Parameter!$B$20="Jahresanfang 2025 + Export",BG618+BF618,BF618))</f>
        <v/>
      </c>
      <c r="H618" s="55">
        <f>G618*F618</f>
        <v/>
      </c>
      <c r="I618" s="55">
        <f>BI618*Parameter!$B$18</f>
        <v/>
      </c>
      <c r="J618" s="56" t="n">
        <v>45.5</v>
      </c>
      <c r="K618" s="57" t="n">
        <v>0</v>
      </c>
      <c r="L618" s="55" t="n">
        <v>4</v>
      </c>
      <c r="M618" s="55" t="n">
        <v>125</v>
      </c>
      <c r="N618" s="58" t="n">
        <v>14</v>
      </c>
      <c r="O618" s="53" t="inlineStr">
        <is>
          <t>LOSE</t>
        </is>
      </c>
      <c r="P618" s="55" t="n"/>
      <c r="Q618" s="59">
        <f>IF(BO618=1,0,IFERROR(VLOOKUP(BM618,'Gebinde-Kategorie'!$A$5:$G$45,6,0)+0,0))</f>
        <v/>
      </c>
      <c r="R618" s="60" t="n"/>
      <c r="S618" s="61" t="n"/>
      <c r="T618" s="61" t="n"/>
      <c r="U618" s="53">
        <f>IF(A618="","",IF(IFERROR(VLOOKUP(D618,Parameter!$A$35:$C$64,2,0),"Nein")="2+3",IF(ISNUMBER(SEARCH("grosser Artikel",BJ618)),2,IFERROR(VLOOKUP(BM618,Parameter!$F$35:$G$64,2,0),2)),IF(OR(IFERROR(VLOOKUP(D618,Parameter!$A$35:$C$64,2,0),"Nein")="Nein",IFERROR(VLOOKUP(D618,Parameter!$A$35:$C$64,2,0),"Nein")=""),"-",VLOOKUP(D618,Parameter!$A$35:$C$64,2,0))))</f>
        <v/>
      </c>
      <c r="V618" s="61" t="n"/>
      <c r="W618" s="62" t="n"/>
      <c r="X618" s="55">
        <f>AM618</f>
        <v/>
      </c>
      <c r="Y618" s="55">
        <f>MAX(AM618,G618)</f>
        <v/>
      </c>
      <c r="Z618" s="63" t="n"/>
      <c r="AA618" s="55">
        <f>IF(LEFT(Cockpit!$C$5,1)="A",G618,IF(BT618=1,BU618,IF(LEFT(Cockpit!$C$5,1)="B",AE618,MAX(AE618,G618))))</f>
        <v/>
      </c>
      <c r="AB618" s="55">
        <f>IF(BO618=1,0,ROUNDUP(AA618/BN618,0))</f>
        <v/>
      </c>
      <c r="AC618" s="64">
        <f>IF(BO618=1,IF(AA618&lt;=0,0,BP618*MAX(1,IF(G618&gt;0,AA618/G618,1))),AB618*Q618)</f>
        <v/>
      </c>
      <c r="AD618" s="55">
        <f>AA618*F618</f>
        <v/>
      </c>
      <c r="AE618" s="55">
        <f>ROUNDUP(MAX(I618/IF(BS618&gt;0,BS618,MAX(0.1,N(Cockpit!$C$6))),BV618)/BN618,0)*BN618</f>
        <v/>
      </c>
      <c r="AF618" s="56">
        <f>IF(AC618&gt;0,I618/AC618,-1)</f>
        <v/>
      </c>
      <c r="AG618" s="56">
        <f>IF(AND(OR(BR618="L1",BR618="L23"),AC618&gt;0),SUMIFS($AC$7:$AC$1570,$BR$7:$BR$1570,BR618,$AF$7:$AF$1570,"&gt;"&amp;AF618)+SUMIFS($AC$7:$AC$1570,$BR$7:$BR$1570,BR618,$AF$7:$AF$1570,AF618,$BL$7:$BL$1570,"&lt;="&amp;BL618),"")</f>
        <v/>
      </c>
      <c r="AH618" s="65">
        <f>IF(AG618="",0,MAX(0,MIN(1,(IF(BR618="L1",Parameter!$K$5,Parameter!$K$6+Parameter!$K$7)-(AG618-AC618))/AC618)))</f>
        <v/>
      </c>
      <c r="AI618" s="55">
        <f>IF(LEFT(Cockpit!$I$5,1)="A",G618,IF(BT618=1,BU618,IF(LEFT(Cockpit!$I$5,1)="B",AM618,MAX(AM618,G618))))</f>
        <v/>
      </c>
      <c r="AJ618" s="55">
        <f>IF(BO618=1,0,ROUNDUP(AI618/BN618,0))</f>
        <v/>
      </c>
      <c r="AK618" s="64">
        <f>IF(BO618=1,IF(AI618&lt;=0,0,BP618*MAX(1,IF(G618&gt;0,AI618/G618,1))),AJ618*Q618)</f>
        <v/>
      </c>
      <c r="AL618" s="55">
        <f>AI618*F618</f>
        <v/>
      </c>
      <c r="AM618" s="55">
        <f>ROUNDUP(MAX(I618/IF(BS618&gt;0,BS618,MAX(0.1,N(Cockpit!$I$6))),BV618)/BN618,0)*BN618</f>
        <v/>
      </c>
      <c r="AN618" s="56">
        <f>IF(AK618&gt;0,I618/AK618,-1)</f>
        <v/>
      </c>
      <c r="AO618" s="56">
        <f>IF(AND(OR(BR618="L1",BR618="L23"),AK618&gt;0),SUMIFS($AK$7:$AK$1570,$BR$7:$BR$1570,BR618,$AN$7:$AN$1570,"&gt;"&amp;AN618)+SUMIFS($AK$7:$AK$1570,$BR$7:$BR$1570,BR618,$AN$7:$AN$1570,AN618,$BL$7:$BL$1570,"&lt;="&amp;BL618),"")</f>
        <v/>
      </c>
      <c r="AP618" s="65">
        <f>IF(AO618="",0,MAX(0,MIN(1,(IF(BR618="L1",Parameter!$K$5,Parameter!$K$6+Parameter!$K$7)-(AO618-AK618))/AK618)))</f>
        <v/>
      </c>
      <c r="AQ618" s="55">
        <f>IF(LEFT(Cockpit!$O$5,1)="A",G618,IF(BT618=1,BU618,IF(LEFT(Cockpit!$O$5,1)="B",AU618,MAX(AU618,G618))))</f>
        <v/>
      </c>
      <c r="AR618" s="55">
        <f>IF(BO618=1,0,ROUNDUP(AQ618/BN618,0))</f>
        <v/>
      </c>
      <c r="AS618" s="64">
        <f>IF(BO618=1,IF(AQ618&lt;=0,0,BP618*MAX(1,IF(G618&gt;0,AQ618/G618,1))),AR618*Q618)</f>
        <v/>
      </c>
      <c r="AT618" s="55">
        <f>AQ618*F618</f>
        <v/>
      </c>
      <c r="AU618" s="55">
        <f>ROUNDUP(MAX(I618/IF(BS618&gt;0,BS618,MAX(0.1,N(Cockpit!$O$6))),BV618)/BN618,0)*BN618</f>
        <v/>
      </c>
      <c r="AV618" s="56">
        <f>IF(AS618&gt;0,I618/AS618,-1)</f>
        <v/>
      </c>
      <c r="AW618" s="56">
        <f>IF(AND(OR(BR618="L1",BR618="L23"),AS618&gt;0),SUMIFS($AS$7:$AS$1570,$BR$7:$BR$1570,BR618,$AV$7:$AV$1570,"&gt;"&amp;AV618)+SUMIFS($AS$7:$AS$1570,$BR$7:$BR$1570,BR618,$AV$7:$AV$1570,AV618,$BL$7:$BL$1570,"&lt;="&amp;BL618),"")</f>
        <v/>
      </c>
      <c r="AX618" s="65">
        <f>IF(AW618="",0,MAX(0,MIN(1,(IF(BR618="L1",Parameter!$K$5,Parameter!$K$6+Parameter!$K$7)-(AW618-AS618))/AS618)))</f>
        <v/>
      </c>
      <c r="AY618" s="53">
        <f>IF(AC618&lt;=0,"",IF(BR618="Aussen","Aussenlager",IF(BR618="-","Nicht im Lift",IF(AH618&gt;=1,"Lift",IF(AH618&lt;=0,"Aussenlager","teilweise")))))</f>
        <v/>
      </c>
      <c r="AZ618" s="53">
        <f>IF(AK618&lt;=0,"",IF(BR618="Aussen","Aussenlager",IF(BR618="-","Nicht im Lift",IF(AP618&gt;=1,"Lift",IF(AP618&lt;=0,"Aussenlager","teilweise")))))</f>
        <v/>
      </c>
      <c r="BA618" s="53">
        <f>IF(AS618&lt;=0,"",IF(BR618="Aussen","Aussenlager",IF(BR618="-","Nicht im Lift",IF(AX618&gt;=1,"Lift",IF(AX618&lt;=0,"Aussenlager","teilweise")))))</f>
        <v/>
      </c>
      <c r="BB618" s="53">
        <f>IF(A618="","",IF(BK618=1,"Neu; ","")&amp;IF(AND(BK618=0,BF618&lt;0),"negativer Bestand (Export "&amp;BF618&amp;"); ","")&amp;IF(I618&lt;=0,"Kein Verbrauch; ","")&amp;IF(BO618=1,"Lose – Fläche geschätzt; ","")&amp;IF(G618&gt;AM618,"Überbestand "&amp;ROUND(G618-AM618,0)&amp;" Stk / CHF "&amp;ROUND((G618-AM618)*F618,0)&amp;"; ","")&amp;IF(AND(BT618=1,BU618&lt;BV618),"MAX &lt; MB+LG; ","")&amp;IF(AND(BZ618&gt;0,BY618*10&gt;BZ618),"zu hoch für Tablar; ","")&amp;IF(AND(BK618=0,OR(BT618=1,V618&lt;&gt;"",S618&lt;&gt;"",T618&lt;&gt;"",W618&lt;&gt;"")),"manuell übersteuert; ","")&amp;IF(AND(BO618=0,Q618=0),"Gebinde unbekannt; ","")&amp;IF(AND(BO618=0,N(T618)&lt;=0,N(P618)&lt;=0),"Menge pro Gebinde fehlt (Ist = 1 Gebinde); ","")&amp;BJ618)</f>
        <v/>
      </c>
      <c r="BC618" s="53" t="n"/>
      <c r="BD618" s="53" t="n"/>
      <c r="BE618" s="61" t="n"/>
      <c r="BF618" s="55" t="n">
        <v>88</v>
      </c>
      <c r="BG618" s="55" t="n">
        <v>5</v>
      </c>
      <c r="BH618" s="54" t="n">
        <v>4.399999999999999</v>
      </c>
      <c r="BI618" s="55" t="n">
        <v>0</v>
      </c>
      <c r="BJ618" s="53" t="inlineStr"/>
      <c r="BK618" s="58" t="n">
        <v>0</v>
      </c>
      <c r="BL618" s="58" t="n">
        <v>618</v>
      </c>
      <c r="BM618" s="53">
        <f>IF(S618&lt;&gt;"",UPPER(TRIM(S618)),IF(O618="","LOSE",O618))</f>
        <v/>
      </c>
      <c r="BN618" s="55">
        <f>IF(BM618="LOSE",1,IF(N(T618)&gt;0,T618,IF(N(P618)&gt;0,P618,MAX(1,G618))))</f>
        <v/>
      </c>
      <c r="BO618" s="58">
        <f>IF(BM618="LOSE",1,0)</f>
        <v/>
      </c>
      <c r="BP618" s="64">
        <f>IF(BO618=0,0,IF(N(R618)&gt;0,R618,IFERROR(VLOOKUP(D618,Parameter!$A$35:$C$64,3,0)+0,0)))</f>
        <v/>
      </c>
      <c r="BQ618" s="53">
        <f>IF(V618&lt;&gt;"",V618,U618)</f>
        <v/>
      </c>
      <c r="BR618" s="53">
        <f>IF(BQ618=1,"L1",IF(OR(BQ618=2,BQ618=3),"L23",IF(BQ618="Aussen","Aussen","-")))</f>
        <v/>
      </c>
      <c r="BS618" s="66">
        <f>IF(N(W618)&gt;0,W618,0)</f>
        <v/>
      </c>
      <c r="BT618" s="58">
        <f>IF(ISNUMBER(Z618),1,0)</f>
        <v/>
      </c>
      <c r="BU618" s="55">
        <f>N(Z618)</f>
        <v/>
      </c>
      <c r="BV618" s="55">
        <f>N(L618)+N(M618)</f>
        <v/>
      </c>
      <c r="BW618" s="55">
        <f>ROUNDUP(G618/BN618,0)</f>
        <v/>
      </c>
      <c r="BX618" s="55">
        <f>ROUNDUP(BU618/BN618,0)</f>
        <v/>
      </c>
      <c r="BY618" s="58">
        <f>IF(BO618=1,0,IFERROR(VLOOKUP(BM618,'Gebinde-Kategorie'!$A$5:$G$45,5,0)+0,0))</f>
        <v/>
      </c>
      <c r="BZ618" s="58">
        <f>IFERROR(IF(OR(BQ618=1,BQ618=2,BQ618=3),N(INDEX(Parameter!$I$5:$I$7,BQ618)),0),0)</f>
        <v/>
      </c>
    </row>
    <row r="619">
      <c r="A619" s="53" t="inlineStr">
        <is>
          <t>110820</t>
        </is>
      </c>
      <c r="B619" s="53" t="inlineStr">
        <is>
          <t>Sicherungsscheibe</t>
        </is>
      </c>
      <c r="C619" s="53" t="inlineStr">
        <is>
          <t>F</t>
        </is>
      </c>
      <c r="D619" s="53" t="inlineStr">
        <is>
          <t>A-BEZ</t>
        </is>
      </c>
      <c r="E619" s="53" t="inlineStr">
        <is>
          <t>C</t>
        </is>
      </c>
      <c r="F619" s="54" t="n">
        <v>3.25</v>
      </c>
      <c r="G619" s="55">
        <f>MAX(0,IF(Parameter!$B$20="Jahresanfang 2025 + Export",BG619+BF619,BF619))</f>
        <v/>
      </c>
      <c r="H619" s="55">
        <f>G619*F619</f>
        <v/>
      </c>
      <c r="I619" s="55">
        <f>BI619*Parameter!$B$18</f>
        <v/>
      </c>
      <c r="J619" s="56" t="n">
        <v>0.5</v>
      </c>
      <c r="K619" s="57" t="n">
        <v>120</v>
      </c>
      <c r="L619" s="55" t="n">
        <v>0</v>
      </c>
      <c r="M619" s="55" t="n">
        <v>100</v>
      </c>
      <c r="N619" s="58" t="n">
        <v>28</v>
      </c>
      <c r="O619" s="53" t="inlineStr">
        <is>
          <t>LOSE</t>
        </is>
      </c>
      <c r="P619" s="55" t="n"/>
      <c r="Q619" s="59">
        <f>IF(BO619=1,0,IFERROR(VLOOKUP(BM619,'Gebinde-Kategorie'!$A$5:$G$45,6,0)+0,0))</f>
        <v/>
      </c>
      <c r="R619" s="60" t="n"/>
      <c r="S619" s="61" t="n"/>
      <c r="T619" s="61" t="n"/>
      <c r="U619" s="53">
        <f>IF(A619="","",IF(IFERROR(VLOOKUP(D619,Parameter!$A$35:$C$64,2,0),"Nein")="2+3",IF(ISNUMBER(SEARCH("grosser Artikel",BJ619)),2,IFERROR(VLOOKUP(BM619,Parameter!$F$35:$G$64,2,0),2)),IF(OR(IFERROR(VLOOKUP(D619,Parameter!$A$35:$C$64,2,0),"Nein")="Nein",IFERROR(VLOOKUP(D619,Parameter!$A$35:$C$64,2,0),"Nein")=""),"-",VLOOKUP(D619,Parameter!$A$35:$C$64,2,0))))</f>
        <v/>
      </c>
      <c r="V619" s="61" t="n"/>
      <c r="W619" s="62" t="n"/>
      <c r="X619" s="55">
        <f>AM619</f>
        <v/>
      </c>
      <c r="Y619" s="55">
        <f>MAX(AM619,G619)</f>
        <v/>
      </c>
      <c r="Z619" s="63" t="n"/>
      <c r="AA619" s="55">
        <f>IF(LEFT(Cockpit!$C$5,1)="A",G619,IF(BT619=1,BU619,IF(LEFT(Cockpit!$C$5,1)="B",AE619,MAX(AE619,G619))))</f>
        <v/>
      </c>
      <c r="AB619" s="55">
        <f>IF(BO619=1,0,ROUNDUP(AA619/BN619,0))</f>
        <v/>
      </c>
      <c r="AC619" s="64">
        <f>IF(BO619=1,IF(AA619&lt;=0,0,BP619*MAX(1,IF(G619&gt;0,AA619/G619,1))),AB619*Q619)</f>
        <v/>
      </c>
      <c r="AD619" s="55">
        <f>AA619*F619</f>
        <v/>
      </c>
      <c r="AE619" s="55">
        <f>ROUNDUP(MAX(I619/IF(BS619&gt;0,BS619,MAX(0.1,N(Cockpit!$C$6))),BV619)/BN619,0)*BN619</f>
        <v/>
      </c>
      <c r="AF619" s="56">
        <f>IF(AC619&gt;0,I619/AC619,-1)</f>
        <v/>
      </c>
      <c r="AG619" s="56">
        <f>IF(AND(OR(BR619="L1",BR619="L23"),AC619&gt;0),SUMIFS($AC$7:$AC$1570,$BR$7:$BR$1570,BR619,$AF$7:$AF$1570,"&gt;"&amp;AF619)+SUMIFS($AC$7:$AC$1570,$BR$7:$BR$1570,BR619,$AF$7:$AF$1570,AF619,$BL$7:$BL$1570,"&lt;="&amp;BL619),"")</f>
        <v/>
      </c>
      <c r="AH619" s="65">
        <f>IF(AG619="",0,MAX(0,MIN(1,(IF(BR619="L1",Parameter!$K$5,Parameter!$K$6+Parameter!$K$7)-(AG619-AC619))/AC619)))</f>
        <v/>
      </c>
      <c r="AI619" s="55">
        <f>IF(LEFT(Cockpit!$I$5,1)="A",G619,IF(BT619=1,BU619,IF(LEFT(Cockpit!$I$5,1)="B",AM619,MAX(AM619,G619))))</f>
        <v/>
      </c>
      <c r="AJ619" s="55">
        <f>IF(BO619=1,0,ROUNDUP(AI619/BN619,0))</f>
        <v/>
      </c>
      <c r="AK619" s="64">
        <f>IF(BO619=1,IF(AI619&lt;=0,0,BP619*MAX(1,IF(G619&gt;0,AI619/G619,1))),AJ619*Q619)</f>
        <v/>
      </c>
      <c r="AL619" s="55">
        <f>AI619*F619</f>
        <v/>
      </c>
      <c r="AM619" s="55">
        <f>ROUNDUP(MAX(I619/IF(BS619&gt;0,BS619,MAX(0.1,N(Cockpit!$I$6))),BV619)/BN619,0)*BN619</f>
        <v/>
      </c>
      <c r="AN619" s="56">
        <f>IF(AK619&gt;0,I619/AK619,-1)</f>
        <v/>
      </c>
      <c r="AO619" s="56">
        <f>IF(AND(OR(BR619="L1",BR619="L23"),AK619&gt;0),SUMIFS($AK$7:$AK$1570,$BR$7:$BR$1570,BR619,$AN$7:$AN$1570,"&gt;"&amp;AN619)+SUMIFS($AK$7:$AK$1570,$BR$7:$BR$1570,BR619,$AN$7:$AN$1570,AN619,$BL$7:$BL$1570,"&lt;="&amp;BL619),"")</f>
        <v/>
      </c>
      <c r="AP619" s="65">
        <f>IF(AO619="",0,MAX(0,MIN(1,(IF(BR619="L1",Parameter!$K$5,Parameter!$K$6+Parameter!$K$7)-(AO619-AK619))/AK619)))</f>
        <v/>
      </c>
      <c r="AQ619" s="55">
        <f>IF(LEFT(Cockpit!$O$5,1)="A",G619,IF(BT619=1,BU619,IF(LEFT(Cockpit!$O$5,1)="B",AU619,MAX(AU619,G619))))</f>
        <v/>
      </c>
      <c r="AR619" s="55">
        <f>IF(BO619=1,0,ROUNDUP(AQ619/BN619,0))</f>
        <v/>
      </c>
      <c r="AS619" s="64">
        <f>IF(BO619=1,IF(AQ619&lt;=0,0,BP619*MAX(1,IF(G619&gt;0,AQ619/G619,1))),AR619*Q619)</f>
        <v/>
      </c>
      <c r="AT619" s="55">
        <f>AQ619*F619</f>
        <v/>
      </c>
      <c r="AU619" s="55">
        <f>ROUNDUP(MAX(I619/IF(BS619&gt;0,BS619,MAX(0.1,N(Cockpit!$O$6))),BV619)/BN619,0)*BN619</f>
        <v/>
      </c>
      <c r="AV619" s="56">
        <f>IF(AS619&gt;0,I619/AS619,-1)</f>
        <v/>
      </c>
      <c r="AW619" s="56">
        <f>IF(AND(OR(BR619="L1",BR619="L23"),AS619&gt;0),SUMIFS($AS$7:$AS$1570,$BR$7:$BR$1570,BR619,$AV$7:$AV$1570,"&gt;"&amp;AV619)+SUMIFS($AS$7:$AS$1570,$BR$7:$BR$1570,BR619,$AV$7:$AV$1570,AV619,$BL$7:$BL$1570,"&lt;="&amp;BL619),"")</f>
        <v/>
      </c>
      <c r="AX619" s="65">
        <f>IF(AW619="",0,MAX(0,MIN(1,(IF(BR619="L1",Parameter!$K$5,Parameter!$K$6+Parameter!$K$7)-(AW619-AS619))/AS619)))</f>
        <v/>
      </c>
      <c r="AY619" s="53">
        <f>IF(AC619&lt;=0,"",IF(BR619="Aussen","Aussenlager",IF(BR619="-","Nicht im Lift",IF(AH619&gt;=1,"Lift",IF(AH619&lt;=0,"Aussenlager","teilweise")))))</f>
        <v/>
      </c>
      <c r="AZ619" s="53">
        <f>IF(AK619&lt;=0,"",IF(BR619="Aussen","Aussenlager",IF(BR619="-","Nicht im Lift",IF(AP619&gt;=1,"Lift",IF(AP619&lt;=0,"Aussenlager","teilweise")))))</f>
        <v/>
      </c>
      <c r="BA619" s="53">
        <f>IF(AS619&lt;=0,"",IF(BR619="Aussen","Aussenlager",IF(BR619="-","Nicht im Lift",IF(AX619&gt;=1,"Lift",IF(AX619&lt;=0,"Aussenlager","teilweise")))))</f>
        <v/>
      </c>
      <c r="BB619" s="53">
        <f>IF(A619="","",IF(BK619=1,"Neu; ","")&amp;IF(AND(BK619=0,BF619&lt;0),"negativer Bestand (Export "&amp;BF619&amp;"); ","")&amp;IF(I619&lt;=0,"Kein Verbrauch; ","")&amp;IF(BO619=1,"Lose – Fläche geschätzt; ","")&amp;IF(G619&gt;AM619,"Überbestand "&amp;ROUND(G619-AM619,0)&amp;" Stk / CHF "&amp;ROUND((G619-AM619)*F619,0)&amp;"; ","")&amp;IF(AND(BT619=1,BU619&lt;BV619),"MAX &lt; MB+LG; ","")&amp;IF(AND(BZ619&gt;0,BY619*10&gt;BZ619),"zu hoch für Tablar; ","")&amp;IF(AND(BK619=0,OR(BT619=1,V619&lt;&gt;"",S619&lt;&gt;"",T619&lt;&gt;"",W619&lt;&gt;"")),"manuell übersteuert; ","")&amp;IF(AND(BO619=0,Q619=0),"Gebinde unbekannt; ","")&amp;IF(AND(BO619=0,N(T619)&lt;=0,N(P619)&lt;=0),"Menge pro Gebinde fehlt (Ist = 1 Gebinde); ","")&amp;BJ619)</f>
        <v/>
      </c>
      <c r="BC619" s="53" t="n"/>
      <c r="BD619" s="53" t="n"/>
      <c r="BE619" s="61" t="n"/>
      <c r="BF619" s="55" t="n">
        <v>1</v>
      </c>
      <c r="BG619" s="55" t="n">
        <v>0</v>
      </c>
      <c r="BH619" s="54" t="n">
        <v>3.25</v>
      </c>
      <c r="BI619" s="55" t="n">
        <v>60</v>
      </c>
      <c r="BJ619" s="53" t="inlineStr"/>
      <c r="BK619" s="58" t="n">
        <v>0</v>
      </c>
      <c r="BL619" s="58" t="n">
        <v>619</v>
      </c>
      <c r="BM619" s="53">
        <f>IF(S619&lt;&gt;"",UPPER(TRIM(S619)),IF(O619="","LOSE",O619))</f>
        <v/>
      </c>
      <c r="BN619" s="55">
        <f>IF(BM619="LOSE",1,IF(N(T619)&gt;0,T619,IF(N(P619)&gt;0,P619,MAX(1,G619))))</f>
        <v/>
      </c>
      <c r="BO619" s="58">
        <f>IF(BM619="LOSE",1,0)</f>
        <v/>
      </c>
      <c r="BP619" s="64">
        <f>IF(BO619=0,0,IF(N(R619)&gt;0,R619,IFERROR(VLOOKUP(D619,Parameter!$A$35:$C$64,3,0)+0,0)))</f>
        <v/>
      </c>
      <c r="BQ619" s="53">
        <f>IF(V619&lt;&gt;"",V619,U619)</f>
        <v/>
      </c>
      <c r="BR619" s="53">
        <f>IF(BQ619=1,"L1",IF(OR(BQ619=2,BQ619=3),"L23",IF(BQ619="Aussen","Aussen","-")))</f>
        <v/>
      </c>
      <c r="BS619" s="66">
        <f>IF(N(W619)&gt;0,W619,0)</f>
        <v/>
      </c>
      <c r="BT619" s="58">
        <f>IF(ISNUMBER(Z619),1,0)</f>
        <v/>
      </c>
      <c r="BU619" s="55">
        <f>N(Z619)</f>
        <v/>
      </c>
      <c r="BV619" s="55">
        <f>N(L619)+N(M619)</f>
        <v/>
      </c>
      <c r="BW619" s="55">
        <f>ROUNDUP(G619/BN619,0)</f>
        <v/>
      </c>
      <c r="BX619" s="55">
        <f>ROUNDUP(BU619/BN619,0)</f>
        <v/>
      </c>
      <c r="BY619" s="58">
        <f>IF(BO619=1,0,IFERROR(VLOOKUP(BM619,'Gebinde-Kategorie'!$A$5:$G$45,5,0)+0,0))</f>
        <v/>
      </c>
      <c r="BZ619" s="58">
        <f>IFERROR(IF(OR(BQ619=1,BQ619=2,BQ619=3),N(INDEX(Parameter!$I$5:$I$7,BQ619)),0),0)</f>
        <v/>
      </c>
    </row>
    <row r="620">
      <c r="A620" s="53" t="inlineStr">
        <is>
          <t>111470</t>
        </is>
      </c>
      <c r="B620" s="53" t="inlineStr">
        <is>
          <t>Patchkabel</t>
        </is>
      </c>
      <c r="C620" s="53" t="inlineStr">
        <is>
          <t>F</t>
        </is>
      </c>
      <c r="D620" s="53" t="inlineStr">
        <is>
          <t>KTL</t>
        </is>
      </c>
      <c r="E620" s="53" t="inlineStr">
        <is>
          <t>C</t>
        </is>
      </c>
      <c r="F620" s="54" t="n">
        <v>1.52</v>
      </c>
      <c r="G620" s="55">
        <f>MAX(0,IF(Parameter!$B$20="Jahresanfang 2025 + Export",BG620+BF620,BF620))</f>
        <v/>
      </c>
      <c r="H620" s="55">
        <f>G620*F620</f>
        <v/>
      </c>
      <c r="I620" s="55">
        <f>BI620*Parameter!$B$18</f>
        <v/>
      </c>
      <c r="J620" s="56" t="n">
        <v>0</v>
      </c>
      <c r="K620" s="57" t="n">
        <v>0</v>
      </c>
      <c r="L620" s="55" t="n">
        <v>0</v>
      </c>
      <c r="M620" s="55" t="n">
        <v>1</v>
      </c>
      <c r="N620" s="58" t="n">
        <v>21</v>
      </c>
      <c r="O620" s="53" t="inlineStr">
        <is>
          <t>S22</t>
        </is>
      </c>
      <c r="P620" s="55" t="n">
        <v>10</v>
      </c>
      <c r="Q620" s="59">
        <f>IF(BO620=1,0,IFERROR(VLOOKUP(BM620,'Gebinde-Kategorie'!$A$5:$G$45,6,0)+0,0))</f>
        <v/>
      </c>
      <c r="R620" s="60" t="n"/>
      <c r="S620" s="61" t="n"/>
      <c r="T620" s="61" t="n"/>
      <c r="U620" s="53">
        <f>IF(A620="","",IF(IFERROR(VLOOKUP(D620,Parameter!$A$35:$C$64,2,0),"Nein")="2+3",IF(ISNUMBER(SEARCH("grosser Artikel",BJ620)),2,IFERROR(VLOOKUP(BM620,Parameter!$F$35:$G$64,2,0),2)),IF(OR(IFERROR(VLOOKUP(D620,Parameter!$A$35:$C$64,2,0),"Nein")="Nein",IFERROR(VLOOKUP(D620,Parameter!$A$35:$C$64,2,0),"Nein")=""),"-",VLOOKUP(D620,Parameter!$A$35:$C$64,2,0))))</f>
        <v/>
      </c>
      <c r="V620" s="61" t="n"/>
      <c r="W620" s="62" t="n"/>
      <c r="X620" s="55">
        <f>AM620</f>
        <v/>
      </c>
      <c r="Y620" s="55">
        <f>MAX(AM620,G620)</f>
        <v/>
      </c>
      <c r="Z620" s="63" t="n"/>
      <c r="AA620" s="55">
        <f>IF(LEFT(Cockpit!$C$5,1)="A",G620,IF(BT620=1,BU620,IF(LEFT(Cockpit!$C$5,1)="B",AE620,MAX(AE620,G620))))</f>
        <v/>
      </c>
      <c r="AB620" s="55">
        <f>IF(BO620=1,0,ROUNDUP(AA620/BN620,0))</f>
        <v/>
      </c>
      <c r="AC620" s="64">
        <f>IF(BO620=1,IF(AA620&lt;=0,0,BP620*MAX(1,IF(G620&gt;0,AA620/G620,1))),AB620*Q620)</f>
        <v/>
      </c>
      <c r="AD620" s="55">
        <f>AA620*F620</f>
        <v/>
      </c>
      <c r="AE620" s="55">
        <f>ROUNDUP(MAX(I620/IF(BS620&gt;0,BS620,MAX(0.1,N(Cockpit!$C$6))),BV620)/BN620,0)*BN620</f>
        <v/>
      </c>
      <c r="AF620" s="56">
        <f>IF(AC620&gt;0,I620/AC620,-1)</f>
        <v/>
      </c>
      <c r="AG620" s="56">
        <f>IF(AND(OR(BR620="L1",BR620="L23"),AC620&gt;0),SUMIFS($AC$7:$AC$1570,$BR$7:$BR$1570,BR620,$AF$7:$AF$1570,"&gt;"&amp;AF620)+SUMIFS($AC$7:$AC$1570,$BR$7:$BR$1570,BR620,$AF$7:$AF$1570,AF620,$BL$7:$BL$1570,"&lt;="&amp;BL620),"")</f>
        <v/>
      </c>
      <c r="AH620" s="65">
        <f>IF(AG620="",0,MAX(0,MIN(1,(IF(BR620="L1",Parameter!$K$5,Parameter!$K$6+Parameter!$K$7)-(AG620-AC620))/AC620)))</f>
        <v/>
      </c>
      <c r="AI620" s="55">
        <f>IF(LEFT(Cockpit!$I$5,1)="A",G620,IF(BT620=1,BU620,IF(LEFT(Cockpit!$I$5,1)="B",AM620,MAX(AM620,G620))))</f>
        <v/>
      </c>
      <c r="AJ620" s="55">
        <f>IF(BO620=1,0,ROUNDUP(AI620/BN620,0))</f>
        <v/>
      </c>
      <c r="AK620" s="64">
        <f>IF(BO620=1,IF(AI620&lt;=0,0,BP620*MAX(1,IF(G620&gt;0,AI620/G620,1))),AJ620*Q620)</f>
        <v/>
      </c>
      <c r="AL620" s="55">
        <f>AI620*F620</f>
        <v/>
      </c>
      <c r="AM620" s="55">
        <f>ROUNDUP(MAX(I620/IF(BS620&gt;0,BS620,MAX(0.1,N(Cockpit!$I$6))),BV620)/BN620,0)*BN620</f>
        <v/>
      </c>
      <c r="AN620" s="56">
        <f>IF(AK620&gt;0,I620/AK620,-1)</f>
        <v/>
      </c>
      <c r="AO620" s="56">
        <f>IF(AND(OR(BR620="L1",BR620="L23"),AK620&gt;0),SUMIFS($AK$7:$AK$1570,$BR$7:$BR$1570,BR620,$AN$7:$AN$1570,"&gt;"&amp;AN620)+SUMIFS($AK$7:$AK$1570,$BR$7:$BR$1570,BR620,$AN$7:$AN$1570,AN620,$BL$7:$BL$1570,"&lt;="&amp;BL620),"")</f>
        <v/>
      </c>
      <c r="AP620" s="65">
        <f>IF(AO620="",0,MAX(0,MIN(1,(IF(BR620="L1",Parameter!$K$5,Parameter!$K$6+Parameter!$K$7)-(AO620-AK620))/AK620)))</f>
        <v/>
      </c>
      <c r="AQ620" s="55">
        <f>IF(LEFT(Cockpit!$O$5,1)="A",G620,IF(BT620=1,BU620,IF(LEFT(Cockpit!$O$5,1)="B",AU620,MAX(AU620,G620))))</f>
        <v/>
      </c>
      <c r="AR620" s="55">
        <f>IF(BO620=1,0,ROUNDUP(AQ620/BN620,0))</f>
        <v/>
      </c>
      <c r="AS620" s="64">
        <f>IF(BO620=1,IF(AQ620&lt;=0,0,BP620*MAX(1,IF(G620&gt;0,AQ620/G620,1))),AR620*Q620)</f>
        <v/>
      </c>
      <c r="AT620" s="55">
        <f>AQ620*F620</f>
        <v/>
      </c>
      <c r="AU620" s="55">
        <f>ROUNDUP(MAX(I620/IF(BS620&gt;0,BS620,MAX(0.1,N(Cockpit!$O$6))),BV620)/BN620,0)*BN620</f>
        <v/>
      </c>
      <c r="AV620" s="56">
        <f>IF(AS620&gt;0,I620/AS620,-1)</f>
        <v/>
      </c>
      <c r="AW620" s="56">
        <f>IF(AND(OR(BR620="L1",BR620="L23"),AS620&gt;0),SUMIFS($AS$7:$AS$1570,$BR$7:$BR$1570,BR620,$AV$7:$AV$1570,"&gt;"&amp;AV620)+SUMIFS($AS$7:$AS$1570,$BR$7:$BR$1570,BR620,$AV$7:$AV$1570,AV620,$BL$7:$BL$1570,"&lt;="&amp;BL620),"")</f>
        <v/>
      </c>
      <c r="AX620" s="65">
        <f>IF(AW620="",0,MAX(0,MIN(1,(IF(BR620="L1",Parameter!$K$5,Parameter!$K$6+Parameter!$K$7)-(AW620-AS620))/AS620)))</f>
        <v/>
      </c>
      <c r="AY620" s="53">
        <f>IF(AC620&lt;=0,"",IF(BR620="Aussen","Aussenlager",IF(BR620="-","Nicht im Lift",IF(AH620&gt;=1,"Lift",IF(AH620&lt;=0,"Aussenlager","teilweise")))))</f>
        <v/>
      </c>
      <c r="AZ620" s="53">
        <f>IF(AK620&lt;=0,"",IF(BR620="Aussen","Aussenlager",IF(BR620="-","Nicht im Lift",IF(AP620&gt;=1,"Lift",IF(AP620&lt;=0,"Aussenlager","teilweise")))))</f>
        <v/>
      </c>
      <c r="BA620" s="53">
        <f>IF(AS620&lt;=0,"",IF(BR620="Aussen","Aussenlager",IF(BR620="-","Nicht im Lift",IF(AX620&gt;=1,"Lift",IF(AX620&lt;=0,"Aussenlager","teilweise")))))</f>
        <v/>
      </c>
      <c r="BB620" s="53">
        <f>IF(A620="","",IF(BK620=1,"Neu; ","")&amp;IF(AND(BK620=0,BF620&lt;0),"negativer Bestand (Export "&amp;BF620&amp;"); ","")&amp;IF(I620&lt;=0,"Kein Verbrauch; ","")&amp;IF(BO620=1,"Lose – Fläche geschätzt; ","")&amp;IF(G620&gt;AM620,"Überbestand "&amp;ROUND(G620-AM620,0)&amp;" Stk / CHF "&amp;ROUND((G620-AM620)*F620,0)&amp;"; ","")&amp;IF(AND(BT620=1,BU620&lt;BV620),"MAX &lt; MB+LG; ","")&amp;IF(AND(BZ620&gt;0,BY620*10&gt;BZ620),"zu hoch für Tablar; ","")&amp;IF(AND(BK620=0,OR(BT620=1,V620&lt;&gt;"",S620&lt;&gt;"",T620&lt;&gt;"",W620&lt;&gt;"")),"manuell übersteuert; ","")&amp;IF(AND(BO620=0,Q620=0),"Gebinde unbekannt; ","")&amp;IF(AND(BO620=0,N(T620)&lt;=0,N(P620)&lt;=0),"Menge pro Gebinde fehlt (Ist = 1 Gebinde); ","")&amp;BJ620)</f>
        <v/>
      </c>
      <c r="BC620" s="53" t="n"/>
      <c r="BD620" s="53" t="n"/>
      <c r="BE620" s="61" t="n"/>
      <c r="BF620" s="55" t="n">
        <v>2</v>
      </c>
      <c r="BG620" s="55" t="n">
        <v>0</v>
      </c>
      <c r="BH620" s="54" t="n">
        <v>3.040000000000009</v>
      </c>
      <c r="BI620" s="55" t="n">
        <v>0</v>
      </c>
      <c r="BJ620" s="53" t="inlineStr"/>
      <c r="BK620" s="58" t="n">
        <v>0</v>
      </c>
      <c r="BL620" s="58" t="n">
        <v>620</v>
      </c>
      <c r="BM620" s="53">
        <f>IF(S620&lt;&gt;"",UPPER(TRIM(S620)),IF(O620="","LOSE",O620))</f>
        <v/>
      </c>
      <c r="BN620" s="55">
        <f>IF(BM620="LOSE",1,IF(N(T620)&gt;0,T620,IF(N(P620)&gt;0,P620,MAX(1,G620))))</f>
        <v/>
      </c>
      <c r="BO620" s="58">
        <f>IF(BM620="LOSE",1,0)</f>
        <v/>
      </c>
      <c r="BP620" s="64">
        <f>IF(BO620=0,0,IF(N(R620)&gt;0,R620,IFERROR(VLOOKUP(D620,Parameter!$A$35:$C$64,3,0)+0,0)))</f>
        <v/>
      </c>
      <c r="BQ620" s="53">
        <f>IF(V620&lt;&gt;"",V620,U620)</f>
        <v/>
      </c>
      <c r="BR620" s="53">
        <f>IF(BQ620=1,"L1",IF(OR(BQ620=2,BQ620=3),"L23",IF(BQ620="Aussen","Aussen","-")))</f>
        <v/>
      </c>
      <c r="BS620" s="66">
        <f>IF(N(W620)&gt;0,W620,0)</f>
        <v/>
      </c>
      <c r="BT620" s="58">
        <f>IF(ISNUMBER(Z620),1,0)</f>
        <v/>
      </c>
      <c r="BU620" s="55">
        <f>N(Z620)</f>
        <v/>
      </c>
      <c r="BV620" s="55">
        <f>N(L620)+N(M620)</f>
        <v/>
      </c>
      <c r="BW620" s="55">
        <f>ROUNDUP(G620/BN620,0)</f>
        <v/>
      </c>
      <c r="BX620" s="55">
        <f>ROUNDUP(BU620/BN620,0)</f>
        <v/>
      </c>
      <c r="BY620" s="58">
        <f>IF(BO620=1,0,IFERROR(VLOOKUP(BM620,'Gebinde-Kategorie'!$A$5:$G$45,5,0)+0,0))</f>
        <v/>
      </c>
      <c r="BZ620" s="58">
        <f>IFERROR(IF(OR(BQ620=1,BQ620=2,BQ620=3),N(INDEX(Parameter!$I$5:$I$7,BQ620)),0),0)</f>
        <v/>
      </c>
    </row>
    <row r="621">
      <c r="A621" s="53" t="inlineStr">
        <is>
          <t>005637</t>
        </is>
      </c>
      <c r="B621" s="53" t="inlineStr">
        <is>
          <t>Netzwerkkabel</t>
        </is>
      </c>
      <c r="C621" s="53" t="inlineStr">
        <is>
          <t>F</t>
        </is>
      </c>
      <c r="D621" s="53" t="inlineStr">
        <is>
          <t>PAL</t>
        </is>
      </c>
      <c r="E621" s="53" t="inlineStr">
        <is>
          <t>C</t>
        </is>
      </c>
      <c r="F621" s="54" t="n">
        <v>3.02</v>
      </c>
      <c r="G621" s="55">
        <f>MAX(0,IF(Parameter!$B$20="Jahresanfang 2025 + Export",BG621+BF621,BF621))</f>
        <v/>
      </c>
      <c r="H621" s="55">
        <f>G621*F621</f>
        <v/>
      </c>
      <c r="I621" s="55">
        <f>BI621*Parameter!$B$18</f>
        <v/>
      </c>
      <c r="J621" s="56" t="n">
        <v>11.5</v>
      </c>
      <c r="K621" s="57" t="n">
        <v>0</v>
      </c>
      <c r="L621" s="55" t="n">
        <v>0</v>
      </c>
      <c r="M621" s="55" t="n">
        <v>1</v>
      </c>
      <c r="N621" s="58" t="n">
        <v>14</v>
      </c>
      <c r="O621" s="53" t="inlineStr">
        <is>
          <t>LOSE</t>
        </is>
      </c>
      <c r="P621" s="55" t="n"/>
      <c r="Q621" s="59">
        <f>IF(BO621=1,0,IFERROR(VLOOKUP(BM621,'Gebinde-Kategorie'!$A$5:$G$45,6,0)+0,0))</f>
        <v/>
      </c>
      <c r="R621" s="60" t="n"/>
      <c r="S621" s="61" t="n"/>
      <c r="T621" s="61" t="n"/>
      <c r="U621" s="53">
        <f>IF(A621="","",IF(IFERROR(VLOOKUP(D621,Parameter!$A$35:$C$64,2,0),"Nein")="2+3",IF(ISNUMBER(SEARCH("grosser Artikel",BJ621)),2,IFERROR(VLOOKUP(BM621,Parameter!$F$35:$G$64,2,0),2)),IF(OR(IFERROR(VLOOKUP(D621,Parameter!$A$35:$C$64,2,0),"Nein")="Nein",IFERROR(VLOOKUP(D621,Parameter!$A$35:$C$64,2,0),"Nein")=""),"-",VLOOKUP(D621,Parameter!$A$35:$C$64,2,0))))</f>
        <v/>
      </c>
      <c r="V621" s="61" t="n"/>
      <c r="W621" s="62" t="n"/>
      <c r="X621" s="55">
        <f>AM621</f>
        <v/>
      </c>
      <c r="Y621" s="55">
        <f>MAX(AM621,G621)</f>
        <v/>
      </c>
      <c r="Z621" s="63" t="n"/>
      <c r="AA621" s="55">
        <f>IF(LEFT(Cockpit!$C$5,1)="A",G621,IF(BT621=1,BU621,IF(LEFT(Cockpit!$C$5,1)="B",AE621,MAX(AE621,G621))))</f>
        <v/>
      </c>
      <c r="AB621" s="55">
        <f>IF(BO621=1,0,ROUNDUP(AA621/BN621,0))</f>
        <v/>
      </c>
      <c r="AC621" s="64">
        <f>IF(BO621=1,IF(AA621&lt;=0,0,BP621*MAX(1,IF(G621&gt;0,AA621/G621,1))),AB621*Q621)</f>
        <v/>
      </c>
      <c r="AD621" s="55">
        <f>AA621*F621</f>
        <v/>
      </c>
      <c r="AE621" s="55">
        <f>ROUNDUP(MAX(I621/IF(BS621&gt;0,BS621,MAX(0.1,N(Cockpit!$C$6))),BV621)/BN621,0)*BN621</f>
        <v/>
      </c>
      <c r="AF621" s="56">
        <f>IF(AC621&gt;0,I621/AC621,-1)</f>
        <v/>
      </c>
      <c r="AG621" s="56">
        <f>IF(AND(OR(BR621="L1",BR621="L23"),AC621&gt;0),SUMIFS($AC$7:$AC$1570,$BR$7:$BR$1570,BR621,$AF$7:$AF$1570,"&gt;"&amp;AF621)+SUMIFS($AC$7:$AC$1570,$BR$7:$BR$1570,BR621,$AF$7:$AF$1570,AF621,$BL$7:$BL$1570,"&lt;="&amp;BL621),"")</f>
        <v/>
      </c>
      <c r="AH621" s="65">
        <f>IF(AG621="",0,MAX(0,MIN(1,(IF(BR621="L1",Parameter!$K$5,Parameter!$K$6+Parameter!$K$7)-(AG621-AC621))/AC621)))</f>
        <v/>
      </c>
      <c r="AI621" s="55">
        <f>IF(LEFT(Cockpit!$I$5,1)="A",G621,IF(BT621=1,BU621,IF(LEFT(Cockpit!$I$5,1)="B",AM621,MAX(AM621,G621))))</f>
        <v/>
      </c>
      <c r="AJ621" s="55">
        <f>IF(BO621=1,0,ROUNDUP(AI621/BN621,0))</f>
        <v/>
      </c>
      <c r="AK621" s="64">
        <f>IF(BO621=1,IF(AI621&lt;=0,0,BP621*MAX(1,IF(G621&gt;0,AI621/G621,1))),AJ621*Q621)</f>
        <v/>
      </c>
      <c r="AL621" s="55">
        <f>AI621*F621</f>
        <v/>
      </c>
      <c r="AM621" s="55">
        <f>ROUNDUP(MAX(I621/IF(BS621&gt;0,BS621,MAX(0.1,N(Cockpit!$I$6))),BV621)/BN621,0)*BN621</f>
        <v/>
      </c>
      <c r="AN621" s="56">
        <f>IF(AK621&gt;0,I621/AK621,-1)</f>
        <v/>
      </c>
      <c r="AO621" s="56">
        <f>IF(AND(OR(BR621="L1",BR621="L23"),AK621&gt;0),SUMIFS($AK$7:$AK$1570,$BR$7:$BR$1570,BR621,$AN$7:$AN$1570,"&gt;"&amp;AN621)+SUMIFS($AK$7:$AK$1570,$BR$7:$BR$1570,BR621,$AN$7:$AN$1570,AN621,$BL$7:$BL$1570,"&lt;="&amp;BL621),"")</f>
        <v/>
      </c>
      <c r="AP621" s="65">
        <f>IF(AO621="",0,MAX(0,MIN(1,(IF(BR621="L1",Parameter!$K$5,Parameter!$K$6+Parameter!$K$7)-(AO621-AK621))/AK621)))</f>
        <v/>
      </c>
      <c r="AQ621" s="55">
        <f>IF(LEFT(Cockpit!$O$5,1)="A",G621,IF(BT621=1,BU621,IF(LEFT(Cockpit!$O$5,1)="B",AU621,MAX(AU621,G621))))</f>
        <v/>
      </c>
      <c r="AR621" s="55">
        <f>IF(BO621=1,0,ROUNDUP(AQ621/BN621,0))</f>
        <v/>
      </c>
      <c r="AS621" s="64">
        <f>IF(BO621=1,IF(AQ621&lt;=0,0,BP621*MAX(1,IF(G621&gt;0,AQ621/G621,1))),AR621*Q621)</f>
        <v/>
      </c>
      <c r="AT621" s="55">
        <f>AQ621*F621</f>
        <v/>
      </c>
      <c r="AU621" s="55">
        <f>ROUNDUP(MAX(I621/IF(BS621&gt;0,BS621,MAX(0.1,N(Cockpit!$O$6))),BV621)/BN621,0)*BN621</f>
        <v/>
      </c>
      <c r="AV621" s="56">
        <f>IF(AS621&gt;0,I621/AS621,-1)</f>
        <v/>
      </c>
      <c r="AW621" s="56">
        <f>IF(AND(OR(BR621="L1",BR621="L23"),AS621&gt;0),SUMIFS($AS$7:$AS$1570,$BR$7:$BR$1570,BR621,$AV$7:$AV$1570,"&gt;"&amp;AV621)+SUMIFS($AS$7:$AS$1570,$BR$7:$BR$1570,BR621,$AV$7:$AV$1570,AV621,$BL$7:$BL$1570,"&lt;="&amp;BL621),"")</f>
        <v/>
      </c>
      <c r="AX621" s="65">
        <f>IF(AW621="",0,MAX(0,MIN(1,(IF(BR621="L1",Parameter!$K$5,Parameter!$K$6+Parameter!$K$7)-(AW621-AS621))/AS621)))</f>
        <v/>
      </c>
      <c r="AY621" s="53">
        <f>IF(AC621&lt;=0,"",IF(BR621="Aussen","Aussenlager",IF(BR621="-","Nicht im Lift",IF(AH621&gt;=1,"Lift",IF(AH621&lt;=0,"Aussenlager","teilweise")))))</f>
        <v/>
      </c>
      <c r="AZ621" s="53">
        <f>IF(AK621&lt;=0,"",IF(BR621="Aussen","Aussenlager",IF(BR621="-","Nicht im Lift",IF(AP621&gt;=1,"Lift",IF(AP621&lt;=0,"Aussenlager","teilweise")))))</f>
        <v/>
      </c>
      <c r="BA621" s="53">
        <f>IF(AS621&lt;=0,"",IF(BR621="Aussen","Aussenlager",IF(BR621="-","Nicht im Lift",IF(AX621&gt;=1,"Lift",IF(AX621&lt;=0,"Aussenlager","teilweise")))))</f>
        <v/>
      </c>
      <c r="BB621" s="53">
        <f>IF(A621="","",IF(BK621=1,"Neu; ","")&amp;IF(AND(BK621=0,BF621&lt;0),"negativer Bestand (Export "&amp;BF621&amp;"); ","")&amp;IF(I621&lt;=0,"Kein Verbrauch; ","")&amp;IF(BO621=1,"Lose – Fläche geschätzt; ","")&amp;IF(G621&gt;AM621,"Überbestand "&amp;ROUND(G621-AM621,0)&amp;" Stk / CHF "&amp;ROUND((G621-AM621)*F621,0)&amp;"; ","")&amp;IF(AND(BT621=1,BU621&lt;BV621),"MAX &lt; MB+LG; ","")&amp;IF(AND(BZ621&gt;0,BY621*10&gt;BZ621),"zu hoch für Tablar; ","")&amp;IF(AND(BK621=0,OR(BT621=1,V621&lt;&gt;"",S621&lt;&gt;"",T621&lt;&gt;"",W621&lt;&gt;"")),"manuell übersteuert; ","")&amp;IF(AND(BO621=0,Q621=0),"Gebinde unbekannt; ","")&amp;IF(AND(BO621=0,N(T621)&lt;=0,N(P621)&lt;=0),"Menge pro Gebinde fehlt (Ist = 1 Gebinde); ","")&amp;BJ621)</f>
        <v/>
      </c>
      <c r="BC621" s="53" t="n"/>
      <c r="BD621" s="53" t="n"/>
      <c r="BE621" s="61" t="n"/>
      <c r="BF621" s="55" t="n">
        <v>1</v>
      </c>
      <c r="BG621" s="55" t="n">
        <v>11</v>
      </c>
      <c r="BH621" s="54" t="n">
        <v>3.02</v>
      </c>
      <c r="BI621" s="55" t="n">
        <v>0</v>
      </c>
      <c r="BJ621" s="53" t="inlineStr">
        <is>
          <t>Überbestand</t>
        </is>
      </c>
      <c r="BK621" s="58" t="n">
        <v>0</v>
      </c>
      <c r="BL621" s="58" t="n">
        <v>621</v>
      </c>
      <c r="BM621" s="53">
        <f>IF(S621&lt;&gt;"",UPPER(TRIM(S621)),IF(O621="","LOSE",O621))</f>
        <v/>
      </c>
      <c r="BN621" s="55">
        <f>IF(BM621="LOSE",1,IF(N(T621)&gt;0,T621,IF(N(P621)&gt;0,P621,MAX(1,G621))))</f>
        <v/>
      </c>
      <c r="BO621" s="58">
        <f>IF(BM621="LOSE",1,0)</f>
        <v/>
      </c>
      <c r="BP621" s="64">
        <f>IF(BO621=0,0,IF(N(R621)&gt;0,R621,IFERROR(VLOOKUP(D621,Parameter!$A$35:$C$64,3,0)+0,0)))</f>
        <v/>
      </c>
      <c r="BQ621" s="53">
        <f>IF(V621&lt;&gt;"",V621,U621)</f>
        <v/>
      </c>
      <c r="BR621" s="53">
        <f>IF(BQ621=1,"L1",IF(OR(BQ621=2,BQ621=3),"L23",IF(BQ621="Aussen","Aussen","-")))</f>
        <v/>
      </c>
      <c r="BS621" s="66">
        <f>IF(N(W621)&gt;0,W621,0)</f>
        <v/>
      </c>
      <c r="BT621" s="58">
        <f>IF(ISNUMBER(Z621),1,0)</f>
        <v/>
      </c>
      <c r="BU621" s="55">
        <f>N(Z621)</f>
        <v/>
      </c>
      <c r="BV621" s="55">
        <f>N(L621)+N(M621)</f>
        <v/>
      </c>
      <c r="BW621" s="55">
        <f>ROUNDUP(G621/BN621,0)</f>
        <v/>
      </c>
      <c r="BX621" s="55">
        <f>ROUNDUP(BU621/BN621,0)</f>
        <v/>
      </c>
      <c r="BY621" s="58">
        <f>IF(BO621=1,0,IFERROR(VLOOKUP(BM621,'Gebinde-Kategorie'!$A$5:$G$45,5,0)+0,0))</f>
        <v/>
      </c>
      <c r="BZ621" s="58">
        <f>IFERROR(IF(OR(BQ621=1,BQ621=2,BQ621=3),N(INDEX(Parameter!$I$5:$I$7,BQ621)),0),0)</f>
        <v/>
      </c>
    </row>
    <row r="622">
      <c r="A622" s="53" t="inlineStr">
        <is>
          <t>001133</t>
        </is>
      </c>
      <c r="B622" s="53" t="inlineStr">
        <is>
          <t>Schraubendreher Einsatz SPAX T-Plus</t>
        </is>
      </c>
      <c r="C622" s="53" t="inlineStr">
        <is>
          <t>F</t>
        </is>
      </c>
      <c r="D622" s="53" t="inlineStr">
        <is>
          <t>KTL</t>
        </is>
      </c>
      <c r="E622" s="53" t="inlineStr">
        <is>
          <t>C</t>
        </is>
      </c>
      <c r="F622" s="54" t="n">
        <v>2.97</v>
      </c>
      <c r="G622" s="55">
        <f>MAX(0,IF(Parameter!$B$20="Jahresanfang 2025 + Export",BG622+BF622,BF622))</f>
        <v/>
      </c>
      <c r="H622" s="55">
        <f>G622*F622</f>
        <v/>
      </c>
      <c r="I622" s="55">
        <f>BI622*Parameter!$B$18</f>
        <v/>
      </c>
      <c r="J622" s="56" t="n">
        <v>0.5</v>
      </c>
      <c r="K622" s="57" t="n">
        <v>0</v>
      </c>
      <c r="L622" s="55" t="n">
        <v>0</v>
      </c>
      <c r="M622" s="55" t="n">
        <v>1</v>
      </c>
      <c r="N622" s="58" t="n">
        <v>14</v>
      </c>
      <c r="O622" s="53" t="inlineStr">
        <is>
          <t>S21</t>
        </is>
      </c>
      <c r="P622" s="55" t="n">
        <v>20</v>
      </c>
      <c r="Q622" s="59">
        <f>IF(BO622=1,0,IFERROR(VLOOKUP(BM622,'Gebinde-Kategorie'!$A$5:$G$45,6,0)+0,0))</f>
        <v/>
      </c>
      <c r="R622" s="60" t="n"/>
      <c r="S622" s="61" t="n"/>
      <c r="T622" s="61" t="n"/>
      <c r="U622" s="53">
        <f>IF(A622="","",IF(IFERROR(VLOOKUP(D622,Parameter!$A$35:$C$64,2,0),"Nein")="2+3",IF(ISNUMBER(SEARCH("grosser Artikel",BJ622)),2,IFERROR(VLOOKUP(BM622,Parameter!$F$35:$G$64,2,0),2)),IF(OR(IFERROR(VLOOKUP(D622,Parameter!$A$35:$C$64,2,0),"Nein")="Nein",IFERROR(VLOOKUP(D622,Parameter!$A$35:$C$64,2,0),"Nein")=""),"-",VLOOKUP(D622,Parameter!$A$35:$C$64,2,0))))</f>
        <v/>
      </c>
      <c r="V622" s="61" t="n"/>
      <c r="W622" s="62" t="n"/>
      <c r="X622" s="55">
        <f>AM622</f>
        <v/>
      </c>
      <c r="Y622" s="55">
        <f>MAX(AM622,G622)</f>
        <v/>
      </c>
      <c r="Z622" s="63" t="n"/>
      <c r="AA622" s="55">
        <f>IF(LEFT(Cockpit!$C$5,1)="A",G622,IF(BT622=1,BU622,IF(LEFT(Cockpit!$C$5,1)="B",AE622,MAX(AE622,G622))))</f>
        <v/>
      </c>
      <c r="AB622" s="55">
        <f>IF(BO622=1,0,ROUNDUP(AA622/BN622,0))</f>
        <v/>
      </c>
      <c r="AC622" s="64">
        <f>IF(BO622=1,IF(AA622&lt;=0,0,BP622*MAX(1,IF(G622&gt;0,AA622/G622,1))),AB622*Q622)</f>
        <v/>
      </c>
      <c r="AD622" s="55">
        <f>AA622*F622</f>
        <v/>
      </c>
      <c r="AE622" s="55">
        <f>ROUNDUP(MAX(I622/IF(BS622&gt;0,BS622,MAX(0.1,N(Cockpit!$C$6))),BV622)/BN622,0)*BN622</f>
        <v/>
      </c>
      <c r="AF622" s="56">
        <f>IF(AC622&gt;0,I622/AC622,-1)</f>
        <v/>
      </c>
      <c r="AG622" s="56">
        <f>IF(AND(OR(BR622="L1",BR622="L23"),AC622&gt;0),SUMIFS($AC$7:$AC$1570,$BR$7:$BR$1570,BR622,$AF$7:$AF$1570,"&gt;"&amp;AF622)+SUMIFS($AC$7:$AC$1570,$BR$7:$BR$1570,BR622,$AF$7:$AF$1570,AF622,$BL$7:$BL$1570,"&lt;="&amp;BL622),"")</f>
        <v/>
      </c>
      <c r="AH622" s="65">
        <f>IF(AG622="",0,MAX(0,MIN(1,(IF(BR622="L1",Parameter!$K$5,Parameter!$K$6+Parameter!$K$7)-(AG622-AC622))/AC622)))</f>
        <v/>
      </c>
      <c r="AI622" s="55">
        <f>IF(LEFT(Cockpit!$I$5,1)="A",G622,IF(BT622=1,BU622,IF(LEFT(Cockpit!$I$5,1)="B",AM622,MAX(AM622,G622))))</f>
        <v/>
      </c>
      <c r="AJ622" s="55">
        <f>IF(BO622=1,0,ROUNDUP(AI622/BN622,0))</f>
        <v/>
      </c>
      <c r="AK622" s="64">
        <f>IF(BO622=1,IF(AI622&lt;=0,0,BP622*MAX(1,IF(G622&gt;0,AI622/G622,1))),AJ622*Q622)</f>
        <v/>
      </c>
      <c r="AL622" s="55">
        <f>AI622*F622</f>
        <v/>
      </c>
      <c r="AM622" s="55">
        <f>ROUNDUP(MAX(I622/IF(BS622&gt;0,BS622,MAX(0.1,N(Cockpit!$I$6))),BV622)/BN622,0)*BN622</f>
        <v/>
      </c>
      <c r="AN622" s="56">
        <f>IF(AK622&gt;0,I622/AK622,-1)</f>
        <v/>
      </c>
      <c r="AO622" s="56">
        <f>IF(AND(OR(BR622="L1",BR622="L23"),AK622&gt;0),SUMIFS($AK$7:$AK$1570,$BR$7:$BR$1570,BR622,$AN$7:$AN$1570,"&gt;"&amp;AN622)+SUMIFS($AK$7:$AK$1570,$BR$7:$BR$1570,BR622,$AN$7:$AN$1570,AN622,$BL$7:$BL$1570,"&lt;="&amp;BL622),"")</f>
        <v/>
      </c>
      <c r="AP622" s="65">
        <f>IF(AO622="",0,MAX(0,MIN(1,(IF(BR622="L1",Parameter!$K$5,Parameter!$K$6+Parameter!$K$7)-(AO622-AK622))/AK622)))</f>
        <v/>
      </c>
      <c r="AQ622" s="55">
        <f>IF(LEFT(Cockpit!$O$5,1)="A",G622,IF(BT622=1,BU622,IF(LEFT(Cockpit!$O$5,1)="B",AU622,MAX(AU622,G622))))</f>
        <v/>
      </c>
      <c r="AR622" s="55">
        <f>IF(BO622=1,0,ROUNDUP(AQ622/BN622,0))</f>
        <v/>
      </c>
      <c r="AS622" s="64">
        <f>IF(BO622=1,IF(AQ622&lt;=0,0,BP622*MAX(1,IF(G622&gt;0,AQ622/G622,1))),AR622*Q622)</f>
        <v/>
      </c>
      <c r="AT622" s="55">
        <f>AQ622*F622</f>
        <v/>
      </c>
      <c r="AU622" s="55">
        <f>ROUNDUP(MAX(I622/IF(BS622&gt;0,BS622,MAX(0.1,N(Cockpit!$O$6))),BV622)/BN622,0)*BN622</f>
        <v/>
      </c>
      <c r="AV622" s="56">
        <f>IF(AS622&gt;0,I622/AS622,-1)</f>
        <v/>
      </c>
      <c r="AW622" s="56">
        <f>IF(AND(OR(BR622="L1",BR622="L23"),AS622&gt;0),SUMIFS($AS$7:$AS$1570,$BR$7:$BR$1570,BR622,$AV$7:$AV$1570,"&gt;"&amp;AV622)+SUMIFS($AS$7:$AS$1570,$BR$7:$BR$1570,BR622,$AV$7:$AV$1570,AV622,$BL$7:$BL$1570,"&lt;="&amp;BL622),"")</f>
        <v/>
      </c>
      <c r="AX622" s="65">
        <f>IF(AW622="",0,MAX(0,MIN(1,(IF(BR622="L1",Parameter!$K$5,Parameter!$K$6+Parameter!$K$7)-(AW622-AS622))/AS622)))</f>
        <v/>
      </c>
      <c r="AY622" s="53">
        <f>IF(AC622&lt;=0,"",IF(BR622="Aussen","Aussenlager",IF(BR622="-","Nicht im Lift",IF(AH622&gt;=1,"Lift",IF(AH622&lt;=0,"Aussenlager","teilweise")))))</f>
        <v/>
      </c>
      <c r="AZ622" s="53">
        <f>IF(AK622&lt;=0,"",IF(BR622="Aussen","Aussenlager",IF(BR622="-","Nicht im Lift",IF(AP622&gt;=1,"Lift",IF(AP622&lt;=0,"Aussenlager","teilweise")))))</f>
        <v/>
      </c>
      <c r="BA622" s="53">
        <f>IF(AS622&lt;=0,"",IF(BR622="Aussen","Aussenlager",IF(BR622="-","Nicht im Lift",IF(AX622&gt;=1,"Lift",IF(AX622&lt;=0,"Aussenlager","teilweise")))))</f>
        <v/>
      </c>
      <c r="BB622" s="53">
        <f>IF(A622="","",IF(BK622=1,"Neu; ","")&amp;IF(AND(BK622=0,BF622&lt;0),"negativer Bestand (Export "&amp;BF622&amp;"); ","")&amp;IF(I622&lt;=0,"Kein Verbrauch; ","")&amp;IF(BO622=1,"Lose – Fläche geschätzt; ","")&amp;IF(G622&gt;AM622,"Überbestand "&amp;ROUND(G622-AM622,0)&amp;" Stk / CHF "&amp;ROUND((G622-AM622)*F622,0)&amp;"; ","")&amp;IF(AND(BT622=1,BU622&lt;BV622),"MAX &lt; MB+LG; ","")&amp;IF(AND(BZ622&gt;0,BY622*10&gt;BZ622),"zu hoch für Tablar; ","")&amp;IF(AND(BK622=0,OR(BT622=1,V622&lt;&gt;"",S622&lt;&gt;"",T622&lt;&gt;"",W622&lt;&gt;"")),"manuell übersteuert; ","")&amp;IF(AND(BO622=0,Q622=0),"Gebinde unbekannt; ","")&amp;IF(AND(BO622=0,N(T622)&lt;=0,N(P622)&lt;=0),"Menge pro Gebinde fehlt (Ist = 1 Gebinde); ","")&amp;BJ622)</f>
        <v/>
      </c>
      <c r="BC622" s="53" t="n"/>
      <c r="BD622" s="53" t="n"/>
      <c r="BE622" s="61" t="n"/>
      <c r="BF622" s="55" t="n">
        <v>1</v>
      </c>
      <c r="BG622" s="55" t="n">
        <v>0</v>
      </c>
      <c r="BH622" s="54" t="n">
        <v>2.97</v>
      </c>
      <c r="BI622" s="55" t="n">
        <v>0</v>
      </c>
      <c r="BJ622" s="53" t="inlineStr">
        <is>
          <t>Verb.Lager</t>
        </is>
      </c>
      <c r="BK622" s="58" t="n">
        <v>0</v>
      </c>
      <c r="BL622" s="58" t="n">
        <v>622</v>
      </c>
      <c r="BM622" s="53">
        <f>IF(S622&lt;&gt;"",UPPER(TRIM(S622)),IF(O622="","LOSE",O622))</f>
        <v/>
      </c>
      <c r="BN622" s="55">
        <f>IF(BM622="LOSE",1,IF(N(T622)&gt;0,T622,IF(N(P622)&gt;0,P622,MAX(1,G622))))</f>
        <v/>
      </c>
      <c r="BO622" s="58">
        <f>IF(BM622="LOSE",1,0)</f>
        <v/>
      </c>
      <c r="BP622" s="64">
        <f>IF(BO622=0,0,IF(N(R622)&gt;0,R622,IFERROR(VLOOKUP(D622,Parameter!$A$35:$C$64,3,0)+0,0)))</f>
        <v/>
      </c>
      <c r="BQ622" s="53">
        <f>IF(V622&lt;&gt;"",V622,U622)</f>
        <v/>
      </c>
      <c r="BR622" s="53">
        <f>IF(BQ622=1,"L1",IF(OR(BQ622=2,BQ622=3),"L23",IF(BQ622="Aussen","Aussen","-")))</f>
        <v/>
      </c>
      <c r="BS622" s="66">
        <f>IF(N(W622)&gt;0,W622,0)</f>
        <v/>
      </c>
      <c r="BT622" s="58">
        <f>IF(ISNUMBER(Z622),1,0)</f>
        <v/>
      </c>
      <c r="BU622" s="55">
        <f>N(Z622)</f>
        <v/>
      </c>
      <c r="BV622" s="55">
        <f>N(L622)+N(M622)</f>
        <v/>
      </c>
      <c r="BW622" s="55">
        <f>ROUNDUP(G622/BN622,0)</f>
        <v/>
      </c>
      <c r="BX622" s="55">
        <f>ROUNDUP(BU622/BN622,0)</f>
        <v/>
      </c>
      <c r="BY622" s="58">
        <f>IF(BO622=1,0,IFERROR(VLOOKUP(BM622,'Gebinde-Kategorie'!$A$5:$G$45,5,0)+0,0))</f>
        <v/>
      </c>
      <c r="BZ622" s="58">
        <f>IFERROR(IF(OR(BQ622=1,BQ622=2,BQ622=3),N(INDEX(Parameter!$I$5:$I$7,BQ622)),0),0)</f>
        <v/>
      </c>
    </row>
    <row r="623">
      <c r="A623" s="53" t="inlineStr">
        <is>
          <t>101656</t>
        </is>
      </c>
      <c r="B623" s="53" t="inlineStr">
        <is>
          <t>Schlauchnippel</t>
        </is>
      </c>
      <c r="C623" s="53" t="inlineStr">
        <is>
          <t>F</t>
        </is>
      </c>
      <c r="D623" s="53" t="inlineStr">
        <is>
          <t>KTL</t>
        </is>
      </c>
      <c r="E623" s="53" t="inlineStr">
        <is>
          <t>C</t>
        </is>
      </c>
      <c r="F623" s="54" t="n">
        <v>0.72</v>
      </c>
      <c r="G623" s="55">
        <f>MAX(0,IF(Parameter!$B$20="Jahresanfang 2025 + Export",BG623+BF623,BF623))</f>
        <v/>
      </c>
      <c r="H623" s="55">
        <f>G623*F623</f>
        <v/>
      </c>
      <c r="I623" s="55">
        <f>BI623*Parameter!$B$18</f>
        <v/>
      </c>
      <c r="J623" s="56" t="n">
        <v>117.5</v>
      </c>
      <c r="K623" s="57" t="n">
        <v>0</v>
      </c>
      <c r="L623" s="55" t="n">
        <v>0</v>
      </c>
      <c r="M623" s="55" t="n">
        <v>1</v>
      </c>
      <c r="N623" s="58" t="n">
        <v>21</v>
      </c>
      <c r="O623" s="53" t="inlineStr">
        <is>
          <t>S32</t>
        </is>
      </c>
      <c r="P623" s="55" t="n">
        <v>132</v>
      </c>
      <c r="Q623" s="59">
        <f>IF(BO623=1,0,IFERROR(VLOOKUP(BM623,'Gebinde-Kategorie'!$A$5:$G$45,6,0)+0,0))</f>
        <v/>
      </c>
      <c r="R623" s="60" t="n"/>
      <c r="S623" s="61" t="n"/>
      <c r="T623" s="61" t="n"/>
      <c r="U623" s="53">
        <f>IF(A623="","",IF(IFERROR(VLOOKUP(D623,Parameter!$A$35:$C$64,2,0),"Nein")="2+3",IF(ISNUMBER(SEARCH("grosser Artikel",BJ623)),2,IFERROR(VLOOKUP(BM623,Parameter!$F$35:$G$64,2,0),2)),IF(OR(IFERROR(VLOOKUP(D623,Parameter!$A$35:$C$64,2,0),"Nein")="Nein",IFERROR(VLOOKUP(D623,Parameter!$A$35:$C$64,2,0),"Nein")=""),"-",VLOOKUP(D623,Parameter!$A$35:$C$64,2,0))))</f>
        <v/>
      </c>
      <c r="V623" s="61" t="n"/>
      <c r="W623" s="62" t="n"/>
      <c r="X623" s="55">
        <f>AM623</f>
        <v/>
      </c>
      <c r="Y623" s="55">
        <f>MAX(AM623,G623)</f>
        <v/>
      </c>
      <c r="Z623" s="63" t="n"/>
      <c r="AA623" s="55">
        <f>IF(LEFT(Cockpit!$C$5,1)="A",G623,IF(BT623=1,BU623,IF(LEFT(Cockpit!$C$5,1)="B",AE623,MAX(AE623,G623))))</f>
        <v/>
      </c>
      <c r="AB623" s="55">
        <f>IF(BO623=1,0,ROUNDUP(AA623/BN623,0))</f>
        <v/>
      </c>
      <c r="AC623" s="64">
        <f>IF(BO623=1,IF(AA623&lt;=0,0,BP623*MAX(1,IF(G623&gt;0,AA623/G623,1))),AB623*Q623)</f>
        <v/>
      </c>
      <c r="AD623" s="55">
        <f>AA623*F623</f>
        <v/>
      </c>
      <c r="AE623" s="55">
        <f>ROUNDUP(MAX(I623/IF(BS623&gt;0,BS623,MAX(0.1,N(Cockpit!$C$6))),BV623)/BN623,0)*BN623</f>
        <v/>
      </c>
      <c r="AF623" s="56">
        <f>IF(AC623&gt;0,I623/AC623,-1)</f>
        <v/>
      </c>
      <c r="AG623" s="56">
        <f>IF(AND(OR(BR623="L1",BR623="L23"),AC623&gt;0),SUMIFS($AC$7:$AC$1570,$BR$7:$BR$1570,BR623,$AF$7:$AF$1570,"&gt;"&amp;AF623)+SUMIFS($AC$7:$AC$1570,$BR$7:$BR$1570,BR623,$AF$7:$AF$1570,AF623,$BL$7:$BL$1570,"&lt;="&amp;BL623),"")</f>
        <v/>
      </c>
      <c r="AH623" s="65">
        <f>IF(AG623="",0,MAX(0,MIN(1,(IF(BR623="L1",Parameter!$K$5,Parameter!$K$6+Parameter!$K$7)-(AG623-AC623))/AC623)))</f>
        <v/>
      </c>
      <c r="AI623" s="55">
        <f>IF(LEFT(Cockpit!$I$5,1)="A",G623,IF(BT623=1,BU623,IF(LEFT(Cockpit!$I$5,1)="B",AM623,MAX(AM623,G623))))</f>
        <v/>
      </c>
      <c r="AJ623" s="55">
        <f>IF(BO623=1,0,ROUNDUP(AI623/BN623,0))</f>
        <v/>
      </c>
      <c r="AK623" s="64">
        <f>IF(BO623=1,IF(AI623&lt;=0,0,BP623*MAX(1,IF(G623&gt;0,AI623/G623,1))),AJ623*Q623)</f>
        <v/>
      </c>
      <c r="AL623" s="55">
        <f>AI623*F623</f>
        <v/>
      </c>
      <c r="AM623" s="55">
        <f>ROUNDUP(MAX(I623/IF(BS623&gt;0,BS623,MAX(0.1,N(Cockpit!$I$6))),BV623)/BN623,0)*BN623</f>
        <v/>
      </c>
      <c r="AN623" s="56">
        <f>IF(AK623&gt;0,I623/AK623,-1)</f>
        <v/>
      </c>
      <c r="AO623" s="56">
        <f>IF(AND(OR(BR623="L1",BR623="L23"),AK623&gt;0),SUMIFS($AK$7:$AK$1570,$BR$7:$BR$1570,BR623,$AN$7:$AN$1570,"&gt;"&amp;AN623)+SUMIFS($AK$7:$AK$1570,$BR$7:$BR$1570,BR623,$AN$7:$AN$1570,AN623,$BL$7:$BL$1570,"&lt;="&amp;BL623),"")</f>
        <v/>
      </c>
      <c r="AP623" s="65">
        <f>IF(AO623="",0,MAX(0,MIN(1,(IF(BR623="L1",Parameter!$K$5,Parameter!$K$6+Parameter!$K$7)-(AO623-AK623))/AK623)))</f>
        <v/>
      </c>
      <c r="AQ623" s="55">
        <f>IF(LEFT(Cockpit!$O$5,1)="A",G623,IF(BT623=1,BU623,IF(LEFT(Cockpit!$O$5,1)="B",AU623,MAX(AU623,G623))))</f>
        <v/>
      </c>
      <c r="AR623" s="55">
        <f>IF(BO623=1,0,ROUNDUP(AQ623/BN623,0))</f>
        <v/>
      </c>
      <c r="AS623" s="64">
        <f>IF(BO623=1,IF(AQ623&lt;=0,0,BP623*MAX(1,IF(G623&gt;0,AQ623/G623,1))),AR623*Q623)</f>
        <v/>
      </c>
      <c r="AT623" s="55">
        <f>AQ623*F623</f>
        <v/>
      </c>
      <c r="AU623" s="55">
        <f>ROUNDUP(MAX(I623/IF(BS623&gt;0,BS623,MAX(0.1,N(Cockpit!$O$6))),BV623)/BN623,0)*BN623</f>
        <v/>
      </c>
      <c r="AV623" s="56">
        <f>IF(AS623&gt;0,I623/AS623,-1)</f>
        <v/>
      </c>
      <c r="AW623" s="56">
        <f>IF(AND(OR(BR623="L1",BR623="L23"),AS623&gt;0),SUMIFS($AS$7:$AS$1570,$BR$7:$BR$1570,BR623,$AV$7:$AV$1570,"&gt;"&amp;AV623)+SUMIFS($AS$7:$AS$1570,$BR$7:$BR$1570,BR623,$AV$7:$AV$1570,AV623,$BL$7:$BL$1570,"&lt;="&amp;BL623),"")</f>
        <v/>
      </c>
      <c r="AX623" s="65">
        <f>IF(AW623="",0,MAX(0,MIN(1,(IF(BR623="L1",Parameter!$K$5,Parameter!$K$6+Parameter!$K$7)-(AW623-AS623))/AS623)))</f>
        <v/>
      </c>
      <c r="AY623" s="53">
        <f>IF(AC623&lt;=0,"",IF(BR623="Aussen","Aussenlager",IF(BR623="-","Nicht im Lift",IF(AH623&gt;=1,"Lift",IF(AH623&lt;=0,"Aussenlager","teilweise")))))</f>
        <v/>
      </c>
      <c r="AZ623" s="53">
        <f>IF(AK623&lt;=0,"",IF(BR623="Aussen","Aussenlager",IF(BR623="-","Nicht im Lift",IF(AP623&gt;=1,"Lift",IF(AP623&lt;=0,"Aussenlager","teilweise")))))</f>
        <v/>
      </c>
      <c r="BA623" s="53">
        <f>IF(AS623&lt;=0,"",IF(BR623="Aussen","Aussenlager",IF(BR623="-","Nicht im Lift",IF(AX623&gt;=1,"Lift",IF(AX623&lt;=0,"Aussenlager","teilweise")))))</f>
        <v/>
      </c>
      <c r="BB623" s="53">
        <f>IF(A623="","",IF(BK623=1,"Neu; ","")&amp;IF(AND(BK623=0,BF623&lt;0),"negativer Bestand (Export "&amp;BF623&amp;"); ","")&amp;IF(I623&lt;=0,"Kein Verbrauch; ","")&amp;IF(BO623=1,"Lose – Fläche geschätzt; ","")&amp;IF(G623&gt;AM623,"Überbestand "&amp;ROUND(G623-AM623,0)&amp;" Stk / CHF "&amp;ROUND((G623-AM623)*F623,0)&amp;"; ","")&amp;IF(AND(BT623=1,BU623&lt;BV623),"MAX &lt; MB+LG; ","")&amp;IF(AND(BZ623&gt;0,BY623*10&gt;BZ623),"zu hoch für Tablar; ","")&amp;IF(AND(BK623=0,OR(BT623=1,V623&lt;&gt;"",S623&lt;&gt;"",T623&lt;&gt;"",W623&lt;&gt;"")),"manuell übersteuert; ","")&amp;IF(AND(BO623=0,Q623=0),"Gebinde unbekannt; ","")&amp;IF(AND(BO623=0,N(T623)&lt;=0,N(P623)&lt;=0),"Menge pro Gebinde fehlt (Ist = 1 Gebinde); ","")&amp;BJ623)</f>
        <v/>
      </c>
      <c r="BC623" s="53" t="n"/>
      <c r="BD623" s="53" t="n"/>
      <c r="BE623" s="61" t="n"/>
      <c r="BF623" s="55" t="n">
        <v>4</v>
      </c>
      <c r="BG623" s="55" t="n">
        <v>115</v>
      </c>
      <c r="BH623" s="54" t="n">
        <v>2.88</v>
      </c>
      <c r="BI623" s="55" t="n">
        <v>0</v>
      </c>
      <c r="BJ623" s="53" t="inlineStr"/>
      <c r="BK623" s="58" t="n">
        <v>0</v>
      </c>
      <c r="BL623" s="58" t="n">
        <v>623</v>
      </c>
      <c r="BM623" s="53">
        <f>IF(S623&lt;&gt;"",UPPER(TRIM(S623)),IF(O623="","LOSE",O623))</f>
        <v/>
      </c>
      <c r="BN623" s="55">
        <f>IF(BM623="LOSE",1,IF(N(T623)&gt;0,T623,IF(N(P623)&gt;0,P623,MAX(1,G623))))</f>
        <v/>
      </c>
      <c r="BO623" s="58">
        <f>IF(BM623="LOSE",1,0)</f>
        <v/>
      </c>
      <c r="BP623" s="64">
        <f>IF(BO623=0,0,IF(N(R623)&gt;0,R623,IFERROR(VLOOKUP(D623,Parameter!$A$35:$C$64,3,0)+0,0)))</f>
        <v/>
      </c>
      <c r="BQ623" s="53">
        <f>IF(V623&lt;&gt;"",V623,U623)</f>
        <v/>
      </c>
      <c r="BR623" s="53">
        <f>IF(BQ623=1,"L1",IF(OR(BQ623=2,BQ623=3),"L23",IF(BQ623="Aussen","Aussen","-")))</f>
        <v/>
      </c>
      <c r="BS623" s="66">
        <f>IF(N(W623)&gt;0,W623,0)</f>
        <v/>
      </c>
      <c r="BT623" s="58">
        <f>IF(ISNUMBER(Z623),1,0)</f>
        <v/>
      </c>
      <c r="BU623" s="55">
        <f>N(Z623)</f>
        <v/>
      </c>
      <c r="BV623" s="55">
        <f>N(L623)+N(M623)</f>
        <v/>
      </c>
      <c r="BW623" s="55">
        <f>ROUNDUP(G623/BN623,0)</f>
        <v/>
      </c>
      <c r="BX623" s="55">
        <f>ROUNDUP(BU623/BN623,0)</f>
        <v/>
      </c>
      <c r="BY623" s="58">
        <f>IF(BO623=1,0,IFERROR(VLOOKUP(BM623,'Gebinde-Kategorie'!$A$5:$G$45,5,0)+0,0))</f>
        <v/>
      </c>
      <c r="BZ623" s="58">
        <f>IFERROR(IF(OR(BQ623=1,BQ623=2,BQ623=3),N(INDEX(Parameter!$I$5:$I$7,BQ623)),0),0)</f>
        <v/>
      </c>
    </row>
    <row r="624">
      <c r="A624" s="53" t="inlineStr">
        <is>
          <t>105881</t>
        </is>
      </c>
      <c r="B624" s="53" t="inlineStr">
        <is>
          <t>Etikett</t>
        </is>
      </c>
      <c r="C624" s="53" t="inlineStr">
        <is>
          <t>F</t>
        </is>
      </c>
      <c r="D624" s="53" t="inlineStr">
        <is>
          <t>KTL</t>
        </is>
      </c>
      <c r="E624" s="53" t="inlineStr">
        <is>
          <t>C</t>
        </is>
      </c>
      <c r="F624" s="54" t="n">
        <v>0.05</v>
      </c>
      <c r="G624" s="55">
        <f>MAX(0,IF(Parameter!$B$20="Jahresanfang 2025 + Export",BG624+BF624,BF624))</f>
        <v/>
      </c>
      <c r="H624" s="55">
        <f>G624*F624</f>
        <v/>
      </c>
      <c r="I624" s="55">
        <f>BI624*Parameter!$B$18</f>
        <v/>
      </c>
      <c r="J624" s="56" t="n">
        <v>51.5</v>
      </c>
      <c r="K624" s="57" t="n">
        <v>0</v>
      </c>
      <c r="L624" s="55" t="n">
        <v>0</v>
      </c>
      <c r="M624" s="55" t="n">
        <v>25</v>
      </c>
      <c r="N624" s="58" t="n">
        <v>14</v>
      </c>
      <c r="O624" s="53" t="inlineStr">
        <is>
          <t>S21</t>
        </is>
      </c>
      <c r="P624" s="55" t="n">
        <v>100</v>
      </c>
      <c r="Q624" s="59">
        <f>IF(BO624=1,0,IFERROR(VLOOKUP(BM624,'Gebinde-Kategorie'!$A$5:$G$45,6,0)+0,0))</f>
        <v/>
      </c>
      <c r="R624" s="60" t="n"/>
      <c r="S624" s="61" t="n"/>
      <c r="T624" s="61" t="n"/>
      <c r="U624" s="53">
        <f>IF(A624="","",IF(IFERROR(VLOOKUP(D624,Parameter!$A$35:$C$64,2,0),"Nein")="2+3",IF(ISNUMBER(SEARCH("grosser Artikel",BJ624)),2,IFERROR(VLOOKUP(BM624,Parameter!$F$35:$G$64,2,0),2)),IF(OR(IFERROR(VLOOKUP(D624,Parameter!$A$35:$C$64,2,0),"Nein")="Nein",IFERROR(VLOOKUP(D624,Parameter!$A$35:$C$64,2,0),"Nein")=""),"-",VLOOKUP(D624,Parameter!$A$35:$C$64,2,0))))</f>
        <v/>
      </c>
      <c r="V624" s="61" t="n"/>
      <c r="W624" s="62" t="n"/>
      <c r="X624" s="55">
        <f>AM624</f>
        <v/>
      </c>
      <c r="Y624" s="55">
        <f>MAX(AM624,G624)</f>
        <v/>
      </c>
      <c r="Z624" s="63" t="n"/>
      <c r="AA624" s="55">
        <f>IF(LEFT(Cockpit!$C$5,1)="A",G624,IF(BT624=1,BU624,IF(LEFT(Cockpit!$C$5,1)="B",AE624,MAX(AE624,G624))))</f>
        <v/>
      </c>
      <c r="AB624" s="55">
        <f>IF(BO624=1,0,ROUNDUP(AA624/BN624,0))</f>
        <v/>
      </c>
      <c r="AC624" s="64">
        <f>IF(BO624=1,IF(AA624&lt;=0,0,BP624*MAX(1,IF(G624&gt;0,AA624/G624,1))),AB624*Q624)</f>
        <v/>
      </c>
      <c r="AD624" s="55">
        <f>AA624*F624</f>
        <v/>
      </c>
      <c r="AE624" s="55">
        <f>ROUNDUP(MAX(I624/IF(BS624&gt;0,BS624,MAX(0.1,N(Cockpit!$C$6))),BV624)/BN624,0)*BN624</f>
        <v/>
      </c>
      <c r="AF624" s="56">
        <f>IF(AC624&gt;0,I624/AC624,-1)</f>
        <v/>
      </c>
      <c r="AG624" s="56">
        <f>IF(AND(OR(BR624="L1",BR624="L23"),AC624&gt;0),SUMIFS($AC$7:$AC$1570,$BR$7:$BR$1570,BR624,$AF$7:$AF$1570,"&gt;"&amp;AF624)+SUMIFS($AC$7:$AC$1570,$BR$7:$BR$1570,BR624,$AF$7:$AF$1570,AF624,$BL$7:$BL$1570,"&lt;="&amp;BL624),"")</f>
        <v/>
      </c>
      <c r="AH624" s="65">
        <f>IF(AG624="",0,MAX(0,MIN(1,(IF(BR624="L1",Parameter!$K$5,Parameter!$K$6+Parameter!$K$7)-(AG624-AC624))/AC624)))</f>
        <v/>
      </c>
      <c r="AI624" s="55">
        <f>IF(LEFT(Cockpit!$I$5,1)="A",G624,IF(BT624=1,BU624,IF(LEFT(Cockpit!$I$5,1)="B",AM624,MAX(AM624,G624))))</f>
        <v/>
      </c>
      <c r="AJ624" s="55">
        <f>IF(BO624=1,0,ROUNDUP(AI624/BN624,0))</f>
        <v/>
      </c>
      <c r="AK624" s="64">
        <f>IF(BO624=1,IF(AI624&lt;=0,0,BP624*MAX(1,IF(G624&gt;0,AI624/G624,1))),AJ624*Q624)</f>
        <v/>
      </c>
      <c r="AL624" s="55">
        <f>AI624*F624</f>
        <v/>
      </c>
      <c r="AM624" s="55">
        <f>ROUNDUP(MAX(I624/IF(BS624&gt;0,BS624,MAX(0.1,N(Cockpit!$I$6))),BV624)/BN624,0)*BN624</f>
        <v/>
      </c>
      <c r="AN624" s="56">
        <f>IF(AK624&gt;0,I624/AK624,-1)</f>
        <v/>
      </c>
      <c r="AO624" s="56">
        <f>IF(AND(OR(BR624="L1",BR624="L23"),AK624&gt;0),SUMIFS($AK$7:$AK$1570,$BR$7:$BR$1570,BR624,$AN$7:$AN$1570,"&gt;"&amp;AN624)+SUMIFS($AK$7:$AK$1570,$BR$7:$BR$1570,BR624,$AN$7:$AN$1570,AN624,$BL$7:$BL$1570,"&lt;="&amp;BL624),"")</f>
        <v/>
      </c>
      <c r="AP624" s="65">
        <f>IF(AO624="",0,MAX(0,MIN(1,(IF(BR624="L1",Parameter!$K$5,Parameter!$K$6+Parameter!$K$7)-(AO624-AK624))/AK624)))</f>
        <v/>
      </c>
      <c r="AQ624" s="55">
        <f>IF(LEFT(Cockpit!$O$5,1)="A",G624,IF(BT624=1,BU624,IF(LEFT(Cockpit!$O$5,1)="B",AU624,MAX(AU624,G624))))</f>
        <v/>
      </c>
      <c r="AR624" s="55">
        <f>IF(BO624=1,0,ROUNDUP(AQ624/BN624,0))</f>
        <v/>
      </c>
      <c r="AS624" s="64">
        <f>IF(BO624=1,IF(AQ624&lt;=0,0,BP624*MAX(1,IF(G624&gt;0,AQ624/G624,1))),AR624*Q624)</f>
        <v/>
      </c>
      <c r="AT624" s="55">
        <f>AQ624*F624</f>
        <v/>
      </c>
      <c r="AU624" s="55">
        <f>ROUNDUP(MAX(I624/IF(BS624&gt;0,BS624,MAX(0.1,N(Cockpit!$O$6))),BV624)/BN624,0)*BN624</f>
        <v/>
      </c>
      <c r="AV624" s="56">
        <f>IF(AS624&gt;0,I624/AS624,-1)</f>
        <v/>
      </c>
      <c r="AW624" s="56">
        <f>IF(AND(OR(BR624="L1",BR624="L23"),AS624&gt;0),SUMIFS($AS$7:$AS$1570,$BR$7:$BR$1570,BR624,$AV$7:$AV$1570,"&gt;"&amp;AV624)+SUMIFS($AS$7:$AS$1570,$BR$7:$BR$1570,BR624,$AV$7:$AV$1570,AV624,$BL$7:$BL$1570,"&lt;="&amp;BL624),"")</f>
        <v/>
      </c>
      <c r="AX624" s="65">
        <f>IF(AW624="",0,MAX(0,MIN(1,(IF(BR624="L1",Parameter!$K$5,Parameter!$K$6+Parameter!$K$7)-(AW624-AS624))/AS624)))</f>
        <v/>
      </c>
      <c r="AY624" s="53">
        <f>IF(AC624&lt;=0,"",IF(BR624="Aussen","Aussenlager",IF(BR624="-","Nicht im Lift",IF(AH624&gt;=1,"Lift",IF(AH624&lt;=0,"Aussenlager","teilweise")))))</f>
        <v/>
      </c>
      <c r="AZ624" s="53">
        <f>IF(AK624&lt;=0,"",IF(BR624="Aussen","Aussenlager",IF(BR624="-","Nicht im Lift",IF(AP624&gt;=1,"Lift",IF(AP624&lt;=0,"Aussenlager","teilweise")))))</f>
        <v/>
      </c>
      <c r="BA624" s="53">
        <f>IF(AS624&lt;=0,"",IF(BR624="Aussen","Aussenlager",IF(BR624="-","Nicht im Lift",IF(AX624&gt;=1,"Lift",IF(AX624&lt;=0,"Aussenlager","teilweise")))))</f>
        <v/>
      </c>
      <c r="BB624" s="53">
        <f>IF(A624="","",IF(BK624=1,"Neu; ","")&amp;IF(AND(BK624=0,BF624&lt;0),"negativer Bestand (Export "&amp;BF624&amp;"); ","")&amp;IF(I624&lt;=0,"Kein Verbrauch; ","")&amp;IF(BO624=1,"Lose – Fläche geschätzt; ","")&amp;IF(G624&gt;AM624,"Überbestand "&amp;ROUND(G624-AM624,0)&amp;" Stk / CHF "&amp;ROUND((G624-AM624)*F624,0)&amp;"; ","")&amp;IF(AND(BT624=1,BU624&lt;BV624),"MAX &lt; MB+LG; ","")&amp;IF(AND(BZ624&gt;0,BY624*10&gt;BZ624),"zu hoch für Tablar; ","")&amp;IF(AND(BK624=0,OR(BT624=1,V624&lt;&gt;"",S624&lt;&gt;"",T624&lt;&gt;"",W624&lt;&gt;"")),"manuell übersteuert; ","")&amp;IF(AND(BO624=0,Q624=0),"Gebinde unbekannt; ","")&amp;IF(AND(BO624=0,N(T624)&lt;=0,N(P624)&lt;=0),"Menge pro Gebinde fehlt (Ist = 1 Gebinde); ","")&amp;BJ624)</f>
        <v/>
      </c>
      <c r="BC624" s="53" t="n"/>
      <c r="BD624" s="53" t="n"/>
      <c r="BE624" s="61" t="n"/>
      <c r="BF624" s="55" t="n">
        <v>56</v>
      </c>
      <c r="BG624" s="55" t="n">
        <v>10</v>
      </c>
      <c r="BH624" s="54" t="n">
        <v>2.799999999999999</v>
      </c>
      <c r="BI624" s="55" t="n">
        <v>0</v>
      </c>
      <c r="BJ624" s="53" t="inlineStr"/>
      <c r="BK624" s="58" t="n">
        <v>0</v>
      </c>
      <c r="BL624" s="58" t="n">
        <v>624</v>
      </c>
      <c r="BM624" s="53">
        <f>IF(S624&lt;&gt;"",UPPER(TRIM(S624)),IF(O624="","LOSE",O624))</f>
        <v/>
      </c>
      <c r="BN624" s="55">
        <f>IF(BM624="LOSE",1,IF(N(T624)&gt;0,T624,IF(N(P624)&gt;0,P624,MAX(1,G624))))</f>
        <v/>
      </c>
      <c r="BO624" s="58">
        <f>IF(BM624="LOSE",1,0)</f>
        <v/>
      </c>
      <c r="BP624" s="64">
        <f>IF(BO624=0,0,IF(N(R624)&gt;0,R624,IFERROR(VLOOKUP(D624,Parameter!$A$35:$C$64,3,0)+0,0)))</f>
        <v/>
      </c>
      <c r="BQ624" s="53">
        <f>IF(V624&lt;&gt;"",V624,U624)</f>
        <v/>
      </c>
      <c r="BR624" s="53">
        <f>IF(BQ624=1,"L1",IF(OR(BQ624=2,BQ624=3),"L23",IF(BQ624="Aussen","Aussen","-")))</f>
        <v/>
      </c>
      <c r="BS624" s="66">
        <f>IF(N(W624)&gt;0,W624,0)</f>
        <v/>
      </c>
      <c r="BT624" s="58">
        <f>IF(ISNUMBER(Z624),1,0)</f>
        <v/>
      </c>
      <c r="BU624" s="55">
        <f>N(Z624)</f>
        <v/>
      </c>
      <c r="BV624" s="55">
        <f>N(L624)+N(M624)</f>
        <v/>
      </c>
      <c r="BW624" s="55">
        <f>ROUNDUP(G624/BN624,0)</f>
        <v/>
      </c>
      <c r="BX624" s="55">
        <f>ROUNDUP(BU624/BN624,0)</f>
        <v/>
      </c>
      <c r="BY624" s="58">
        <f>IF(BO624=1,0,IFERROR(VLOOKUP(BM624,'Gebinde-Kategorie'!$A$5:$G$45,5,0)+0,0))</f>
        <v/>
      </c>
      <c r="BZ624" s="58">
        <f>IFERROR(IF(OR(BQ624=1,BQ624=2,BQ624=3),N(INDEX(Parameter!$I$5:$I$7,BQ624)),0),0)</f>
        <v/>
      </c>
    </row>
    <row r="625">
      <c r="A625" s="53" t="inlineStr">
        <is>
          <t>110970</t>
        </is>
      </c>
      <c r="B625" s="53" t="inlineStr">
        <is>
          <t>Unterlagsscheibe</t>
        </is>
      </c>
      <c r="C625" s="53" t="inlineStr">
        <is>
          <t>F</t>
        </is>
      </c>
      <c r="D625" s="53" t="inlineStr">
        <is>
          <t>A-BEZ</t>
        </is>
      </c>
      <c r="E625" s="53" t="inlineStr">
        <is>
          <t>C</t>
        </is>
      </c>
      <c r="F625" s="54" t="n">
        <v>0.54</v>
      </c>
      <c r="G625" s="55">
        <f>MAX(0,IF(Parameter!$B$20="Jahresanfang 2025 + Export",BG625+BF625,BF625))</f>
        <v/>
      </c>
      <c r="H625" s="55">
        <f>G625*F625</f>
        <v/>
      </c>
      <c r="I625" s="55">
        <f>BI625*Parameter!$B$18</f>
        <v/>
      </c>
      <c r="J625" s="56" t="n">
        <v>2</v>
      </c>
      <c r="K625" s="57" t="n">
        <v>48</v>
      </c>
      <c r="L625" s="55" t="n">
        <v>0</v>
      </c>
      <c r="M625" s="55" t="n">
        <v>100</v>
      </c>
      <c r="N625" s="58" t="n">
        <v>21</v>
      </c>
      <c r="O625" s="53" t="inlineStr">
        <is>
          <t>LOSE</t>
        </is>
      </c>
      <c r="P625" s="55" t="n"/>
      <c r="Q625" s="59">
        <f>IF(BO625=1,0,IFERROR(VLOOKUP(BM625,'Gebinde-Kategorie'!$A$5:$G$45,6,0)+0,0))</f>
        <v/>
      </c>
      <c r="R625" s="60" t="n"/>
      <c r="S625" s="61" t="n"/>
      <c r="T625" s="61" t="n"/>
      <c r="U625" s="53">
        <f>IF(A625="","",IF(IFERROR(VLOOKUP(D625,Parameter!$A$35:$C$64,2,0),"Nein")="2+3",IF(ISNUMBER(SEARCH("grosser Artikel",BJ625)),2,IFERROR(VLOOKUP(BM625,Parameter!$F$35:$G$64,2,0),2)),IF(OR(IFERROR(VLOOKUP(D625,Parameter!$A$35:$C$64,2,0),"Nein")="Nein",IFERROR(VLOOKUP(D625,Parameter!$A$35:$C$64,2,0),"Nein")=""),"-",VLOOKUP(D625,Parameter!$A$35:$C$64,2,0))))</f>
        <v/>
      </c>
      <c r="V625" s="61" t="n"/>
      <c r="W625" s="62" t="n"/>
      <c r="X625" s="55">
        <f>AM625</f>
        <v/>
      </c>
      <c r="Y625" s="55">
        <f>MAX(AM625,G625)</f>
        <v/>
      </c>
      <c r="Z625" s="63" t="n"/>
      <c r="AA625" s="55">
        <f>IF(LEFT(Cockpit!$C$5,1)="A",G625,IF(BT625=1,BU625,IF(LEFT(Cockpit!$C$5,1)="B",AE625,MAX(AE625,G625))))</f>
        <v/>
      </c>
      <c r="AB625" s="55">
        <f>IF(BO625=1,0,ROUNDUP(AA625/BN625,0))</f>
        <v/>
      </c>
      <c r="AC625" s="64">
        <f>IF(BO625=1,IF(AA625&lt;=0,0,BP625*MAX(1,IF(G625&gt;0,AA625/G625,1))),AB625*Q625)</f>
        <v/>
      </c>
      <c r="AD625" s="55">
        <f>AA625*F625</f>
        <v/>
      </c>
      <c r="AE625" s="55">
        <f>ROUNDUP(MAX(I625/IF(BS625&gt;0,BS625,MAX(0.1,N(Cockpit!$C$6))),BV625)/BN625,0)*BN625</f>
        <v/>
      </c>
      <c r="AF625" s="56">
        <f>IF(AC625&gt;0,I625/AC625,-1)</f>
        <v/>
      </c>
      <c r="AG625" s="56">
        <f>IF(AND(OR(BR625="L1",BR625="L23"),AC625&gt;0),SUMIFS($AC$7:$AC$1570,$BR$7:$BR$1570,BR625,$AF$7:$AF$1570,"&gt;"&amp;AF625)+SUMIFS($AC$7:$AC$1570,$BR$7:$BR$1570,BR625,$AF$7:$AF$1570,AF625,$BL$7:$BL$1570,"&lt;="&amp;BL625),"")</f>
        <v/>
      </c>
      <c r="AH625" s="65">
        <f>IF(AG625="",0,MAX(0,MIN(1,(IF(BR625="L1",Parameter!$K$5,Parameter!$K$6+Parameter!$K$7)-(AG625-AC625))/AC625)))</f>
        <v/>
      </c>
      <c r="AI625" s="55">
        <f>IF(LEFT(Cockpit!$I$5,1)="A",G625,IF(BT625=1,BU625,IF(LEFT(Cockpit!$I$5,1)="B",AM625,MAX(AM625,G625))))</f>
        <v/>
      </c>
      <c r="AJ625" s="55">
        <f>IF(BO625=1,0,ROUNDUP(AI625/BN625,0))</f>
        <v/>
      </c>
      <c r="AK625" s="64">
        <f>IF(BO625=1,IF(AI625&lt;=0,0,BP625*MAX(1,IF(G625&gt;0,AI625/G625,1))),AJ625*Q625)</f>
        <v/>
      </c>
      <c r="AL625" s="55">
        <f>AI625*F625</f>
        <v/>
      </c>
      <c r="AM625" s="55">
        <f>ROUNDUP(MAX(I625/IF(BS625&gt;0,BS625,MAX(0.1,N(Cockpit!$I$6))),BV625)/BN625,0)*BN625</f>
        <v/>
      </c>
      <c r="AN625" s="56">
        <f>IF(AK625&gt;0,I625/AK625,-1)</f>
        <v/>
      </c>
      <c r="AO625" s="56">
        <f>IF(AND(OR(BR625="L1",BR625="L23"),AK625&gt;0),SUMIFS($AK$7:$AK$1570,$BR$7:$BR$1570,BR625,$AN$7:$AN$1570,"&gt;"&amp;AN625)+SUMIFS($AK$7:$AK$1570,$BR$7:$BR$1570,BR625,$AN$7:$AN$1570,AN625,$BL$7:$BL$1570,"&lt;="&amp;BL625),"")</f>
        <v/>
      </c>
      <c r="AP625" s="65">
        <f>IF(AO625="",0,MAX(0,MIN(1,(IF(BR625="L1",Parameter!$K$5,Parameter!$K$6+Parameter!$K$7)-(AO625-AK625))/AK625)))</f>
        <v/>
      </c>
      <c r="AQ625" s="55">
        <f>IF(LEFT(Cockpit!$O$5,1)="A",G625,IF(BT625=1,BU625,IF(LEFT(Cockpit!$O$5,1)="B",AU625,MAX(AU625,G625))))</f>
        <v/>
      </c>
      <c r="AR625" s="55">
        <f>IF(BO625=1,0,ROUNDUP(AQ625/BN625,0))</f>
        <v/>
      </c>
      <c r="AS625" s="64">
        <f>IF(BO625=1,IF(AQ625&lt;=0,0,BP625*MAX(1,IF(G625&gt;0,AQ625/G625,1))),AR625*Q625)</f>
        <v/>
      </c>
      <c r="AT625" s="55">
        <f>AQ625*F625</f>
        <v/>
      </c>
      <c r="AU625" s="55">
        <f>ROUNDUP(MAX(I625/IF(BS625&gt;0,BS625,MAX(0.1,N(Cockpit!$O$6))),BV625)/BN625,0)*BN625</f>
        <v/>
      </c>
      <c r="AV625" s="56">
        <f>IF(AS625&gt;0,I625/AS625,-1)</f>
        <v/>
      </c>
      <c r="AW625" s="56">
        <f>IF(AND(OR(BR625="L1",BR625="L23"),AS625&gt;0),SUMIFS($AS$7:$AS$1570,$BR$7:$BR$1570,BR625,$AV$7:$AV$1570,"&gt;"&amp;AV625)+SUMIFS($AS$7:$AS$1570,$BR$7:$BR$1570,BR625,$AV$7:$AV$1570,AV625,$BL$7:$BL$1570,"&lt;="&amp;BL625),"")</f>
        <v/>
      </c>
      <c r="AX625" s="65">
        <f>IF(AW625="",0,MAX(0,MIN(1,(IF(BR625="L1",Parameter!$K$5,Parameter!$K$6+Parameter!$K$7)-(AW625-AS625))/AS625)))</f>
        <v/>
      </c>
      <c r="AY625" s="53">
        <f>IF(AC625&lt;=0,"",IF(BR625="Aussen","Aussenlager",IF(BR625="-","Nicht im Lift",IF(AH625&gt;=1,"Lift",IF(AH625&lt;=0,"Aussenlager","teilweise")))))</f>
        <v/>
      </c>
      <c r="AZ625" s="53">
        <f>IF(AK625&lt;=0,"",IF(BR625="Aussen","Aussenlager",IF(BR625="-","Nicht im Lift",IF(AP625&gt;=1,"Lift",IF(AP625&lt;=0,"Aussenlager","teilweise")))))</f>
        <v/>
      </c>
      <c r="BA625" s="53">
        <f>IF(AS625&lt;=0,"",IF(BR625="Aussen","Aussenlager",IF(BR625="-","Nicht im Lift",IF(AX625&gt;=1,"Lift",IF(AX625&lt;=0,"Aussenlager","teilweise")))))</f>
        <v/>
      </c>
      <c r="BB625" s="53">
        <f>IF(A625="","",IF(BK625=1,"Neu; ","")&amp;IF(AND(BK625=0,BF625&lt;0),"negativer Bestand (Export "&amp;BF625&amp;"); ","")&amp;IF(I625&lt;=0,"Kein Verbrauch; ","")&amp;IF(BO625=1,"Lose – Fläche geschätzt; ","")&amp;IF(G625&gt;AM625,"Überbestand "&amp;ROUND(G625-AM625,0)&amp;" Stk / CHF "&amp;ROUND((G625-AM625)*F625,0)&amp;"; ","")&amp;IF(AND(BT625=1,BU625&lt;BV625),"MAX &lt; MB+LG; ","")&amp;IF(AND(BZ625&gt;0,BY625*10&gt;BZ625),"zu hoch für Tablar; ","")&amp;IF(AND(BK625=0,OR(BT625=1,V625&lt;&gt;"",S625&lt;&gt;"",T625&lt;&gt;"",W625&lt;&gt;"")),"manuell übersteuert; ","")&amp;IF(AND(BO625=0,Q625=0),"Gebinde unbekannt; ","")&amp;IF(AND(BO625=0,N(T625)&lt;=0,N(P625)&lt;=0),"Menge pro Gebinde fehlt (Ist = 1 Gebinde); ","")&amp;BJ625)</f>
        <v/>
      </c>
      <c r="BC625" s="53" t="n"/>
      <c r="BD625" s="53" t="n"/>
      <c r="BE625" s="61" t="n"/>
      <c r="BF625" s="55" t="n">
        <v>4</v>
      </c>
      <c r="BG625" s="55" t="n">
        <v>0</v>
      </c>
      <c r="BH625" s="54" t="n">
        <v>2.159999999999997</v>
      </c>
      <c r="BI625" s="55" t="n">
        <v>96</v>
      </c>
      <c r="BJ625" s="53" t="inlineStr"/>
      <c r="BK625" s="58" t="n">
        <v>0</v>
      </c>
      <c r="BL625" s="58" t="n">
        <v>625</v>
      </c>
      <c r="BM625" s="53">
        <f>IF(S625&lt;&gt;"",UPPER(TRIM(S625)),IF(O625="","LOSE",O625))</f>
        <v/>
      </c>
      <c r="BN625" s="55">
        <f>IF(BM625="LOSE",1,IF(N(T625)&gt;0,T625,IF(N(P625)&gt;0,P625,MAX(1,G625))))</f>
        <v/>
      </c>
      <c r="BO625" s="58">
        <f>IF(BM625="LOSE",1,0)</f>
        <v/>
      </c>
      <c r="BP625" s="64">
        <f>IF(BO625=0,0,IF(N(R625)&gt;0,R625,IFERROR(VLOOKUP(D625,Parameter!$A$35:$C$64,3,0)+0,0)))</f>
        <v/>
      </c>
      <c r="BQ625" s="53">
        <f>IF(V625&lt;&gt;"",V625,U625)</f>
        <v/>
      </c>
      <c r="BR625" s="53">
        <f>IF(BQ625=1,"L1",IF(OR(BQ625=2,BQ625=3),"L23",IF(BQ625="Aussen","Aussen","-")))</f>
        <v/>
      </c>
      <c r="BS625" s="66">
        <f>IF(N(W625)&gt;0,W625,0)</f>
        <v/>
      </c>
      <c r="BT625" s="58">
        <f>IF(ISNUMBER(Z625),1,0)</f>
        <v/>
      </c>
      <c r="BU625" s="55">
        <f>N(Z625)</f>
        <v/>
      </c>
      <c r="BV625" s="55">
        <f>N(L625)+N(M625)</f>
        <v/>
      </c>
      <c r="BW625" s="55">
        <f>ROUNDUP(G625/BN625,0)</f>
        <v/>
      </c>
      <c r="BX625" s="55">
        <f>ROUNDUP(BU625/BN625,0)</f>
        <v/>
      </c>
      <c r="BY625" s="58">
        <f>IF(BO625=1,0,IFERROR(VLOOKUP(BM625,'Gebinde-Kategorie'!$A$5:$G$45,5,0)+0,0))</f>
        <v/>
      </c>
      <c r="BZ625" s="58">
        <f>IFERROR(IF(OR(BQ625=1,BQ625=2,BQ625=3),N(INDEX(Parameter!$I$5:$I$7,BQ625)),0),0)</f>
        <v/>
      </c>
    </row>
    <row r="626">
      <c r="A626" s="53" t="inlineStr">
        <is>
          <t>101646</t>
        </is>
      </c>
      <c r="B626" s="53" t="inlineStr">
        <is>
          <t>Unterlagsscheibe</t>
        </is>
      </c>
      <c r="C626" s="53" t="inlineStr">
        <is>
          <t>F</t>
        </is>
      </c>
      <c r="D626" s="53" t="inlineStr">
        <is>
          <t>KTL</t>
        </is>
      </c>
      <c r="E626" s="53" t="inlineStr">
        <is>
          <t>C</t>
        </is>
      </c>
      <c r="F626" s="54" t="n">
        <v>0.01</v>
      </c>
      <c r="G626" s="55">
        <f>MAX(0,IF(Parameter!$B$20="Jahresanfang 2025 + Export",BG626+BF626,BF626))</f>
        <v/>
      </c>
      <c r="H626" s="55">
        <f>G626*F626</f>
        <v/>
      </c>
      <c r="I626" s="55">
        <f>BI626*Parameter!$B$18</f>
        <v/>
      </c>
      <c r="J626" s="56" t="n">
        <v>3704</v>
      </c>
      <c r="K626" s="57" t="n">
        <v>0.1630669546436285</v>
      </c>
      <c r="L626" s="55" t="n">
        <v>35</v>
      </c>
      <c r="M626" s="55" t="n">
        <v>605</v>
      </c>
      <c r="N626" s="58" t="n">
        <v>21</v>
      </c>
      <c r="O626" s="53" t="inlineStr">
        <is>
          <t>S33</t>
        </is>
      </c>
      <c r="P626" s="55" t="n">
        <v>6007</v>
      </c>
      <c r="Q626" s="59">
        <f>IF(BO626=1,0,IFERROR(VLOOKUP(BM626,'Gebinde-Kategorie'!$A$5:$G$45,6,0)+0,0))</f>
        <v/>
      </c>
      <c r="R626" s="60" t="n"/>
      <c r="S626" s="61" t="n"/>
      <c r="T626" s="61" t="n"/>
      <c r="U626" s="53">
        <f>IF(A626="","",IF(IFERROR(VLOOKUP(D626,Parameter!$A$35:$C$64,2,0),"Nein")="2+3",IF(ISNUMBER(SEARCH("grosser Artikel",BJ626)),2,IFERROR(VLOOKUP(BM626,Parameter!$F$35:$G$64,2,0),2)),IF(OR(IFERROR(VLOOKUP(D626,Parameter!$A$35:$C$64,2,0),"Nein")="Nein",IFERROR(VLOOKUP(D626,Parameter!$A$35:$C$64,2,0),"Nein")=""),"-",VLOOKUP(D626,Parameter!$A$35:$C$64,2,0))))</f>
        <v/>
      </c>
      <c r="V626" s="61" t="n"/>
      <c r="W626" s="62" t="n"/>
      <c r="X626" s="55">
        <f>AM626</f>
        <v/>
      </c>
      <c r="Y626" s="55">
        <f>MAX(AM626,G626)</f>
        <v/>
      </c>
      <c r="Z626" s="63" t="n"/>
      <c r="AA626" s="55">
        <f>IF(LEFT(Cockpit!$C$5,1)="A",G626,IF(BT626=1,BU626,IF(LEFT(Cockpit!$C$5,1)="B",AE626,MAX(AE626,G626))))</f>
        <v/>
      </c>
      <c r="AB626" s="55">
        <f>IF(BO626=1,0,ROUNDUP(AA626/BN626,0))</f>
        <v/>
      </c>
      <c r="AC626" s="64">
        <f>IF(BO626=1,IF(AA626&lt;=0,0,BP626*MAX(1,IF(G626&gt;0,AA626/G626,1))),AB626*Q626)</f>
        <v/>
      </c>
      <c r="AD626" s="55">
        <f>AA626*F626</f>
        <v/>
      </c>
      <c r="AE626" s="55">
        <f>ROUNDUP(MAX(I626/IF(BS626&gt;0,BS626,MAX(0.1,N(Cockpit!$C$6))),BV626)/BN626,0)*BN626</f>
        <v/>
      </c>
      <c r="AF626" s="56">
        <f>IF(AC626&gt;0,I626/AC626,-1)</f>
        <v/>
      </c>
      <c r="AG626" s="56">
        <f>IF(AND(OR(BR626="L1",BR626="L23"),AC626&gt;0),SUMIFS($AC$7:$AC$1570,$BR$7:$BR$1570,BR626,$AF$7:$AF$1570,"&gt;"&amp;AF626)+SUMIFS($AC$7:$AC$1570,$BR$7:$BR$1570,BR626,$AF$7:$AF$1570,AF626,$BL$7:$BL$1570,"&lt;="&amp;BL626),"")</f>
        <v/>
      </c>
      <c r="AH626" s="65">
        <f>IF(AG626="",0,MAX(0,MIN(1,(IF(BR626="L1",Parameter!$K$5,Parameter!$K$6+Parameter!$K$7)-(AG626-AC626))/AC626)))</f>
        <v/>
      </c>
      <c r="AI626" s="55">
        <f>IF(LEFT(Cockpit!$I$5,1)="A",G626,IF(BT626=1,BU626,IF(LEFT(Cockpit!$I$5,1)="B",AM626,MAX(AM626,G626))))</f>
        <v/>
      </c>
      <c r="AJ626" s="55">
        <f>IF(BO626=1,0,ROUNDUP(AI626/BN626,0))</f>
        <v/>
      </c>
      <c r="AK626" s="64">
        <f>IF(BO626=1,IF(AI626&lt;=0,0,BP626*MAX(1,IF(G626&gt;0,AI626/G626,1))),AJ626*Q626)</f>
        <v/>
      </c>
      <c r="AL626" s="55">
        <f>AI626*F626</f>
        <v/>
      </c>
      <c r="AM626" s="55">
        <f>ROUNDUP(MAX(I626/IF(BS626&gt;0,BS626,MAX(0.1,N(Cockpit!$I$6))),BV626)/BN626,0)*BN626</f>
        <v/>
      </c>
      <c r="AN626" s="56">
        <f>IF(AK626&gt;0,I626/AK626,-1)</f>
        <v/>
      </c>
      <c r="AO626" s="56">
        <f>IF(AND(OR(BR626="L1",BR626="L23"),AK626&gt;0),SUMIFS($AK$7:$AK$1570,$BR$7:$BR$1570,BR626,$AN$7:$AN$1570,"&gt;"&amp;AN626)+SUMIFS($AK$7:$AK$1570,$BR$7:$BR$1570,BR626,$AN$7:$AN$1570,AN626,$BL$7:$BL$1570,"&lt;="&amp;BL626),"")</f>
        <v/>
      </c>
      <c r="AP626" s="65">
        <f>IF(AO626="",0,MAX(0,MIN(1,(IF(BR626="L1",Parameter!$K$5,Parameter!$K$6+Parameter!$K$7)-(AO626-AK626))/AK626)))</f>
        <v/>
      </c>
      <c r="AQ626" s="55">
        <f>IF(LEFT(Cockpit!$O$5,1)="A",G626,IF(BT626=1,BU626,IF(LEFT(Cockpit!$O$5,1)="B",AU626,MAX(AU626,G626))))</f>
        <v/>
      </c>
      <c r="AR626" s="55">
        <f>IF(BO626=1,0,ROUNDUP(AQ626/BN626,0))</f>
        <v/>
      </c>
      <c r="AS626" s="64">
        <f>IF(BO626=1,IF(AQ626&lt;=0,0,BP626*MAX(1,IF(G626&gt;0,AQ626/G626,1))),AR626*Q626)</f>
        <v/>
      </c>
      <c r="AT626" s="55">
        <f>AQ626*F626</f>
        <v/>
      </c>
      <c r="AU626" s="55">
        <f>ROUNDUP(MAX(I626/IF(BS626&gt;0,BS626,MAX(0.1,N(Cockpit!$O$6))),BV626)/BN626,0)*BN626</f>
        <v/>
      </c>
      <c r="AV626" s="56">
        <f>IF(AS626&gt;0,I626/AS626,-1)</f>
        <v/>
      </c>
      <c r="AW626" s="56">
        <f>IF(AND(OR(BR626="L1",BR626="L23"),AS626&gt;0),SUMIFS($AS$7:$AS$1570,$BR$7:$BR$1570,BR626,$AV$7:$AV$1570,"&gt;"&amp;AV626)+SUMIFS($AS$7:$AS$1570,$BR$7:$BR$1570,BR626,$AV$7:$AV$1570,AV626,$BL$7:$BL$1570,"&lt;="&amp;BL626),"")</f>
        <v/>
      </c>
      <c r="AX626" s="65">
        <f>IF(AW626="",0,MAX(0,MIN(1,(IF(BR626="L1",Parameter!$K$5,Parameter!$K$6+Parameter!$K$7)-(AW626-AS626))/AS626)))</f>
        <v/>
      </c>
      <c r="AY626" s="53">
        <f>IF(AC626&lt;=0,"",IF(BR626="Aussen","Aussenlager",IF(BR626="-","Nicht im Lift",IF(AH626&gt;=1,"Lift",IF(AH626&lt;=0,"Aussenlager","teilweise")))))</f>
        <v/>
      </c>
      <c r="AZ626" s="53">
        <f>IF(AK626&lt;=0,"",IF(BR626="Aussen","Aussenlager",IF(BR626="-","Nicht im Lift",IF(AP626&gt;=1,"Lift",IF(AP626&lt;=0,"Aussenlager","teilweise")))))</f>
        <v/>
      </c>
      <c r="BA626" s="53">
        <f>IF(AS626&lt;=0,"",IF(BR626="Aussen","Aussenlager",IF(BR626="-","Nicht im Lift",IF(AX626&gt;=1,"Lift",IF(AX626&lt;=0,"Aussenlager","teilweise")))))</f>
        <v/>
      </c>
      <c r="BB626" s="53">
        <f>IF(A626="","",IF(BK626=1,"Neu; ","")&amp;IF(AND(BK626=0,BF626&lt;0),"negativer Bestand (Export "&amp;BF626&amp;"); ","")&amp;IF(I626&lt;=0,"Kein Verbrauch; ","")&amp;IF(BO626=1,"Lose – Fläche geschätzt; ","")&amp;IF(G626&gt;AM626,"Überbestand "&amp;ROUND(G626-AM626,0)&amp;" Stk / CHF "&amp;ROUND((G626-AM626)*F626,0)&amp;"; ","")&amp;IF(AND(BT626=1,BU626&lt;BV626),"MAX &lt; MB+LG; ","")&amp;IF(AND(BZ626&gt;0,BY626*10&gt;BZ626),"zu hoch für Tablar; ","")&amp;IF(AND(BK626=0,OR(BT626=1,V626&lt;&gt;"",S626&lt;&gt;"",T626&lt;&gt;"",W626&lt;&gt;"")),"manuell übersteuert; ","")&amp;IF(AND(BO626=0,Q626=0),"Gebinde unbekannt; ","")&amp;IF(AND(BO626=0,N(T626)&lt;=0,N(P626)&lt;=0),"Menge pro Gebinde fehlt (Ist = 1 Gebinde); ","")&amp;BJ626)</f>
        <v/>
      </c>
      <c r="BC626" s="53" t="n"/>
      <c r="BD626" s="53" t="n"/>
      <c r="BE626" s="61" t="n"/>
      <c r="BF626" s="55" t="n">
        <v>200</v>
      </c>
      <c r="BG626" s="55" t="n">
        <v>3384</v>
      </c>
      <c r="BH626" s="54" t="n">
        <v>1.999999999999999</v>
      </c>
      <c r="BI626" s="55" t="n">
        <v>604</v>
      </c>
      <c r="BJ626" s="53" t="inlineStr">
        <is>
          <t>Überbestand</t>
        </is>
      </c>
      <c r="BK626" s="58" t="n">
        <v>0</v>
      </c>
      <c r="BL626" s="58" t="n">
        <v>626</v>
      </c>
      <c r="BM626" s="53">
        <f>IF(S626&lt;&gt;"",UPPER(TRIM(S626)),IF(O626="","LOSE",O626))</f>
        <v/>
      </c>
      <c r="BN626" s="55">
        <f>IF(BM626="LOSE",1,IF(N(T626)&gt;0,T626,IF(N(P626)&gt;0,P626,MAX(1,G626))))</f>
        <v/>
      </c>
      <c r="BO626" s="58">
        <f>IF(BM626="LOSE",1,0)</f>
        <v/>
      </c>
      <c r="BP626" s="64">
        <f>IF(BO626=0,0,IF(N(R626)&gt;0,R626,IFERROR(VLOOKUP(D626,Parameter!$A$35:$C$64,3,0)+0,0)))</f>
        <v/>
      </c>
      <c r="BQ626" s="53">
        <f>IF(V626&lt;&gt;"",V626,U626)</f>
        <v/>
      </c>
      <c r="BR626" s="53">
        <f>IF(BQ626=1,"L1",IF(OR(BQ626=2,BQ626=3),"L23",IF(BQ626="Aussen","Aussen","-")))</f>
        <v/>
      </c>
      <c r="BS626" s="66">
        <f>IF(N(W626)&gt;0,W626,0)</f>
        <v/>
      </c>
      <c r="BT626" s="58">
        <f>IF(ISNUMBER(Z626),1,0)</f>
        <v/>
      </c>
      <c r="BU626" s="55">
        <f>N(Z626)</f>
        <v/>
      </c>
      <c r="BV626" s="55">
        <f>N(L626)+N(M626)</f>
        <v/>
      </c>
      <c r="BW626" s="55">
        <f>ROUNDUP(G626/BN626,0)</f>
        <v/>
      </c>
      <c r="BX626" s="55">
        <f>ROUNDUP(BU626/BN626,0)</f>
        <v/>
      </c>
      <c r="BY626" s="58">
        <f>IF(BO626=1,0,IFERROR(VLOOKUP(BM626,'Gebinde-Kategorie'!$A$5:$G$45,5,0)+0,0))</f>
        <v/>
      </c>
      <c r="BZ626" s="58">
        <f>IFERROR(IF(OR(BQ626=1,BQ626=2,BQ626=3),N(INDEX(Parameter!$I$5:$I$7,BQ626)),0),0)</f>
        <v/>
      </c>
    </row>
    <row r="627">
      <c r="A627" s="53" t="inlineStr">
        <is>
          <t>102398</t>
        </is>
      </c>
      <c r="B627" s="53" t="inlineStr">
        <is>
          <t>Etikett</t>
        </is>
      </c>
      <c r="C627" s="53" t="inlineStr">
        <is>
          <t>F</t>
        </is>
      </c>
      <c r="D627" s="53" t="inlineStr">
        <is>
          <t>KTL</t>
        </is>
      </c>
      <c r="E627" s="53" t="inlineStr">
        <is>
          <t>C</t>
        </is>
      </c>
      <c r="F627" s="54" t="n">
        <v>0.05</v>
      </c>
      <c r="G627" s="55">
        <f>MAX(0,IF(Parameter!$B$20="Jahresanfang 2025 + Export",BG627+BF627,BF627))</f>
        <v/>
      </c>
      <c r="H627" s="55">
        <f>G627*F627</f>
        <v/>
      </c>
      <c r="I627" s="55">
        <f>BI627*Parameter!$B$18</f>
        <v/>
      </c>
      <c r="J627" s="56" t="n">
        <v>67</v>
      </c>
      <c r="K627" s="57" t="n">
        <v>0</v>
      </c>
      <c r="L627" s="55" t="n">
        <v>0</v>
      </c>
      <c r="M627" s="55" t="n">
        <v>1</v>
      </c>
      <c r="N627" s="58" t="n">
        <v>14</v>
      </c>
      <c r="O627" s="53" t="inlineStr">
        <is>
          <t>S21</t>
        </is>
      </c>
      <c r="P627" s="55" t="n">
        <v>91</v>
      </c>
      <c r="Q627" s="59">
        <f>IF(BO627=1,0,IFERROR(VLOOKUP(BM627,'Gebinde-Kategorie'!$A$5:$G$45,6,0)+0,0))</f>
        <v/>
      </c>
      <c r="R627" s="60" t="n"/>
      <c r="S627" s="61" t="n"/>
      <c r="T627" s="61" t="n"/>
      <c r="U627" s="53">
        <f>IF(A627="","",IF(IFERROR(VLOOKUP(D627,Parameter!$A$35:$C$64,2,0),"Nein")="2+3",IF(ISNUMBER(SEARCH("grosser Artikel",BJ627)),2,IFERROR(VLOOKUP(BM627,Parameter!$F$35:$G$64,2,0),2)),IF(OR(IFERROR(VLOOKUP(D627,Parameter!$A$35:$C$64,2,0),"Nein")="Nein",IFERROR(VLOOKUP(D627,Parameter!$A$35:$C$64,2,0),"Nein")=""),"-",VLOOKUP(D627,Parameter!$A$35:$C$64,2,0))))</f>
        <v/>
      </c>
      <c r="V627" s="61" t="n"/>
      <c r="W627" s="62" t="n"/>
      <c r="X627" s="55">
        <f>AM627</f>
        <v/>
      </c>
      <c r="Y627" s="55">
        <f>MAX(AM627,G627)</f>
        <v/>
      </c>
      <c r="Z627" s="63" t="n"/>
      <c r="AA627" s="55">
        <f>IF(LEFT(Cockpit!$C$5,1)="A",G627,IF(BT627=1,BU627,IF(LEFT(Cockpit!$C$5,1)="B",AE627,MAX(AE627,G627))))</f>
        <v/>
      </c>
      <c r="AB627" s="55">
        <f>IF(BO627=1,0,ROUNDUP(AA627/BN627,0))</f>
        <v/>
      </c>
      <c r="AC627" s="64">
        <f>IF(BO627=1,IF(AA627&lt;=0,0,BP627*MAX(1,IF(G627&gt;0,AA627/G627,1))),AB627*Q627)</f>
        <v/>
      </c>
      <c r="AD627" s="55">
        <f>AA627*F627</f>
        <v/>
      </c>
      <c r="AE627" s="55">
        <f>ROUNDUP(MAX(I627/IF(BS627&gt;0,BS627,MAX(0.1,N(Cockpit!$C$6))),BV627)/BN627,0)*BN627</f>
        <v/>
      </c>
      <c r="AF627" s="56">
        <f>IF(AC627&gt;0,I627/AC627,-1)</f>
        <v/>
      </c>
      <c r="AG627" s="56">
        <f>IF(AND(OR(BR627="L1",BR627="L23"),AC627&gt;0),SUMIFS($AC$7:$AC$1570,$BR$7:$BR$1570,BR627,$AF$7:$AF$1570,"&gt;"&amp;AF627)+SUMIFS($AC$7:$AC$1570,$BR$7:$BR$1570,BR627,$AF$7:$AF$1570,AF627,$BL$7:$BL$1570,"&lt;="&amp;BL627),"")</f>
        <v/>
      </c>
      <c r="AH627" s="65">
        <f>IF(AG627="",0,MAX(0,MIN(1,(IF(BR627="L1",Parameter!$K$5,Parameter!$K$6+Parameter!$K$7)-(AG627-AC627))/AC627)))</f>
        <v/>
      </c>
      <c r="AI627" s="55">
        <f>IF(LEFT(Cockpit!$I$5,1)="A",G627,IF(BT627=1,BU627,IF(LEFT(Cockpit!$I$5,1)="B",AM627,MAX(AM627,G627))))</f>
        <v/>
      </c>
      <c r="AJ627" s="55">
        <f>IF(BO627=1,0,ROUNDUP(AI627/BN627,0))</f>
        <v/>
      </c>
      <c r="AK627" s="64">
        <f>IF(BO627=1,IF(AI627&lt;=0,0,BP627*MAX(1,IF(G627&gt;0,AI627/G627,1))),AJ627*Q627)</f>
        <v/>
      </c>
      <c r="AL627" s="55">
        <f>AI627*F627</f>
        <v/>
      </c>
      <c r="AM627" s="55">
        <f>ROUNDUP(MAX(I627/IF(BS627&gt;0,BS627,MAX(0.1,N(Cockpit!$I$6))),BV627)/BN627,0)*BN627</f>
        <v/>
      </c>
      <c r="AN627" s="56">
        <f>IF(AK627&gt;0,I627/AK627,-1)</f>
        <v/>
      </c>
      <c r="AO627" s="56">
        <f>IF(AND(OR(BR627="L1",BR627="L23"),AK627&gt;0),SUMIFS($AK$7:$AK$1570,$BR$7:$BR$1570,BR627,$AN$7:$AN$1570,"&gt;"&amp;AN627)+SUMIFS($AK$7:$AK$1570,$BR$7:$BR$1570,BR627,$AN$7:$AN$1570,AN627,$BL$7:$BL$1570,"&lt;="&amp;BL627),"")</f>
        <v/>
      </c>
      <c r="AP627" s="65">
        <f>IF(AO627="",0,MAX(0,MIN(1,(IF(BR627="L1",Parameter!$K$5,Parameter!$K$6+Parameter!$K$7)-(AO627-AK627))/AK627)))</f>
        <v/>
      </c>
      <c r="AQ627" s="55">
        <f>IF(LEFT(Cockpit!$O$5,1)="A",G627,IF(BT627=1,BU627,IF(LEFT(Cockpit!$O$5,1)="B",AU627,MAX(AU627,G627))))</f>
        <v/>
      </c>
      <c r="AR627" s="55">
        <f>IF(BO627=1,0,ROUNDUP(AQ627/BN627,0))</f>
        <v/>
      </c>
      <c r="AS627" s="64">
        <f>IF(BO627=1,IF(AQ627&lt;=0,0,BP627*MAX(1,IF(G627&gt;0,AQ627/G627,1))),AR627*Q627)</f>
        <v/>
      </c>
      <c r="AT627" s="55">
        <f>AQ627*F627</f>
        <v/>
      </c>
      <c r="AU627" s="55">
        <f>ROUNDUP(MAX(I627/IF(BS627&gt;0,BS627,MAX(0.1,N(Cockpit!$O$6))),BV627)/BN627,0)*BN627</f>
        <v/>
      </c>
      <c r="AV627" s="56">
        <f>IF(AS627&gt;0,I627/AS627,-1)</f>
        <v/>
      </c>
      <c r="AW627" s="56">
        <f>IF(AND(OR(BR627="L1",BR627="L23"),AS627&gt;0),SUMIFS($AS$7:$AS$1570,$BR$7:$BR$1570,BR627,$AV$7:$AV$1570,"&gt;"&amp;AV627)+SUMIFS($AS$7:$AS$1570,$BR$7:$BR$1570,BR627,$AV$7:$AV$1570,AV627,$BL$7:$BL$1570,"&lt;="&amp;BL627),"")</f>
        <v/>
      </c>
      <c r="AX627" s="65">
        <f>IF(AW627="",0,MAX(0,MIN(1,(IF(BR627="L1",Parameter!$K$5,Parameter!$K$6+Parameter!$K$7)-(AW627-AS627))/AS627)))</f>
        <v/>
      </c>
      <c r="AY627" s="53">
        <f>IF(AC627&lt;=0,"",IF(BR627="Aussen","Aussenlager",IF(BR627="-","Nicht im Lift",IF(AH627&gt;=1,"Lift",IF(AH627&lt;=0,"Aussenlager","teilweise")))))</f>
        <v/>
      </c>
      <c r="AZ627" s="53">
        <f>IF(AK627&lt;=0,"",IF(BR627="Aussen","Aussenlager",IF(BR627="-","Nicht im Lift",IF(AP627&gt;=1,"Lift",IF(AP627&lt;=0,"Aussenlager","teilweise")))))</f>
        <v/>
      </c>
      <c r="BA627" s="53">
        <f>IF(AS627&lt;=0,"",IF(BR627="Aussen","Aussenlager",IF(BR627="-","Nicht im Lift",IF(AX627&gt;=1,"Lift",IF(AX627&lt;=0,"Aussenlager","teilweise")))))</f>
        <v/>
      </c>
      <c r="BB627" s="53">
        <f>IF(A627="","",IF(BK627=1,"Neu; ","")&amp;IF(AND(BK627=0,BF627&lt;0),"negativer Bestand (Export "&amp;BF627&amp;"); ","")&amp;IF(I627&lt;=0,"Kein Verbrauch; ","")&amp;IF(BO627=1,"Lose – Fläche geschätzt; ","")&amp;IF(G627&gt;AM627,"Überbestand "&amp;ROUND(G627-AM627,0)&amp;" Stk / CHF "&amp;ROUND((G627-AM627)*F627,0)&amp;"; ","")&amp;IF(AND(BT627=1,BU627&lt;BV627),"MAX &lt; MB+LG; ","")&amp;IF(AND(BZ627&gt;0,BY627*10&gt;BZ627),"zu hoch für Tablar; ","")&amp;IF(AND(BK627=0,OR(BT627=1,V627&lt;&gt;"",S627&lt;&gt;"",T627&lt;&gt;"",W627&lt;&gt;"")),"manuell übersteuert; ","")&amp;IF(AND(BO627=0,Q627=0),"Gebinde unbekannt; ","")&amp;IF(AND(BO627=0,N(T627)&lt;=0,N(P627)&lt;=0),"Menge pro Gebinde fehlt (Ist = 1 Gebinde); ","")&amp;BJ627)</f>
        <v/>
      </c>
      <c r="BC627" s="53" t="n"/>
      <c r="BD627" s="53" t="n"/>
      <c r="BE627" s="61" t="n"/>
      <c r="BF627" s="55" t="n">
        <v>36</v>
      </c>
      <c r="BG627" s="55" t="n">
        <v>49</v>
      </c>
      <c r="BH627" s="54" t="n">
        <v>1.8</v>
      </c>
      <c r="BI627" s="55" t="n">
        <v>0</v>
      </c>
      <c r="BJ627" s="53" t="inlineStr"/>
      <c r="BK627" s="58" t="n">
        <v>0</v>
      </c>
      <c r="BL627" s="58" t="n">
        <v>627</v>
      </c>
      <c r="BM627" s="53">
        <f>IF(S627&lt;&gt;"",UPPER(TRIM(S627)),IF(O627="","LOSE",O627))</f>
        <v/>
      </c>
      <c r="BN627" s="55">
        <f>IF(BM627="LOSE",1,IF(N(T627)&gt;0,T627,IF(N(P627)&gt;0,P627,MAX(1,G627))))</f>
        <v/>
      </c>
      <c r="BO627" s="58">
        <f>IF(BM627="LOSE",1,0)</f>
        <v/>
      </c>
      <c r="BP627" s="64">
        <f>IF(BO627=0,0,IF(N(R627)&gt;0,R627,IFERROR(VLOOKUP(D627,Parameter!$A$35:$C$64,3,0)+0,0)))</f>
        <v/>
      </c>
      <c r="BQ627" s="53">
        <f>IF(V627&lt;&gt;"",V627,U627)</f>
        <v/>
      </c>
      <c r="BR627" s="53">
        <f>IF(BQ627=1,"L1",IF(OR(BQ627=2,BQ627=3),"L23",IF(BQ627="Aussen","Aussen","-")))</f>
        <v/>
      </c>
      <c r="BS627" s="66">
        <f>IF(N(W627)&gt;0,W627,0)</f>
        <v/>
      </c>
      <c r="BT627" s="58">
        <f>IF(ISNUMBER(Z627),1,0)</f>
        <v/>
      </c>
      <c r="BU627" s="55">
        <f>N(Z627)</f>
        <v/>
      </c>
      <c r="BV627" s="55">
        <f>N(L627)+N(M627)</f>
        <v/>
      </c>
      <c r="BW627" s="55">
        <f>ROUNDUP(G627/BN627,0)</f>
        <v/>
      </c>
      <c r="BX627" s="55">
        <f>ROUNDUP(BU627/BN627,0)</f>
        <v/>
      </c>
      <c r="BY627" s="58">
        <f>IF(BO627=1,0,IFERROR(VLOOKUP(BM627,'Gebinde-Kategorie'!$A$5:$G$45,5,0)+0,0))</f>
        <v/>
      </c>
      <c r="BZ627" s="58">
        <f>IFERROR(IF(OR(BQ627=1,BQ627=2,BQ627=3),N(INDEX(Parameter!$I$5:$I$7,BQ627)),0),0)</f>
        <v/>
      </c>
    </row>
    <row r="628">
      <c r="A628" s="53" t="inlineStr">
        <is>
          <t>005641</t>
        </is>
      </c>
      <c r="B628" s="53" t="inlineStr">
        <is>
          <t>Netzwerkkabel</t>
        </is>
      </c>
      <c r="C628" s="53" t="inlineStr">
        <is>
          <t>F</t>
        </is>
      </c>
      <c r="D628" s="53" t="inlineStr">
        <is>
          <t>KTL</t>
        </is>
      </c>
      <c r="E628" s="53" t="inlineStr">
        <is>
          <t>C</t>
        </is>
      </c>
      <c r="F628" s="54" t="n">
        <v>8.01</v>
      </c>
      <c r="G628" s="55">
        <f>MAX(0,IF(Parameter!$B$20="Jahresanfang 2025 + Export",BG628+BF628,BF628))</f>
        <v/>
      </c>
      <c r="H628" s="55">
        <f>G628*F628</f>
        <v/>
      </c>
      <c r="I628" s="55">
        <f>BI628*Parameter!$B$18</f>
        <v/>
      </c>
      <c r="J628" s="56" t="n">
        <v>3.5</v>
      </c>
      <c r="K628" s="57" t="n">
        <v>0.5714285714285714</v>
      </c>
      <c r="L628" s="55" t="n">
        <v>0</v>
      </c>
      <c r="M628" s="55" t="n">
        <v>1</v>
      </c>
      <c r="N628" s="58" t="n">
        <v>14</v>
      </c>
      <c r="O628" s="53" t="inlineStr">
        <is>
          <t>S41</t>
        </is>
      </c>
      <c r="P628" s="55" t="n">
        <v>1</v>
      </c>
      <c r="Q628" s="59">
        <f>IF(BO628=1,0,IFERROR(VLOOKUP(BM628,'Gebinde-Kategorie'!$A$5:$G$45,6,0)+0,0))</f>
        <v/>
      </c>
      <c r="R628" s="60" t="n"/>
      <c r="S628" s="61" t="n"/>
      <c r="T628" s="61" t="n"/>
      <c r="U628" s="53">
        <f>IF(A628="","",IF(IFERROR(VLOOKUP(D628,Parameter!$A$35:$C$64,2,0),"Nein")="2+3",IF(ISNUMBER(SEARCH("grosser Artikel",BJ628)),2,IFERROR(VLOOKUP(BM628,Parameter!$F$35:$G$64,2,0),2)),IF(OR(IFERROR(VLOOKUP(D628,Parameter!$A$35:$C$64,2,0),"Nein")="Nein",IFERROR(VLOOKUP(D628,Parameter!$A$35:$C$64,2,0),"Nein")=""),"-",VLOOKUP(D628,Parameter!$A$35:$C$64,2,0))))</f>
        <v/>
      </c>
      <c r="V628" s="61" t="n"/>
      <c r="W628" s="62" t="n"/>
      <c r="X628" s="55">
        <f>AM628</f>
        <v/>
      </c>
      <c r="Y628" s="55">
        <f>MAX(AM628,G628)</f>
        <v/>
      </c>
      <c r="Z628" s="63" t="n"/>
      <c r="AA628" s="55">
        <f>IF(LEFT(Cockpit!$C$5,1)="A",G628,IF(BT628=1,BU628,IF(LEFT(Cockpit!$C$5,1)="B",AE628,MAX(AE628,G628))))</f>
        <v/>
      </c>
      <c r="AB628" s="55">
        <f>IF(BO628=1,0,ROUNDUP(AA628/BN628,0))</f>
        <v/>
      </c>
      <c r="AC628" s="64">
        <f>IF(BO628=1,IF(AA628&lt;=0,0,BP628*MAX(1,IF(G628&gt;0,AA628/G628,1))),AB628*Q628)</f>
        <v/>
      </c>
      <c r="AD628" s="55">
        <f>AA628*F628</f>
        <v/>
      </c>
      <c r="AE628" s="55">
        <f>ROUNDUP(MAX(I628/IF(BS628&gt;0,BS628,MAX(0.1,N(Cockpit!$C$6))),BV628)/BN628,0)*BN628</f>
        <v/>
      </c>
      <c r="AF628" s="56">
        <f>IF(AC628&gt;0,I628/AC628,-1)</f>
        <v/>
      </c>
      <c r="AG628" s="56">
        <f>IF(AND(OR(BR628="L1",BR628="L23"),AC628&gt;0),SUMIFS($AC$7:$AC$1570,$BR$7:$BR$1570,BR628,$AF$7:$AF$1570,"&gt;"&amp;AF628)+SUMIFS($AC$7:$AC$1570,$BR$7:$BR$1570,BR628,$AF$7:$AF$1570,AF628,$BL$7:$BL$1570,"&lt;="&amp;BL628),"")</f>
        <v/>
      </c>
      <c r="AH628" s="65">
        <f>IF(AG628="",0,MAX(0,MIN(1,(IF(BR628="L1",Parameter!$K$5,Parameter!$K$6+Parameter!$K$7)-(AG628-AC628))/AC628)))</f>
        <v/>
      </c>
      <c r="AI628" s="55">
        <f>IF(LEFT(Cockpit!$I$5,1)="A",G628,IF(BT628=1,BU628,IF(LEFT(Cockpit!$I$5,1)="B",AM628,MAX(AM628,G628))))</f>
        <v/>
      </c>
      <c r="AJ628" s="55">
        <f>IF(BO628=1,0,ROUNDUP(AI628/BN628,0))</f>
        <v/>
      </c>
      <c r="AK628" s="64">
        <f>IF(BO628=1,IF(AI628&lt;=0,0,BP628*MAX(1,IF(G628&gt;0,AI628/G628,1))),AJ628*Q628)</f>
        <v/>
      </c>
      <c r="AL628" s="55">
        <f>AI628*F628</f>
        <v/>
      </c>
      <c r="AM628" s="55">
        <f>ROUNDUP(MAX(I628/IF(BS628&gt;0,BS628,MAX(0.1,N(Cockpit!$I$6))),BV628)/BN628,0)*BN628</f>
        <v/>
      </c>
      <c r="AN628" s="56">
        <f>IF(AK628&gt;0,I628/AK628,-1)</f>
        <v/>
      </c>
      <c r="AO628" s="56">
        <f>IF(AND(OR(BR628="L1",BR628="L23"),AK628&gt;0),SUMIFS($AK$7:$AK$1570,$BR$7:$BR$1570,BR628,$AN$7:$AN$1570,"&gt;"&amp;AN628)+SUMIFS($AK$7:$AK$1570,$BR$7:$BR$1570,BR628,$AN$7:$AN$1570,AN628,$BL$7:$BL$1570,"&lt;="&amp;BL628),"")</f>
        <v/>
      </c>
      <c r="AP628" s="65">
        <f>IF(AO628="",0,MAX(0,MIN(1,(IF(BR628="L1",Parameter!$K$5,Parameter!$K$6+Parameter!$K$7)-(AO628-AK628))/AK628)))</f>
        <v/>
      </c>
      <c r="AQ628" s="55">
        <f>IF(LEFT(Cockpit!$O$5,1)="A",G628,IF(BT628=1,BU628,IF(LEFT(Cockpit!$O$5,1)="B",AU628,MAX(AU628,G628))))</f>
        <v/>
      </c>
      <c r="AR628" s="55">
        <f>IF(BO628=1,0,ROUNDUP(AQ628/BN628,0))</f>
        <v/>
      </c>
      <c r="AS628" s="64">
        <f>IF(BO628=1,IF(AQ628&lt;=0,0,BP628*MAX(1,IF(G628&gt;0,AQ628/G628,1))),AR628*Q628)</f>
        <v/>
      </c>
      <c r="AT628" s="55">
        <f>AQ628*F628</f>
        <v/>
      </c>
      <c r="AU628" s="55">
        <f>ROUNDUP(MAX(I628/IF(BS628&gt;0,BS628,MAX(0.1,N(Cockpit!$O$6))),BV628)/BN628,0)*BN628</f>
        <v/>
      </c>
      <c r="AV628" s="56">
        <f>IF(AS628&gt;0,I628/AS628,-1)</f>
        <v/>
      </c>
      <c r="AW628" s="56">
        <f>IF(AND(OR(BR628="L1",BR628="L23"),AS628&gt;0),SUMIFS($AS$7:$AS$1570,$BR$7:$BR$1570,BR628,$AV$7:$AV$1570,"&gt;"&amp;AV628)+SUMIFS($AS$7:$AS$1570,$BR$7:$BR$1570,BR628,$AV$7:$AV$1570,AV628,$BL$7:$BL$1570,"&lt;="&amp;BL628),"")</f>
        <v/>
      </c>
      <c r="AX628" s="65">
        <f>IF(AW628="",0,MAX(0,MIN(1,(IF(BR628="L1",Parameter!$K$5,Parameter!$K$6+Parameter!$K$7)-(AW628-AS628))/AS628)))</f>
        <v/>
      </c>
      <c r="AY628" s="53">
        <f>IF(AC628&lt;=0,"",IF(BR628="Aussen","Aussenlager",IF(BR628="-","Nicht im Lift",IF(AH628&gt;=1,"Lift",IF(AH628&lt;=0,"Aussenlager","teilweise")))))</f>
        <v/>
      </c>
      <c r="AZ628" s="53">
        <f>IF(AK628&lt;=0,"",IF(BR628="Aussen","Aussenlager",IF(BR628="-","Nicht im Lift",IF(AP628&gt;=1,"Lift",IF(AP628&lt;=0,"Aussenlager","teilweise")))))</f>
        <v/>
      </c>
      <c r="BA628" s="53">
        <f>IF(AS628&lt;=0,"",IF(BR628="Aussen","Aussenlager",IF(BR628="-","Nicht im Lift",IF(AX628&gt;=1,"Lift",IF(AX628&lt;=0,"Aussenlager","teilweise")))))</f>
        <v/>
      </c>
      <c r="BB628" s="53">
        <f>IF(A628="","",IF(BK628=1,"Neu; ","")&amp;IF(AND(BK628=0,BF628&lt;0),"negativer Bestand (Export "&amp;BF628&amp;"); ","")&amp;IF(I628&lt;=0,"Kein Verbrauch; ","")&amp;IF(BO628=1,"Lose – Fläche geschätzt; ","")&amp;IF(G628&gt;AM628,"Überbestand "&amp;ROUND(G628-AM628,0)&amp;" Stk / CHF "&amp;ROUND((G628-AM628)*F628,0)&amp;"; ","")&amp;IF(AND(BT628=1,BU628&lt;BV628),"MAX &lt; MB+LG; ","")&amp;IF(AND(BZ628&gt;0,BY628*10&gt;BZ628),"zu hoch für Tablar; ","")&amp;IF(AND(BK628=0,OR(BT628=1,V628&lt;&gt;"",S628&lt;&gt;"",T628&lt;&gt;"",W628&lt;&gt;"")),"manuell übersteuert; ","")&amp;IF(AND(BO628=0,Q628=0),"Gebinde unbekannt; ","")&amp;IF(AND(BO628=0,N(T628)&lt;=0,N(P628)&lt;=0),"Menge pro Gebinde fehlt (Ist = 1 Gebinde); ","")&amp;BJ628)</f>
        <v/>
      </c>
      <c r="BC628" s="53" t="n"/>
      <c r="BD628" s="53" t="n"/>
      <c r="BE628" s="61" t="n"/>
      <c r="BF628" s="55" t="n">
        <v>1</v>
      </c>
      <c r="BG628" s="55" t="n">
        <v>3</v>
      </c>
      <c r="BH628" s="54" t="n">
        <v>1.799999999999999</v>
      </c>
      <c r="BI628" s="55" t="n">
        <v>2</v>
      </c>
      <c r="BJ628" s="53" t="inlineStr"/>
      <c r="BK628" s="58" t="n">
        <v>0</v>
      </c>
      <c r="BL628" s="58" t="n">
        <v>628</v>
      </c>
      <c r="BM628" s="53">
        <f>IF(S628&lt;&gt;"",UPPER(TRIM(S628)),IF(O628="","LOSE",O628))</f>
        <v/>
      </c>
      <c r="BN628" s="55">
        <f>IF(BM628="LOSE",1,IF(N(T628)&gt;0,T628,IF(N(P628)&gt;0,P628,MAX(1,G628))))</f>
        <v/>
      </c>
      <c r="BO628" s="58">
        <f>IF(BM628="LOSE",1,0)</f>
        <v/>
      </c>
      <c r="BP628" s="64">
        <f>IF(BO628=0,0,IF(N(R628)&gt;0,R628,IFERROR(VLOOKUP(D628,Parameter!$A$35:$C$64,3,0)+0,0)))</f>
        <v/>
      </c>
      <c r="BQ628" s="53">
        <f>IF(V628&lt;&gt;"",V628,U628)</f>
        <v/>
      </c>
      <c r="BR628" s="53">
        <f>IF(BQ628=1,"L1",IF(OR(BQ628=2,BQ628=3),"L23",IF(BQ628="Aussen","Aussen","-")))</f>
        <v/>
      </c>
      <c r="BS628" s="66">
        <f>IF(N(W628)&gt;0,W628,0)</f>
        <v/>
      </c>
      <c r="BT628" s="58">
        <f>IF(ISNUMBER(Z628),1,0)</f>
        <v/>
      </c>
      <c r="BU628" s="55">
        <f>N(Z628)</f>
        <v/>
      </c>
      <c r="BV628" s="55">
        <f>N(L628)+N(M628)</f>
        <v/>
      </c>
      <c r="BW628" s="55">
        <f>ROUNDUP(G628/BN628,0)</f>
        <v/>
      </c>
      <c r="BX628" s="55">
        <f>ROUNDUP(BU628/BN628,0)</f>
        <v/>
      </c>
      <c r="BY628" s="58">
        <f>IF(BO628=1,0,IFERROR(VLOOKUP(BM628,'Gebinde-Kategorie'!$A$5:$G$45,5,0)+0,0))</f>
        <v/>
      </c>
      <c r="BZ628" s="58">
        <f>IFERROR(IF(OR(BQ628=1,BQ628=2,BQ628=3),N(INDEX(Parameter!$I$5:$I$7,BQ628)),0),0)</f>
        <v/>
      </c>
    </row>
    <row r="629">
      <c r="A629" s="53" t="inlineStr">
        <is>
          <t>002021</t>
        </is>
      </c>
      <c r="B629" s="53" t="inlineStr">
        <is>
          <t>Schraubenzieher kreuz</t>
        </is>
      </c>
      <c r="C629" s="53" t="inlineStr">
        <is>
          <t>F</t>
        </is>
      </c>
      <c r="D629" s="53" t="inlineStr">
        <is>
          <t>KTL</t>
        </is>
      </c>
      <c r="E629" s="53" t="inlineStr">
        <is>
          <t>C</t>
        </is>
      </c>
      <c r="F629" s="54" t="n">
        <v>5.5</v>
      </c>
      <c r="G629" s="55">
        <f>MAX(0,IF(Parameter!$B$20="Jahresanfang 2025 + Export",BG629+BF629,BF629))</f>
        <v/>
      </c>
      <c r="H629" s="55">
        <f>G629*F629</f>
        <v/>
      </c>
      <c r="I629" s="55">
        <f>BI629*Parameter!$B$18</f>
        <v/>
      </c>
      <c r="J629" s="56" t="n">
        <v>4.5</v>
      </c>
      <c r="K629" s="57" t="n">
        <v>1.333333333333333</v>
      </c>
      <c r="L629" s="55" t="n">
        <v>0</v>
      </c>
      <c r="M629" s="55" t="n">
        <v>5</v>
      </c>
      <c r="N629" s="58" t="n">
        <v>14</v>
      </c>
      <c r="O629" s="53" t="inlineStr">
        <is>
          <t>S32</t>
        </is>
      </c>
      <c r="P629" s="55" t="n">
        <v>5</v>
      </c>
      <c r="Q629" s="59">
        <f>IF(BO629=1,0,IFERROR(VLOOKUP(BM629,'Gebinde-Kategorie'!$A$5:$G$45,6,0)+0,0))</f>
        <v/>
      </c>
      <c r="R629" s="60" t="n"/>
      <c r="S629" s="61" t="n"/>
      <c r="T629" s="61" t="n"/>
      <c r="U629" s="53">
        <f>IF(A629="","",IF(IFERROR(VLOOKUP(D629,Parameter!$A$35:$C$64,2,0),"Nein")="2+3",IF(ISNUMBER(SEARCH("grosser Artikel",BJ629)),2,IFERROR(VLOOKUP(BM629,Parameter!$F$35:$G$64,2,0),2)),IF(OR(IFERROR(VLOOKUP(D629,Parameter!$A$35:$C$64,2,0),"Nein")="Nein",IFERROR(VLOOKUP(D629,Parameter!$A$35:$C$64,2,0),"Nein")=""),"-",VLOOKUP(D629,Parameter!$A$35:$C$64,2,0))))</f>
        <v/>
      </c>
      <c r="V629" s="61" t="n"/>
      <c r="W629" s="62" t="n"/>
      <c r="X629" s="55">
        <f>AM629</f>
        <v/>
      </c>
      <c r="Y629" s="55">
        <f>MAX(AM629,G629)</f>
        <v/>
      </c>
      <c r="Z629" s="63" t="n"/>
      <c r="AA629" s="55">
        <f>IF(LEFT(Cockpit!$C$5,1)="A",G629,IF(BT629=1,BU629,IF(LEFT(Cockpit!$C$5,1)="B",AE629,MAX(AE629,G629))))</f>
        <v/>
      </c>
      <c r="AB629" s="55">
        <f>IF(BO629=1,0,ROUNDUP(AA629/BN629,0))</f>
        <v/>
      </c>
      <c r="AC629" s="64">
        <f>IF(BO629=1,IF(AA629&lt;=0,0,BP629*MAX(1,IF(G629&gt;0,AA629/G629,1))),AB629*Q629)</f>
        <v/>
      </c>
      <c r="AD629" s="55">
        <f>AA629*F629</f>
        <v/>
      </c>
      <c r="AE629" s="55">
        <f>ROUNDUP(MAX(I629/IF(BS629&gt;0,BS629,MAX(0.1,N(Cockpit!$C$6))),BV629)/BN629,0)*BN629</f>
        <v/>
      </c>
      <c r="AF629" s="56">
        <f>IF(AC629&gt;0,I629/AC629,-1)</f>
        <v/>
      </c>
      <c r="AG629" s="56">
        <f>IF(AND(OR(BR629="L1",BR629="L23"),AC629&gt;0),SUMIFS($AC$7:$AC$1570,$BR$7:$BR$1570,BR629,$AF$7:$AF$1570,"&gt;"&amp;AF629)+SUMIFS($AC$7:$AC$1570,$BR$7:$BR$1570,BR629,$AF$7:$AF$1570,AF629,$BL$7:$BL$1570,"&lt;="&amp;BL629),"")</f>
        <v/>
      </c>
      <c r="AH629" s="65">
        <f>IF(AG629="",0,MAX(0,MIN(1,(IF(BR629="L1",Parameter!$K$5,Parameter!$K$6+Parameter!$K$7)-(AG629-AC629))/AC629)))</f>
        <v/>
      </c>
      <c r="AI629" s="55">
        <f>IF(LEFT(Cockpit!$I$5,1)="A",G629,IF(BT629=1,BU629,IF(LEFT(Cockpit!$I$5,1)="B",AM629,MAX(AM629,G629))))</f>
        <v/>
      </c>
      <c r="AJ629" s="55">
        <f>IF(BO629=1,0,ROUNDUP(AI629/BN629,0))</f>
        <v/>
      </c>
      <c r="AK629" s="64">
        <f>IF(BO629=1,IF(AI629&lt;=0,0,BP629*MAX(1,IF(G629&gt;0,AI629/G629,1))),AJ629*Q629)</f>
        <v/>
      </c>
      <c r="AL629" s="55">
        <f>AI629*F629</f>
        <v/>
      </c>
      <c r="AM629" s="55">
        <f>ROUNDUP(MAX(I629/IF(BS629&gt;0,BS629,MAX(0.1,N(Cockpit!$I$6))),BV629)/BN629,0)*BN629</f>
        <v/>
      </c>
      <c r="AN629" s="56">
        <f>IF(AK629&gt;0,I629/AK629,-1)</f>
        <v/>
      </c>
      <c r="AO629" s="56">
        <f>IF(AND(OR(BR629="L1",BR629="L23"),AK629&gt;0),SUMIFS($AK$7:$AK$1570,$BR$7:$BR$1570,BR629,$AN$7:$AN$1570,"&gt;"&amp;AN629)+SUMIFS($AK$7:$AK$1570,$BR$7:$BR$1570,BR629,$AN$7:$AN$1570,AN629,$BL$7:$BL$1570,"&lt;="&amp;BL629),"")</f>
        <v/>
      </c>
      <c r="AP629" s="65">
        <f>IF(AO629="",0,MAX(0,MIN(1,(IF(BR629="L1",Parameter!$K$5,Parameter!$K$6+Parameter!$K$7)-(AO629-AK629))/AK629)))</f>
        <v/>
      </c>
      <c r="AQ629" s="55">
        <f>IF(LEFT(Cockpit!$O$5,1)="A",G629,IF(BT629=1,BU629,IF(LEFT(Cockpit!$O$5,1)="B",AU629,MAX(AU629,G629))))</f>
        <v/>
      </c>
      <c r="AR629" s="55">
        <f>IF(BO629=1,0,ROUNDUP(AQ629/BN629,0))</f>
        <v/>
      </c>
      <c r="AS629" s="64">
        <f>IF(BO629=1,IF(AQ629&lt;=0,0,BP629*MAX(1,IF(G629&gt;0,AQ629/G629,1))),AR629*Q629)</f>
        <v/>
      </c>
      <c r="AT629" s="55">
        <f>AQ629*F629</f>
        <v/>
      </c>
      <c r="AU629" s="55">
        <f>ROUNDUP(MAX(I629/IF(BS629&gt;0,BS629,MAX(0.1,N(Cockpit!$O$6))),BV629)/BN629,0)*BN629</f>
        <v/>
      </c>
      <c r="AV629" s="56">
        <f>IF(AS629&gt;0,I629/AS629,-1)</f>
        <v/>
      </c>
      <c r="AW629" s="56">
        <f>IF(AND(OR(BR629="L1",BR629="L23"),AS629&gt;0),SUMIFS($AS$7:$AS$1570,$BR$7:$BR$1570,BR629,$AV$7:$AV$1570,"&gt;"&amp;AV629)+SUMIFS($AS$7:$AS$1570,$BR$7:$BR$1570,BR629,$AV$7:$AV$1570,AV629,$BL$7:$BL$1570,"&lt;="&amp;BL629),"")</f>
        <v/>
      </c>
      <c r="AX629" s="65">
        <f>IF(AW629="",0,MAX(0,MIN(1,(IF(BR629="L1",Parameter!$K$5,Parameter!$K$6+Parameter!$K$7)-(AW629-AS629))/AS629)))</f>
        <v/>
      </c>
      <c r="AY629" s="53">
        <f>IF(AC629&lt;=0,"",IF(BR629="Aussen","Aussenlager",IF(BR629="-","Nicht im Lift",IF(AH629&gt;=1,"Lift",IF(AH629&lt;=0,"Aussenlager","teilweise")))))</f>
        <v/>
      </c>
      <c r="AZ629" s="53">
        <f>IF(AK629&lt;=0,"",IF(BR629="Aussen","Aussenlager",IF(BR629="-","Nicht im Lift",IF(AP629&gt;=1,"Lift",IF(AP629&lt;=0,"Aussenlager","teilweise")))))</f>
        <v/>
      </c>
      <c r="BA629" s="53">
        <f>IF(AS629&lt;=0,"",IF(BR629="Aussen","Aussenlager",IF(BR629="-","Nicht im Lift",IF(AX629&gt;=1,"Lift",IF(AX629&lt;=0,"Aussenlager","teilweise")))))</f>
        <v/>
      </c>
      <c r="BB629" s="53">
        <f>IF(A629="","",IF(BK629=1,"Neu; ","")&amp;IF(AND(BK629=0,BF629&lt;0),"negativer Bestand (Export "&amp;BF629&amp;"); ","")&amp;IF(I629&lt;=0,"Kein Verbrauch; ","")&amp;IF(BO629=1,"Lose – Fläche geschätzt; ","")&amp;IF(G629&gt;AM629,"Überbestand "&amp;ROUND(G629-AM629,0)&amp;" Stk / CHF "&amp;ROUND((G629-AM629)*F629,0)&amp;"; ","")&amp;IF(AND(BT629=1,BU629&lt;BV629),"MAX &lt; MB+LG; ","")&amp;IF(AND(BZ629&gt;0,BY629*10&gt;BZ629),"zu hoch für Tablar; ","")&amp;IF(AND(BK629=0,OR(BT629=1,V629&lt;&gt;"",S629&lt;&gt;"",T629&lt;&gt;"",W629&lt;&gt;"")),"manuell übersteuert; ","")&amp;IF(AND(BO629=0,Q629=0),"Gebinde unbekannt; ","")&amp;IF(AND(BO629=0,N(T629)&lt;=0,N(P629)&lt;=0),"Menge pro Gebinde fehlt (Ist = 1 Gebinde); ","")&amp;BJ629)</f>
        <v/>
      </c>
      <c r="BC629" s="53" t="n"/>
      <c r="BD629" s="53" t="n"/>
      <c r="BE629" s="61" t="n"/>
      <c r="BF629" s="55" t="n">
        <v>0</v>
      </c>
      <c r="BG629" s="55" t="n">
        <v>3</v>
      </c>
      <c r="BH629" s="54" t="n">
        <v>1.709999999999994</v>
      </c>
      <c r="BI629" s="55" t="n">
        <v>6</v>
      </c>
      <c r="BJ629" s="53" t="inlineStr"/>
      <c r="BK629" s="58" t="n">
        <v>0</v>
      </c>
      <c r="BL629" s="58" t="n">
        <v>629</v>
      </c>
      <c r="BM629" s="53">
        <f>IF(S629&lt;&gt;"",UPPER(TRIM(S629)),IF(O629="","LOSE",O629))</f>
        <v/>
      </c>
      <c r="BN629" s="55">
        <f>IF(BM629="LOSE",1,IF(N(T629)&gt;0,T629,IF(N(P629)&gt;0,P629,MAX(1,G629))))</f>
        <v/>
      </c>
      <c r="BO629" s="58">
        <f>IF(BM629="LOSE",1,0)</f>
        <v/>
      </c>
      <c r="BP629" s="64">
        <f>IF(BO629=0,0,IF(N(R629)&gt;0,R629,IFERROR(VLOOKUP(D629,Parameter!$A$35:$C$64,3,0)+0,0)))</f>
        <v/>
      </c>
      <c r="BQ629" s="53">
        <f>IF(V629&lt;&gt;"",V629,U629)</f>
        <v/>
      </c>
      <c r="BR629" s="53">
        <f>IF(BQ629=1,"L1",IF(OR(BQ629=2,BQ629=3),"L23",IF(BQ629="Aussen","Aussen","-")))</f>
        <v/>
      </c>
      <c r="BS629" s="66">
        <f>IF(N(W629)&gt;0,W629,0)</f>
        <v/>
      </c>
      <c r="BT629" s="58">
        <f>IF(ISNUMBER(Z629),1,0)</f>
        <v/>
      </c>
      <c r="BU629" s="55">
        <f>N(Z629)</f>
        <v/>
      </c>
      <c r="BV629" s="55">
        <f>N(L629)+N(M629)</f>
        <v/>
      </c>
      <c r="BW629" s="55">
        <f>ROUNDUP(G629/BN629,0)</f>
        <v/>
      </c>
      <c r="BX629" s="55">
        <f>ROUNDUP(BU629/BN629,0)</f>
        <v/>
      </c>
      <c r="BY629" s="58">
        <f>IF(BO629=1,0,IFERROR(VLOOKUP(BM629,'Gebinde-Kategorie'!$A$5:$G$45,5,0)+0,0))</f>
        <v/>
      </c>
      <c r="BZ629" s="58">
        <f>IFERROR(IF(OR(BQ629=1,BQ629=2,BQ629=3),N(INDEX(Parameter!$I$5:$I$7,BQ629)),0),0)</f>
        <v/>
      </c>
    </row>
    <row r="630">
      <c r="A630" s="53" t="inlineStr">
        <is>
          <t>005809</t>
        </is>
      </c>
      <c r="B630" s="53" t="inlineStr">
        <is>
          <t>Schutzkappe</t>
        </is>
      </c>
      <c r="C630" s="53" t="inlineStr">
        <is>
          <t>F</t>
        </is>
      </c>
      <c r="D630" s="53" t="inlineStr">
        <is>
          <t>KTL</t>
        </is>
      </c>
      <c r="E630" s="53" t="inlineStr">
        <is>
          <t>C</t>
        </is>
      </c>
      <c r="F630" s="54" t="n">
        <v>0.34</v>
      </c>
      <c r="G630" s="55">
        <f>MAX(0,IF(Parameter!$B$20="Jahresanfang 2025 + Export",BG630+BF630,BF630))</f>
        <v/>
      </c>
      <c r="H630" s="55">
        <f>G630*F630</f>
        <v/>
      </c>
      <c r="I630" s="55">
        <f>BI630*Parameter!$B$18</f>
        <v/>
      </c>
      <c r="J630" s="56" t="n">
        <v>877.5</v>
      </c>
      <c r="K630" s="57" t="n">
        <v>0</v>
      </c>
      <c r="L630" s="55" t="n">
        <v>0</v>
      </c>
      <c r="M630" s="55" t="n">
        <v>1</v>
      </c>
      <c r="N630" s="58" t="n">
        <v>21</v>
      </c>
      <c r="O630" s="53" t="inlineStr">
        <is>
          <t>S51</t>
        </is>
      </c>
      <c r="P630" s="55" t="n">
        <v>827</v>
      </c>
      <c r="Q630" s="59">
        <f>IF(BO630=1,0,IFERROR(VLOOKUP(BM630,'Gebinde-Kategorie'!$A$5:$G$45,6,0)+0,0))</f>
        <v/>
      </c>
      <c r="R630" s="60" t="n"/>
      <c r="S630" s="61" t="n"/>
      <c r="T630" s="61" t="n"/>
      <c r="U630" s="53">
        <f>IF(A630="","",IF(IFERROR(VLOOKUP(D630,Parameter!$A$35:$C$64,2,0),"Nein")="2+3",IF(ISNUMBER(SEARCH("grosser Artikel",BJ630)),2,IFERROR(VLOOKUP(BM630,Parameter!$F$35:$G$64,2,0),2)),IF(OR(IFERROR(VLOOKUP(D630,Parameter!$A$35:$C$64,2,0),"Nein")="Nein",IFERROR(VLOOKUP(D630,Parameter!$A$35:$C$64,2,0),"Nein")=""),"-",VLOOKUP(D630,Parameter!$A$35:$C$64,2,0))))</f>
        <v/>
      </c>
      <c r="V630" s="61" t="n"/>
      <c r="W630" s="62" t="n"/>
      <c r="X630" s="55">
        <f>AM630</f>
        <v/>
      </c>
      <c r="Y630" s="55">
        <f>MAX(AM630,G630)</f>
        <v/>
      </c>
      <c r="Z630" s="63" t="n"/>
      <c r="AA630" s="55">
        <f>IF(LEFT(Cockpit!$C$5,1)="A",G630,IF(BT630=1,BU630,IF(LEFT(Cockpit!$C$5,1)="B",AE630,MAX(AE630,G630))))</f>
        <v/>
      </c>
      <c r="AB630" s="55">
        <f>IF(BO630=1,0,ROUNDUP(AA630/BN630,0))</f>
        <v/>
      </c>
      <c r="AC630" s="64">
        <f>IF(BO630=1,IF(AA630&lt;=0,0,BP630*MAX(1,IF(G630&gt;0,AA630/G630,1))),AB630*Q630)</f>
        <v/>
      </c>
      <c r="AD630" s="55">
        <f>AA630*F630</f>
        <v/>
      </c>
      <c r="AE630" s="55">
        <f>ROUNDUP(MAX(I630/IF(BS630&gt;0,BS630,MAX(0.1,N(Cockpit!$C$6))),BV630)/BN630,0)*BN630</f>
        <v/>
      </c>
      <c r="AF630" s="56">
        <f>IF(AC630&gt;0,I630/AC630,-1)</f>
        <v/>
      </c>
      <c r="AG630" s="56">
        <f>IF(AND(OR(BR630="L1",BR630="L23"),AC630&gt;0),SUMIFS($AC$7:$AC$1570,$BR$7:$BR$1570,BR630,$AF$7:$AF$1570,"&gt;"&amp;AF630)+SUMIFS($AC$7:$AC$1570,$BR$7:$BR$1570,BR630,$AF$7:$AF$1570,AF630,$BL$7:$BL$1570,"&lt;="&amp;BL630),"")</f>
        <v/>
      </c>
      <c r="AH630" s="65">
        <f>IF(AG630="",0,MAX(0,MIN(1,(IF(BR630="L1",Parameter!$K$5,Parameter!$K$6+Parameter!$K$7)-(AG630-AC630))/AC630)))</f>
        <v/>
      </c>
      <c r="AI630" s="55">
        <f>IF(LEFT(Cockpit!$I$5,1)="A",G630,IF(BT630=1,BU630,IF(LEFT(Cockpit!$I$5,1)="B",AM630,MAX(AM630,G630))))</f>
        <v/>
      </c>
      <c r="AJ630" s="55">
        <f>IF(BO630=1,0,ROUNDUP(AI630/BN630,0))</f>
        <v/>
      </c>
      <c r="AK630" s="64">
        <f>IF(BO630=1,IF(AI630&lt;=0,0,BP630*MAX(1,IF(G630&gt;0,AI630/G630,1))),AJ630*Q630)</f>
        <v/>
      </c>
      <c r="AL630" s="55">
        <f>AI630*F630</f>
        <v/>
      </c>
      <c r="AM630" s="55">
        <f>ROUNDUP(MAX(I630/IF(BS630&gt;0,BS630,MAX(0.1,N(Cockpit!$I$6))),BV630)/BN630,0)*BN630</f>
        <v/>
      </c>
      <c r="AN630" s="56">
        <f>IF(AK630&gt;0,I630/AK630,-1)</f>
        <v/>
      </c>
      <c r="AO630" s="56">
        <f>IF(AND(OR(BR630="L1",BR630="L23"),AK630&gt;0),SUMIFS($AK$7:$AK$1570,$BR$7:$BR$1570,BR630,$AN$7:$AN$1570,"&gt;"&amp;AN630)+SUMIFS($AK$7:$AK$1570,$BR$7:$BR$1570,BR630,$AN$7:$AN$1570,AN630,$BL$7:$BL$1570,"&lt;="&amp;BL630),"")</f>
        <v/>
      </c>
      <c r="AP630" s="65">
        <f>IF(AO630="",0,MAX(0,MIN(1,(IF(BR630="L1",Parameter!$K$5,Parameter!$K$6+Parameter!$K$7)-(AO630-AK630))/AK630)))</f>
        <v/>
      </c>
      <c r="AQ630" s="55">
        <f>IF(LEFT(Cockpit!$O$5,1)="A",G630,IF(BT630=1,BU630,IF(LEFT(Cockpit!$O$5,1)="B",AU630,MAX(AU630,G630))))</f>
        <v/>
      </c>
      <c r="AR630" s="55">
        <f>IF(BO630=1,0,ROUNDUP(AQ630/BN630,0))</f>
        <v/>
      </c>
      <c r="AS630" s="64">
        <f>IF(BO630=1,IF(AQ630&lt;=0,0,BP630*MAX(1,IF(G630&gt;0,AQ630/G630,1))),AR630*Q630)</f>
        <v/>
      </c>
      <c r="AT630" s="55">
        <f>AQ630*F630</f>
        <v/>
      </c>
      <c r="AU630" s="55">
        <f>ROUNDUP(MAX(I630/IF(BS630&gt;0,BS630,MAX(0.1,N(Cockpit!$O$6))),BV630)/BN630,0)*BN630</f>
        <v/>
      </c>
      <c r="AV630" s="56">
        <f>IF(AS630&gt;0,I630/AS630,-1)</f>
        <v/>
      </c>
      <c r="AW630" s="56">
        <f>IF(AND(OR(BR630="L1",BR630="L23"),AS630&gt;0),SUMIFS($AS$7:$AS$1570,$BR$7:$BR$1570,BR630,$AV$7:$AV$1570,"&gt;"&amp;AV630)+SUMIFS($AS$7:$AS$1570,$BR$7:$BR$1570,BR630,$AV$7:$AV$1570,AV630,$BL$7:$BL$1570,"&lt;="&amp;BL630),"")</f>
        <v/>
      </c>
      <c r="AX630" s="65">
        <f>IF(AW630="",0,MAX(0,MIN(1,(IF(BR630="L1",Parameter!$K$5,Parameter!$K$6+Parameter!$K$7)-(AW630-AS630))/AS630)))</f>
        <v/>
      </c>
      <c r="AY630" s="53">
        <f>IF(AC630&lt;=0,"",IF(BR630="Aussen","Aussenlager",IF(BR630="-","Nicht im Lift",IF(AH630&gt;=1,"Lift",IF(AH630&lt;=0,"Aussenlager","teilweise")))))</f>
        <v/>
      </c>
      <c r="AZ630" s="53">
        <f>IF(AK630&lt;=0,"",IF(BR630="Aussen","Aussenlager",IF(BR630="-","Nicht im Lift",IF(AP630&gt;=1,"Lift",IF(AP630&lt;=0,"Aussenlager","teilweise")))))</f>
        <v/>
      </c>
      <c r="BA630" s="53">
        <f>IF(AS630&lt;=0,"",IF(BR630="Aussen","Aussenlager",IF(BR630="-","Nicht im Lift",IF(AX630&gt;=1,"Lift",IF(AX630&lt;=0,"Aussenlager","teilweise")))))</f>
        <v/>
      </c>
      <c r="BB630" s="53">
        <f>IF(A630="","",IF(BK630=1,"Neu; ","")&amp;IF(AND(BK630=0,BF630&lt;0),"negativer Bestand (Export "&amp;BF630&amp;"); ","")&amp;IF(I630&lt;=0,"Kein Verbrauch; ","")&amp;IF(BO630=1,"Lose – Fläche geschätzt; ","")&amp;IF(G630&gt;AM630,"Überbestand "&amp;ROUND(G630-AM630,0)&amp;" Stk / CHF "&amp;ROUND((G630-AM630)*F630,0)&amp;"; ","")&amp;IF(AND(BT630=1,BU630&lt;BV630),"MAX &lt; MB+LG; ","")&amp;IF(AND(BZ630&gt;0,BY630*10&gt;BZ630),"zu hoch für Tablar; ","")&amp;IF(AND(BK630=0,OR(BT630=1,V630&lt;&gt;"",S630&lt;&gt;"",T630&lt;&gt;"",W630&lt;&gt;"")),"manuell übersteuert; ","")&amp;IF(AND(BO630=0,Q630=0),"Gebinde unbekannt; ","")&amp;IF(AND(BO630=0,N(T630)&lt;=0,N(P630)&lt;=0),"Menge pro Gebinde fehlt (Ist = 1 Gebinde); ","")&amp;BJ630)</f>
        <v/>
      </c>
      <c r="BC630" s="53" t="n"/>
      <c r="BD630" s="53" t="n"/>
      <c r="BE630" s="61" t="n"/>
      <c r="BF630" s="55" t="n">
        <v>5</v>
      </c>
      <c r="BG630" s="55" t="n">
        <v>875</v>
      </c>
      <c r="BH630" s="54" t="n">
        <v>1.7</v>
      </c>
      <c r="BI630" s="55" t="n">
        <v>0</v>
      </c>
      <c r="BJ630" s="53" t="inlineStr">
        <is>
          <t>Handlager</t>
        </is>
      </c>
      <c r="BK630" s="58" t="n">
        <v>0</v>
      </c>
      <c r="BL630" s="58" t="n">
        <v>630</v>
      </c>
      <c r="BM630" s="53">
        <f>IF(S630&lt;&gt;"",UPPER(TRIM(S630)),IF(O630="","LOSE",O630))</f>
        <v/>
      </c>
      <c r="BN630" s="55">
        <f>IF(BM630="LOSE",1,IF(N(T630)&gt;0,T630,IF(N(P630)&gt;0,P630,MAX(1,G630))))</f>
        <v/>
      </c>
      <c r="BO630" s="58">
        <f>IF(BM630="LOSE",1,0)</f>
        <v/>
      </c>
      <c r="BP630" s="64">
        <f>IF(BO630=0,0,IF(N(R630)&gt;0,R630,IFERROR(VLOOKUP(D630,Parameter!$A$35:$C$64,3,0)+0,0)))</f>
        <v/>
      </c>
      <c r="BQ630" s="53">
        <f>IF(V630&lt;&gt;"",V630,U630)</f>
        <v/>
      </c>
      <c r="BR630" s="53">
        <f>IF(BQ630=1,"L1",IF(OR(BQ630=2,BQ630=3),"L23",IF(BQ630="Aussen","Aussen","-")))</f>
        <v/>
      </c>
      <c r="BS630" s="66">
        <f>IF(N(W630)&gt;0,W630,0)</f>
        <v/>
      </c>
      <c r="BT630" s="58">
        <f>IF(ISNUMBER(Z630),1,0)</f>
        <v/>
      </c>
      <c r="BU630" s="55">
        <f>N(Z630)</f>
        <v/>
      </c>
      <c r="BV630" s="55">
        <f>N(L630)+N(M630)</f>
        <v/>
      </c>
      <c r="BW630" s="55">
        <f>ROUNDUP(G630/BN630,0)</f>
        <v/>
      </c>
      <c r="BX630" s="55">
        <f>ROUNDUP(BU630/BN630,0)</f>
        <v/>
      </c>
      <c r="BY630" s="58">
        <f>IF(BO630=1,0,IFERROR(VLOOKUP(BM630,'Gebinde-Kategorie'!$A$5:$G$45,5,0)+0,0))</f>
        <v/>
      </c>
      <c r="BZ630" s="58">
        <f>IFERROR(IF(OR(BQ630=1,BQ630=2,BQ630=3),N(INDEX(Parameter!$I$5:$I$7,BQ630)),0),0)</f>
        <v/>
      </c>
    </row>
    <row r="631">
      <c r="A631" s="53" t="inlineStr">
        <is>
          <t>109722</t>
        </is>
      </c>
      <c r="B631" s="53" t="inlineStr">
        <is>
          <t>Sechskantschraube</t>
        </is>
      </c>
      <c r="C631" s="53" t="inlineStr">
        <is>
          <t>F</t>
        </is>
      </c>
      <c r="D631" s="53" t="inlineStr">
        <is>
          <t>A-BEZ</t>
        </is>
      </c>
      <c r="E631" s="53" t="inlineStr">
        <is>
          <t>C</t>
        </is>
      </c>
      <c r="F631" s="54" t="n">
        <v>0.41</v>
      </c>
      <c r="G631" s="55">
        <f>MAX(0,IF(Parameter!$B$20="Jahresanfang 2025 + Export",BG631+BF631,BF631))</f>
        <v/>
      </c>
      <c r="H631" s="55">
        <f>G631*F631</f>
        <v/>
      </c>
      <c r="I631" s="55">
        <f>BI631*Parameter!$B$18</f>
        <v/>
      </c>
      <c r="J631" s="56" t="n">
        <v>2</v>
      </c>
      <c r="K631" s="57" t="n">
        <v>48</v>
      </c>
      <c r="L631" s="55" t="n">
        <v>0</v>
      </c>
      <c r="M631" s="55" t="n">
        <v>100</v>
      </c>
      <c r="N631" s="58" t="n">
        <v>21</v>
      </c>
      <c r="O631" s="53" t="inlineStr">
        <is>
          <t>LOSE</t>
        </is>
      </c>
      <c r="P631" s="55" t="n"/>
      <c r="Q631" s="59">
        <f>IF(BO631=1,0,IFERROR(VLOOKUP(BM631,'Gebinde-Kategorie'!$A$5:$G$45,6,0)+0,0))</f>
        <v/>
      </c>
      <c r="R631" s="60" t="n"/>
      <c r="S631" s="61" t="n"/>
      <c r="T631" s="61" t="n"/>
      <c r="U631" s="53">
        <f>IF(A631="","",IF(IFERROR(VLOOKUP(D631,Parameter!$A$35:$C$64,2,0),"Nein")="2+3",IF(ISNUMBER(SEARCH("grosser Artikel",BJ631)),2,IFERROR(VLOOKUP(BM631,Parameter!$F$35:$G$64,2,0),2)),IF(OR(IFERROR(VLOOKUP(D631,Parameter!$A$35:$C$64,2,0),"Nein")="Nein",IFERROR(VLOOKUP(D631,Parameter!$A$35:$C$64,2,0),"Nein")=""),"-",VLOOKUP(D631,Parameter!$A$35:$C$64,2,0))))</f>
        <v/>
      </c>
      <c r="V631" s="61" t="n"/>
      <c r="W631" s="62" t="n"/>
      <c r="X631" s="55">
        <f>AM631</f>
        <v/>
      </c>
      <c r="Y631" s="55">
        <f>MAX(AM631,G631)</f>
        <v/>
      </c>
      <c r="Z631" s="63" t="n"/>
      <c r="AA631" s="55">
        <f>IF(LEFT(Cockpit!$C$5,1)="A",G631,IF(BT631=1,BU631,IF(LEFT(Cockpit!$C$5,1)="B",AE631,MAX(AE631,G631))))</f>
        <v/>
      </c>
      <c r="AB631" s="55">
        <f>IF(BO631=1,0,ROUNDUP(AA631/BN631,0))</f>
        <v/>
      </c>
      <c r="AC631" s="64">
        <f>IF(BO631=1,IF(AA631&lt;=0,0,BP631*MAX(1,IF(G631&gt;0,AA631/G631,1))),AB631*Q631)</f>
        <v/>
      </c>
      <c r="AD631" s="55">
        <f>AA631*F631</f>
        <v/>
      </c>
      <c r="AE631" s="55">
        <f>ROUNDUP(MAX(I631/IF(BS631&gt;0,BS631,MAX(0.1,N(Cockpit!$C$6))),BV631)/BN631,0)*BN631</f>
        <v/>
      </c>
      <c r="AF631" s="56">
        <f>IF(AC631&gt;0,I631/AC631,-1)</f>
        <v/>
      </c>
      <c r="AG631" s="56">
        <f>IF(AND(OR(BR631="L1",BR631="L23"),AC631&gt;0),SUMIFS($AC$7:$AC$1570,$BR$7:$BR$1570,BR631,$AF$7:$AF$1570,"&gt;"&amp;AF631)+SUMIFS($AC$7:$AC$1570,$BR$7:$BR$1570,BR631,$AF$7:$AF$1570,AF631,$BL$7:$BL$1570,"&lt;="&amp;BL631),"")</f>
        <v/>
      </c>
      <c r="AH631" s="65">
        <f>IF(AG631="",0,MAX(0,MIN(1,(IF(BR631="L1",Parameter!$K$5,Parameter!$K$6+Parameter!$K$7)-(AG631-AC631))/AC631)))</f>
        <v/>
      </c>
      <c r="AI631" s="55">
        <f>IF(LEFT(Cockpit!$I$5,1)="A",G631,IF(BT631=1,BU631,IF(LEFT(Cockpit!$I$5,1)="B",AM631,MAX(AM631,G631))))</f>
        <v/>
      </c>
      <c r="AJ631" s="55">
        <f>IF(BO631=1,0,ROUNDUP(AI631/BN631,0))</f>
        <v/>
      </c>
      <c r="AK631" s="64">
        <f>IF(BO631=1,IF(AI631&lt;=0,0,BP631*MAX(1,IF(G631&gt;0,AI631/G631,1))),AJ631*Q631)</f>
        <v/>
      </c>
      <c r="AL631" s="55">
        <f>AI631*F631</f>
        <v/>
      </c>
      <c r="AM631" s="55">
        <f>ROUNDUP(MAX(I631/IF(BS631&gt;0,BS631,MAX(0.1,N(Cockpit!$I$6))),BV631)/BN631,0)*BN631</f>
        <v/>
      </c>
      <c r="AN631" s="56">
        <f>IF(AK631&gt;0,I631/AK631,-1)</f>
        <v/>
      </c>
      <c r="AO631" s="56">
        <f>IF(AND(OR(BR631="L1",BR631="L23"),AK631&gt;0),SUMIFS($AK$7:$AK$1570,$BR$7:$BR$1570,BR631,$AN$7:$AN$1570,"&gt;"&amp;AN631)+SUMIFS($AK$7:$AK$1570,$BR$7:$BR$1570,BR631,$AN$7:$AN$1570,AN631,$BL$7:$BL$1570,"&lt;="&amp;BL631),"")</f>
        <v/>
      </c>
      <c r="AP631" s="65">
        <f>IF(AO631="",0,MAX(0,MIN(1,(IF(BR631="L1",Parameter!$K$5,Parameter!$K$6+Parameter!$K$7)-(AO631-AK631))/AK631)))</f>
        <v/>
      </c>
      <c r="AQ631" s="55">
        <f>IF(LEFT(Cockpit!$O$5,1)="A",G631,IF(BT631=1,BU631,IF(LEFT(Cockpit!$O$5,1)="B",AU631,MAX(AU631,G631))))</f>
        <v/>
      </c>
      <c r="AR631" s="55">
        <f>IF(BO631=1,0,ROUNDUP(AQ631/BN631,0))</f>
        <v/>
      </c>
      <c r="AS631" s="64">
        <f>IF(BO631=1,IF(AQ631&lt;=0,0,BP631*MAX(1,IF(G631&gt;0,AQ631/G631,1))),AR631*Q631)</f>
        <v/>
      </c>
      <c r="AT631" s="55">
        <f>AQ631*F631</f>
        <v/>
      </c>
      <c r="AU631" s="55">
        <f>ROUNDUP(MAX(I631/IF(BS631&gt;0,BS631,MAX(0.1,N(Cockpit!$O$6))),BV631)/BN631,0)*BN631</f>
        <v/>
      </c>
      <c r="AV631" s="56">
        <f>IF(AS631&gt;0,I631/AS631,-1)</f>
        <v/>
      </c>
      <c r="AW631" s="56">
        <f>IF(AND(OR(BR631="L1",BR631="L23"),AS631&gt;0),SUMIFS($AS$7:$AS$1570,$BR$7:$BR$1570,BR631,$AV$7:$AV$1570,"&gt;"&amp;AV631)+SUMIFS($AS$7:$AS$1570,$BR$7:$BR$1570,BR631,$AV$7:$AV$1570,AV631,$BL$7:$BL$1570,"&lt;="&amp;BL631),"")</f>
        <v/>
      </c>
      <c r="AX631" s="65">
        <f>IF(AW631="",0,MAX(0,MIN(1,(IF(BR631="L1",Parameter!$K$5,Parameter!$K$6+Parameter!$K$7)-(AW631-AS631))/AS631)))</f>
        <v/>
      </c>
      <c r="AY631" s="53">
        <f>IF(AC631&lt;=0,"",IF(BR631="Aussen","Aussenlager",IF(BR631="-","Nicht im Lift",IF(AH631&gt;=1,"Lift",IF(AH631&lt;=0,"Aussenlager","teilweise")))))</f>
        <v/>
      </c>
      <c r="AZ631" s="53">
        <f>IF(AK631&lt;=0,"",IF(BR631="Aussen","Aussenlager",IF(BR631="-","Nicht im Lift",IF(AP631&gt;=1,"Lift",IF(AP631&lt;=0,"Aussenlager","teilweise")))))</f>
        <v/>
      </c>
      <c r="BA631" s="53">
        <f>IF(AS631&lt;=0,"",IF(BR631="Aussen","Aussenlager",IF(BR631="-","Nicht im Lift",IF(AX631&gt;=1,"Lift",IF(AX631&lt;=0,"Aussenlager","teilweise")))))</f>
        <v/>
      </c>
      <c r="BB631" s="53">
        <f>IF(A631="","",IF(BK631=1,"Neu; ","")&amp;IF(AND(BK631=0,BF631&lt;0),"negativer Bestand (Export "&amp;BF631&amp;"); ","")&amp;IF(I631&lt;=0,"Kein Verbrauch; ","")&amp;IF(BO631=1,"Lose – Fläche geschätzt; ","")&amp;IF(G631&gt;AM631,"Überbestand "&amp;ROUND(G631-AM631,0)&amp;" Stk / CHF "&amp;ROUND((G631-AM631)*F631,0)&amp;"; ","")&amp;IF(AND(BT631=1,BU631&lt;BV631),"MAX &lt; MB+LG; ","")&amp;IF(AND(BZ631&gt;0,BY631*10&gt;BZ631),"zu hoch für Tablar; ","")&amp;IF(AND(BK631=0,OR(BT631=1,V631&lt;&gt;"",S631&lt;&gt;"",T631&lt;&gt;"",W631&lt;&gt;"")),"manuell übersteuert; ","")&amp;IF(AND(BO631=0,Q631=0),"Gebinde unbekannt; ","")&amp;IF(AND(BO631=0,N(T631)&lt;=0,N(P631)&lt;=0),"Menge pro Gebinde fehlt (Ist = 1 Gebinde); ","")&amp;BJ631)</f>
        <v/>
      </c>
      <c r="BC631" s="53" t="n"/>
      <c r="BD631" s="53" t="n"/>
      <c r="BE631" s="61" t="n"/>
      <c r="BF631" s="55" t="n">
        <v>4</v>
      </c>
      <c r="BG631" s="55" t="n">
        <v>0</v>
      </c>
      <c r="BH631" s="54" t="n">
        <v>1.640000000000001</v>
      </c>
      <c r="BI631" s="55" t="n">
        <v>96</v>
      </c>
      <c r="BJ631" s="53" t="inlineStr"/>
      <c r="BK631" s="58" t="n">
        <v>0</v>
      </c>
      <c r="BL631" s="58" t="n">
        <v>631</v>
      </c>
      <c r="BM631" s="53">
        <f>IF(S631&lt;&gt;"",UPPER(TRIM(S631)),IF(O631="","LOSE",O631))</f>
        <v/>
      </c>
      <c r="BN631" s="55">
        <f>IF(BM631="LOSE",1,IF(N(T631)&gt;0,T631,IF(N(P631)&gt;0,P631,MAX(1,G631))))</f>
        <v/>
      </c>
      <c r="BO631" s="58">
        <f>IF(BM631="LOSE",1,0)</f>
        <v/>
      </c>
      <c r="BP631" s="64">
        <f>IF(BO631=0,0,IF(N(R631)&gt;0,R631,IFERROR(VLOOKUP(D631,Parameter!$A$35:$C$64,3,0)+0,0)))</f>
        <v/>
      </c>
      <c r="BQ631" s="53">
        <f>IF(V631&lt;&gt;"",V631,U631)</f>
        <v/>
      </c>
      <c r="BR631" s="53">
        <f>IF(BQ631=1,"L1",IF(OR(BQ631=2,BQ631=3),"L23",IF(BQ631="Aussen","Aussen","-")))</f>
        <v/>
      </c>
      <c r="BS631" s="66">
        <f>IF(N(W631)&gt;0,W631,0)</f>
        <v/>
      </c>
      <c r="BT631" s="58">
        <f>IF(ISNUMBER(Z631),1,0)</f>
        <v/>
      </c>
      <c r="BU631" s="55">
        <f>N(Z631)</f>
        <v/>
      </c>
      <c r="BV631" s="55">
        <f>N(L631)+N(M631)</f>
        <v/>
      </c>
      <c r="BW631" s="55">
        <f>ROUNDUP(G631/BN631,0)</f>
        <v/>
      </c>
      <c r="BX631" s="55">
        <f>ROUNDUP(BU631/BN631,0)</f>
        <v/>
      </c>
      <c r="BY631" s="58">
        <f>IF(BO631=1,0,IFERROR(VLOOKUP(BM631,'Gebinde-Kategorie'!$A$5:$G$45,5,0)+0,0))</f>
        <v/>
      </c>
      <c r="BZ631" s="58">
        <f>IFERROR(IF(OR(BQ631=1,BQ631=2,BQ631=3),N(INDEX(Parameter!$I$5:$I$7,BQ631)),0),0)</f>
        <v/>
      </c>
    </row>
    <row r="632">
      <c r="A632" s="53" t="inlineStr">
        <is>
          <t>110287</t>
        </is>
      </c>
      <c r="B632" s="53" t="inlineStr">
        <is>
          <t>Pinsel klein</t>
        </is>
      </c>
      <c r="C632" s="53" t="inlineStr">
        <is>
          <t>F</t>
        </is>
      </c>
      <c r="D632" s="53" t="inlineStr">
        <is>
          <t>KTL</t>
        </is>
      </c>
      <c r="E632" s="53" t="inlineStr">
        <is>
          <t>C</t>
        </is>
      </c>
      <c r="F632" s="54" t="n">
        <v>1.25</v>
      </c>
      <c r="G632" s="55">
        <f>MAX(0,IF(Parameter!$B$20="Jahresanfang 2025 + Export",BG632+BF632,BF632))</f>
        <v/>
      </c>
      <c r="H632" s="55">
        <f>G632*F632</f>
        <v/>
      </c>
      <c r="I632" s="55">
        <f>BI632*Parameter!$B$18</f>
        <v/>
      </c>
      <c r="J632" s="56" t="n">
        <v>11.5</v>
      </c>
      <c r="K632" s="57" t="n">
        <v>1.91304347826087</v>
      </c>
      <c r="L632" s="55" t="n">
        <v>0</v>
      </c>
      <c r="M632" s="55" t="n">
        <v>20</v>
      </c>
      <c r="N632" s="58" t="n">
        <v>14</v>
      </c>
      <c r="O632" s="53" t="inlineStr">
        <is>
          <t>S22</t>
        </is>
      </c>
      <c r="P632" s="55" t="n">
        <v>22</v>
      </c>
      <c r="Q632" s="59">
        <f>IF(BO632=1,0,IFERROR(VLOOKUP(BM632,'Gebinde-Kategorie'!$A$5:$G$45,6,0)+0,0))</f>
        <v/>
      </c>
      <c r="R632" s="60" t="n"/>
      <c r="S632" s="61" t="n"/>
      <c r="T632" s="61" t="n"/>
      <c r="U632" s="53">
        <f>IF(A632="","",IF(IFERROR(VLOOKUP(D632,Parameter!$A$35:$C$64,2,0),"Nein")="2+3",IF(ISNUMBER(SEARCH("grosser Artikel",BJ632)),2,IFERROR(VLOOKUP(BM632,Parameter!$F$35:$G$64,2,0),2)),IF(OR(IFERROR(VLOOKUP(D632,Parameter!$A$35:$C$64,2,0),"Nein")="Nein",IFERROR(VLOOKUP(D632,Parameter!$A$35:$C$64,2,0),"Nein")=""),"-",VLOOKUP(D632,Parameter!$A$35:$C$64,2,0))))</f>
        <v/>
      </c>
      <c r="V632" s="61" t="n"/>
      <c r="W632" s="62" t="n"/>
      <c r="X632" s="55">
        <f>AM632</f>
        <v/>
      </c>
      <c r="Y632" s="55">
        <f>MAX(AM632,G632)</f>
        <v/>
      </c>
      <c r="Z632" s="63" t="n"/>
      <c r="AA632" s="55">
        <f>IF(LEFT(Cockpit!$C$5,1)="A",G632,IF(BT632=1,BU632,IF(LEFT(Cockpit!$C$5,1)="B",AE632,MAX(AE632,G632))))</f>
        <v/>
      </c>
      <c r="AB632" s="55">
        <f>IF(BO632=1,0,ROUNDUP(AA632/BN632,0))</f>
        <v/>
      </c>
      <c r="AC632" s="64">
        <f>IF(BO632=1,IF(AA632&lt;=0,0,BP632*MAX(1,IF(G632&gt;0,AA632/G632,1))),AB632*Q632)</f>
        <v/>
      </c>
      <c r="AD632" s="55">
        <f>AA632*F632</f>
        <v/>
      </c>
      <c r="AE632" s="55">
        <f>ROUNDUP(MAX(I632/IF(BS632&gt;0,BS632,MAX(0.1,N(Cockpit!$C$6))),BV632)/BN632,0)*BN632</f>
        <v/>
      </c>
      <c r="AF632" s="56">
        <f>IF(AC632&gt;0,I632/AC632,-1)</f>
        <v/>
      </c>
      <c r="AG632" s="56">
        <f>IF(AND(OR(BR632="L1",BR632="L23"),AC632&gt;0),SUMIFS($AC$7:$AC$1570,$BR$7:$BR$1570,BR632,$AF$7:$AF$1570,"&gt;"&amp;AF632)+SUMIFS($AC$7:$AC$1570,$BR$7:$BR$1570,BR632,$AF$7:$AF$1570,AF632,$BL$7:$BL$1570,"&lt;="&amp;BL632),"")</f>
        <v/>
      </c>
      <c r="AH632" s="65">
        <f>IF(AG632="",0,MAX(0,MIN(1,(IF(BR632="L1",Parameter!$K$5,Parameter!$K$6+Parameter!$K$7)-(AG632-AC632))/AC632)))</f>
        <v/>
      </c>
      <c r="AI632" s="55">
        <f>IF(LEFT(Cockpit!$I$5,1)="A",G632,IF(BT632=1,BU632,IF(LEFT(Cockpit!$I$5,1)="B",AM632,MAX(AM632,G632))))</f>
        <v/>
      </c>
      <c r="AJ632" s="55">
        <f>IF(BO632=1,0,ROUNDUP(AI632/BN632,0))</f>
        <v/>
      </c>
      <c r="AK632" s="64">
        <f>IF(BO632=1,IF(AI632&lt;=0,0,BP632*MAX(1,IF(G632&gt;0,AI632/G632,1))),AJ632*Q632)</f>
        <v/>
      </c>
      <c r="AL632" s="55">
        <f>AI632*F632</f>
        <v/>
      </c>
      <c r="AM632" s="55">
        <f>ROUNDUP(MAX(I632/IF(BS632&gt;0,BS632,MAX(0.1,N(Cockpit!$I$6))),BV632)/BN632,0)*BN632</f>
        <v/>
      </c>
      <c r="AN632" s="56">
        <f>IF(AK632&gt;0,I632/AK632,-1)</f>
        <v/>
      </c>
      <c r="AO632" s="56">
        <f>IF(AND(OR(BR632="L1",BR632="L23"),AK632&gt;0),SUMIFS($AK$7:$AK$1570,$BR$7:$BR$1570,BR632,$AN$7:$AN$1570,"&gt;"&amp;AN632)+SUMIFS($AK$7:$AK$1570,$BR$7:$BR$1570,BR632,$AN$7:$AN$1570,AN632,$BL$7:$BL$1570,"&lt;="&amp;BL632),"")</f>
        <v/>
      </c>
      <c r="AP632" s="65">
        <f>IF(AO632="",0,MAX(0,MIN(1,(IF(BR632="L1",Parameter!$K$5,Parameter!$K$6+Parameter!$K$7)-(AO632-AK632))/AK632)))</f>
        <v/>
      </c>
      <c r="AQ632" s="55">
        <f>IF(LEFT(Cockpit!$O$5,1)="A",G632,IF(BT632=1,BU632,IF(LEFT(Cockpit!$O$5,1)="B",AU632,MAX(AU632,G632))))</f>
        <v/>
      </c>
      <c r="AR632" s="55">
        <f>IF(BO632=1,0,ROUNDUP(AQ632/BN632,0))</f>
        <v/>
      </c>
      <c r="AS632" s="64">
        <f>IF(BO632=1,IF(AQ632&lt;=0,0,BP632*MAX(1,IF(G632&gt;0,AQ632/G632,1))),AR632*Q632)</f>
        <v/>
      </c>
      <c r="AT632" s="55">
        <f>AQ632*F632</f>
        <v/>
      </c>
      <c r="AU632" s="55">
        <f>ROUNDUP(MAX(I632/IF(BS632&gt;0,BS632,MAX(0.1,N(Cockpit!$O$6))),BV632)/BN632,0)*BN632</f>
        <v/>
      </c>
      <c r="AV632" s="56">
        <f>IF(AS632&gt;0,I632/AS632,-1)</f>
        <v/>
      </c>
      <c r="AW632" s="56">
        <f>IF(AND(OR(BR632="L1",BR632="L23"),AS632&gt;0),SUMIFS($AS$7:$AS$1570,$BR$7:$BR$1570,BR632,$AV$7:$AV$1570,"&gt;"&amp;AV632)+SUMIFS($AS$7:$AS$1570,$BR$7:$BR$1570,BR632,$AV$7:$AV$1570,AV632,$BL$7:$BL$1570,"&lt;="&amp;BL632),"")</f>
        <v/>
      </c>
      <c r="AX632" s="65">
        <f>IF(AW632="",0,MAX(0,MIN(1,(IF(BR632="L1",Parameter!$K$5,Parameter!$K$6+Parameter!$K$7)-(AW632-AS632))/AS632)))</f>
        <v/>
      </c>
      <c r="AY632" s="53">
        <f>IF(AC632&lt;=0,"",IF(BR632="Aussen","Aussenlager",IF(BR632="-","Nicht im Lift",IF(AH632&gt;=1,"Lift",IF(AH632&lt;=0,"Aussenlager","teilweise")))))</f>
        <v/>
      </c>
      <c r="AZ632" s="53">
        <f>IF(AK632&lt;=0,"",IF(BR632="Aussen","Aussenlager",IF(BR632="-","Nicht im Lift",IF(AP632&gt;=1,"Lift",IF(AP632&lt;=0,"Aussenlager","teilweise")))))</f>
        <v/>
      </c>
      <c r="BA632" s="53">
        <f>IF(AS632&lt;=0,"",IF(BR632="Aussen","Aussenlager",IF(BR632="-","Nicht im Lift",IF(AX632&gt;=1,"Lift",IF(AX632&lt;=0,"Aussenlager","teilweise")))))</f>
        <v/>
      </c>
      <c r="BB632" s="53">
        <f>IF(A632="","",IF(BK632=1,"Neu; ","")&amp;IF(AND(BK632=0,BF632&lt;0),"negativer Bestand (Export "&amp;BF632&amp;"); ","")&amp;IF(I632&lt;=0,"Kein Verbrauch; ","")&amp;IF(BO632=1,"Lose – Fläche geschätzt; ","")&amp;IF(G632&gt;AM632,"Überbestand "&amp;ROUND(G632-AM632,0)&amp;" Stk / CHF "&amp;ROUND((G632-AM632)*F632,0)&amp;"; ","")&amp;IF(AND(BT632=1,BU632&lt;BV632),"MAX &lt; MB+LG; ","")&amp;IF(AND(BZ632&gt;0,BY632*10&gt;BZ632),"zu hoch für Tablar; ","")&amp;IF(AND(BK632=0,OR(BT632=1,V632&lt;&gt;"",S632&lt;&gt;"",T632&lt;&gt;"",W632&lt;&gt;"")),"manuell übersteuert; ","")&amp;IF(AND(BO632=0,Q632=0),"Gebinde unbekannt; ","")&amp;IF(AND(BO632=0,N(T632)&lt;=0,N(P632)&lt;=0),"Menge pro Gebinde fehlt (Ist = 1 Gebinde); ","")&amp;BJ632)</f>
        <v/>
      </c>
      <c r="BC632" s="53" t="n"/>
      <c r="BD632" s="53" t="n"/>
      <c r="BE632" s="61" t="n"/>
      <c r="BF632" s="55" t="n">
        <v>1</v>
      </c>
      <c r="BG632" s="55" t="n">
        <v>13</v>
      </c>
      <c r="BH632" s="54" t="n">
        <v>1.640000000000001</v>
      </c>
      <c r="BI632" s="55" t="n">
        <v>22</v>
      </c>
      <c r="BJ632" s="53" t="inlineStr"/>
      <c r="BK632" s="58" t="n">
        <v>0</v>
      </c>
      <c r="BL632" s="58" t="n">
        <v>632</v>
      </c>
      <c r="BM632" s="53">
        <f>IF(S632&lt;&gt;"",UPPER(TRIM(S632)),IF(O632="","LOSE",O632))</f>
        <v/>
      </c>
      <c r="BN632" s="55">
        <f>IF(BM632="LOSE",1,IF(N(T632)&gt;0,T632,IF(N(P632)&gt;0,P632,MAX(1,G632))))</f>
        <v/>
      </c>
      <c r="BO632" s="58">
        <f>IF(BM632="LOSE",1,0)</f>
        <v/>
      </c>
      <c r="BP632" s="64">
        <f>IF(BO632=0,0,IF(N(R632)&gt;0,R632,IFERROR(VLOOKUP(D632,Parameter!$A$35:$C$64,3,0)+0,0)))</f>
        <v/>
      </c>
      <c r="BQ632" s="53">
        <f>IF(V632&lt;&gt;"",V632,U632)</f>
        <v/>
      </c>
      <c r="BR632" s="53">
        <f>IF(BQ632=1,"L1",IF(OR(BQ632=2,BQ632=3),"L23",IF(BQ632="Aussen","Aussen","-")))</f>
        <v/>
      </c>
      <c r="BS632" s="66">
        <f>IF(N(W632)&gt;0,W632,0)</f>
        <v/>
      </c>
      <c r="BT632" s="58">
        <f>IF(ISNUMBER(Z632),1,0)</f>
        <v/>
      </c>
      <c r="BU632" s="55">
        <f>N(Z632)</f>
        <v/>
      </c>
      <c r="BV632" s="55">
        <f>N(L632)+N(M632)</f>
        <v/>
      </c>
      <c r="BW632" s="55">
        <f>ROUNDUP(G632/BN632,0)</f>
        <v/>
      </c>
      <c r="BX632" s="55">
        <f>ROUNDUP(BU632/BN632,0)</f>
        <v/>
      </c>
      <c r="BY632" s="58">
        <f>IF(BO632=1,0,IFERROR(VLOOKUP(BM632,'Gebinde-Kategorie'!$A$5:$G$45,5,0)+0,0))</f>
        <v/>
      </c>
      <c r="BZ632" s="58">
        <f>IFERROR(IF(OR(BQ632=1,BQ632=2,BQ632=3),N(INDEX(Parameter!$I$5:$I$7,BQ632)),0),0)</f>
        <v/>
      </c>
    </row>
    <row r="633">
      <c r="A633" s="53" t="inlineStr">
        <is>
          <t>005614</t>
        </is>
      </c>
      <c r="B633" s="53" t="inlineStr">
        <is>
          <t>Schutzkappe</t>
        </is>
      </c>
      <c r="C633" s="53" t="inlineStr">
        <is>
          <t>F</t>
        </is>
      </c>
      <c r="D633" s="53" t="inlineStr">
        <is>
          <t>KTL</t>
        </is>
      </c>
      <c r="E633" s="53" t="inlineStr">
        <is>
          <t>C</t>
        </is>
      </c>
      <c r="F633" s="54" t="n">
        <v>0.85</v>
      </c>
      <c r="G633" s="55">
        <f>MAX(0,IF(Parameter!$B$20="Jahresanfang 2025 + Export",BG633+BF633,BF633))</f>
        <v/>
      </c>
      <c r="H633" s="55">
        <f>G633*F633</f>
        <v/>
      </c>
      <c r="I633" s="55">
        <f>BI633*Parameter!$B$18</f>
        <v/>
      </c>
      <c r="J633" s="56" t="n">
        <v>40</v>
      </c>
      <c r="K633" s="57" t="n">
        <v>1.8</v>
      </c>
      <c r="L633" s="55" t="n">
        <v>2</v>
      </c>
      <c r="M633" s="55" t="n">
        <v>70</v>
      </c>
      <c r="N633" s="58" t="n">
        <v>14</v>
      </c>
      <c r="O633" s="53" t="inlineStr">
        <is>
          <t>S52</t>
        </is>
      </c>
      <c r="P633" s="55" t="n">
        <v>88</v>
      </c>
      <c r="Q633" s="59">
        <f>IF(BO633=1,0,IFERROR(VLOOKUP(BM633,'Gebinde-Kategorie'!$A$5:$G$45,6,0)+0,0))</f>
        <v/>
      </c>
      <c r="R633" s="60" t="n"/>
      <c r="S633" s="61" t="n"/>
      <c r="T633" s="61" t="n"/>
      <c r="U633" s="53">
        <f>IF(A633="","",IF(IFERROR(VLOOKUP(D633,Parameter!$A$35:$C$64,2,0),"Nein")="2+3",IF(ISNUMBER(SEARCH("grosser Artikel",BJ633)),2,IFERROR(VLOOKUP(BM633,Parameter!$F$35:$G$64,2,0),2)),IF(OR(IFERROR(VLOOKUP(D633,Parameter!$A$35:$C$64,2,0),"Nein")="Nein",IFERROR(VLOOKUP(D633,Parameter!$A$35:$C$64,2,0),"Nein")=""),"-",VLOOKUP(D633,Parameter!$A$35:$C$64,2,0))))</f>
        <v/>
      </c>
      <c r="V633" s="61" t="n"/>
      <c r="W633" s="62" t="n"/>
      <c r="X633" s="55">
        <f>AM633</f>
        <v/>
      </c>
      <c r="Y633" s="55">
        <f>MAX(AM633,G633)</f>
        <v/>
      </c>
      <c r="Z633" s="63" t="n"/>
      <c r="AA633" s="55">
        <f>IF(LEFT(Cockpit!$C$5,1)="A",G633,IF(BT633=1,BU633,IF(LEFT(Cockpit!$C$5,1)="B",AE633,MAX(AE633,G633))))</f>
        <v/>
      </c>
      <c r="AB633" s="55">
        <f>IF(BO633=1,0,ROUNDUP(AA633/BN633,0))</f>
        <v/>
      </c>
      <c r="AC633" s="64">
        <f>IF(BO633=1,IF(AA633&lt;=0,0,BP633*MAX(1,IF(G633&gt;0,AA633/G633,1))),AB633*Q633)</f>
        <v/>
      </c>
      <c r="AD633" s="55">
        <f>AA633*F633</f>
        <v/>
      </c>
      <c r="AE633" s="55">
        <f>ROUNDUP(MAX(I633/IF(BS633&gt;0,BS633,MAX(0.1,N(Cockpit!$C$6))),BV633)/BN633,0)*BN633</f>
        <v/>
      </c>
      <c r="AF633" s="56">
        <f>IF(AC633&gt;0,I633/AC633,-1)</f>
        <v/>
      </c>
      <c r="AG633" s="56">
        <f>IF(AND(OR(BR633="L1",BR633="L23"),AC633&gt;0),SUMIFS($AC$7:$AC$1570,$BR$7:$BR$1570,BR633,$AF$7:$AF$1570,"&gt;"&amp;AF633)+SUMIFS($AC$7:$AC$1570,$BR$7:$BR$1570,BR633,$AF$7:$AF$1570,AF633,$BL$7:$BL$1570,"&lt;="&amp;BL633),"")</f>
        <v/>
      </c>
      <c r="AH633" s="65">
        <f>IF(AG633="",0,MAX(0,MIN(1,(IF(BR633="L1",Parameter!$K$5,Parameter!$K$6+Parameter!$K$7)-(AG633-AC633))/AC633)))</f>
        <v/>
      </c>
      <c r="AI633" s="55">
        <f>IF(LEFT(Cockpit!$I$5,1)="A",G633,IF(BT633=1,BU633,IF(LEFT(Cockpit!$I$5,1)="B",AM633,MAX(AM633,G633))))</f>
        <v/>
      </c>
      <c r="AJ633" s="55">
        <f>IF(BO633=1,0,ROUNDUP(AI633/BN633,0))</f>
        <v/>
      </c>
      <c r="AK633" s="64">
        <f>IF(BO633=1,IF(AI633&lt;=0,0,BP633*MAX(1,IF(G633&gt;0,AI633/G633,1))),AJ633*Q633)</f>
        <v/>
      </c>
      <c r="AL633" s="55">
        <f>AI633*F633</f>
        <v/>
      </c>
      <c r="AM633" s="55">
        <f>ROUNDUP(MAX(I633/IF(BS633&gt;0,BS633,MAX(0.1,N(Cockpit!$I$6))),BV633)/BN633,0)*BN633</f>
        <v/>
      </c>
      <c r="AN633" s="56">
        <f>IF(AK633&gt;0,I633/AK633,-1)</f>
        <v/>
      </c>
      <c r="AO633" s="56">
        <f>IF(AND(OR(BR633="L1",BR633="L23"),AK633&gt;0),SUMIFS($AK$7:$AK$1570,$BR$7:$BR$1570,BR633,$AN$7:$AN$1570,"&gt;"&amp;AN633)+SUMIFS($AK$7:$AK$1570,$BR$7:$BR$1570,BR633,$AN$7:$AN$1570,AN633,$BL$7:$BL$1570,"&lt;="&amp;BL633),"")</f>
        <v/>
      </c>
      <c r="AP633" s="65">
        <f>IF(AO633="",0,MAX(0,MIN(1,(IF(BR633="L1",Parameter!$K$5,Parameter!$K$6+Parameter!$K$7)-(AO633-AK633))/AK633)))</f>
        <v/>
      </c>
      <c r="AQ633" s="55">
        <f>IF(LEFT(Cockpit!$O$5,1)="A",G633,IF(BT633=1,BU633,IF(LEFT(Cockpit!$O$5,1)="B",AU633,MAX(AU633,G633))))</f>
        <v/>
      </c>
      <c r="AR633" s="55">
        <f>IF(BO633=1,0,ROUNDUP(AQ633/BN633,0))</f>
        <v/>
      </c>
      <c r="AS633" s="64">
        <f>IF(BO633=1,IF(AQ633&lt;=0,0,BP633*MAX(1,IF(G633&gt;0,AQ633/G633,1))),AR633*Q633)</f>
        <v/>
      </c>
      <c r="AT633" s="55">
        <f>AQ633*F633</f>
        <v/>
      </c>
      <c r="AU633" s="55">
        <f>ROUNDUP(MAX(I633/IF(BS633&gt;0,BS633,MAX(0.1,N(Cockpit!$O$6))),BV633)/BN633,0)*BN633</f>
        <v/>
      </c>
      <c r="AV633" s="56">
        <f>IF(AS633&gt;0,I633/AS633,-1)</f>
        <v/>
      </c>
      <c r="AW633" s="56">
        <f>IF(AND(OR(BR633="L1",BR633="L23"),AS633&gt;0),SUMIFS($AS$7:$AS$1570,$BR$7:$BR$1570,BR633,$AV$7:$AV$1570,"&gt;"&amp;AV633)+SUMIFS($AS$7:$AS$1570,$BR$7:$BR$1570,BR633,$AV$7:$AV$1570,AV633,$BL$7:$BL$1570,"&lt;="&amp;BL633),"")</f>
        <v/>
      </c>
      <c r="AX633" s="65">
        <f>IF(AW633="",0,MAX(0,MIN(1,(IF(BR633="L1",Parameter!$K$5,Parameter!$K$6+Parameter!$K$7)-(AW633-AS633))/AS633)))</f>
        <v/>
      </c>
      <c r="AY633" s="53">
        <f>IF(AC633&lt;=0,"",IF(BR633="Aussen","Aussenlager",IF(BR633="-","Nicht im Lift",IF(AH633&gt;=1,"Lift",IF(AH633&lt;=0,"Aussenlager","teilweise")))))</f>
        <v/>
      </c>
      <c r="AZ633" s="53">
        <f>IF(AK633&lt;=0,"",IF(BR633="Aussen","Aussenlager",IF(BR633="-","Nicht im Lift",IF(AP633&gt;=1,"Lift",IF(AP633&lt;=0,"Aussenlager","teilweise")))))</f>
        <v/>
      </c>
      <c r="BA633" s="53">
        <f>IF(AS633&lt;=0,"",IF(BR633="Aussen","Aussenlager",IF(BR633="-","Nicht im Lift",IF(AX633&gt;=1,"Lift",IF(AX633&lt;=0,"Aussenlager","teilweise")))))</f>
        <v/>
      </c>
      <c r="BB633" s="53">
        <f>IF(A633="","",IF(BK633=1,"Neu; ","")&amp;IF(AND(BK633=0,BF633&lt;0),"negativer Bestand (Export "&amp;BF633&amp;"); ","")&amp;IF(I633&lt;=0,"Kein Verbrauch; ","")&amp;IF(BO633=1,"Lose – Fläche geschätzt; ","")&amp;IF(G633&gt;AM633,"Überbestand "&amp;ROUND(G633-AM633,0)&amp;" Stk / CHF "&amp;ROUND((G633-AM633)*F633,0)&amp;"; ","")&amp;IF(AND(BT633=1,BU633&lt;BV633),"MAX &lt; MB+LG; ","")&amp;IF(AND(BZ633&gt;0,BY633*10&gt;BZ633),"zu hoch für Tablar; ","")&amp;IF(AND(BK633=0,OR(BT633=1,V633&lt;&gt;"",S633&lt;&gt;"",T633&lt;&gt;"",W633&lt;&gt;"")),"manuell übersteuert; ","")&amp;IF(AND(BO633=0,Q633=0),"Gebinde unbekannt; ","")&amp;IF(AND(BO633=0,N(T633)&lt;=0,N(P633)&lt;=0),"Menge pro Gebinde fehlt (Ist = 1 Gebinde); ","")&amp;BJ633)</f>
        <v/>
      </c>
      <c r="BC633" s="53" t="n"/>
      <c r="BD633" s="53" t="n"/>
      <c r="BE633" s="61" t="n"/>
      <c r="BF633" s="55" t="n">
        <v>1</v>
      </c>
      <c r="BG633" s="55" t="n">
        <v>22</v>
      </c>
      <c r="BH633" s="54" t="n">
        <v>1.509999999999973</v>
      </c>
      <c r="BI633" s="55" t="n">
        <v>72</v>
      </c>
      <c r="BJ633" s="53" t="inlineStr"/>
      <c r="BK633" s="58" t="n">
        <v>0</v>
      </c>
      <c r="BL633" s="58" t="n">
        <v>633</v>
      </c>
      <c r="BM633" s="53">
        <f>IF(S633&lt;&gt;"",UPPER(TRIM(S633)),IF(O633="","LOSE",O633))</f>
        <v/>
      </c>
      <c r="BN633" s="55">
        <f>IF(BM633="LOSE",1,IF(N(T633)&gt;0,T633,IF(N(P633)&gt;0,P633,MAX(1,G633))))</f>
        <v/>
      </c>
      <c r="BO633" s="58">
        <f>IF(BM633="LOSE",1,0)</f>
        <v/>
      </c>
      <c r="BP633" s="64">
        <f>IF(BO633=0,0,IF(N(R633)&gt;0,R633,IFERROR(VLOOKUP(D633,Parameter!$A$35:$C$64,3,0)+0,0)))</f>
        <v/>
      </c>
      <c r="BQ633" s="53">
        <f>IF(V633&lt;&gt;"",V633,U633)</f>
        <v/>
      </c>
      <c r="BR633" s="53">
        <f>IF(BQ633=1,"L1",IF(OR(BQ633=2,BQ633=3),"L23",IF(BQ633="Aussen","Aussen","-")))</f>
        <v/>
      </c>
      <c r="BS633" s="66">
        <f>IF(N(W633)&gt;0,W633,0)</f>
        <v/>
      </c>
      <c r="BT633" s="58">
        <f>IF(ISNUMBER(Z633),1,0)</f>
        <v/>
      </c>
      <c r="BU633" s="55">
        <f>N(Z633)</f>
        <v/>
      </c>
      <c r="BV633" s="55">
        <f>N(L633)+N(M633)</f>
        <v/>
      </c>
      <c r="BW633" s="55">
        <f>ROUNDUP(G633/BN633,0)</f>
        <v/>
      </c>
      <c r="BX633" s="55">
        <f>ROUNDUP(BU633/BN633,0)</f>
        <v/>
      </c>
      <c r="BY633" s="58">
        <f>IF(BO633=1,0,IFERROR(VLOOKUP(BM633,'Gebinde-Kategorie'!$A$5:$G$45,5,0)+0,0))</f>
        <v/>
      </c>
      <c r="BZ633" s="58">
        <f>IFERROR(IF(OR(BQ633=1,BQ633=2,BQ633=3),N(INDEX(Parameter!$I$5:$I$7,BQ633)),0),0)</f>
        <v/>
      </c>
    </row>
    <row r="634">
      <c r="A634" s="53" t="inlineStr">
        <is>
          <t>103681</t>
        </is>
      </c>
      <c r="B634" s="53" t="inlineStr">
        <is>
          <t>Steckschlüsseleinsatz</t>
        </is>
      </c>
      <c r="C634" s="53" t="inlineStr">
        <is>
          <t>F</t>
        </is>
      </c>
      <c r="D634" s="53" t="inlineStr">
        <is>
          <t>KTL</t>
        </is>
      </c>
      <c r="E634" s="53" t="inlineStr">
        <is>
          <t>C</t>
        </is>
      </c>
      <c r="F634" s="54" t="n">
        <v>0.66</v>
      </c>
      <c r="G634" s="55">
        <f>MAX(0,IF(Parameter!$B$20="Jahresanfang 2025 + Export",BG634+BF634,BF634))</f>
        <v/>
      </c>
      <c r="H634" s="55">
        <f>G634*F634</f>
        <v/>
      </c>
      <c r="I634" s="55">
        <f>BI634*Parameter!$B$18</f>
        <v/>
      </c>
      <c r="J634" s="56" t="n">
        <v>15</v>
      </c>
      <c r="K634" s="57" t="n">
        <v>0.06666666666666667</v>
      </c>
      <c r="L634" s="55" t="n">
        <v>0</v>
      </c>
      <c r="M634" s="55" t="n">
        <v>1</v>
      </c>
      <c r="N634" s="58" t="n">
        <v>28</v>
      </c>
      <c r="O634" s="53" t="inlineStr">
        <is>
          <t>S22</t>
        </is>
      </c>
      <c r="P634" s="55" t="n">
        <v>11</v>
      </c>
      <c r="Q634" s="59">
        <f>IF(BO634=1,0,IFERROR(VLOOKUP(BM634,'Gebinde-Kategorie'!$A$5:$G$45,6,0)+0,0))</f>
        <v/>
      </c>
      <c r="R634" s="60" t="n"/>
      <c r="S634" s="61" t="n"/>
      <c r="T634" s="61" t="n"/>
      <c r="U634" s="53">
        <f>IF(A634="","",IF(IFERROR(VLOOKUP(D634,Parameter!$A$35:$C$64,2,0),"Nein")="2+3",IF(ISNUMBER(SEARCH("grosser Artikel",BJ634)),2,IFERROR(VLOOKUP(BM634,Parameter!$F$35:$G$64,2,0),2)),IF(OR(IFERROR(VLOOKUP(D634,Parameter!$A$35:$C$64,2,0),"Nein")="Nein",IFERROR(VLOOKUP(D634,Parameter!$A$35:$C$64,2,0),"Nein")=""),"-",VLOOKUP(D634,Parameter!$A$35:$C$64,2,0))))</f>
        <v/>
      </c>
      <c r="V634" s="61" t="n"/>
      <c r="W634" s="62" t="n"/>
      <c r="X634" s="55">
        <f>AM634</f>
        <v/>
      </c>
      <c r="Y634" s="55">
        <f>MAX(AM634,G634)</f>
        <v/>
      </c>
      <c r="Z634" s="63" t="n"/>
      <c r="AA634" s="55">
        <f>IF(LEFT(Cockpit!$C$5,1)="A",G634,IF(BT634=1,BU634,IF(LEFT(Cockpit!$C$5,1)="B",AE634,MAX(AE634,G634))))</f>
        <v/>
      </c>
      <c r="AB634" s="55">
        <f>IF(BO634=1,0,ROUNDUP(AA634/BN634,0))</f>
        <v/>
      </c>
      <c r="AC634" s="64">
        <f>IF(BO634=1,IF(AA634&lt;=0,0,BP634*MAX(1,IF(G634&gt;0,AA634/G634,1))),AB634*Q634)</f>
        <v/>
      </c>
      <c r="AD634" s="55">
        <f>AA634*F634</f>
        <v/>
      </c>
      <c r="AE634" s="55">
        <f>ROUNDUP(MAX(I634/IF(BS634&gt;0,BS634,MAX(0.1,N(Cockpit!$C$6))),BV634)/BN634,0)*BN634</f>
        <v/>
      </c>
      <c r="AF634" s="56">
        <f>IF(AC634&gt;0,I634/AC634,-1)</f>
        <v/>
      </c>
      <c r="AG634" s="56">
        <f>IF(AND(OR(BR634="L1",BR634="L23"),AC634&gt;0),SUMIFS($AC$7:$AC$1570,$BR$7:$BR$1570,BR634,$AF$7:$AF$1570,"&gt;"&amp;AF634)+SUMIFS($AC$7:$AC$1570,$BR$7:$BR$1570,BR634,$AF$7:$AF$1570,AF634,$BL$7:$BL$1570,"&lt;="&amp;BL634),"")</f>
        <v/>
      </c>
      <c r="AH634" s="65">
        <f>IF(AG634="",0,MAX(0,MIN(1,(IF(BR634="L1",Parameter!$K$5,Parameter!$K$6+Parameter!$K$7)-(AG634-AC634))/AC634)))</f>
        <v/>
      </c>
      <c r="AI634" s="55">
        <f>IF(LEFT(Cockpit!$I$5,1)="A",G634,IF(BT634=1,BU634,IF(LEFT(Cockpit!$I$5,1)="B",AM634,MAX(AM634,G634))))</f>
        <v/>
      </c>
      <c r="AJ634" s="55">
        <f>IF(BO634=1,0,ROUNDUP(AI634/BN634,0))</f>
        <v/>
      </c>
      <c r="AK634" s="64">
        <f>IF(BO634=1,IF(AI634&lt;=0,0,BP634*MAX(1,IF(G634&gt;0,AI634/G634,1))),AJ634*Q634)</f>
        <v/>
      </c>
      <c r="AL634" s="55">
        <f>AI634*F634</f>
        <v/>
      </c>
      <c r="AM634" s="55">
        <f>ROUNDUP(MAX(I634/IF(BS634&gt;0,BS634,MAX(0.1,N(Cockpit!$I$6))),BV634)/BN634,0)*BN634</f>
        <v/>
      </c>
      <c r="AN634" s="56">
        <f>IF(AK634&gt;0,I634/AK634,-1)</f>
        <v/>
      </c>
      <c r="AO634" s="56">
        <f>IF(AND(OR(BR634="L1",BR634="L23"),AK634&gt;0),SUMIFS($AK$7:$AK$1570,$BR$7:$BR$1570,BR634,$AN$7:$AN$1570,"&gt;"&amp;AN634)+SUMIFS($AK$7:$AK$1570,$BR$7:$BR$1570,BR634,$AN$7:$AN$1570,AN634,$BL$7:$BL$1570,"&lt;="&amp;BL634),"")</f>
        <v/>
      </c>
      <c r="AP634" s="65">
        <f>IF(AO634="",0,MAX(0,MIN(1,(IF(BR634="L1",Parameter!$K$5,Parameter!$K$6+Parameter!$K$7)-(AO634-AK634))/AK634)))</f>
        <v/>
      </c>
      <c r="AQ634" s="55">
        <f>IF(LEFT(Cockpit!$O$5,1)="A",G634,IF(BT634=1,BU634,IF(LEFT(Cockpit!$O$5,1)="B",AU634,MAX(AU634,G634))))</f>
        <v/>
      </c>
      <c r="AR634" s="55">
        <f>IF(BO634=1,0,ROUNDUP(AQ634/BN634,0))</f>
        <v/>
      </c>
      <c r="AS634" s="64">
        <f>IF(BO634=1,IF(AQ634&lt;=0,0,BP634*MAX(1,IF(G634&gt;0,AQ634/G634,1))),AR634*Q634)</f>
        <v/>
      </c>
      <c r="AT634" s="55">
        <f>AQ634*F634</f>
        <v/>
      </c>
      <c r="AU634" s="55">
        <f>ROUNDUP(MAX(I634/IF(BS634&gt;0,BS634,MAX(0.1,N(Cockpit!$O$6))),BV634)/BN634,0)*BN634</f>
        <v/>
      </c>
      <c r="AV634" s="56">
        <f>IF(AS634&gt;0,I634/AS634,-1)</f>
        <v/>
      </c>
      <c r="AW634" s="56">
        <f>IF(AND(OR(BR634="L1",BR634="L23"),AS634&gt;0),SUMIFS($AS$7:$AS$1570,$BR$7:$BR$1570,BR634,$AV$7:$AV$1570,"&gt;"&amp;AV634)+SUMIFS($AS$7:$AS$1570,$BR$7:$BR$1570,BR634,$AV$7:$AV$1570,AV634,$BL$7:$BL$1570,"&lt;="&amp;BL634),"")</f>
        <v/>
      </c>
      <c r="AX634" s="65">
        <f>IF(AW634="",0,MAX(0,MIN(1,(IF(BR634="L1",Parameter!$K$5,Parameter!$K$6+Parameter!$K$7)-(AW634-AS634))/AS634)))</f>
        <v/>
      </c>
      <c r="AY634" s="53">
        <f>IF(AC634&lt;=0,"",IF(BR634="Aussen","Aussenlager",IF(BR634="-","Nicht im Lift",IF(AH634&gt;=1,"Lift",IF(AH634&lt;=0,"Aussenlager","teilweise")))))</f>
        <v/>
      </c>
      <c r="AZ634" s="53">
        <f>IF(AK634&lt;=0,"",IF(BR634="Aussen","Aussenlager",IF(BR634="-","Nicht im Lift",IF(AP634&gt;=1,"Lift",IF(AP634&lt;=0,"Aussenlager","teilweise")))))</f>
        <v/>
      </c>
      <c r="BA634" s="53">
        <f>IF(AS634&lt;=0,"",IF(BR634="Aussen","Aussenlager",IF(BR634="-","Nicht im Lift",IF(AX634&gt;=1,"Lift",IF(AX634&lt;=0,"Aussenlager","teilweise")))))</f>
        <v/>
      </c>
      <c r="BB634" s="53">
        <f>IF(A634="","",IF(BK634=1,"Neu; ","")&amp;IF(AND(BK634=0,BF634&lt;0),"negativer Bestand (Export "&amp;BF634&amp;"); ","")&amp;IF(I634&lt;=0,"Kein Verbrauch; ","")&amp;IF(BO634=1,"Lose – Fläche geschätzt; ","")&amp;IF(G634&gt;AM634,"Überbestand "&amp;ROUND(G634-AM634,0)&amp;" Stk / CHF "&amp;ROUND((G634-AM634)*F634,0)&amp;"; ","")&amp;IF(AND(BT634=1,BU634&lt;BV634),"MAX &lt; MB+LG; ","")&amp;IF(AND(BZ634&gt;0,BY634*10&gt;BZ634),"zu hoch für Tablar; ","")&amp;IF(AND(BK634=0,OR(BT634=1,V634&lt;&gt;"",S634&lt;&gt;"",T634&lt;&gt;"",W634&lt;&gt;"")),"manuell übersteuert; ","")&amp;IF(AND(BO634=0,Q634=0),"Gebinde unbekannt; ","")&amp;IF(AND(BO634=0,N(T634)&lt;=0,N(P634)&lt;=0),"Menge pro Gebinde fehlt (Ist = 1 Gebinde); ","")&amp;BJ634)</f>
        <v/>
      </c>
      <c r="BC634" s="53" t="n"/>
      <c r="BD634" s="53" t="n"/>
      <c r="BE634" s="61" t="n"/>
      <c r="BF634" s="55" t="n">
        <v>17</v>
      </c>
      <c r="BG634" s="55" t="n">
        <v>6</v>
      </c>
      <c r="BH634" s="54" t="n">
        <v>1.38</v>
      </c>
      <c r="BI634" s="55" t="n">
        <v>1</v>
      </c>
      <c r="BJ634" s="53" t="inlineStr"/>
      <c r="BK634" s="58" t="n">
        <v>0</v>
      </c>
      <c r="BL634" s="58" t="n">
        <v>634</v>
      </c>
      <c r="BM634" s="53">
        <f>IF(S634&lt;&gt;"",UPPER(TRIM(S634)),IF(O634="","LOSE",O634))</f>
        <v/>
      </c>
      <c r="BN634" s="55">
        <f>IF(BM634="LOSE",1,IF(N(T634)&gt;0,T634,IF(N(P634)&gt;0,P634,MAX(1,G634))))</f>
        <v/>
      </c>
      <c r="BO634" s="58">
        <f>IF(BM634="LOSE",1,0)</f>
        <v/>
      </c>
      <c r="BP634" s="64">
        <f>IF(BO634=0,0,IF(N(R634)&gt;0,R634,IFERROR(VLOOKUP(D634,Parameter!$A$35:$C$64,3,0)+0,0)))</f>
        <v/>
      </c>
      <c r="BQ634" s="53">
        <f>IF(V634&lt;&gt;"",V634,U634)</f>
        <v/>
      </c>
      <c r="BR634" s="53">
        <f>IF(BQ634=1,"L1",IF(OR(BQ634=2,BQ634=3),"L23",IF(BQ634="Aussen","Aussen","-")))</f>
        <v/>
      </c>
      <c r="BS634" s="66">
        <f>IF(N(W634)&gt;0,W634,0)</f>
        <v/>
      </c>
      <c r="BT634" s="58">
        <f>IF(ISNUMBER(Z634),1,0)</f>
        <v/>
      </c>
      <c r="BU634" s="55">
        <f>N(Z634)</f>
        <v/>
      </c>
      <c r="BV634" s="55">
        <f>N(L634)+N(M634)</f>
        <v/>
      </c>
      <c r="BW634" s="55">
        <f>ROUNDUP(G634/BN634,0)</f>
        <v/>
      </c>
      <c r="BX634" s="55">
        <f>ROUNDUP(BU634/BN634,0)</f>
        <v/>
      </c>
      <c r="BY634" s="58">
        <f>IF(BO634=1,0,IFERROR(VLOOKUP(BM634,'Gebinde-Kategorie'!$A$5:$G$45,5,0)+0,0))</f>
        <v/>
      </c>
      <c r="BZ634" s="58">
        <f>IFERROR(IF(OR(BQ634=1,BQ634=2,BQ634=3),N(INDEX(Parameter!$I$5:$I$7,BQ634)),0),0)</f>
        <v/>
      </c>
    </row>
    <row r="635">
      <c r="A635" s="53" t="inlineStr">
        <is>
          <t>102509</t>
        </is>
      </c>
      <c r="B635" s="53" t="inlineStr">
        <is>
          <t>Etikett</t>
        </is>
      </c>
      <c r="C635" s="53" t="inlineStr">
        <is>
          <t>F</t>
        </is>
      </c>
      <c r="D635" s="53" t="inlineStr">
        <is>
          <t>KTL</t>
        </is>
      </c>
      <c r="E635" s="53" t="inlineStr">
        <is>
          <t>C</t>
        </is>
      </c>
      <c r="F635" s="54" t="n">
        <v>0.05</v>
      </c>
      <c r="G635" s="55">
        <f>MAX(0,IF(Parameter!$B$20="Jahresanfang 2025 + Export",BG635+BF635,BF635))</f>
        <v/>
      </c>
      <c r="H635" s="55">
        <f>G635*F635</f>
        <v/>
      </c>
      <c r="I635" s="55">
        <f>BI635*Parameter!$B$18</f>
        <v/>
      </c>
      <c r="J635" s="56" t="n">
        <v>30.5</v>
      </c>
      <c r="K635" s="57" t="n">
        <v>0</v>
      </c>
      <c r="L635" s="55" t="n">
        <v>1</v>
      </c>
      <c r="M635" s="55" t="n">
        <v>50</v>
      </c>
      <c r="N635" s="58" t="n">
        <v>14</v>
      </c>
      <c r="O635" s="53" t="inlineStr">
        <is>
          <t>S21</t>
        </is>
      </c>
      <c r="P635" s="55" t="n">
        <v>38</v>
      </c>
      <c r="Q635" s="59">
        <f>IF(BO635=1,0,IFERROR(VLOOKUP(BM635,'Gebinde-Kategorie'!$A$5:$G$45,6,0)+0,0))</f>
        <v/>
      </c>
      <c r="R635" s="60" t="n"/>
      <c r="S635" s="61" t="n"/>
      <c r="T635" s="61" t="n"/>
      <c r="U635" s="53">
        <f>IF(A635="","",IF(IFERROR(VLOOKUP(D635,Parameter!$A$35:$C$64,2,0),"Nein")="2+3",IF(ISNUMBER(SEARCH("grosser Artikel",BJ635)),2,IFERROR(VLOOKUP(BM635,Parameter!$F$35:$G$64,2,0),2)),IF(OR(IFERROR(VLOOKUP(D635,Parameter!$A$35:$C$64,2,0),"Nein")="Nein",IFERROR(VLOOKUP(D635,Parameter!$A$35:$C$64,2,0),"Nein")=""),"-",VLOOKUP(D635,Parameter!$A$35:$C$64,2,0))))</f>
        <v/>
      </c>
      <c r="V635" s="61" t="n"/>
      <c r="W635" s="62" t="n"/>
      <c r="X635" s="55">
        <f>AM635</f>
        <v/>
      </c>
      <c r="Y635" s="55">
        <f>MAX(AM635,G635)</f>
        <v/>
      </c>
      <c r="Z635" s="63" t="n"/>
      <c r="AA635" s="55">
        <f>IF(LEFT(Cockpit!$C$5,1)="A",G635,IF(BT635=1,BU635,IF(LEFT(Cockpit!$C$5,1)="B",AE635,MAX(AE635,G635))))</f>
        <v/>
      </c>
      <c r="AB635" s="55">
        <f>IF(BO635=1,0,ROUNDUP(AA635/BN635,0))</f>
        <v/>
      </c>
      <c r="AC635" s="64">
        <f>IF(BO635=1,IF(AA635&lt;=0,0,BP635*MAX(1,IF(G635&gt;0,AA635/G635,1))),AB635*Q635)</f>
        <v/>
      </c>
      <c r="AD635" s="55">
        <f>AA635*F635</f>
        <v/>
      </c>
      <c r="AE635" s="55">
        <f>ROUNDUP(MAX(I635/IF(BS635&gt;0,BS635,MAX(0.1,N(Cockpit!$C$6))),BV635)/BN635,0)*BN635</f>
        <v/>
      </c>
      <c r="AF635" s="56">
        <f>IF(AC635&gt;0,I635/AC635,-1)</f>
        <v/>
      </c>
      <c r="AG635" s="56">
        <f>IF(AND(OR(BR635="L1",BR635="L23"),AC635&gt;0),SUMIFS($AC$7:$AC$1570,$BR$7:$BR$1570,BR635,$AF$7:$AF$1570,"&gt;"&amp;AF635)+SUMIFS($AC$7:$AC$1570,$BR$7:$BR$1570,BR635,$AF$7:$AF$1570,AF635,$BL$7:$BL$1570,"&lt;="&amp;BL635),"")</f>
        <v/>
      </c>
      <c r="AH635" s="65">
        <f>IF(AG635="",0,MAX(0,MIN(1,(IF(BR635="L1",Parameter!$K$5,Parameter!$K$6+Parameter!$K$7)-(AG635-AC635))/AC635)))</f>
        <v/>
      </c>
      <c r="AI635" s="55">
        <f>IF(LEFT(Cockpit!$I$5,1)="A",G635,IF(BT635=1,BU635,IF(LEFT(Cockpit!$I$5,1)="B",AM635,MAX(AM635,G635))))</f>
        <v/>
      </c>
      <c r="AJ635" s="55">
        <f>IF(BO635=1,0,ROUNDUP(AI635/BN635,0))</f>
        <v/>
      </c>
      <c r="AK635" s="64">
        <f>IF(BO635=1,IF(AI635&lt;=0,0,BP635*MAX(1,IF(G635&gt;0,AI635/G635,1))),AJ635*Q635)</f>
        <v/>
      </c>
      <c r="AL635" s="55">
        <f>AI635*F635</f>
        <v/>
      </c>
      <c r="AM635" s="55">
        <f>ROUNDUP(MAX(I635/IF(BS635&gt;0,BS635,MAX(0.1,N(Cockpit!$I$6))),BV635)/BN635,0)*BN635</f>
        <v/>
      </c>
      <c r="AN635" s="56">
        <f>IF(AK635&gt;0,I635/AK635,-1)</f>
        <v/>
      </c>
      <c r="AO635" s="56">
        <f>IF(AND(OR(BR635="L1",BR635="L23"),AK635&gt;0),SUMIFS($AK$7:$AK$1570,$BR$7:$BR$1570,BR635,$AN$7:$AN$1570,"&gt;"&amp;AN635)+SUMIFS($AK$7:$AK$1570,$BR$7:$BR$1570,BR635,$AN$7:$AN$1570,AN635,$BL$7:$BL$1570,"&lt;="&amp;BL635),"")</f>
        <v/>
      </c>
      <c r="AP635" s="65">
        <f>IF(AO635="",0,MAX(0,MIN(1,(IF(BR635="L1",Parameter!$K$5,Parameter!$K$6+Parameter!$K$7)-(AO635-AK635))/AK635)))</f>
        <v/>
      </c>
      <c r="AQ635" s="55">
        <f>IF(LEFT(Cockpit!$O$5,1)="A",G635,IF(BT635=1,BU635,IF(LEFT(Cockpit!$O$5,1)="B",AU635,MAX(AU635,G635))))</f>
        <v/>
      </c>
      <c r="AR635" s="55">
        <f>IF(BO635=1,0,ROUNDUP(AQ635/BN635,0))</f>
        <v/>
      </c>
      <c r="AS635" s="64">
        <f>IF(BO635=1,IF(AQ635&lt;=0,0,BP635*MAX(1,IF(G635&gt;0,AQ635/G635,1))),AR635*Q635)</f>
        <v/>
      </c>
      <c r="AT635" s="55">
        <f>AQ635*F635</f>
        <v/>
      </c>
      <c r="AU635" s="55">
        <f>ROUNDUP(MAX(I635/IF(BS635&gt;0,BS635,MAX(0.1,N(Cockpit!$O$6))),BV635)/BN635,0)*BN635</f>
        <v/>
      </c>
      <c r="AV635" s="56">
        <f>IF(AS635&gt;0,I635/AS635,-1)</f>
        <v/>
      </c>
      <c r="AW635" s="56">
        <f>IF(AND(OR(BR635="L1",BR635="L23"),AS635&gt;0),SUMIFS($AS$7:$AS$1570,$BR$7:$BR$1570,BR635,$AV$7:$AV$1570,"&gt;"&amp;AV635)+SUMIFS($AS$7:$AS$1570,$BR$7:$BR$1570,BR635,$AV$7:$AV$1570,AV635,$BL$7:$BL$1570,"&lt;="&amp;BL635),"")</f>
        <v/>
      </c>
      <c r="AX635" s="65">
        <f>IF(AW635="",0,MAX(0,MIN(1,(IF(BR635="L1",Parameter!$K$5,Parameter!$K$6+Parameter!$K$7)-(AW635-AS635))/AS635)))</f>
        <v/>
      </c>
      <c r="AY635" s="53">
        <f>IF(AC635&lt;=0,"",IF(BR635="Aussen","Aussenlager",IF(BR635="-","Nicht im Lift",IF(AH635&gt;=1,"Lift",IF(AH635&lt;=0,"Aussenlager","teilweise")))))</f>
        <v/>
      </c>
      <c r="AZ635" s="53">
        <f>IF(AK635&lt;=0,"",IF(BR635="Aussen","Aussenlager",IF(BR635="-","Nicht im Lift",IF(AP635&gt;=1,"Lift",IF(AP635&lt;=0,"Aussenlager","teilweise")))))</f>
        <v/>
      </c>
      <c r="BA635" s="53">
        <f>IF(AS635&lt;=0,"",IF(BR635="Aussen","Aussenlager",IF(BR635="-","Nicht im Lift",IF(AX635&gt;=1,"Lift",IF(AX635&lt;=0,"Aussenlager","teilweise")))))</f>
        <v/>
      </c>
      <c r="BB635" s="53">
        <f>IF(A635="","",IF(BK635=1,"Neu; ","")&amp;IF(AND(BK635=0,BF635&lt;0),"negativer Bestand (Export "&amp;BF635&amp;"); ","")&amp;IF(I635&lt;=0,"Kein Verbrauch; ","")&amp;IF(BO635=1,"Lose – Fläche geschätzt; ","")&amp;IF(G635&gt;AM635,"Überbestand "&amp;ROUND(G635-AM635,0)&amp;" Stk / CHF "&amp;ROUND((G635-AM635)*F635,0)&amp;"; ","")&amp;IF(AND(BT635=1,BU635&lt;BV635),"MAX &lt; MB+LG; ","")&amp;IF(AND(BZ635&gt;0,BY635*10&gt;BZ635),"zu hoch für Tablar; ","")&amp;IF(AND(BK635=0,OR(BT635=1,V635&lt;&gt;"",S635&lt;&gt;"",T635&lt;&gt;"",W635&lt;&gt;"")),"manuell übersteuert; ","")&amp;IF(AND(BO635=0,Q635=0),"Gebinde unbekannt; ","")&amp;IF(AND(BO635=0,N(T635)&lt;=0,N(P635)&lt;=0),"Menge pro Gebinde fehlt (Ist = 1 Gebinde); ","")&amp;BJ635)</f>
        <v/>
      </c>
      <c r="BC635" s="53" t="n"/>
      <c r="BD635" s="53" t="n"/>
      <c r="BE635" s="61" t="n"/>
      <c r="BF635" s="55" t="n">
        <v>24</v>
      </c>
      <c r="BG635" s="55" t="n">
        <v>5</v>
      </c>
      <c r="BH635" s="54" t="n">
        <v>1.200000000000001</v>
      </c>
      <c r="BI635" s="55" t="n">
        <v>0</v>
      </c>
      <c r="BJ635" s="53" t="inlineStr"/>
      <c r="BK635" s="58" t="n">
        <v>0</v>
      </c>
      <c r="BL635" s="58" t="n">
        <v>635</v>
      </c>
      <c r="BM635" s="53">
        <f>IF(S635&lt;&gt;"",UPPER(TRIM(S635)),IF(O635="","LOSE",O635))</f>
        <v/>
      </c>
      <c r="BN635" s="55">
        <f>IF(BM635="LOSE",1,IF(N(T635)&gt;0,T635,IF(N(P635)&gt;0,P635,MAX(1,G635))))</f>
        <v/>
      </c>
      <c r="BO635" s="58">
        <f>IF(BM635="LOSE",1,0)</f>
        <v/>
      </c>
      <c r="BP635" s="64">
        <f>IF(BO635=0,0,IF(N(R635)&gt;0,R635,IFERROR(VLOOKUP(D635,Parameter!$A$35:$C$64,3,0)+0,0)))</f>
        <v/>
      </c>
      <c r="BQ635" s="53">
        <f>IF(V635&lt;&gt;"",V635,U635)</f>
        <v/>
      </c>
      <c r="BR635" s="53">
        <f>IF(BQ635=1,"L1",IF(OR(BQ635=2,BQ635=3),"L23",IF(BQ635="Aussen","Aussen","-")))</f>
        <v/>
      </c>
      <c r="BS635" s="66">
        <f>IF(N(W635)&gt;0,W635,0)</f>
        <v/>
      </c>
      <c r="BT635" s="58">
        <f>IF(ISNUMBER(Z635),1,0)</f>
        <v/>
      </c>
      <c r="BU635" s="55">
        <f>N(Z635)</f>
        <v/>
      </c>
      <c r="BV635" s="55">
        <f>N(L635)+N(M635)</f>
        <v/>
      </c>
      <c r="BW635" s="55">
        <f>ROUNDUP(G635/BN635,0)</f>
        <v/>
      </c>
      <c r="BX635" s="55">
        <f>ROUNDUP(BU635/BN635,0)</f>
        <v/>
      </c>
      <c r="BY635" s="58">
        <f>IF(BO635=1,0,IFERROR(VLOOKUP(BM635,'Gebinde-Kategorie'!$A$5:$G$45,5,0)+0,0))</f>
        <v/>
      </c>
      <c r="BZ635" s="58">
        <f>IFERROR(IF(OR(BQ635=1,BQ635=2,BQ635=3),N(INDEX(Parameter!$I$5:$I$7,BQ635)),0),0)</f>
        <v/>
      </c>
    </row>
    <row r="636">
      <c r="A636" s="53" t="inlineStr">
        <is>
          <t>105454</t>
        </is>
      </c>
      <c r="B636" s="53" t="inlineStr">
        <is>
          <t>Zylinderschraube mit Innensechskant</t>
        </is>
      </c>
      <c r="C636" s="53" t="inlineStr">
        <is>
          <t>F</t>
        </is>
      </c>
      <c r="D636" s="53" t="inlineStr">
        <is>
          <t>KTL</t>
        </is>
      </c>
      <c r="E636" s="53" t="inlineStr">
        <is>
          <t>C</t>
        </is>
      </c>
      <c r="F636" s="54" t="n">
        <v>0.12</v>
      </c>
      <c r="G636" s="55">
        <f>MAX(0,IF(Parameter!$B$20="Jahresanfang 2025 + Export",BG636+BF636,BF636))</f>
        <v/>
      </c>
      <c r="H636" s="55">
        <f>G636*F636</f>
        <v/>
      </c>
      <c r="I636" s="55">
        <f>BI636*Parameter!$B$18</f>
        <v/>
      </c>
      <c r="J636" s="56" t="n">
        <v>593.5</v>
      </c>
      <c r="K636" s="57" t="n">
        <v>3.320977253580455</v>
      </c>
      <c r="L636" s="55" t="n">
        <v>114</v>
      </c>
      <c r="M636" s="55" t="n">
        <v>500</v>
      </c>
      <c r="N636" s="58" t="n">
        <v>21</v>
      </c>
      <c r="O636" s="53" t="inlineStr">
        <is>
          <t>S52</t>
        </is>
      </c>
      <c r="P636" s="55" t="n">
        <v>976</v>
      </c>
      <c r="Q636" s="59">
        <f>IF(BO636=1,0,IFERROR(VLOOKUP(BM636,'Gebinde-Kategorie'!$A$5:$G$45,6,0)+0,0))</f>
        <v/>
      </c>
      <c r="R636" s="60" t="n"/>
      <c r="S636" s="61" t="n"/>
      <c r="T636" s="61" t="n"/>
      <c r="U636" s="53">
        <f>IF(A636="","",IF(IFERROR(VLOOKUP(D636,Parameter!$A$35:$C$64,2,0),"Nein")="2+3",IF(ISNUMBER(SEARCH("grosser Artikel",BJ636)),2,IFERROR(VLOOKUP(BM636,Parameter!$F$35:$G$64,2,0),2)),IF(OR(IFERROR(VLOOKUP(D636,Parameter!$A$35:$C$64,2,0),"Nein")="Nein",IFERROR(VLOOKUP(D636,Parameter!$A$35:$C$64,2,0),"Nein")=""),"-",VLOOKUP(D636,Parameter!$A$35:$C$64,2,0))))</f>
        <v/>
      </c>
      <c r="V636" s="61" t="n"/>
      <c r="W636" s="62" t="n"/>
      <c r="X636" s="55">
        <f>AM636</f>
        <v/>
      </c>
      <c r="Y636" s="55">
        <f>MAX(AM636,G636)</f>
        <v/>
      </c>
      <c r="Z636" s="63" t="n"/>
      <c r="AA636" s="55">
        <f>IF(LEFT(Cockpit!$C$5,1)="A",G636,IF(BT636=1,BU636,IF(LEFT(Cockpit!$C$5,1)="B",AE636,MAX(AE636,G636))))</f>
        <v/>
      </c>
      <c r="AB636" s="55">
        <f>IF(BO636=1,0,ROUNDUP(AA636/BN636,0))</f>
        <v/>
      </c>
      <c r="AC636" s="64">
        <f>IF(BO636=1,IF(AA636&lt;=0,0,BP636*MAX(1,IF(G636&gt;0,AA636/G636,1))),AB636*Q636)</f>
        <v/>
      </c>
      <c r="AD636" s="55">
        <f>AA636*F636</f>
        <v/>
      </c>
      <c r="AE636" s="55">
        <f>ROUNDUP(MAX(I636/IF(BS636&gt;0,BS636,MAX(0.1,N(Cockpit!$C$6))),BV636)/BN636,0)*BN636</f>
        <v/>
      </c>
      <c r="AF636" s="56">
        <f>IF(AC636&gt;0,I636/AC636,-1)</f>
        <v/>
      </c>
      <c r="AG636" s="56">
        <f>IF(AND(OR(BR636="L1",BR636="L23"),AC636&gt;0),SUMIFS($AC$7:$AC$1570,$BR$7:$BR$1570,BR636,$AF$7:$AF$1570,"&gt;"&amp;AF636)+SUMIFS($AC$7:$AC$1570,$BR$7:$BR$1570,BR636,$AF$7:$AF$1570,AF636,$BL$7:$BL$1570,"&lt;="&amp;BL636),"")</f>
        <v/>
      </c>
      <c r="AH636" s="65">
        <f>IF(AG636="",0,MAX(0,MIN(1,(IF(BR636="L1",Parameter!$K$5,Parameter!$K$6+Parameter!$K$7)-(AG636-AC636))/AC636)))</f>
        <v/>
      </c>
      <c r="AI636" s="55">
        <f>IF(LEFT(Cockpit!$I$5,1)="A",G636,IF(BT636=1,BU636,IF(LEFT(Cockpit!$I$5,1)="B",AM636,MAX(AM636,G636))))</f>
        <v/>
      </c>
      <c r="AJ636" s="55">
        <f>IF(BO636=1,0,ROUNDUP(AI636/BN636,0))</f>
        <v/>
      </c>
      <c r="AK636" s="64">
        <f>IF(BO636=1,IF(AI636&lt;=0,0,BP636*MAX(1,IF(G636&gt;0,AI636/G636,1))),AJ636*Q636)</f>
        <v/>
      </c>
      <c r="AL636" s="55">
        <f>AI636*F636</f>
        <v/>
      </c>
      <c r="AM636" s="55">
        <f>ROUNDUP(MAX(I636/IF(BS636&gt;0,BS636,MAX(0.1,N(Cockpit!$I$6))),BV636)/BN636,0)*BN636</f>
        <v/>
      </c>
      <c r="AN636" s="56">
        <f>IF(AK636&gt;0,I636/AK636,-1)</f>
        <v/>
      </c>
      <c r="AO636" s="56">
        <f>IF(AND(OR(BR636="L1",BR636="L23"),AK636&gt;0),SUMIFS($AK$7:$AK$1570,$BR$7:$BR$1570,BR636,$AN$7:$AN$1570,"&gt;"&amp;AN636)+SUMIFS($AK$7:$AK$1570,$BR$7:$BR$1570,BR636,$AN$7:$AN$1570,AN636,$BL$7:$BL$1570,"&lt;="&amp;BL636),"")</f>
        <v/>
      </c>
      <c r="AP636" s="65">
        <f>IF(AO636="",0,MAX(0,MIN(1,(IF(BR636="L1",Parameter!$K$5,Parameter!$K$6+Parameter!$K$7)-(AO636-AK636))/AK636)))</f>
        <v/>
      </c>
      <c r="AQ636" s="55">
        <f>IF(LEFT(Cockpit!$O$5,1)="A",G636,IF(BT636=1,BU636,IF(LEFT(Cockpit!$O$5,1)="B",AU636,MAX(AU636,G636))))</f>
        <v/>
      </c>
      <c r="AR636" s="55">
        <f>IF(BO636=1,0,ROUNDUP(AQ636/BN636,0))</f>
        <v/>
      </c>
      <c r="AS636" s="64">
        <f>IF(BO636=1,IF(AQ636&lt;=0,0,BP636*MAX(1,IF(G636&gt;0,AQ636/G636,1))),AR636*Q636)</f>
        <v/>
      </c>
      <c r="AT636" s="55">
        <f>AQ636*F636</f>
        <v/>
      </c>
      <c r="AU636" s="55">
        <f>ROUNDUP(MAX(I636/IF(BS636&gt;0,BS636,MAX(0.1,N(Cockpit!$O$6))),BV636)/BN636,0)*BN636</f>
        <v/>
      </c>
      <c r="AV636" s="56">
        <f>IF(AS636&gt;0,I636/AS636,-1)</f>
        <v/>
      </c>
      <c r="AW636" s="56">
        <f>IF(AND(OR(BR636="L1",BR636="L23"),AS636&gt;0),SUMIFS($AS$7:$AS$1570,$BR$7:$BR$1570,BR636,$AV$7:$AV$1570,"&gt;"&amp;AV636)+SUMIFS($AS$7:$AS$1570,$BR$7:$BR$1570,BR636,$AV$7:$AV$1570,AV636,$BL$7:$BL$1570,"&lt;="&amp;BL636),"")</f>
        <v/>
      </c>
      <c r="AX636" s="65">
        <f>IF(AW636="",0,MAX(0,MIN(1,(IF(BR636="L1",Parameter!$K$5,Parameter!$K$6+Parameter!$K$7)-(AW636-AS636))/AS636)))</f>
        <v/>
      </c>
      <c r="AY636" s="53">
        <f>IF(AC636&lt;=0,"",IF(BR636="Aussen","Aussenlager",IF(BR636="-","Nicht im Lift",IF(AH636&gt;=1,"Lift",IF(AH636&lt;=0,"Aussenlager","teilweise")))))</f>
        <v/>
      </c>
      <c r="AZ636" s="53">
        <f>IF(AK636&lt;=0,"",IF(BR636="Aussen","Aussenlager",IF(BR636="-","Nicht im Lift",IF(AP636&gt;=1,"Lift",IF(AP636&lt;=0,"Aussenlager","teilweise")))))</f>
        <v/>
      </c>
      <c r="BA636" s="53">
        <f>IF(AS636&lt;=0,"",IF(BR636="Aussen","Aussenlager",IF(BR636="-","Nicht im Lift",IF(AX636&gt;=1,"Lift",IF(AX636&lt;=0,"Aussenlager","teilweise")))))</f>
        <v/>
      </c>
      <c r="BB636" s="53">
        <f>IF(A636="","",IF(BK636=1,"Neu; ","")&amp;IF(AND(BK636=0,BF636&lt;0),"negativer Bestand (Export "&amp;BF636&amp;"); ","")&amp;IF(I636&lt;=0,"Kein Verbrauch; ","")&amp;IF(BO636=1,"Lose – Fläche geschätzt; ","")&amp;IF(G636&gt;AM636,"Überbestand "&amp;ROUND(G636-AM636,0)&amp;" Stk / CHF "&amp;ROUND((G636-AM636)*F636,0)&amp;"; ","")&amp;IF(AND(BT636=1,BU636&lt;BV636),"MAX &lt; MB+LG; ","")&amp;IF(AND(BZ636&gt;0,BY636*10&gt;BZ636),"zu hoch für Tablar; ","")&amp;IF(AND(BK636=0,OR(BT636=1,V636&lt;&gt;"",S636&lt;&gt;"",T636&lt;&gt;"",W636&lt;&gt;"")),"manuell übersteuert; ","")&amp;IF(AND(BO636=0,Q636=0),"Gebinde unbekannt; ","")&amp;IF(AND(BO636=0,N(T636)&lt;=0,N(P636)&lt;=0),"Menge pro Gebinde fehlt (Ist = 1 Gebinde); ","")&amp;BJ636)</f>
        <v/>
      </c>
      <c r="BC636" s="53" t="n"/>
      <c r="BD636" s="53" t="n"/>
      <c r="BE636" s="61" t="n"/>
      <c r="BF636" s="55" t="n">
        <v>9</v>
      </c>
      <c r="BG636" s="55" t="n">
        <v>730</v>
      </c>
      <c r="BH636" s="54" t="n">
        <v>1.079999999999984</v>
      </c>
      <c r="BI636" s="55" t="n">
        <v>1971</v>
      </c>
      <c r="BJ636" s="53" t="inlineStr"/>
      <c r="BK636" s="58" t="n">
        <v>0</v>
      </c>
      <c r="BL636" s="58" t="n">
        <v>636</v>
      </c>
      <c r="BM636" s="53">
        <f>IF(S636&lt;&gt;"",UPPER(TRIM(S636)),IF(O636="","LOSE",O636))</f>
        <v/>
      </c>
      <c r="BN636" s="55">
        <f>IF(BM636="LOSE",1,IF(N(T636)&gt;0,T636,IF(N(P636)&gt;0,P636,MAX(1,G636))))</f>
        <v/>
      </c>
      <c r="BO636" s="58">
        <f>IF(BM636="LOSE",1,0)</f>
        <v/>
      </c>
      <c r="BP636" s="64">
        <f>IF(BO636=0,0,IF(N(R636)&gt;0,R636,IFERROR(VLOOKUP(D636,Parameter!$A$35:$C$64,3,0)+0,0)))</f>
        <v/>
      </c>
      <c r="BQ636" s="53">
        <f>IF(V636&lt;&gt;"",V636,U636)</f>
        <v/>
      </c>
      <c r="BR636" s="53">
        <f>IF(BQ636=1,"L1",IF(OR(BQ636=2,BQ636=3),"L23",IF(BQ636="Aussen","Aussen","-")))</f>
        <v/>
      </c>
      <c r="BS636" s="66">
        <f>IF(N(W636)&gt;0,W636,0)</f>
        <v/>
      </c>
      <c r="BT636" s="58">
        <f>IF(ISNUMBER(Z636),1,0)</f>
        <v/>
      </c>
      <c r="BU636" s="55">
        <f>N(Z636)</f>
        <v/>
      </c>
      <c r="BV636" s="55">
        <f>N(L636)+N(M636)</f>
        <v/>
      </c>
      <c r="BW636" s="55">
        <f>ROUNDUP(G636/BN636,0)</f>
        <v/>
      </c>
      <c r="BX636" s="55">
        <f>ROUNDUP(BU636/BN636,0)</f>
        <v/>
      </c>
      <c r="BY636" s="58">
        <f>IF(BO636=1,0,IFERROR(VLOOKUP(BM636,'Gebinde-Kategorie'!$A$5:$G$45,5,0)+0,0))</f>
        <v/>
      </c>
      <c r="BZ636" s="58">
        <f>IFERROR(IF(OR(BQ636=1,BQ636=2,BQ636=3),N(INDEX(Parameter!$I$5:$I$7,BQ636)),0),0)</f>
        <v/>
      </c>
    </row>
    <row r="637">
      <c r="A637" s="53" t="inlineStr">
        <is>
          <t>111576</t>
        </is>
      </c>
      <c r="B637" s="53" t="inlineStr">
        <is>
          <t>Checkliste Service 7k, SPGr10</t>
        </is>
      </c>
      <c r="C637" s="53" t="inlineStr">
        <is>
          <t>F</t>
        </is>
      </c>
      <c r="D637" s="53" t="inlineStr">
        <is>
          <t>PAL</t>
        </is>
      </c>
      <c r="E637" s="53" t="inlineStr">
        <is>
          <t>C</t>
        </is>
      </c>
      <c r="F637" s="54" t="n">
        <v>0.01</v>
      </c>
      <c r="G637" s="55">
        <f>MAX(0,IF(Parameter!$B$20="Jahresanfang 2025 + Export",BG637+BF637,BF637))</f>
        <v/>
      </c>
      <c r="H637" s="55">
        <f>G637*F637</f>
        <v/>
      </c>
      <c r="I637" s="55">
        <f>BI637*Parameter!$B$18</f>
        <v/>
      </c>
      <c r="J637" s="56" t="n">
        <v>0</v>
      </c>
      <c r="K637" s="57" t="n">
        <v>0</v>
      </c>
      <c r="L637" s="55" t="n">
        <v>0</v>
      </c>
      <c r="M637" s="55" t="n">
        <v>1</v>
      </c>
      <c r="N637" s="58" t="n">
        <v>14</v>
      </c>
      <c r="O637" s="53" t="inlineStr">
        <is>
          <t>LOSE</t>
        </is>
      </c>
      <c r="P637" s="55" t="n"/>
      <c r="Q637" s="59">
        <f>IF(BO637=1,0,IFERROR(VLOOKUP(BM637,'Gebinde-Kategorie'!$A$5:$G$45,6,0)+0,0))</f>
        <v/>
      </c>
      <c r="R637" s="60" t="n"/>
      <c r="S637" s="61" t="n"/>
      <c r="T637" s="61" t="n"/>
      <c r="U637" s="53">
        <f>IF(A637="","",IF(IFERROR(VLOOKUP(D637,Parameter!$A$35:$C$64,2,0),"Nein")="2+3",IF(ISNUMBER(SEARCH("grosser Artikel",BJ637)),2,IFERROR(VLOOKUP(BM637,Parameter!$F$35:$G$64,2,0),2)),IF(OR(IFERROR(VLOOKUP(D637,Parameter!$A$35:$C$64,2,0),"Nein")="Nein",IFERROR(VLOOKUP(D637,Parameter!$A$35:$C$64,2,0),"Nein")=""),"-",VLOOKUP(D637,Parameter!$A$35:$C$64,2,0))))</f>
        <v/>
      </c>
      <c r="V637" s="61" t="n"/>
      <c r="W637" s="62" t="n"/>
      <c r="X637" s="55">
        <f>AM637</f>
        <v/>
      </c>
      <c r="Y637" s="55">
        <f>MAX(AM637,G637)</f>
        <v/>
      </c>
      <c r="Z637" s="63" t="n"/>
      <c r="AA637" s="55">
        <f>IF(LEFT(Cockpit!$C$5,1)="A",G637,IF(BT637=1,BU637,IF(LEFT(Cockpit!$C$5,1)="B",AE637,MAX(AE637,G637))))</f>
        <v/>
      </c>
      <c r="AB637" s="55">
        <f>IF(BO637=1,0,ROUNDUP(AA637/BN637,0))</f>
        <v/>
      </c>
      <c r="AC637" s="64">
        <f>IF(BO637=1,IF(AA637&lt;=0,0,BP637*MAX(1,IF(G637&gt;0,AA637/G637,1))),AB637*Q637)</f>
        <v/>
      </c>
      <c r="AD637" s="55">
        <f>AA637*F637</f>
        <v/>
      </c>
      <c r="AE637" s="55">
        <f>ROUNDUP(MAX(I637/IF(BS637&gt;0,BS637,MAX(0.1,N(Cockpit!$C$6))),BV637)/BN637,0)*BN637</f>
        <v/>
      </c>
      <c r="AF637" s="56">
        <f>IF(AC637&gt;0,I637/AC637,-1)</f>
        <v/>
      </c>
      <c r="AG637" s="56">
        <f>IF(AND(OR(BR637="L1",BR637="L23"),AC637&gt;0),SUMIFS($AC$7:$AC$1570,$BR$7:$BR$1570,BR637,$AF$7:$AF$1570,"&gt;"&amp;AF637)+SUMIFS($AC$7:$AC$1570,$BR$7:$BR$1570,BR637,$AF$7:$AF$1570,AF637,$BL$7:$BL$1570,"&lt;="&amp;BL637),"")</f>
        <v/>
      </c>
      <c r="AH637" s="65">
        <f>IF(AG637="",0,MAX(0,MIN(1,(IF(BR637="L1",Parameter!$K$5,Parameter!$K$6+Parameter!$K$7)-(AG637-AC637))/AC637)))</f>
        <v/>
      </c>
      <c r="AI637" s="55">
        <f>IF(LEFT(Cockpit!$I$5,1)="A",G637,IF(BT637=1,BU637,IF(LEFT(Cockpit!$I$5,1)="B",AM637,MAX(AM637,G637))))</f>
        <v/>
      </c>
      <c r="AJ637" s="55">
        <f>IF(BO637=1,0,ROUNDUP(AI637/BN637,0))</f>
        <v/>
      </c>
      <c r="AK637" s="64">
        <f>IF(BO637=1,IF(AI637&lt;=0,0,BP637*MAX(1,IF(G637&gt;0,AI637/G637,1))),AJ637*Q637)</f>
        <v/>
      </c>
      <c r="AL637" s="55">
        <f>AI637*F637</f>
        <v/>
      </c>
      <c r="AM637" s="55">
        <f>ROUNDUP(MAX(I637/IF(BS637&gt;0,BS637,MAX(0.1,N(Cockpit!$I$6))),BV637)/BN637,0)*BN637</f>
        <v/>
      </c>
      <c r="AN637" s="56">
        <f>IF(AK637&gt;0,I637/AK637,-1)</f>
        <v/>
      </c>
      <c r="AO637" s="56">
        <f>IF(AND(OR(BR637="L1",BR637="L23"),AK637&gt;0),SUMIFS($AK$7:$AK$1570,$BR$7:$BR$1570,BR637,$AN$7:$AN$1570,"&gt;"&amp;AN637)+SUMIFS($AK$7:$AK$1570,$BR$7:$BR$1570,BR637,$AN$7:$AN$1570,AN637,$BL$7:$BL$1570,"&lt;="&amp;BL637),"")</f>
        <v/>
      </c>
      <c r="AP637" s="65">
        <f>IF(AO637="",0,MAX(0,MIN(1,(IF(BR637="L1",Parameter!$K$5,Parameter!$K$6+Parameter!$K$7)-(AO637-AK637))/AK637)))</f>
        <v/>
      </c>
      <c r="AQ637" s="55">
        <f>IF(LEFT(Cockpit!$O$5,1)="A",G637,IF(BT637=1,BU637,IF(LEFT(Cockpit!$O$5,1)="B",AU637,MAX(AU637,G637))))</f>
        <v/>
      </c>
      <c r="AR637" s="55">
        <f>IF(BO637=1,0,ROUNDUP(AQ637/BN637,0))</f>
        <v/>
      </c>
      <c r="AS637" s="64">
        <f>IF(BO637=1,IF(AQ637&lt;=0,0,BP637*MAX(1,IF(G637&gt;0,AQ637/G637,1))),AR637*Q637)</f>
        <v/>
      </c>
      <c r="AT637" s="55">
        <f>AQ637*F637</f>
        <v/>
      </c>
      <c r="AU637" s="55">
        <f>ROUNDUP(MAX(I637/IF(BS637&gt;0,BS637,MAX(0.1,N(Cockpit!$O$6))),BV637)/BN637,0)*BN637</f>
        <v/>
      </c>
      <c r="AV637" s="56">
        <f>IF(AS637&gt;0,I637/AS637,-1)</f>
        <v/>
      </c>
      <c r="AW637" s="56">
        <f>IF(AND(OR(BR637="L1",BR637="L23"),AS637&gt;0),SUMIFS($AS$7:$AS$1570,$BR$7:$BR$1570,BR637,$AV$7:$AV$1570,"&gt;"&amp;AV637)+SUMIFS($AS$7:$AS$1570,$BR$7:$BR$1570,BR637,$AV$7:$AV$1570,AV637,$BL$7:$BL$1570,"&lt;="&amp;BL637),"")</f>
        <v/>
      </c>
      <c r="AX637" s="65">
        <f>IF(AW637="",0,MAX(0,MIN(1,(IF(BR637="L1",Parameter!$K$5,Parameter!$K$6+Parameter!$K$7)-(AW637-AS637))/AS637)))</f>
        <v/>
      </c>
      <c r="AY637" s="53">
        <f>IF(AC637&lt;=0,"",IF(BR637="Aussen","Aussenlager",IF(BR637="-","Nicht im Lift",IF(AH637&gt;=1,"Lift",IF(AH637&lt;=0,"Aussenlager","teilweise")))))</f>
        <v/>
      </c>
      <c r="AZ637" s="53">
        <f>IF(AK637&lt;=0,"",IF(BR637="Aussen","Aussenlager",IF(BR637="-","Nicht im Lift",IF(AP637&gt;=1,"Lift",IF(AP637&lt;=0,"Aussenlager","teilweise")))))</f>
        <v/>
      </c>
      <c r="BA637" s="53">
        <f>IF(AS637&lt;=0,"",IF(BR637="Aussen","Aussenlager",IF(BR637="-","Nicht im Lift",IF(AX637&gt;=1,"Lift",IF(AX637&lt;=0,"Aussenlager","teilweise")))))</f>
        <v/>
      </c>
      <c r="BB637" s="53">
        <f>IF(A637="","",IF(BK637=1,"Neu; ","")&amp;IF(AND(BK637=0,BF637&lt;0),"negativer Bestand (Export "&amp;BF637&amp;"); ","")&amp;IF(I637&lt;=0,"Kein Verbrauch; ","")&amp;IF(BO637=1,"Lose – Fläche geschätzt; ","")&amp;IF(G637&gt;AM637,"Überbestand "&amp;ROUND(G637-AM637,0)&amp;" Stk / CHF "&amp;ROUND((G637-AM637)*F637,0)&amp;"; ","")&amp;IF(AND(BT637=1,BU637&lt;BV637),"MAX &lt; MB+LG; ","")&amp;IF(AND(BZ637&gt;0,BY637*10&gt;BZ637),"zu hoch für Tablar; ","")&amp;IF(AND(BK637=0,OR(BT637=1,V637&lt;&gt;"",S637&lt;&gt;"",T637&lt;&gt;"",W637&lt;&gt;"")),"manuell übersteuert; ","")&amp;IF(AND(BO637=0,Q637=0),"Gebinde unbekannt; ","")&amp;IF(AND(BO637=0,N(T637)&lt;=0,N(P637)&lt;=0),"Menge pro Gebinde fehlt (Ist = 1 Gebinde); ","")&amp;BJ637)</f>
        <v/>
      </c>
      <c r="BC637" s="53" t="n"/>
      <c r="BD637" s="53" t="n"/>
      <c r="BE637" s="61" t="n"/>
      <c r="BF637" s="55" t="n">
        <v>59</v>
      </c>
      <c r="BG637" s="55" t="n">
        <v>0</v>
      </c>
      <c r="BH637" s="54" t="n">
        <v>0.5900000000000003</v>
      </c>
      <c r="BI637" s="55" t="n">
        <v>0</v>
      </c>
      <c r="BJ637" s="53" t="inlineStr"/>
      <c r="BK637" s="58" t="n">
        <v>0</v>
      </c>
      <c r="BL637" s="58" t="n">
        <v>637</v>
      </c>
      <c r="BM637" s="53">
        <f>IF(S637&lt;&gt;"",UPPER(TRIM(S637)),IF(O637="","LOSE",O637))</f>
        <v/>
      </c>
      <c r="BN637" s="55">
        <f>IF(BM637="LOSE",1,IF(N(T637)&gt;0,T637,IF(N(P637)&gt;0,P637,MAX(1,G637))))</f>
        <v/>
      </c>
      <c r="BO637" s="58">
        <f>IF(BM637="LOSE",1,0)</f>
        <v/>
      </c>
      <c r="BP637" s="64">
        <f>IF(BO637=0,0,IF(N(R637)&gt;0,R637,IFERROR(VLOOKUP(D637,Parameter!$A$35:$C$64,3,0)+0,0)))</f>
        <v/>
      </c>
      <c r="BQ637" s="53">
        <f>IF(V637&lt;&gt;"",V637,U637)</f>
        <v/>
      </c>
      <c r="BR637" s="53">
        <f>IF(BQ637=1,"L1",IF(OR(BQ637=2,BQ637=3),"L23",IF(BQ637="Aussen","Aussen","-")))</f>
        <v/>
      </c>
      <c r="BS637" s="66">
        <f>IF(N(W637)&gt;0,W637,0)</f>
        <v/>
      </c>
      <c r="BT637" s="58">
        <f>IF(ISNUMBER(Z637),1,0)</f>
        <v/>
      </c>
      <c r="BU637" s="55">
        <f>N(Z637)</f>
        <v/>
      </c>
      <c r="BV637" s="55">
        <f>N(L637)+N(M637)</f>
        <v/>
      </c>
      <c r="BW637" s="55">
        <f>ROUNDUP(G637/BN637,0)</f>
        <v/>
      </c>
      <c r="BX637" s="55">
        <f>ROUNDUP(BU637/BN637,0)</f>
        <v/>
      </c>
      <c r="BY637" s="58">
        <f>IF(BO637=1,0,IFERROR(VLOOKUP(BM637,'Gebinde-Kategorie'!$A$5:$G$45,5,0)+0,0))</f>
        <v/>
      </c>
      <c r="BZ637" s="58">
        <f>IFERROR(IF(OR(BQ637=1,BQ637=2,BQ637=3),N(INDEX(Parameter!$I$5:$I$7,BQ637)),0),0)</f>
        <v/>
      </c>
    </row>
    <row r="638">
      <c r="A638" s="53" t="inlineStr">
        <is>
          <t>111580</t>
        </is>
      </c>
      <c r="B638" s="53" t="inlineStr">
        <is>
          <t>Checkliste Service 28k, SPGr16</t>
        </is>
      </c>
      <c r="C638" s="53" t="inlineStr">
        <is>
          <t>F</t>
        </is>
      </c>
      <c r="D638" s="53" t="inlineStr">
        <is>
          <t>PAL</t>
        </is>
      </c>
      <c r="E638" s="53" t="inlineStr">
        <is>
          <t>C</t>
        </is>
      </c>
      <c r="F638" s="54" t="n">
        <v>0.01</v>
      </c>
      <c r="G638" s="55">
        <f>MAX(0,IF(Parameter!$B$20="Jahresanfang 2025 + Export",BG638+BF638,BF638))</f>
        <v/>
      </c>
      <c r="H638" s="55">
        <f>G638*F638</f>
        <v/>
      </c>
      <c r="I638" s="55">
        <f>BI638*Parameter!$B$18</f>
        <v/>
      </c>
      <c r="J638" s="56" t="n">
        <v>0</v>
      </c>
      <c r="K638" s="57" t="n">
        <v>0</v>
      </c>
      <c r="L638" s="55" t="n">
        <v>0</v>
      </c>
      <c r="M638" s="55" t="n">
        <v>1</v>
      </c>
      <c r="N638" s="58" t="n">
        <v>999</v>
      </c>
      <c r="O638" s="53" t="inlineStr">
        <is>
          <t>LOSE</t>
        </is>
      </c>
      <c r="P638" s="55" t="n"/>
      <c r="Q638" s="59">
        <f>IF(BO638=1,0,IFERROR(VLOOKUP(BM638,'Gebinde-Kategorie'!$A$5:$G$45,6,0)+0,0))</f>
        <v/>
      </c>
      <c r="R638" s="60" t="n"/>
      <c r="S638" s="61" t="n"/>
      <c r="T638" s="61" t="n"/>
      <c r="U638" s="53">
        <f>IF(A638="","",IF(IFERROR(VLOOKUP(D638,Parameter!$A$35:$C$64,2,0),"Nein")="2+3",IF(ISNUMBER(SEARCH("grosser Artikel",BJ638)),2,IFERROR(VLOOKUP(BM638,Parameter!$F$35:$G$64,2,0),2)),IF(OR(IFERROR(VLOOKUP(D638,Parameter!$A$35:$C$64,2,0),"Nein")="Nein",IFERROR(VLOOKUP(D638,Parameter!$A$35:$C$64,2,0),"Nein")=""),"-",VLOOKUP(D638,Parameter!$A$35:$C$64,2,0))))</f>
        <v/>
      </c>
      <c r="V638" s="61" t="n"/>
      <c r="W638" s="62" t="n"/>
      <c r="X638" s="55">
        <f>AM638</f>
        <v/>
      </c>
      <c r="Y638" s="55">
        <f>MAX(AM638,G638)</f>
        <v/>
      </c>
      <c r="Z638" s="63" t="n"/>
      <c r="AA638" s="55">
        <f>IF(LEFT(Cockpit!$C$5,1)="A",G638,IF(BT638=1,BU638,IF(LEFT(Cockpit!$C$5,1)="B",AE638,MAX(AE638,G638))))</f>
        <v/>
      </c>
      <c r="AB638" s="55">
        <f>IF(BO638=1,0,ROUNDUP(AA638/BN638,0))</f>
        <v/>
      </c>
      <c r="AC638" s="64">
        <f>IF(BO638=1,IF(AA638&lt;=0,0,BP638*MAX(1,IF(G638&gt;0,AA638/G638,1))),AB638*Q638)</f>
        <v/>
      </c>
      <c r="AD638" s="55">
        <f>AA638*F638</f>
        <v/>
      </c>
      <c r="AE638" s="55">
        <f>ROUNDUP(MAX(I638/IF(BS638&gt;0,BS638,MAX(0.1,N(Cockpit!$C$6))),BV638)/BN638,0)*BN638</f>
        <v/>
      </c>
      <c r="AF638" s="56">
        <f>IF(AC638&gt;0,I638/AC638,-1)</f>
        <v/>
      </c>
      <c r="AG638" s="56">
        <f>IF(AND(OR(BR638="L1",BR638="L23"),AC638&gt;0),SUMIFS($AC$7:$AC$1570,$BR$7:$BR$1570,BR638,$AF$7:$AF$1570,"&gt;"&amp;AF638)+SUMIFS($AC$7:$AC$1570,$BR$7:$BR$1570,BR638,$AF$7:$AF$1570,AF638,$BL$7:$BL$1570,"&lt;="&amp;BL638),"")</f>
        <v/>
      </c>
      <c r="AH638" s="65">
        <f>IF(AG638="",0,MAX(0,MIN(1,(IF(BR638="L1",Parameter!$K$5,Parameter!$K$6+Parameter!$K$7)-(AG638-AC638))/AC638)))</f>
        <v/>
      </c>
      <c r="AI638" s="55">
        <f>IF(LEFT(Cockpit!$I$5,1)="A",G638,IF(BT638=1,BU638,IF(LEFT(Cockpit!$I$5,1)="B",AM638,MAX(AM638,G638))))</f>
        <v/>
      </c>
      <c r="AJ638" s="55">
        <f>IF(BO638=1,0,ROUNDUP(AI638/BN638,0))</f>
        <v/>
      </c>
      <c r="AK638" s="64">
        <f>IF(BO638=1,IF(AI638&lt;=0,0,BP638*MAX(1,IF(G638&gt;0,AI638/G638,1))),AJ638*Q638)</f>
        <v/>
      </c>
      <c r="AL638" s="55">
        <f>AI638*F638</f>
        <v/>
      </c>
      <c r="AM638" s="55">
        <f>ROUNDUP(MAX(I638/IF(BS638&gt;0,BS638,MAX(0.1,N(Cockpit!$I$6))),BV638)/BN638,0)*BN638</f>
        <v/>
      </c>
      <c r="AN638" s="56">
        <f>IF(AK638&gt;0,I638/AK638,-1)</f>
        <v/>
      </c>
      <c r="AO638" s="56">
        <f>IF(AND(OR(BR638="L1",BR638="L23"),AK638&gt;0),SUMIFS($AK$7:$AK$1570,$BR$7:$BR$1570,BR638,$AN$7:$AN$1570,"&gt;"&amp;AN638)+SUMIFS($AK$7:$AK$1570,$BR$7:$BR$1570,BR638,$AN$7:$AN$1570,AN638,$BL$7:$BL$1570,"&lt;="&amp;BL638),"")</f>
        <v/>
      </c>
      <c r="AP638" s="65">
        <f>IF(AO638="",0,MAX(0,MIN(1,(IF(BR638="L1",Parameter!$K$5,Parameter!$K$6+Parameter!$K$7)-(AO638-AK638))/AK638)))</f>
        <v/>
      </c>
      <c r="AQ638" s="55">
        <f>IF(LEFT(Cockpit!$O$5,1)="A",G638,IF(BT638=1,BU638,IF(LEFT(Cockpit!$O$5,1)="B",AU638,MAX(AU638,G638))))</f>
        <v/>
      </c>
      <c r="AR638" s="55">
        <f>IF(BO638=1,0,ROUNDUP(AQ638/BN638,0))</f>
        <v/>
      </c>
      <c r="AS638" s="64">
        <f>IF(BO638=1,IF(AQ638&lt;=0,0,BP638*MAX(1,IF(G638&gt;0,AQ638/G638,1))),AR638*Q638)</f>
        <v/>
      </c>
      <c r="AT638" s="55">
        <f>AQ638*F638</f>
        <v/>
      </c>
      <c r="AU638" s="55">
        <f>ROUNDUP(MAX(I638/IF(BS638&gt;0,BS638,MAX(0.1,N(Cockpit!$O$6))),BV638)/BN638,0)*BN638</f>
        <v/>
      </c>
      <c r="AV638" s="56">
        <f>IF(AS638&gt;0,I638/AS638,-1)</f>
        <v/>
      </c>
      <c r="AW638" s="56">
        <f>IF(AND(OR(BR638="L1",BR638="L23"),AS638&gt;0),SUMIFS($AS$7:$AS$1570,$BR$7:$BR$1570,BR638,$AV$7:$AV$1570,"&gt;"&amp;AV638)+SUMIFS($AS$7:$AS$1570,$BR$7:$BR$1570,BR638,$AV$7:$AV$1570,AV638,$BL$7:$BL$1570,"&lt;="&amp;BL638),"")</f>
        <v/>
      </c>
      <c r="AX638" s="65">
        <f>IF(AW638="",0,MAX(0,MIN(1,(IF(BR638="L1",Parameter!$K$5,Parameter!$K$6+Parameter!$K$7)-(AW638-AS638))/AS638)))</f>
        <v/>
      </c>
      <c r="AY638" s="53">
        <f>IF(AC638&lt;=0,"",IF(BR638="Aussen","Aussenlager",IF(BR638="-","Nicht im Lift",IF(AH638&gt;=1,"Lift",IF(AH638&lt;=0,"Aussenlager","teilweise")))))</f>
        <v/>
      </c>
      <c r="AZ638" s="53">
        <f>IF(AK638&lt;=0,"",IF(BR638="Aussen","Aussenlager",IF(BR638="-","Nicht im Lift",IF(AP638&gt;=1,"Lift",IF(AP638&lt;=0,"Aussenlager","teilweise")))))</f>
        <v/>
      </c>
      <c r="BA638" s="53">
        <f>IF(AS638&lt;=0,"",IF(BR638="Aussen","Aussenlager",IF(BR638="-","Nicht im Lift",IF(AX638&gt;=1,"Lift",IF(AX638&lt;=0,"Aussenlager","teilweise")))))</f>
        <v/>
      </c>
      <c r="BB638" s="53">
        <f>IF(A638="","",IF(BK638=1,"Neu; ","")&amp;IF(AND(BK638=0,BF638&lt;0),"negativer Bestand (Export "&amp;BF638&amp;"); ","")&amp;IF(I638&lt;=0,"Kein Verbrauch; ","")&amp;IF(BO638=1,"Lose – Fläche geschätzt; ","")&amp;IF(G638&gt;AM638,"Überbestand "&amp;ROUND(G638-AM638,0)&amp;" Stk / CHF "&amp;ROUND((G638-AM638)*F638,0)&amp;"; ","")&amp;IF(AND(BT638=1,BU638&lt;BV638),"MAX &lt; MB+LG; ","")&amp;IF(AND(BZ638&gt;0,BY638*10&gt;BZ638),"zu hoch für Tablar; ","")&amp;IF(AND(BK638=0,OR(BT638=1,V638&lt;&gt;"",S638&lt;&gt;"",T638&lt;&gt;"",W638&lt;&gt;"")),"manuell übersteuert; ","")&amp;IF(AND(BO638=0,Q638=0),"Gebinde unbekannt; ","")&amp;IF(AND(BO638=0,N(T638)&lt;=0,N(P638)&lt;=0),"Menge pro Gebinde fehlt (Ist = 1 Gebinde); ","")&amp;BJ638)</f>
        <v/>
      </c>
      <c r="BC638" s="53" t="n"/>
      <c r="BD638" s="53" t="n"/>
      <c r="BE638" s="61" t="n"/>
      <c r="BF638" s="55" t="n">
        <v>43</v>
      </c>
      <c r="BG638" s="55" t="n">
        <v>0</v>
      </c>
      <c r="BH638" s="54" t="n">
        <v>0.4299999999999999</v>
      </c>
      <c r="BI638" s="55" t="n">
        <v>0</v>
      </c>
      <c r="BJ638" s="53" t="inlineStr"/>
      <c r="BK638" s="58" t="n">
        <v>0</v>
      </c>
      <c r="BL638" s="58" t="n">
        <v>638</v>
      </c>
      <c r="BM638" s="53">
        <f>IF(S638&lt;&gt;"",UPPER(TRIM(S638)),IF(O638="","LOSE",O638))</f>
        <v/>
      </c>
      <c r="BN638" s="55">
        <f>IF(BM638="LOSE",1,IF(N(T638)&gt;0,T638,IF(N(P638)&gt;0,P638,MAX(1,G638))))</f>
        <v/>
      </c>
      <c r="BO638" s="58">
        <f>IF(BM638="LOSE",1,0)</f>
        <v/>
      </c>
      <c r="BP638" s="64">
        <f>IF(BO638=0,0,IF(N(R638)&gt;0,R638,IFERROR(VLOOKUP(D638,Parameter!$A$35:$C$64,3,0)+0,0)))</f>
        <v/>
      </c>
      <c r="BQ638" s="53">
        <f>IF(V638&lt;&gt;"",V638,U638)</f>
        <v/>
      </c>
      <c r="BR638" s="53">
        <f>IF(BQ638=1,"L1",IF(OR(BQ638=2,BQ638=3),"L23",IF(BQ638="Aussen","Aussen","-")))</f>
        <v/>
      </c>
      <c r="BS638" s="66">
        <f>IF(N(W638)&gt;0,W638,0)</f>
        <v/>
      </c>
      <c r="BT638" s="58">
        <f>IF(ISNUMBER(Z638),1,0)</f>
        <v/>
      </c>
      <c r="BU638" s="55">
        <f>N(Z638)</f>
        <v/>
      </c>
      <c r="BV638" s="55">
        <f>N(L638)+N(M638)</f>
        <v/>
      </c>
      <c r="BW638" s="55">
        <f>ROUNDUP(G638/BN638,0)</f>
        <v/>
      </c>
      <c r="BX638" s="55">
        <f>ROUNDUP(BU638/BN638,0)</f>
        <v/>
      </c>
      <c r="BY638" s="58">
        <f>IF(BO638=1,0,IFERROR(VLOOKUP(BM638,'Gebinde-Kategorie'!$A$5:$G$45,5,0)+0,0))</f>
        <v/>
      </c>
      <c r="BZ638" s="58">
        <f>IFERROR(IF(OR(BQ638=1,BQ638=2,BQ638=3),N(INDEX(Parameter!$I$5:$I$7,BQ638)),0),0)</f>
        <v/>
      </c>
    </row>
    <row r="639">
      <c r="A639" s="53" t="inlineStr">
        <is>
          <t>104476</t>
        </is>
      </c>
      <c r="B639" s="53" t="inlineStr">
        <is>
          <t>Unterlagsscheibe</t>
        </is>
      </c>
      <c r="C639" s="53" t="inlineStr">
        <is>
          <t>F</t>
        </is>
      </c>
      <c r="D639" s="53" t="inlineStr">
        <is>
          <t>KTL</t>
        </is>
      </c>
      <c r="E639" s="53" t="inlineStr">
        <is>
          <t>C</t>
        </is>
      </c>
      <c r="F639" s="54" t="n">
        <v>0.38</v>
      </c>
      <c r="G639" s="55">
        <f>MAX(0,IF(Parameter!$B$20="Jahresanfang 2025 + Export",BG639+BF639,BF639))</f>
        <v/>
      </c>
      <c r="H639" s="55">
        <f>G639*F639</f>
        <v/>
      </c>
      <c r="I639" s="55">
        <f>BI639*Parameter!$B$18</f>
        <v/>
      </c>
      <c r="J639" s="56" t="n">
        <v>12.5</v>
      </c>
      <c r="K639" s="57" t="n">
        <v>0.16</v>
      </c>
      <c r="L639" s="55" t="n">
        <v>0</v>
      </c>
      <c r="M639" s="55" t="n">
        <v>1</v>
      </c>
      <c r="N639" s="58" t="n">
        <v>21</v>
      </c>
      <c r="O639" s="53" t="inlineStr">
        <is>
          <t>S22</t>
        </is>
      </c>
      <c r="P639" s="55" t="n">
        <v>36</v>
      </c>
      <c r="Q639" s="59">
        <f>IF(BO639=1,0,IFERROR(VLOOKUP(BM639,'Gebinde-Kategorie'!$A$5:$G$45,6,0)+0,0))</f>
        <v/>
      </c>
      <c r="R639" s="60" t="n"/>
      <c r="S639" s="61" t="n"/>
      <c r="T639" s="61" t="n"/>
      <c r="U639" s="53">
        <f>IF(A639="","",IF(IFERROR(VLOOKUP(D639,Parameter!$A$35:$C$64,2,0),"Nein")="2+3",IF(ISNUMBER(SEARCH("grosser Artikel",BJ639)),2,IFERROR(VLOOKUP(BM639,Parameter!$F$35:$G$64,2,0),2)),IF(OR(IFERROR(VLOOKUP(D639,Parameter!$A$35:$C$64,2,0),"Nein")="Nein",IFERROR(VLOOKUP(D639,Parameter!$A$35:$C$64,2,0),"Nein")=""),"-",VLOOKUP(D639,Parameter!$A$35:$C$64,2,0))))</f>
        <v/>
      </c>
      <c r="V639" s="61" t="n"/>
      <c r="W639" s="62" t="n"/>
      <c r="X639" s="55">
        <f>AM639</f>
        <v/>
      </c>
      <c r="Y639" s="55">
        <f>MAX(AM639,G639)</f>
        <v/>
      </c>
      <c r="Z639" s="63" t="n"/>
      <c r="AA639" s="55">
        <f>IF(LEFT(Cockpit!$C$5,1)="A",G639,IF(BT639=1,BU639,IF(LEFT(Cockpit!$C$5,1)="B",AE639,MAX(AE639,G639))))</f>
        <v/>
      </c>
      <c r="AB639" s="55">
        <f>IF(BO639=1,0,ROUNDUP(AA639/BN639,0))</f>
        <v/>
      </c>
      <c r="AC639" s="64">
        <f>IF(BO639=1,IF(AA639&lt;=0,0,BP639*MAX(1,IF(G639&gt;0,AA639/G639,1))),AB639*Q639)</f>
        <v/>
      </c>
      <c r="AD639" s="55">
        <f>AA639*F639</f>
        <v/>
      </c>
      <c r="AE639" s="55">
        <f>ROUNDUP(MAX(I639/IF(BS639&gt;0,BS639,MAX(0.1,N(Cockpit!$C$6))),BV639)/BN639,0)*BN639</f>
        <v/>
      </c>
      <c r="AF639" s="56">
        <f>IF(AC639&gt;0,I639/AC639,-1)</f>
        <v/>
      </c>
      <c r="AG639" s="56">
        <f>IF(AND(OR(BR639="L1",BR639="L23"),AC639&gt;0),SUMIFS($AC$7:$AC$1570,$BR$7:$BR$1570,BR639,$AF$7:$AF$1570,"&gt;"&amp;AF639)+SUMIFS($AC$7:$AC$1570,$BR$7:$BR$1570,BR639,$AF$7:$AF$1570,AF639,$BL$7:$BL$1570,"&lt;="&amp;BL639),"")</f>
        <v/>
      </c>
      <c r="AH639" s="65">
        <f>IF(AG639="",0,MAX(0,MIN(1,(IF(BR639="L1",Parameter!$K$5,Parameter!$K$6+Parameter!$K$7)-(AG639-AC639))/AC639)))</f>
        <v/>
      </c>
      <c r="AI639" s="55">
        <f>IF(LEFT(Cockpit!$I$5,1)="A",G639,IF(BT639=1,BU639,IF(LEFT(Cockpit!$I$5,1)="B",AM639,MAX(AM639,G639))))</f>
        <v/>
      </c>
      <c r="AJ639" s="55">
        <f>IF(BO639=1,0,ROUNDUP(AI639/BN639,0))</f>
        <v/>
      </c>
      <c r="AK639" s="64">
        <f>IF(BO639=1,IF(AI639&lt;=0,0,BP639*MAX(1,IF(G639&gt;0,AI639/G639,1))),AJ639*Q639)</f>
        <v/>
      </c>
      <c r="AL639" s="55">
        <f>AI639*F639</f>
        <v/>
      </c>
      <c r="AM639" s="55">
        <f>ROUNDUP(MAX(I639/IF(BS639&gt;0,BS639,MAX(0.1,N(Cockpit!$I$6))),BV639)/BN639,0)*BN639</f>
        <v/>
      </c>
      <c r="AN639" s="56">
        <f>IF(AK639&gt;0,I639/AK639,-1)</f>
        <v/>
      </c>
      <c r="AO639" s="56">
        <f>IF(AND(OR(BR639="L1",BR639="L23"),AK639&gt;0),SUMIFS($AK$7:$AK$1570,$BR$7:$BR$1570,BR639,$AN$7:$AN$1570,"&gt;"&amp;AN639)+SUMIFS($AK$7:$AK$1570,$BR$7:$BR$1570,BR639,$AN$7:$AN$1570,AN639,$BL$7:$BL$1570,"&lt;="&amp;BL639),"")</f>
        <v/>
      </c>
      <c r="AP639" s="65">
        <f>IF(AO639="",0,MAX(0,MIN(1,(IF(BR639="L1",Parameter!$K$5,Parameter!$K$6+Parameter!$K$7)-(AO639-AK639))/AK639)))</f>
        <v/>
      </c>
      <c r="AQ639" s="55">
        <f>IF(LEFT(Cockpit!$O$5,1)="A",G639,IF(BT639=1,BU639,IF(LEFT(Cockpit!$O$5,1)="B",AU639,MAX(AU639,G639))))</f>
        <v/>
      </c>
      <c r="AR639" s="55">
        <f>IF(BO639=1,0,ROUNDUP(AQ639/BN639,0))</f>
        <v/>
      </c>
      <c r="AS639" s="64">
        <f>IF(BO639=1,IF(AQ639&lt;=0,0,BP639*MAX(1,IF(G639&gt;0,AQ639/G639,1))),AR639*Q639)</f>
        <v/>
      </c>
      <c r="AT639" s="55">
        <f>AQ639*F639</f>
        <v/>
      </c>
      <c r="AU639" s="55">
        <f>ROUNDUP(MAX(I639/IF(BS639&gt;0,BS639,MAX(0.1,N(Cockpit!$O$6))),BV639)/BN639,0)*BN639</f>
        <v/>
      </c>
      <c r="AV639" s="56">
        <f>IF(AS639&gt;0,I639/AS639,-1)</f>
        <v/>
      </c>
      <c r="AW639" s="56">
        <f>IF(AND(OR(BR639="L1",BR639="L23"),AS639&gt;0),SUMIFS($AS$7:$AS$1570,$BR$7:$BR$1570,BR639,$AV$7:$AV$1570,"&gt;"&amp;AV639)+SUMIFS($AS$7:$AS$1570,$BR$7:$BR$1570,BR639,$AV$7:$AV$1570,AV639,$BL$7:$BL$1570,"&lt;="&amp;BL639),"")</f>
        <v/>
      </c>
      <c r="AX639" s="65">
        <f>IF(AW639="",0,MAX(0,MIN(1,(IF(BR639="L1",Parameter!$K$5,Parameter!$K$6+Parameter!$K$7)-(AW639-AS639))/AS639)))</f>
        <v/>
      </c>
      <c r="AY639" s="53">
        <f>IF(AC639&lt;=0,"",IF(BR639="Aussen","Aussenlager",IF(BR639="-","Nicht im Lift",IF(AH639&gt;=1,"Lift",IF(AH639&lt;=0,"Aussenlager","teilweise")))))</f>
        <v/>
      </c>
      <c r="AZ639" s="53">
        <f>IF(AK639&lt;=0,"",IF(BR639="Aussen","Aussenlager",IF(BR639="-","Nicht im Lift",IF(AP639&gt;=1,"Lift",IF(AP639&lt;=0,"Aussenlager","teilweise")))))</f>
        <v/>
      </c>
      <c r="BA639" s="53">
        <f>IF(AS639&lt;=0,"",IF(BR639="Aussen","Aussenlager",IF(BR639="-","Nicht im Lift",IF(AX639&gt;=1,"Lift",IF(AX639&lt;=0,"Aussenlager","teilweise")))))</f>
        <v/>
      </c>
      <c r="BB639" s="53">
        <f>IF(A639="","",IF(BK639=1,"Neu; ","")&amp;IF(AND(BK639=0,BF639&lt;0),"negativer Bestand (Export "&amp;BF639&amp;"); ","")&amp;IF(I639&lt;=0,"Kein Verbrauch; ","")&amp;IF(BO639=1,"Lose – Fläche geschätzt; ","")&amp;IF(G639&gt;AM639,"Überbestand "&amp;ROUND(G639-AM639,0)&amp;" Stk / CHF "&amp;ROUND((G639-AM639)*F639,0)&amp;"; ","")&amp;IF(AND(BT639=1,BU639&lt;BV639),"MAX &lt; MB+LG; ","")&amp;IF(AND(BZ639&gt;0,BY639*10&gt;BZ639),"zu hoch für Tablar; ","")&amp;IF(AND(BK639=0,OR(BT639=1,V639&lt;&gt;"",S639&lt;&gt;"",T639&lt;&gt;"",W639&lt;&gt;"")),"manuell übersteuert; ","")&amp;IF(AND(BO639=0,Q639=0),"Gebinde unbekannt; ","")&amp;IF(AND(BO639=0,N(T639)&lt;=0,N(P639)&lt;=0),"Menge pro Gebinde fehlt (Ist = 1 Gebinde); ","")&amp;BJ639)</f>
        <v/>
      </c>
      <c r="BC639" s="53" t="n"/>
      <c r="BD639" s="53" t="n"/>
      <c r="BE639" s="61" t="n"/>
      <c r="BF639" s="55" t="n">
        <v>1</v>
      </c>
      <c r="BG639" s="55" t="n">
        <v>13</v>
      </c>
      <c r="BH639" s="54" t="n">
        <v>0.38</v>
      </c>
      <c r="BI639" s="55" t="n">
        <v>2</v>
      </c>
      <c r="BJ639" s="53" t="inlineStr">
        <is>
          <t>Überbestand</t>
        </is>
      </c>
      <c r="BK639" s="58" t="n">
        <v>0</v>
      </c>
      <c r="BL639" s="58" t="n">
        <v>639</v>
      </c>
      <c r="BM639" s="53">
        <f>IF(S639&lt;&gt;"",UPPER(TRIM(S639)),IF(O639="","LOSE",O639))</f>
        <v/>
      </c>
      <c r="BN639" s="55">
        <f>IF(BM639="LOSE",1,IF(N(T639)&gt;0,T639,IF(N(P639)&gt;0,P639,MAX(1,G639))))</f>
        <v/>
      </c>
      <c r="BO639" s="58">
        <f>IF(BM639="LOSE",1,0)</f>
        <v/>
      </c>
      <c r="BP639" s="64">
        <f>IF(BO639=0,0,IF(N(R639)&gt;0,R639,IFERROR(VLOOKUP(D639,Parameter!$A$35:$C$64,3,0)+0,0)))</f>
        <v/>
      </c>
      <c r="BQ639" s="53">
        <f>IF(V639&lt;&gt;"",V639,U639)</f>
        <v/>
      </c>
      <c r="BR639" s="53">
        <f>IF(BQ639=1,"L1",IF(OR(BQ639=2,BQ639=3),"L23",IF(BQ639="Aussen","Aussen","-")))</f>
        <v/>
      </c>
      <c r="BS639" s="66">
        <f>IF(N(W639)&gt;0,W639,0)</f>
        <v/>
      </c>
      <c r="BT639" s="58">
        <f>IF(ISNUMBER(Z639),1,0)</f>
        <v/>
      </c>
      <c r="BU639" s="55">
        <f>N(Z639)</f>
        <v/>
      </c>
      <c r="BV639" s="55">
        <f>N(L639)+N(M639)</f>
        <v/>
      </c>
      <c r="BW639" s="55">
        <f>ROUNDUP(G639/BN639,0)</f>
        <v/>
      </c>
      <c r="BX639" s="55">
        <f>ROUNDUP(BU639/BN639,0)</f>
        <v/>
      </c>
      <c r="BY639" s="58">
        <f>IF(BO639=1,0,IFERROR(VLOOKUP(BM639,'Gebinde-Kategorie'!$A$5:$G$45,5,0)+0,0))</f>
        <v/>
      </c>
      <c r="BZ639" s="58">
        <f>IFERROR(IF(OR(BQ639=1,BQ639=2,BQ639=3),N(INDEX(Parameter!$I$5:$I$7,BQ639)),0),0)</f>
        <v/>
      </c>
    </row>
    <row r="640">
      <c r="A640" s="53" t="inlineStr">
        <is>
          <t>111579</t>
        </is>
      </c>
      <c r="B640" s="53" t="inlineStr">
        <is>
          <t>Checkliste Service 14k, SPGr16</t>
        </is>
      </c>
      <c r="C640" s="53" t="inlineStr">
        <is>
          <t>F</t>
        </is>
      </c>
      <c r="D640" s="53" t="inlineStr">
        <is>
          <t>PAL</t>
        </is>
      </c>
      <c r="E640" s="53" t="inlineStr">
        <is>
          <t>C</t>
        </is>
      </c>
      <c r="F640" s="54" t="n">
        <v>0.01</v>
      </c>
      <c r="G640" s="55">
        <f>MAX(0,IF(Parameter!$B$20="Jahresanfang 2025 + Export",BG640+BF640,BF640))</f>
        <v/>
      </c>
      <c r="H640" s="55">
        <f>G640*F640</f>
        <v/>
      </c>
      <c r="I640" s="55">
        <f>BI640*Parameter!$B$18</f>
        <v/>
      </c>
      <c r="J640" s="56" t="n">
        <v>0</v>
      </c>
      <c r="K640" s="57" t="n">
        <v>0</v>
      </c>
      <c r="L640" s="55" t="n">
        <v>0</v>
      </c>
      <c r="M640" s="55" t="n">
        <v>1</v>
      </c>
      <c r="N640" s="58" t="n">
        <v>999</v>
      </c>
      <c r="O640" s="53" t="inlineStr">
        <is>
          <t>LOSE</t>
        </is>
      </c>
      <c r="P640" s="55" t="n"/>
      <c r="Q640" s="59">
        <f>IF(BO640=1,0,IFERROR(VLOOKUP(BM640,'Gebinde-Kategorie'!$A$5:$G$45,6,0)+0,0))</f>
        <v/>
      </c>
      <c r="R640" s="60" t="n"/>
      <c r="S640" s="61" t="n"/>
      <c r="T640" s="61" t="n"/>
      <c r="U640" s="53">
        <f>IF(A640="","",IF(IFERROR(VLOOKUP(D640,Parameter!$A$35:$C$64,2,0),"Nein")="2+3",IF(ISNUMBER(SEARCH("grosser Artikel",BJ640)),2,IFERROR(VLOOKUP(BM640,Parameter!$F$35:$G$64,2,0),2)),IF(OR(IFERROR(VLOOKUP(D640,Parameter!$A$35:$C$64,2,0),"Nein")="Nein",IFERROR(VLOOKUP(D640,Parameter!$A$35:$C$64,2,0),"Nein")=""),"-",VLOOKUP(D640,Parameter!$A$35:$C$64,2,0))))</f>
        <v/>
      </c>
      <c r="V640" s="61" t="n"/>
      <c r="W640" s="62" t="n"/>
      <c r="X640" s="55">
        <f>AM640</f>
        <v/>
      </c>
      <c r="Y640" s="55">
        <f>MAX(AM640,G640)</f>
        <v/>
      </c>
      <c r="Z640" s="63" t="n"/>
      <c r="AA640" s="55">
        <f>IF(LEFT(Cockpit!$C$5,1)="A",G640,IF(BT640=1,BU640,IF(LEFT(Cockpit!$C$5,1)="B",AE640,MAX(AE640,G640))))</f>
        <v/>
      </c>
      <c r="AB640" s="55">
        <f>IF(BO640=1,0,ROUNDUP(AA640/BN640,0))</f>
        <v/>
      </c>
      <c r="AC640" s="64">
        <f>IF(BO640=1,IF(AA640&lt;=0,0,BP640*MAX(1,IF(G640&gt;0,AA640/G640,1))),AB640*Q640)</f>
        <v/>
      </c>
      <c r="AD640" s="55">
        <f>AA640*F640</f>
        <v/>
      </c>
      <c r="AE640" s="55">
        <f>ROUNDUP(MAX(I640/IF(BS640&gt;0,BS640,MAX(0.1,N(Cockpit!$C$6))),BV640)/BN640,0)*BN640</f>
        <v/>
      </c>
      <c r="AF640" s="56">
        <f>IF(AC640&gt;0,I640/AC640,-1)</f>
        <v/>
      </c>
      <c r="AG640" s="56">
        <f>IF(AND(OR(BR640="L1",BR640="L23"),AC640&gt;0),SUMIFS($AC$7:$AC$1570,$BR$7:$BR$1570,BR640,$AF$7:$AF$1570,"&gt;"&amp;AF640)+SUMIFS($AC$7:$AC$1570,$BR$7:$BR$1570,BR640,$AF$7:$AF$1570,AF640,$BL$7:$BL$1570,"&lt;="&amp;BL640),"")</f>
        <v/>
      </c>
      <c r="AH640" s="65">
        <f>IF(AG640="",0,MAX(0,MIN(1,(IF(BR640="L1",Parameter!$K$5,Parameter!$K$6+Parameter!$K$7)-(AG640-AC640))/AC640)))</f>
        <v/>
      </c>
      <c r="AI640" s="55">
        <f>IF(LEFT(Cockpit!$I$5,1)="A",G640,IF(BT640=1,BU640,IF(LEFT(Cockpit!$I$5,1)="B",AM640,MAX(AM640,G640))))</f>
        <v/>
      </c>
      <c r="AJ640" s="55">
        <f>IF(BO640=1,0,ROUNDUP(AI640/BN640,0))</f>
        <v/>
      </c>
      <c r="AK640" s="64">
        <f>IF(BO640=1,IF(AI640&lt;=0,0,BP640*MAX(1,IF(G640&gt;0,AI640/G640,1))),AJ640*Q640)</f>
        <v/>
      </c>
      <c r="AL640" s="55">
        <f>AI640*F640</f>
        <v/>
      </c>
      <c r="AM640" s="55">
        <f>ROUNDUP(MAX(I640/IF(BS640&gt;0,BS640,MAX(0.1,N(Cockpit!$I$6))),BV640)/BN640,0)*BN640</f>
        <v/>
      </c>
      <c r="AN640" s="56">
        <f>IF(AK640&gt;0,I640/AK640,-1)</f>
        <v/>
      </c>
      <c r="AO640" s="56">
        <f>IF(AND(OR(BR640="L1",BR640="L23"),AK640&gt;0),SUMIFS($AK$7:$AK$1570,$BR$7:$BR$1570,BR640,$AN$7:$AN$1570,"&gt;"&amp;AN640)+SUMIFS($AK$7:$AK$1570,$BR$7:$BR$1570,BR640,$AN$7:$AN$1570,AN640,$BL$7:$BL$1570,"&lt;="&amp;BL640),"")</f>
        <v/>
      </c>
      <c r="AP640" s="65">
        <f>IF(AO640="",0,MAX(0,MIN(1,(IF(BR640="L1",Parameter!$K$5,Parameter!$K$6+Parameter!$K$7)-(AO640-AK640))/AK640)))</f>
        <v/>
      </c>
      <c r="AQ640" s="55">
        <f>IF(LEFT(Cockpit!$O$5,1)="A",G640,IF(BT640=1,BU640,IF(LEFT(Cockpit!$O$5,1)="B",AU640,MAX(AU640,G640))))</f>
        <v/>
      </c>
      <c r="AR640" s="55">
        <f>IF(BO640=1,0,ROUNDUP(AQ640/BN640,0))</f>
        <v/>
      </c>
      <c r="AS640" s="64">
        <f>IF(BO640=1,IF(AQ640&lt;=0,0,BP640*MAX(1,IF(G640&gt;0,AQ640/G640,1))),AR640*Q640)</f>
        <v/>
      </c>
      <c r="AT640" s="55">
        <f>AQ640*F640</f>
        <v/>
      </c>
      <c r="AU640" s="55">
        <f>ROUNDUP(MAX(I640/IF(BS640&gt;0,BS640,MAX(0.1,N(Cockpit!$O$6))),BV640)/BN640,0)*BN640</f>
        <v/>
      </c>
      <c r="AV640" s="56">
        <f>IF(AS640&gt;0,I640/AS640,-1)</f>
        <v/>
      </c>
      <c r="AW640" s="56">
        <f>IF(AND(OR(BR640="L1",BR640="L23"),AS640&gt;0),SUMIFS($AS$7:$AS$1570,$BR$7:$BR$1570,BR640,$AV$7:$AV$1570,"&gt;"&amp;AV640)+SUMIFS($AS$7:$AS$1570,$BR$7:$BR$1570,BR640,$AV$7:$AV$1570,AV640,$BL$7:$BL$1570,"&lt;="&amp;BL640),"")</f>
        <v/>
      </c>
      <c r="AX640" s="65">
        <f>IF(AW640="",0,MAX(0,MIN(1,(IF(BR640="L1",Parameter!$K$5,Parameter!$K$6+Parameter!$K$7)-(AW640-AS640))/AS640)))</f>
        <v/>
      </c>
      <c r="AY640" s="53">
        <f>IF(AC640&lt;=0,"",IF(BR640="Aussen","Aussenlager",IF(BR640="-","Nicht im Lift",IF(AH640&gt;=1,"Lift",IF(AH640&lt;=0,"Aussenlager","teilweise")))))</f>
        <v/>
      </c>
      <c r="AZ640" s="53">
        <f>IF(AK640&lt;=0,"",IF(BR640="Aussen","Aussenlager",IF(BR640="-","Nicht im Lift",IF(AP640&gt;=1,"Lift",IF(AP640&lt;=0,"Aussenlager","teilweise")))))</f>
        <v/>
      </c>
      <c r="BA640" s="53">
        <f>IF(AS640&lt;=0,"",IF(BR640="Aussen","Aussenlager",IF(BR640="-","Nicht im Lift",IF(AX640&gt;=1,"Lift",IF(AX640&lt;=0,"Aussenlager","teilweise")))))</f>
        <v/>
      </c>
      <c r="BB640" s="53">
        <f>IF(A640="","",IF(BK640=1,"Neu; ","")&amp;IF(AND(BK640=0,BF640&lt;0),"negativer Bestand (Export "&amp;BF640&amp;"); ","")&amp;IF(I640&lt;=0,"Kein Verbrauch; ","")&amp;IF(BO640=1,"Lose – Fläche geschätzt; ","")&amp;IF(G640&gt;AM640,"Überbestand "&amp;ROUND(G640-AM640,0)&amp;" Stk / CHF "&amp;ROUND((G640-AM640)*F640,0)&amp;"; ","")&amp;IF(AND(BT640=1,BU640&lt;BV640),"MAX &lt; MB+LG; ","")&amp;IF(AND(BZ640&gt;0,BY640*10&gt;BZ640),"zu hoch für Tablar; ","")&amp;IF(AND(BK640=0,OR(BT640=1,V640&lt;&gt;"",S640&lt;&gt;"",T640&lt;&gt;"",W640&lt;&gt;"")),"manuell übersteuert; ","")&amp;IF(AND(BO640=0,Q640=0),"Gebinde unbekannt; ","")&amp;IF(AND(BO640=0,N(T640)&lt;=0,N(P640)&lt;=0),"Menge pro Gebinde fehlt (Ist = 1 Gebinde); ","")&amp;BJ640)</f>
        <v/>
      </c>
      <c r="BC640" s="53" t="n"/>
      <c r="BD640" s="53" t="n"/>
      <c r="BE640" s="61" t="n"/>
      <c r="BF640" s="55" t="n">
        <v>37</v>
      </c>
      <c r="BG640" s="55" t="n">
        <v>0</v>
      </c>
      <c r="BH640" s="54" t="n">
        <v>0.37</v>
      </c>
      <c r="BI640" s="55" t="n">
        <v>0</v>
      </c>
      <c r="BJ640" s="53" t="inlineStr"/>
      <c r="BK640" s="58" t="n">
        <v>0</v>
      </c>
      <c r="BL640" s="58" t="n">
        <v>640</v>
      </c>
      <c r="BM640" s="53">
        <f>IF(S640&lt;&gt;"",UPPER(TRIM(S640)),IF(O640="","LOSE",O640))</f>
        <v/>
      </c>
      <c r="BN640" s="55">
        <f>IF(BM640="LOSE",1,IF(N(T640)&gt;0,T640,IF(N(P640)&gt;0,P640,MAX(1,G640))))</f>
        <v/>
      </c>
      <c r="BO640" s="58">
        <f>IF(BM640="LOSE",1,0)</f>
        <v/>
      </c>
      <c r="BP640" s="64">
        <f>IF(BO640=0,0,IF(N(R640)&gt;0,R640,IFERROR(VLOOKUP(D640,Parameter!$A$35:$C$64,3,0)+0,0)))</f>
        <v/>
      </c>
      <c r="BQ640" s="53">
        <f>IF(V640&lt;&gt;"",V640,U640)</f>
        <v/>
      </c>
      <c r="BR640" s="53">
        <f>IF(BQ640=1,"L1",IF(OR(BQ640=2,BQ640=3),"L23",IF(BQ640="Aussen","Aussen","-")))</f>
        <v/>
      </c>
      <c r="BS640" s="66">
        <f>IF(N(W640)&gt;0,W640,0)</f>
        <v/>
      </c>
      <c r="BT640" s="58">
        <f>IF(ISNUMBER(Z640),1,0)</f>
        <v/>
      </c>
      <c r="BU640" s="55">
        <f>N(Z640)</f>
        <v/>
      </c>
      <c r="BV640" s="55">
        <f>N(L640)+N(M640)</f>
        <v/>
      </c>
      <c r="BW640" s="55">
        <f>ROUNDUP(G640/BN640,0)</f>
        <v/>
      </c>
      <c r="BX640" s="55">
        <f>ROUNDUP(BU640/BN640,0)</f>
        <v/>
      </c>
      <c r="BY640" s="58">
        <f>IF(BO640=1,0,IFERROR(VLOOKUP(BM640,'Gebinde-Kategorie'!$A$5:$G$45,5,0)+0,0))</f>
        <v/>
      </c>
      <c r="BZ640" s="58">
        <f>IFERROR(IF(OR(BQ640=1,BQ640=2,BQ640=3),N(INDEX(Parameter!$I$5:$I$7,BQ640)),0),0)</f>
        <v/>
      </c>
    </row>
    <row r="641">
      <c r="A641" s="53" t="inlineStr">
        <is>
          <t>106623</t>
        </is>
      </c>
      <c r="B641" s="53" t="inlineStr">
        <is>
          <t>Splint</t>
        </is>
      </c>
      <c r="C641" s="53" t="inlineStr">
        <is>
          <t>F</t>
        </is>
      </c>
      <c r="D641" s="53" t="inlineStr">
        <is>
          <t>KTL</t>
        </is>
      </c>
      <c r="E641" s="53" t="inlineStr">
        <is>
          <t>C</t>
        </is>
      </c>
      <c r="F641" s="54" t="n">
        <v>0.01</v>
      </c>
      <c r="G641" s="55">
        <f>MAX(0,IF(Parameter!$B$20="Jahresanfang 2025 + Export",BG641+BF641,BF641))</f>
        <v/>
      </c>
      <c r="H641" s="55">
        <f>G641*F641</f>
        <v/>
      </c>
      <c r="I641" s="55">
        <f>BI641*Parameter!$B$18</f>
        <v/>
      </c>
      <c r="J641" s="56" t="n">
        <v>59</v>
      </c>
      <c r="K641" s="57" t="n">
        <v>0.9491525423728814</v>
      </c>
      <c r="L641" s="55" t="n">
        <v>3</v>
      </c>
      <c r="M641" s="55" t="n">
        <v>100</v>
      </c>
      <c r="N641" s="58" t="n">
        <v>21</v>
      </c>
      <c r="O641" s="53" t="inlineStr">
        <is>
          <t>S22</t>
        </is>
      </c>
      <c r="P641" s="55" t="n">
        <v>161</v>
      </c>
      <c r="Q641" s="59">
        <f>IF(BO641=1,0,IFERROR(VLOOKUP(BM641,'Gebinde-Kategorie'!$A$5:$G$45,6,0)+0,0))</f>
        <v/>
      </c>
      <c r="R641" s="60" t="n"/>
      <c r="S641" s="61" t="n"/>
      <c r="T641" s="61" t="n"/>
      <c r="U641" s="53">
        <f>IF(A641="","",IF(IFERROR(VLOOKUP(D641,Parameter!$A$35:$C$64,2,0),"Nein")="2+3",IF(ISNUMBER(SEARCH("grosser Artikel",BJ641)),2,IFERROR(VLOOKUP(BM641,Parameter!$F$35:$G$64,2,0),2)),IF(OR(IFERROR(VLOOKUP(D641,Parameter!$A$35:$C$64,2,0),"Nein")="Nein",IFERROR(VLOOKUP(D641,Parameter!$A$35:$C$64,2,0),"Nein")=""),"-",VLOOKUP(D641,Parameter!$A$35:$C$64,2,0))))</f>
        <v/>
      </c>
      <c r="V641" s="61" t="n"/>
      <c r="W641" s="62" t="n"/>
      <c r="X641" s="55">
        <f>AM641</f>
        <v/>
      </c>
      <c r="Y641" s="55">
        <f>MAX(AM641,G641)</f>
        <v/>
      </c>
      <c r="Z641" s="63" t="n"/>
      <c r="AA641" s="55">
        <f>IF(LEFT(Cockpit!$C$5,1)="A",G641,IF(BT641=1,BU641,IF(LEFT(Cockpit!$C$5,1)="B",AE641,MAX(AE641,G641))))</f>
        <v/>
      </c>
      <c r="AB641" s="55">
        <f>IF(BO641=1,0,ROUNDUP(AA641/BN641,0))</f>
        <v/>
      </c>
      <c r="AC641" s="64">
        <f>IF(BO641=1,IF(AA641&lt;=0,0,BP641*MAX(1,IF(G641&gt;0,AA641/G641,1))),AB641*Q641)</f>
        <v/>
      </c>
      <c r="AD641" s="55">
        <f>AA641*F641</f>
        <v/>
      </c>
      <c r="AE641" s="55">
        <f>ROUNDUP(MAX(I641/IF(BS641&gt;0,BS641,MAX(0.1,N(Cockpit!$C$6))),BV641)/BN641,0)*BN641</f>
        <v/>
      </c>
      <c r="AF641" s="56">
        <f>IF(AC641&gt;0,I641/AC641,-1)</f>
        <v/>
      </c>
      <c r="AG641" s="56">
        <f>IF(AND(OR(BR641="L1",BR641="L23"),AC641&gt;0),SUMIFS($AC$7:$AC$1570,$BR$7:$BR$1570,BR641,$AF$7:$AF$1570,"&gt;"&amp;AF641)+SUMIFS($AC$7:$AC$1570,$BR$7:$BR$1570,BR641,$AF$7:$AF$1570,AF641,$BL$7:$BL$1570,"&lt;="&amp;BL641),"")</f>
        <v/>
      </c>
      <c r="AH641" s="65">
        <f>IF(AG641="",0,MAX(0,MIN(1,(IF(BR641="L1",Parameter!$K$5,Parameter!$K$6+Parameter!$K$7)-(AG641-AC641))/AC641)))</f>
        <v/>
      </c>
      <c r="AI641" s="55">
        <f>IF(LEFT(Cockpit!$I$5,1)="A",G641,IF(BT641=1,BU641,IF(LEFT(Cockpit!$I$5,1)="B",AM641,MAX(AM641,G641))))</f>
        <v/>
      </c>
      <c r="AJ641" s="55">
        <f>IF(BO641=1,0,ROUNDUP(AI641/BN641,0))</f>
        <v/>
      </c>
      <c r="AK641" s="64">
        <f>IF(BO641=1,IF(AI641&lt;=0,0,BP641*MAX(1,IF(G641&gt;0,AI641/G641,1))),AJ641*Q641)</f>
        <v/>
      </c>
      <c r="AL641" s="55">
        <f>AI641*F641</f>
        <v/>
      </c>
      <c r="AM641" s="55">
        <f>ROUNDUP(MAX(I641/IF(BS641&gt;0,BS641,MAX(0.1,N(Cockpit!$I$6))),BV641)/BN641,0)*BN641</f>
        <v/>
      </c>
      <c r="AN641" s="56">
        <f>IF(AK641&gt;0,I641/AK641,-1)</f>
        <v/>
      </c>
      <c r="AO641" s="56">
        <f>IF(AND(OR(BR641="L1",BR641="L23"),AK641&gt;0),SUMIFS($AK$7:$AK$1570,$BR$7:$BR$1570,BR641,$AN$7:$AN$1570,"&gt;"&amp;AN641)+SUMIFS($AK$7:$AK$1570,$BR$7:$BR$1570,BR641,$AN$7:$AN$1570,AN641,$BL$7:$BL$1570,"&lt;="&amp;BL641),"")</f>
        <v/>
      </c>
      <c r="AP641" s="65">
        <f>IF(AO641="",0,MAX(0,MIN(1,(IF(BR641="L1",Parameter!$K$5,Parameter!$K$6+Parameter!$K$7)-(AO641-AK641))/AK641)))</f>
        <v/>
      </c>
      <c r="AQ641" s="55">
        <f>IF(LEFT(Cockpit!$O$5,1)="A",G641,IF(BT641=1,BU641,IF(LEFT(Cockpit!$O$5,1)="B",AU641,MAX(AU641,G641))))</f>
        <v/>
      </c>
      <c r="AR641" s="55">
        <f>IF(BO641=1,0,ROUNDUP(AQ641/BN641,0))</f>
        <v/>
      </c>
      <c r="AS641" s="64">
        <f>IF(BO641=1,IF(AQ641&lt;=0,0,BP641*MAX(1,IF(G641&gt;0,AQ641/G641,1))),AR641*Q641)</f>
        <v/>
      </c>
      <c r="AT641" s="55">
        <f>AQ641*F641</f>
        <v/>
      </c>
      <c r="AU641" s="55">
        <f>ROUNDUP(MAX(I641/IF(BS641&gt;0,BS641,MAX(0.1,N(Cockpit!$O$6))),BV641)/BN641,0)*BN641</f>
        <v/>
      </c>
      <c r="AV641" s="56">
        <f>IF(AS641&gt;0,I641/AS641,-1)</f>
        <v/>
      </c>
      <c r="AW641" s="56">
        <f>IF(AND(OR(BR641="L1",BR641="L23"),AS641&gt;0),SUMIFS($AS$7:$AS$1570,$BR$7:$BR$1570,BR641,$AV$7:$AV$1570,"&gt;"&amp;AV641)+SUMIFS($AS$7:$AS$1570,$BR$7:$BR$1570,BR641,$AV$7:$AV$1570,AV641,$BL$7:$BL$1570,"&lt;="&amp;BL641),"")</f>
        <v/>
      </c>
      <c r="AX641" s="65">
        <f>IF(AW641="",0,MAX(0,MIN(1,(IF(BR641="L1",Parameter!$K$5,Parameter!$K$6+Parameter!$K$7)-(AW641-AS641))/AS641)))</f>
        <v/>
      </c>
      <c r="AY641" s="53">
        <f>IF(AC641&lt;=0,"",IF(BR641="Aussen","Aussenlager",IF(BR641="-","Nicht im Lift",IF(AH641&gt;=1,"Lift",IF(AH641&lt;=0,"Aussenlager","teilweise")))))</f>
        <v/>
      </c>
      <c r="AZ641" s="53">
        <f>IF(AK641&lt;=0,"",IF(BR641="Aussen","Aussenlager",IF(BR641="-","Nicht im Lift",IF(AP641&gt;=1,"Lift",IF(AP641&lt;=0,"Aussenlager","teilweise")))))</f>
        <v/>
      </c>
      <c r="BA641" s="53">
        <f>IF(AS641&lt;=0,"",IF(BR641="Aussen","Aussenlager",IF(BR641="-","Nicht im Lift",IF(AX641&gt;=1,"Lift",IF(AX641&lt;=0,"Aussenlager","teilweise")))))</f>
        <v/>
      </c>
      <c r="BB641" s="53">
        <f>IF(A641="","",IF(BK641=1,"Neu; ","")&amp;IF(AND(BK641=0,BF641&lt;0),"negativer Bestand (Export "&amp;BF641&amp;"); ","")&amp;IF(I641&lt;=0,"Kein Verbrauch; ","")&amp;IF(BO641=1,"Lose – Fläche geschätzt; ","")&amp;IF(G641&gt;AM641,"Überbestand "&amp;ROUND(G641-AM641,0)&amp;" Stk / CHF "&amp;ROUND((G641-AM641)*F641,0)&amp;"; ","")&amp;IF(AND(BT641=1,BU641&lt;BV641),"MAX &lt; MB+LG; ","")&amp;IF(AND(BZ641&gt;0,BY641*10&gt;BZ641),"zu hoch für Tablar; ","")&amp;IF(AND(BK641=0,OR(BT641=1,V641&lt;&gt;"",S641&lt;&gt;"",T641&lt;&gt;"",W641&lt;&gt;"")),"manuell übersteuert; ","")&amp;IF(AND(BO641=0,Q641=0),"Gebinde unbekannt; ","")&amp;IF(AND(BO641=0,N(T641)&lt;=0,N(P641)&lt;=0),"Menge pro Gebinde fehlt (Ist = 1 Gebinde); ","")&amp;BJ641)</f>
        <v/>
      </c>
      <c r="BC641" s="53" t="n"/>
      <c r="BD641" s="53" t="n"/>
      <c r="BE641" s="61" t="n"/>
      <c r="BF641" s="55" t="n">
        <v>37</v>
      </c>
      <c r="BG641" s="55" t="n">
        <v>39</v>
      </c>
      <c r="BH641" s="54" t="n">
        <v>0.369999999999999</v>
      </c>
      <c r="BI641" s="55" t="n">
        <v>56</v>
      </c>
      <c r="BJ641" s="53" t="inlineStr"/>
      <c r="BK641" s="58" t="n">
        <v>0</v>
      </c>
      <c r="BL641" s="58" t="n">
        <v>641</v>
      </c>
      <c r="BM641" s="53">
        <f>IF(S641&lt;&gt;"",UPPER(TRIM(S641)),IF(O641="","LOSE",O641))</f>
        <v/>
      </c>
      <c r="BN641" s="55">
        <f>IF(BM641="LOSE",1,IF(N(T641)&gt;0,T641,IF(N(P641)&gt;0,P641,MAX(1,G641))))</f>
        <v/>
      </c>
      <c r="BO641" s="58">
        <f>IF(BM641="LOSE",1,0)</f>
        <v/>
      </c>
      <c r="BP641" s="64">
        <f>IF(BO641=0,0,IF(N(R641)&gt;0,R641,IFERROR(VLOOKUP(D641,Parameter!$A$35:$C$64,3,0)+0,0)))</f>
        <v/>
      </c>
      <c r="BQ641" s="53">
        <f>IF(V641&lt;&gt;"",V641,U641)</f>
        <v/>
      </c>
      <c r="BR641" s="53">
        <f>IF(BQ641=1,"L1",IF(OR(BQ641=2,BQ641=3),"L23",IF(BQ641="Aussen","Aussen","-")))</f>
        <v/>
      </c>
      <c r="BS641" s="66">
        <f>IF(N(W641)&gt;0,W641,0)</f>
        <v/>
      </c>
      <c r="BT641" s="58">
        <f>IF(ISNUMBER(Z641),1,0)</f>
        <v/>
      </c>
      <c r="BU641" s="55">
        <f>N(Z641)</f>
        <v/>
      </c>
      <c r="BV641" s="55">
        <f>N(L641)+N(M641)</f>
        <v/>
      </c>
      <c r="BW641" s="55">
        <f>ROUNDUP(G641/BN641,0)</f>
        <v/>
      </c>
      <c r="BX641" s="55">
        <f>ROUNDUP(BU641/BN641,0)</f>
        <v/>
      </c>
      <c r="BY641" s="58">
        <f>IF(BO641=1,0,IFERROR(VLOOKUP(BM641,'Gebinde-Kategorie'!$A$5:$G$45,5,0)+0,0))</f>
        <v/>
      </c>
      <c r="BZ641" s="58">
        <f>IFERROR(IF(OR(BQ641=1,BQ641=2,BQ641=3),N(INDEX(Parameter!$I$5:$I$7,BQ641)),0),0)</f>
        <v/>
      </c>
    </row>
    <row r="642">
      <c r="A642" s="53" t="inlineStr">
        <is>
          <t>111577</t>
        </is>
      </c>
      <c r="B642" s="53" t="inlineStr">
        <is>
          <t>Checkliste Service 28k, SPGr10</t>
        </is>
      </c>
      <c r="C642" s="53" t="inlineStr">
        <is>
          <t>F</t>
        </is>
      </c>
      <c r="D642" s="53" t="inlineStr">
        <is>
          <t>PAL</t>
        </is>
      </c>
      <c r="E642" s="53" t="inlineStr">
        <is>
          <t>C</t>
        </is>
      </c>
      <c r="F642" s="54" t="n">
        <v>0.01</v>
      </c>
      <c r="G642" s="55">
        <f>MAX(0,IF(Parameter!$B$20="Jahresanfang 2025 + Export",BG642+BF642,BF642))</f>
        <v/>
      </c>
      <c r="H642" s="55">
        <f>G642*F642</f>
        <v/>
      </c>
      <c r="I642" s="55">
        <f>BI642*Parameter!$B$18</f>
        <v/>
      </c>
      <c r="J642" s="56" t="n">
        <v>0</v>
      </c>
      <c r="K642" s="57" t="n">
        <v>0</v>
      </c>
      <c r="L642" s="55" t="n">
        <v>0</v>
      </c>
      <c r="M642" s="55" t="n">
        <v>1</v>
      </c>
      <c r="N642" s="58" t="n">
        <v>0</v>
      </c>
      <c r="O642" s="53" t="inlineStr">
        <is>
          <t>LOSE</t>
        </is>
      </c>
      <c r="P642" s="55" t="n"/>
      <c r="Q642" s="59">
        <f>IF(BO642=1,0,IFERROR(VLOOKUP(BM642,'Gebinde-Kategorie'!$A$5:$G$45,6,0)+0,0))</f>
        <v/>
      </c>
      <c r="R642" s="60" t="n"/>
      <c r="S642" s="61" t="n"/>
      <c r="T642" s="61" t="n"/>
      <c r="U642" s="53">
        <f>IF(A642="","",IF(IFERROR(VLOOKUP(D642,Parameter!$A$35:$C$64,2,0),"Nein")="2+3",IF(ISNUMBER(SEARCH("grosser Artikel",BJ642)),2,IFERROR(VLOOKUP(BM642,Parameter!$F$35:$G$64,2,0),2)),IF(OR(IFERROR(VLOOKUP(D642,Parameter!$A$35:$C$64,2,0),"Nein")="Nein",IFERROR(VLOOKUP(D642,Parameter!$A$35:$C$64,2,0),"Nein")=""),"-",VLOOKUP(D642,Parameter!$A$35:$C$64,2,0))))</f>
        <v/>
      </c>
      <c r="V642" s="61" t="n"/>
      <c r="W642" s="62" t="n"/>
      <c r="X642" s="55">
        <f>AM642</f>
        <v/>
      </c>
      <c r="Y642" s="55">
        <f>MAX(AM642,G642)</f>
        <v/>
      </c>
      <c r="Z642" s="63" t="n"/>
      <c r="AA642" s="55">
        <f>IF(LEFT(Cockpit!$C$5,1)="A",G642,IF(BT642=1,BU642,IF(LEFT(Cockpit!$C$5,1)="B",AE642,MAX(AE642,G642))))</f>
        <v/>
      </c>
      <c r="AB642" s="55">
        <f>IF(BO642=1,0,ROUNDUP(AA642/BN642,0))</f>
        <v/>
      </c>
      <c r="AC642" s="64">
        <f>IF(BO642=1,IF(AA642&lt;=0,0,BP642*MAX(1,IF(G642&gt;0,AA642/G642,1))),AB642*Q642)</f>
        <v/>
      </c>
      <c r="AD642" s="55">
        <f>AA642*F642</f>
        <v/>
      </c>
      <c r="AE642" s="55">
        <f>ROUNDUP(MAX(I642/IF(BS642&gt;0,BS642,MAX(0.1,N(Cockpit!$C$6))),BV642)/BN642,0)*BN642</f>
        <v/>
      </c>
      <c r="AF642" s="56">
        <f>IF(AC642&gt;0,I642/AC642,-1)</f>
        <v/>
      </c>
      <c r="AG642" s="56">
        <f>IF(AND(OR(BR642="L1",BR642="L23"),AC642&gt;0),SUMIFS($AC$7:$AC$1570,$BR$7:$BR$1570,BR642,$AF$7:$AF$1570,"&gt;"&amp;AF642)+SUMIFS($AC$7:$AC$1570,$BR$7:$BR$1570,BR642,$AF$7:$AF$1570,AF642,$BL$7:$BL$1570,"&lt;="&amp;BL642),"")</f>
        <v/>
      </c>
      <c r="AH642" s="65">
        <f>IF(AG642="",0,MAX(0,MIN(1,(IF(BR642="L1",Parameter!$K$5,Parameter!$K$6+Parameter!$K$7)-(AG642-AC642))/AC642)))</f>
        <v/>
      </c>
      <c r="AI642" s="55">
        <f>IF(LEFT(Cockpit!$I$5,1)="A",G642,IF(BT642=1,BU642,IF(LEFT(Cockpit!$I$5,1)="B",AM642,MAX(AM642,G642))))</f>
        <v/>
      </c>
      <c r="AJ642" s="55">
        <f>IF(BO642=1,0,ROUNDUP(AI642/BN642,0))</f>
        <v/>
      </c>
      <c r="AK642" s="64">
        <f>IF(BO642=1,IF(AI642&lt;=0,0,BP642*MAX(1,IF(G642&gt;0,AI642/G642,1))),AJ642*Q642)</f>
        <v/>
      </c>
      <c r="AL642" s="55">
        <f>AI642*F642</f>
        <v/>
      </c>
      <c r="AM642" s="55">
        <f>ROUNDUP(MAX(I642/IF(BS642&gt;0,BS642,MAX(0.1,N(Cockpit!$I$6))),BV642)/BN642,0)*BN642</f>
        <v/>
      </c>
      <c r="AN642" s="56">
        <f>IF(AK642&gt;0,I642/AK642,-1)</f>
        <v/>
      </c>
      <c r="AO642" s="56">
        <f>IF(AND(OR(BR642="L1",BR642="L23"),AK642&gt;0),SUMIFS($AK$7:$AK$1570,$BR$7:$BR$1570,BR642,$AN$7:$AN$1570,"&gt;"&amp;AN642)+SUMIFS($AK$7:$AK$1570,$BR$7:$BR$1570,BR642,$AN$7:$AN$1570,AN642,$BL$7:$BL$1570,"&lt;="&amp;BL642),"")</f>
        <v/>
      </c>
      <c r="AP642" s="65">
        <f>IF(AO642="",0,MAX(0,MIN(1,(IF(BR642="L1",Parameter!$K$5,Parameter!$K$6+Parameter!$K$7)-(AO642-AK642))/AK642)))</f>
        <v/>
      </c>
      <c r="AQ642" s="55">
        <f>IF(LEFT(Cockpit!$O$5,1)="A",G642,IF(BT642=1,BU642,IF(LEFT(Cockpit!$O$5,1)="B",AU642,MAX(AU642,G642))))</f>
        <v/>
      </c>
      <c r="AR642" s="55">
        <f>IF(BO642=1,0,ROUNDUP(AQ642/BN642,0))</f>
        <v/>
      </c>
      <c r="AS642" s="64">
        <f>IF(BO642=1,IF(AQ642&lt;=0,0,BP642*MAX(1,IF(G642&gt;0,AQ642/G642,1))),AR642*Q642)</f>
        <v/>
      </c>
      <c r="AT642" s="55">
        <f>AQ642*F642</f>
        <v/>
      </c>
      <c r="AU642" s="55">
        <f>ROUNDUP(MAX(I642/IF(BS642&gt;0,BS642,MAX(0.1,N(Cockpit!$O$6))),BV642)/BN642,0)*BN642</f>
        <v/>
      </c>
      <c r="AV642" s="56">
        <f>IF(AS642&gt;0,I642/AS642,-1)</f>
        <v/>
      </c>
      <c r="AW642" s="56">
        <f>IF(AND(OR(BR642="L1",BR642="L23"),AS642&gt;0),SUMIFS($AS$7:$AS$1570,$BR$7:$BR$1570,BR642,$AV$7:$AV$1570,"&gt;"&amp;AV642)+SUMIFS($AS$7:$AS$1570,$BR$7:$BR$1570,BR642,$AV$7:$AV$1570,AV642,$BL$7:$BL$1570,"&lt;="&amp;BL642),"")</f>
        <v/>
      </c>
      <c r="AX642" s="65">
        <f>IF(AW642="",0,MAX(0,MIN(1,(IF(BR642="L1",Parameter!$K$5,Parameter!$K$6+Parameter!$K$7)-(AW642-AS642))/AS642)))</f>
        <v/>
      </c>
      <c r="AY642" s="53">
        <f>IF(AC642&lt;=0,"",IF(BR642="Aussen","Aussenlager",IF(BR642="-","Nicht im Lift",IF(AH642&gt;=1,"Lift",IF(AH642&lt;=0,"Aussenlager","teilweise")))))</f>
        <v/>
      </c>
      <c r="AZ642" s="53">
        <f>IF(AK642&lt;=0,"",IF(BR642="Aussen","Aussenlager",IF(BR642="-","Nicht im Lift",IF(AP642&gt;=1,"Lift",IF(AP642&lt;=0,"Aussenlager","teilweise")))))</f>
        <v/>
      </c>
      <c r="BA642" s="53">
        <f>IF(AS642&lt;=0,"",IF(BR642="Aussen","Aussenlager",IF(BR642="-","Nicht im Lift",IF(AX642&gt;=1,"Lift",IF(AX642&lt;=0,"Aussenlager","teilweise")))))</f>
        <v/>
      </c>
      <c r="BB642" s="53">
        <f>IF(A642="","",IF(BK642=1,"Neu; ","")&amp;IF(AND(BK642=0,BF642&lt;0),"negativer Bestand (Export "&amp;BF642&amp;"); ","")&amp;IF(I642&lt;=0,"Kein Verbrauch; ","")&amp;IF(BO642=1,"Lose – Fläche geschätzt; ","")&amp;IF(G642&gt;AM642,"Überbestand "&amp;ROUND(G642-AM642,0)&amp;" Stk / CHF "&amp;ROUND((G642-AM642)*F642,0)&amp;"; ","")&amp;IF(AND(BT642=1,BU642&lt;BV642),"MAX &lt; MB+LG; ","")&amp;IF(AND(BZ642&gt;0,BY642*10&gt;BZ642),"zu hoch für Tablar; ","")&amp;IF(AND(BK642=0,OR(BT642=1,V642&lt;&gt;"",S642&lt;&gt;"",T642&lt;&gt;"",W642&lt;&gt;"")),"manuell übersteuert; ","")&amp;IF(AND(BO642=0,Q642=0),"Gebinde unbekannt; ","")&amp;IF(AND(BO642=0,N(T642)&lt;=0,N(P642)&lt;=0),"Menge pro Gebinde fehlt (Ist = 1 Gebinde); ","")&amp;BJ642)</f>
        <v/>
      </c>
      <c r="BC642" s="53" t="n"/>
      <c r="BD642" s="53" t="n"/>
      <c r="BE642" s="61" t="n"/>
      <c r="BF642" s="55" t="n">
        <v>36</v>
      </c>
      <c r="BG642" s="55" t="n">
        <v>0</v>
      </c>
      <c r="BH642" s="54" t="n">
        <v>0.36</v>
      </c>
      <c r="BI642" s="55" t="n">
        <v>0</v>
      </c>
      <c r="BJ642" s="53" t="inlineStr"/>
      <c r="BK642" s="58" t="n">
        <v>0</v>
      </c>
      <c r="BL642" s="58" t="n">
        <v>642</v>
      </c>
      <c r="BM642" s="53">
        <f>IF(S642&lt;&gt;"",UPPER(TRIM(S642)),IF(O642="","LOSE",O642))</f>
        <v/>
      </c>
      <c r="BN642" s="55">
        <f>IF(BM642="LOSE",1,IF(N(T642)&gt;0,T642,IF(N(P642)&gt;0,P642,MAX(1,G642))))</f>
        <v/>
      </c>
      <c r="BO642" s="58">
        <f>IF(BM642="LOSE",1,0)</f>
        <v/>
      </c>
      <c r="BP642" s="64">
        <f>IF(BO642=0,0,IF(N(R642)&gt;0,R642,IFERROR(VLOOKUP(D642,Parameter!$A$35:$C$64,3,0)+0,0)))</f>
        <v/>
      </c>
      <c r="BQ642" s="53">
        <f>IF(V642&lt;&gt;"",V642,U642)</f>
        <v/>
      </c>
      <c r="BR642" s="53">
        <f>IF(BQ642=1,"L1",IF(OR(BQ642=2,BQ642=3),"L23",IF(BQ642="Aussen","Aussen","-")))</f>
        <v/>
      </c>
      <c r="BS642" s="66">
        <f>IF(N(W642)&gt;0,W642,0)</f>
        <v/>
      </c>
      <c r="BT642" s="58">
        <f>IF(ISNUMBER(Z642),1,0)</f>
        <v/>
      </c>
      <c r="BU642" s="55">
        <f>N(Z642)</f>
        <v/>
      </c>
      <c r="BV642" s="55">
        <f>N(L642)+N(M642)</f>
        <v/>
      </c>
      <c r="BW642" s="55">
        <f>ROUNDUP(G642/BN642,0)</f>
        <v/>
      </c>
      <c r="BX642" s="55">
        <f>ROUNDUP(BU642/BN642,0)</f>
        <v/>
      </c>
      <c r="BY642" s="58">
        <f>IF(BO642=1,0,IFERROR(VLOOKUP(BM642,'Gebinde-Kategorie'!$A$5:$G$45,5,0)+0,0))</f>
        <v/>
      </c>
      <c r="BZ642" s="58">
        <f>IFERROR(IF(OR(BQ642=1,BQ642=2,BQ642=3),N(INDEX(Parameter!$I$5:$I$7,BQ642)),0),0)</f>
        <v/>
      </c>
    </row>
    <row r="643">
      <c r="A643" s="53" t="inlineStr">
        <is>
          <t>106614</t>
        </is>
      </c>
      <c r="B643" s="53" t="inlineStr">
        <is>
          <t>Zylinderschraube mit Innensechskant</t>
        </is>
      </c>
      <c r="C643" s="53" t="inlineStr">
        <is>
          <t>F</t>
        </is>
      </c>
      <c r="D643" s="53" t="inlineStr">
        <is>
          <t>KTL</t>
        </is>
      </c>
      <c r="E643" s="53" t="inlineStr">
        <is>
          <t>C</t>
        </is>
      </c>
      <c r="F643" s="54" t="n">
        <v>0.09</v>
      </c>
      <c r="G643" s="55">
        <f>MAX(0,IF(Parameter!$B$20="Jahresanfang 2025 + Export",BG643+BF643,BF643))</f>
        <v/>
      </c>
      <c r="H643" s="55">
        <f>G643*F643</f>
        <v/>
      </c>
      <c r="I643" s="55">
        <f>BI643*Parameter!$B$18</f>
        <v/>
      </c>
      <c r="J643" s="56" t="n">
        <v>264</v>
      </c>
      <c r="K643" s="57" t="n">
        <v>0</v>
      </c>
      <c r="L643" s="55" t="n">
        <v>0</v>
      </c>
      <c r="M643" s="55" t="n">
        <v>1</v>
      </c>
      <c r="N643" s="58" t="n">
        <v>14</v>
      </c>
      <c r="O643" s="53" t="inlineStr">
        <is>
          <t>S21</t>
        </is>
      </c>
      <c r="P643" s="55" t="n">
        <v>94</v>
      </c>
      <c r="Q643" s="59">
        <f>IF(BO643=1,0,IFERROR(VLOOKUP(BM643,'Gebinde-Kategorie'!$A$5:$G$45,6,0)+0,0))</f>
        <v/>
      </c>
      <c r="R643" s="60" t="n"/>
      <c r="S643" s="61" t="n"/>
      <c r="T643" s="61" t="n"/>
      <c r="U643" s="53">
        <f>IF(A643="","",IF(IFERROR(VLOOKUP(D643,Parameter!$A$35:$C$64,2,0),"Nein")="2+3",IF(ISNUMBER(SEARCH("grosser Artikel",BJ643)),2,IFERROR(VLOOKUP(BM643,Parameter!$F$35:$G$64,2,0),2)),IF(OR(IFERROR(VLOOKUP(D643,Parameter!$A$35:$C$64,2,0),"Nein")="Nein",IFERROR(VLOOKUP(D643,Parameter!$A$35:$C$64,2,0),"Nein")=""),"-",VLOOKUP(D643,Parameter!$A$35:$C$64,2,0))))</f>
        <v/>
      </c>
      <c r="V643" s="61" t="n"/>
      <c r="W643" s="62" t="n"/>
      <c r="X643" s="55">
        <f>AM643</f>
        <v/>
      </c>
      <c r="Y643" s="55">
        <f>MAX(AM643,G643)</f>
        <v/>
      </c>
      <c r="Z643" s="63" t="n"/>
      <c r="AA643" s="55">
        <f>IF(LEFT(Cockpit!$C$5,1)="A",G643,IF(BT643=1,BU643,IF(LEFT(Cockpit!$C$5,1)="B",AE643,MAX(AE643,G643))))</f>
        <v/>
      </c>
      <c r="AB643" s="55">
        <f>IF(BO643=1,0,ROUNDUP(AA643/BN643,0))</f>
        <v/>
      </c>
      <c r="AC643" s="64">
        <f>IF(BO643=1,IF(AA643&lt;=0,0,BP643*MAX(1,IF(G643&gt;0,AA643/G643,1))),AB643*Q643)</f>
        <v/>
      </c>
      <c r="AD643" s="55">
        <f>AA643*F643</f>
        <v/>
      </c>
      <c r="AE643" s="55">
        <f>ROUNDUP(MAX(I643/IF(BS643&gt;0,BS643,MAX(0.1,N(Cockpit!$C$6))),BV643)/BN643,0)*BN643</f>
        <v/>
      </c>
      <c r="AF643" s="56">
        <f>IF(AC643&gt;0,I643/AC643,-1)</f>
        <v/>
      </c>
      <c r="AG643" s="56">
        <f>IF(AND(OR(BR643="L1",BR643="L23"),AC643&gt;0),SUMIFS($AC$7:$AC$1570,$BR$7:$BR$1570,BR643,$AF$7:$AF$1570,"&gt;"&amp;AF643)+SUMIFS($AC$7:$AC$1570,$BR$7:$BR$1570,BR643,$AF$7:$AF$1570,AF643,$BL$7:$BL$1570,"&lt;="&amp;BL643),"")</f>
        <v/>
      </c>
      <c r="AH643" s="65">
        <f>IF(AG643="",0,MAX(0,MIN(1,(IF(BR643="L1",Parameter!$K$5,Parameter!$K$6+Parameter!$K$7)-(AG643-AC643))/AC643)))</f>
        <v/>
      </c>
      <c r="AI643" s="55">
        <f>IF(LEFT(Cockpit!$I$5,1)="A",G643,IF(BT643=1,BU643,IF(LEFT(Cockpit!$I$5,1)="B",AM643,MAX(AM643,G643))))</f>
        <v/>
      </c>
      <c r="AJ643" s="55">
        <f>IF(BO643=1,0,ROUNDUP(AI643/BN643,0))</f>
        <v/>
      </c>
      <c r="AK643" s="64">
        <f>IF(BO643=1,IF(AI643&lt;=0,0,BP643*MAX(1,IF(G643&gt;0,AI643/G643,1))),AJ643*Q643)</f>
        <v/>
      </c>
      <c r="AL643" s="55">
        <f>AI643*F643</f>
        <v/>
      </c>
      <c r="AM643" s="55">
        <f>ROUNDUP(MAX(I643/IF(BS643&gt;0,BS643,MAX(0.1,N(Cockpit!$I$6))),BV643)/BN643,0)*BN643</f>
        <v/>
      </c>
      <c r="AN643" s="56">
        <f>IF(AK643&gt;0,I643/AK643,-1)</f>
        <v/>
      </c>
      <c r="AO643" s="56">
        <f>IF(AND(OR(BR643="L1",BR643="L23"),AK643&gt;0),SUMIFS($AK$7:$AK$1570,$BR$7:$BR$1570,BR643,$AN$7:$AN$1570,"&gt;"&amp;AN643)+SUMIFS($AK$7:$AK$1570,$BR$7:$BR$1570,BR643,$AN$7:$AN$1570,AN643,$BL$7:$BL$1570,"&lt;="&amp;BL643),"")</f>
        <v/>
      </c>
      <c r="AP643" s="65">
        <f>IF(AO643="",0,MAX(0,MIN(1,(IF(BR643="L1",Parameter!$K$5,Parameter!$K$6+Parameter!$K$7)-(AO643-AK643))/AK643)))</f>
        <v/>
      </c>
      <c r="AQ643" s="55">
        <f>IF(LEFT(Cockpit!$O$5,1)="A",G643,IF(BT643=1,BU643,IF(LEFT(Cockpit!$O$5,1)="B",AU643,MAX(AU643,G643))))</f>
        <v/>
      </c>
      <c r="AR643" s="55">
        <f>IF(BO643=1,0,ROUNDUP(AQ643/BN643,0))</f>
        <v/>
      </c>
      <c r="AS643" s="64">
        <f>IF(BO643=1,IF(AQ643&lt;=0,0,BP643*MAX(1,IF(G643&gt;0,AQ643/G643,1))),AR643*Q643)</f>
        <v/>
      </c>
      <c r="AT643" s="55">
        <f>AQ643*F643</f>
        <v/>
      </c>
      <c r="AU643" s="55">
        <f>ROUNDUP(MAX(I643/IF(BS643&gt;0,BS643,MAX(0.1,N(Cockpit!$O$6))),BV643)/BN643,0)*BN643</f>
        <v/>
      </c>
      <c r="AV643" s="56">
        <f>IF(AS643&gt;0,I643/AS643,-1)</f>
        <v/>
      </c>
      <c r="AW643" s="56">
        <f>IF(AND(OR(BR643="L1",BR643="L23"),AS643&gt;0),SUMIFS($AS$7:$AS$1570,$BR$7:$BR$1570,BR643,$AV$7:$AV$1570,"&gt;"&amp;AV643)+SUMIFS($AS$7:$AS$1570,$BR$7:$BR$1570,BR643,$AV$7:$AV$1570,AV643,$BL$7:$BL$1570,"&lt;="&amp;BL643),"")</f>
        <v/>
      </c>
      <c r="AX643" s="65">
        <f>IF(AW643="",0,MAX(0,MIN(1,(IF(BR643="L1",Parameter!$K$5,Parameter!$K$6+Parameter!$K$7)-(AW643-AS643))/AS643)))</f>
        <v/>
      </c>
      <c r="AY643" s="53">
        <f>IF(AC643&lt;=0,"",IF(BR643="Aussen","Aussenlager",IF(BR643="-","Nicht im Lift",IF(AH643&gt;=1,"Lift",IF(AH643&lt;=0,"Aussenlager","teilweise")))))</f>
        <v/>
      </c>
      <c r="AZ643" s="53">
        <f>IF(AK643&lt;=0,"",IF(BR643="Aussen","Aussenlager",IF(BR643="-","Nicht im Lift",IF(AP643&gt;=1,"Lift",IF(AP643&lt;=0,"Aussenlager","teilweise")))))</f>
        <v/>
      </c>
      <c r="BA643" s="53">
        <f>IF(AS643&lt;=0,"",IF(BR643="Aussen","Aussenlager",IF(BR643="-","Nicht im Lift",IF(AX643&gt;=1,"Lift",IF(AX643&lt;=0,"Aussenlager","teilweise")))))</f>
        <v/>
      </c>
      <c r="BB643" s="53">
        <f>IF(A643="","",IF(BK643=1,"Neu; ","")&amp;IF(AND(BK643=0,BF643&lt;0),"negativer Bestand (Export "&amp;BF643&amp;"); ","")&amp;IF(I643&lt;=0,"Kein Verbrauch; ","")&amp;IF(BO643=1,"Lose – Fläche geschätzt; ","")&amp;IF(G643&gt;AM643,"Überbestand "&amp;ROUND(G643-AM643,0)&amp;" Stk / CHF "&amp;ROUND((G643-AM643)*F643,0)&amp;"; ","")&amp;IF(AND(BT643=1,BU643&lt;BV643),"MAX &lt; MB+LG; ","")&amp;IF(AND(BZ643&gt;0,BY643*10&gt;BZ643),"zu hoch für Tablar; ","")&amp;IF(AND(BK643=0,OR(BT643=1,V643&lt;&gt;"",S643&lt;&gt;"",T643&lt;&gt;"",W643&lt;&gt;"")),"manuell übersteuert; ","")&amp;IF(AND(BO643=0,Q643=0),"Gebinde unbekannt; ","")&amp;IF(AND(BO643=0,N(T643)&lt;=0,N(P643)&lt;=0),"Menge pro Gebinde fehlt (Ist = 1 Gebinde); ","")&amp;BJ643)</f>
        <v/>
      </c>
      <c r="BC643" s="53" t="n"/>
      <c r="BD643" s="53" t="n"/>
      <c r="BE643" s="61" t="n"/>
      <c r="BF643" s="55" t="n">
        <v>4</v>
      </c>
      <c r="BG643" s="55" t="n">
        <v>262</v>
      </c>
      <c r="BH643" s="54" t="n">
        <v>0.36</v>
      </c>
      <c r="BI643" s="55" t="n">
        <v>0</v>
      </c>
      <c r="BJ643" s="53" t="inlineStr">
        <is>
          <t>Überbestand</t>
        </is>
      </c>
      <c r="BK643" s="58" t="n">
        <v>0</v>
      </c>
      <c r="BL643" s="58" t="n">
        <v>643</v>
      </c>
      <c r="BM643" s="53">
        <f>IF(S643&lt;&gt;"",UPPER(TRIM(S643)),IF(O643="","LOSE",O643))</f>
        <v/>
      </c>
      <c r="BN643" s="55">
        <f>IF(BM643="LOSE",1,IF(N(T643)&gt;0,T643,IF(N(P643)&gt;0,P643,MAX(1,G643))))</f>
        <v/>
      </c>
      <c r="BO643" s="58">
        <f>IF(BM643="LOSE",1,0)</f>
        <v/>
      </c>
      <c r="BP643" s="64">
        <f>IF(BO643=0,0,IF(N(R643)&gt;0,R643,IFERROR(VLOOKUP(D643,Parameter!$A$35:$C$64,3,0)+0,0)))</f>
        <v/>
      </c>
      <c r="BQ643" s="53">
        <f>IF(V643&lt;&gt;"",V643,U643)</f>
        <v/>
      </c>
      <c r="BR643" s="53">
        <f>IF(BQ643=1,"L1",IF(OR(BQ643=2,BQ643=3),"L23",IF(BQ643="Aussen","Aussen","-")))</f>
        <v/>
      </c>
      <c r="BS643" s="66">
        <f>IF(N(W643)&gt;0,W643,0)</f>
        <v/>
      </c>
      <c r="BT643" s="58">
        <f>IF(ISNUMBER(Z643),1,0)</f>
        <v/>
      </c>
      <c r="BU643" s="55">
        <f>N(Z643)</f>
        <v/>
      </c>
      <c r="BV643" s="55">
        <f>N(L643)+N(M643)</f>
        <v/>
      </c>
      <c r="BW643" s="55">
        <f>ROUNDUP(G643/BN643,0)</f>
        <v/>
      </c>
      <c r="BX643" s="55">
        <f>ROUNDUP(BU643/BN643,0)</f>
        <v/>
      </c>
      <c r="BY643" s="58">
        <f>IF(BO643=1,0,IFERROR(VLOOKUP(BM643,'Gebinde-Kategorie'!$A$5:$G$45,5,0)+0,0))</f>
        <v/>
      </c>
      <c r="BZ643" s="58">
        <f>IFERROR(IF(OR(BQ643=1,BQ643=2,BQ643=3),N(INDEX(Parameter!$I$5:$I$7,BQ643)),0),0)</f>
        <v/>
      </c>
    </row>
    <row r="644">
      <c r="A644" s="53" t="inlineStr">
        <is>
          <t>100704</t>
        </is>
      </c>
      <c r="B644" s="53" t="inlineStr">
        <is>
          <t>Gewindestift</t>
        </is>
      </c>
      <c r="C644" s="53" t="inlineStr">
        <is>
          <t>F</t>
        </is>
      </c>
      <c r="D644" s="53" t="inlineStr">
        <is>
          <t>KTL</t>
        </is>
      </c>
      <c r="E644" s="53" t="inlineStr">
        <is>
          <t>C</t>
        </is>
      </c>
      <c r="F644" s="54" t="n">
        <v>0.04</v>
      </c>
      <c r="G644" s="55">
        <f>MAX(0,IF(Parameter!$B$20="Jahresanfang 2025 + Export",BG644+BF644,BF644))</f>
        <v/>
      </c>
      <c r="H644" s="55">
        <f>G644*F644</f>
        <v/>
      </c>
      <c r="I644" s="55">
        <f>BI644*Parameter!$B$18</f>
        <v/>
      </c>
      <c r="J644" s="56" t="n">
        <v>162</v>
      </c>
      <c r="K644" s="57" t="n">
        <v>0.02469135802469136</v>
      </c>
      <c r="L644" s="55" t="n">
        <v>0</v>
      </c>
      <c r="M644" s="55" t="n">
        <v>5</v>
      </c>
      <c r="N644" s="58" t="n">
        <v>21</v>
      </c>
      <c r="O644" s="53" t="inlineStr">
        <is>
          <t>S21</t>
        </is>
      </c>
      <c r="P644" s="55" t="n">
        <v>169</v>
      </c>
      <c r="Q644" s="59">
        <f>IF(BO644=1,0,IFERROR(VLOOKUP(BM644,'Gebinde-Kategorie'!$A$5:$G$45,6,0)+0,0))</f>
        <v/>
      </c>
      <c r="R644" s="60" t="n"/>
      <c r="S644" s="61" t="n"/>
      <c r="T644" s="61" t="n"/>
      <c r="U644" s="53">
        <f>IF(A644="","",IF(IFERROR(VLOOKUP(D644,Parameter!$A$35:$C$64,2,0),"Nein")="2+3",IF(ISNUMBER(SEARCH("grosser Artikel",BJ644)),2,IFERROR(VLOOKUP(BM644,Parameter!$F$35:$G$64,2,0),2)),IF(OR(IFERROR(VLOOKUP(D644,Parameter!$A$35:$C$64,2,0),"Nein")="Nein",IFERROR(VLOOKUP(D644,Parameter!$A$35:$C$64,2,0),"Nein")=""),"-",VLOOKUP(D644,Parameter!$A$35:$C$64,2,0))))</f>
        <v/>
      </c>
      <c r="V644" s="61" t="n"/>
      <c r="W644" s="62" t="n"/>
      <c r="X644" s="55">
        <f>AM644</f>
        <v/>
      </c>
      <c r="Y644" s="55">
        <f>MAX(AM644,G644)</f>
        <v/>
      </c>
      <c r="Z644" s="63" t="n"/>
      <c r="AA644" s="55">
        <f>IF(LEFT(Cockpit!$C$5,1)="A",G644,IF(BT644=1,BU644,IF(LEFT(Cockpit!$C$5,1)="B",AE644,MAX(AE644,G644))))</f>
        <v/>
      </c>
      <c r="AB644" s="55">
        <f>IF(BO644=1,0,ROUNDUP(AA644/BN644,0))</f>
        <v/>
      </c>
      <c r="AC644" s="64">
        <f>IF(BO644=1,IF(AA644&lt;=0,0,BP644*MAX(1,IF(G644&gt;0,AA644/G644,1))),AB644*Q644)</f>
        <v/>
      </c>
      <c r="AD644" s="55">
        <f>AA644*F644</f>
        <v/>
      </c>
      <c r="AE644" s="55">
        <f>ROUNDUP(MAX(I644/IF(BS644&gt;0,BS644,MAX(0.1,N(Cockpit!$C$6))),BV644)/BN644,0)*BN644</f>
        <v/>
      </c>
      <c r="AF644" s="56">
        <f>IF(AC644&gt;0,I644/AC644,-1)</f>
        <v/>
      </c>
      <c r="AG644" s="56">
        <f>IF(AND(OR(BR644="L1",BR644="L23"),AC644&gt;0),SUMIFS($AC$7:$AC$1570,$BR$7:$BR$1570,BR644,$AF$7:$AF$1570,"&gt;"&amp;AF644)+SUMIFS($AC$7:$AC$1570,$BR$7:$BR$1570,BR644,$AF$7:$AF$1570,AF644,$BL$7:$BL$1570,"&lt;="&amp;BL644),"")</f>
        <v/>
      </c>
      <c r="AH644" s="65">
        <f>IF(AG644="",0,MAX(0,MIN(1,(IF(BR644="L1",Parameter!$K$5,Parameter!$K$6+Parameter!$K$7)-(AG644-AC644))/AC644)))</f>
        <v/>
      </c>
      <c r="AI644" s="55">
        <f>IF(LEFT(Cockpit!$I$5,1)="A",G644,IF(BT644=1,BU644,IF(LEFT(Cockpit!$I$5,1)="B",AM644,MAX(AM644,G644))))</f>
        <v/>
      </c>
      <c r="AJ644" s="55">
        <f>IF(BO644=1,0,ROUNDUP(AI644/BN644,0))</f>
        <v/>
      </c>
      <c r="AK644" s="64">
        <f>IF(BO644=1,IF(AI644&lt;=0,0,BP644*MAX(1,IF(G644&gt;0,AI644/G644,1))),AJ644*Q644)</f>
        <v/>
      </c>
      <c r="AL644" s="55">
        <f>AI644*F644</f>
        <v/>
      </c>
      <c r="AM644" s="55">
        <f>ROUNDUP(MAX(I644/IF(BS644&gt;0,BS644,MAX(0.1,N(Cockpit!$I$6))),BV644)/BN644,0)*BN644</f>
        <v/>
      </c>
      <c r="AN644" s="56">
        <f>IF(AK644&gt;0,I644/AK644,-1)</f>
        <v/>
      </c>
      <c r="AO644" s="56">
        <f>IF(AND(OR(BR644="L1",BR644="L23"),AK644&gt;0),SUMIFS($AK$7:$AK$1570,$BR$7:$BR$1570,BR644,$AN$7:$AN$1570,"&gt;"&amp;AN644)+SUMIFS($AK$7:$AK$1570,$BR$7:$BR$1570,BR644,$AN$7:$AN$1570,AN644,$BL$7:$BL$1570,"&lt;="&amp;BL644),"")</f>
        <v/>
      </c>
      <c r="AP644" s="65">
        <f>IF(AO644="",0,MAX(0,MIN(1,(IF(BR644="L1",Parameter!$K$5,Parameter!$K$6+Parameter!$K$7)-(AO644-AK644))/AK644)))</f>
        <v/>
      </c>
      <c r="AQ644" s="55">
        <f>IF(LEFT(Cockpit!$O$5,1)="A",G644,IF(BT644=1,BU644,IF(LEFT(Cockpit!$O$5,1)="B",AU644,MAX(AU644,G644))))</f>
        <v/>
      </c>
      <c r="AR644" s="55">
        <f>IF(BO644=1,0,ROUNDUP(AQ644/BN644,0))</f>
        <v/>
      </c>
      <c r="AS644" s="64">
        <f>IF(BO644=1,IF(AQ644&lt;=0,0,BP644*MAX(1,IF(G644&gt;0,AQ644/G644,1))),AR644*Q644)</f>
        <v/>
      </c>
      <c r="AT644" s="55">
        <f>AQ644*F644</f>
        <v/>
      </c>
      <c r="AU644" s="55">
        <f>ROUNDUP(MAX(I644/IF(BS644&gt;0,BS644,MAX(0.1,N(Cockpit!$O$6))),BV644)/BN644,0)*BN644</f>
        <v/>
      </c>
      <c r="AV644" s="56">
        <f>IF(AS644&gt;0,I644/AS644,-1)</f>
        <v/>
      </c>
      <c r="AW644" s="56">
        <f>IF(AND(OR(BR644="L1",BR644="L23"),AS644&gt;0),SUMIFS($AS$7:$AS$1570,$BR$7:$BR$1570,BR644,$AV$7:$AV$1570,"&gt;"&amp;AV644)+SUMIFS($AS$7:$AS$1570,$BR$7:$BR$1570,BR644,$AV$7:$AV$1570,AV644,$BL$7:$BL$1570,"&lt;="&amp;BL644),"")</f>
        <v/>
      </c>
      <c r="AX644" s="65">
        <f>IF(AW644="",0,MAX(0,MIN(1,(IF(BR644="L1",Parameter!$K$5,Parameter!$K$6+Parameter!$K$7)-(AW644-AS644))/AS644)))</f>
        <v/>
      </c>
      <c r="AY644" s="53">
        <f>IF(AC644&lt;=0,"",IF(BR644="Aussen","Aussenlager",IF(BR644="-","Nicht im Lift",IF(AH644&gt;=1,"Lift",IF(AH644&lt;=0,"Aussenlager","teilweise")))))</f>
        <v/>
      </c>
      <c r="AZ644" s="53">
        <f>IF(AK644&lt;=0,"",IF(BR644="Aussen","Aussenlager",IF(BR644="-","Nicht im Lift",IF(AP644&gt;=1,"Lift",IF(AP644&lt;=0,"Aussenlager","teilweise")))))</f>
        <v/>
      </c>
      <c r="BA644" s="53">
        <f>IF(AS644&lt;=0,"",IF(BR644="Aussen","Aussenlager",IF(BR644="-","Nicht im Lift",IF(AX644&gt;=1,"Lift",IF(AX644&lt;=0,"Aussenlager","teilweise")))))</f>
        <v/>
      </c>
      <c r="BB644" s="53">
        <f>IF(A644="","",IF(BK644=1,"Neu; ","")&amp;IF(AND(BK644=0,BF644&lt;0),"negativer Bestand (Export "&amp;BF644&amp;"); ","")&amp;IF(I644&lt;=0,"Kein Verbrauch; ","")&amp;IF(BO644=1,"Lose – Fläche geschätzt; ","")&amp;IF(G644&gt;AM644,"Überbestand "&amp;ROUND(G644-AM644,0)&amp;" Stk / CHF "&amp;ROUND((G644-AM644)*F644,0)&amp;"; ","")&amp;IF(AND(BT644=1,BU644&lt;BV644),"MAX &lt; MB+LG; ","")&amp;IF(AND(BZ644&gt;0,BY644*10&gt;BZ644),"zu hoch für Tablar; ","")&amp;IF(AND(BK644=0,OR(BT644=1,V644&lt;&gt;"",S644&lt;&gt;"",T644&lt;&gt;"",W644&lt;&gt;"")),"manuell übersteuert; ","")&amp;IF(AND(BO644=0,Q644=0),"Gebinde unbekannt; ","")&amp;IF(AND(BO644=0,N(T644)&lt;=0,N(P644)&lt;=0),"Menge pro Gebinde fehlt (Ist = 1 Gebinde); ","")&amp;BJ644)</f>
        <v/>
      </c>
      <c r="BC644" s="53" t="n"/>
      <c r="BD644" s="53" t="n"/>
      <c r="BE644" s="61" t="n"/>
      <c r="BF644" s="55" t="n">
        <v>7</v>
      </c>
      <c r="BG644" s="55" t="n">
        <v>159</v>
      </c>
      <c r="BH644" s="54" t="n">
        <v>0.28</v>
      </c>
      <c r="BI644" s="55" t="n">
        <v>4</v>
      </c>
      <c r="BJ644" s="53" t="inlineStr">
        <is>
          <t>Überbestand</t>
        </is>
      </c>
      <c r="BK644" s="58" t="n">
        <v>0</v>
      </c>
      <c r="BL644" s="58" t="n">
        <v>644</v>
      </c>
      <c r="BM644" s="53">
        <f>IF(S644&lt;&gt;"",UPPER(TRIM(S644)),IF(O644="","LOSE",O644))</f>
        <v/>
      </c>
      <c r="BN644" s="55">
        <f>IF(BM644="LOSE",1,IF(N(T644)&gt;0,T644,IF(N(P644)&gt;0,P644,MAX(1,G644))))</f>
        <v/>
      </c>
      <c r="BO644" s="58">
        <f>IF(BM644="LOSE",1,0)</f>
        <v/>
      </c>
      <c r="BP644" s="64">
        <f>IF(BO644=0,0,IF(N(R644)&gt;0,R644,IFERROR(VLOOKUP(D644,Parameter!$A$35:$C$64,3,0)+0,0)))</f>
        <v/>
      </c>
      <c r="BQ644" s="53">
        <f>IF(V644&lt;&gt;"",V644,U644)</f>
        <v/>
      </c>
      <c r="BR644" s="53">
        <f>IF(BQ644=1,"L1",IF(OR(BQ644=2,BQ644=3),"L23",IF(BQ644="Aussen","Aussen","-")))</f>
        <v/>
      </c>
      <c r="BS644" s="66">
        <f>IF(N(W644)&gt;0,W644,0)</f>
        <v/>
      </c>
      <c r="BT644" s="58">
        <f>IF(ISNUMBER(Z644),1,0)</f>
        <v/>
      </c>
      <c r="BU644" s="55">
        <f>N(Z644)</f>
        <v/>
      </c>
      <c r="BV644" s="55">
        <f>N(L644)+N(M644)</f>
        <v/>
      </c>
      <c r="BW644" s="55">
        <f>ROUNDUP(G644/BN644,0)</f>
        <v/>
      </c>
      <c r="BX644" s="55">
        <f>ROUNDUP(BU644/BN644,0)</f>
        <v/>
      </c>
      <c r="BY644" s="58">
        <f>IF(BO644=1,0,IFERROR(VLOOKUP(BM644,'Gebinde-Kategorie'!$A$5:$G$45,5,0)+0,0))</f>
        <v/>
      </c>
      <c r="BZ644" s="58">
        <f>IFERROR(IF(OR(BQ644=1,BQ644=2,BQ644=3),N(INDEX(Parameter!$I$5:$I$7,BQ644)),0),0)</f>
        <v/>
      </c>
    </row>
    <row r="645">
      <c r="A645" s="53" t="inlineStr">
        <is>
          <t>110969</t>
        </is>
      </c>
      <c r="B645" s="53" t="inlineStr">
        <is>
          <t>Unterlagsscheibe</t>
        </is>
      </c>
      <c r="C645" s="53" t="inlineStr">
        <is>
          <t>F</t>
        </is>
      </c>
      <c r="D645" s="53" t="inlineStr">
        <is>
          <t>A-BEZ</t>
        </is>
      </c>
      <c r="E645" s="53" t="inlineStr">
        <is>
          <t>C</t>
        </is>
      </c>
      <c r="F645" s="54" t="n">
        <v>0.07000000000000001</v>
      </c>
      <c r="G645" s="55">
        <f>MAX(0,IF(Parameter!$B$20="Jahresanfang 2025 + Export",BG645+BF645,BF645))</f>
        <v/>
      </c>
      <c r="H645" s="55">
        <f>G645*F645</f>
        <v/>
      </c>
      <c r="I645" s="55">
        <f>BI645*Parameter!$B$18</f>
        <v/>
      </c>
      <c r="J645" s="56" t="n">
        <v>1.5</v>
      </c>
      <c r="K645" s="57" t="n">
        <v>64</v>
      </c>
      <c r="L645" s="55" t="n">
        <v>0</v>
      </c>
      <c r="M645" s="55" t="n">
        <v>100</v>
      </c>
      <c r="N645" s="58" t="n">
        <v>21</v>
      </c>
      <c r="O645" s="53" t="inlineStr">
        <is>
          <t>LOSE</t>
        </is>
      </c>
      <c r="P645" s="55" t="n"/>
      <c r="Q645" s="59">
        <f>IF(BO645=1,0,IFERROR(VLOOKUP(BM645,'Gebinde-Kategorie'!$A$5:$G$45,6,0)+0,0))</f>
        <v/>
      </c>
      <c r="R645" s="60" t="n"/>
      <c r="S645" s="61" t="n"/>
      <c r="T645" s="61" t="n"/>
      <c r="U645" s="53">
        <f>IF(A645="","",IF(IFERROR(VLOOKUP(D645,Parameter!$A$35:$C$64,2,0),"Nein")="2+3",IF(ISNUMBER(SEARCH("grosser Artikel",BJ645)),2,IFERROR(VLOOKUP(BM645,Parameter!$F$35:$G$64,2,0),2)),IF(OR(IFERROR(VLOOKUP(D645,Parameter!$A$35:$C$64,2,0),"Nein")="Nein",IFERROR(VLOOKUP(D645,Parameter!$A$35:$C$64,2,0),"Nein")=""),"-",VLOOKUP(D645,Parameter!$A$35:$C$64,2,0))))</f>
        <v/>
      </c>
      <c r="V645" s="61" t="n"/>
      <c r="W645" s="62" t="n"/>
      <c r="X645" s="55">
        <f>AM645</f>
        <v/>
      </c>
      <c r="Y645" s="55">
        <f>MAX(AM645,G645)</f>
        <v/>
      </c>
      <c r="Z645" s="63" t="n"/>
      <c r="AA645" s="55">
        <f>IF(LEFT(Cockpit!$C$5,1)="A",G645,IF(BT645=1,BU645,IF(LEFT(Cockpit!$C$5,1)="B",AE645,MAX(AE645,G645))))</f>
        <v/>
      </c>
      <c r="AB645" s="55">
        <f>IF(BO645=1,0,ROUNDUP(AA645/BN645,0))</f>
        <v/>
      </c>
      <c r="AC645" s="64">
        <f>IF(BO645=1,IF(AA645&lt;=0,0,BP645*MAX(1,IF(G645&gt;0,AA645/G645,1))),AB645*Q645)</f>
        <v/>
      </c>
      <c r="AD645" s="55">
        <f>AA645*F645</f>
        <v/>
      </c>
      <c r="AE645" s="55">
        <f>ROUNDUP(MAX(I645/IF(BS645&gt;0,BS645,MAX(0.1,N(Cockpit!$C$6))),BV645)/BN645,0)*BN645</f>
        <v/>
      </c>
      <c r="AF645" s="56">
        <f>IF(AC645&gt;0,I645/AC645,-1)</f>
        <v/>
      </c>
      <c r="AG645" s="56">
        <f>IF(AND(OR(BR645="L1",BR645="L23"),AC645&gt;0),SUMIFS($AC$7:$AC$1570,$BR$7:$BR$1570,BR645,$AF$7:$AF$1570,"&gt;"&amp;AF645)+SUMIFS($AC$7:$AC$1570,$BR$7:$BR$1570,BR645,$AF$7:$AF$1570,AF645,$BL$7:$BL$1570,"&lt;="&amp;BL645),"")</f>
        <v/>
      </c>
      <c r="AH645" s="65">
        <f>IF(AG645="",0,MAX(0,MIN(1,(IF(BR645="L1",Parameter!$K$5,Parameter!$K$6+Parameter!$K$7)-(AG645-AC645))/AC645)))</f>
        <v/>
      </c>
      <c r="AI645" s="55">
        <f>IF(LEFT(Cockpit!$I$5,1)="A",G645,IF(BT645=1,BU645,IF(LEFT(Cockpit!$I$5,1)="B",AM645,MAX(AM645,G645))))</f>
        <v/>
      </c>
      <c r="AJ645" s="55">
        <f>IF(BO645=1,0,ROUNDUP(AI645/BN645,0))</f>
        <v/>
      </c>
      <c r="AK645" s="64">
        <f>IF(BO645=1,IF(AI645&lt;=0,0,BP645*MAX(1,IF(G645&gt;0,AI645/G645,1))),AJ645*Q645)</f>
        <v/>
      </c>
      <c r="AL645" s="55">
        <f>AI645*F645</f>
        <v/>
      </c>
      <c r="AM645" s="55">
        <f>ROUNDUP(MAX(I645/IF(BS645&gt;0,BS645,MAX(0.1,N(Cockpit!$I$6))),BV645)/BN645,0)*BN645</f>
        <v/>
      </c>
      <c r="AN645" s="56">
        <f>IF(AK645&gt;0,I645/AK645,-1)</f>
        <v/>
      </c>
      <c r="AO645" s="56">
        <f>IF(AND(OR(BR645="L1",BR645="L23"),AK645&gt;0),SUMIFS($AK$7:$AK$1570,$BR$7:$BR$1570,BR645,$AN$7:$AN$1570,"&gt;"&amp;AN645)+SUMIFS($AK$7:$AK$1570,$BR$7:$BR$1570,BR645,$AN$7:$AN$1570,AN645,$BL$7:$BL$1570,"&lt;="&amp;BL645),"")</f>
        <v/>
      </c>
      <c r="AP645" s="65">
        <f>IF(AO645="",0,MAX(0,MIN(1,(IF(BR645="L1",Parameter!$K$5,Parameter!$K$6+Parameter!$K$7)-(AO645-AK645))/AK645)))</f>
        <v/>
      </c>
      <c r="AQ645" s="55">
        <f>IF(LEFT(Cockpit!$O$5,1)="A",G645,IF(BT645=1,BU645,IF(LEFT(Cockpit!$O$5,1)="B",AU645,MAX(AU645,G645))))</f>
        <v/>
      </c>
      <c r="AR645" s="55">
        <f>IF(BO645=1,0,ROUNDUP(AQ645/BN645,0))</f>
        <v/>
      </c>
      <c r="AS645" s="64">
        <f>IF(BO645=1,IF(AQ645&lt;=0,0,BP645*MAX(1,IF(G645&gt;0,AQ645/G645,1))),AR645*Q645)</f>
        <v/>
      </c>
      <c r="AT645" s="55">
        <f>AQ645*F645</f>
        <v/>
      </c>
      <c r="AU645" s="55">
        <f>ROUNDUP(MAX(I645/IF(BS645&gt;0,BS645,MAX(0.1,N(Cockpit!$O$6))),BV645)/BN645,0)*BN645</f>
        <v/>
      </c>
      <c r="AV645" s="56">
        <f>IF(AS645&gt;0,I645/AS645,-1)</f>
        <v/>
      </c>
      <c r="AW645" s="56">
        <f>IF(AND(OR(BR645="L1",BR645="L23"),AS645&gt;0),SUMIFS($AS$7:$AS$1570,$BR$7:$BR$1570,BR645,$AV$7:$AV$1570,"&gt;"&amp;AV645)+SUMIFS($AS$7:$AS$1570,$BR$7:$BR$1570,BR645,$AV$7:$AV$1570,AV645,$BL$7:$BL$1570,"&lt;="&amp;BL645),"")</f>
        <v/>
      </c>
      <c r="AX645" s="65">
        <f>IF(AW645="",0,MAX(0,MIN(1,(IF(BR645="L1",Parameter!$K$5,Parameter!$K$6+Parameter!$K$7)-(AW645-AS645))/AS645)))</f>
        <v/>
      </c>
      <c r="AY645" s="53">
        <f>IF(AC645&lt;=0,"",IF(BR645="Aussen","Aussenlager",IF(BR645="-","Nicht im Lift",IF(AH645&gt;=1,"Lift",IF(AH645&lt;=0,"Aussenlager","teilweise")))))</f>
        <v/>
      </c>
      <c r="AZ645" s="53">
        <f>IF(AK645&lt;=0,"",IF(BR645="Aussen","Aussenlager",IF(BR645="-","Nicht im Lift",IF(AP645&gt;=1,"Lift",IF(AP645&lt;=0,"Aussenlager","teilweise")))))</f>
        <v/>
      </c>
      <c r="BA645" s="53">
        <f>IF(AS645&lt;=0,"",IF(BR645="Aussen","Aussenlager",IF(BR645="-","Nicht im Lift",IF(AX645&gt;=1,"Lift",IF(AX645&lt;=0,"Aussenlager","teilweise")))))</f>
        <v/>
      </c>
      <c r="BB645" s="53">
        <f>IF(A645="","",IF(BK645=1,"Neu; ","")&amp;IF(AND(BK645=0,BF645&lt;0),"negativer Bestand (Export "&amp;BF645&amp;"); ","")&amp;IF(I645&lt;=0,"Kein Verbrauch; ","")&amp;IF(BO645=1,"Lose – Fläche geschätzt; ","")&amp;IF(G645&gt;AM645,"Überbestand "&amp;ROUND(G645-AM645,0)&amp;" Stk / CHF "&amp;ROUND((G645-AM645)*F645,0)&amp;"; ","")&amp;IF(AND(BT645=1,BU645&lt;BV645),"MAX &lt; MB+LG; ","")&amp;IF(AND(BZ645&gt;0,BY645*10&gt;BZ645),"zu hoch für Tablar; ","")&amp;IF(AND(BK645=0,OR(BT645=1,V645&lt;&gt;"",S645&lt;&gt;"",T645&lt;&gt;"",W645&lt;&gt;"")),"manuell übersteuert; ","")&amp;IF(AND(BO645=0,Q645=0),"Gebinde unbekannt; ","")&amp;IF(AND(BO645=0,N(T645)&lt;=0,N(P645)&lt;=0),"Menge pro Gebinde fehlt (Ist = 1 Gebinde); ","")&amp;BJ645)</f>
        <v/>
      </c>
      <c r="BC645" s="53" t="n"/>
      <c r="BD645" s="53" t="n"/>
      <c r="BE645" s="61" t="n"/>
      <c r="BF645" s="55" t="n">
        <v>3</v>
      </c>
      <c r="BG645" s="55" t="n">
        <v>0</v>
      </c>
      <c r="BH645" s="54" t="n">
        <v>0.2100000000000002</v>
      </c>
      <c r="BI645" s="55" t="n">
        <v>96</v>
      </c>
      <c r="BJ645" s="53" t="inlineStr"/>
      <c r="BK645" s="58" t="n">
        <v>0</v>
      </c>
      <c r="BL645" s="58" t="n">
        <v>645</v>
      </c>
      <c r="BM645" s="53">
        <f>IF(S645&lt;&gt;"",UPPER(TRIM(S645)),IF(O645="","LOSE",O645))</f>
        <v/>
      </c>
      <c r="BN645" s="55">
        <f>IF(BM645="LOSE",1,IF(N(T645)&gt;0,T645,IF(N(P645)&gt;0,P645,MAX(1,G645))))</f>
        <v/>
      </c>
      <c r="BO645" s="58">
        <f>IF(BM645="LOSE",1,0)</f>
        <v/>
      </c>
      <c r="BP645" s="64">
        <f>IF(BO645=0,0,IF(N(R645)&gt;0,R645,IFERROR(VLOOKUP(D645,Parameter!$A$35:$C$64,3,0)+0,0)))</f>
        <v/>
      </c>
      <c r="BQ645" s="53">
        <f>IF(V645&lt;&gt;"",V645,U645)</f>
        <v/>
      </c>
      <c r="BR645" s="53">
        <f>IF(BQ645=1,"L1",IF(OR(BQ645=2,BQ645=3),"L23",IF(BQ645="Aussen","Aussen","-")))</f>
        <v/>
      </c>
      <c r="BS645" s="66">
        <f>IF(N(W645)&gt;0,W645,0)</f>
        <v/>
      </c>
      <c r="BT645" s="58">
        <f>IF(ISNUMBER(Z645),1,0)</f>
        <v/>
      </c>
      <c r="BU645" s="55">
        <f>N(Z645)</f>
        <v/>
      </c>
      <c r="BV645" s="55">
        <f>N(L645)+N(M645)</f>
        <v/>
      </c>
      <c r="BW645" s="55">
        <f>ROUNDUP(G645/BN645,0)</f>
        <v/>
      </c>
      <c r="BX645" s="55">
        <f>ROUNDUP(BU645/BN645,0)</f>
        <v/>
      </c>
      <c r="BY645" s="58">
        <f>IF(BO645=1,0,IFERROR(VLOOKUP(BM645,'Gebinde-Kategorie'!$A$5:$G$45,5,0)+0,0))</f>
        <v/>
      </c>
      <c r="BZ645" s="58">
        <f>IFERROR(IF(OR(BQ645=1,BQ645=2,BQ645=3),N(INDEX(Parameter!$I$5:$I$7,BQ645)),0),0)</f>
        <v/>
      </c>
    </row>
    <row r="646">
      <c r="A646" s="53" t="inlineStr">
        <is>
          <t>111578</t>
        </is>
      </c>
      <c r="B646" s="53" t="inlineStr">
        <is>
          <t>Checkliste Service 7k, SPGr16</t>
        </is>
      </c>
      <c r="C646" s="53" t="inlineStr">
        <is>
          <t>F</t>
        </is>
      </c>
      <c r="D646" s="53" t="inlineStr">
        <is>
          <t>PAL</t>
        </is>
      </c>
      <c r="E646" s="53" t="inlineStr">
        <is>
          <t>C</t>
        </is>
      </c>
      <c r="F646" s="54" t="n">
        <v>0.01</v>
      </c>
      <c r="G646" s="55">
        <f>MAX(0,IF(Parameter!$B$20="Jahresanfang 2025 + Export",BG646+BF646,BF646))</f>
        <v/>
      </c>
      <c r="H646" s="55">
        <f>G646*F646</f>
        <v/>
      </c>
      <c r="I646" s="55">
        <f>BI646*Parameter!$B$18</f>
        <v/>
      </c>
      <c r="J646" s="56" t="n">
        <v>0</v>
      </c>
      <c r="K646" s="57" t="n">
        <v>0</v>
      </c>
      <c r="L646" s="55" t="n">
        <v>0</v>
      </c>
      <c r="M646" s="55" t="n">
        <v>1</v>
      </c>
      <c r="N646" s="58" t="n">
        <v>999</v>
      </c>
      <c r="O646" s="53" t="inlineStr">
        <is>
          <t>LOSE</t>
        </is>
      </c>
      <c r="P646" s="55" t="n"/>
      <c r="Q646" s="59">
        <f>IF(BO646=1,0,IFERROR(VLOOKUP(BM646,'Gebinde-Kategorie'!$A$5:$G$45,6,0)+0,0))</f>
        <v/>
      </c>
      <c r="R646" s="60" t="n"/>
      <c r="S646" s="61" t="n"/>
      <c r="T646" s="61" t="n"/>
      <c r="U646" s="53">
        <f>IF(A646="","",IF(IFERROR(VLOOKUP(D646,Parameter!$A$35:$C$64,2,0),"Nein")="2+3",IF(ISNUMBER(SEARCH("grosser Artikel",BJ646)),2,IFERROR(VLOOKUP(BM646,Parameter!$F$35:$G$64,2,0),2)),IF(OR(IFERROR(VLOOKUP(D646,Parameter!$A$35:$C$64,2,0),"Nein")="Nein",IFERROR(VLOOKUP(D646,Parameter!$A$35:$C$64,2,0),"Nein")=""),"-",VLOOKUP(D646,Parameter!$A$35:$C$64,2,0))))</f>
        <v/>
      </c>
      <c r="V646" s="61" t="n"/>
      <c r="W646" s="62" t="n"/>
      <c r="X646" s="55">
        <f>AM646</f>
        <v/>
      </c>
      <c r="Y646" s="55">
        <f>MAX(AM646,G646)</f>
        <v/>
      </c>
      <c r="Z646" s="63" t="n"/>
      <c r="AA646" s="55">
        <f>IF(LEFT(Cockpit!$C$5,1)="A",G646,IF(BT646=1,BU646,IF(LEFT(Cockpit!$C$5,1)="B",AE646,MAX(AE646,G646))))</f>
        <v/>
      </c>
      <c r="AB646" s="55">
        <f>IF(BO646=1,0,ROUNDUP(AA646/BN646,0))</f>
        <v/>
      </c>
      <c r="AC646" s="64">
        <f>IF(BO646=1,IF(AA646&lt;=0,0,BP646*MAX(1,IF(G646&gt;0,AA646/G646,1))),AB646*Q646)</f>
        <v/>
      </c>
      <c r="AD646" s="55">
        <f>AA646*F646</f>
        <v/>
      </c>
      <c r="AE646" s="55">
        <f>ROUNDUP(MAX(I646/IF(BS646&gt;0,BS646,MAX(0.1,N(Cockpit!$C$6))),BV646)/BN646,0)*BN646</f>
        <v/>
      </c>
      <c r="AF646" s="56">
        <f>IF(AC646&gt;0,I646/AC646,-1)</f>
        <v/>
      </c>
      <c r="AG646" s="56">
        <f>IF(AND(OR(BR646="L1",BR646="L23"),AC646&gt;0),SUMIFS($AC$7:$AC$1570,$BR$7:$BR$1570,BR646,$AF$7:$AF$1570,"&gt;"&amp;AF646)+SUMIFS($AC$7:$AC$1570,$BR$7:$BR$1570,BR646,$AF$7:$AF$1570,AF646,$BL$7:$BL$1570,"&lt;="&amp;BL646),"")</f>
        <v/>
      </c>
      <c r="AH646" s="65">
        <f>IF(AG646="",0,MAX(0,MIN(1,(IF(BR646="L1",Parameter!$K$5,Parameter!$K$6+Parameter!$K$7)-(AG646-AC646))/AC646)))</f>
        <v/>
      </c>
      <c r="AI646" s="55">
        <f>IF(LEFT(Cockpit!$I$5,1)="A",G646,IF(BT646=1,BU646,IF(LEFT(Cockpit!$I$5,1)="B",AM646,MAX(AM646,G646))))</f>
        <v/>
      </c>
      <c r="AJ646" s="55">
        <f>IF(BO646=1,0,ROUNDUP(AI646/BN646,0))</f>
        <v/>
      </c>
      <c r="AK646" s="64">
        <f>IF(BO646=1,IF(AI646&lt;=0,0,BP646*MAX(1,IF(G646&gt;0,AI646/G646,1))),AJ646*Q646)</f>
        <v/>
      </c>
      <c r="AL646" s="55">
        <f>AI646*F646</f>
        <v/>
      </c>
      <c r="AM646" s="55">
        <f>ROUNDUP(MAX(I646/IF(BS646&gt;0,BS646,MAX(0.1,N(Cockpit!$I$6))),BV646)/BN646,0)*BN646</f>
        <v/>
      </c>
      <c r="AN646" s="56">
        <f>IF(AK646&gt;0,I646/AK646,-1)</f>
        <v/>
      </c>
      <c r="AO646" s="56">
        <f>IF(AND(OR(BR646="L1",BR646="L23"),AK646&gt;0),SUMIFS($AK$7:$AK$1570,$BR$7:$BR$1570,BR646,$AN$7:$AN$1570,"&gt;"&amp;AN646)+SUMIFS($AK$7:$AK$1570,$BR$7:$BR$1570,BR646,$AN$7:$AN$1570,AN646,$BL$7:$BL$1570,"&lt;="&amp;BL646),"")</f>
        <v/>
      </c>
      <c r="AP646" s="65">
        <f>IF(AO646="",0,MAX(0,MIN(1,(IF(BR646="L1",Parameter!$K$5,Parameter!$K$6+Parameter!$K$7)-(AO646-AK646))/AK646)))</f>
        <v/>
      </c>
      <c r="AQ646" s="55">
        <f>IF(LEFT(Cockpit!$O$5,1)="A",G646,IF(BT646=1,BU646,IF(LEFT(Cockpit!$O$5,1)="B",AU646,MAX(AU646,G646))))</f>
        <v/>
      </c>
      <c r="AR646" s="55">
        <f>IF(BO646=1,0,ROUNDUP(AQ646/BN646,0))</f>
        <v/>
      </c>
      <c r="AS646" s="64">
        <f>IF(BO646=1,IF(AQ646&lt;=0,0,BP646*MAX(1,IF(G646&gt;0,AQ646/G646,1))),AR646*Q646)</f>
        <v/>
      </c>
      <c r="AT646" s="55">
        <f>AQ646*F646</f>
        <v/>
      </c>
      <c r="AU646" s="55">
        <f>ROUNDUP(MAX(I646/IF(BS646&gt;0,BS646,MAX(0.1,N(Cockpit!$O$6))),BV646)/BN646,0)*BN646</f>
        <v/>
      </c>
      <c r="AV646" s="56">
        <f>IF(AS646&gt;0,I646/AS646,-1)</f>
        <v/>
      </c>
      <c r="AW646" s="56">
        <f>IF(AND(OR(BR646="L1",BR646="L23"),AS646&gt;0),SUMIFS($AS$7:$AS$1570,$BR$7:$BR$1570,BR646,$AV$7:$AV$1570,"&gt;"&amp;AV646)+SUMIFS($AS$7:$AS$1570,$BR$7:$BR$1570,BR646,$AV$7:$AV$1570,AV646,$BL$7:$BL$1570,"&lt;="&amp;BL646),"")</f>
        <v/>
      </c>
      <c r="AX646" s="65">
        <f>IF(AW646="",0,MAX(0,MIN(1,(IF(BR646="L1",Parameter!$K$5,Parameter!$K$6+Parameter!$K$7)-(AW646-AS646))/AS646)))</f>
        <v/>
      </c>
      <c r="AY646" s="53">
        <f>IF(AC646&lt;=0,"",IF(BR646="Aussen","Aussenlager",IF(BR646="-","Nicht im Lift",IF(AH646&gt;=1,"Lift",IF(AH646&lt;=0,"Aussenlager","teilweise")))))</f>
        <v/>
      </c>
      <c r="AZ646" s="53">
        <f>IF(AK646&lt;=0,"",IF(BR646="Aussen","Aussenlager",IF(BR646="-","Nicht im Lift",IF(AP646&gt;=1,"Lift",IF(AP646&lt;=0,"Aussenlager","teilweise")))))</f>
        <v/>
      </c>
      <c r="BA646" s="53">
        <f>IF(AS646&lt;=0,"",IF(BR646="Aussen","Aussenlager",IF(BR646="-","Nicht im Lift",IF(AX646&gt;=1,"Lift",IF(AX646&lt;=0,"Aussenlager","teilweise")))))</f>
        <v/>
      </c>
      <c r="BB646" s="53">
        <f>IF(A646="","",IF(BK646=1,"Neu; ","")&amp;IF(AND(BK646=0,BF646&lt;0),"negativer Bestand (Export "&amp;BF646&amp;"); ","")&amp;IF(I646&lt;=0,"Kein Verbrauch; ","")&amp;IF(BO646=1,"Lose – Fläche geschätzt; ","")&amp;IF(G646&gt;AM646,"Überbestand "&amp;ROUND(G646-AM646,0)&amp;" Stk / CHF "&amp;ROUND((G646-AM646)*F646,0)&amp;"; ","")&amp;IF(AND(BT646=1,BU646&lt;BV646),"MAX &lt; MB+LG; ","")&amp;IF(AND(BZ646&gt;0,BY646*10&gt;BZ646),"zu hoch für Tablar; ","")&amp;IF(AND(BK646=0,OR(BT646=1,V646&lt;&gt;"",S646&lt;&gt;"",T646&lt;&gt;"",W646&lt;&gt;"")),"manuell übersteuert; ","")&amp;IF(AND(BO646=0,Q646=0),"Gebinde unbekannt; ","")&amp;IF(AND(BO646=0,N(T646)&lt;=0,N(P646)&lt;=0),"Menge pro Gebinde fehlt (Ist = 1 Gebinde); ","")&amp;BJ646)</f>
        <v/>
      </c>
      <c r="BC646" s="53" t="n"/>
      <c r="BD646" s="53" t="n"/>
      <c r="BE646" s="61" t="n"/>
      <c r="BF646" s="55" t="n">
        <v>17</v>
      </c>
      <c r="BG646" s="55" t="n">
        <v>0</v>
      </c>
      <c r="BH646" s="54" t="n">
        <v>0.17</v>
      </c>
      <c r="BI646" s="55" t="n">
        <v>0</v>
      </c>
      <c r="BJ646" s="53" t="inlineStr"/>
      <c r="BK646" s="58" t="n">
        <v>0</v>
      </c>
      <c r="BL646" s="58" t="n">
        <v>646</v>
      </c>
      <c r="BM646" s="53">
        <f>IF(S646&lt;&gt;"",UPPER(TRIM(S646)),IF(O646="","LOSE",O646))</f>
        <v/>
      </c>
      <c r="BN646" s="55">
        <f>IF(BM646="LOSE",1,IF(N(T646)&gt;0,T646,IF(N(P646)&gt;0,P646,MAX(1,G646))))</f>
        <v/>
      </c>
      <c r="BO646" s="58">
        <f>IF(BM646="LOSE",1,0)</f>
        <v/>
      </c>
      <c r="BP646" s="64">
        <f>IF(BO646=0,0,IF(N(R646)&gt;0,R646,IFERROR(VLOOKUP(D646,Parameter!$A$35:$C$64,3,0)+0,0)))</f>
        <v/>
      </c>
      <c r="BQ646" s="53">
        <f>IF(V646&lt;&gt;"",V646,U646)</f>
        <v/>
      </c>
      <c r="BR646" s="53">
        <f>IF(BQ646=1,"L1",IF(OR(BQ646=2,BQ646=3),"L23",IF(BQ646="Aussen","Aussen","-")))</f>
        <v/>
      </c>
      <c r="BS646" s="66">
        <f>IF(N(W646)&gt;0,W646,0)</f>
        <v/>
      </c>
      <c r="BT646" s="58">
        <f>IF(ISNUMBER(Z646),1,0)</f>
        <v/>
      </c>
      <c r="BU646" s="55">
        <f>N(Z646)</f>
        <v/>
      </c>
      <c r="BV646" s="55">
        <f>N(L646)+N(M646)</f>
        <v/>
      </c>
      <c r="BW646" s="55">
        <f>ROUNDUP(G646/BN646,0)</f>
        <v/>
      </c>
      <c r="BX646" s="55">
        <f>ROUNDUP(BU646/BN646,0)</f>
        <v/>
      </c>
      <c r="BY646" s="58">
        <f>IF(BO646=1,0,IFERROR(VLOOKUP(BM646,'Gebinde-Kategorie'!$A$5:$G$45,5,0)+0,0))</f>
        <v/>
      </c>
      <c r="BZ646" s="58">
        <f>IFERROR(IF(OR(BQ646=1,BQ646=2,BQ646=3),N(INDEX(Parameter!$I$5:$I$7,BQ646)),0),0)</f>
        <v/>
      </c>
    </row>
    <row r="647">
      <c r="A647" s="53" t="inlineStr">
        <is>
          <t>109069</t>
        </is>
      </c>
      <c r="B647" s="53" t="inlineStr">
        <is>
          <t>Zylinderschraube mit Innensechskant</t>
        </is>
      </c>
      <c r="C647" s="53" t="inlineStr">
        <is>
          <t>F</t>
        </is>
      </c>
      <c r="D647" s="53" t="inlineStr">
        <is>
          <t>KTL</t>
        </is>
      </c>
      <c r="E647" s="53" t="inlineStr">
        <is>
          <t>C</t>
        </is>
      </c>
      <c r="F647" s="54" t="n">
        <v>0.1</v>
      </c>
      <c r="G647" s="55">
        <f>MAX(0,IF(Parameter!$B$20="Jahresanfang 2025 + Export",BG647+BF647,BF647))</f>
        <v/>
      </c>
      <c r="H647" s="55">
        <f>G647*F647</f>
        <v/>
      </c>
      <c r="I647" s="55">
        <f>BI647*Parameter!$B$18</f>
        <v/>
      </c>
      <c r="J647" s="56" t="n">
        <v>183.5</v>
      </c>
      <c r="K647" s="57" t="n">
        <v>0</v>
      </c>
      <c r="L647" s="55" t="n">
        <v>0</v>
      </c>
      <c r="M647" s="55" t="n">
        <v>1</v>
      </c>
      <c r="N647" s="58" t="n">
        <v>21</v>
      </c>
      <c r="O647" s="53" t="inlineStr">
        <is>
          <t>S32</t>
        </is>
      </c>
      <c r="P647" s="55" t="n">
        <v>198</v>
      </c>
      <c r="Q647" s="59">
        <f>IF(BO647=1,0,IFERROR(VLOOKUP(BM647,'Gebinde-Kategorie'!$A$5:$G$45,6,0)+0,0))</f>
        <v/>
      </c>
      <c r="R647" s="60" t="n"/>
      <c r="S647" s="61" t="n"/>
      <c r="T647" s="61" t="n"/>
      <c r="U647" s="53">
        <f>IF(A647="","",IF(IFERROR(VLOOKUP(D647,Parameter!$A$35:$C$64,2,0),"Nein")="2+3",IF(ISNUMBER(SEARCH("grosser Artikel",BJ647)),2,IFERROR(VLOOKUP(BM647,Parameter!$F$35:$G$64,2,0),2)),IF(OR(IFERROR(VLOOKUP(D647,Parameter!$A$35:$C$64,2,0),"Nein")="Nein",IFERROR(VLOOKUP(D647,Parameter!$A$35:$C$64,2,0),"Nein")=""),"-",VLOOKUP(D647,Parameter!$A$35:$C$64,2,0))))</f>
        <v/>
      </c>
      <c r="V647" s="61" t="n"/>
      <c r="W647" s="62" t="n"/>
      <c r="X647" s="55">
        <f>AM647</f>
        <v/>
      </c>
      <c r="Y647" s="55">
        <f>MAX(AM647,G647)</f>
        <v/>
      </c>
      <c r="Z647" s="63" t="n"/>
      <c r="AA647" s="55">
        <f>IF(LEFT(Cockpit!$C$5,1)="A",G647,IF(BT647=1,BU647,IF(LEFT(Cockpit!$C$5,1)="B",AE647,MAX(AE647,G647))))</f>
        <v/>
      </c>
      <c r="AB647" s="55">
        <f>IF(BO647=1,0,ROUNDUP(AA647/BN647,0))</f>
        <v/>
      </c>
      <c r="AC647" s="64">
        <f>IF(BO647=1,IF(AA647&lt;=0,0,BP647*MAX(1,IF(G647&gt;0,AA647/G647,1))),AB647*Q647)</f>
        <v/>
      </c>
      <c r="AD647" s="55">
        <f>AA647*F647</f>
        <v/>
      </c>
      <c r="AE647" s="55">
        <f>ROUNDUP(MAX(I647/IF(BS647&gt;0,BS647,MAX(0.1,N(Cockpit!$C$6))),BV647)/BN647,0)*BN647</f>
        <v/>
      </c>
      <c r="AF647" s="56">
        <f>IF(AC647&gt;0,I647/AC647,-1)</f>
        <v/>
      </c>
      <c r="AG647" s="56">
        <f>IF(AND(OR(BR647="L1",BR647="L23"),AC647&gt;0),SUMIFS($AC$7:$AC$1570,$BR$7:$BR$1570,BR647,$AF$7:$AF$1570,"&gt;"&amp;AF647)+SUMIFS($AC$7:$AC$1570,$BR$7:$BR$1570,BR647,$AF$7:$AF$1570,AF647,$BL$7:$BL$1570,"&lt;="&amp;BL647),"")</f>
        <v/>
      </c>
      <c r="AH647" s="65">
        <f>IF(AG647="",0,MAX(0,MIN(1,(IF(BR647="L1",Parameter!$K$5,Parameter!$K$6+Parameter!$K$7)-(AG647-AC647))/AC647)))</f>
        <v/>
      </c>
      <c r="AI647" s="55">
        <f>IF(LEFT(Cockpit!$I$5,1)="A",G647,IF(BT647=1,BU647,IF(LEFT(Cockpit!$I$5,1)="B",AM647,MAX(AM647,G647))))</f>
        <v/>
      </c>
      <c r="AJ647" s="55">
        <f>IF(BO647=1,0,ROUNDUP(AI647/BN647,0))</f>
        <v/>
      </c>
      <c r="AK647" s="64">
        <f>IF(BO647=1,IF(AI647&lt;=0,0,BP647*MAX(1,IF(G647&gt;0,AI647/G647,1))),AJ647*Q647)</f>
        <v/>
      </c>
      <c r="AL647" s="55">
        <f>AI647*F647</f>
        <v/>
      </c>
      <c r="AM647" s="55">
        <f>ROUNDUP(MAX(I647/IF(BS647&gt;0,BS647,MAX(0.1,N(Cockpit!$I$6))),BV647)/BN647,0)*BN647</f>
        <v/>
      </c>
      <c r="AN647" s="56">
        <f>IF(AK647&gt;0,I647/AK647,-1)</f>
        <v/>
      </c>
      <c r="AO647" s="56">
        <f>IF(AND(OR(BR647="L1",BR647="L23"),AK647&gt;0),SUMIFS($AK$7:$AK$1570,$BR$7:$BR$1570,BR647,$AN$7:$AN$1570,"&gt;"&amp;AN647)+SUMIFS($AK$7:$AK$1570,$BR$7:$BR$1570,BR647,$AN$7:$AN$1570,AN647,$BL$7:$BL$1570,"&lt;="&amp;BL647),"")</f>
        <v/>
      </c>
      <c r="AP647" s="65">
        <f>IF(AO647="",0,MAX(0,MIN(1,(IF(BR647="L1",Parameter!$K$5,Parameter!$K$6+Parameter!$K$7)-(AO647-AK647))/AK647)))</f>
        <v/>
      </c>
      <c r="AQ647" s="55">
        <f>IF(LEFT(Cockpit!$O$5,1)="A",G647,IF(BT647=1,BU647,IF(LEFT(Cockpit!$O$5,1)="B",AU647,MAX(AU647,G647))))</f>
        <v/>
      </c>
      <c r="AR647" s="55">
        <f>IF(BO647=1,0,ROUNDUP(AQ647/BN647,0))</f>
        <v/>
      </c>
      <c r="AS647" s="64">
        <f>IF(BO647=1,IF(AQ647&lt;=0,0,BP647*MAX(1,IF(G647&gt;0,AQ647/G647,1))),AR647*Q647)</f>
        <v/>
      </c>
      <c r="AT647" s="55">
        <f>AQ647*F647</f>
        <v/>
      </c>
      <c r="AU647" s="55">
        <f>ROUNDUP(MAX(I647/IF(BS647&gt;0,BS647,MAX(0.1,N(Cockpit!$O$6))),BV647)/BN647,0)*BN647</f>
        <v/>
      </c>
      <c r="AV647" s="56">
        <f>IF(AS647&gt;0,I647/AS647,-1)</f>
        <v/>
      </c>
      <c r="AW647" s="56">
        <f>IF(AND(OR(BR647="L1",BR647="L23"),AS647&gt;0),SUMIFS($AS$7:$AS$1570,$BR$7:$BR$1570,BR647,$AV$7:$AV$1570,"&gt;"&amp;AV647)+SUMIFS($AS$7:$AS$1570,$BR$7:$BR$1570,BR647,$AV$7:$AV$1570,AV647,$BL$7:$BL$1570,"&lt;="&amp;BL647),"")</f>
        <v/>
      </c>
      <c r="AX647" s="65">
        <f>IF(AW647="",0,MAX(0,MIN(1,(IF(BR647="L1",Parameter!$K$5,Parameter!$K$6+Parameter!$K$7)-(AW647-AS647))/AS647)))</f>
        <v/>
      </c>
      <c r="AY647" s="53">
        <f>IF(AC647&lt;=0,"",IF(BR647="Aussen","Aussenlager",IF(BR647="-","Nicht im Lift",IF(AH647&gt;=1,"Lift",IF(AH647&lt;=0,"Aussenlager","teilweise")))))</f>
        <v/>
      </c>
      <c r="AZ647" s="53">
        <f>IF(AK647&lt;=0,"",IF(BR647="Aussen","Aussenlager",IF(BR647="-","Nicht im Lift",IF(AP647&gt;=1,"Lift",IF(AP647&lt;=0,"Aussenlager","teilweise")))))</f>
        <v/>
      </c>
      <c r="BA647" s="53">
        <f>IF(AS647&lt;=0,"",IF(BR647="Aussen","Aussenlager",IF(BR647="-","Nicht im Lift",IF(AX647&gt;=1,"Lift",IF(AX647&lt;=0,"Aussenlager","teilweise")))))</f>
        <v/>
      </c>
      <c r="BB647" s="53">
        <f>IF(A647="","",IF(BK647=1,"Neu; ","")&amp;IF(AND(BK647=0,BF647&lt;0),"negativer Bestand (Export "&amp;BF647&amp;"); ","")&amp;IF(I647&lt;=0,"Kein Verbrauch; ","")&amp;IF(BO647=1,"Lose – Fläche geschätzt; ","")&amp;IF(G647&gt;AM647,"Überbestand "&amp;ROUND(G647-AM647,0)&amp;" Stk / CHF "&amp;ROUND((G647-AM647)*F647,0)&amp;"; ","")&amp;IF(AND(BT647=1,BU647&lt;BV647),"MAX &lt; MB+LG; ","")&amp;IF(AND(BZ647&gt;0,BY647*10&gt;BZ647),"zu hoch für Tablar; ","")&amp;IF(AND(BK647=0,OR(BT647=1,V647&lt;&gt;"",S647&lt;&gt;"",T647&lt;&gt;"",W647&lt;&gt;"")),"manuell übersteuert; ","")&amp;IF(AND(BO647=0,Q647=0),"Gebinde unbekannt; ","")&amp;IF(AND(BO647=0,N(T647)&lt;=0,N(P647)&lt;=0),"Menge pro Gebinde fehlt (Ist = 1 Gebinde); ","")&amp;BJ647)</f>
        <v/>
      </c>
      <c r="BC647" s="53" t="n"/>
      <c r="BD647" s="53" t="n"/>
      <c r="BE647" s="61" t="n"/>
      <c r="BF647" s="55" t="n">
        <v>1</v>
      </c>
      <c r="BG647" s="55" t="n">
        <v>183</v>
      </c>
      <c r="BH647" s="54" t="n">
        <v>0.1</v>
      </c>
      <c r="BI647" s="55" t="n">
        <v>0</v>
      </c>
      <c r="BJ647" s="53" t="inlineStr">
        <is>
          <t>Neu</t>
        </is>
      </c>
      <c r="BK647" s="58" t="n">
        <v>0</v>
      </c>
      <c r="BL647" s="58" t="n">
        <v>647</v>
      </c>
      <c r="BM647" s="53">
        <f>IF(S647&lt;&gt;"",UPPER(TRIM(S647)),IF(O647="","LOSE",O647))</f>
        <v/>
      </c>
      <c r="BN647" s="55">
        <f>IF(BM647="LOSE",1,IF(N(T647)&gt;0,T647,IF(N(P647)&gt;0,P647,MAX(1,G647))))</f>
        <v/>
      </c>
      <c r="BO647" s="58">
        <f>IF(BM647="LOSE",1,0)</f>
        <v/>
      </c>
      <c r="BP647" s="64">
        <f>IF(BO647=0,0,IF(N(R647)&gt;0,R647,IFERROR(VLOOKUP(D647,Parameter!$A$35:$C$64,3,0)+0,0)))</f>
        <v/>
      </c>
      <c r="BQ647" s="53">
        <f>IF(V647&lt;&gt;"",V647,U647)</f>
        <v/>
      </c>
      <c r="BR647" s="53">
        <f>IF(BQ647=1,"L1",IF(OR(BQ647=2,BQ647=3),"L23",IF(BQ647="Aussen","Aussen","-")))</f>
        <v/>
      </c>
      <c r="BS647" s="66">
        <f>IF(N(W647)&gt;0,W647,0)</f>
        <v/>
      </c>
      <c r="BT647" s="58">
        <f>IF(ISNUMBER(Z647),1,0)</f>
        <v/>
      </c>
      <c r="BU647" s="55">
        <f>N(Z647)</f>
        <v/>
      </c>
      <c r="BV647" s="55">
        <f>N(L647)+N(M647)</f>
        <v/>
      </c>
      <c r="BW647" s="55">
        <f>ROUNDUP(G647/BN647,0)</f>
        <v/>
      </c>
      <c r="BX647" s="55">
        <f>ROUNDUP(BU647/BN647,0)</f>
        <v/>
      </c>
      <c r="BY647" s="58">
        <f>IF(BO647=1,0,IFERROR(VLOOKUP(BM647,'Gebinde-Kategorie'!$A$5:$G$45,5,0)+0,0))</f>
        <v/>
      </c>
      <c r="BZ647" s="58">
        <f>IFERROR(IF(OR(BQ647=1,BQ647=2,BQ647=3),N(INDEX(Parameter!$I$5:$I$7,BQ647)),0),0)</f>
        <v/>
      </c>
    </row>
    <row r="648">
      <c r="A648" s="53" t="inlineStr">
        <is>
          <t>106343</t>
        </is>
      </c>
      <c r="B648" s="53" t="inlineStr">
        <is>
          <t>Sechskantmutter</t>
        </is>
      </c>
      <c r="C648" s="53" t="inlineStr">
        <is>
          <t>F</t>
        </is>
      </c>
      <c r="D648" s="53" t="inlineStr">
        <is>
          <t>KTL</t>
        </is>
      </c>
      <c r="E648" s="53" t="inlineStr">
        <is>
          <t>C</t>
        </is>
      </c>
      <c r="F648" s="54" t="n">
        <v>0.01</v>
      </c>
      <c r="G648" s="55">
        <f>MAX(0,IF(Parameter!$B$20="Jahresanfang 2025 + Export",BG648+BF648,BF648))</f>
        <v/>
      </c>
      <c r="H648" s="55">
        <f>G648*F648</f>
        <v/>
      </c>
      <c r="I648" s="55">
        <f>BI648*Parameter!$B$18</f>
        <v/>
      </c>
      <c r="J648" s="56" t="n">
        <v>940.5</v>
      </c>
      <c r="K648" s="57" t="n">
        <v>0.002126528442317916</v>
      </c>
      <c r="L648" s="55" t="n">
        <v>0</v>
      </c>
      <c r="M648" s="55" t="n">
        <v>1</v>
      </c>
      <c r="N648" s="58" t="n">
        <v>21</v>
      </c>
      <c r="O648" s="53" t="inlineStr">
        <is>
          <t>S32</t>
        </is>
      </c>
      <c r="P648" s="55" t="n">
        <v>977</v>
      </c>
      <c r="Q648" s="59">
        <f>IF(BO648=1,0,IFERROR(VLOOKUP(BM648,'Gebinde-Kategorie'!$A$5:$G$45,6,0)+0,0))</f>
        <v/>
      </c>
      <c r="R648" s="60" t="n"/>
      <c r="S648" s="61" t="n"/>
      <c r="T648" s="61" t="n"/>
      <c r="U648" s="53">
        <f>IF(A648="","",IF(IFERROR(VLOOKUP(D648,Parameter!$A$35:$C$64,2,0),"Nein")="2+3",IF(ISNUMBER(SEARCH("grosser Artikel",BJ648)),2,IFERROR(VLOOKUP(BM648,Parameter!$F$35:$G$64,2,0),2)),IF(OR(IFERROR(VLOOKUP(D648,Parameter!$A$35:$C$64,2,0),"Nein")="Nein",IFERROR(VLOOKUP(D648,Parameter!$A$35:$C$64,2,0),"Nein")=""),"-",VLOOKUP(D648,Parameter!$A$35:$C$64,2,0))))</f>
        <v/>
      </c>
      <c r="V648" s="61" t="n"/>
      <c r="W648" s="62" t="n"/>
      <c r="X648" s="55">
        <f>AM648</f>
        <v/>
      </c>
      <c r="Y648" s="55">
        <f>MAX(AM648,G648)</f>
        <v/>
      </c>
      <c r="Z648" s="63" t="n"/>
      <c r="AA648" s="55">
        <f>IF(LEFT(Cockpit!$C$5,1)="A",G648,IF(BT648=1,BU648,IF(LEFT(Cockpit!$C$5,1)="B",AE648,MAX(AE648,G648))))</f>
        <v/>
      </c>
      <c r="AB648" s="55">
        <f>IF(BO648=1,0,ROUNDUP(AA648/BN648,0))</f>
        <v/>
      </c>
      <c r="AC648" s="64">
        <f>IF(BO648=1,IF(AA648&lt;=0,0,BP648*MAX(1,IF(G648&gt;0,AA648/G648,1))),AB648*Q648)</f>
        <v/>
      </c>
      <c r="AD648" s="55">
        <f>AA648*F648</f>
        <v/>
      </c>
      <c r="AE648" s="55">
        <f>ROUNDUP(MAX(I648/IF(BS648&gt;0,BS648,MAX(0.1,N(Cockpit!$C$6))),BV648)/BN648,0)*BN648</f>
        <v/>
      </c>
      <c r="AF648" s="56">
        <f>IF(AC648&gt;0,I648/AC648,-1)</f>
        <v/>
      </c>
      <c r="AG648" s="56">
        <f>IF(AND(OR(BR648="L1",BR648="L23"),AC648&gt;0),SUMIFS($AC$7:$AC$1570,$BR$7:$BR$1570,BR648,$AF$7:$AF$1570,"&gt;"&amp;AF648)+SUMIFS($AC$7:$AC$1570,$BR$7:$BR$1570,BR648,$AF$7:$AF$1570,AF648,$BL$7:$BL$1570,"&lt;="&amp;BL648),"")</f>
        <v/>
      </c>
      <c r="AH648" s="65">
        <f>IF(AG648="",0,MAX(0,MIN(1,(IF(BR648="L1",Parameter!$K$5,Parameter!$K$6+Parameter!$K$7)-(AG648-AC648))/AC648)))</f>
        <v/>
      </c>
      <c r="AI648" s="55">
        <f>IF(LEFT(Cockpit!$I$5,1)="A",G648,IF(BT648=1,BU648,IF(LEFT(Cockpit!$I$5,1)="B",AM648,MAX(AM648,G648))))</f>
        <v/>
      </c>
      <c r="AJ648" s="55">
        <f>IF(BO648=1,0,ROUNDUP(AI648/BN648,0))</f>
        <v/>
      </c>
      <c r="AK648" s="64">
        <f>IF(BO648=1,IF(AI648&lt;=0,0,BP648*MAX(1,IF(G648&gt;0,AI648/G648,1))),AJ648*Q648)</f>
        <v/>
      </c>
      <c r="AL648" s="55">
        <f>AI648*F648</f>
        <v/>
      </c>
      <c r="AM648" s="55">
        <f>ROUNDUP(MAX(I648/IF(BS648&gt;0,BS648,MAX(0.1,N(Cockpit!$I$6))),BV648)/BN648,0)*BN648</f>
        <v/>
      </c>
      <c r="AN648" s="56">
        <f>IF(AK648&gt;0,I648/AK648,-1)</f>
        <v/>
      </c>
      <c r="AO648" s="56">
        <f>IF(AND(OR(BR648="L1",BR648="L23"),AK648&gt;0),SUMIFS($AK$7:$AK$1570,$BR$7:$BR$1570,BR648,$AN$7:$AN$1570,"&gt;"&amp;AN648)+SUMIFS($AK$7:$AK$1570,$BR$7:$BR$1570,BR648,$AN$7:$AN$1570,AN648,$BL$7:$BL$1570,"&lt;="&amp;BL648),"")</f>
        <v/>
      </c>
      <c r="AP648" s="65">
        <f>IF(AO648="",0,MAX(0,MIN(1,(IF(BR648="L1",Parameter!$K$5,Parameter!$K$6+Parameter!$K$7)-(AO648-AK648))/AK648)))</f>
        <v/>
      </c>
      <c r="AQ648" s="55">
        <f>IF(LEFT(Cockpit!$O$5,1)="A",G648,IF(BT648=1,BU648,IF(LEFT(Cockpit!$O$5,1)="B",AU648,MAX(AU648,G648))))</f>
        <v/>
      </c>
      <c r="AR648" s="55">
        <f>IF(BO648=1,0,ROUNDUP(AQ648/BN648,0))</f>
        <v/>
      </c>
      <c r="AS648" s="64">
        <f>IF(BO648=1,IF(AQ648&lt;=0,0,BP648*MAX(1,IF(G648&gt;0,AQ648/G648,1))),AR648*Q648)</f>
        <v/>
      </c>
      <c r="AT648" s="55">
        <f>AQ648*F648</f>
        <v/>
      </c>
      <c r="AU648" s="55">
        <f>ROUNDUP(MAX(I648/IF(BS648&gt;0,BS648,MAX(0.1,N(Cockpit!$O$6))),BV648)/BN648,0)*BN648</f>
        <v/>
      </c>
      <c r="AV648" s="56">
        <f>IF(AS648&gt;0,I648/AS648,-1)</f>
        <v/>
      </c>
      <c r="AW648" s="56">
        <f>IF(AND(OR(BR648="L1",BR648="L23"),AS648&gt;0),SUMIFS($AS$7:$AS$1570,$BR$7:$BR$1570,BR648,$AV$7:$AV$1570,"&gt;"&amp;AV648)+SUMIFS($AS$7:$AS$1570,$BR$7:$BR$1570,BR648,$AV$7:$AV$1570,AV648,$BL$7:$BL$1570,"&lt;="&amp;BL648),"")</f>
        <v/>
      </c>
      <c r="AX648" s="65">
        <f>IF(AW648="",0,MAX(0,MIN(1,(IF(BR648="L1",Parameter!$K$5,Parameter!$K$6+Parameter!$K$7)-(AW648-AS648))/AS648)))</f>
        <v/>
      </c>
      <c r="AY648" s="53">
        <f>IF(AC648&lt;=0,"",IF(BR648="Aussen","Aussenlager",IF(BR648="-","Nicht im Lift",IF(AH648&gt;=1,"Lift",IF(AH648&lt;=0,"Aussenlager","teilweise")))))</f>
        <v/>
      </c>
      <c r="AZ648" s="53">
        <f>IF(AK648&lt;=0,"",IF(BR648="Aussen","Aussenlager",IF(BR648="-","Nicht im Lift",IF(AP648&gt;=1,"Lift",IF(AP648&lt;=0,"Aussenlager","teilweise")))))</f>
        <v/>
      </c>
      <c r="BA648" s="53">
        <f>IF(AS648&lt;=0,"",IF(BR648="Aussen","Aussenlager",IF(BR648="-","Nicht im Lift",IF(AX648&gt;=1,"Lift",IF(AX648&lt;=0,"Aussenlager","teilweise")))))</f>
        <v/>
      </c>
      <c r="BB648" s="53">
        <f>IF(A648="","",IF(BK648=1,"Neu; ","")&amp;IF(AND(BK648=0,BF648&lt;0),"negativer Bestand (Export "&amp;BF648&amp;"); ","")&amp;IF(I648&lt;=0,"Kein Verbrauch; ","")&amp;IF(BO648=1,"Lose – Fläche geschätzt; ","")&amp;IF(G648&gt;AM648,"Überbestand "&amp;ROUND(G648-AM648,0)&amp;" Stk / CHF "&amp;ROUND((G648-AM648)*F648,0)&amp;"; ","")&amp;IF(AND(BT648=1,BU648&lt;BV648),"MAX &lt; MB+LG; ","")&amp;IF(AND(BZ648&gt;0,BY648*10&gt;BZ648),"zu hoch für Tablar; ","")&amp;IF(AND(BK648=0,OR(BT648=1,V648&lt;&gt;"",S648&lt;&gt;"",T648&lt;&gt;"",W648&lt;&gt;"")),"manuell übersteuert; ","")&amp;IF(AND(BO648=0,Q648=0),"Gebinde unbekannt; ","")&amp;IF(AND(BO648=0,N(T648)&lt;=0,N(P648)&lt;=0),"Menge pro Gebinde fehlt (Ist = 1 Gebinde); ","")&amp;BJ648)</f>
        <v/>
      </c>
      <c r="BC648" s="53" t="n"/>
      <c r="BD648" s="53" t="n"/>
      <c r="BE648" s="61" t="n"/>
      <c r="BF648" s="55" t="n">
        <v>3</v>
      </c>
      <c r="BG648" s="55" t="n">
        <v>939</v>
      </c>
      <c r="BH648" s="54" t="n">
        <v>0.03</v>
      </c>
      <c r="BI648" s="55" t="n">
        <v>2</v>
      </c>
      <c r="BJ648" s="53" t="inlineStr">
        <is>
          <t>Überbestand</t>
        </is>
      </c>
      <c r="BK648" s="58" t="n">
        <v>0</v>
      </c>
      <c r="BL648" s="58" t="n">
        <v>648</v>
      </c>
      <c r="BM648" s="53">
        <f>IF(S648&lt;&gt;"",UPPER(TRIM(S648)),IF(O648="","LOSE",O648))</f>
        <v/>
      </c>
      <c r="BN648" s="55">
        <f>IF(BM648="LOSE",1,IF(N(T648)&gt;0,T648,IF(N(P648)&gt;0,P648,MAX(1,G648))))</f>
        <v/>
      </c>
      <c r="BO648" s="58">
        <f>IF(BM648="LOSE",1,0)</f>
        <v/>
      </c>
      <c r="BP648" s="64">
        <f>IF(BO648=0,0,IF(N(R648)&gt;0,R648,IFERROR(VLOOKUP(D648,Parameter!$A$35:$C$64,3,0)+0,0)))</f>
        <v/>
      </c>
      <c r="BQ648" s="53">
        <f>IF(V648&lt;&gt;"",V648,U648)</f>
        <v/>
      </c>
      <c r="BR648" s="53">
        <f>IF(BQ648=1,"L1",IF(OR(BQ648=2,BQ648=3),"L23",IF(BQ648="Aussen","Aussen","-")))</f>
        <v/>
      </c>
      <c r="BS648" s="66">
        <f>IF(N(W648)&gt;0,W648,0)</f>
        <v/>
      </c>
      <c r="BT648" s="58">
        <f>IF(ISNUMBER(Z648),1,0)</f>
        <v/>
      </c>
      <c r="BU648" s="55">
        <f>N(Z648)</f>
        <v/>
      </c>
      <c r="BV648" s="55">
        <f>N(L648)+N(M648)</f>
        <v/>
      </c>
      <c r="BW648" s="55">
        <f>ROUNDUP(G648/BN648,0)</f>
        <v/>
      </c>
      <c r="BX648" s="55">
        <f>ROUNDUP(BU648/BN648,0)</f>
        <v/>
      </c>
      <c r="BY648" s="58">
        <f>IF(BO648=1,0,IFERROR(VLOOKUP(BM648,'Gebinde-Kategorie'!$A$5:$G$45,5,0)+0,0))</f>
        <v/>
      </c>
      <c r="BZ648" s="58">
        <f>IFERROR(IF(OR(BQ648=1,BQ648=2,BQ648=3),N(INDEX(Parameter!$I$5:$I$7,BQ648)),0),0)</f>
        <v/>
      </c>
    </row>
    <row r="649">
      <c r="A649" s="53" t="inlineStr">
        <is>
          <t>109937</t>
        </is>
      </c>
      <c r="B649" s="53" t="inlineStr">
        <is>
          <t>Unterlagsscheibe</t>
        </is>
      </c>
      <c r="C649" s="53" t="inlineStr">
        <is>
          <t>F</t>
        </is>
      </c>
      <c r="D649" s="53" t="inlineStr">
        <is>
          <t>KTL</t>
        </is>
      </c>
      <c r="E649" s="53" t="inlineStr">
        <is>
          <t>C</t>
        </is>
      </c>
      <c r="F649" s="54" t="n">
        <v>0.01</v>
      </c>
      <c r="G649" s="55">
        <f>MAX(0,IF(Parameter!$B$20="Jahresanfang 2025 + Export",BG649+BF649,BF649))</f>
        <v/>
      </c>
      <c r="H649" s="55">
        <f>G649*F649</f>
        <v/>
      </c>
      <c r="I649" s="55">
        <f>BI649*Parameter!$B$18</f>
        <v/>
      </c>
      <c r="J649" s="56" t="n">
        <v>276.5</v>
      </c>
      <c r="K649" s="57" t="n">
        <v>0</v>
      </c>
      <c r="L649" s="55" t="n">
        <v>0</v>
      </c>
      <c r="M649" s="55" t="n">
        <v>1</v>
      </c>
      <c r="N649" s="58" t="n">
        <v>14</v>
      </c>
      <c r="O649" s="53" t="inlineStr">
        <is>
          <t>S21</t>
        </is>
      </c>
      <c r="P649" s="55" t="n">
        <v>280</v>
      </c>
      <c r="Q649" s="59">
        <f>IF(BO649=1,0,IFERROR(VLOOKUP(BM649,'Gebinde-Kategorie'!$A$5:$G$45,6,0)+0,0))</f>
        <v/>
      </c>
      <c r="R649" s="60" t="n"/>
      <c r="S649" s="61" t="n"/>
      <c r="T649" s="61" t="n"/>
      <c r="U649" s="53">
        <f>IF(A649="","",IF(IFERROR(VLOOKUP(D649,Parameter!$A$35:$C$64,2,0),"Nein")="2+3",IF(ISNUMBER(SEARCH("grosser Artikel",BJ649)),2,IFERROR(VLOOKUP(BM649,Parameter!$F$35:$G$64,2,0),2)),IF(OR(IFERROR(VLOOKUP(D649,Parameter!$A$35:$C$64,2,0),"Nein")="Nein",IFERROR(VLOOKUP(D649,Parameter!$A$35:$C$64,2,0),"Nein")=""),"-",VLOOKUP(D649,Parameter!$A$35:$C$64,2,0))))</f>
        <v/>
      </c>
      <c r="V649" s="61" t="n"/>
      <c r="W649" s="62" t="n"/>
      <c r="X649" s="55">
        <f>AM649</f>
        <v/>
      </c>
      <c r="Y649" s="55">
        <f>MAX(AM649,G649)</f>
        <v/>
      </c>
      <c r="Z649" s="63" t="n"/>
      <c r="AA649" s="55">
        <f>IF(LEFT(Cockpit!$C$5,1)="A",G649,IF(BT649=1,BU649,IF(LEFT(Cockpit!$C$5,1)="B",AE649,MAX(AE649,G649))))</f>
        <v/>
      </c>
      <c r="AB649" s="55">
        <f>IF(BO649=1,0,ROUNDUP(AA649/BN649,0))</f>
        <v/>
      </c>
      <c r="AC649" s="64">
        <f>IF(BO649=1,IF(AA649&lt;=0,0,BP649*MAX(1,IF(G649&gt;0,AA649/G649,1))),AB649*Q649)</f>
        <v/>
      </c>
      <c r="AD649" s="55">
        <f>AA649*F649</f>
        <v/>
      </c>
      <c r="AE649" s="55">
        <f>ROUNDUP(MAX(I649/IF(BS649&gt;0,BS649,MAX(0.1,N(Cockpit!$C$6))),BV649)/BN649,0)*BN649</f>
        <v/>
      </c>
      <c r="AF649" s="56">
        <f>IF(AC649&gt;0,I649/AC649,-1)</f>
        <v/>
      </c>
      <c r="AG649" s="56">
        <f>IF(AND(OR(BR649="L1",BR649="L23"),AC649&gt;0),SUMIFS($AC$7:$AC$1570,$BR$7:$BR$1570,BR649,$AF$7:$AF$1570,"&gt;"&amp;AF649)+SUMIFS($AC$7:$AC$1570,$BR$7:$BR$1570,BR649,$AF$7:$AF$1570,AF649,$BL$7:$BL$1570,"&lt;="&amp;BL649),"")</f>
        <v/>
      </c>
      <c r="AH649" s="65">
        <f>IF(AG649="",0,MAX(0,MIN(1,(IF(BR649="L1",Parameter!$K$5,Parameter!$K$6+Parameter!$K$7)-(AG649-AC649))/AC649)))</f>
        <v/>
      </c>
      <c r="AI649" s="55">
        <f>IF(LEFT(Cockpit!$I$5,1)="A",G649,IF(BT649=1,BU649,IF(LEFT(Cockpit!$I$5,1)="B",AM649,MAX(AM649,G649))))</f>
        <v/>
      </c>
      <c r="AJ649" s="55">
        <f>IF(BO649=1,0,ROUNDUP(AI649/BN649,0))</f>
        <v/>
      </c>
      <c r="AK649" s="64">
        <f>IF(BO649=1,IF(AI649&lt;=0,0,BP649*MAX(1,IF(G649&gt;0,AI649/G649,1))),AJ649*Q649)</f>
        <v/>
      </c>
      <c r="AL649" s="55">
        <f>AI649*F649</f>
        <v/>
      </c>
      <c r="AM649" s="55">
        <f>ROUNDUP(MAX(I649/IF(BS649&gt;0,BS649,MAX(0.1,N(Cockpit!$I$6))),BV649)/BN649,0)*BN649</f>
        <v/>
      </c>
      <c r="AN649" s="56">
        <f>IF(AK649&gt;0,I649/AK649,-1)</f>
        <v/>
      </c>
      <c r="AO649" s="56">
        <f>IF(AND(OR(BR649="L1",BR649="L23"),AK649&gt;0),SUMIFS($AK$7:$AK$1570,$BR$7:$BR$1570,BR649,$AN$7:$AN$1570,"&gt;"&amp;AN649)+SUMIFS($AK$7:$AK$1570,$BR$7:$BR$1570,BR649,$AN$7:$AN$1570,AN649,$BL$7:$BL$1570,"&lt;="&amp;BL649),"")</f>
        <v/>
      </c>
      <c r="AP649" s="65">
        <f>IF(AO649="",0,MAX(0,MIN(1,(IF(BR649="L1",Parameter!$K$5,Parameter!$K$6+Parameter!$K$7)-(AO649-AK649))/AK649)))</f>
        <v/>
      </c>
      <c r="AQ649" s="55">
        <f>IF(LEFT(Cockpit!$O$5,1)="A",G649,IF(BT649=1,BU649,IF(LEFT(Cockpit!$O$5,1)="B",AU649,MAX(AU649,G649))))</f>
        <v/>
      </c>
      <c r="AR649" s="55">
        <f>IF(BO649=1,0,ROUNDUP(AQ649/BN649,0))</f>
        <v/>
      </c>
      <c r="AS649" s="64">
        <f>IF(BO649=1,IF(AQ649&lt;=0,0,BP649*MAX(1,IF(G649&gt;0,AQ649/G649,1))),AR649*Q649)</f>
        <v/>
      </c>
      <c r="AT649" s="55">
        <f>AQ649*F649</f>
        <v/>
      </c>
      <c r="AU649" s="55">
        <f>ROUNDUP(MAX(I649/IF(BS649&gt;0,BS649,MAX(0.1,N(Cockpit!$O$6))),BV649)/BN649,0)*BN649</f>
        <v/>
      </c>
      <c r="AV649" s="56">
        <f>IF(AS649&gt;0,I649/AS649,-1)</f>
        <v/>
      </c>
      <c r="AW649" s="56">
        <f>IF(AND(OR(BR649="L1",BR649="L23"),AS649&gt;0),SUMIFS($AS$7:$AS$1570,$BR$7:$BR$1570,BR649,$AV$7:$AV$1570,"&gt;"&amp;AV649)+SUMIFS($AS$7:$AS$1570,$BR$7:$BR$1570,BR649,$AV$7:$AV$1570,AV649,$BL$7:$BL$1570,"&lt;="&amp;BL649),"")</f>
        <v/>
      </c>
      <c r="AX649" s="65">
        <f>IF(AW649="",0,MAX(0,MIN(1,(IF(BR649="L1",Parameter!$K$5,Parameter!$K$6+Parameter!$K$7)-(AW649-AS649))/AS649)))</f>
        <v/>
      </c>
      <c r="AY649" s="53">
        <f>IF(AC649&lt;=0,"",IF(BR649="Aussen","Aussenlager",IF(BR649="-","Nicht im Lift",IF(AH649&gt;=1,"Lift",IF(AH649&lt;=0,"Aussenlager","teilweise")))))</f>
        <v/>
      </c>
      <c r="AZ649" s="53">
        <f>IF(AK649&lt;=0,"",IF(BR649="Aussen","Aussenlager",IF(BR649="-","Nicht im Lift",IF(AP649&gt;=1,"Lift",IF(AP649&lt;=0,"Aussenlager","teilweise")))))</f>
        <v/>
      </c>
      <c r="BA649" s="53">
        <f>IF(AS649&lt;=0,"",IF(BR649="Aussen","Aussenlager",IF(BR649="-","Nicht im Lift",IF(AX649&gt;=1,"Lift",IF(AX649&lt;=0,"Aussenlager","teilweise")))))</f>
        <v/>
      </c>
      <c r="BB649" s="53">
        <f>IF(A649="","",IF(BK649=1,"Neu; ","")&amp;IF(AND(BK649=0,BF649&lt;0),"negativer Bestand (Export "&amp;BF649&amp;"); ","")&amp;IF(I649&lt;=0,"Kein Verbrauch; ","")&amp;IF(BO649=1,"Lose – Fläche geschätzt; ","")&amp;IF(G649&gt;AM649,"Überbestand "&amp;ROUND(G649-AM649,0)&amp;" Stk / CHF "&amp;ROUND((G649-AM649)*F649,0)&amp;"; ","")&amp;IF(AND(BT649=1,BU649&lt;BV649),"MAX &lt; MB+LG; ","")&amp;IF(AND(BZ649&gt;0,BY649*10&gt;BZ649),"zu hoch für Tablar; ","")&amp;IF(AND(BK649=0,OR(BT649=1,V649&lt;&gt;"",S649&lt;&gt;"",T649&lt;&gt;"",W649&lt;&gt;"")),"manuell übersteuert; ","")&amp;IF(AND(BO649=0,Q649=0),"Gebinde unbekannt; ","")&amp;IF(AND(BO649=0,N(T649)&lt;=0,N(P649)&lt;=0),"Menge pro Gebinde fehlt (Ist = 1 Gebinde); ","")&amp;BJ649)</f>
        <v/>
      </c>
      <c r="BC649" s="53" t="n"/>
      <c r="BD649" s="53" t="n"/>
      <c r="BE649" s="61" t="n"/>
      <c r="BF649" s="55" t="n">
        <v>3</v>
      </c>
      <c r="BG649" s="55" t="n">
        <v>275</v>
      </c>
      <c r="BH649" s="54" t="n">
        <v>0.03</v>
      </c>
      <c r="BI649" s="55" t="n">
        <v>0</v>
      </c>
      <c r="BJ649" s="53" t="inlineStr"/>
      <c r="BK649" s="58" t="n">
        <v>0</v>
      </c>
      <c r="BL649" s="58" t="n">
        <v>649</v>
      </c>
      <c r="BM649" s="53">
        <f>IF(S649&lt;&gt;"",UPPER(TRIM(S649)),IF(O649="","LOSE",O649))</f>
        <v/>
      </c>
      <c r="BN649" s="55">
        <f>IF(BM649="LOSE",1,IF(N(T649)&gt;0,T649,IF(N(P649)&gt;0,P649,MAX(1,G649))))</f>
        <v/>
      </c>
      <c r="BO649" s="58">
        <f>IF(BM649="LOSE",1,0)</f>
        <v/>
      </c>
      <c r="BP649" s="64">
        <f>IF(BO649=0,0,IF(N(R649)&gt;0,R649,IFERROR(VLOOKUP(D649,Parameter!$A$35:$C$64,3,0)+0,0)))</f>
        <v/>
      </c>
      <c r="BQ649" s="53">
        <f>IF(V649&lt;&gt;"",V649,U649)</f>
        <v/>
      </c>
      <c r="BR649" s="53">
        <f>IF(BQ649=1,"L1",IF(OR(BQ649=2,BQ649=3),"L23",IF(BQ649="Aussen","Aussen","-")))</f>
        <v/>
      </c>
      <c r="BS649" s="66">
        <f>IF(N(W649)&gt;0,W649,0)</f>
        <v/>
      </c>
      <c r="BT649" s="58">
        <f>IF(ISNUMBER(Z649),1,0)</f>
        <v/>
      </c>
      <c r="BU649" s="55">
        <f>N(Z649)</f>
        <v/>
      </c>
      <c r="BV649" s="55">
        <f>N(L649)+N(M649)</f>
        <v/>
      </c>
      <c r="BW649" s="55">
        <f>ROUNDUP(G649/BN649,0)</f>
        <v/>
      </c>
      <c r="BX649" s="55">
        <f>ROUNDUP(BU649/BN649,0)</f>
        <v/>
      </c>
      <c r="BY649" s="58">
        <f>IF(BO649=1,0,IFERROR(VLOOKUP(BM649,'Gebinde-Kategorie'!$A$5:$G$45,5,0)+0,0))</f>
        <v/>
      </c>
      <c r="BZ649" s="58">
        <f>IFERROR(IF(OR(BQ649=1,BQ649=2,BQ649=3),N(INDEX(Parameter!$I$5:$I$7,BQ649)),0),0)</f>
        <v/>
      </c>
    </row>
    <row r="650">
      <c r="A650" s="53" t="inlineStr">
        <is>
          <t>102477</t>
        </is>
      </c>
      <c r="B650" s="53" t="inlineStr">
        <is>
          <t>Sechskantmutter</t>
        </is>
      </c>
      <c r="C650" s="53" t="inlineStr">
        <is>
          <t>F</t>
        </is>
      </c>
      <c r="D650" s="53" t="inlineStr">
        <is>
          <t>KTL</t>
        </is>
      </c>
      <c r="E650" s="53" t="inlineStr">
        <is>
          <t>C</t>
        </is>
      </c>
      <c r="F650" s="54" t="n">
        <v>0.02</v>
      </c>
      <c r="G650" s="55">
        <f>MAX(0,IF(Parameter!$B$20="Jahresanfang 2025 + Export",BG650+BF650,BF650))</f>
        <v/>
      </c>
      <c r="H650" s="55">
        <f>G650*F650</f>
        <v/>
      </c>
      <c r="I650" s="55">
        <f>BI650*Parameter!$B$18</f>
        <v/>
      </c>
      <c r="J650" s="56" t="n">
        <v>469.5</v>
      </c>
      <c r="K650" s="57" t="n">
        <v>0</v>
      </c>
      <c r="L650" s="55" t="n">
        <v>0</v>
      </c>
      <c r="M650" s="55" t="n">
        <v>1</v>
      </c>
      <c r="N650" s="58" t="n">
        <v>14</v>
      </c>
      <c r="O650" s="53" t="inlineStr">
        <is>
          <t>S22</t>
        </is>
      </c>
      <c r="P650" s="55" t="n">
        <v>300</v>
      </c>
      <c r="Q650" s="59">
        <f>IF(BO650=1,0,IFERROR(VLOOKUP(BM650,'Gebinde-Kategorie'!$A$5:$G$45,6,0)+0,0))</f>
        <v/>
      </c>
      <c r="R650" s="60" t="n"/>
      <c r="S650" s="61" t="n"/>
      <c r="T650" s="61" t="n"/>
      <c r="U650" s="53">
        <f>IF(A650="","",IF(IFERROR(VLOOKUP(D650,Parameter!$A$35:$C$64,2,0),"Nein")="2+3",IF(ISNUMBER(SEARCH("grosser Artikel",BJ650)),2,IFERROR(VLOOKUP(BM650,Parameter!$F$35:$G$64,2,0),2)),IF(OR(IFERROR(VLOOKUP(D650,Parameter!$A$35:$C$64,2,0),"Nein")="Nein",IFERROR(VLOOKUP(D650,Parameter!$A$35:$C$64,2,0),"Nein")=""),"-",VLOOKUP(D650,Parameter!$A$35:$C$64,2,0))))</f>
        <v/>
      </c>
      <c r="V650" s="61" t="n"/>
      <c r="W650" s="62" t="n"/>
      <c r="X650" s="55">
        <f>AM650</f>
        <v/>
      </c>
      <c r="Y650" s="55">
        <f>MAX(AM650,G650)</f>
        <v/>
      </c>
      <c r="Z650" s="63" t="n"/>
      <c r="AA650" s="55">
        <f>IF(LEFT(Cockpit!$C$5,1)="A",G650,IF(BT650=1,BU650,IF(LEFT(Cockpit!$C$5,1)="B",AE650,MAX(AE650,G650))))</f>
        <v/>
      </c>
      <c r="AB650" s="55">
        <f>IF(BO650=1,0,ROUNDUP(AA650/BN650,0))</f>
        <v/>
      </c>
      <c r="AC650" s="64">
        <f>IF(BO650=1,IF(AA650&lt;=0,0,BP650*MAX(1,IF(G650&gt;0,AA650/G650,1))),AB650*Q650)</f>
        <v/>
      </c>
      <c r="AD650" s="55">
        <f>AA650*F650</f>
        <v/>
      </c>
      <c r="AE650" s="55">
        <f>ROUNDUP(MAX(I650/IF(BS650&gt;0,BS650,MAX(0.1,N(Cockpit!$C$6))),BV650)/BN650,0)*BN650</f>
        <v/>
      </c>
      <c r="AF650" s="56">
        <f>IF(AC650&gt;0,I650/AC650,-1)</f>
        <v/>
      </c>
      <c r="AG650" s="56">
        <f>IF(AND(OR(BR650="L1",BR650="L23"),AC650&gt;0),SUMIFS($AC$7:$AC$1570,$BR$7:$BR$1570,BR650,$AF$7:$AF$1570,"&gt;"&amp;AF650)+SUMIFS($AC$7:$AC$1570,$BR$7:$BR$1570,BR650,$AF$7:$AF$1570,AF650,$BL$7:$BL$1570,"&lt;="&amp;BL650),"")</f>
        <v/>
      </c>
      <c r="AH650" s="65">
        <f>IF(AG650="",0,MAX(0,MIN(1,(IF(BR650="L1",Parameter!$K$5,Parameter!$K$6+Parameter!$K$7)-(AG650-AC650))/AC650)))</f>
        <v/>
      </c>
      <c r="AI650" s="55">
        <f>IF(LEFT(Cockpit!$I$5,1)="A",G650,IF(BT650=1,BU650,IF(LEFT(Cockpit!$I$5,1)="B",AM650,MAX(AM650,G650))))</f>
        <v/>
      </c>
      <c r="AJ650" s="55">
        <f>IF(BO650=1,0,ROUNDUP(AI650/BN650,0))</f>
        <v/>
      </c>
      <c r="AK650" s="64">
        <f>IF(BO650=1,IF(AI650&lt;=0,0,BP650*MAX(1,IF(G650&gt;0,AI650/G650,1))),AJ650*Q650)</f>
        <v/>
      </c>
      <c r="AL650" s="55">
        <f>AI650*F650</f>
        <v/>
      </c>
      <c r="AM650" s="55">
        <f>ROUNDUP(MAX(I650/IF(BS650&gt;0,BS650,MAX(0.1,N(Cockpit!$I$6))),BV650)/BN650,0)*BN650</f>
        <v/>
      </c>
      <c r="AN650" s="56">
        <f>IF(AK650&gt;0,I650/AK650,-1)</f>
        <v/>
      </c>
      <c r="AO650" s="56">
        <f>IF(AND(OR(BR650="L1",BR650="L23"),AK650&gt;0),SUMIFS($AK$7:$AK$1570,$BR$7:$BR$1570,BR650,$AN$7:$AN$1570,"&gt;"&amp;AN650)+SUMIFS($AK$7:$AK$1570,$BR$7:$BR$1570,BR650,$AN$7:$AN$1570,AN650,$BL$7:$BL$1570,"&lt;="&amp;BL650),"")</f>
        <v/>
      </c>
      <c r="AP650" s="65">
        <f>IF(AO650="",0,MAX(0,MIN(1,(IF(BR650="L1",Parameter!$K$5,Parameter!$K$6+Parameter!$K$7)-(AO650-AK650))/AK650)))</f>
        <v/>
      </c>
      <c r="AQ650" s="55">
        <f>IF(LEFT(Cockpit!$O$5,1)="A",G650,IF(BT650=1,BU650,IF(LEFT(Cockpit!$O$5,1)="B",AU650,MAX(AU650,G650))))</f>
        <v/>
      </c>
      <c r="AR650" s="55">
        <f>IF(BO650=1,0,ROUNDUP(AQ650/BN650,0))</f>
        <v/>
      </c>
      <c r="AS650" s="64">
        <f>IF(BO650=1,IF(AQ650&lt;=0,0,BP650*MAX(1,IF(G650&gt;0,AQ650/G650,1))),AR650*Q650)</f>
        <v/>
      </c>
      <c r="AT650" s="55">
        <f>AQ650*F650</f>
        <v/>
      </c>
      <c r="AU650" s="55">
        <f>ROUNDUP(MAX(I650/IF(BS650&gt;0,BS650,MAX(0.1,N(Cockpit!$O$6))),BV650)/BN650,0)*BN650</f>
        <v/>
      </c>
      <c r="AV650" s="56">
        <f>IF(AS650&gt;0,I650/AS650,-1)</f>
        <v/>
      </c>
      <c r="AW650" s="56">
        <f>IF(AND(OR(BR650="L1",BR650="L23"),AS650&gt;0),SUMIFS($AS$7:$AS$1570,$BR$7:$BR$1570,BR650,$AV$7:$AV$1570,"&gt;"&amp;AV650)+SUMIFS($AS$7:$AS$1570,$BR$7:$BR$1570,BR650,$AV$7:$AV$1570,AV650,$BL$7:$BL$1570,"&lt;="&amp;BL650),"")</f>
        <v/>
      </c>
      <c r="AX650" s="65">
        <f>IF(AW650="",0,MAX(0,MIN(1,(IF(BR650="L1",Parameter!$K$5,Parameter!$K$6+Parameter!$K$7)-(AW650-AS650))/AS650)))</f>
        <v/>
      </c>
      <c r="AY650" s="53">
        <f>IF(AC650&lt;=0,"",IF(BR650="Aussen","Aussenlager",IF(BR650="-","Nicht im Lift",IF(AH650&gt;=1,"Lift",IF(AH650&lt;=0,"Aussenlager","teilweise")))))</f>
        <v/>
      </c>
      <c r="AZ650" s="53">
        <f>IF(AK650&lt;=0,"",IF(BR650="Aussen","Aussenlager",IF(BR650="-","Nicht im Lift",IF(AP650&gt;=1,"Lift",IF(AP650&lt;=0,"Aussenlager","teilweise")))))</f>
        <v/>
      </c>
      <c r="BA650" s="53">
        <f>IF(AS650&lt;=0,"",IF(BR650="Aussen","Aussenlager",IF(BR650="-","Nicht im Lift",IF(AX650&gt;=1,"Lift",IF(AX650&lt;=0,"Aussenlager","teilweise")))))</f>
        <v/>
      </c>
      <c r="BB650" s="53">
        <f>IF(A650="","",IF(BK650=1,"Neu; ","")&amp;IF(AND(BK650=0,BF650&lt;0),"negativer Bestand (Export "&amp;BF650&amp;"); ","")&amp;IF(I650&lt;=0,"Kein Verbrauch; ","")&amp;IF(BO650=1,"Lose – Fläche geschätzt; ","")&amp;IF(G650&gt;AM650,"Überbestand "&amp;ROUND(G650-AM650,0)&amp;" Stk / CHF "&amp;ROUND((G650-AM650)*F650,0)&amp;"; ","")&amp;IF(AND(BT650=1,BU650&lt;BV650),"MAX &lt; MB+LG; ","")&amp;IF(AND(BZ650&gt;0,BY650*10&gt;BZ650),"zu hoch für Tablar; ","")&amp;IF(AND(BK650=0,OR(BT650=1,V650&lt;&gt;"",S650&lt;&gt;"",T650&lt;&gt;"",W650&lt;&gt;"")),"manuell übersteuert; ","")&amp;IF(AND(BO650=0,Q650=0),"Gebinde unbekannt; ","")&amp;IF(AND(BO650=0,N(T650)&lt;=0,N(P650)&lt;=0),"Menge pro Gebinde fehlt (Ist = 1 Gebinde); ","")&amp;BJ650)</f>
        <v/>
      </c>
      <c r="BC650" s="53" t="n"/>
      <c r="BD650" s="53" t="n"/>
      <c r="BE650" s="61" t="n"/>
      <c r="BF650" s="55" t="n">
        <v>1</v>
      </c>
      <c r="BG650" s="55" t="n">
        <v>469</v>
      </c>
      <c r="BH650" s="54" t="n">
        <v>0.02</v>
      </c>
      <c r="BI650" s="55" t="n">
        <v>0</v>
      </c>
      <c r="BJ650" s="53" t="inlineStr">
        <is>
          <t>Überbestand</t>
        </is>
      </c>
      <c r="BK650" s="58" t="n">
        <v>0</v>
      </c>
      <c r="BL650" s="58" t="n">
        <v>650</v>
      </c>
      <c r="BM650" s="53">
        <f>IF(S650&lt;&gt;"",UPPER(TRIM(S650)),IF(O650="","LOSE",O650))</f>
        <v/>
      </c>
      <c r="BN650" s="55">
        <f>IF(BM650="LOSE",1,IF(N(T650)&gt;0,T650,IF(N(P650)&gt;0,P650,MAX(1,G650))))</f>
        <v/>
      </c>
      <c r="BO650" s="58">
        <f>IF(BM650="LOSE",1,0)</f>
        <v/>
      </c>
      <c r="BP650" s="64">
        <f>IF(BO650=0,0,IF(N(R650)&gt;0,R650,IFERROR(VLOOKUP(D650,Parameter!$A$35:$C$64,3,0)+0,0)))</f>
        <v/>
      </c>
      <c r="BQ650" s="53">
        <f>IF(V650&lt;&gt;"",V650,U650)</f>
        <v/>
      </c>
      <c r="BR650" s="53">
        <f>IF(BQ650=1,"L1",IF(OR(BQ650=2,BQ650=3),"L23",IF(BQ650="Aussen","Aussen","-")))</f>
        <v/>
      </c>
      <c r="BS650" s="66">
        <f>IF(N(W650)&gt;0,W650,0)</f>
        <v/>
      </c>
      <c r="BT650" s="58">
        <f>IF(ISNUMBER(Z650),1,0)</f>
        <v/>
      </c>
      <c r="BU650" s="55">
        <f>N(Z650)</f>
        <v/>
      </c>
      <c r="BV650" s="55">
        <f>N(L650)+N(M650)</f>
        <v/>
      </c>
      <c r="BW650" s="55">
        <f>ROUNDUP(G650/BN650,0)</f>
        <v/>
      </c>
      <c r="BX650" s="55">
        <f>ROUNDUP(BU650/BN650,0)</f>
        <v/>
      </c>
      <c r="BY650" s="58">
        <f>IF(BO650=1,0,IFERROR(VLOOKUP(BM650,'Gebinde-Kategorie'!$A$5:$G$45,5,0)+0,0))</f>
        <v/>
      </c>
      <c r="BZ650" s="58">
        <f>IFERROR(IF(OR(BQ650=1,BQ650=2,BQ650=3),N(INDEX(Parameter!$I$5:$I$7,BQ650)),0),0)</f>
        <v/>
      </c>
    </row>
    <row r="651">
      <c r="A651" s="53" t="inlineStr">
        <is>
          <t>005374</t>
        </is>
      </c>
      <c r="B651" s="53" t="inlineStr">
        <is>
          <t>Unterlagsscheibe</t>
        </is>
      </c>
      <c r="C651" s="53" t="inlineStr">
        <is>
          <t>F</t>
        </is>
      </c>
      <c r="D651" s="53" t="inlineStr">
        <is>
          <t>KTL</t>
        </is>
      </c>
      <c r="E651" s="53" t="inlineStr">
        <is>
          <t>C</t>
        </is>
      </c>
      <c r="F651" s="54" t="n">
        <v>0.01</v>
      </c>
      <c r="G651" s="55">
        <f>MAX(0,IF(Parameter!$B$20="Jahresanfang 2025 + Export",BG651+BF651,BF651))</f>
        <v/>
      </c>
      <c r="H651" s="55">
        <f>G651*F651</f>
        <v/>
      </c>
      <c r="I651" s="55">
        <f>BI651*Parameter!$B$18</f>
        <v/>
      </c>
      <c r="J651" s="56" t="n">
        <v>178.5</v>
      </c>
      <c r="K651" s="57" t="n">
        <v>0</v>
      </c>
      <c r="L651" s="55" t="n">
        <v>0</v>
      </c>
      <c r="M651" s="55" t="n">
        <v>1</v>
      </c>
      <c r="N651" s="58" t="n">
        <v>14</v>
      </c>
      <c r="O651" s="53" t="inlineStr">
        <is>
          <t>S21</t>
        </is>
      </c>
      <c r="P651" s="55" t="n">
        <v>180</v>
      </c>
      <c r="Q651" s="59">
        <f>IF(BO651=1,0,IFERROR(VLOOKUP(BM651,'Gebinde-Kategorie'!$A$5:$G$45,6,0)+0,0))</f>
        <v/>
      </c>
      <c r="R651" s="60" t="n"/>
      <c r="S651" s="61" t="n"/>
      <c r="T651" s="61" t="n"/>
      <c r="U651" s="53">
        <f>IF(A651="","",IF(IFERROR(VLOOKUP(D651,Parameter!$A$35:$C$64,2,0),"Nein")="2+3",IF(ISNUMBER(SEARCH("grosser Artikel",BJ651)),2,IFERROR(VLOOKUP(BM651,Parameter!$F$35:$G$64,2,0),2)),IF(OR(IFERROR(VLOOKUP(D651,Parameter!$A$35:$C$64,2,0),"Nein")="Nein",IFERROR(VLOOKUP(D651,Parameter!$A$35:$C$64,2,0),"Nein")=""),"-",VLOOKUP(D651,Parameter!$A$35:$C$64,2,0))))</f>
        <v/>
      </c>
      <c r="V651" s="61" t="n"/>
      <c r="W651" s="62" t="n"/>
      <c r="X651" s="55">
        <f>AM651</f>
        <v/>
      </c>
      <c r="Y651" s="55">
        <f>MAX(AM651,G651)</f>
        <v/>
      </c>
      <c r="Z651" s="63" t="n"/>
      <c r="AA651" s="55">
        <f>IF(LEFT(Cockpit!$C$5,1)="A",G651,IF(BT651=1,BU651,IF(LEFT(Cockpit!$C$5,1)="B",AE651,MAX(AE651,G651))))</f>
        <v/>
      </c>
      <c r="AB651" s="55">
        <f>IF(BO651=1,0,ROUNDUP(AA651/BN651,0))</f>
        <v/>
      </c>
      <c r="AC651" s="64">
        <f>IF(BO651=1,IF(AA651&lt;=0,0,BP651*MAX(1,IF(G651&gt;0,AA651/G651,1))),AB651*Q651)</f>
        <v/>
      </c>
      <c r="AD651" s="55">
        <f>AA651*F651</f>
        <v/>
      </c>
      <c r="AE651" s="55">
        <f>ROUNDUP(MAX(I651/IF(BS651&gt;0,BS651,MAX(0.1,N(Cockpit!$C$6))),BV651)/BN651,0)*BN651</f>
        <v/>
      </c>
      <c r="AF651" s="56">
        <f>IF(AC651&gt;0,I651/AC651,-1)</f>
        <v/>
      </c>
      <c r="AG651" s="56">
        <f>IF(AND(OR(BR651="L1",BR651="L23"),AC651&gt;0),SUMIFS($AC$7:$AC$1570,$BR$7:$BR$1570,BR651,$AF$7:$AF$1570,"&gt;"&amp;AF651)+SUMIFS($AC$7:$AC$1570,$BR$7:$BR$1570,BR651,$AF$7:$AF$1570,AF651,$BL$7:$BL$1570,"&lt;="&amp;BL651),"")</f>
        <v/>
      </c>
      <c r="AH651" s="65">
        <f>IF(AG651="",0,MAX(0,MIN(1,(IF(BR651="L1",Parameter!$K$5,Parameter!$K$6+Parameter!$K$7)-(AG651-AC651))/AC651)))</f>
        <v/>
      </c>
      <c r="AI651" s="55">
        <f>IF(LEFT(Cockpit!$I$5,1)="A",G651,IF(BT651=1,BU651,IF(LEFT(Cockpit!$I$5,1)="B",AM651,MAX(AM651,G651))))</f>
        <v/>
      </c>
      <c r="AJ651" s="55">
        <f>IF(BO651=1,0,ROUNDUP(AI651/BN651,0))</f>
        <v/>
      </c>
      <c r="AK651" s="64">
        <f>IF(BO651=1,IF(AI651&lt;=0,0,BP651*MAX(1,IF(G651&gt;0,AI651/G651,1))),AJ651*Q651)</f>
        <v/>
      </c>
      <c r="AL651" s="55">
        <f>AI651*F651</f>
        <v/>
      </c>
      <c r="AM651" s="55">
        <f>ROUNDUP(MAX(I651/IF(BS651&gt;0,BS651,MAX(0.1,N(Cockpit!$I$6))),BV651)/BN651,0)*BN651</f>
        <v/>
      </c>
      <c r="AN651" s="56">
        <f>IF(AK651&gt;0,I651/AK651,-1)</f>
        <v/>
      </c>
      <c r="AO651" s="56">
        <f>IF(AND(OR(BR651="L1",BR651="L23"),AK651&gt;0),SUMIFS($AK$7:$AK$1570,$BR$7:$BR$1570,BR651,$AN$7:$AN$1570,"&gt;"&amp;AN651)+SUMIFS($AK$7:$AK$1570,$BR$7:$BR$1570,BR651,$AN$7:$AN$1570,AN651,$BL$7:$BL$1570,"&lt;="&amp;BL651),"")</f>
        <v/>
      </c>
      <c r="AP651" s="65">
        <f>IF(AO651="",0,MAX(0,MIN(1,(IF(BR651="L1",Parameter!$K$5,Parameter!$K$6+Parameter!$K$7)-(AO651-AK651))/AK651)))</f>
        <v/>
      </c>
      <c r="AQ651" s="55">
        <f>IF(LEFT(Cockpit!$O$5,1)="A",G651,IF(BT651=1,BU651,IF(LEFT(Cockpit!$O$5,1)="B",AU651,MAX(AU651,G651))))</f>
        <v/>
      </c>
      <c r="AR651" s="55">
        <f>IF(BO651=1,0,ROUNDUP(AQ651/BN651,0))</f>
        <v/>
      </c>
      <c r="AS651" s="64">
        <f>IF(BO651=1,IF(AQ651&lt;=0,0,BP651*MAX(1,IF(G651&gt;0,AQ651/G651,1))),AR651*Q651)</f>
        <v/>
      </c>
      <c r="AT651" s="55">
        <f>AQ651*F651</f>
        <v/>
      </c>
      <c r="AU651" s="55">
        <f>ROUNDUP(MAX(I651/IF(BS651&gt;0,BS651,MAX(0.1,N(Cockpit!$O$6))),BV651)/BN651,0)*BN651</f>
        <v/>
      </c>
      <c r="AV651" s="56">
        <f>IF(AS651&gt;0,I651/AS651,-1)</f>
        <v/>
      </c>
      <c r="AW651" s="56">
        <f>IF(AND(OR(BR651="L1",BR651="L23"),AS651&gt;0),SUMIFS($AS$7:$AS$1570,$BR$7:$BR$1570,BR651,$AV$7:$AV$1570,"&gt;"&amp;AV651)+SUMIFS($AS$7:$AS$1570,$BR$7:$BR$1570,BR651,$AV$7:$AV$1570,AV651,$BL$7:$BL$1570,"&lt;="&amp;BL651),"")</f>
        <v/>
      </c>
      <c r="AX651" s="65">
        <f>IF(AW651="",0,MAX(0,MIN(1,(IF(BR651="L1",Parameter!$K$5,Parameter!$K$6+Parameter!$K$7)-(AW651-AS651))/AS651)))</f>
        <v/>
      </c>
      <c r="AY651" s="53">
        <f>IF(AC651&lt;=0,"",IF(BR651="Aussen","Aussenlager",IF(BR651="-","Nicht im Lift",IF(AH651&gt;=1,"Lift",IF(AH651&lt;=0,"Aussenlager","teilweise")))))</f>
        <v/>
      </c>
      <c r="AZ651" s="53">
        <f>IF(AK651&lt;=0,"",IF(BR651="Aussen","Aussenlager",IF(BR651="-","Nicht im Lift",IF(AP651&gt;=1,"Lift",IF(AP651&lt;=0,"Aussenlager","teilweise")))))</f>
        <v/>
      </c>
      <c r="BA651" s="53">
        <f>IF(AS651&lt;=0,"",IF(BR651="Aussen","Aussenlager",IF(BR651="-","Nicht im Lift",IF(AX651&gt;=1,"Lift",IF(AX651&lt;=0,"Aussenlager","teilweise")))))</f>
        <v/>
      </c>
      <c r="BB651" s="53">
        <f>IF(A651="","",IF(BK651=1,"Neu; ","")&amp;IF(AND(BK651=0,BF651&lt;0),"negativer Bestand (Export "&amp;BF651&amp;"); ","")&amp;IF(I651&lt;=0,"Kein Verbrauch; ","")&amp;IF(BO651=1,"Lose – Fläche geschätzt; ","")&amp;IF(G651&gt;AM651,"Überbestand "&amp;ROUND(G651-AM651,0)&amp;" Stk / CHF "&amp;ROUND((G651-AM651)*F651,0)&amp;"; ","")&amp;IF(AND(BT651=1,BU651&lt;BV651),"MAX &lt; MB+LG; ","")&amp;IF(AND(BZ651&gt;0,BY651*10&gt;BZ651),"zu hoch für Tablar; ","")&amp;IF(AND(BK651=0,OR(BT651=1,V651&lt;&gt;"",S651&lt;&gt;"",T651&lt;&gt;"",W651&lt;&gt;"")),"manuell übersteuert; ","")&amp;IF(AND(BO651=0,Q651=0),"Gebinde unbekannt; ","")&amp;IF(AND(BO651=0,N(T651)&lt;=0,N(P651)&lt;=0),"Menge pro Gebinde fehlt (Ist = 1 Gebinde); ","")&amp;BJ651)</f>
        <v/>
      </c>
      <c r="BC651" s="53" t="n"/>
      <c r="BD651" s="53" t="n"/>
      <c r="BE651" s="61" t="n"/>
      <c r="BF651" s="55" t="n">
        <v>1</v>
      </c>
      <c r="BG651" s="55" t="n">
        <v>178</v>
      </c>
      <c r="BH651" s="54" t="n">
        <v>0.01</v>
      </c>
      <c r="BI651" s="55" t="n">
        <v>0</v>
      </c>
      <c r="BJ651" s="53" t="inlineStr">
        <is>
          <t>Überbestand</t>
        </is>
      </c>
      <c r="BK651" s="58" t="n">
        <v>0</v>
      </c>
      <c r="BL651" s="58" t="n">
        <v>651</v>
      </c>
      <c r="BM651" s="53">
        <f>IF(S651&lt;&gt;"",UPPER(TRIM(S651)),IF(O651="","LOSE",O651))</f>
        <v/>
      </c>
      <c r="BN651" s="55">
        <f>IF(BM651="LOSE",1,IF(N(T651)&gt;0,T651,IF(N(P651)&gt;0,P651,MAX(1,G651))))</f>
        <v/>
      </c>
      <c r="BO651" s="58">
        <f>IF(BM651="LOSE",1,0)</f>
        <v/>
      </c>
      <c r="BP651" s="64">
        <f>IF(BO651=0,0,IF(N(R651)&gt;0,R651,IFERROR(VLOOKUP(D651,Parameter!$A$35:$C$64,3,0)+0,0)))</f>
        <v/>
      </c>
      <c r="BQ651" s="53">
        <f>IF(V651&lt;&gt;"",V651,U651)</f>
        <v/>
      </c>
      <c r="BR651" s="53">
        <f>IF(BQ651=1,"L1",IF(OR(BQ651=2,BQ651=3),"L23",IF(BQ651="Aussen","Aussen","-")))</f>
        <v/>
      </c>
      <c r="BS651" s="66">
        <f>IF(N(W651)&gt;0,W651,0)</f>
        <v/>
      </c>
      <c r="BT651" s="58">
        <f>IF(ISNUMBER(Z651),1,0)</f>
        <v/>
      </c>
      <c r="BU651" s="55">
        <f>N(Z651)</f>
        <v/>
      </c>
      <c r="BV651" s="55">
        <f>N(L651)+N(M651)</f>
        <v/>
      </c>
      <c r="BW651" s="55">
        <f>ROUNDUP(G651/BN651,0)</f>
        <v/>
      </c>
      <c r="BX651" s="55">
        <f>ROUNDUP(BU651/BN651,0)</f>
        <v/>
      </c>
      <c r="BY651" s="58">
        <f>IF(BO651=1,0,IFERROR(VLOOKUP(BM651,'Gebinde-Kategorie'!$A$5:$G$45,5,0)+0,0))</f>
        <v/>
      </c>
      <c r="BZ651" s="58">
        <f>IFERROR(IF(OR(BQ651=1,BQ651=2,BQ651=3),N(INDEX(Parameter!$I$5:$I$7,BQ651)),0),0)</f>
        <v/>
      </c>
    </row>
    <row r="652">
      <c r="A652" s="53" t="inlineStr">
        <is>
          <t>110124</t>
        </is>
      </c>
      <c r="B652" s="53" t="inlineStr">
        <is>
          <t>Druckleitungsblock SPGr</t>
        </is>
      </c>
      <c r="C652" s="53" t="inlineStr">
        <is>
          <t>F</t>
        </is>
      </c>
      <c r="D652" s="53" t="inlineStr">
        <is>
          <t>PAL</t>
        </is>
      </c>
      <c r="E652" s="53" t="inlineStr">
        <is>
          <t>C</t>
        </is>
      </c>
      <c r="F652" s="54" t="n">
        <v>162.29</v>
      </c>
      <c r="G652" s="55">
        <f>MAX(0,IF(Parameter!$B$20="Jahresanfang 2025 + Export",BG652+BF652,BF652))</f>
        <v/>
      </c>
      <c r="H652" s="55">
        <f>G652*F652</f>
        <v/>
      </c>
      <c r="I652" s="55">
        <f>BI652*Parameter!$B$18</f>
        <v/>
      </c>
      <c r="J652" s="56" t="n">
        <v>1</v>
      </c>
      <c r="K652" s="57" t="n">
        <v>14</v>
      </c>
      <c r="L652" s="55" t="n">
        <v>0</v>
      </c>
      <c r="M652" s="55" t="n">
        <v>15</v>
      </c>
      <c r="N652" s="58" t="n">
        <v>14</v>
      </c>
      <c r="O652" s="53" t="inlineStr">
        <is>
          <t>LOSE</t>
        </is>
      </c>
      <c r="P652" s="55" t="n"/>
      <c r="Q652" s="59">
        <f>IF(BO652=1,0,IFERROR(VLOOKUP(BM652,'Gebinde-Kategorie'!$A$5:$G$45,6,0)+0,0))</f>
        <v/>
      </c>
      <c r="R652" s="60" t="n"/>
      <c r="S652" s="61" t="n"/>
      <c r="T652" s="61" t="n"/>
      <c r="U652" s="53">
        <f>IF(A652="","",IF(IFERROR(VLOOKUP(D652,Parameter!$A$35:$C$64,2,0),"Nein")="2+3",IF(ISNUMBER(SEARCH("grosser Artikel",BJ652)),2,IFERROR(VLOOKUP(BM652,Parameter!$F$35:$G$64,2,0),2)),IF(OR(IFERROR(VLOOKUP(D652,Parameter!$A$35:$C$64,2,0),"Nein")="Nein",IFERROR(VLOOKUP(D652,Parameter!$A$35:$C$64,2,0),"Nein")=""),"-",VLOOKUP(D652,Parameter!$A$35:$C$64,2,0))))</f>
        <v/>
      </c>
      <c r="V652" s="61" t="n"/>
      <c r="W652" s="62" t="n"/>
      <c r="X652" s="55">
        <f>AM652</f>
        <v/>
      </c>
      <c r="Y652" s="55">
        <f>MAX(AM652,G652)</f>
        <v/>
      </c>
      <c r="Z652" s="63" t="n"/>
      <c r="AA652" s="55">
        <f>IF(LEFT(Cockpit!$C$5,1)="A",G652,IF(BT652=1,BU652,IF(LEFT(Cockpit!$C$5,1)="B",AE652,MAX(AE652,G652))))</f>
        <v/>
      </c>
      <c r="AB652" s="55">
        <f>IF(BO652=1,0,ROUNDUP(AA652/BN652,0))</f>
        <v/>
      </c>
      <c r="AC652" s="64">
        <f>IF(BO652=1,IF(AA652&lt;=0,0,BP652*MAX(1,IF(G652&gt;0,AA652/G652,1))),AB652*Q652)</f>
        <v/>
      </c>
      <c r="AD652" s="55">
        <f>AA652*F652</f>
        <v/>
      </c>
      <c r="AE652" s="55">
        <f>ROUNDUP(MAX(I652/IF(BS652&gt;0,BS652,MAX(0.1,N(Cockpit!$C$6))),BV652)/BN652,0)*BN652</f>
        <v/>
      </c>
      <c r="AF652" s="56">
        <f>IF(AC652&gt;0,I652/AC652,-1)</f>
        <v/>
      </c>
      <c r="AG652" s="56">
        <f>IF(AND(OR(BR652="L1",BR652="L23"),AC652&gt;0),SUMIFS($AC$7:$AC$1570,$BR$7:$BR$1570,BR652,$AF$7:$AF$1570,"&gt;"&amp;AF652)+SUMIFS($AC$7:$AC$1570,$BR$7:$BR$1570,BR652,$AF$7:$AF$1570,AF652,$BL$7:$BL$1570,"&lt;="&amp;BL652),"")</f>
        <v/>
      </c>
      <c r="AH652" s="65">
        <f>IF(AG652="",0,MAX(0,MIN(1,(IF(BR652="L1",Parameter!$K$5,Parameter!$K$6+Parameter!$K$7)-(AG652-AC652))/AC652)))</f>
        <v/>
      </c>
      <c r="AI652" s="55">
        <f>IF(LEFT(Cockpit!$I$5,1)="A",G652,IF(BT652=1,BU652,IF(LEFT(Cockpit!$I$5,1)="B",AM652,MAX(AM652,G652))))</f>
        <v/>
      </c>
      <c r="AJ652" s="55">
        <f>IF(BO652=1,0,ROUNDUP(AI652/BN652,0))</f>
        <v/>
      </c>
      <c r="AK652" s="64">
        <f>IF(BO652=1,IF(AI652&lt;=0,0,BP652*MAX(1,IF(G652&gt;0,AI652/G652,1))),AJ652*Q652)</f>
        <v/>
      </c>
      <c r="AL652" s="55">
        <f>AI652*F652</f>
        <v/>
      </c>
      <c r="AM652" s="55">
        <f>ROUNDUP(MAX(I652/IF(BS652&gt;0,BS652,MAX(0.1,N(Cockpit!$I$6))),BV652)/BN652,0)*BN652</f>
        <v/>
      </c>
      <c r="AN652" s="56">
        <f>IF(AK652&gt;0,I652/AK652,-1)</f>
        <v/>
      </c>
      <c r="AO652" s="56">
        <f>IF(AND(OR(BR652="L1",BR652="L23"),AK652&gt;0),SUMIFS($AK$7:$AK$1570,$BR$7:$BR$1570,BR652,$AN$7:$AN$1570,"&gt;"&amp;AN652)+SUMIFS($AK$7:$AK$1570,$BR$7:$BR$1570,BR652,$AN$7:$AN$1570,AN652,$BL$7:$BL$1570,"&lt;="&amp;BL652),"")</f>
        <v/>
      </c>
      <c r="AP652" s="65">
        <f>IF(AO652="",0,MAX(0,MIN(1,(IF(BR652="L1",Parameter!$K$5,Parameter!$K$6+Parameter!$K$7)-(AO652-AK652))/AK652)))</f>
        <v/>
      </c>
      <c r="AQ652" s="55">
        <f>IF(LEFT(Cockpit!$O$5,1)="A",G652,IF(BT652=1,BU652,IF(LEFT(Cockpit!$O$5,1)="B",AU652,MAX(AU652,G652))))</f>
        <v/>
      </c>
      <c r="AR652" s="55">
        <f>IF(BO652=1,0,ROUNDUP(AQ652/BN652,0))</f>
        <v/>
      </c>
      <c r="AS652" s="64">
        <f>IF(BO652=1,IF(AQ652&lt;=0,0,BP652*MAX(1,IF(G652&gt;0,AQ652/G652,1))),AR652*Q652)</f>
        <v/>
      </c>
      <c r="AT652" s="55">
        <f>AQ652*F652</f>
        <v/>
      </c>
      <c r="AU652" s="55">
        <f>ROUNDUP(MAX(I652/IF(BS652&gt;0,BS652,MAX(0.1,N(Cockpit!$O$6))),BV652)/BN652,0)*BN652</f>
        <v/>
      </c>
      <c r="AV652" s="56">
        <f>IF(AS652&gt;0,I652/AS652,-1)</f>
        <v/>
      </c>
      <c r="AW652" s="56">
        <f>IF(AND(OR(BR652="L1",BR652="L23"),AS652&gt;0),SUMIFS($AS$7:$AS$1570,$BR$7:$BR$1570,BR652,$AV$7:$AV$1570,"&gt;"&amp;AV652)+SUMIFS($AS$7:$AS$1570,$BR$7:$BR$1570,BR652,$AV$7:$AV$1570,AV652,$BL$7:$BL$1570,"&lt;="&amp;BL652),"")</f>
        <v/>
      </c>
      <c r="AX652" s="65">
        <f>IF(AW652="",0,MAX(0,MIN(1,(IF(BR652="L1",Parameter!$K$5,Parameter!$K$6+Parameter!$K$7)-(AW652-AS652))/AS652)))</f>
        <v/>
      </c>
      <c r="AY652" s="53">
        <f>IF(AC652&lt;=0,"",IF(BR652="Aussen","Aussenlager",IF(BR652="-","Nicht im Lift",IF(AH652&gt;=1,"Lift",IF(AH652&lt;=0,"Aussenlager","teilweise")))))</f>
        <v/>
      </c>
      <c r="AZ652" s="53">
        <f>IF(AK652&lt;=0,"",IF(BR652="Aussen","Aussenlager",IF(BR652="-","Nicht im Lift",IF(AP652&gt;=1,"Lift",IF(AP652&lt;=0,"Aussenlager","teilweise")))))</f>
        <v/>
      </c>
      <c r="BA652" s="53">
        <f>IF(AS652&lt;=0,"",IF(BR652="Aussen","Aussenlager",IF(BR652="-","Nicht im Lift",IF(AX652&gt;=1,"Lift",IF(AX652&lt;=0,"Aussenlager","teilweise")))))</f>
        <v/>
      </c>
      <c r="BB652" s="53">
        <f>IF(A652="","",IF(BK652=1,"Neu; ","")&amp;IF(AND(BK652=0,BF652&lt;0),"negativer Bestand (Export "&amp;BF652&amp;"); ","")&amp;IF(I652&lt;=0,"Kein Verbrauch; ","")&amp;IF(BO652=1,"Lose – Fläche geschätzt; ","")&amp;IF(G652&gt;AM652,"Überbestand "&amp;ROUND(G652-AM652,0)&amp;" Stk / CHF "&amp;ROUND((G652-AM652)*F652,0)&amp;"; ","")&amp;IF(AND(BT652=1,BU652&lt;BV652),"MAX &lt; MB+LG; ","")&amp;IF(AND(BZ652&gt;0,BY652*10&gt;BZ652),"zu hoch für Tablar; ","")&amp;IF(AND(BK652=0,OR(BT652=1,V652&lt;&gt;"",S652&lt;&gt;"",T652&lt;&gt;"",W652&lt;&gt;"")),"manuell übersteuert; ","")&amp;IF(AND(BO652=0,Q652=0),"Gebinde unbekannt; ","")&amp;IF(AND(BO652=0,N(T652)&lt;=0,N(P652)&lt;=0),"Menge pro Gebinde fehlt (Ist = 1 Gebinde); ","")&amp;BJ652)</f>
        <v/>
      </c>
      <c r="BC652" s="53" t="n"/>
      <c r="BD652" s="53" t="n"/>
      <c r="BE652" s="61" t="n"/>
      <c r="BF652" s="55" t="n">
        <v>0</v>
      </c>
      <c r="BG652" s="55" t="n">
        <v>0</v>
      </c>
      <c r="BH652" s="54" t="n">
        <v>5.684341886080801e-13</v>
      </c>
      <c r="BI652" s="55" t="n">
        <v>14</v>
      </c>
      <c r="BJ652" s="53" t="inlineStr"/>
      <c r="BK652" s="58" t="n">
        <v>0</v>
      </c>
      <c r="BL652" s="58" t="n">
        <v>652</v>
      </c>
      <c r="BM652" s="53">
        <f>IF(S652&lt;&gt;"",UPPER(TRIM(S652)),IF(O652="","LOSE",O652))</f>
        <v/>
      </c>
      <c r="BN652" s="55">
        <f>IF(BM652="LOSE",1,IF(N(T652)&gt;0,T652,IF(N(P652)&gt;0,P652,MAX(1,G652))))</f>
        <v/>
      </c>
      <c r="BO652" s="58">
        <f>IF(BM652="LOSE",1,0)</f>
        <v/>
      </c>
      <c r="BP652" s="64">
        <f>IF(BO652=0,0,IF(N(R652)&gt;0,R652,IFERROR(VLOOKUP(D652,Parameter!$A$35:$C$64,3,0)+0,0)))</f>
        <v/>
      </c>
      <c r="BQ652" s="53">
        <f>IF(V652&lt;&gt;"",V652,U652)</f>
        <v/>
      </c>
      <c r="BR652" s="53">
        <f>IF(BQ652=1,"L1",IF(OR(BQ652=2,BQ652=3),"L23",IF(BQ652="Aussen","Aussen","-")))</f>
        <v/>
      </c>
      <c r="BS652" s="66">
        <f>IF(N(W652)&gt;0,W652,0)</f>
        <v/>
      </c>
      <c r="BT652" s="58">
        <f>IF(ISNUMBER(Z652),1,0)</f>
        <v/>
      </c>
      <c r="BU652" s="55">
        <f>N(Z652)</f>
        <v/>
      </c>
      <c r="BV652" s="55">
        <f>N(L652)+N(M652)</f>
        <v/>
      </c>
      <c r="BW652" s="55">
        <f>ROUNDUP(G652/BN652,0)</f>
        <v/>
      </c>
      <c r="BX652" s="55">
        <f>ROUNDUP(BU652/BN652,0)</f>
        <v/>
      </c>
      <c r="BY652" s="58">
        <f>IF(BO652=1,0,IFERROR(VLOOKUP(BM652,'Gebinde-Kategorie'!$A$5:$G$45,5,0)+0,0))</f>
        <v/>
      </c>
      <c r="BZ652" s="58">
        <f>IFERROR(IF(OR(BQ652=1,BQ652=2,BQ652=3),N(INDEX(Parameter!$I$5:$I$7,BQ652)),0),0)</f>
        <v/>
      </c>
    </row>
    <row r="653">
      <c r="A653" s="53" t="inlineStr">
        <is>
          <t>110818</t>
        </is>
      </c>
      <c r="B653" s="53" t="inlineStr">
        <is>
          <t>Plattenschieber Petrobras SPGr16</t>
        </is>
      </c>
      <c r="C653" s="53" t="inlineStr">
        <is>
          <t>F</t>
        </is>
      </c>
      <c r="D653" s="53" t="inlineStr">
        <is>
          <t>PAL</t>
        </is>
      </c>
      <c r="E653" s="53" t="inlineStr">
        <is>
          <t>C</t>
        </is>
      </c>
      <c r="F653" s="54" t="n">
        <v>14462.68</v>
      </c>
      <c r="G653" s="55">
        <f>MAX(0,IF(Parameter!$B$20="Jahresanfang 2025 + Export",BG653+BF653,BF653))</f>
        <v/>
      </c>
      <c r="H653" s="55">
        <f>G653*F653</f>
        <v/>
      </c>
      <c r="I653" s="55">
        <f>BI653*Parameter!$B$18</f>
        <v/>
      </c>
      <c r="J653" s="56" t="n">
        <v>0</v>
      </c>
      <c r="K653" s="57" t="n">
        <v>0</v>
      </c>
      <c r="L653" s="55" t="n">
        <v>0</v>
      </c>
      <c r="M653" s="55" t="n">
        <v>1</v>
      </c>
      <c r="N653" s="58" t="n">
        <v>90</v>
      </c>
      <c r="O653" s="53" t="inlineStr">
        <is>
          <t>LOSE</t>
        </is>
      </c>
      <c r="P653" s="55" t="n"/>
      <c r="Q653" s="59">
        <f>IF(BO653=1,0,IFERROR(VLOOKUP(BM653,'Gebinde-Kategorie'!$A$5:$G$45,6,0)+0,0))</f>
        <v/>
      </c>
      <c r="R653" s="60" t="n"/>
      <c r="S653" s="61" t="n"/>
      <c r="T653" s="61" t="n"/>
      <c r="U653" s="53">
        <f>IF(A653="","",IF(IFERROR(VLOOKUP(D653,Parameter!$A$35:$C$64,2,0),"Nein")="2+3",IF(ISNUMBER(SEARCH("grosser Artikel",BJ653)),2,IFERROR(VLOOKUP(BM653,Parameter!$F$35:$G$64,2,0),2)),IF(OR(IFERROR(VLOOKUP(D653,Parameter!$A$35:$C$64,2,0),"Nein")="Nein",IFERROR(VLOOKUP(D653,Parameter!$A$35:$C$64,2,0),"Nein")=""),"-",VLOOKUP(D653,Parameter!$A$35:$C$64,2,0))))</f>
        <v/>
      </c>
      <c r="V653" s="61" t="n"/>
      <c r="W653" s="62" t="n"/>
      <c r="X653" s="55">
        <f>AM653</f>
        <v/>
      </c>
      <c r="Y653" s="55">
        <f>MAX(AM653,G653)</f>
        <v/>
      </c>
      <c r="Z653" s="63" t="n"/>
      <c r="AA653" s="55">
        <f>IF(LEFT(Cockpit!$C$5,1)="A",G653,IF(BT653=1,BU653,IF(LEFT(Cockpit!$C$5,1)="B",AE653,MAX(AE653,G653))))</f>
        <v/>
      </c>
      <c r="AB653" s="55">
        <f>IF(BO653=1,0,ROUNDUP(AA653/BN653,0))</f>
        <v/>
      </c>
      <c r="AC653" s="64">
        <f>IF(BO653=1,IF(AA653&lt;=0,0,BP653*MAX(1,IF(G653&gt;0,AA653/G653,1))),AB653*Q653)</f>
        <v/>
      </c>
      <c r="AD653" s="55">
        <f>AA653*F653</f>
        <v/>
      </c>
      <c r="AE653" s="55">
        <f>ROUNDUP(MAX(I653/IF(BS653&gt;0,BS653,MAX(0.1,N(Cockpit!$C$6))),BV653)/BN653,0)*BN653</f>
        <v/>
      </c>
      <c r="AF653" s="56">
        <f>IF(AC653&gt;0,I653/AC653,-1)</f>
        <v/>
      </c>
      <c r="AG653" s="56">
        <f>IF(AND(OR(BR653="L1",BR653="L23"),AC653&gt;0),SUMIFS($AC$7:$AC$1570,$BR$7:$BR$1570,BR653,$AF$7:$AF$1570,"&gt;"&amp;AF653)+SUMIFS($AC$7:$AC$1570,$BR$7:$BR$1570,BR653,$AF$7:$AF$1570,AF653,$BL$7:$BL$1570,"&lt;="&amp;BL653),"")</f>
        <v/>
      </c>
      <c r="AH653" s="65">
        <f>IF(AG653="",0,MAX(0,MIN(1,(IF(BR653="L1",Parameter!$K$5,Parameter!$K$6+Parameter!$K$7)-(AG653-AC653))/AC653)))</f>
        <v/>
      </c>
      <c r="AI653" s="55">
        <f>IF(LEFT(Cockpit!$I$5,1)="A",G653,IF(BT653=1,BU653,IF(LEFT(Cockpit!$I$5,1)="B",AM653,MAX(AM653,G653))))</f>
        <v/>
      </c>
      <c r="AJ653" s="55">
        <f>IF(BO653=1,0,ROUNDUP(AI653/BN653,0))</f>
        <v/>
      </c>
      <c r="AK653" s="64">
        <f>IF(BO653=1,IF(AI653&lt;=0,0,BP653*MAX(1,IF(G653&gt;0,AI653/G653,1))),AJ653*Q653)</f>
        <v/>
      </c>
      <c r="AL653" s="55">
        <f>AI653*F653</f>
        <v/>
      </c>
      <c r="AM653" s="55">
        <f>ROUNDUP(MAX(I653/IF(BS653&gt;0,BS653,MAX(0.1,N(Cockpit!$I$6))),BV653)/BN653,0)*BN653</f>
        <v/>
      </c>
      <c r="AN653" s="56">
        <f>IF(AK653&gt;0,I653/AK653,-1)</f>
        <v/>
      </c>
      <c r="AO653" s="56">
        <f>IF(AND(OR(BR653="L1",BR653="L23"),AK653&gt;0),SUMIFS($AK$7:$AK$1570,$BR$7:$BR$1570,BR653,$AN$7:$AN$1570,"&gt;"&amp;AN653)+SUMIFS($AK$7:$AK$1570,$BR$7:$BR$1570,BR653,$AN$7:$AN$1570,AN653,$BL$7:$BL$1570,"&lt;="&amp;BL653),"")</f>
        <v/>
      </c>
      <c r="AP653" s="65">
        <f>IF(AO653="",0,MAX(0,MIN(1,(IF(BR653="L1",Parameter!$K$5,Parameter!$K$6+Parameter!$K$7)-(AO653-AK653))/AK653)))</f>
        <v/>
      </c>
      <c r="AQ653" s="55">
        <f>IF(LEFT(Cockpit!$O$5,1)="A",G653,IF(BT653=1,BU653,IF(LEFT(Cockpit!$O$5,1)="B",AU653,MAX(AU653,G653))))</f>
        <v/>
      </c>
      <c r="AR653" s="55">
        <f>IF(BO653=1,0,ROUNDUP(AQ653/BN653,0))</f>
        <v/>
      </c>
      <c r="AS653" s="64">
        <f>IF(BO653=1,IF(AQ653&lt;=0,0,BP653*MAX(1,IF(G653&gt;0,AQ653/G653,1))),AR653*Q653)</f>
        <v/>
      </c>
      <c r="AT653" s="55">
        <f>AQ653*F653</f>
        <v/>
      </c>
      <c r="AU653" s="55">
        <f>ROUNDUP(MAX(I653/IF(BS653&gt;0,BS653,MAX(0.1,N(Cockpit!$O$6))),BV653)/BN653,0)*BN653</f>
        <v/>
      </c>
      <c r="AV653" s="56">
        <f>IF(AS653&gt;0,I653/AS653,-1)</f>
        <v/>
      </c>
      <c r="AW653" s="56">
        <f>IF(AND(OR(BR653="L1",BR653="L23"),AS653&gt;0),SUMIFS($AS$7:$AS$1570,$BR$7:$BR$1570,BR653,$AV$7:$AV$1570,"&gt;"&amp;AV653)+SUMIFS($AS$7:$AS$1570,$BR$7:$BR$1570,BR653,$AV$7:$AV$1570,AV653,$BL$7:$BL$1570,"&lt;="&amp;BL653),"")</f>
        <v/>
      </c>
      <c r="AX653" s="65">
        <f>IF(AW653="",0,MAX(0,MIN(1,(IF(BR653="L1",Parameter!$K$5,Parameter!$K$6+Parameter!$K$7)-(AW653-AS653))/AS653)))</f>
        <v/>
      </c>
      <c r="AY653" s="53">
        <f>IF(AC653&lt;=0,"",IF(BR653="Aussen","Aussenlager",IF(BR653="-","Nicht im Lift",IF(AH653&gt;=1,"Lift",IF(AH653&lt;=0,"Aussenlager","teilweise")))))</f>
        <v/>
      </c>
      <c r="AZ653" s="53">
        <f>IF(AK653&lt;=0,"",IF(BR653="Aussen","Aussenlager",IF(BR653="-","Nicht im Lift",IF(AP653&gt;=1,"Lift",IF(AP653&lt;=0,"Aussenlager","teilweise")))))</f>
        <v/>
      </c>
      <c r="BA653" s="53">
        <f>IF(AS653&lt;=0,"",IF(BR653="Aussen","Aussenlager",IF(BR653="-","Nicht im Lift",IF(AX653&gt;=1,"Lift",IF(AX653&lt;=0,"Aussenlager","teilweise")))))</f>
        <v/>
      </c>
      <c r="BB653" s="53">
        <f>IF(A653="","",IF(BK653=1,"Neu; ","")&amp;IF(AND(BK653=0,BF653&lt;0),"negativer Bestand (Export "&amp;BF653&amp;"); ","")&amp;IF(I653&lt;=0,"Kein Verbrauch; ","")&amp;IF(BO653=1,"Lose – Fläche geschätzt; ","")&amp;IF(G653&gt;AM653,"Überbestand "&amp;ROUND(G653-AM653,0)&amp;" Stk / CHF "&amp;ROUND((G653-AM653)*F653,0)&amp;"; ","")&amp;IF(AND(BT653=1,BU653&lt;BV653),"MAX &lt; MB+LG; ","")&amp;IF(AND(BZ653&gt;0,BY653*10&gt;BZ653),"zu hoch für Tablar; ","")&amp;IF(AND(BK653=0,OR(BT653=1,V653&lt;&gt;"",S653&lt;&gt;"",T653&lt;&gt;"",W653&lt;&gt;"")),"manuell übersteuert; ","")&amp;IF(AND(BO653=0,Q653=0),"Gebinde unbekannt; ","")&amp;IF(AND(BO653=0,N(T653)&lt;=0,N(P653)&lt;=0),"Menge pro Gebinde fehlt (Ist = 1 Gebinde); ","")&amp;BJ653)</f>
        <v/>
      </c>
      <c r="BC653" s="53" t="n"/>
      <c r="BD653" s="53" t="n"/>
      <c r="BE653" s="61" t="n"/>
      <c r="BF653" s="55" t="n">
        <v>0</v>
      </c>
      <c r="BG653" s="55" t="n">
        <v>0</v>
      </c>
      <c r="BH653" s="54" t="n">
        <v>4.365570405173713e-13</v>
      </c>
      <c r="BI653" s="55" t="n">
        <v>4</v>
      </c>
      <c r="BJ653" s="53" t="inlineStr"/>
      <c r="BK653" s="58" t="n">
        <v>0</v>
      </c>
      <c r="BL653" s="58" t="n">
        <v>653</v>
      </c>
      <c r="BM653" s="53">
        <f>IF(S653&lt;&gt;"",UPPER(TRIM(S653)),IF(O653="","LOSE",O653))</f>
        <v/>
      </c>
      <c r="BN653" s="55">
        <f>IF(BM653="LOSE",1,IF(N(T653)&gt;0,T653,IF(N(P653)&gt;0,P653,MAX(1,G653))))</f>
        <v/>
      </c>
      <c r="BO653" s="58">
        <f>IF(BM653="LOSE",1,0)</f>
        <v/>
      </c>
      <c r="BP653" s="64">
        <f>IF(BO653=0,0,IF(N(R653)&gt;0,R653,IFERROR(VLOOKUP(D653,Parameter!$A$35:$C$64,3,0)+0,0)))</f>
        <v/>
      </c>
      <c r="BQ653" s="53">
        <f>IF(V653&lt;&gt;"",V653,U653)</f>
        <v/>
      </c>
      <c r="BR653" s="53">
        <f>IF(BQ653=1,"L1",IF(OR(BQ653=2,BQ653=3),"L23",IF(BQ653="Aussen","Aussen","-")))</f>
        <v/>
      </c>
      <c r="BS653" s="66">
        <f>IF(N(W653)&gt;0,W653,0)</f>
        <v/>
      </c>
      <c r="BT653" s="58">
        <f>IF(ISNUMBER(Z653),1,0)</f>
        <v/>
      </c>
      <c r="BU653" s="55">
        <f>N(Z653)</f>
        <v/>
      </c>
      <c r="BV653" s="55">
        <f>N(L653)+N(M653)</f>
        <v/>
      </c>
      <c r="BW653" s="55">
        <f>ROUNDUP(G653/BN653,0)</f>
        <v/>
      </c>
      <c r="BX653" s="55">
        <f>ROUNDUP(BU653/BN653,0)</f>
        <v/>
      </c>
      <c r="BY653" s="58">
        <f>IF(BO653=1,0,IFERROR(VLOOKUP(BM653,'Gebinde-Kategorie'!$A$5:$G$45,5,0)+0,0))</f>
        <v/>
      </c>
      <c r="BZ653" s="58">
        <f>IFERROR(IF(OR(BQ653=1,BQ653=2,BQ653=3),N(INDEX(Parameter!$I$5:$I$7,BQ653)),0),0)</f>
        <v/>
      </c>
    </row>
    <row r="654">
      <c r="A654" s="53" t="inlineStr">
        <is>
          <t>110760</t>
        </is>
      </c>
      <c r="B654" s="53" t="inlineStr">
        <is>
          <t>Dichtung</t>
        </is>
      </c>
      <c r="C654" s="53" t="inlineStr">
        <is>
          <t>F</t>
        </is>
      </c>
      <c r="D654" s="53" t="inlineStr">
        <is>
          <t>A-BEZ</t>
        </is>
      </c>
      <c r="E654" s="53" t="inlineStr">
        <is>
          <t>C</t>
        </is>
      </c>
      <c r="F654" s="54" t="n">
        <v>163.77</v>
      </c>
      <c r="G654" s="55">
        <f>MAX(0,IF(Parameter!$B$20="Jahresanfang 2025 + Export",BG654+BF654,BF654))</f>
        <v/>
      </c>
      <c r="H654" s="55">
        <f>G654*F654</f>
        <v/>
      </c>
      <c r="I654" s="55">
        <f>BI654*Parameter!$B$18</f>
        <v/>
      </c>
      <c r="J654" s="56" t="n">
        <v>0</v>
      </c>
      <c r="K654" s="57" t="n">
        <v>0</v>
      </c>
      <c r="L654" s="55" t="n">
        <v>0</v>
      </c>
      <c r="M654" s="55" t="n">
        <v>1</v>
      </c>
      <c r="N654" s="58" t="n">
        <v>105</v>
      </c>
      <c r="O654" s="53" t="inlineStr">
        <is>
          <t>LOSE</t>
        </is>
      </c>
      <c r="P654" s="55" t="n"/>
      <c r="Q654" s="59">
        <f>IF(BO654=1,0,IFERROR(VLOOKUP(BM654,'Gebinde-Kategorie'!$A$5:$G$45,6,0)+0,0))</f>
        <v/>
      </c>
      <c r="R654" s="60" t="n"/>
      <c r="S654" s="61" t="n"/>
      <c r="T654" s="61" t="n"/>
      <c r="U654" s="53">
        <f>IF(A654="","",IF(IFERROR(VLOOKUP(D654,Parameter!$A$35:$C$64,2,0),"Nein")="2+3",IF(ISNUMBER(SEARCH("grosser Artikel",BJ654)),2,IFERROR(VLOOKUP(BM654,Parameter!$F$35:$G$64,2,0),2)),IF(OR(IFERROR(VLOOKUP(D654,Parameter!$A$35:$C$64,2,0),"Nein")="Nein",IFERROR(VLOOKUP(D654,Parameter!$A$35:$C$64,2,0),"Nein")=""),"-",VLOOKUP(D654,Parameter!$A$35:$C$64,2,0))))</f>
        <v/>
      </c>
      <c r="V654" s="61" t="n"/>
      <c r="W654" s="62" t="n"/>
      <c r="X654" s="55">
        <f>AM654</f>
        <v/>
      </c>
      <c r="Y654" s="55">
        <f>MAX(AM654,G654)</f>
        <v/>
      </c>
      <c r="Z654" s="63" t="n"/>
      <c r="AA654" s="55">
        <f>IF(LEFT(Cockpit!$C$5,1)="A",G654,IF(BT654=1,BU654,IF(LEFT(Cockpit!$C$5,1)="B",AE654,MAX(AE654,G654))))</f>
        <v/>
      </c>
      <c r="AB654" s="55">
        <f>IF(BO654=1,0,ROUNDUP(AA654/BN654,0))</f>
        <v/>
      </c>
      <c r="AC654" s="64">
        <f>IF(BO654=1,IF(AA654&lt;=0,0,BP654*MAX(1,IF(G654&gt;0,AA654/G654,1))),AB654*Q654)</f>
        <v/>
      </c>
      <c r="AD654" s="55">
        <f>AA654*F654</f>
        <v/>
      </c>
      <c r="AE654" s="55">
        <f>ROUNDUP(MAX(I654/IF(BS654&gt;0,BS654,MAX(0.1,N(Cockpit!$C$6))),BV654)/BN654,0)*BN654</f>
        <v/>
      </c>
      <c r="AF654" s="56">
        <f>IF(AC654&gt;0,I654/AC654,-1)</f>
        <v/>
      </c>
      <c r="AG654" s="56">
        <f>IF(AND(OR(BR654="L1",BR654="L23"),AC654&gt;0),SUMIFS($AC$7:$AC$1570,$BR$7:$BR$1570,BR654,$AF$7:$AF$1570,"&gt;"&amp;AF654)+SUMIFS($AC$7:$AC$1570,$BR$7:$BR$1570,BR654,$AF$7:$AF$1570,AF654,$BL$7:$BL$1570,"&lt;="&amp;BL654),"")</f>
        <v/>
      </c>
      <c r="AH654" s="65">
        <f>IF(AG654="",0,MAX(0,MIN(1,(IF(BR654="L1",Parameter!$K$5,Parameter!$K$6+Parameter!$K$7)-(AG654-AC654))/AC654)))</f>
        <v/>
      </c>
      <c r="AI654" s="55">
        <f>IF(LEFT(Cockpit!$I$5,1)="A",G654,IF(BT654=1,BU654,IF(LEFT(Cockpit!$I$5,1)="B",AM654,MAX(AM654,G654))))</f>
        <v/>
      </c>
      <c r="AJ654" s="55">
        <f>IF(BO654=1,0,ROUNDUP(AI654/BN654,0))</f>
        <v/>
      </c>
      <c r="AK654" s="64">
        <f>IF(BO654=1,IF(AI654&lt;=0,0,BP654*MAX(1,IF(G654&gt;0,AI654/G654,1))),AJ654*Q654)</f>
        <v/>
      </c>
      <c r="AL654" s="55">
        <f>AI654*F654</f>
        <v/>
      </c>
      <c r="AM654" s="55">
        <f>ROUNDUP(MAX(I654/IF(BS654&gt;0,BS654,MAX(0.1,N(Cockpit!$I$6))),BV654)/BN654,0)*BN654</f>
        <v/>
      </c>
      <c r="AN654" s="56">
        <f>IF(AK654&gt;0,I654/AK654,-1)</f>
        <v/>
      </c>
      <c r="AO654" s="56">
        <f>IF(AND(OR(BR654="L1",BR654="L23"),AK654&gt;0),SUMIFS($AK$7:$AK$1570,$BR$7:$BR$1570,BR654,$AN$7:$AN$1570,"&gt;"&amp;AN654)+SUMIFS($AK$7:$AK$1570,$BR$7:$BR$1570,BR654,$AN$7:$AN$1570,AN654,$BL$7:$BL$1570,"&lt;="&amp;BL654),"")</f>
        <v/>
      </c>
      <c r="AP654" s="65">
        <f>IF(AO654="",0,MAX(0,MIN(1,(IF(BR654="L1",Parameter!$K$5,Parameter!$K$6+Parameter!$K$7)-(AO654-AK654))/AK654)))</f>
        <v/>
      </c>
      <c r="AQ654" s="55">
        <f>IF(LEFT(Cockpit!$O$5,1)="A",G654,IF(BT654=1,BU654,IF(LEFT(Cockpit!$O$5,1)="B",AU654,MAX(AU654,G654))))</f>
        <v/>
      </c>
      <c r="AR654" s="55">
        <f>IF(BO654=1,0,ROUNDUP(AQ654/BN654,0))</f>
        <v/>
      </c>
      <c r="AS654" s="64">
        <f>IF(BO654=1,IF(AQ654&lt;=0,0,BP654*MAX(1,IF(G654&gt;0,AQ654/G654,1))),AR654*Q654)</f>
        <v/>
      </c>
      <c r="AT654" s="55">
        <f>AQ654*F654</f>
        <v/>
      </c>
      <c r="AU654" s="55">
        <f>ROUNDUP(MAX(I654/IF(BS654&gt;0,BS654,MAX(0.1,N(Cockpit!$O$6))),BV654)/BN654,0)*BN654</f>
        <v/>
      </c>
      <c r="AV654" s="56">
        <f>IF(AS654&gt;0,I654/AS654,-1)</f>
        <v/>
      </c>
      <c r="AW654" s="56">
        <f>IF(AND(OR(BR654="L1",BR654="L23"),AS654&gt;0),SUMIFS($AS$7:$AS$1570,$BR$7:$BR$1570,BR654,$AV$7:$AV$1570,"&gt;"&amp;AV654)+SUMIFS($AS$7:$AS$1570,$BR$7:$BR$1570,BR654,$AV$7:$AV$1570,AV654,$BL$7:$BL$1570,"&lt;="&amp;BL654),"")</f>
        <v/>
      </c>
      <c r="AX654" s="65">
        <f>IF(AW654="",0,MAX(0,MIN(1,(IF(BR654="L1",Parameter!$K$5,Parameter!$K$6+Parameter!$K$7)-(AW654-AS654))/AS654)))</f>
        <v/>
      </c>
      <c r="AY654" s="53">
        <f>IF(AC654&lt;=0,"",IF(BR654="Aussen","Aussenlager",IF(BR654="-","Nicht im Lift",IF(AH654&gt;=1,"Lift",IF(AH654&lt;=0,"Aussenlager","teilweise")))))</f>
        <v/>
      </c>
      <c r="AZ654" s="53">
        <f>IF(AK654&lt;=0,"",IF(BR654="Aussen","Aussenlager",IF(BR654="-","Nicht im Lift",IF(AP654&gt;=1,"Lift",IF(AP654&lt;=0,"Aussenlager","teilweise")))))</f>
        <v/>
      </c>
      <c r="BA654" s="53">
        <f>IF(AS654&lt;=0,"",IF(BR654="Aussen","Aussenlager",IF(BR654="-","Nicht im Lift",IF(AX654&gt;=1,"Lift",IF(AX654&lt;=0,"Aussenlager","teilweise")))))</f>
        <v/>
      </c>
      <c r="BB654" s="53">
        <f>IF(A654="","",IF(BK654=1,"Neu; ","")&amp;IF(AND(BK654=0,BF654&lt;0),"negativer Bestand (Export "&amp;BF654&amp;"); ","")&amp;IF(I654&lt;=0,"Kein Verbrauch; ","")&amp;IF(BO654=1,"Lose – Fläche geschätzt; ","")&amp;IF(G654&gt;AM654,"Überbestand "&amp;ROUND(G654-AM654,0)&amp;" Stk / CHF "&amp;ROUND((G654-AM654)*F654,0)&amp;"; ","")&amp;IF(AND(BT654=1,BU654&lt;BV654),"MAX &lt; MB+LG; ","")&amp;IF(AND(BZ654&gt;0,BY654*10&gt;BZ654),"zu hoch für Tablar; ","")&amp;IF(AND(BK654=0,OR(BT654=1,V654&lt;&gt;"",S654&lt;&gt;"",T654&lt;&gt;"",W654&lt;&gt;"")),"manuell übersteuert; ","")&amp;IF(AND(BO654=0,Q654=0),"Gebinde unbekannt; ","")&amp;IF(AND(BO654=0,N(T654)&lt;=0,N(P654)&lt;=0),"Menge pro Gebinde fehlt (Ist = 1 Gebinde); ","")&amp;BJ654)</f>
        <v/>
      </c>
      <c r="BC654" s="53" t="n"/>
      <c r="BD654" s="53" t="n"/>
      <c r="BE654" s="61" t="n"/>
      <c r="BF654" s="55" t="n">
        <v>0</v>
      </c>
      <c r="BG654" s="55" t="n">
        <v>0</v>
      </c>
      <c r="BH654" s="54" t="n">
        <v>1.318771480907088e-13</v>
      </c>
      <c r="BI654" s="55" t="n">
        <v>8</v>
      </c>
      <c r="BJ654" s="53" t="inlineStr"/>
      <c r="BK654" s="58" t="n">
        <v>0</v>
      </c>
      <c r="BL654" s="58" t="n">
        <v>654</v>
      </c>
      <c r="BM654" s="53">
        <f>IF(S654&lt;&gt;"",UPPER(TRIM(S654)),IF(O654="","LOSE",O654))</f>
        <v/>
      </c>
      <c r="BN654" s="55">
        <f>IF(BM654="LOSE",1,IF(N(T654)&gt;0,T654,IF(N(P654)&gt;0,P654,MAX(1,G654))))</f>
        <v/>
      </c>
      <c r="BO654" s="58">
        <f>IF(BM654="LOSE",1,0)</f>
        <v/>
      </c>
      <c r="BP654" s="64">
        <f>IF(BO654=0,0,IF(N(R654)&gt;0,R654,IFERROR(VLOOKUP(D654,Parameter!$A$35:$C$64,3,0)+0,0)))</f>
        <v/>
      </c>
      <c r="BQ654" s="53">
        <f>IF(V654&lt;&gt;"",V654,U654)</f>
        <v/>
      </c>
      <c r="BR654" s="53">
        <f>IF(BQ654=1,"L1",IF(OR(BQ654=2,BQ654=3),"L23",IF(BQ654="Aussen","Aussen","-")))</f>
        <v/>
      </c>
      <c r="BS654" s="66">
        <f>IF(N(W654)&gt;0,W654,0)</f>
        <v/>
      </c>
      <c r="BT654" s="58">
        <f>IF(ISNUMBER(Z654),1,0)</f>
        <v/>
      </c>
      <c r="BU654" s="55">
        <f>N(Z654)</f>
        <v/>
      </c>
      <c r="BV654" s="55">
        <f>N(L654)+N(M654)</f>
        <v/>
      </c>
      <c r="BW654" s="55">
        <f>ROUNDUP(G654/BN654,0)</f>
        <v/>
      </c>
      <c r="BX654" s="55">
        <f>ROUNDUP(BU654/BN654,0)</f>
        <v/>
      </c>
      <c r="BY654" s="58">
        <f>IF(BO654=1,0,IFERROR(VLOOKUP(BM654,'Gebinde-Kategorie'!$A$5:$G$45,5,0)+0,0))</f>
        <v/>
      </c>
      <c r="BZ654" s="58">
        <f>IFERROR(IF(OR(BQ654=1,BQ654=2,BQ654=3),N(INDEX(Parameter!$I$5:$I$7,BQ654)),0),0)</f>
        <v/>
      </c>
    </row>
    <row r="655">
      <c r="A655" s="53" t="inlineStr">
        <is>
          <t>110965</t>
        </is>
      </c>
      <c r="B655" s="53" t="inlineStr">
        <is>
          <t>Durchgangsprüfgerät</t>
        </is>
      </c>
      <c r="C655" s="53" t="inlineStr">
        <is>
          <t>F</t>
        </is>
      </c>
      <c r="D655" s="53" t="inlineStr">
        <is>
          <t>KTL</t>
        </is>
      </c>
      <c r="E655" s="53" t="inlineStr">
        <is>
          <t>C</t>
        </is>
      </c>
      <c r="F655" s="54" t="n">
        <v>42.14</v>
      </c>
      <c r="G655" s="55">
        <f>MAX(0,IF(Parameter!$B$20="Jahresanfang 2025 + Export",BG655+BF655,BF655))</f>
        <v/>
      </c>
      <c r="H655" s="55">
        <f>G655*F655</f>
        <v/>
      </c>
      <c r="I655" s="55">
        <f>BI655*Parameter!$B$18</f>
        <v/>
      </c>
      <c r="J655" s="56" t="n">
        <v>3</v>
      </c>
      <c r="K655" s="57" t="n">
        <v>0.6666666666666666</v>
      </c>
      <c r="L655" s="55" t="n">
        <v>0</v>
      </c>
      <c r="M655" s="55" t="n">
        <v>1</v>
      </c>
      <c r="N655" s="58" t="n">
        <v>21</v>
      </c>
      <c r="O655" s="53" t="inlineStr">
        <is>
          <t>LOSE</t>
        </is>
      </c>
      <c r="P655" s="55" t="n"/>
      <c r="Q655" s="59">
        <f>IF(BO655=1,0,IFERROR(VLOOKUP(BM655,'Gebinde-Kategorie'!$A$5:$G$45,6,0)+0,0))</f>
        <v/>
      </c>
      <c r="R655" s="60" t="n"/>
      <c r="S655" s="61" t="n"/>
      <c r="T655" s="61" t="n"/>
      <c r="U655" s="53">
        <f>IF(A655="","",IF(IFERROR(VLOOKUP(D655,Parameter!$A$35:$C$64,2,0),"Nein")="2+3",IF(ISNUMBER(SEARCH("grosser Artikel",BJ655)),2,IFERROR(VLOOKUP(BM655,Parameter!$F$35:$G$64,2,0),2)),IF(OR(IFERROR(VLOOKUP(D655,Parameter!$A$35:$C$64,2,0),"Nein")="Nein",IFERROR(VLOOKUP(D655,Parameter!$A$35:$C$64,2,0),"Nein")=""),"-",VLOOKUP(D655,Parameter!$A$35:$C$64,2,0))))</f>
        <v/>
      </c>
      <c r="V655" s="61" t="n"/>
      <c r="W655" s="62" t="n"/>
      <c r="X655" s="55">
        <f>AM655</f>
        <v/>
      </c>
      <c r="Y655" s="55">
        <f>MAX(AM655,G655)</f>
        <v/>
      </c>
      <c r="Z655" s="63" t="n"/>
      <c r="AA655" s="55">
        <f>IF(LEFT(Cockpit!$C$5,1)="A",G655,IF(BT655=1,BU655,IF(LEFT(Cockpit!$C$5,1)="B",AE655,MAX(AE655,G655))))</f>
        <v/>
      </c>
      <c r="AB655" s="55">
        <f>IF(BO655=1,0,ROUNDUP(AA655/BN655,0))</f>
        <v/>
      </c>
      <c r="AC655" s="64">
        <f>IF(BO655=1,IF(AA655&lt;=0,0,BP655*MAX(1,IF(G655&gt;0,AA655/G655,1))),AB655*Q655)</f>
        <v/>
      </c>
      <c r="AD655" s="55">
        <f>AA655*F655</f>
        <v/>
      </c>
      <c r="AE655" s="55">
        <f>ROUNDUP(MAX(I655/IF(BS655&gt;0,BS655,MAX(0.1,N(Cockpit!$C$6))),BV655)/BN655,0)*BN655</f>
        <v/>
      </c>
      <c r="AF655" s="56">
        <f>IF(AC655&gt;0,I655/AC655,-1)</f>
        <v/>
      </c>
      <c r="AG655" s="56">
        <f>IF(AND(OR(BR655="L1",BR655="L23"),AC655&gt;0),SUMIFS($AC$7:$AC$1570,$BR$7:$BR$1570,BR655,$AF$7:$AF$1570,"&gt;"&amp;AF655)+SUMIFS($AC$7:$AC$1570,$BR$7:$BR$1570,BR655,$AF$7:$AF$1570,AF655,$BL$7:$BL$1570,"&lt;="&amp;BL655),"")</f>
        <v/>
      </c>
      <c r="AH655" s="65">
        <f>IF(AG655="",0,MAX(0,MIN(1,(IF(BR655="L1",Parameter!$K$5,Parameter!$K$6+Parameter!$K$7)-(AG655-AC655))/AC655)))</f>
        <v/>
      </c>
      <c r="AI655" s="55">
        <f>IF(LEFT(Cockpit!$I$5,1)="A",G655,IF(BT655=1,BU655,IF(LEFT(Cockpit!$I$5,1)="B",AM655,MAX(AM655,G655))))</f>
        <v/>
      </c>
      <c r="AJ655" s="55">
        <f>IF(BO655=1,0,ROUNDUP(AI655/BN655,0))</f>
        <v/>
      </c>
      <c r="AK655" s="64">
        <f>IF(BO655=1,IF(AI655&lt;=0,0,BP655*MAX(1,IF(G655&gt;0,AI655/G655,1))),AJ655*Q655)</f>
        <v/>
      </c>
      <c r="AL655" s="55">
        <f>AI655*F655</f>
        <v/>
      </c>
      <c r="AM655" s="55">
        <f>ROUNDUP(MAX(I655/IF(BS655&gt;0,BS655,MAX(0.1,N(Cockpit!$I$6))),BV655)/BN655,0)*BN655</f>
        <v/>
      </c>
      <c r="AN655" s="56">
        <f>IF(AK655&gt;0,I655/AK655,-1)</f>
        <v/>
      </c>
      <c r="AO655" s="56">
        <f>IF(AND(OR(BR655="L1",BR655="L23"),AK655&gt;0),SUMIFS($AK$7:$AK$1570,$BR$7:$BR$1570,BR655,$AN$7:$AN$1570,"&gt;"&amp;AN655)+SUMIFS($AK$7:$AK$1570,$BR$7:$BR$1570,BR655,$AN$7:$AN$1570,AN655,$BL$7:$BL$1570,"&lt;="&amp;BL655),"")</f>
        <v/>
      </c>
      <c r="AP655" s="65">
        <f>IF(AO655="",0,MAX(0,MIN(1,(IF(BR655="L1",Parameter!$K$5,Parameter!$K$6+Parameter!$K$7)-(AO655-AK655))/AK655)))</f>
        <v/>
      </c>
      <c r="AQ655" s="55">
        <f>IF(LEFT(Cockpit!$O$5,1)="A",G655,IF(BT655=1,BU655,IF(LEFT(Cockpit!$O$5,1)="B",AU655,MAX(AU655,G655))))</f>
        <v/>
      </c>
      <c r="AR655" s="55">
        <f>IF(BO655=1,0,ROUNDUP(AQ655/BN655,0))</f>
        <v/>
      </c>
      <c r="AS655" s="64">
        <f>IF(BO655=1,IF(AQ655&lt;=0,0,BP655*MAX(1,IF(G655&gt;0,AQ655/G655,1))),AR655*Q655)</f>
        <v/>
      </c>
      <c r="AT655" s="55">
        <f>AQ655*F655</f>
        <v/>
      </c>
      <c r="AU655" s="55">
        <f>ROUNDUP(MAX(I655/IF(BS655&gt;0,BS655,MAX(0.1,N(Cockpit!$O$6))),BV655)/BN655,0)*BN655</f>
        <v/>
      </c>
      <c r="AV655" s="56">
        <f>IF(AS655&gt;0,I655/AS655,-1)</f>
        <v/>
      </c>
      <c r="AW655" s="56">
        <f>IF(AND(OR(BR655="L1",BR655="L23"),AS655&gt;0),SUMIFS($AS$7:$AS$1570,$BR$7:$BR$1570,BR655,$AV$7:$AV$1570,"&gt;"&amp;AV655)+SUMIFS($AS$7:$AS$1570,$BR$7:$BR$1570,BR655,$AV$7:$AV$1570,AV655,$BL$7:$BL$1570,"&lt;="&amp;BL655),"")</f>
        <v/>
      </c>
      <c r="AX655" s="65">
        <f>IF(AW655="",0,MAX(0,MIN(1,(IF(BR655="L1",Parameter!$K$5,Parameter!$K$6+Parameter!$K$7)-(AW655-AS655))/AS655)))</f>
        <v/>
      </c>
      <c r="AY655" s="53">
        <f>IF(AC655&lt;=0,"",IF(BR655="Aussen","Aussenlager",IF(BR655="-","Nicht im Lift",IF(AH655&gt;=1,"Lift",IF(AH655&lt;=0,"Aussenlager","teilweise")))))</f>
        <v/>
      </c>
      <c r="AZ655" s="53">
        <f>IF(AK655&lt;=0,"",IF(BR655="Aussen","Aussenlager",IF(BR655="-","Nicht im Lift",IF(AP655&gt;=1,"Lift",IF(AP655&lt;=0,"Aussenlager","teilweise")))))</f>
        <v/>
      </c>
      <c r="BA655" s="53">
        <f>IF(AS655&lt;=0,"",IF(BR655="Aussen","Aussenlager",IF(BR655="-","Nicht im Lift",IF(AX655&gt;=1,"Lift",IF(AX655&lt;=0,"Aussenlager","teilweise")))))</f>
        <v/>
      </c>
      <c r="BB655" s="53">
        <f>IF(A655="","",IF(BK655=1,"Neu; ","")&amp;IF(AND(BK655=0,BF655&lt;0),"negativer Bestand (Export "&amp;BF655&amp;"); ","")&amp;IF(I655&lt;=0,"Kein Verbrauch; ","")&amp;IF(BO655=1,"Lose – Fläche geschätzt; ","")&amp;IF(G655&gt;AM655,"Überbestand "&amp;ROUND(G655-AM655,0)&amp;" Stk / CHF "&amp;ROUND((G655-AM655)*F655,0)&amp;"; ","")&amp;IF(AND(BT655=1,BU655&lt;BV655),"MAX &lt; MB+LG; ","")&amp;IF(AND(BZ655&gt;0,BY655*10&gt;BZ655),"zu hoch für Tablar; ","")&amp;IF(AND(BK655=0,OR(BT655=1,V655&lt;&gt;"",S655&lt;&gt;"",T655&lt;&gt;"",W655&lt;&gt;"")),"manuell übersteuert; ","")&amp;IF(AND(BO655=0,Q655=0),"Gebinde unbekannt; ","")&amp;IF(AND(BO655=0,N(T655)&lt;=0,N(P655)&lt;=0),"Menge pro Gebinde fehlt (Ist = 1 Gebinde); ","")&amp;BJ655)</f>
        <v/>
      </c>
      <c r="BC655" s="53" t="n"/>
      <c r="BD655" s="53" t="n"/>
      <c r="BE655" s="61" t="n"/>
      <c r="BF655" s="55" t="n">
        <v>0</v>
      </c>
      <c r="BG655" s="55" t="n">
        <v>0</v>
      </c>
      <c r="BH655" s="54" t="n">
        <v>1.13686837721616e-13</v>
      </c>
      <c r="BI655" s="55" t="n">
        <v>2</v>
      </c>
      <c r="BJ655" s="53" t="inlineStr"/>
      <c r="BK655" s="58" t="n">
        <v>0</v>
      </c>
      <c r="BL655" s="58" t="n">
        <v>655</v>
      </c>
      <c r="BM655" s="53">
        <f>IF(S655&lt;&gt;"",UPPER(TRIM(S655)),IF(O655="","LOSE",O655))</f>
        <v/>
      </c>
      <c r="BN655" s="55">
        <f>IF(BM655="LOSE",1,IF(N(T655)&gt;0,T655,IF(N(P655)&gt;0,P655,MAX(1,G655))))</f>
        <v/>
      </c>
      <c r="BO655" s="58">
        <f>IF(BM655="LOSE",1,0)</f>
        <v/>
      </c>
      <c r="BP655" s="64">
        <f>IF(BO655=0,0,IF(N(R655)&gt;0,R655,IFERROR(VLOOKUP(D655,Parameter!$A$35:$C$64,3,0)+0,0)))</f>
        <v/>
      </c>
      <c r="BQ655" s="53">
        <f>IF(V655&lt;&gt;"",V655,U655)</f>
        <v/>
      </c>
      <c r="BR655" s="53">
        <f>IF(BQ655=1,"L1",IF(OR(BQ655=2,BQ655=3),"L23",IF(BQ655="Aussen","Aussen","-")))</f>
        <v/>
      </c>
      <c r="BS655" s="66">
        <f>IF(N(W655)&gt;0,W655,0)</f>
        <v/>
      </c>
      <c r="BT655" s="58">
        <f>IF(ISNUMBER(Z655),1,0)</f>
        <v/>
      </c>
      <c r="BU655" s="55">
        <f>N(Z655)</f>
        <v/>
      </c>
      <c r="BV655" s="55">
        <f>N(L655)+N(M655)</f>
        <v/>
      </c>
      <c r="BW655" s="55">
        <f>ROUNDUP(G655/BN655,0)</f>
        <v/>
      </c>
      <c r="BX655" s="55">
        <f>ROUNDUP(BU655/BN655,0)</f>
        <v/>
      </c>
      <c r="BY655" s="58">
        <f>IF(BO655=1,0,IFERROR(VLOOKUP(BM655,'Gebinde-Kategorie'!$A$5:$G$45,5,0)+0,0))</f>
        <v/>
      </c>
      <c r="BZ655" s="58">
        <f>IFERROR(IF(OR(BQ655=1,BQ655=2,BQ655=3),N(INDEX(Parameter!$I$5:$I$7,BQ655)),0),0)</f>
        <v/>
      </c>
    </row>
    <row r="656">
      <c r="A656" s="53" t="inlineStr">
        <is>
          <t>005072</t>
        </is>
      </c>
      <c r="B656" s="53" t="inlineStr">
        <is>
          <t>Hochdruck-Ganzmetallschlauch CH4</t>
        </is>
      </c>
      <c r="C656" s="53" t="inlineStr">
        <is>
          <t>F</t>
        </is>
      </c>
      <c r="D656" s="53" t="inlineStr">
        <is>
          <t>PAL</t>
        </is>
      </c>
      <c r="E656" s="53" t="inlineStr">
        <is>
          <t>C</t>
        </is>
      </c>
      <c r="F656" s="54" t="n">
        <v>444.6</v>
      </c>
      <c r="G656" s="55">
        <f>MAX(0,IF(Parameter!$B$20="Jahresanfang 2025 + Export",BG656+BF656,BF656))</f>
        <v/>
      </c>
      <c r="H656" s="55">
        <f>G656*F656</f>
        <v/>
      </c>
      <c r="I656" s="55">
        <f>BI656*Parameter!$B$18</f>
        <v/>
      </c>
      <c r="J656" s="56" t="n">
        <v>0</v>
      </c>
      <c r="K656" s="57" t="n">
        <v>0</v>
      </c>
      <c r="L656" s="55" t="n">
        <v>0</v>
      </c>
      <c r="M656" s="55" t="n">
        <v>1</v>
      </c>
      <c r="N656" s="58" t="n">
        <v>42</v>
      </c>
      <c r="O656" s="53" t="inlineStr">
        <is>
          <t>LOSE</t>
        </is>
      </c>
      <c r="P656" s="55" t="n"/>
      <c r="Q656" s="59">
        <f>IF(BO656=1,0,IFERROR(VLOOKUP(BM656,'Gebinde-Kategorie'!$A$5:$G$45,6,0)+0,0))</f>
        <v/>
      </c>
      <c r="R656" s="60" t="n"/>
      <c r="S656" s="61" t="n"/>
      <c r="T656" s="61" t="n"/>
      <c r="U656" s="53">
        <f>IF(A656="","",IF(IFERROR(VLOOKUP(D656,Parameter!$A$35:$C$64,2,0),"Nein")="2+3",IF(ISNUMBER(SEARCH("grosser Artikel",BJ656)),2,IFERROR(VLOOKUP(BM656,Parameter!$F$35:$G$64,2,0),2)),IF(OR(IFERROR(VLOOKUP(D656,Parameter!$A$35:$C$64,2,0),"Nein")="Nein",IFERROR(VLOOKUP(D656,Parameter!$A$35:$C$64,2,0),"Nein")=""),"-",VLOOKUP(D656,Parameter!$A$35:$C$64,2,0))))</f>
        <v/>
      </c>
      <c r="V656" s="61" t="n"/>
      <c r="W656" s="62" t="n"/>
      <c r="X656" s="55">
        <f>AM656</f>
        <v/>
      </c>
      <c r="Y656" s="55">
        <f>MAX(AM656,G656)</f>
        <v/>
      </c>
      <c r="Z656" s="63" t="n"/>
      <c r="AA656" s="55">
        <f>IF(LEFT(Cockpit!$C$5,1)="A",G656,IF(BT656=1,BU656,IF(LEFT(Cockpit!$C$5,1)="B",AE656,MAX(AE656,G656))))</f>
        <v/>
      </c>
      <c r="AB656" s="55">
        <f>IF(BO656=1,0,ROUNDUP(AA656/BN656,0))</f>
        <v/>
      </c>
      <c r="AC656" s="64">
        <f>IF(BO656=1,IF(AA656&lt;=0,0,BP656*MAX(1,IF(G656&gt;0,AA656/G656,1))),AB656*Q656)</f>
        <v/>
      </c>
      <c r="AD656" s="55">
        <f>AA656*F656</f>
        <v/>
      </c>
      <c r="AE656" s="55">
        <f>ROUNDUP(MAX(I656/IF(BS656&gt;0,BS656,MAX(0.1,N(Cockpit!$C$6))),BV656)/BN656,0)*BN656</f>
        <v/>
      </c>
      <c r="AF656" s="56">
        <f>IF(AC656&gt;0,I656/AC656,-1)</f>
        <v/>
      </c>
      <c r="AG656" s="56">
        <f>IF(AND(OR(BR656="L1",BR656="L23"),AC656&gt;0),SUMIFS($AC$7:$AC$1570,$BR$7:$BR$1570,BR656,$AF$7:$AF$1570,"&gt;"&amp;AF656)+SUMIFS($AC$7:$AC$1570,$BR$7:$BR$1570,BR656,$AF$7:$AF$1570,AF656,$BL$7:$BL$1570,"&lt;="&amp;BL656),"")</f>
        <v/>
      </c>
      <c r="AH656" s="65">
        <f>IF(AG656="",0,MAX(0,MIN(1,(IF(BR656="L1",Parameter!$K$5,Parameter!$K$6+Parameter!$K$7)-(AG656-AC656))/AC656)))</f>
        <v/>
      </c>
      <c r="AI656" s="55">
        <f>IF(LEFT(Cockpit!$I$5,1)="A",G656,IF(BT656=1,BU656,IF(LEFT(Cockpit!$I$5,1)="B",AM656,MAX(AM656,G656))))</f>
        <v/>
      </c>
      <c r="AJ656" s="55">
        <f>IF(BO656=1,0,ROUNDUP(AI656/BN656,0))</f>
        <v/>
      </c>
      <c r="AK656" s="64">
        <f>IF(BO656=1,IF(AI656&lt;=0,0,BP656*MAX(1,IF(G656&gt;0,AI656/G656,1))),AJ656*Q656)</f>
        <v/>
      </c>
      <c r="AL656" s="55">
        <f>AI656*F656</f>
        <v/>
      </c>
      <c r="AM656" s="55">
        <f>ROUNDUP(MAX(I656/IF(BS656&gt;0,BS656,MAX(0.1,N(Cockpit!$I$6))),BV656)/BN656,0)*BN656</f>
        <v/>
      </c>
      <c r="AN656" s="56">
        <f>IF(AK656&gt;0,I656/AK656,-1)</f>
        <v/>
      </c>
      <c r="AO656" s="56">
        <f>IF(AND(OR(BR656="L1",BR656="L23"),AK656&gt;0),SUMIFS($AK$7:$AK$1570,$BR$7:$BR$1570,BR656,$AN$7:$AN$1570,"&gt;"&amp;AN656)+SUMIFS($AK$7:$AK$1570,$BR$7:$BR$1570,BR656,$AN$7:$AN$1570,AN656,$BL$7:$BL$1570,"&lt;="&amp;BL656),"")</f>
        <v/>
      </c>
      <c r="AP656" s="65">
        <f>IF(AO656="",0,MAX(0,MIN(1,(IF(BR656="L1",Parameter!$K$5,Parameter!$K$6+Parameter!$K$7)-(AO656-AK656))/AK656)))</f>
        <v/>
      </c>
      <c r="AQ656" s="55">
        <f>IF(LEFT(Cockpit!$O$5,1)="A",G656,IF(BT656=1,BU656,IF(LEFT(Cockpit!$O$5,1)="B",AU656,MAX(AU656,G656))))</f>
        <v/>
      </c>
      <c r="AR656" s="55">
        <f>IF(BO656=1,0,ROUNDUP(AQ656/BN656,0))</f>
        <v/>
      </c>
      <c r="AS656" s="64">
        <f>IF(BO656=1,IF(AQ656&lt;=0,0,BP656*MAX(1,IF(G656&gt;0,AQ656/G656,1))),AR656*Q656)</f>
        <v/>
      </c>
      <c r="AT656" s="55">
        <f>AQ656*F656</f>
        <v/>
      </c>
      <c r="AU656" s="55">
        <f>ROUNDUP(MAX(I656/IF(BS656&gt;0,BS656,MAX(0.1,N(Cockpit!$O$6))),BV656)/BN656,0)*BN656</f>
        <v/>
      </c>
      <c r="AV656" s="56">
        <f>IF(AS656&gt;0,I656/AS656,-1)</f>
        <v/>
      </c>
      <c r="AW656" s="56">
        <f>IF(AND(OR(BR656="L1",BR656="L23"),AS656&gt;0),SUMIFS($AS$7:$AS$1570,$BR$7:$BR$1570,BR656,$AV$7:$AV$1570,"&gt;"&amp;AV656)+SUMIFS($AS$7:$AS$1570,$BR$7:$BR$1570,BR656,$AV$7:$AV$1570,AV656,$BL$7:$BL$1570,"&lt;="&amp;BL656),"")</f>
        <v/>
      </c>
      <c r="AX656" s="65">
        <f>IF(AW656="",0,MAX(0,MIN(1,(IF(BR656="L1",Parameter!$K$5,Parameter!$K$6+Parameter!$K$7)-(AW656-AS656))/AS656)))</f>
        <v/>
      </c>
      <c r="AY656" s="53">
        <f>IF(AC656&lt;=0,"",IF(BR656="Aussen","Aussenlager",IF(BR656="-","Nicht im Lift",IF(AH656&gt;=1,"Lift",IF(AH656&lt;=0,"Aussenlager","teilweise")))))</f>
        <v/>
      </c>
      <c r="AZ656" s="53">
        <f>IF(AK656&lt;=0,"",IF(BR656="Aussen","Aussenlager",IF(BR656="-","Nicht im Lift",IF(AP656&gt;=1,"Lift",IF(AP656&lt;=0,"Aussenlager","teilweise")))))</f>
        <v/>
      </c>
      <c r="BA656" s="53">
        <f>IF(AS656&lt;=0,"",IF(BR656="Aussen","Aussenlager",IF(BR656="-","Nicht im Lift",IF(AX656&gt;=1,"Lift",IF(AX656&lt;=0,"Aussenlager","teilweise")))))</f>
        <v/>
      </c>
      <c r="BB656" s="53">
        <f>IF(A656="","",IF(BK656=1,"Neu; ","")&amp;IF(AND(BK656=0,BF656&lt;0),"negativer Bestand (Export "&amp;BF656&amp;"); ","")&amp;IF(I656&lt;=0,"Kein Verbrauch; ","")&amp;IF(BO656=1,"Lose – Fläche geschätzt; ","")&amp;IF(G656&gt;AM656,"Überbestand "&amp;ROUND(G656-AM656,0)&amp;" Stk / CHF "&amp;ROUND((G656-AM656)*F656,0)&amp;"; ","")&amp;IF(AND(BT656=1,BU656&lt;BV656),"MAX &lt; MB+LG; ","")&amp;IF(AND(BZ656&gt;0,BY656*10&gt;BZ656),"zu hoch für Tablar; ","")&amp;IF(AND(BK656=0,OR(BT656=1,V656&lt;&gt;"",S656&lt;&gt;"",T656&lt;&gt;"",W656&lt;&gt;"")),"manuell übersteuert; ","")&amp;IF(AND(BO656=0,Q656=0),"Gebinde unbekannt; ","")&amp;IF(AND(BO656=0,N(T656)&lt;=0,N(P656)&lt;=0),"Menge pro Gebinde fehlt (Ist = 1 Gebinde); ","")&amp;BJ656)</f>
        <v/>
      </c>
      <c r="BC656" s="53" t="n"/>
      <c r="BD656" s="53" t="n"/>
      <c r="BE656" s="61" t="n"/>
      <c r="BF656" s="55" t="n">
        <v>0</v>
      </c>
      <c r="BG656" s="55" t="n">
        <v>0</v>
      </c>
      <c r="BH656" s="54" t="n">
        <v>1.13686837721616e-13</v>
      </c>
      <c r="BI656" s="55" t="n">
        <v>2</v>
      </c>
      <c r="BJ656" s="53" t="inlineStr"/>
      <c r="BK656" s="58" t="n">
        <v>0</v>
      </c>
      <c r="BL656" s="58" t="n">
        <v>656</v>
      </c>
      <c r="BM656" s="53">
        <f>IF(S656&lt;&gt;"",UPPER(TRIM(S656)),IF(O656="","LOSE",O656))</f>
        <v/>
      </c>
      <c r="BN656" s="55">
        <f>IF(BM656="LOSE",1,IF(N(T656)&gt;0,T656,IF(N(P656)&gt;0,P656,MAX(1,G656))))</f>
        <v/>
      </c>
      <c r="BO656" s="58">
        <f>IF(BM656="LOSE",1,0)</f>
        <v/>
      </c>
      <c r="BP656" s="64">
        <f>IF(BO656=0,0,IF(N(R656)&gt;0,R656,IFERROR(VLOOKUP(D656,Parameter!$A$35:$C$64,3,0)+0,0)))</f>
        <v/>
      </c>
      <c r="BQ656" s="53">
        <f>IF(V656&lt;&gt;"",V656,U656)</f>
        <v/>
      </c>
      <c r="BR656" s="53">
        <f>IF(BQ656=1,"L1",IF(OR(BQ656=2,BQ656=3),"L23",IF(BQ656="Aussen","Aussen","-")))</f>
        <v/>
      </c>
      <c r="BS656" s="66">
        <f>IF(N(W656)&gt;0,W656,0)</f>
        <v/>
      </c>
      <c r="BT656" s="58">
        <f>IF(ISNUMBER(Z656),1,0)</f>
        <v/>
      </c>
      <c r="BU656" s="55">
        <f>N(Z656)</f>
        <v/>
      </c>
      <c r="BV656" s="55">
        <f>N(L656)+N(M656)</f>
        <v/>
      </c>
      <c r="BW656" s="55">
        <f>ROUNDUP(G656/BN656,0)</f>
        <v/>
      </c>
      <c r="BX656" s="55">
        <f>ROUNDUP(BU656/BN656,0)</f>
        <v/>
      </c>
      <c r="BY656" s="58">
        <f>IF(BO656=1,0,IFERROR(VLOOKUP(BM656,'Gebinde-Kategorie'!$A$5:$G$45,5,0)+0,0))</f>
        <v/>
      </c>
      <c r="BZ656" s="58">
        <f>IFERROR(IF(OR(BQ656=1,BQ656=2,BQ656=3),N(INDEX(Parameter!$I$5:$I$7,BQ656)),0),0)</f>
        <v/>
      </c>
    </row>
    <row r="657">
      <c r="A657" s="53" t="inlineStr">
        <is>
          <t>005080</t>
        </is>
      </c>
      <c r="B657" s="53" t="inlineStr">
        <is>
          <t>Hochdruck-Ganzmetallschlauch N2</t>
        </is>
      </c>
      <c r="C657" s="53" t="inlineStr">
        <is>
          <t>F</t>
        </is>
      </c>
      <c r="D657" s="53" t="inlineStr">
        <is>
          <t>PAL</t>
        </is>
      </c>
      <c r="E657" s="53" t="inlineStr">
        <is>
          <t>C</t>
        </is>
      </c>
      <c r="F657" s="54" t="n">
        <v>444.6</v>
      </c>
      <c r="G657" s="55">
        <f>MAX(0,IF(Parameter!$B$20="Jahresanfang 2025 + Export",BG657+BF657,BF657))</f>
        <v/>
      </c>
      <c r="H657" s="55">
        <f>G657*F657</f>
        <v/>
      </c>
      <c r="I657" s="55">
        <f>BI657*Parameter!$B$18</f>
        <v/>
      </c>
      <c r="J657" s="56" t="n">
        <v>0</v>
      </c>
      <c r="K657" s="57" t="n">
        <v>0</v>
      </c>
      <c r="L657" s="55" t="n">
        <v>0</v>
      </c>
      <c r="M657" s="55" t="n">
        <v>1</v>
      </c>
      <c r="N657" s="58" t="n">
        <v>42</v>
      </c>
      <c r="O657" s="53" t="inlineStr">
        <is>
          <t>LOSE</t>
        </is>
      </c>
      <c r="P657" s="55" t="n"/>
      <c r="Q657" s="59">
        <f>IF(BO657=1,0,IFERROR(VLOOKUP(BM657,'Gebinde-Kategorie'!$A$5:$G$45,6,0)+0,0))</f>
        <v/>
      </c>
      <c r="R657" s="60" t="n"/>
      <c r="S657" s="61" t="n"/>
      <c r="T657" s="61" t="n"/>
      <c r="U657" s="53">
        <f>IF(A657="","",IF(IFERROR(VLOOKUP(D657,Parameter!$A$35:$C$64,2,0),"Nein")="2+3",IF(ISNUMBER(SEARCH("grosser Artikel",BJ657)),2,IFERROR(VLOOKUP(BM657,Parameter!$F$35:$G$64,2,0),2)),IF(OR(IFERROR(VLOOKUP(D657,Parameter!$A$35:$C$64,2,0),"Nein")="Nein",IFERROR(VLOOKUP(D657,Parameter!$A$35:$C$64,2,0),"Nein")=""),"-",VLOOKUP(D657,Parameter!$A$35:$C$64,2,0))))</f>
        <v/>
      </c>
      <c r="V657" s="61" t="n"/>
      <c r="W657" s="62" t="n"/>
      <c r="X657" s="55">
        <f>AM657</f>
        <v/>
      </c>
      <c r="Y657" s="55">
        <f>MAX(AM657,G657)</f>
        <v/>
      </c>
      <c r="Z657" s="63" t="n"/>
      <c r="AA657" s="55">
        <f>IF(LEFT(Cockpit!$C$5,1)="A",G657,IF(BT657=1,BU657,IF(LEFT(Cockpit!$C$5,1)="B",AE657,MAX(AE657,G657))))</f>
        <v/>
      </c>
      <c r="AB657" s="55">
        <f>IF(BO657=1,0,ROUNDUP(AA657/BN657,0))</f>
        <v/>
      </c>
      <c r="AC657" s="64">
        <f>IF(BO657=1,IF(AA657&lt;=0,0,BP657*MAX(1,IF(G657&gt;0,AA657/G657,1))),AB657*Q657)</f>
        <v/>
      </c>
      <c r="AD657" s="55">
        <f>AA657*F657</f>
        <v/>
      </c>
      <c r="AE657" s="55">
        <f>ROUNDUP(MAX(I657/IF(BS657&gt;0,BS657,MAX(0.1,N(Cockpit!$C$6))),BV657)/BN657,0)*BN657</f>
        <v/>
      </c>
      <c r="AF657" s="56">
        <f>IF(AC657&gt;0,I657/AC657,-1)</f>
        <v/>
      </c>
      <c r="AG657" s="56">
        <f>IF(AND(OR(BR657="L1",BR657="L23"),AC657&gt;0),SUMIFS($AC$7:$AC$1570,$BR$7:$BR$1570,BR657,$AF$7:$AF$1570,"&gt;"&amp;AF657)+SUMIFS($AC$7:$AC$1570,$BR$7:$BR$1570,BR657,$AF$7:$AF$1570,AF657,$BL$7:$BL$1570,"&lt;="&amp;BL657),"")</f>
        <v/>
      </c>
      <c r="AH657" s="65">
        <f>IF(AG657="",0,MAX(0,MIN(1,(IF(BR657="L1",Parameter!$K$5,Parameter!$K$6+Parameter!$K$7)-(AG657-AC657))/AC657)))</f>
        <v/>
      </c>
      <c r="AI657" s="55">
        <f>IF(LEFT(Cockpit!$I$5,1)="A",G657,IF(BT657=1,BU657,IF(LEFT(Cockpit!$I$5,1)="B",AM657,MAX(AM657,G657))))</f>
        <v/>
      </c>
      <c r="AJ657" s="55">
        <f>IF(BO657=1,0,ROUNDUP(AI657/BN657,0))</f>
        <v/>
      </c>
      <c r="AK657" s="64">
        <f>IF(BO657=1,IF(AI657&lt;=0,0,BP657*MAX(1,IF(G657&gt;0,AI657/G657,1))),AJ657*Q657)</f>
        <v/>
      </c>
      <c r="AL657" s="55">
        <f>AI657*F657</f>
        <v/>
      </c>
      <c r="AM657" s="55">
        <f>ROUNDUP(MAX(I657/IF(BS657&gt;0,BS657,MAX(0.1,N(Cockpit!$I$6))),BV657)/BN657,0)*BN657</f>
        <v/>
      </c>
      <c r="AN657" s="56">
        <f>IF(AK657&gt;0,I657/AK657,-1)</f>
        <v/>
      </c>
      <c r="AO657" s="56">
        <f>IF(AND(OR(BR657="L1",BR657="L23"),AK657&gt;0),SUMIFS($AK$7:$AK$1570,$BR$7:$BR$1570,BR657,$AN$7:$AN$1570,"&gt;"&amp;AN657)+SUMIFS($AK$7:$AK$1570,$BR$7:$BR$1570,BR657,$AN$7:$AN$1570,AN657,$BL$7:$BL$1570,"&lt;="&amp;BL657),"")</f>
        <v/>
      </c>
      <c r="AP657" s="65">
        <f>IF(AO657="",0,MAX(0,MIN(1,(IF(BR657="L1",Parameter!$K$5,Parameter!$K$6+Parameter!$K$7)-(AO657-AK657))/AK657)))</f>
        <v/>
      </c>
      <c r="AQ657" s="55">
        <f>IF(LEFT(Cockpit!$O$5,1)="A",G657,IF(BT657=1,BU657,IF(LEFT(Cockpit!$O$5,1)="B",AU657,MAX(AU657,G657))))</f>
        <v/>
      </c>
      <c r="AR657" s="55">
        <f>IF(BO657=1,0,ROUNDUP(AQ657/BN657,0))</f>
        <v/>
      </c>
      <c r="AS657" s="64">
        <f>IF(BO657=1,IF(AQ657&lt;=0,0,BP657*MAX(1,IF(G657&gt;0,AQ657/G657,1))),AR657*Q657)</f>
        <v/>
      </c>
      <c r="AT657" s="55">
        <f>AQ657*F657</f>
        <v/>
      </c>
      <c r="AU657" s="55">
        <f>ROUNDUP(MAX(I657/IF(BS657&gt;0,BS657,MAX(0.1,N(Cockpit!$O$6))),BV657)/BN657,0)*BN657</f>
        <v/>
      </c>
      <c r="AV657" s="56">
        <f>IF(AS657&gt;0,I657/AS657,-1)</f>
        <v/>
      </c>
      <c r="AW657" s="56">
        <f>IF(AND(OR(BR657="L1",BR657="L23"),AS657&gt;0),SUMIFS($AS$7:$AS$1570,$BR$7:$BR$1570,BR657,$AV$7:$AV$1570,"&gt;"&amp;AV657)+SUMIFS($AS$7:$AS$1570,$BR$7:$BR$1570,BR657,$AV$7:$AV$1570,AV657,$BL$7:$BL$1570,"&lt;="&amp;BL657),"")</f>
        <v/>
      </c>
      <c r="AX657" s="65">
        <f>IF(AW657="",0,MAX(0,MIN(1,(IF(BR657="L1",Parameter!$K$5,Parameter!$K$6+Parameter!$K$7)-(AW657-AS657))/AS657)))</f>
        <v/>
      </c>
      <c r="AY657" s="53">
        <f>IF(AC657&lt;=0,"",IF(BR657="Aussen","Aussenlager",IF(BR657="-","Nicht im Lift",IF(AH657&gt;=1,"Lift",IF(AH657&lt;=0,"Aussenlager","teilweise")))))</f>
        <v/>
      </c>
      <c r="AZ657" s="53">
        <f>IF(AK657&lt;=0,"",IF(BR657="Aussen","Aussenlager",IF(BR657="-","Nicht im Lift",IF(AP657&gt;=1,"Lift",IF(AP657&lt;=0,"Aussenlager","teilweise")))))</f>
        <v/>
      </c>
      <c r="BA657" s="53">
        <f>IF(AS657&lt;=0,"",IF(BR657="Aussen","Aussenlager",IF(BR657="-","Nicht im Lift",IF(AX657&gt;=1,"Lift",IF(AX657&lt;=0,"Aussenlager","teilweise")))))</f>
        <v/>
      </c>
      <c r="BB657" s="53">
        <f>IF(A657="","",IF(BK657=1,"Neu; ","")&amp;IF(AND(BK657=0,BF657&lt;0),"negativer Bestand (Export "&amp;BF657&amp;"); ","")&amp;IF(I657&lt;=0,"Kein Verbrauch; ","")&amp;IF(BO657=1,"Lose – Fläche geschätzt; ","")&amp;IF(G657&gt;AM657,"Überbestand "&amp;ROUND(G657-AM657,0)&amp;" Stk / CHF "&amp;ROUND((G657-AM657)*F657,0)&amp;"; ","")&amp;IF(AND(BT657=1,BU657&lt;BV657),"MAX &lt; MB+LG; ","")&amp;IF(AND(BZ657&gt;0,BY657*10&gt;BZ657),"zu hoch für Tablar; ","")&amp;IF(AND(BK657=0,OR(BT657=1,V657&lt;&gt;"",S657&lt;&gt;"",T657&lt;&gt;"",W657&lt;&gt;"")),"manuell übersteuert; ","")&amp;IF(AND(BO657=0,Q657=0),"Gebinde unbekannt; ","")&amp;IF(AND(BO657=0,N(T657)&lt;=0,N(P657)&lt;=0),"Menge pro Gebinde fehlt (Ist = 1 Gebinde); ","")&amp;BJ657)</f>
        <v/>
      </c>
      <c r="BC657" s="53" t="n"/>
      <c r="BD657" s="53" t="n"/>
      <c r="BE657" s="61" t="n"/>
      <c r="BF657" s="55" t="n">
        <v>0</v>
      </c>
      <c r="BG657" s="55" t="n">
        <v>0</v>
      </c>
      <c r="BH657" s="54" t="n">
        <v>1.13686837721616e-13</v>
      </c>
      <c r="BI657" s="55" t="n">
        <v>2</v>
      </c>
      <c r="BJ657" s="53" t="inlineStr"/>
      <c r="BK657" s="58" t="n">
        <v>0</v>
      </c>
      <c r="BL657" s="58" t="n">
        <v>657</v>
      </c>
      <c r="BM657" s="53">
        <f>IF(S657&lt;&gt;"",UPPER(TRIM(S657)),IF(O657="","LOSE",O657))</f>
        <v/>
      </c>
      <c r="BN657" s="55">
        <f>IF(BM657="LOSE",1,IF(N(T657)&gt;0,T657,IF(N(P657)&gt;0,P657,MAX(1,G657))))</f>
        <v/>
      </c>
      <c r="BO657" s="58">
        <f>IF(BM657="LOSE",1,0)</f>
        <v/>
      </c>
      <c r="BP657" s="64">
        <f>IF(BO657=0,0,IF(N(R657)&gt;0,R657,IFERROR(VLOOKUP(D657,Parameter!$A$35:$C$64,3,0)+0,0)))</f>
        <v/>
      </c>
      <c r="BQ657" s="53">
        <f>IF(V657&lt;&gt;"",V657,U657)</f>
        <v/>
      </c>
      <c r="BR657" s="53">
        <f>IF(BQ657=1,"L1",IF(OR(BQ657=2,BQ657=3),"L23",IF(BQ657="Aussen","Aussen","-")))</f>
        <v/>
      </c>
      <c r="BS657" s="66">
        <f>IF(N(W657)&gt;0,W657,0)</f>
        <v/>
      </c>
      <c r="BT657" s="58">
        <f>IF(ISNUMBER(Z657),1,0)</f>
        <v/>
      </c>
      <c r="BU657" s="55">
        <f>N(Z657)</f>
        <v/>
      </c>
      <c r="BV657" s="55">
        <f>N(L657)+N(M657)</f>
        <v/>
      </c>
      <c r="BW657" s="55">
        <f>ROUNDUP(G657/BN657,0)</f>
        <v/>
      </c>
      <c r="BX657" s="55">
        <f>ROUNDUP(BU657/BN657,0)</f>
        <v/>
      </c>
      <c r="BY657" s="58">
        <f>IF(BO657=1,0,IFERROR(VLOOKUP(BM657,'Gebinde-Kategorie'!$A$5:$G$45,5,0)+0,0))</f>
        <v/>
      </c>
      <c r="BZ657" s="58">
        <f>IFERROR(IF(OR(BQ657=1,BQ657=2,BQ657=3),N(INDEX(Parameter!$I$5:$I$7,BQ657)),0),0)</f>
        <v/>
      </c>
    </row>
    <row r="658">
      <c r="A658" s="53" t="inlineStr">
        <is>
          <t>110897</t>
        </is>
      </c>
      <c r="B658" s="53" t="inlineStr">
        <is>
          <t>Gewindestange</t>
        </is>
      </c>
      <c r="C658" s="53" t="inlineStr">
        <is>
          <t>F</t>
        </is>
      </c>
      <c r="D658" s="53" t="inlineStr">
        <is>
          <t>A-BEZ</t>
        </is>
      </c>
      <c r="E658" s="53" t="inlineStr">
        <is>
          <t>C</t>
        </is>
      </c>
      <c r="F658" s="54" t="n">
        <v>20.47</v>
      </c>
      <c r="G658" s="55">
        <f>MAX(0,IF(Parameter!$B$20="Jahresanfang 2025 + Export",BG658+BF658,BF658))</f>
        <v/>
      </c>
      <c r="H658" s="55">
        <f>G658*F658</f>
        <v/>
      </c>
      <c r="I658" s="55">
        <f>BI658*Parameter!$B$18</f>
        <v/>
      </c>
      <c r="J658" s="56" t="n">
        <v>0</v>
      </c>
      <c r="K658" s="57" t="n">
        <v>0</v>
      </c>
      <c r="L658" s="55" t="n">
        <v>0</v>
      </c>
      <c r="M658" s="55" t="n">
        <v>10</v>
      </c>
      <c r="N658" s="58" t="n">
        <v>28</v>
      </c>
      <c r="O658" s="53" t="inlineStr">
        <is>
          <t>LOSE</t>
        </is>
      </c>
      <c r="P658" s="55" t="n"/>
      <c r="Q658" s="59">
        <f>IF(BO658=1,0,IFERROR(VLOOKUP(BM658,'Gebinde-Kategorie'!$A$5:$G$45,6,0)+0,0))</f>
        <v/>
      </c>
      <c r="R658" s="60" t="n"/>
      <c r="S658" s="61" t="n"/>
      <c r="T658" s="61" t="n"/>
      <c r="U658" s="53">
        <f>IF(A658="","",IF(IFERROR(VLOOKUP(D658,Parameter!$A$35:$C$64,2,0),"Nein")="2+3",IF(ISNUMBER(SEARCH("grosser Artikel",BJ658)),2,IFERROR(VLOOKUP(BM658,Parameter!$F$35:$G$64,2,0),2)),IF(OR(IFERROR(VLOOKUP(D658,Parameter!$A$35:$C$64,2,0),"Nein")="Nein",IFERROR(VLOOKUP(D658,Parameter!$A$35:$C$64,2,0),"Nein")=""),"-",VLOOKUP(D658,Parameter!$A$35:$C$64,2,0))))</f>
        <v/>
      </c>
      <c r="V658" s="61" t="n"/>
      <c r="W658" s="62" t="n"/>
      <c r="X658" s="55">
        <f>AM658</f>
        <v/>
      </c>
      <c r="Y658" s="55">
        <f>MAX(AM658,G658)</f>
        <v/>
      </c>
      <c r="Z658" s="63" t="n"/>
      <c r="AA658" s="55">
        <f>IF(LEFT(Cockpit!$C$5,1)="A",G658,IF(BT658=1,BU658,IF(LEFT(Cockpit!$C$5,1)="B",AE658,MAX(AE658,G658))))</f>
        <v/>
      </c>
      <c r="AB658" s="55">
        <f>IF(BO658=1,0,ROUNDUP(AA658/BN658,0))</f>
        <v/>
      </c>
      <c r="AC658" s="64">
        <f>IF(BO658=1,IF(AA658&lt;=0,0,BP658*MAX(1,IF(G658&gt;0,AA658/G658,1))),AB658*Q658)</f>
        <v/>
      </c>
      <c r="AD658" s="55">
        <f>AA658*F658</f>
        <v/>
      </c>
      <c r="AE658" s="55">
        <f>ROUNDUP(MAX(I658/IF(BS658&gt;0,BS658,MAX(0.1,N(Cockpit!$C$6))),BV658)/BN658,0)*BN658</f>
        <v/>
      </c>
      <c r="AF658" s="56">
        <f>IF(AC658&gt;0,I658/AC658,-1)</f>
        <v/>
      </c>
      <c r="AG658" s="56">
        <f>IF(AND(OR(BR658="L1",BR658="L23"),AC658&gt;0),SUMIFS($AC$7:$AC$1570,$BR$7:$BR$1570,BR658,$AF$7:$AF$1570,"&gt;"&amp;AF658)+SUMIFS($AC$7:$AC$1570,$BR$7:$BR$1570,BR658,$AF$7:$AF$1570,AF658,$BL$7:$BL$1570,"&lt;="&amp;BL658),"")</f>
        <v/>
      </c>
      <c r="AH658" s="65">
        <f>IF(AG658="",0,MAX(0,MIN(1,(IF(BR658="L1",Parameter!$K$5,Parameter!$K$6+Parameter!$K$7)-(AG658-AC658))/AC658)))</f>
        <v/>
      </c>
      <c r="AI658" s="55">
        <f>IF(LEFT(Cockpit!$I$5,1)="A",G658,IF(BT658=1,BU658,IF(LEFT(Cockpit!$I$5,1)="B",AM658,MAX(AM658,G658))))</f>
        <v/>
      </c>
      <c r="AJ658" s="55">
        <f>IF(BO658=1,0,ROUNDUP(AI658/BN658,0))</f>
        <v/>
      </c>
      <c r="AK658" s="64">
        <f>IF(BO658=1,IF(AI658&lt;=0,0,BP658*MAX(1,IF(G658&gt;0,AI658/G658,1))),AJ658*Q658)</f>
        <v/>
      </c>
      <c r="AL658" s="55">
        <f>AI658*F658</f>
        <v/>
      </c>
      <c r="AM658" s="55">
        <f>ROUNDUP(MAX(I658/IF(BS658&gt;0,BS658,MAX(0.1,N(Cockpit!$I$6))),BV658)/BN658,0)*BN658</f>
        <v/>
      </c>
      <c r="AN658" s="56">
        <f>IF(AK658&gt;0,I658/AK658,-1)</f>
        <v/>
      </c>
      <c r="AO658" s="56">
        <f>IF(AND(OR(BR658="L1",BR658="L23"),AK658&gt;0),SUMIFS($AK$7:$AK$1570,$BR$7:$BR$1570,BR658,$AN$7:$AN$1570,"&gt;"&amp;AN658)+SUMIFS($AK$7:$AK$1570,$BR$7:$BR$1570,BR658,$AN$7:$AN$1570,AN658,$BL$7:$BL$1570,"&lt;="&amp;BL658),"")</f>
        <v/>
      </c>
      <c r="AP658" s="65">
        <f>IF(AO658="",0,MAX(0,MIN(1,(IF(BR658="L1",Parameter!$K$5,Parameter!$K$6+Parameter!$K$7)-(AO658-AK658))/AK658)))</f>
        <v/>
      </c>
      <c r="AQ658" s="55">
        <f>IF(LEFT(Cockpit!$O$5,1)="A",G658,IF(BT658=1,BU658,IF(LEFT(Cockpit!$O$5,1)="B",AU658,MAX(AU658,G658))))</f>
        <v/>
      </c>
      <c r="AR658" s="55">
        <f>IF(BO658=1,0,ROUNDUP(AQ658/BN658,0))</f>
        <v/>
      </c>
      <c r="AS658" s="64">
        <f>IF(BO658=1,IF(AQ658&lt;=0,0,BP658*MAX(1,IF(G658&gt;0,AQ658/G658,1))),AR658*Q658)</f>
        <v/>
      </c>
      <c r="AT658" s="55">
        <f>AQ658*F658</f>
        <v/>
      </c>
      <c r="AU658" s="55">
        <f>ROUNDUP(MAX(I658/IF(BS658&gt;0,BS658,MAX(0.1,N(Cockpit!$O$6))),BV658)/BN658,0)*BN658</f>
        <v/>
      </c>
      <c r="AV658" s="56">
        <f>IF(AS658&gt;0,I658/AS658,-1)</f>
        <v/>
      </c>
      <c r="AW658" s="56">
        <f>IF(AND(OR(BR658="L1",BR658="L23"),AS658&gt;0),SUMIFS($AS$7:$AS$1570,$BR$7:$BR$1570,BR658,$AV$7:$AV$1570,"&gt;"&amp;AV658)+SUMIFS($AS$7:$AS$1570,$BR$7:$BR$1570,BR658,$AV$7:$AV$1570,AV658,$BL$7:$BL$1570,"&lt;="&amp;BL658),"")</f>
        <v/>
      </c>
      <c r="AX658" s="65">
        <f>IF(AW658="",0,MAX(0,MIN(1,(IF(BR658="L1",Parameter!$K$5,Parameter!$K$6+Parameter!$K$7)-(AW658-AS658))/AS658)))</f>
        <v/>
      </c>
      <c r="AY658" s="53">
        <f>IF(AC658&lt;=0,"",IF(BR658="Aussen","Aussenlager",IF(BR658="-","Nicht im Lift",IF(AH658&gt;=1,"Lift",IF(AH658&lt;=0,"Aussenlager","teilweise")))))</f>
        <v/>
      </c>
      <c r="AZ658" s="53">
        <f>IF(AK658&lt;=0,"",IF(BR658="Aussen","Aussenlager",IF(BR658="-","Nicht im Lift",IF(AP658&gt;=1,"Lift",IF(AP658&lt;=0,"Aussenlager","teilweise")))))</f>
        <v/>
      </c>
      <c r="BA658" s="53">
        <f>IF(AS658&lt;=0,"",IF(BR658="Aussen","Aussenlager",IF(BR658="-","Nicht im Lift",IF(AX658&gt;=1,"Lift",IF(AX658&lt;=0,"Aussenlager","teilweise")))))</f>
        <v/>
      </c>
      <c r="BB658" s="53">
        <f>IF(A658="","",IF(BK658=1,"Neu; ","")&amp;IF(AND(BK658=0,BF658&lt;0),"negativer Bestand (Export "&amp;BF658&amp;"); ","")&amp;IF(I658&lt;=0,"Kein Verbrauch; ","")&amp;IF(BO658=1,"Lose – Fläche geschätzt; ","")&amp;IF(G658&gt;AM658,"Überbestand "&amp;ROUND(G658-AM658,0)&amp;" Stk / CHF "&amp;ROUND((G658-AM658)*F658,0)&amp;"; ","")&amp;IF(AND(BT658=1,BU658&lt;BV658),"MAX &lt; MB+LG; ","")&amp;IF(AND(BZ658&gt;0,BY658*10&gt;BZ658),"zu hoch für Tablar; ","")&amp;IF(AND(BK658=0,OR(BT658=1,V658&lt;&gt;"",S658&lt;&gt;"",T658&lt;&gt;"",W658&lt;&gt;"")),"manuell übersteuert; ","")&amp;IF(AND(BO658=0,Q658=0),"Gebinde unbekannt; ","")&amp;IF(AND(BO658=0,N(T658)&lt;=0,N(P658)&lt;=0),"Menge pro Gebinde fehlt (Ist = 1 Gebinde); ","")&amp;BJ658)</f>
        <v/>
      </c>
      <c r="BC658" s="53" t="n"/>
      <c r="BD658" s="53" t="n"/>
      <c r="BE658" s="61" t="n"/>
      <c r="BF658" s="55" t="n">
        <v>0</v>
      </c>
      <c r="BG658" s="55" t="n">
        <v>0</v>
      </c>
      <c r="BH658" s="54" t="n">
        <v>5.684341886080801e-14</v>
      </c>
      <c r="BI658" s="55" t="n">
        <v>60</v>
      </c>
      <c r="BJ658" s="53" t="inlineStr"/>
      <c r="BK658" s="58" t="n">
        <v>0</v>
      </c>
      <c r="BL658" s="58" t="n">
        <v>658</v>
      </c>
      <c r="BM658" s="53">
        <f>IF(S658&lt;&gt;"",UPPER(TRIM(S658)),IF(O658="","LOSE",O658))</f>
        <v/>
      </c>
      <c r="BN658" s="55">
        <f>IF(BM658="LOSE",1,IF(N(T658)&gt;0,T658,IF(N(P658)&gt;0,P658,MAX(1,G658))))</f>
        <v/>
      </c>
      <c r="BO658" s="58">
        <f>IF(BM658="LOSE",1,0)</f>
        <v/>
      </c>
      <c r="BP658" s="64">
        <f>IF(BO658=0,0,IF(N(R658)&gt;0,R658,IFERROR(VLOOKUP(D658,Parameter!$A$35:$C$64,3,0)+0,0)))</f>
        <v/>
      </c>
      <c r="BQ658" s="53">
        <f>IF(V658&lt;&gt;"",V658,U658)</f>
        <v/>
      </c>
      <c r="BR658" s="53">
        <f>IF(BQ658=1,"L1",IF(OR(BQ658=2,BQ658=3),"L23",IF(BQ658="Aussen","Aussen","-")))</f>
        <v/>
      </c>
      <c r="BS658" s="66">
        <f>IF(N(W658)&gt;0,W658,0)</f>
        <v/>
      </c>
      <c r="BT658" s="58">
        <f>IF(ISNUMBER(Z658),1,0)</f>
        <v/>
      </c>
      <c r="BU658" s="55">
        <f>N(Z658)</f>
        <v/>
      </c>
      <c r="BV658" s="55">
        <f>N(L658)+N(M658)</f>
        <v/>
      </c>
      <c r="BW658" s="55">
        <f>ROUNDUP(G658/BN658,0)</f>
        <v/>
      </c>
      <c r="BX658" s="55">
        <f>ROUNDUP(BU658/BN658,0)</f>
        <v/>
      </c>
      <c r="BY658" s="58">
        <f>IF(BO658=1,0,IFERROR(VLOOKUP(BM658,'Gebinde-Kategorie'!$A$5:$G$45,5,0)+0,0))</f>
        <v/>
      </c>
      <c r="BZ658" s="58">
        <f>IFERROR(IF(OR(BQ658=1,BQ658=2,BQ658=3),N(INDEX(Parameter!$I$5:$I$7,BQ658)),0),0)</f>
        <v/>
      </c>
    </row>
    <row r="659">
      <c r="A659" s="53" t="inlineStr">
        <is>
          <t>110881</t>
        </is>
      </c>
      <c r="B659" s="53" t="inlineStr">
        <is>
          <t>Messleitung</t>
        </is>
      </c>
      <c r="C659" s="53" t="inlineStr">
        <is>
          <t>F</t>
        </is>
      </c>
      <c r="D659" s="53" t="inlineStr">
        <is>
          <t>KTL</t>
        </is>
      </c>
      <c r="E659" s="53" t="inlineStr">
        <is>
          <t>C</t>
        </is>
      </c>
      <c r="F659" s="54" t="n">
        <v>10.02</v>
      </c>
      <c r="G659" s="55">
        <f>MAX(0,IF(Parameter!$B$20="Jahresanfang 2025 + Export",BG659+BF659,BF659))</f>
        <v/>
      </c>
      <c r="H659" s="55">
        <f>G659*F659</f>
        <v/>
      </c>
      <c r="I659" s="55">
        <f>BI659*Parameter!$B$18</f>
        <v/>
      </c>
      <c r="J659" s="56" t="n">
        <v>3</v>
      </c>
      <c r="K659" s="57" t="n">
        <v>0.6666666666666666</v>
      </c>
      <c r="L659" s="55" t="n">
        <v>0</v>
      </c>
      <c r="M659" s="55" t="n">
        <v>1</v>
      </c>
      <c r="N659" s="58" t="n">
        <v>21</v>
      </c>
      <c r="O659" s="53" t="inlineStr">
        <is>
          <t>S41</t>
        </is>
      </c>
      <c r="P659" s="55" t="n">
        <v>5</v>
      </c>
      <c r="Q659" s="59">
        <f>IF(BO659=1,0,IFERROR(VLOOKUP(BM659,'Gebinde-Kategorie'!$A$5:$G$45,6,0)+0,0))</f>
        <v/>
      </c>
      <c r="R659" s="60" t="n"/>
      <c r="S659" s="61" t="n"/>
      <c r="T659" s="61" t="n"/>
      <c r="U659" s="53">
        <f>IF(A659="","",IF(IFERROR(VLOOKUP(D659,Parameter!$A$35:$C$64,2,0),"Nein")="2+3",IF(ISNUMBER(SEARCH("grosser Artikel",BJ659)),2,IFERROR(VLOOKUP(BM659,Parameter!$F$35:$G$64,2,0),2)),IF(OR(IFERROR(VLOOKUP(D659,Parameter!$A$35:$C$64,2,0),"Nein")="Nein",IFERROR(VLOOKUP(D659,Parameter!$A$35:$C$64,2,0),"Nein")=""),"-",VLOOKUP(D659,Parameter!$A$35:$C$64,2,0))))</f>
        <v/>
      </c>
      <c r="V659" s="61" t="n"/>
      <c r="W659" s="62" t="n"/>
      <c r="X659" s="55">
        <f>AM659</f>
        <v/>
      </c>
      <c r="Y659" s="55">
        <f>MAX(AM659,G659)</f>
        <v/>
      </c>
      <c r="Z659" s="63" t="n"/>
      <c r="AA659" s="55">
        <f>IF(LEFT(Cockpit!$C$5,1)="A",G659,IF(BT659=1,BU659,IF(LEFT(Cockpit!$C$5,1)="B",AE659,MAX(AE659,G659))))</f>
        <v/>
      </c>
      <c r="AB659" s="55">
        <f>IF(BO659=1,0,ROUNDUP(AA659/BN659,0))</f>
        <v/>
      </c>
      <c r="AC659" s="64">
        <f>IF(BO659=1,IF(AA659&lt;=0,0,BP659*MAX(1,IF(G659&gt;0,AA659/G659,1))),AB659*Q659)</f>
        <v/>
      </c>
      <c r="AD659" s="55">
        <f>AA659*F659</f>
        <v/>
      </c>
      <c r="AE659" s="55">
        <f>ROUNDUP(MAX(I659/IF(BS659&gt;0,BS659,MAX(0.1,N(Cockpit!$C$6))),BV659)/BN659,0)*BN659</f>
        <v/>
      </c>
      <c r="AF659" s="56">
        <f>IF(AC659&gt;0,I659/AC659,-1)</f>
        <v/>
      </c>
      <c r="AG659" s="56">
        <f>IF(AND(OR(BR659="L1",BR659="L23"),AC659&gt;0),SUMIFS($AC$7:$AC$1570,$BR$7:$BR$1570,BR659,$AF$7:$AF$1570,"&gt;"&amp;AF659)+SUMIFS($AC$7:$AC$1570,$BR$7:$BR$1570,BR659,$AF$7:$AF$1570,AF659,$BL$7:$BL$1570,"&lt;="&amp;BL659),"")</f>
        <v/>
      </c>
      <c r="AH659" s="65">
        <f>IF(AG659="",0,MAX(0,MIN(1,(IF(BR659="L1",Parameter!$K$5,Parameter!$K$6+Parameter!$K$7)-(AG659-AC659))/AC659)))</f>
        <v/>
      </c>
      <c r="AI659" s="55">
        <f>IF(LEFT(Cockpit!$I$5,1)="A",G659,IF(BT659=1,BU659,IF(LEFT(Cockpit!$I$5,1)="B",AM659,MAX(AM659,G659))))</f>
        <v/>
      </c>
      <c r="AJ659" s="55">
        <f>IF(BO659=1,0,ROUNDUP(AI659/BN659,0))</f>
        <v/>
      </c>
      <c r="AK659" s="64">
        <f>IF(BO659=1,IF(AI659&lt;=0,0,BP659*MAX(1,IF(G659&gt;0,AI659/G659,1))),AJ659*Q659)</f>
        <v/>
      </c>
      <c r="AL659" s="55">
        <f>AI659*F659</f>
        <v/>
      </c>
      <c r="AM659" s="55">
        <f>ROUNDUP(MAX(I659/IF(BS659&gt;0,BS659,MAX(0.1,N(Cockpit!$I$6))),BV659)/BN659,0)*BN659</f>
        <v/>
      </c>
      <c r="AN659" s="56">
        <f>IF(AK659&gt;0,I659/AK659,-1)</f>
        <v/>
      </c>
      <c r="AO659" s="56">
        <f>IF(AND(OR(BR659="L1",BR659="L23"),AK659&gt;0),SUMIFS($AK$7:$AK$1570,$BR$7:$BR$1570,BR659,$AN$7:$AN$1570,"&gt;"&amp;AN659)+SUMIFS($AK$7:$AK$1570,$BR$7:$BR$1570,BR659,$AN$7:$AN$1570,AN659,$BL$7:$BL$1570,"&lt;="&amp;BL659),"")</f>
        <v/>
      </c>
      <c r="AP659" s="65">
        <f>IF(AO659="",0,MAX(0,MIN(1,(IF(BR659="L1",Parameter!$K$5,Parameter!$K$6+Parameter!$K$7)-(AO659-AK659))/AK659)))</f>
        <v/>
      </c>
      <c r="AQ659" s="55">
        <f>IF(LEFT(Cockpit!$O$5,1)="A",G659,IF(BT659=1,BU659,IF(LEFT(Cockpit!$O$5,1)="B",AU659,MAX(AU659,G659))))</f>
        <v/>
      </c>
      <c r="AR659" s="55">
        <f>IF(BO659=1,0,ROUNDUP(AQ659/BN659,0))</f>
        <v/>
      </c>
      <c r="AS659" s="64">
        <f>IF(BO659=1,IF(AQ659&lt;=0,0,BP659*MAX(1,IF(G659&gt;0,AQ659/G659,1))),AR659*Q659)</f>
        <v/>
      </c>
      <c r="AT659" s="55">
        <f>AQ659*F659</f>
        <v/>
      </c>
      <c r="AU659" s="55">
        <f>ROUNDUP(MAX(I659/IF(BS659&gt;0,BS659,MAX(0.1,N(Cockpit!$O$6))),BV659)/BN659,0)*BN659</f>
        <v/>
      </c>
      <c r="AV659" s="56">
        <f>IF(AS659&gt;0,I659/AS659,-1)</f>
        <v/>
      </c>
      <c r="AW659" s="56">
        <f>IF(AND(OR(BR659="L1",BR659="L23"),AS659&gt;0),SUMIFS($AS$7:$AS$1570,$BR$7:$BR$1570,BR659,$AV$7:$AV$1570,"&gt;"&amp;AV659)+SUMIFS($AS$7:$AS$1570,$BR$7:$BR$1570,BR659,$AV$7:$AV$1570,AV659,$BL$7:$BL$1570,"&lt;="&amp;BL659),"")</f>
        <v/>
      </c>
      <c r="AX659" s="65">
        <f>IF(AW659="",0,MAX(0,MIN(1,(IF(BR659="L1",Parameter!$K$5,Parameter!$K$6+Parameter!$K$7)-(AW659-AS659))/AS659)))</f>
        <v/>
      </c>
      <c r="AY659" s="53">
        <f>IF(AC659&lt;=0,"",IF(BR659="Aussen","Aussenlager",IF(BR659="-","Nicht im Lift",IF(AH659&gt;=1,"Lift",IF(AH659&lt;=0,"Aussenlager","teilweise")))))</f>
        <v/>
      </c>
      <c r="AZ659" s="53">
        <f>IF(AK659&lt;=0,"",IF(BR659="Aussen","Aussenlager",IF(BR659="-","Nicht im Lift",IF(AP659&gt;=1,"Lift",IF(AP659&lt;=0,"Aussenlager","teilweise")))))</f>
        <v/>
      </c>
      <c r="BA659" s="53">
        <f>IF(AS659&lt;=0,"",IF(BR659="Aussen","Aussenlager",IF(BR659="-","Nicht im Lift",IF(AX659&gt;=1,"Lift",IF(AX659&lt;=0,"Aussenlager","teilweise")))))</f>
        <v/>
      </c>
      <c r="BB659" s="53">
        <f>IF(A659="","",IF(BK659=1,"Neu; ","")&amp;IF(AND(BK659=0,BF659&lt;0),"negativer Bestand (Export "&amp;BF659&amp;"); ","")&amp;IF(I659&lt;=0,"Kein Verbrauch; ","")&amp;IF(BO659=1,"Lose – Fläche geschätzt; ","")&amp;IF(G659&gt;AM659,"Überbestand "&amp;ROUND(G659-AM659,0)&amp;" Stk / CHF "&amp;ROUND((G659-AM659)*F659,0)&amp;"; ","")&amp;IF(AND(BT659=1,BU659&lt;BV659),"MAX &lt; MB+LG; ","")&amp;IF(AND(BZ659&gt;0,BY659*10&gt;BZ659),"zu hoch für Tablar; ","")&amp;IF(AND(BK659=0,OR(BT659=1,V659&lt;&gt;"",S659&lt;&gt;"",T659&lt;&gt;"",W659&lt;&gt;"")),"manuell übersteuert; ","")&amp;IF(AND(BO659=0,Q659=0),"Gebinde unbekannt; ","")&amp;IF(AND(BO659=0,N(T659)&lt;=0,N(P659)&lt;=0),"Menge pro Gebinde fehlt (Ist = 1 Gebinde); ","")&amp;BJ659)</f>
        <v/>
      </c>
      <c r="BC659" s="53" t="n"/>
      <c r="BD659" s="53" t="n"/>
      <c r="BE659" s="61" t="n"/>
      <c r="BF659" s="55" t="n">
        <v>0</v>
      </c>
      <c r="BG659" s="55" t="n">
        <v>0</v>
      </c>
      <c r="BH659" s="54" t="n">
        <v>2.842170943040401e-14</v>
      </c>
      <c r="BI659" s="55" t="n">
        <v>2</v>
      </c>
      <c r="BJ659" s="53" t="inlineStr"/>
      <c r="BK659" s="58" t="n">
        <v>0</v>
      </c>
      <c r="BL659" s="58" t="n">
        <v>659</v>
      </c>
      <c r="BM659" s="53">
        <f>IF(S659&lt;&gt;"",UPPER(TRIM(S659)),IF(O659="","LOSE",O659))</f>
        <v/>
      </c>
      <c r="BN659" s="55">
        <f>IF(BM659="LOSE",1,IF(N(T659)&gt;0,T659,IF(N(P659)&gt;0,P659,MAX(1,G659))))</f>
        <v/>
      </c>
      <c r="BO659" s="58">
        <f>IF(BM659="LOSE",1,0)</f>
        <v/>
      </c>
      <c r="BP659" s="64">
        <f>IF(BO659=0,0,IF(N(R659)&gt;0,R659,IFERROR(VLOOKUP(D659,Parameter!$A$35:$C$64,3,0)+0,0)))</f>
        <v/>
      </c>
      <c r="BQ659" s="53">
        <f>IF(V659&lt;&gt;"",V659,U659)</f>
        <v/>
      </c>
      <c r="BR659" s="53">
        <f>IF(BQ659=1,"L1",IF(OR(BQ659=2,BQ659=3),"L23",IF(BQ659="Aussen","Aussen","-")))</f>
        <v/>
      </c>
      <c r="BS659" s="66">
        <f>IF(N(W659)&gt;0,W659,0)</f>
        <v/>
      </c>
      <c r="BT659" s="58">
        <f>IF(ISNUMBER(Z659),1,0)</f>
        <v/>
      </c>
      <c r="BU659" s="55">
        <f>N(Z659)</f>
        <v/>
      </c>
      <c r="BV659" s="55">
        <f>N(L659)+N(M659)</f>
        <v/>
      </c>
      <c r="BW659" s="55">
        <f>ROUNDUP(G659/BN659,0)</f>
        <v/>
      </c>
      <c r="BX659" s="55">
        <f>ROUNDUP(BU659/BN659,0)</f>
        <v/>
      </c>
      <c r="BY659" s="58">
        <f>IF(BO659=1,0,IFERROR(VLOOKUP(BM659,'Gebinde-Kategorie'!$A$5:$G$45,5,0)+0,0))</f>
        <v/>
      </c>
      <c r="BZ659" s="58">
        <f>IFERROR(IF(OR(BQ659=1,BQ659=2,BQ659=3),N(INDEX(Parameter!$I$5:$I$7,BQ659)),0),0)</f>
        <v/>
      </c>
    </row>
    <row r="660">
      <c r="A660" s="53" t="inlineStr">
        <is>
          <t>110880</t>
        </is>
      </c>
      <c r="B660" s="53" t="inlineStr">
        <is>
          <t>Messleitung</t>
        </is>
      </c>
      <c r="C660" s="53" t="inlineStr">
        <is>
          <t>F</t>
        </is>
      </c>
      <c r="D660" s="53" t="inlineStr">
        <is>
          <t>KTL</t>
        </is>
      </c>
      <c r="E660" s="53" t="inlineStr">
        <is>
          <t>C</t>
        </is>
      </c>
      <c r="F660" s="54" t="n">
        <v>10.02</v>
      </c>
      <c r="G660" s="55">
        <f>MAX(0,IF(Parameter!$B$20="Jahresanfang 2025 + Export",BG660+BF660,BF660))</f>
        <v/>
      </c>
      <c r="H660" s="55">
        <f>G660*F660</f>
        <v/>
      </c>
      <c r="I660" s="55">
        <f>BI660*Parameter!$B$18</f>
        <v/>
      </c>
      <c r="J660" s="56" t="n">
        <v>3</v>
      </c>
      <c r="K660" s="57" t="n">
        <v>0.6666666666666666</v>
      </c>
      <c r="L660" s="55" t="n">
        <v>0</v>
      </c>
      <c r="M660" s="55" t="n">
        <v>1</v>
      </c>
      <c r="N660" s="58" t="n">
        <v>21</v>
      </c>
      <c r="O660" s="53" t="inlineStr">
        <is>
          <t>S41</t>
        </is>
      </c>
      <c r="P660" s="55" t="n">
        <v>5</v>
      </c>
      <c r="Q660" s="59">
        <f>IF(BO660=1,0,IFERROR(VLOOKUP(BM660,'Gebinde-Kategorie'!$A$5:$G$45,6,0)+0,0))</f>
        <v/>
      </c>
      <c r="R660" s="60" t="n"/>
      <c r="S660" s="61" t="n"/>
      <c r="T660" s="61" t="n"/>
      <c r="U660" s="53">
        <f>IF(A660="","",IF(IFERROR(VLOOKUP(D660,Parameter!$A$35:$C$64,2,0),"Nein")="2+3",IF(ISNUMBER(SEARCH("grosser Artikel",BJ660)),2,IFERROR(VLOOKUP(BM660,Parameter!$F$35:$G$64,2,0),2)),IF(OR(IFERROR(VLOOKUP(D660,Parameter!$A$35:$C$64,2,0),"Nein")="Nein",IFERROR(VLOOKUP(D660,Parameter!$A$35:$C$64,2,0),"Nein")=""),"-",VLOOKUP(D660,Parameter!$A$35:$C$64,2,0))))</f>
        <v/>
      </c>
      <c r="V660" s="61" t="n"/>
      <c r="W660" s="62" t="n"/>
      <c r="X660" s="55">
        <f>AM660</f>
        <v/>
      </c>
      <c r="Y660" s="55">
        <f>MAX(AM660,G660)</f>
        <v/>
      </c>
      <c r="Z660" s="63" t="n"/>
      <c r="AA660" s="55">
        <f>IF(LEFT(Cockpit!$C$5,1)="A",G660,IF(BT660=1,BU660,IF(LEFT(Cockpit!$C$5,1)="B",AE660,MAX(AE660,G660))))</f>
        <v/>
      </c>
      <c r="AB660" s="55">
        <f>IF(BO660=1,0,ROUNDUP(AA660/BN660,0))</f>
        <v/>
      </c>
      <c r="AC660" s="64">
        <f>IF(BO660=1,IF(AA660&lt;=0,0,BP660*MAX(1,IF(G660&gt;0,AA660/G660,1))),AB660*Q660)</f>
        <v/>
      </c>
      <c r="AD660" s="55">
        <f>AA660*F660</f>
        <v/>
      </c>
      <c r="AE660" s="55">
        <f>ROUNDUP(MAX(I660/IF(BS660&gt;0,BS660,MAX(0.1,N(Cockpit!$C$6))),BV660)/BN660,0)*BN660</f>
        <v/>
      </c>
      <c r="AF660" s="56">
        <f>IF(AC660&gt;0,I660/AC660,-1)</f>
        <v/>
      </c>
      <c r="AG660" s="56">
        <f>IF(AND(OR(BR660="L1",BR660="L23"),AC660&gt;0),SUMIFS($AC$7:$AC$1570,$BR$7:$BR$1570,BR660,$AF$7:$AF$1570,"&gt;"&amp;AF660)+SUMIFS($AC$7:$AC$1570,$BR$7:$BR$1570,BR660,$AF$7:$AF$1570,AF660,$BL$7:$BL$1570,"&lt;="&amp;BL660),"")</f>
        <v/>
      </c>
      <c r="AH660" s="65">
        <f>IF(AG660="",0,MAX(0,MIN(1,(IF(BR660="L1",Parameter!$K$5,Parameter!$K$6+Parameter!$K$7)-(AG660-AC660))/AC660)))</f>
        <v/>
      </c>
      <c r="AI660" s="55">
        <f>IF(LEFT(Cockpit!$I$5,1)="A",G660,IF(BT660=1,BU660,IF(LEFT(Cockpit!$I$5,1)="B",AM660,MAX(AM660,G660))))</f>
        <v/>
      </c>
      <c r="AJ660" s="55">
        <f>IF(BO660=1,0,ROUNDUP(AI660/BN660,0))</f>
        <v/>
      </c>
      <c r="AK660" s="64">
        <f>IF(BO660=1,IF(AI660&lt;=0,0,BP660*MAX(1,IF(G660&gt;0,AI660/G660,1))),AJ660*Q660)</f>
        <v/>
      </c>
      <c r="AL660" s="55">
        <f>AI660*F660</f>
        <v/>
      </c>
      <c r="AM660" s="55">
        <f>ROUNDUP(MAX(I660/IF(BS660&gt;0,BS660,MAX(0.1,N(Cockpit!$I$6))),BV660)/BN660,0)*BN660</f>
        <v/>
      </c>
      <c r="AN660" s="56">
        <f>IF(AK660&gt;0,I660/AK660,-1)</f>
        <v/>
      </c>
      <c r="AO660" s="56">
        <f>IF(AND(OR(BR660="L1",BR660="L23"),AK660&gt;0),SUMIFS($AK$7:$AK$1570,$BR$7:$BR$1570,BR660,$AN$7:$AN$1570,"&gt;"&amp;AN660)+SUMIFS($AK$7:$AK$1570,$BR$7:$BR$1570,BR660,$AN$7:$AN$1570,AN660,$BL$7:$BL$1570,"&lt;="&amp;BL660),"")</f>
        <v/>
      </c>
      <c r="AP660" s="65">
        <f>IF(AO660="",0,MAX(0,MIN(1,(IF(BR660="L1",Parameter!$K$5,Parameter!$K$6+Parameter!$K$7)-(AO660-AK660))/AK660)))</f>
        <v/>
      </c>
      <c r="AQ660" s="55">
        <f>IF(LEFT(Cockpit!$O$5,1)="A",G660,IF(BT660=1,BU660,IF(LEFT(Cockpit!$O$5,1)="B",AU660,MAX(AU660,G660))))</f>
        <v/>
      </c>
      <c r="AR660" s="55">
        <f>IF(BO660=1,0,ROUNDUP(AQ660/BN660,0))</f>
        <v/>
      </c>
      <c r="AS660" s="64">
        <f>IF(BO660=1,IF(AQ660&lt;=0,0,BP660*MAX(1,IF(G660&gt;0,AQ660/G660,1))),AR660*Q660)</f>
        <v/>
      </c>
      <c r="AT660" s="55">
        <f>AQ660*F660</f>
        <v/>
      </c>
      <c r="AU660" s="55">
        <f>ROUNDUP(MAX(I660/IF(BS660&gt;0,BS660,MAX(0.1,N(Cockpit!$O$6))),BV660)/BN660,0)*BN660</f>
        <v/>
      </c>
      <c r="AV660" s="56">
        <f>IF(AS660&gt;0,I660/AS660,-1)</f>
        <v/>
      </c>
      <c r="AW660" s="56">
        <f>IF(AND(OR(BR660="L1",BR660="L23"),AS660&gt;0),SUMIFS($AS$7:$AS$1570,$BR$7:$BR$1570,BR660,$AV$7:$AV$1570,"&gt;"&amp;AV660)+SUMIFS($AS$7:$AS$1570,$BR$7:$BR$1570,BR660,$AV$7:$AV$1570,AV660,$BL$7:$BL$1570,"&lt;="&amp;BL660),"")</f>
        <v/>
      </c>
      <c r="AX660" s="65">
        <f>IF(AW660="",0,MAX(0,MIN(1,(IF(BR660="L1",Parameter!$K$5,Parameter!$K$6+Parameter!$K$7)-(AW660-AS660))/AS660)))</f>
        <v/>
      </c>
      <c r="AY660" s="53">
        <f>IF(AC660&lt;=0,"",IF(BR660="Aussen","Aussenlager",IF(BR660="-","Nicht im Lift",IF(AH660&gt;=1,"Lift",IF(AH660&lt;=0,"Aussenlager","teilweise")))))</f>
        <v/>
      </c>
      <c r="AZ660" s="53">
        <f>IF(AK660&lt;=0,"",IF(BR660="Aussen","Aussenlager",IF(BR660="-","Nicht im Lift",IF(AP660&gt;=1,"Lift",IF(AP660&lt;=0,"Aussenlager","teilweise")))))</f>
        <v/>
      </c>
      <c r="BA660" s="53">
        <f>IF(AS660&lt;=0,"",IF(BR660="Aussen","Aussenlager",IF(BR660="-","Nicht im Lift",IF(AX660&gt;=1,"Lift",IF(AX660&lt;=0,"Aussenlager","teilweise")))))</f>
        <v/>
      </c>
      <c r="BB660" s="53">
        <f>IF(A660="","",IF(BK660=1,"Neu; ","")&amp;IF(AND(BK660=0,BF660&lt;0),"negativer Bestand (Export "&amp;BF660&amp;"); ","")&amp;IF(I660&lt;=0,"Kein Verbrauch; ","")&amp;IF(BO660=1,"Lose – Fläche geschätzt; ","")&amp;IF(G660&gt;AM660,"Überbestand "&amp;ROUND(G660-AM660,0)&amp;" Stk / CHF "&amp;ROUND((G660-AM660)*F660,0)&amp;"; ","")&amp;IF(AND(BT660=1,BU660&lt;BV660),"MAX &lt; MB+LG; ","")&amp;IF(AND(BZ660&gt;0,BY660*10&gt;BZ660),"zu hoch für Tablar; ","")&amp;IF(AND(BK660=0,OR(BT660=1,V660&lt;&gt;"",S660&lt;&gt;"",T660&lt;&gt;"",W660&lt;&gt;"")),"manuell übersteuert; ","")&amp;IF(AND(BO660=0,Q660=0),"Gebinde unbekannt; ","")&amp;IF(AND(BO660=0,N(T660)&lt;=0,N(P660)&lt;=0),"Menge pro Gebinde fehlt (Ist = 1 Gebinde); ","")&amp;BJ660)</f>
        <v/>
      </c>
      <c r="BC660" s="53" t="n"/>
      <c r="BD660" s="53" t="n"/>
      <c r="BE660" s="61" t="n"/>
      <c r="BF660" s="55" t="n">
        <v>0</v>
      </c>
      <c r="BG660" s="55" t="n">
        <v>0</v>
      </c>
      <c r="BH660" s="54" t="n">
        <v>2.842170943040401e-14</v>
      </c>
      <c r="BI660" s="55" t="n">
        <v>2</v>
      </c>
      <c r="BJ660" s="53" t="inlineStr"/>
      <c r="BK660" s="58" t="n">
        <v>0</v>
      </c>
      <c r="BL660" s="58" t="n">
        <v>660</v>
      </c>
      <c r="BM660" s="53">
        <f>IF(S660&lt;&gt;"",UPPER(TRIM(S660)),IF(O660="","LOSE",O660))</f>
        <v/>
      </c>
      <c r="BN660" s="55">
        <f>IF(BM660="LOSE",1,IF(N(T660)&gt;0,T660,IF(N(P660)&gt;0,P660,MAX(1,G660))))</f>
        <v/>
      </c>
      <c r="BO660" s="58">
        <f>IF(BM660="LOSE",1,0)</f>
        <v/>
      </c>
      <c r="BP660" s="64">
        <f>IF(BO660=0,0,IF(N(R660)&gt;0,R660,IFERROR(VLOOKUP(D660,Parameter!$A$35:$C$64,3,0)+0,0)))</f>
        <v/>
      </c>
      <c r="BQ660" s="53">
        <f>IF(V660&lt;&gt;"",V660,U660)</f>
        <v/>
      </c>
      <c r="BR660" s="53">
        <f>IF(BQ660=1,"L1",IF(OR(BQ660=2,BQ660=3),"L23",IF(BQ660="Aussen","Aussen","-")))</f>
        <v/>
      </c>
      <c r="BS660" s="66">
        <f>IF(N(W660)&gt;0,W660,0)</f>
        <v/>
      </c>
      <c r="BT660" s="58">
        <f>IF(ISNUMBER(Z660),1,0)</f>
        <v/>
      </c>
      <c r="BU660" s="55">
        <f>N(Z660)</f>
        <v/>
      </c>
      <c r="BV660" s="55">
        <f>N(L660)+N(M660)</f>
        <v/>
      </c>
      <c r="BW660" s="55">
        <f>ROUNDUP(G660/BN660,0)</f>
        <v/>
      </c>
      <c r="BX660" s="55">
        <f>ROUNDUP(BU660/BN660,0)</f>
        <v/>
      </c>
      <c r="BY660" s="58">
        <f>IF(BO660=1,0,IFERROR(VLOOKUP(BM660,'Gebinde-Kategorie'!$A$5:$G$45,5,0)+0,0))</f>
        <v/>
      </c>
      <c r="BZ660" s="58">
        <f>IFERROR(IF(OR(BQ660=1,BQ660=2,BQ660=3),N(INDEX(Parameter!$I$5:$I$7,BQ660)),0),0)</f>
        <v/>
      </c>
    </row>
    <row r="661">
      <c r="A661" s="53" t="inlineStr">
        <is>
          <t>110791</t>
        </is>
      </c>
      <c r="B661" s="53" t="inlineStr">
        <is>
          <t>Dichtung</t>
        </is>
      </c>
      <c r="C661" s="53" t="inlineStr">
        <is>
          <t>F</t>
        </is>
      </c>
      <c r="D661" s="53" t="inlineStr">
        <is>
          <t>A-BEZ</t>
        </is>
      </c>
      <c r="E661" s="53" t="inlineStr">
        <is>
          <t>C</t>
        </is>
      </c>
      <c r="F661" s="54" t="n">
        <v>161.29</v>
      </c>
      <c r="G661" s="55">
        <f>MAX(0,IF(Parameter!$B$20="Jahresanfang 2025 + Export",BG661+BF661,BF661))</f>
        <v/>
      </c>
      <c r="H661" s="55">
        <f>G661*F661</f>
        <v/>
      </c>
      <c r="I661" s="55">
        <f>BI661*Parameter!$B$18</f>
        <v/>
      </c>
      <c r="J661" s="56" t="n">
        <v>0</v>
      </c>
      <c r="K661" s="57" t="n">
        <v>0</v>
      </c>
      <c r="L661" s="55" t="n">
        <v>0</v>
      </c>
      <c r="M661" s="55" t="n">
        <v>1</v>
      </c>
      <c r="N661" s="58" t="n">
        <v>105</v>
      </c>
      <c r="O661" s="53" t="inlineStr">
        <is>
          <t>LOSE</t>
        </is>
      </c>
      <c r="P661" s="55" t="n"/>
      <c r="Q661" s="59">
        <f>IF(BO661=1,0,IFERROR(VLOOKUP(BM661,'Gebinde-Kategorie'!$A$5:$G$45,6,0)+0,0))</f>
        <v/>
      </c>
      <c r="R661" s="60" t="n"/>
      <c r="S661" s="61" t="n"/>
      <c r="T661" s="61" t="n"/>
      <c r="U661" s="53">
        <f>IF(A661="","",IF(IFERROR(VLOOKUP(D661,Parameter!$A$35:$C$64,2,0),"Nein")="2+3",IF(ISNUMBER(SEARCH("grosser Artikel",BJ661)),2,IFERROR(VLOOKUP(BM661,Parameter!$F$35:$G$64,2,0),2)),IF(OR(IFERROR(VLOOKUP(D661,Parameter!$A$35:$C$64,2,0),"Nein")="Nein",IFERROR(VLOOKUP(D661,Parameter!$A$35:$C$64,2,0),"Nein")=""),"-",VLOOKUP(D661,Parameter!$A$35:$C$64,2,0))))</f>
        <v/>
      </c>
      <c r="V661" s="61" t="n"/>
      <c r="W661" s="62" t="n"/>
      <c r="X661" s="55">
        <f>AM661</f>
        <v/>
      </c>
      <c r="Y661" s="55">
        <f>MAX(AM661,G661)</f>
        <v/>
      </c>
      <c r="Z661" s="63" t="n"/>
      <c r="AA661" s="55">
        <f>IF(LEFT(Cockpit!$C$5,1)="A",G661,IF(BT661=1,BU661,IF(LEFT(Cockpit!$C$5,1)="B",AE661,MAX(AE661,G661))))</f>
        <v/>
      </c>
      <c r="AB661" s="55">
        <f>IF(BO661=1,0,ROUNDUP(AA661/BN661,0))</f>
        <v/>
      </c>
      <c r="AC661" s="64">
        <f>IF(BO661=1,IF(AA661&lt;=0,0,BP661*MAX(1,IF(G661&gt;0,AA661/G661,1))),AB661*Q661)</f>
        <v/>
      </c>
      <c r="AD661" s="55">
        <f>AA661*F661</f>
        <v/>
      </c>
      <c r="AE661" s="55">
        <f>ROUNDUP(MAX(I661/IF(BS661&gt;0,BS661,MAX(0.1,N(Cockpit!$C$6))),BV661)/BN661,0)*BN661</f>
        <v/>
      </c>
      <c r="AF661" s="56">
        <f>IF(AC661&gt;0,I661/AC661,-1)</f>
        <v/>
      </c>
      <c r="AG661" s="56">
        <f>IF(AND(OR(BR661="L1",BR661="L23"),AC661&gt;0),SUMIFS($AC$7:$AC$1570,$BR$7:$BR$1570,BR661,$AF$7:$AF$1570,"&gt;"&amp;AF661)+SUMIFS($AC$7:$AC$1570,$BR$7:$BR$1570,BR661,$AF$7:$AF$1570,AF661,$BL$7:$BL$1570,"&lt;="&amp;BL661),"")</f>
        <v/>
      </c>
      <c r="AH661" s="65">
        <f>IF(AG661="",0,MAX(0,MIN(1,(IF(BR661="L1",Parameter!$K$5,Parameter!$K$6+Parameter!$K$7)-(AG661-AC661))/AC661)))</f>
        <v/>
      </c>
      <c r="AI661" s="55">
        <f>IF(LEFT(Cockpit!$I$5,1)="A",G661,IF(BT661=1,BU661,IF(LEFT(Cockpit!$I$5,1)="B",AM661,MAX(AM661,G661))))</f>
        <v/>
      </c>
      <c r="AJ661" s="55">
        <f>IF(BO661=1,0,ROUNDUP(AI661/BN661,0))</f>
        <v/>
      </c>
      <c r="AK661" s="64">
        <f>IF(BO661=1,IF(AI661&lt;=0,0,BP661*MAX(1,IF(G661&gt;0,AI661/G661,1))),AJ661*Q661)</f>
        <v/>
      </c>
      <c r="AL661" s="55">
        <f>AI661*F661</f>
        <v/>
      </c>
      <c r="AM661" s="55">
        <f>ROUNDUP(MAX(I661/IF(BS661&gt;0,BS661,MAX(0.1,N(Cockpit!$I$6))),BV661)/BN661,0)*BN661</f>
        <v/>
      </c>
      <c r="AN661" s="56">
        <f>IF(AK661&gt;0,I661/AK661,-1)</f>
        <v/>
      </c>
      <c r="AO661" s="56">
        <f>IF(AND(OR(BR661="L1",BR661="L23"),AK661&gt;0),SUMIFS($AK$7:$AK$1570,$BR$7:$BR$1570,BR661,$AN$7:$AN$1570,"&gt;"&amp;AN661)+SUMIFS($AK$7:$AK$1570,$BR$7:$BR$1570,BR661,$AN$7:$AN$1570,AN661,$BL$7:$BL$1570,"&lt;="&amp;BL661),"")</f>
        <v/>
      </c>
      <c r="AP661" s="65">
        <f>IF(AO661="",0,MAX(0,MIN(1,(IF(BR661="L1",Parameter!$K$5,Parameter!$K$6+Parameter!$K$7)-(AO661-AK661))/AK661)))</f>
        <v/>
      </c>
      <c r="AQ661" s="55">
        <f>IF(LEFT(Cockpit!$O$5,1)="A",G661,IF(BT661=1,BU661,IF(LEFT(Cockpit!$O$5,1)="B",AU661,MAX(AU661,G661))))</f>
        <v/>
      </c>
      <c r="AR661" s="55">
        <f>IF(BO661=1,0,ROUNDUP(AQ661/BN661,0))</f>
        <v/>
      </c>
      <c r="AS661" s="64">
        <f>IF(BO661=1,IF(AQ661&lt;=0,0,BP661*MAX(1,IF(G661&gt;0,AQ661/G661,1))),AR661*Q661)</f>
        <v/>
      </c>
      <c r="AT661" s="55">
        <f>AQ661*F661</f>
        <v/>
      </c>
      <c r="AU661" s="55">
        <f>ROUNDUP(MAX(I661/IF(BS661&gt;0,BS661,MAX(0.1,N(Cockpit!$O$6))),BV661)/BN661,0)*BN661</f>
        <v/>
      </c>
      <c r="AV661" s="56">
        <f>IF(AS661&gt;0,I661/AS661,-1)</f>
        <v/>
      </c>
      <c r="AW661" s="56">
        <f>IF(AND(OR(BR661="L1",BR661="L23"),AS661&gt;0),SUMIFS($AS$7:$AS$1570,$BR$7:$BR$1570,BR661,$AV$7:$AV$1570,"&gt;"&amp;AV661)+SUMIFS($AS$7:$AS$1570,$BR$7:$BR$1570,BR661,$AV$7:$AV$1570,AV661,$BL$7:$BL$1570,"&lt;="&amp;BL661),"")</f>
        <v/>
      </c>
      <c r="AX661" s="65">
        <f>IF(AW661="",0,MAX(0,MIN(1,(IF(BR661="L1",Parameter!$K$5,Parameter!$K$6+Parameter!$K$7)-(AW661-AS661))/AS661)))</f>
        <v/>
      </c>
      <c r="AY661" s="53">
        <f>IF(AC661&lt;=0,"",IF(BR661="Aussen","Aussenlager",IF(BR661="-","Nicht im Lift",IF(AH661&gt;=1,"Lift",IF(AH661&lt;=0,"Aussenlager","teilweise")))))</f>
        <v/>
      </c>
      <c r="AZ661" s="53">
        <f>IF(AK661&lt;=0,"",IF(BR661="Aussen","Aussenlager",IF(BR661="-","Nicht im Lift",IF(AP661&gt;=1,"Lift",IF(AP661&lt;=0,"Aussenlager","teilweise")))))</f>
        <v/>
      </c>
      <c r="BA661" s="53">
        <f>IF(AS661&lt;=0,"",IF(BR661="Aussen","Aussenlager",IF(BR661="-","Nicht im Lift",IF(AX661&gt;=1,"Lift",IF(AX661&lt;=0,"Aussenlager","teilweise")))))</f>
        <v/>
      </c>
      <c r="BB661" s="53">
        <f>IF(A661="","",IF(BK661=1,"Neu; ","")&amp;IF(AND(BK661=0,BF661&lt;0),"negativer Bestand (Export "&amp;BF661&amp;"); ","")&amp;IF(I661&lt;=0,"Kein Verbrauch; ","")&amp;IF(BO661=1,"Lose – Fläche geschätzt; ","")&amp;IF(G661&gt;AM661,"Überbestand "&amp;ROUND(G661-AM661,0)&amp;" Stk / CHF "&amp;ROUND((G661-AM661)*F661,0)&amp;"; ","")&amp;IF(AND(BT661=1,BU661&lt;BV661),"MAX &lt; MB+LG; ","")&amp;IF(AND(BZ661&gt;0,BY661*10&gt;BZ661),"zu hoch für Tablar; ","")&amp;IF(AND(BK661=0,OR(BT661=1,V661&lt;&gt;"",S661&lt;&gt;"",T661&lt;&gt;"",W661&lt;&gt;"")),"manuell übersteuert; ","")&amp;IF(AND(BO661=0,Q661=0),"Gebinde unbekannt; ","")&amp;IF(AND(BO661=0,N(T661)&lt;=0,N(P661)&lt;=0),"Menge pro Gebinde fehlt (Ist = 1 Gebinde); ","")&amp;BJ661)</f>
        <v/>
      </c>
      <c r="BC661" s="53" t="n"/>
      <c r="BD661" s="53" t="n"/>
      <c r="BE661" s="61" t="n"/>
      <c r="BF661" s="55" t="n">
        <v>0</v>
      </c>
      <c r="BG661" s="55" t="n">
        <v>0</v>
      </c>
      <c r="BH661" s="54" t="n">
        <v>1.81903103690928e-14</v>
      </c>
      <c r="BI661" s="55" t="n">
        <v>4</v>
      </c>
      <c r="BJ661" s="53" t="inlineStr"/>
      <c r="BK661" s="58" t="n">
        <v>0</v>
      </c>
      <c r="BL661" s="58" t="n">
        <v>661</v>
      </c>
      <c r="BM661" s="53">
        <f>IF(S661&lt;&gt;"",UPPER(TRIM(S661)),IF(O661="","LOSE",O661))</f>
        <v/>
      </c>
      <c r="BN661" s="55">
        <f>IF(BM661="LOSE",1,IF(N(T661)&gt;0,T661,IF(N(P661)&gt;0,P661,MAX(1,G661))))</f>
        <v/>
      </c>
      <c r="BO661" s="58">
        <f>IF(BM661="LOSE",1,0)</f>
        <v/>
      </c>
      <c r="BP661" s="64">
        <f>IF(BO661=0,0,IF(N(R661)&gt;0,R661,IFERROR(VLOOKUP(D661,Parameter!$A$35:$C$64,3,0)+0,0)))</f>
        <v/>
      </c>
      <c r="BQ661" s="53">
        <f>IF(V661&lt;&gt;"",V661,U661)</f>
        <v/>
      </c>
      <c r="BR661" s="53">
        <f>IF(BQ661=1,"L1",IF(OR(BQ661=2,BQ661=3),"L23",IF(BQ661="Aussen","Aussen","-")))</f>
        <v/>
      </c>
      <c r="BS661" s="66">
        <f>IF(N(W661)&gt;0,W661,0)</f>
        <v/>
      </c>
      <c r="BT661" s="58">
        <f>IF(ISNUMBER(Z661),1,0)</f>
        <v/>
      </c>
      <c r="BU661" s="55">
        <f>N(Z661)</f>
        <v/>
      </c>
      <c r="BV661" s="55">
        <f>N(L661)+N(M661)</f>
        <v/>
      </c>
      <c r="BW661" s="55">
        <f>ROUNDUP(G661/BN661,0)</f>
        <v/>
      </c>
      <c r="BX661" s="55">
        <f>ROUNDUP(BU661/BN661,0)</f>
        <v/>
      </c>
      <c r="BY661" s="58">
        <f>IF(BO661=1,0,IFERROR(VLOOKUP(BM661,'Gebinde-Kategorie'!$A$5:$G$45,5,0)+0,0))</f>
        <v/>
      </c>
      <c r="BZ661" s="58">
        <f>IFERROR(IF(OR(BQ661=1,BQ661=2,BQ661=3),N(INDEX(Parameter!$I$5:$I$7,BQ661)),0),0)</f>
        <v/>
      </c>
    </row>
    <row r="662">
      <c r="A662" s="53" t="inlineStr">
        <is>
          <t>110898</t>
        </is>
      </c>
      <c r="B662" s="53" t="inlineStr">
        <is>
          <t>Sechskantmutter</t>
        </is>
      </c>
      <c r="C662" s="53" t="inlineStr">
        <is>
          <t>F</t>
        </is>
      </c>
      <c r="D662" s="53" t="inlineStr">
        <is>
          <t>A-BEZ</t>
        </is>
      </c>
      <c r="E662" s="53" t="inlineStr">
        <is>
          <t>C</t>
        </is>
      </c>
      <c r="F662" s="54" t="n">
        <v>0.27</v>
      </c>
      <c r="G662" s="55">
        <f>MAX(0,IF(Parameter!$B$20="Jahresanfang 2025 + Export",BG662+BF662,BF662))</f>
        <v/>
      </c>
      <c r="H662" s="55">
        <f>G662*F662</f>
        <v/>
      </c>
      <c r="I662" s="55">
        <f>BI662*Parameter!$B$18</f>
        <v/>
      </c>
      <c r="J662" s="56" t="n">
        <v>0</v>
      </c>
      <c r="K662" s="57" t="n">
        <v>0</v>
      </c>
      <c r="L662" s="55" t="n">
        <v>0</v>
      </c>
      <c r="M662" s="55" t="n">
        <v>1</v>
      </c>
      <c r="N662" s="58" t="n">
        <v>28</v>
      </c>
      <c r="O662" s="53" t="inlineStr">
        <is>
          <t>LOSE</t>
        </is>
      </c>
      <c r="P662" s="55" t="n"/>
      <c r="Q662" s="59">
        <f>IF(BO662=1,0,IFERROR(VLOOKUP(BM662,'Gebinde-Kategorie'!$A$5:$G$45,6,0)+0,0))</f>
        <v/>
      </c>
      <c r="R662" s="60" t="n"/>
      <c r="S662" s="61" t="n"/>
      <c r="T662" s="61" t="n"/>
      <c r="U662" s="53">
        <f>IF(A662="","",IF(IFERROR(VLOOKUP(D662,Parameter!$A$35:$C$64,2,0),"Nein")="2+3",IF(ISNUMBER(SEARCH("grosser Artikel",BJ662)),2,IFERROR(VLOOKUP(BM662,Parameter!$F$35:$G$64,2,0),2)),IF(OR(IFERROR(VLOOKUP(D662,Parameter!$A$35:$C$64,2,0),"Nein")="Nein",IFERROR(VLOOKUP(D662,Parameter!$A$35:$C$64,2,0),"Nein")=""),"-",VLOOKUP(D662,Parameter!$A$35:$C$64,2,0))))</f>
        <v/>
      </c>
      <c r="V662" s="61" t="n"/>
      <c r="W662" s="62" t="n"/>
      <c r="X662" s="55">
        <f>AM662</f>
        <v/>
      </c>
      <c r="Y662" s="55">
        <f>MAX(AM662,G662)</f>
        <v/>
      </c>
      <c r="Z662" s="63" t="n"/>
      <c r="AA662" s="55">
        <f>IF(LEFT(Cockpit!$C$5,1)="A",G662,IF(BT662=1,BU662,IF(LEFT(Cockpit!$C$5,1)="B",AE662,MAX(AE662,G662))))</f>
        <v/>
      </c>
      <c r="AB662" s="55">
        <f>IF(BO662=1,0,ROUNDUP(AA662/BN662,0))</f>
        <v/>
      </c>
      <c r="AC662" s="64">
        <f>IF(BO662=1,IF(AA662&lt;=0,0,BP662*MAX(1,IF(G662&gt;0,AA662/G662,1))),AB662*Q662)</f>
        <v/>
      </c>
      <c r="AD662" s="55">
        <f>AA662*F662</f>
        <v/>
      </c>
      <c r="AE662" s="55">
        <f>ROUNDUP(MAX(I662/IF(BS662&gt;0,BS662,MAX(0.1,N(Cockpit!$C$6))),BV662)/BN662,0)*BN662</f>
        <v/>
      </c>
      <c r="AF662" s="56">
        <f>IF(AC662&gt;0,I662/AC662,-1)</f>
        <v/>
      </c>
      <c r="AG662" s="56">
        <f>IF(AND(OR(BR662="L1",BR662="L23"),AC662&gt;0),SUMIFS($AC$7:$AC$1570,$BR$7:$BR$1570,BR662,$AF$7:$AF$1570,"&gt;"&amp;AF662)+SUMIFS($AC$7:$AC$1570,$BR$7:$BR$1570,BR662,$AF$7:$AF$1570,AF662,$BL$7:$BL$1570,"&lt;="&amp;BL662),"")</f>
        <v/>
      </c>
      <c r="AH662" s="65">
        <f>IF(AG662="",0,MAX(0,MIN(1,(IF(BR662="L1",Parameter!$K$5,Parameter!$K$6+Parameter!$K$7)-(AG662-AC662))/AC662)))</f>
        <v/>
      </c>
      <c r="AI662" s="55">
        <f>IF(LEFT(Cockpit!$I$5,1)="A",G662,IF(BT662=1,BU662,IF(LEFT(Cockpit!$I$5,1)="B",AM662,MAX(AM662,G662))))</f>
        <v/>
      </c>
      <c r="AJ662" s="55">
        <f>IF(BO662=1,0,ROUNDUP(AI662/BN662,0))</f>
        <v/>
      </c>
      <c r="AK662" s="64">
        <f>IF(BO662=1,IF(AI662&lt;=0,0,BP662*MAX(1,IF(G662&gt;0,AI662/G662,1))),AJ662*Q662)</f>
        <v/>
      </c>
      <c r="AL662" s="55">
        <f>AI662*F662</f>
        <v/>
      </c>
      <c r="AM662" s="55">
        <f>ROUNDUP(MAX(I662/IF(BS662&gt;0,BS662,MAX(0.1,N(Cockpit!$I$6))),BV662)/BN662,0)*BN662</f>
        <v/>
      </c>
      <c r="AN662" s="56">
        <f>IF(AK662&gt;0,I662/AK662,-1)</f>
        <v/>
      </c>
      <c r="AO662" s="56">
        <f>IF(AND(OR(BR662="L1",BR662="L23"),AK662&gt;0),SUMIFS($AK$7:$AK$1570,$BR$7:$BR$1570,BR662,$AN$7:$AN$1570,"&gt;"&amp;AN662)+SUMIFS($AK$7:$AK$1570,$BR$7:$BR$1570,BR662,$AN$7:$AN$1570,AN662,$BL$7:$BL$1570,"&lt;="&amp;BL662),"")</f>
        <v/>
      </c>
      <c r="AP662" s="65">
        <f>IF(AO662="",0,MAX(0,MIN(1,(IF(BR662="L1",Parameter!$K$5,Parameter!$K$6+Parameter!$K$7)-(AO662-AK662))/AK662)))</f>
        <v/>
      </c>
      <c r="AQ662" s="55">
        <f>IF(LEFT(Cockpit!$O$5,1)="A",G662,IF(BT662=1,BU662,IF(LEFT(Cockpit!$O$5,1)="B",AU662,MAX(AU662,G662))))</f>
        <v/>
      </c>
      <c r="AR662" s="55">
        <f>IF(BO662=1,0,ROUNDUP(AQ662/BN662,0))</f>
        <v/>
      </c>
      <c r="AS662" s="64">
        <f>IF(BO662=1,IF(AQ662&lt;=0,0,BP662*MAX(1,IF(G662&gt;0,AQ662/G662,1))),AR662*Q662)</f>
        <v/>
      </c>
      <c r="AT662" s="55">
        <f>AQ662*F662</f>
        <v/>
      </c>
      <c r="AU662" s="55">
        <f>ROUNDUP(MAX(I662/IF(BS662&gt;0,BS662,MAX(0.1,N(Cockpit!$O$6))),BV662)/BN662,0)*BN662</f>
        <v/>
      </c>
      <c r="AV662" s="56">
        <f>IF(AS662&gt;0,I662/AS662,-1)</f>
        <v/>
      </c>
      <c r="AW662" s="56">
        <f>IF(AND(OR(BR662="L1",BR662="L23"),AS662&gt;0),SUMIFS($AS$7:$AS$1570,$BR$7:$BR$1570,BR662,$AV$7:$AV$1570,"&gt;"&amp;AV662)+SUMIFS($AS$7:$AS$1570,$BR$7:$BR$1570,BR662,$AV$7:$AV$1570,AV662,$BL$7:$BL$1570,"&lt;="&amp;BL662),"")</f>
        <v/>
      </c>
      <c r="AX662" s="65">
        <f>IF(AW662="",0,MAX(0,MIN(1,(IF(BR662="L1",Parameter!$K$5,Parameter!$K$6+Parameter!$K$7)-(AW662-AS662))/AS662)))</f>
        <v/>
      </c>
      <c r="AY662" s="53">
        <f>IF(AC662&lt;=0,"",IF(BR662="Aussen","Aussenlager",IF(BR662="-","Nicht im Lift",IF(AH662&gt;=1,"Lift",IF(AH662&lt;=0,"Aussenlager","teilweise")))))</f>
        <v/>
      </c>
      <c r="AZ662" s="53">
        <f>IF(AK662&lt;=0,"",IF(BR662="Aussen","Aussenlager",IF(BR662="-","Nicht im Lift",IF(AP662&gt;=1,"Lift",IF(AP662&lt;=0,"Aussenlager","teilweise")))))</f>
        <v/>
      </c>
      <c r="BA662" s="53">
        <f>IF(AS662&lt;=0,"",IF(BR662="Aussen","Aussenlager",IF(BR662="-","Nicht im Lift",IF(AX662&gt;=1,"Lift",IF(AX662&lt;=0,"Aussenlager","teilweise")))))</f>
        <v/>
      </c>
      <c r="BB662" s="53">
        <f>IF(A662="","",IF(BK662=1,"Neu; ","")&amp;IF(AND(BK662=0,BF662&lt;0),"negativer Bestand (Export "&amp;BF662&amp;"); ","")&amp;IF(I662&lt;=0,"Kein Verbrauch; ","")&amp;IF(BO662=1,"Lose – Fläche geschätzt; ","")&amp;IF(G662&gt;AM662,"Überbestand "&amp;ROUND(G662-AM662,0)&amp;" Stk / CHF "&amp;ROUND((G662-AM662)*F662,0)&amp;"; ","")&amp;IF(AND(BT662=1,BU662&lt;BV662),"MAX &lt; MB+LG; ","")&amp;IF(AND(BZ662&gt;0,BY662*10&gt;BZ662),"zu hoch für Tablar; ","")&amp;IF(AND(BK662=0,OR(BT662=1,V662&lt;&gt;"",S662&lt;&gt;"",T662&lt;&gt;"",W662&lt;&gt;"")),"manuell übersteuert; ","")&amp;IF(AND(BO662=0,Q662=0),"Gebinde unbekannt; ","")&amp;IF(AND(BO662=0,N(T662)&lt;=0,N(P662)&lt;=0),"Menge pro Gebinde fehlt (Ist = 1 Gebinde); ","")&amp;BJ662)</f>
        <v/>
      </c>
      <c r="BC662" s="53" t="n"/>
      <c r="BD662" s="53" t="n"/>
      <c r="BE662" s="61" t="n"/>
      <c r="BF662" s="55" t="n">
        <v>0</v>
      </c>
      <c r="BG662" s="55" t="n">
        <v>0</v>
      </c>
      <c r="BH662" s="54" t="n">
        <v>8.881784197001252e-16</v>
      </c>
      <c r="BI662" s="55" t="n">
        <v>60</v>
      </c>
      <c r="BJ662" s="53" t="inlineStr"/>
      <c r="BK662" s="58" t="n">
        <v>0</v>
      </c>
      <c r="BL662" s="58" t="n">
        <v>662</v>
      </c>
      <c r="BM662" s="53">
        <f>IF(S662&lt;&gt;"",UPPER(TRIM(S662)),IF(O662="","LOSE",O662))</f>
        <v/>
      </c>
      <c r="BN662" s="55">
        <f>IF(BM662="LOSE",1,IF(N(T662)&gt;0,T662,IF(N(P662)&gt;0,P662,MAX(1,G662))))</f>
        <v/>
      </c>
      <c r="BO662" s="58">
        <f>IF(BM662="LOSE",1,0)</f>
        <v/>
      </c>
      <c r="BP662" s="64">
        <f>IF(BO662=0,0,IF(N(R662)&gt;0,R662,IFERROR(VLOOKUP(D662,Parameter!$A$35:$C$64,3,0)+0,0)))</f>
        <v/>
      </c>
      <c r="BQ662" s="53">
        <f>IF(V662&lt;&gt;"",V662,U662)</f>
        <v/>
      </c>
      <c r="BR662" s="53">
        <f>IF(BQ662=1,"L1",IF(OR(BQ662=2,BQ662=3),"L23",IF(BQ662="Aussen","Aussen","-")))</f>
        <v/>
      </c>
      <c r="BS662" s="66">
        <f>IF(N(W662)&gt;0,W662,0)</f>
        <v/>
      </c>
      <c r="BT662" s="58">
        <f>IF(ISNUMBER(Z662),1,0)</f>
        <v/>
      </c>
      <c r="BU662" s="55">
        <f>N(Z662)</f>
        <v/>
      </c>
      <c r="BV662" s="55">
        <f>N(L662)+N(M662)</f>
        <v/>
      </c>
      <c r="BW662" s="55">
        <f>ROUNDUP(G662/BN662,0)</f>
        <v/>
      </c>
      <c r="BX662" s="55">
        <f>ROUNDUP(BU662/BN662,0)</f>
        <v/>
      </c>
      <c r="BY662" s="58">
        <f>IF(BO662=1,0,IFERROR(VLOOKUP(BM662,'Gebinde-Kategorie'!$A$5:$G$45,5,0)+0,0))</f>
        <v/>
      </c>
      <c r="BZ662" s="58">
        <f>IFERROR(IF(OR(BQ662=1,BQ662=2,BQ662=3),N(INDEX(Parameter!$I$5:$I$7,BQ662)),0),0)</f>
        <v/>
      </c>
    </row>
    <row r="663">
      <c r="A663" s="53" t="inlineStr">
        <is>
          <t>ZE-000001</t>
        </is>
      </c>
      <c r="B663" s="53" t="inlineStr">
        <is>
          <t>EP Zertifikat</t>
        </is>
      </c>
      <c r="C663" s="53" t="inlineStr">
        <is>
          <t>F</t>
        </is>
      </c>
      <c r="D663" s="53" t="inlineStr">
        <is>
          <t>PAL</t>
        </is>
      </c>
      <c r="E663" s="53" t="inlineStr">
        <is>
          <t>C</t>
        </is>
      </c>
      <c r="F663" s="54" t="n">
        <v>0.01</v>
      </c>
      <c r="G663" s="55">
        <f>MAX(0,IF(Parameter!$B$20="Jahresanfang 2025 + Export",BG663+BF663,BF663))</f>
        <v/>
      </c>
      <c r="H663" s="55">
        <f>G663*F663</f>
        <v/>
      </c>
      <c r="I663" s="55">
        <f>BI663*Parameter!$B$18</f>
        <v/>
      </c>
      <c r="J663" s="56" t="n">
        <v>50</v>
      </c>
      <c r="K663" s="57" t="n">
        <v>0.62</v>
      </c>
      <c r="L663" s="55" t="n">
        <v>0</v>
      </c>
      <c r="M663" s="55" t="n">
        <v>1</v>
      </c>
      <c r="N663" s="58" t="n">
        <v>0</v>
      </c>
      <c r="O663" s="53" t="inlineStr">
        <is>
          <t>LOSE</t>
        </is>
      </c>
      <c r="P663" s="55" t="n"/>
      <c r="Q663" s="59">
        <f>IF(BO663=1,0,IFERROR(VLOOKUP(BM663,'Gebinde-Kategorie'!$A$5:$G$45,6,0)+0,0))</f>
        <v/>
      </c>
      <c r="R663" s="60" t="n"/>
      <c r="S663" s="61" t="n"/>
      <c r="T663" s="61" t="n"/>
      <c r="U663" s="53">
        <f>IF(A663="","",IF(IFERROR(VLOOKUP(D663,Parameter!$A$35:$C$64,2,0),"Nein")="2+3",IF(ISNUMBER(SEARCH("grosser Artikel",BJ663)),2,IFERROR(VLOOKUP(BM663,Parameter!$F$35:$G$64,2,0),2)),IF(OR(IFERROR(VLOOKUP(D663,Parameter!$A$35:$C$64,2,0),"Nein")="Nein",IFERROR(VLOOKUP(D663,Parameter!$A$35:$C$64,2,0),"Nein")=""),"-",VLOOKUP(D663,Parameter!$A$35:$C$64,2,0))))</f>
        <v/>
      </c>
      <c r="V663" s="61" t="n"/>
      <c r="W663" s="62" t="n"/>
      <c r="X663" s="55">
        <f>AM663</f>
        <v/>
      </c>
      <c r="Y663" s="55">
        <f>MAX(AM663,G663)</f>
        <v/>
      </c>
      <c r="Z663" s="63" t="n"/>
      <c r="AA663" s="55">
        <f>IF(LEFT(Cockpit!$C$5,1)="A",G663,IF(BT663=1,BU663,IF(LEFT(Cockpit!$C$5,1)="B",AE663,MAX(AE663,G663))))</f>
        <v/>
      </c>
      <c r="AB663" s="55">
        <f>IF(BO663=1,0,ROUNDUP(AA663/BN663,0))</f>
        <v/>
      </c>
      <c r="AC663" s="64">
        <f>IF(BO663=1,IF(AA663&lt;=0,0,BP663*MAX(1,IF(G663&gt;0,AA663/G663,1))),AB663*Q663)</f>
        <v/>
      </c>
      <c r="AD663" s="55">
        <f>AA663*F663</f>
        <v/>
      </c>
      <c r="AE663" s="55">
        <f>ROUNDUP(MAX(I663/IF(BS663&gt;0,BS663,MAX(0.1,N(Cockpit!$C$6))),BV663)/BN663,0)*BN663</f>
        <v/>
      </c>
      <c r="AF663" s="56">
        <f>IF(AC663&gt;0,I663/AC663,-1)</f>
        <v/>
      </c>
      <c r="AG663" s="56">
        <f>IF(AND(OR(BR663="L1",BR663="L23"),AC663&gt;0),SUMIFS($AC$7:$AC$1570,$BR$7:$BR$1570,BR663,$AF$7:$AF$1570,"&gt;"&amp;AF663)+SUMIFS($AC$7:$AC$1570,$BR$7:$BR$1570,BR663,$AF$7:$AF$1570,AF663,$BL$7:$BL$1570,"&lt;="&amp;BL663),"")</f>
        <v/>
      </c>
      <c r="AH663" s="65">
        <f>IF(AG663="",0,MAX(0,MIN(1,(IF(BR663="L1",Parameter!$K$5,Parameter!$K$6+Parameter!$K$7)-(AG663-AC663))/AC663)))</f>
        <v/>
      </c>
      <c r="AI663" s="55">
        <f>IF(LEFT(Cockpit!$I$5,1)="A",G663,IF(BT663=1,BU663,IF(LEFT(Cockpit!$I$5,1)="B",AM663,MAX(AM663,G663))))</f>
        <v/>
      </c>
      <c r="AJ663" s="55">
        <f>IF(BO663=1,0,ROUNDUP(AI663/BN663,0))</f>
        <v/>
      </c>
      <c r="AK663" s="64">
        <f>IF(BO663=1,IF(AI663&lt;=0,0,BP663*MAX(1,IF(G663&gt;0,AI663/G663,1))),AJ663*Q663)</f>
        <v/>
      </c>
      <c r="AL663" s="55">
        <f>AI663*F663</f>
        <v/>
      </c>
      <c r="AM663" s="55">
        <f>ROUNDUP(MAX(I663/IF(BS663&gt;0,BS663,MAX(0.1,N(Cockpit!$I$6))),BV663)/BN663,0)*BN663</f>
        <v/>
      </c>
      <c r="AN663" s="56">
        <f>IF(AK663&gt;0,I663/AK663,-1)</f>
        <v/>
      </c>
      <c r="AO663" s="56">
        <f>IF(AND(OR(BR663="L1",BR663="L23"),AK663&gt;0),SUMIFS($AK$7:$AK$1570,$BR$7:$BR$1570,BR663,$AN$7:$AN$1570,"&gt;"&amp;AN663)+SUMIFS($AK$7:$AK$1570,$BR$7:$BR$1570,BR663,$AN$7:$AN$1570,AN663,$BL$7:$BL$1570,"&lt;="&amp;BL663),"")</f>
        <v/>
      </c>
      <c r="AP663" s="65">
        <f>IF(AO663="",0,MAX(0,MIN(1,(IF(BR663="L1",Parameter!$K$5,Parameter!$K$6+Parameter!$K$7)-(AO663-AK663))/AK663)))</f>
        <v/>
      </c>
      <c r="AQ663" s="55">
        <f>IF(LEFT(Cockpit!$O$5,1)="A",G663,IF(BT663=1,BU663,IF(LEFT(Cockpit!$O$5,1)="B",AU663,MAX(AU663,G663))))</f>
        <v/>
      </c>
      <c r="AR663" s="55">
        <f>IF(BO663=1,0,ROUNDUP(AQ663/BN663,0))</f>
        <v/>
      </c>
      <c r="AS663" s="64">
        <f>IF(BO663=1,IF(AQ663&lt;=0,0,BP663*MAX(1,IF(G663&gt;0,AQ663/G663,1))),AR663*Q663)</f>
        <v/>
      </c>
      <c r="AT663" s="55">
        <f>AQ663*F663</f>
        <v/>
      </c>
      <c r="AU663" s="55">
        <f>ROUNDUP(MAX(I663/IF(BS663&gt;0,BS663,MAX(0.1,N(Cockpit!$O$6))),BV663)/BN663,0)*BN663</f>
        <v/>
      </c>
      <c r="AV663" s="56">
        <f>IF(AS663&gt;0,I663/AS663,-1)</f>
        <v/>
      </c>
      <c r="AW663" s="56">
        <f>IF(AND(OR(BR663="L1",BR663="L23"),AS663&gt;0),SUMIFS($AS$7:$AS$1570,$BR$7:$BR$1570,BR663,$AV$7:$AV$1570,"&gt;"&amp;AV663)+SUMIFS($AS$7:$AS$1570,$BR$7:$BR$1570,BR663,$AV$7:$AV$1570,AV663,$BL$7:$BL$1570,"&lt;="&amp;BL663),"")</f>
        <v/>
      </c>
      <c r="AX663" s="65">
        <f>IF(AW663="",0,MAX(0,MIN(1,(IF(BR663="L1",Parameter!$K$5,Parameter!$K$6+Parameter!$K$7)-(AW663-AS663))/AS663)))</f>
        <v/>
      </c>
      <c r="AY663" s="53">
        <f>IF(AC663&lt;=0,"",IF(BR663="Aussen","Aussenlager",IF(BR663="-","Nicht im Lift",IF(AH663&gt;=1,"Lift",IF(AH663&lt;=0,"Aussenlager","teilweise")))))</f>
        <v/>
      </c>
      <c r="AZ663" s="53">
        <f>IF(AK663&lt;=0,"",IF(BR663="Aussen","Aussenlager",IF(BR663="-","Nicht im Lift",IF(AP663&gt;=1,"Lift",IF(AP663&lt;=0,"Aussenlager","teilweise")))))</f>
        <v/>
      </c>
      <c r="BA663" s="53">
        <f>IF(AS663&lt;=0,"",IF(BR663="Aussen","Aussenlager",IF(BR663="-","Nicht im Lift",IF(AX663&gt;=1,"Lift",IF(AX663&lt;=0,"Aussenlager","teilweise")))))</f>
        <v/>
      </c>
      <c r="BB663" s="53">
        <f>IF(A663="","",IF(BK663=1,"Neu; ","")&amp;IF(AND(BK663=0,BF663&lt;0),"negativer Bestand (Export "&amp;BF663&amp;"); ","")&amp;IF(I663&lt;=0,"Kein Verbrauch; ","")&amp;IF(BO663=1,"Lose – Fläche geschätzt; ","")&amp;IF(G663&gt;AM663,"Überbestand "&amp;ROUND(G663-AM663,0)&amp;" Stk / CHF "&amp;ROUND((G663-AM663)*F663,0)&amp;"; ","")&amp;IF(AND(BT663=1,BU663&lt;BV663),"MAX &lt; MB+LG; ","")&amp;IF(AND(BZ663&gt;0,BY663*10&gt;BZ663),"zu hoch für Tablar; ","")&amp;IF(AND(BK663=0,OR(BT663=1,V663&lt;&gt;"",S663&lt;&gt;"",T663&lt;&gt;"",W663&lt;&gt;"")),"manuell übersteuert; ","")&amp;IF(AND(BO663=0,Q663=0),"Gebinde unbekannt; ","")&amp;IF(AND(BO663=0,N(T663)&lt;=0,N(P663)&lt;=0),"Menge pro Gebinde fehlt (Ist = 1 Gebinde); ","")&amp;BJ663)</f>
        <v/>
      </c>
      <c r="BC663" s="53" t="n"/>
      <c r="BD663" s="53" t="n"/>
      <c r="BE663" s="61" t="n"/>
      <c r="BF663" s="55" t="n">
        <v>-100</v>
      </c>
      <c r="BG663" s="55" t="n">
        <v>100</v>
      </c>
      <c r="BH663" s="54" t="n">
        <v>1.110223024625157e-16</v>
      </c>
      <c r="BI663" s="55" t="n">
        <v>31</v>
      </c>
      <c r="BJ663" s="53" t="inlineStr"/>
      <c r="BK663" s="58" t="n">
        <v>0</v>
      </c>
      <c r="BL663" s="58" t="n">
        <v>663</v>
      </c>
      <c r="BM663" s="53">
        <f>IF(S663&lt;&gt;"",UPPER(TRIM(S663)),IF(O663="","LOSE",O663))</f>
        <v/>
      </c>
      <c r="BN663" s="55">
        <f>IF(BM663="LOSE",1,IF(N(T663)&gt;0,T663,IF(N(P663)&gt;0,P663,MAX(1,G663))))</f>
        <v/>
      </c>
      <c r="BO663" s="58">
        <f>IF(BM663="LOSE",1,0)</f>
        <v/>
      </c>
      <c r="BP663" s="64">
        <f>IF(BO663=0,0,IF(N(R663)&gt;0,R663,IFERROR(VLOOKUP(D663,Parameter!$A$35:$C$64,3,0)+0,0)))</f>
        <v/>
      </c>
      <c r="BQ663" s="53">
        <f>IF(V663&lt;&gt;"",V663,U663)</f>
        <v/>
      </c>
      <c r="BR663" s="53">
        <f>IF(BQ663=1,"L1",IF(OR(BQ663=2,BQ663=3),"L23",IF(BQ663="Aussen","Aussen","-")))</f>
        <v/>
      </c>
      <c r="BS663" s="66">
        <f>IF(N(W663)&gt;0,W663,0)</f>
        <v/>
      </c>
      <c r="BT663" s="58">
        <f>IF(ISNUMBER(Z663),1,0)</f>
        <v/>
      </c>
      <c r="BU663" s="55">
        <f>N(Z663)</f>
        <v/>
      </c>
      <c r="BV663" s="55">
        <f>N(L663)+N(M663)</f>
        <v/>
      </c>
      <c r="BW663" s="55">
        <f>ROUNDUP(G663/BN663,0)</f>
        <v/>
      </c>
      <c r="BX663" s="55">
        <f>ROUNDUP(BU663/BN663,0)</f>
        <v/>
      </c>
      <c r="BY663" s="58">
        <f>IF(BO663=1,0,IFERROR(VLOOKUP(BM663,'Gebinde-Kategorie'!$A$5:$G$45,5,0)+0,0))</f>
        <v/>
      </c>
      <c r="BZ663" s="58">
        <f>IFERROR(IF(OR(BQ663=1,BQ663=2,BQ663=3),N(INDEX(Parameter!$I$5:$I$7,BQ663)),0),0)</f>
        <v/>
      </c>
    </row>
    <row r="664">
      <c r="A664" s="53" t="inlineStr">
        <is>
          <t>110789</t>
        </is>
      </c>
      <c r="B664" s="53" t="inlineStr">
        <is>
          <t>Dichtung</t>
        </is>
      </c>
      <c r="C664" s="53" t="inlineStr">
        <is>
          <t>F</t>
        </is>
      </c>
      <c r="D664" s="53" t="inlineStr">
        <is>
          <t>A-BEZ</t>
        </is>
      </c>
      <c r="E664" s="53" t="inlineStr">
        <is>
          <t>C</t>
        </is>
      </c>
      <c r="F664" s="54" t="n">
        <v>144.62</v>
      </c>
      <c r="G664" s="55">
        <f>MAX(0,IF(Parameter!$B$20="Jahresanfang 2025 + Export",BG664+BF664,BF664))</f>
        <v/>
      </c>
      <c r="H664" s="55">
        <f>G664*F664</f>
        <v/>
      </c>
      <c r="I664" s="55">
        <f>BI664*Parameter!$B$18</f>
        <v/>
      </c>
      <c r="J664" s="56" t="n">
        <v>0</v>
      </c>
      <c r="K664" s="57" t="n">
        <v>0</v>
      </c>
      <c r="L664" s="55" t="n">
        <v>0</v>
      </c>
      <c r="M664" s="55" t="n">
        <v>1</v>
      </c>
      <c r="N664" s="58" t="n">
        <v>105</v>
      </c>
      <c r="O664" s="53" t="inlineStr">
        <is>
          <t>LOSE</t>
        </is>
      </c>
      <c r="P664" s="55" t="n"/>
      <c r="Q664" s="59">
        <f>IF(BO664=1,0,IFERROR(VLOOKUP(BM664,'Gebinde-Kategorie'!$A$5:$G$45,6,0)+0,0))</f>
        <v/>
      </c>
      <c r="R664" s="60" t="n"/>
      <c r="S664" s="61" t="n"/>
      <c r="T664" s="61" t="n"/>
      <c r="U664" s="53">
        <f>IF(A664="","",IF(IFERROR(VLOOKUP(D664,Parameter!$A$35:$C$64,2,0),"Nein")="2+3",IF(ISNUMBER(SEARCH("grosser Artikel",BJ664)),2,IFERROR(VLOOKUP(BM664,Parameter!$F$35:$G$64,2,0),2)),IF(OR(IFERROR(VLOOKUP(D664,Parameter!$A$35:$C$64,2,0),"Nein")="Nein",IFERROR(VLOOKUP(D664,Parameter!$A$35:$C$64,2,0),"Nein")=""),"-",VLOOKUP(D664,Parameter!$A$35:$C$64,2,0))))</f>
        <v/>
      </c>
      <c r="V664" s="61" t="n"/>
      <c r="W664" s="62" t="n"/>
      <c r="X664" s="55">
        <f>AM664</f>
        <v/>
      </c>
      <c r="Y664" s="55">
        <f>MAX(AM664,G664)</f>
        <v/>
      </c>
      <c r="Z664" s="63" t="n"/>
      <c r="AA664" s="55">
        <f>IF(LEFT(Cockpit!$C$5,1)="A",G664,IF(BT664=1,BU664,IF(LEFT(Cockpit!$C$5,1)="B",AE664,MAX(AE664,G664))))</f>
        <v/>
      </c>
      <c r="AB664" s="55">
        <f>IF(BO664=1,0,ROUNDUP(AA664/BN664,0))</f>
        <v/>
      </c>
      <c r="AC664" s="64">
        <f>IF(BO664=1,IF(AA664&lt;=0,0,BP664*MAX(1,IF(G664&gt;0,AA664/G664,1))),AB664*Q664)</f>
        <v/>
      </c>
      <c r="AD664" s="55">
        <f>AA664*F664</f>
        <v/>
      </c>
      <c r="AE664" s="55">
        <f>ROUNDUP(MAX(I664/IF(BS664&gt;0,BS664,MAX(0.1,N(Cockpit!$C$6))),BV664)/BN664,0)*BN664</f>
        <v/>
      </c>
      <c r="AF664" s="56">
        <f>IF(AC664&gt;0,I664/AC664,-1)</f>
        <v/>
      </c>
      <c r="AG664" s="56">
        <f>IF(AND(OR(BR664="L1",BR664="L23"),AC664&gt;0),SUMIFS($AC$7:$AC$1570,$BR$7:$BR$1570,BR664,$AF$7:$AF$1570,"&gt;"&amp;AF664)+SUMIFS($AC$7:$AC$1570,$BR$7:$BR$1570,BR664,$AF$7:$AF$1570,AF664,$BL$7:$BL$1570,"&lt;="&amp;BL664),"")</f>
        <v/>
      </c>
      <c r="AH664" s="65">
        <f>IF(AG664="",0,MAX(0,MIN(1,(IF(BR664="L1",Parameter!$K$5,Parameter!$K$6+Parameter!$K$7)-(AG664-AC664))/AC664)))</f>
        <v/>
      </c>
      <c r="AI664" s="55">
        <f>IF(LEFT(Cockpit!$I$5,1)="A",G664,IF(BT664=1,BU664,IF(LEFT(Cockpit!$I$5,1)="B",AM664,MAX(AM664,G664))))</f>
        <v/>
      </c>
      <c r="AJ664" s="55">
        <f>IF(BO664=1,0,ROUNDUP(AI664/BN664,0))</f>
        <v/>
      </c>
      <c r="AK664" s="64">
        <f>IF(BO664=1,IF(AI664&lt;=0,0,BP664*MAX(1,IF(G664&gt;0,AI664/G664,1))),AJ664*Q664)</f>
        <v/>
      </c>
      <c r="AL664" s="55">
        <f>AI664*F664</f>
        <v/>
      </c>
      <c r="AM664" s="55">
        <f>ROUNDUP(MAX(I664/IF(BS664&gt;0,BS664,MAX(0.1,N(Cockpit!$I$6))),BV664)/BN664,0)*BN664</f>
        <v/>
      </c>
      <c r="AN664" s="56">
        <f>IF(AK664&gt;0,I664/AK664,-1)</f>
        <v/>
      </c>
      <c r="AO664" s="56">
        <f>IF(AND(OR(BR664="L1",BR664="L23"),AK664&gt;0),SUMIFS($AK$7:$AK$1570,$BR$7:$BR$1570,BR664,$AN$7:$AN$1570,"&gt;"&amp;AN664)+SUMIFS($AK$7:$AK$1570,$BR$7:$BR$1570,BR664,$AN$7:$AN$1570,AN664,$BL$7:$BL$1570,"&lt;="&amp;BL664),"")</f>
        <v/>
      </c>
      <c r="AP664" s="65">
        <f>IF(AO664="",0,MAX(0,MIN(1,(IF(BR664="L1",Parameter!$K$5,Parameter!$K$6+Parameter!$K$7)-(AO664-AK664))/AK664)))</f>
        <v/>
      </c>
      <c r="AQ664" s="55">
        <f>IF(LEFT(Cockpit!$O$5,1)="A",G664,IF(BT664=1,BU664,IF(LEFT(Cockpit!$O$5,1)="B",AU664,MAX(AU664,G664))))</f>
        <v/>
      </c>
      <c r="AR664" s="55">
        <f>IF(BO664=1,0,ROUNDUP(AQ664/BN664,0))</f>
        <v/>
      </c>
      <c r="AS664" s="64">
        <f>IF(BO664=1,IF(AQ664&lt;=0,0,BP664*MAX(1,IF(G664&gt;0,AQ664/G664,1))),AR664*Q664)</f>
        <v/>
      </c>
      <c r="AT664" s="55">
        <f>AQ664*F664</f>
        <v/>
      </c>
      <c r="AU664" s="55">
        <f>ROUNDUP(MAX(I664/IF(BS664&gt;0,BS664,MAX(0.1,N(Cockpit!$O$6))),BV664)/BN664,0)*BN664</f>
        <v/>
      </c>
      <c r="AV664" s="56">
        <f>IF(AS664&gt;0,I664/AS664,-1)</f>
        <v/>
      </c>
      <c r="AW664" s="56">
        <f>IF(AND(OR(BR664="L1",BR664="L23"),AS664&gt;0),SUMIFS($AS$7:$AS$1570,$BR$7:$BR$1570,BR664,$AV$7:$AV$1570,"&gt;"&amp;AV664)+SUMIFS($AS$7:$AS$1570,$BR$7:$BR$1570,BR664,$AV$7:$AV$1570,AV664,$BL$7:$BL$1570,"&lt;="&amp;BL664),"")</f>
        <v/>
      </c>
      <c r="AX664" s="65">
        <f>IF(AW664="",0,MAX(0,MIN(1,(IF(BR664="L1",Parameter!$K$5,Parameter!$K$6+Parameter!$K$7)-(AW664-AS664))/AS664)))</f>
        <v/>
      </c>
      <c r="AY664" s="53">
        <f>IF(AC664&lt;=0,"",IF(BR664="Aussen","Aussenlager",IF(BR664="-","Nicht im Lift",IF(AH664&gt;=1,"Lift",IF(AH664&lt;=0,"Aussenlager","teilweise")))))</f>
        <v/>
      </c>
      <c r="AZ664" s="53">
        <f>IF(AK664&lt;=0,"",IF(BR664="Aussen","Aussenlager",IF(BR664="-","Nicht im Lift",IF(AP664&gt;=1,"Lift",IF(AP664&lt;=0,"Aussenlager","teilweise")))))</f>
        <v/>
      </c>
      <c r="BA664" s="53">
        <f>IF(AS664&lt;=0,"",IF(BR664="Aussen","Aussenlager",IF(BR664="-","Nicht im Lift",IF(AX664&gt;=1,"Lift",IF(AX664&lt;=0,"Aussenlager","teilweise")))))</f>
        <v/>
      </c>
      <c r="BB664" s="53">
        <f>IF(A664="","",IF(BK664=1,"Neu; ","")&amp;IF(AND(BK664=0,BF664&lt;0),"negativer Bestand (Export "&amp;BF664&amp;"); ","")&amp;IF(I664&lt;=0,"Kein Verbrauch; ","")&amp;IF(BO664=1,"Lose – Fläche geschätzt; ","")&amp;IF(G664&gt;AM664,"Überbestand "&amp;ROUND(G664-AM664,0)&amp;" Stk / CHF "&amp;ROUND((G664-AM664)*F664,0)&amp;"; ","")&amp;IF(AND(BT664=1,BU664&lt;BV664),"MAX &lt; MB+LG; ","")&amp;IF(AND(BZ664&gt;0,BY664*10&gt;BZ664),"zu hoch für Tablar; ","")&amp;IF(AND(BK664=0,OR(BT664=1,V664&lt;&gt;"",S664&lt;&gt;"",T664&lt;&gt;"",W664&lt;&gt;"")),"manuell übersteuert; ","")&amp;IF(AND(BO664=0,Q664=0),"Gebinde unbekannt; ","")&amp;IF(AND(BO664=0,N(T664)&lt;=0,N(P664)&lt;=0),"Menge pro Gebinde fehlt (Ist = 1 Gebinde); ","")&amp;BJ664)</f>
        <v/>
      </c>
      <c r="BC664" s="53" t="n"/>
      <c r="BD664" s="53" t="n"/>
      <c r="BE664" s="61" t="n"/>
      <c r="BF664" s="55" t="n">
        <v>0</v>
      </c>
      <c r="BG664" s="55" t="n">
        <v>0</v>
      </c>
      <c r="BH664" s="54" t="n">
        <v>0</v>
      </c>
      <c r="BI664" s="55" t="n">
        <v>8</v>
      </c>
      <c r="BJ664" s="53" t="inlineStr"/>
      <c r="BK664" s="58" t="n">
        <v>0</v>
      </c>
      <c r="BL664" s="58" t="n">
        <v>664</v>
      </c>
      <c r="BM664" s="53">
        <f>IF(S664&lt;&gt;"",UPPER(TRIM(S664)),IF(O664="","LOSE",O664))</f>
        <v/>
      </c>
      <c r="BN664" s="55">
        <f>IF(BM664="LOSE",1,IF(N(T664)&gt;0,T664,IF(N(P664)&gt;0,P664,MAX(1,G664))))</f>
        <v/>
      </c>
      <c r="BO664" s="58">
        <f>IF(BM664="LOSE",1,0)</f>
        <v/>
      </c>
      <c r="BP664" s="64">
        <f>IF(BO664=0,0,IF(N(R664)&gt;0,R664,IFERROR(VLOOKUP(D664,Parameter!$A$35:$C$64,3,0)+0,0)))</f>
        <v/>
      </c>
      <c r="BQ664" s="53">
        <f>IF(V664&lt;&gt;"",V664,U664)</f>
        <v/>
      </c>
      <c r="BR664" s="53">
        <f>IF(BQ664=1,"L1",IF(OR(BQ664=2,BQ664=3),"L23",IF(BQ664="Aussen","Aussen","-")))</f>
        <v/>
      </c>
      <c r="BS664" s="66">
        <f>IF(N(W664)&gt;0,W664,0)</f>
        <v/>
      </c>
      <c r="BT664" s="58">
        <f>IF(ISNUMBER(Z664),1,0)</f>
        <v/>
      </c>
      <c r="BU664" s="55">
        <f>N(Z664)</f>
        <v/>
      </c>
      <c r="BV664" s="55">
        <f>N(L664)+N(M664)</f>
        <v/>
      </c>
      <c r="BW664" s="55">
        <f>ROUNDUP(G664/BN664,0)</f>
        <v/>
      </c>
      <c r="BX664" s="55">
        <f>ROUNDUP(BU664/BN664,0)</f>
        <v/>
      </c>
      <c r="BY664" s="58">
        <f>IF(BO664=1,0,IFERROR(VLOOKUP(BM664,'Gebinde-Kategorie'!$A$5:$G$45,5,0)+0,0))</f>
        <v/>
      </c>
      <c r="BZ664" s="58">
        <f>IFERROR(IF(OR(BQ664=1,BQ664=2,BQ664=3),N(INDEX(Parameter!$I$5:$I$7,BQ664)),0),0)</f>
        <v/>
      </c>
    </row>
    <row r="665">
      <c r="A665" s="53" t="inlineStr">
        <is>
          <t>VM00016</t>
        </is>
      </c>
      <c r="B665" s="53" t="inlineStr">
        <is>
          <t>Rohrschutzkappe</t>
        </is>
      </c>
      <c r="C665" s="53" t="inlineStr">
        <is>
          <t>F</t>
        </is>
      </c>
      <c r="D665" s="53" t="inlineStr">
        <is>
          <t>EK-TV</t>
        </is>
      </c>
      <c r="E665" s="53" t="inlineStr">
        <is>
          <t>C</t>
        </is>
      </c>
      <c r="F665" s="54" t="n">
        <v>0.65</v>
      </c>
      <c r="G665" s="55">
        <f>MAX(0,IF(Parameter!$B$20="Jahresanfang 2025 + Export",BG665+BF665,BF665))</f>
        <v/>
      </c>
      <c r="H665" s="55">
        <f>G665*F665</f>
        <v/>
      </c>
      <c r="I665" s="55">
        <f>BI665*Parameter!$B$18</f>
        <v/>
      </c>
      <c r="J665" s="56" t="n">
        <v>0</v>
      </c>
      <c r="K665" s="57" t="n">
        <v>0</v>
      </c>
      <c r="L665" s="55" t="n">
        <v>0</v>
      </c>
      <c r="M665" s="55" t="n">
        <v>1050</v>
      </c>
      <c r="N665" s="58" t="n">
        <v>21</v>
      </c>
      <c r="O665" s="53" t="inlineStr">
        <is>
          <t>LOSE</t>
        </is>
      </c>
      <c r="P665" s="55" t="n"/>
      <c r="Q665" s="59">
        <f>IF(BO665=1,0,IFERROR(VLOOKUP(BM665,'Gebinde-Kategorie'!$A$5:$G$45,6,0)+0,0))</f>
        <v/>
      </c>
      <c r="R665" s="60" t="n"/>
      <c r="S665" s="61" t="n"/>
      <c r="T665" s="61" t="n"/>
      <c r="U665" s="53">
        <f>IF(A665="","",IF(IFERROR(VLOOKUP(D665,Parameter!$A$35:$C$64,2,0),"Nein")="2+3",IF(ISNUMBER(SEARCH("grosser Artikel",BJ665)),2,IFERROR(VLOOKUP(BM665,Parameter!$F$35:$G$64,2,0),2)),IF(OR(IFERROR(VLOOKUP(D665,Parameter!$A$35:$C$64,2,0),"Nein")="Nein",IFERROR(VLOOKUP(D665,Parameter!$A$35:$C$64,2,0),"Nein")=""),"-",VLOOKUP(D665,Parameter!$A$35:$C$64,2,0))))</f>
        <v/>
      </c>
      <c r="V665" s="61" t="n"/>
      <c r="W665" s="62" t="n"/>
      <c r="X665" s="55">
        <f>AM665</f>
        <v/>
      </c>
      <c r="Y665" s="55">
        <f>MAX(AM665,G665)</f>
        <v/>
      </c>
      <c r="Z665" s="63" t="n"/>
      <c r="AA665" s="55">
        <f>IF(LEFT(Cockpit!$C$5,1)="A",G665,IF(BT665=1,BU665,IF(LEFT(Cockpit!$C$5,1)="B",AE665,MAX(AE665,G665))))</f>
        <v/>
      </c>
      <c r="AB665" s="55">
        <f>IF(BO665=1,0,ROUNDUP(AA665/BN665,0))</f>
        <v/>
      </c>
      <c r="AC665" s="64">
        <f>IF(BO665=1,IF(AA665&lt;=0,0,BP665*MAX(1,IF(G665&gt;0,AA665/G665,1))),AB665*Q665)</f>
        <v/>
      </c>
      <c r="AD665" s="55">
        <f>AA665*F665</f>
        <v/>
      </c>
      <c r="AE665" s="55">
        <f>ROUNDUP(MAX(I665/IF(BS665&gt;0,BS665,MAX(0.1,N(Cockpit!$C$6))),BV665)/BN665,0)*BN665</f>
        <v/>
      </c>
      <c r="AF665" s="56">
        <f>IF(AC665&gt;0,I665/AC665,-1)</f>
        <v/>
      </c>
      <c r="AG665" s="56">
        <f>IF(AND(OR(BR665="L1",BR665="L23"),AC665&gt;0),SUMIFS($AC$7:$AC$1570,$BR$7:$BR$1570,BR665,$AF$7:$AF$1570,"&gt;"&amp;AF665)+SUMIFS($AC$7:$AC$1570,$BR$7:$BR$1570,BR665,$AF$7:$AF$1570,AF665,$BL$7:$BL$1570,"&lt;="&amp;BL665),"")</f>
        <v/>
      </c>
      <c r="AH665" s="65">
        <f>IF(AG665="",0,MAX(0,MIN(1,(IF(BR665="L1",Parameter!$K$5,Parameter!$K$6+Parameter!$K$7)-(AG665-AC665))/AC665)))</f>
        <v/>
      </c>
      <c r="AI665" s="55">
        <f>IF(LEFT(Cockpit!$I$5,1)="A",G665,IF(BT665=1,BU665,IF(LEFT(Cockpit!$I$5,1)="B",AM665,MAX(AM665,G665))))</f>
        <v/>
      </c>
      <c r="AJ665" s="55">
        <f>IF(BO665=1,0,ROUNDUP(AI665/BN665,0))</f>
        <v/>
      </c>
      <c r="AK665" s="64">
        <f>IF(BO665=1,IF(AI665&lt;=0,0,BP665*MAX(1,IF(G665&gt;0,AI665/G665,1))),AJ665*Q665)</f>
        <v/>
      </c>
      <c r="AL665" s="55">
        <f>AI665*F665</f>
        <v/>
      </c>
      <c r="AM665" s="55">
        <f>ROUNDUP(MAX(I665/IF(BS665&gt;0,BS665,MAX(0.1,N(Cockpit!$I$6))),BV665)/BN665,0)*BN665</f>
        <v/>
      </c>
      <c r="AN665" s="56">
        <f>IF(AK665&gt;0,I665/AK665,-1)</f>
        <v/>
      </c>
      <c r="AO665" s="56">
        <f>IF(AND(OR(BR665="L1",BR665="L23"),AK665&gt;0),SUMIFS($AK$7:$AK$1570,$BR$7:$BR$1570,BR665,$AN$7:$AN$1570,"&gt;"&amp;AN665)+SUMIFS($AK$7:$AK$1570,$BR$7:$BR$1570,BR665,$AN$7:$AN$1570,AN665,$BL$7:$BL$1570,"&lt;="&amp;BL665),"")</f>
        <v/>
      </c>
      <c r="AP665" s="65">
        <f>IF(AO665="",0,MAX(0,MIN(1,(IF(BR665="L1",Parameter!$K$5,Parameter!$K$6+Parameter!$K$7)-(AO665-AK665))/AK665)))</f>
        <v/>
      </c>
      <c r="AQ665" s="55">
        <f>IF(LEFT(Cockpit!$O$5,1)="A",G665,IF(BT665=1,BU665,IF(LEFT(Cockpit!$O$5,1)="B",AU665,MAX(AU665,G665))))</f>
        <v/>
      </c>
      <c r="AR665" s="55">
        <f>IF(BO665=1,0,ROUNDUP(AQ665/BN665,0))</f>
        <v/>
      </c>
      <c r="AS665" s="64">
        <f>IF(BO665=1,IF(AQ665&lt;=0,0,BP665*MAX(1,IF(G665&gt;0,AQ665/G665,1))),AR665*Q665)</f>
        <v/>
      </c>
      <c r="AT665" s="55">
        <f>AQ665*F665</f>
        <v/>
      </c>
      <c r="AU665" s="55">
        <f>ROUNDUP(MAX(I665/IF(BS665&gt;0,BS665,MAX(0.1,N(Cockpit!$O$6))),BV665)/BN665,0)*BN665</f>
        <v/>
      </c>
      <c r="AV665" s="56">
        <f>IF(AS665&gt;0,I665/AS665,-1)</f>
        <v/>
      </c>
      <c r="AW665" s="56">
        <f>IF(AND(OR(BR665="L1",BR665="L23"),AS665&gt;0),SUMIFS($AS$7:$AS$1570,$BR$7:$BR$1570,BR665,$AV$7:$AV$1570,"&gt;"&amp;AV665)+SUMIFS($AS$7:$AS$1570,$BR$7:$BR$1570,BR665,$AV$7:$AV$1570,AV665,$BL$7:$BL$1570,"&lt;="&amp;BL665),"")</f>
        <v/>
      </c>
      <c r="AX665" s="65">
        <f>IF(AW665="",0,MAX(0,MIN(1,(IF(BR665="L1",Parameter!$K$5,Parameter!$K$6+Parameter!$K$7)-(AW665-AS665))/AS665)))</f>
        <v/>
      </c>
      <c r="AY665" s="53">
        <f>IF(AC665&lt;=0,"",IF(BR665="Aussen","Aussenlager",IF(BR665="-","Nicht im Lift",IF(AH665&gt;=1,"Lift",IF(AH665&lt;=0,"Aussenlager","teilweise")))))</f>
        <v/>
      </c>
      <c r="AZ665" s="53">
        <f>IF(AK665&lt;=0,"",IF(BR665="Aussen","Aussenlager",IF(BR665="-","Nicht im Lift",IF(AP665&gt;=1,"Lift",IF(AP665&lt;=0,"Aussenlager","teilweise")))))</f>
        <v/>
      </c>
      <c r="BA665" s="53">
        <f>IF(AS665&lt;=0,"",IF(BR665="Aussen","Aussenlager",IF(BR665="-","Nicht im Lift",IF(AX665&gt;=1,"Lift",IF(AX665&lt;=0,"Aussenlager","teilweise")))))</f>
        <v/>
      </c>
      <c r="BB665" s="53">
        <f>IF(A665="","",IF(BK665=1,"Neu; ","")&amp;IF(AND(BK665=0,BF665&lt;0),"negativer Bestand (Export "&amp;BF665&amp;"); ","")&amp;IF(I665&lt;=0,"Kein Verbrauch; ","")&amp;IF(BO665=1,"Lose – Fläche geschätzt; ","")&amp;IF(G665&gt;AM665,"Überbestand "&amp;ROUND(G665-AM665,0)&amp;" Stk / CHF "&amp;ROUND((G665-AM665)*F665,0)&amp;"; ","")&amp;IF(AND(BT665=1,BU665&lt;BV665),"MAX &lt; MB+LG; ","")&amp;IF(AND(BZ665&gt;0,BY665*10&gt;BZ665),"zu hoch für Tablar; ","")&amp;IF(AND(BK665=0,OR(BT665=1,V665&lt;&gt;"",S665&lt;&gt;"",T665&lt;&gt;"",W665&lt;&gt;"")),"manuell übersteuert; ","")&amp;IF(AND(BO665=0,Q665=0),"Gebinde unbekannt; ","")&amp;IF(AND(BO665=0,N(T665)&lt;=0,N(P665)&lt;=0),"Menge pro Gebinde fehlt (Ist = 1 Gebinde); ","")&amp;BJ665)</f>
        <v/>
      </c>
      <c r="BC665" s="53" t="n"/>
      <c r="BD665" s="53" t="n"/>
      <c r="BE665" s="61" t="n"/>
      <c r="BF665" s="55" t="n">
        <v>0</v>
      </c>
      <c r="BG665" s="55" t="n">
        <v>0</v>
      </c>
      <c r="BH665" s="54" t="n">
        <v>0</v>
      </c>
      <c r="BI665" s="55" t="n">
        <v>0</v>
      </c>
      <c r="BJ665" s="53" t="inlineStr"/>
      <c r="BK665" s="58" t="n">
        <v>0</v>
      </c>
      <c r="BL665" s="58" t="n">
        <v>665</v>
      </c>
      <c r="BM665" s="53">
        <f>IF(S665&lt;&gt;"",UPPER(TRIM(S665)),IF(O665="","LOSE",O665))</f>
        <v/>
      </c>
      <c r="BN665" s="55">
        <f>IF(BM665="LOSE",1,IF(N(T665)&gt;0,T665,IF(N(P665)&gt;0,P665,MAX(1,G665))))</f>
        <v/>
      </c>
      <c r="BO665" s="58">
        <f>IF(BM665="LOSE",1,0)</f>
        <v/>
      </c>
      <c r="BP665" s="64">
        <f>IF(BO665=0,0,IF(N(R665)&gt;0,R665,IFERROR(VLOOKUP(D665,Parameter!$A$35:$C$64,3,0)+0,0)))</f>
        <v/>
      </c>
      <c r="BQ665" s="53">
        <f>IF(V665&lt;&gt;"",V665,U665)</f>
        <v/>
      </c>
      <c r="BR665" s="53">
        <f>IF(BQ665=1,"L1",IF(OR(BQ665=2,BQ665=3),"L23",IF(BQ665="Aussen","Aussen","-")))</f>
        <v/>
      </c>
      <c r="BS665" s="66">
        <f>IF(N(W665)&gt;0,W665,0)</f>
        <v/>
      </c>
      <c r="BT665" s="58">
        <f>IF(ISNUMBER(Z665),1,0)</f>
        <v/>
      </c>
      <c r="BU665" s="55">
        <f>N(Z665)</f>
        <v/>
      </c>
      <c r="BV665" s="55">
        <f>N(L665)+N(M665)</f>
        <v/>
      </c>
      <c r="BW665" s="55">
        <f>ROUNDUP(G665/BN665,0)</f>
        <v/>
      </c>
      <c r="BX665" s="55">
        <f>ROUNDUP(BU665/BN665,0)</f>
        <v/>
      </c>
      <c r="BY665" s="58">
        <f>IF(BO665=1,0,IFERROR(VLOOKUP(BM665,'Gebinde-Kategorie'!$A$5:$G$45,5,0)+0,0))</f>
        <v/>
      </c>
      <c r="BZ665" s="58">
        <f>IFERROR(IF(OR(BQ665=1,BQ665=2,BQ665=3),N(INDEX(Parameter!$I$5:$I$7,BQ665)),0),0)</f>
        <v/>
      </c>
    </row>
    <row r="666">
      <c r="A666" s="53" t="inlineStr">
        <is>
          <t>VM-000001</t>
        </is>
      </c>
      <c r="B666" s="53" t="inlineStr">
        <is>
          <t>AVERY ZWECKFORM ultragrip Etiketten</t>
        </is>
      </c>
      <c r="C666" s="53" t="inlineStr">
        <is>
          <t>F</t>
        </is>
      </c>
      <c r="D666" s="53" t="inlineStr">
        <is>
          <t>VERB-P</t>
        </is>
      </c>
      <c r="E666" s="53" t="inlineStr">
        <is>
          <t>C</t>
        </is>
      </c>
      <c r="F666" s="54" t="n">
        <v>5.8</v>
      </c>
      <c r="G666" s="55">
        <f>MAX(0,IF(Parameter!$B$20="Jahresanfang 2025 + Export",BG666+BF666,BF666))</f>
        <v/>
      </c>
      <c r="H666" s="55">
        <f>G666*F666</f>
        <v/>
      </c>
      <c r="I666" s="55">
        <f>BI666*Parameter!$B$18</f>
        <v/>
      </c>
      <c r="J666" s="56" t="n">
        <v>0</v>
      </c>
      <c r="K666" s="57" t="n">
        <v>0</v>
      </c>
      <c r="L666" s="55" t="n">
        <v>0</v>
      </c>
      <c r="M666" s="55" t="n">
        <v>1</v>
      </c>
      <c r="N666" s="58" t="n">
        <v>7</v>
      </c>
      <c r="O666" s="53" t="inlineStr">
        <is>
          <t>LOSE</t>
        </is>
      </c>
      <c r="P666" s="55" t="n"/>
      <c r="Q666" s="59">
        <f>IF(BO666=1,0,IFERROR(VLOOKUP(BM666,'Gebinde-Kategorie'!$A$5:$G$45,6,0)+0,0))</f>
        <v/>
      </c>
      <c r="R666" s="60" t="n"/>
      <c r="S666" s="61" t="n"/>
      <c r="T666" s="61" t="n"/>
      <c r="U666" s="53">
        <f>IF(A666="","",IF(IFERROR(VLOOKUP(D666,Parameter!$A$35:$C$64,2,0),"Nein")="2+3",IF(ISNUMBER(SEARCH("grosser Artikel",BJ666)),2,IFERROR(VLOOKUP(BM666,Parameter!$F$35:$G$64,2,0),2)),IF(OR(IFERROR(VLOOKUP(D666,Parameter!$A$35:$C$64,2,0),"Nein")="Nein",IFERROR(VLOOKUP(D666,Parameter!$A$35:$C$64,2,0),"Nein")=""),"-",VLOOKUP(D666,Parameter!$A$35:$C$64,2,0))))</f>
        <v/>
      </c>
      <c r="V666" s="61" t="n"/>
      <c r="W666" s="62" t="n"/>
      <c r="X666" s="55">
        <f>AM666</f>
        <v/>
      </c>
      <c r="Y666" s="55">
        <f>MAX(AM666,G666)</f>
        <v/>
      </c>
      <c r="Z666" s="63" t="n"/>
      <c r="AA666" s="55">
        <f>IF(LEFT(Cockpit!$C$5,1)="A",G666,IF(BT666=1,BU666,IF(LEFT(Cockpit!$C$5,1)="B",AE666,MAX(AE666,G666))))</f>
        <v/>
      </c>
      <c r="AB666" s="55">
        <f>IF(BO666=1,0,ROUNDUP(AA666/BN666,0))</f>
        <v/>
      </c>
      <c r="AC666" s="64">
        <f>IF(BO666=1,IF(AA666&lt;=0,0,BP666*MAX(1,IF(G666&gt;0,AA666/G666,1))),AB666*Q666)</f>
        <v/>
      </c>
      <c r="AD666" s="55">
        <f>AA666*F666</f>
        <v/>
      </c>
      <c r="AE666" s="55">
        <f>ROUNDUP(MAX(I666/IF(BS666&gt;0,BS666,MAX(0.1,N(Cockpit!$C$6))),BV666)/BN666,0)*BN666</f>
        <v/>
      </c>
      <c r="AF666" s="56">
        <f>IF(AC666&gt;0,I666/AC666,-1)</f>
        <v/>
      </c>
      <c r="AG666" s="56">
        <f>IF(AND(OR(BR666="L1",BR666="L23"),AC666&gt;0),SUMIFS($AC$7:$AC$1570,$BR$7:$BR$1570,BR666,$AF$7:$AF$1570,"&gt;"&amp;AF666)+SUMIFS($AC$7:$AC$1570,$BR$7:$BR$1570,BR666,$AF$7:$AF$1570,AF666,$BL$7:$BL$1570,"&lt;="&amp;BL666),"")</f>
        <v/>
      </c>
      <c r="AH666" s="65">
        <f>IF(AG666="",0,MAX(0,MIN(1,(IF(BR666="L1",Parameter!$K$5,Parameter!$K$6+Parameter!$K$7)-(AG666-AC666))/AC666)))</f>
        <v/>
      </c>
      <c r="AI666" s="55">
        <f>IF(LEFT(Cockpit!$I$5,1)="A",G666,IF(BT666=1,BU666,IF(LEFT(Cockpit!$I$5,1)="B",AM666,MAX(AM666,G666))))</f>
        <v/>
      </c>
      <c r="AJ666" s="55">
        <f>IF(BO666=1,0,ROUNDUP(AI666/BN666,0))</f>
        <v/>
      </c>
      <c r="AK666" s="64">
        <f>IF(BO666=1,IF(AI666&lt;=0,0,BP666*MAX(1,IF(G666&gt;0,AI666/G666,1))),AJ666*Q666)</f>
        <v/>
      </c>
      <c r="AL666" s="55">
        <f>AI666*F666</f>
        <v/>
      </c>
      <c r="AM666" s="55">
        <f>ROUNDUP(MAX(I666/IF(BS666&gt;0,BS666,MAX(0.1,N(Cockpit!$I$6))),BV666)/BN666,0)*BN666</f>
        <v/>
      </c>
      <c r="AN666" s="56">
        <f>IF(AK666&gt;0,I666/AK666,-1)</f>
        <v/>
      </c>
      <c r="AO666" s="56">
        <f>IF(AND(OR(BR666="L1",BR666="L23"),AK666&gt;0),SUMIFS($AK$7:$AK$1570,$BR$7:$BR$1570,BR666,$AN$7:$AN$1570,"&gt;"&amp;AN666)+SUMIFS($AK$7:$AK$1570,$BR$7:$BR$1570,BR666,$AN$7:$AN$1570,AN666,$BL$7:$BL$1570,"&lt;="&amp;BL666),"")</f>
        <v/>
      </c>
      <c r="AP666" s="65">
        <f>IF(AO666="",0,MAX(0,MIN(1,(IF(BR666="L1",Parameter!$K$5,Parameter!$K$6+Parameter!$K$7)-(AO666-AK666))/AK666)))</f>
        <v/>
      </c>
      <c r="AQ666" s="55">
        <f>IF(LEFT(Cockpit!$O$5,1)="A",G666,IF(BT666=1,BU666,IF(LEFT(Cockpit!$O$5,1)="B",AU666,MAX(AU666,G666))))</f>
        <v/>
      </c>
      <c r="AR666" s="55">
        <f>IF(BO666=1,0,ROUNDUP(AQ666/BN666,0))</f>
        <v/>
      </c>
      <c r="AS666" s="64">
        <f>IF(BO666=1,IF(AQ666&lt;=0,0,BP666*MAX(1,IF(G666&gt;0,AQ666/G666,1))),AR666*Q666)</f>
        <v/>
      </c>
      <c r="AT666" s="55">
        <f>AQ666*F666</f>
        <v/>
      </c>
      <c r="AU666" s="55">
        <f>ROUNDUP(MAX(I666/IF(BS666&gt;0,BS666,MAX(0.1,N(Cockpit!$O$6))),BV666)/BN666,0)*BN666</f>
        <v/>
      </c>
      <c r="AV666" s="56">
        <f>IF(AS666&gt;0,I666/AS666,-1)</f>
        <v/>
      </c>
      <c r="AW666" s="56">
        <f>IF(AND(OR(BR666="L1",BR666="L23"),AS666&gt;0),SUMIFS($AS$7:$AS$1570,$BR$7:$BR$1570,BR666,$AV$7:$AV$1570,"&gt;"&amp;AV666)+SUMIFS($AS$7:$AS$1570,$BR$7:$BR$1570,BR666,$AV$7:$AV$1570,AV666,$BL$7:$BL$1570,"&lt;="&amp;BL666),"")</f>
        <v/>
      </c>
      <c r="AX666" s="65">
        <f>IF(AW666="",0,MAX(0,MIN(1,(IF(BR666="L1",Parameter!$K$5,Parameter!$K$6+Parameter!$K$7)-(AW666-AS666))/AS666)))</f>
        <v/>
      </c>
      <c r="AY666" s="53">
        <f>IF(AC666&lt;=0,"",IF(BR666="Aussen","Aussenlager",IF(BR666="-","Nicht im Lift",IF(AH666&gt;=1,"Lift",IF(AH666&lt;=0,"Aussenlager","teilweise")))))</f>
        <v/>
      </c>
      <c r="AZ666" s="53">
        <f>IF(AK666&lt;=0,"",IF(BR666="Aussen","Aussenlager",IF(BR666="-","Nicht im Lift",IF(AP666&gt;=1,"Lift",IF(AP666&lt;=0,"Aussenlager","teilweise")))))</f>
        <v/>
      </c>
      <c r="BA666" s="53">
        <f>IF(AS666&lt;=0,"",IF(BR666="Aussen","Aussenlager",IF(BR666="-","Nicht im Lift",IF(AX666&gt;=1,"Lift",IF(AX666&lt;=0,"Aussenlager","teilweise")))))</f>
        <v/>
      </c>
      <c r="BB666" s="53">
        <f>IF(A666="","",IF(BK666=1,"Neu; ","")&amp;IF(AND(BK666=0,BF666&lt;0),"negativer Bestand (Export "&amp;BF666&amp;"); ","")&amp;IF(I666&lt;=0,"Kein Verbrauch; ","")&amp;IF(BO666=1,"Lose – Fläche geschätzt; ","")&amp;IF(G666&gt;AM666,"Überbestand "&amp;ROUND(G666-AM666,0)&amp;" Stk / CHF "&amp;ROUND((G666-AM666)*F666,0)&amp;"; ","")&amp;IF(AND(BT666=1,BU666&lt;BV666),"MAX &lt; MB+LG; ","")&amp;IF(AND(BZ666&gt;0,BY666*10&gt;BZ666),"zu hoch für Tablar; ","")&amp;IF(AND(BK666=0,OR(BT666=1,V666&lt;&gt;"",S666&lt;&gt;"",T666&lt;&gt;"",W666&lt;&gt;"")),"manuell übersteuert; ","")&amp;IF(AND(BO666=0,Q666=0),"Gebinde unbekannt; ","")&amp;IF(AND(BO666=0,N(T666)&lt;=0,N(P666)&lt;=0),"Menge pro Gebinde fehlt (Ist = 1 Gebinde); ","")&amp;BJ666)</f>
        <v/>
      </c>
      <c r="BC666" s="53" t="n"/>
      <c r="BD666" s="53" t="n"/>
      <c r="BE666" s="61" t="n"/>
      <c r="BF666" s="55" t="n">
        <v>0</v>
      </c>
      <c r="BG666" s="55" t="n">
        <v>0</v>
      </c>
      <c r="BH666" s="54" t="n">
        <v>0</v>
      </c>
      <c r="BI666" s="55" t="n">
        <v>0</v>
      </c>
      <c r="BJ666" s="53" t="inlineStr"/>
      <c r="BK666" s="58" t="n">
        <v>0</v>
      </c>
      <c r="BL666" s="58" t="n">
        <v>666</v>
      </c>
      <c r="BM666" s="53">
        <f>IF(S666&lt;&gt;"",UPPER(TRIM(S666)),IF(O666="","LOSE",O666))</f>
        <v/>
      </c>
      <c r="BN666" s="55">
        <f>IF(BM666="LOSE",1,IF(N(T666)&gt;0,T666,IF(N(P666)&gt;0,P666,MAX(1,G666))))</f>
        <v/>
      </c>
      <c r="BO666" s="58">
        <f>IF(BM666="LOSE",1,0)</f>
        <v/>
      </c>
      <c r="BP666" s="64">
        <f>IF(BO666=0,0,IF(N(R666)&gt;0,R666,IFERROR(VLOOKUP(D666,Parameter!$A$35:$C$64,3,0)+0,0)))</f>
        <v/>
      </c>
      <c r="BQ666" s="53">
        <f>IF(V666&lt;&gt;"",V666,U666)</f>
        <v/>
      </c>
      <c r="BR666" s="53">
        <f>IF(BQ666=1,"L1",IF(OR(BQ666=2,BQ666=3),"L23",IF(BQ666="Aussen","Aussen","-")))</f>
        <v/>
      </c>
      <c r="BS666" s="66">
        <f>IF(N(W666)&gt;0,W666,0)</f>
        <v/>
      </c>
      <c r="BT666" s="58">
        <f>IF(ISNUMBER(Z666),1,0)</f>
        <v/>
      </c>
      <c r="BU666" s="55">
        <f>N(Z666)</f>
        <v/>
      </c>
      <c r="BV666" s="55">
        <f>N(L666)+N(M666)</f>
        <v/>
      </c>
      <c r="BW666" s="55">
        <f>ROUNDUP(G666/BN666,0)</f>
        <v/>
      </c>
      <c r="BX666" s="55">
        <f>ROUNDUP(BU666/BN666,0)</f>
        <v/>
      </c>
      <c r="BY666" s="58">
        <f>IF(BO666=1,0,IFERROR(VLOOKUP(BM666,'Gebinde-Kategorie'!$A$5:$G$45,5,0)+0,0))</f>
        <v/>
      </c>
      <c r="BZ666" s="58">
        <f>IFERROR(IF(OR(BQ666=1,BQ666=2,BQ666=3),N(INDEX(Parameter!$I$5:$I$7,BQ666)),0),0)</f>
        <v/>
      </c>
    </row>
    <row r="667">
      <c r="A667" s="53" t="inlineStr">
        <is>
          <t>110902</t>
        </is>
      </c>
      <c r="B667" s="53" t="inlineStr">
        <is>
          <t>Sechskantmutter</t>
        </is>
      </c>
      <c r="C667" s="53" t="inlineStr">
        <is>
          <t>F</t>
        </is>
      </c>
      <c r="D667" s="53" t="inlineStr">
        <is>
          <t>A-BEZ</t>
        </is>
      </c>
      <c r="E667" s="53" t="inlineStr">
        <is>
          <t>C</t>
        </is>
      </c>
      <c r="F667" s="54" t="n">
        <v>0.61</v>
      </c>
      <c r="G667" s="55">
        <f>MAX(0,IF(Parameter!$B$20="Jahresanfang 2025 + Export",BG667+BF667,BF667))</f>
        <v/>
      </c>
      <c r="H667" s="55">
        <f>G667*F667</f>
        <v/>
      </c>
      <c r="I667" s="55">
        <f>BI667*Parameter!$B$18</f>
        <v/>
      </c>
      <c r="J667" s="56" t="n">
        <v>0</v>
      </c>
      <c r="K667" s="57" t="n">
        <v>0</v>
      </c>
      <c r="L667" s="55" t="n">
        <v>0</v>
      </c>
      <c r="M667" s="55" t="n">
        <v>1</v>
      </c>
      <c r="N667" s="58" t="n">
        <v>28</v>
      </c>
      <c r="O667" s="53" t="inlineStr">
        <is>
          <t>LOSE</t>
        </is>
      </c>
      <c r="P667" s="55" t="n"/>
      <c r="Q667" s="59">
        <f>IF(BO667=1,0,IFERROR(VLOOKUP(BM667,'Gebinde-Kategorie'!$A$5:$G$45,6,0)+0,0))</f>
        <v/>
      </c>
      <c r="R667" s="60" t="n"/>
      <c r="S667" s="61" t="n"/>
      <c r="T667" s="61" t="n"/>
      <c r="U667" s="53">
        <f>IF(A667="","",IF(IFERROR(VLOOKUP(D667,Parameter!$A$35:$C$64,2,0),"Nein")="2+3",IF(ISNUMBER(SEARCH("grosser Artikel",BJ667)),2,IFERROR(VLOOKUP(BM667,Parameter!$F$35:$G$64,2,0),2)),IF(OR(IFERROR(VLOOKUP(D667,Parameter!$A$35:$C$64,2,0),"Nein")="Nein",IFERROR(VLOOKUP(D667,Parameter!$A$35:$C$64,2,0),"Nein")=""),"-",VLOOKUP(D667,Parameter!$A$35:$C$64,2,0))))</f>
        <v/>
      </c>
      <c r="V667" s="61" t="n"/>
      <c r="W667" s="62" t="n"/>
      <c r="X667" s="55">
        <f>AM667</f>
        <v/>
      </c>
      <c r="Y667" s="55">
        <f>MAX(AM667,G667)</f>
        <v/>
      </c>
      <c r="Z667" s="63" t="n"/>
      <c r="AA667" s="55">
        <f>IF(LEFT(Cockpit!$C$5,1)="A",G667,IF(BT667=1,BU667,IF(LEFT(Cockpit!$C$5,1)="B",AE667,MAX(AE667,G667))))</f>
        <v/>
      </c>
      <c r="AB667" s="55">
        <f>IF(BO667=1,0,ROUNDUP(AA667/BN667,0))</f>
        <v/>
      </c>
      <c r="AC667" s="64">
        <f>IF(BO667=1,IF(AA667&lt;=0,0,BP667*MAX(1,IF(G667&gt;0,AA667/G667,1))),AB667*Q667)</f>
        <v/>
      </c>
      <c r="AD667" s="55">
        <f>AA667*F667</f>
        <v/>
      </c>
      <c r="AE667" s="55">
        <f>ROUNDUP(MAX(I667/IF(BS667&gt;0,BS667,MAX(0.1,N(Cockpit!$C$6))),BV667)/BN667,0)*BN667</f>
        <v/>
      </c>
      <c r="AF667" s="56">
        <f>IF(AC667&gt;0,I667/AC667,-1)</f>
        <v/>
      </c>
      <c r="AG667" s="56">
        <f>IF(AND(OR(BR667="L1",BR667="L23"),AC667&gt;0),SUMIFS($AC$7:$AC$1570,$BR$7:$BR$1570,BR667,$AF$7:$AF$1570,"&gt;"&amp;AF667)+SUMIFS($AC$7:$AC$1570,$BR$7:$BR$1570,BR667,$AF$7:$AF$1570,AF667,$BL$7:$BL$1570,"&lt;="&amp;BL667),"")</f>
        <v/>
      </c>
      <c r="AH667" s="65">
        <f>IF(AG667="",0,MAX(0,MIN(1,(IF(BR667="L1",Parameter!$K$5,Parameter!$K$6+Parameter!$K$7)-(AG667-AC667))/AC667)))</f>
        <v/>
      </c>
      <c r="AI667" s="55">
        <f>IF(LEFT(Cockpit!$I$5,1)="A",G667,IF(BT667=1,BU667,IF(LEFT(Cockpit!$I$5,1)="B",AM667,MAX(AM667,G667))))</f>
        <v/>
      </c>
      <c r="AJ667" s="55">
        <f>IF(BO667=1,0,ROUNDUP(AI667/BN667,0))</f>
        <v/>
      </c>
      <c r="AK667" s="64">
        <f>IF(BO667=1,IF(AI667&lt;=0,0,BP667*MAX(1,IF(G667&gt;0,AI667/G667,1))),AJ667*Q667)</f>
        <v/>
      </c>
      <c r="AL667" s="55">
        <f>AI667*F667</f>
        <v/>
      </c>
      <c r="AM667" s="55">
        <f>ROUNDUP(MAX(I667/IF(BS667&gt;0,BS667,MAX(0.1,N(Cockpit!$I$6))),BV667)/BN667,0)*BN667</f>
        <v/>
      </c>
      <c r="AN667" s="56">
        <f>IF(AK667&gt;0,I667/AK667,-1)</f>
        <v/>
      </c>
      <c r="AO667" s="56">
        <f>IF(AND(OR(BR667="L1",BR667="L23"),AK667&gt;0),SUMIFS($AK$7:$AK$1570,$BR$7:$BR$1570,BR667,$AN$7:$AN$1570,"&gt;"&amp;AN667)+SUMIFS($AK$7:$AK$1570,$BR$7:$BR$1570,BR667,$AN$7:$AN$1570,AN667,$BL$7:$BL$1570,"&lt;="&amp;BL667),"")</f>
        <v/>
      </c>
      <c r="AP667" s="65">
        <f>IF(AO667="",0,MAX(0,MIN(1,(IF(BR667="L1",Parameter!$K$5,Parameter!$K$6+Parameter!$K$7)-(AO667-AK667))/AK667)))</f>
        <v/>
      </c>
      <c r="AQ667" s="55">
        <f>IF(LEFT(Cockpit!$O$5,1)="A",G667,IF(BT667=1,BU667,IF(LEFT(Cockpit!$O$5,1)="B",AU667,MAX(AU667,G667))))</f>
        <v/>
      </c>
      <c r="AR667" s="55">
        <f>IF(BO667=1,0,ROUNDUP(AQ667/BN667,0))</f>
        <v/>
      </c>
      <c r="AS667" s="64">
        <f>IF(BO667=1,IF(AQ667&lt;=0,0,BP667*MAX(1,IF(G667&gt;0,AQ667/G667,1))),AR667*Q667)</f>
        <v/>
      </c>
      <c r="AT667" s="55">
        <f>AQ667*F667</f>
        <v/>
      </c>
      <c r="AU667" s="55">
        <f>ROUNDUP(MAX(I667/IF(BS667&gt;0,BS667,MAX(0.1,N(Cockpit!$O$6))),BV667)/BN667,0)*BN667</f>
        <v/>
      </c>
      <c r="AV667" s="56">
        <f>IF(AS667&gt;0,I667/AS667,-1)</f>
        <v/>
      </c>
      <c r="AW667" s="56">
        <f>IF(AND(OR(BR667="L1",BR667="L23"),AS667&gt;0),SUMIFS($AS$7:$AS$1570,$BR$7:$BR$1570,BR667,$AV$7:$AV$1570,"&gt;"&amp;AV667)+SUMIFS($AS$7:$AS$1570,$BR$7:$BR$1570,BR667,$AV$7:$AV$1570,AV667,$BL$7:$BL$1570,"&lt;="&amp;BL667),"")</f>
        <v/>
      </c>
      <c r="AX667" s="65">
        <f>IF(AW667="",0,MAX(0,MIN(1,(IF(BR667="L1",Parameter!$K$5,Parameter!$K$6+Parameter!$K$7)-(AW667-AS667))/AS667)))</f>
        <v/>
      </c>
      <c r="AY667" s="53">
        <f>IF(AC667&lt;=0,"",IF(BR667="Aussen","Aussenlager",IF(BR667="-","Nicht im Lift",IF(AH667&gt;=1,"Lift",IF(AH667&lt;=0,"Aussenlager","teilweise")))))</f>
        <v/>
      </c>
      <c r="AZ667" s="53">
        <f>IF(AK667&lt;=0,"",IF(BR667="Aussen","Aussenlager",IF(BR667="-","Nicht im Lift",IF(AP667&gt;=1,"Lift",IF(AP667&lt;=0,"Aussenlager","teilweise")))))</f>
        <v/>
      </c>
      <c r="BA667" s="53">
        <f>IF(AS667&lt;=0,"",IF(BR667="Aussen","Aussenlager",IF(BR667="-","Nicht im Lift",IF(AX667&gt;=1,"Lift",IF(AX667&lt;=0,"Aussenlager","teilweise")))))</f>
        <v/>
      </c>
      <c r="BB667" s="53">
        <f>IF(A667="","",IF(BK667=1,"Neu; ","")&amp;IF(AND(BK667=0,BF667&lt;0),"negativer Bestand (Export "&amp;BF667&amp;"); ","")&amp;IF(I667&lt;=0,"Kein Verbrauch; ","")&amp;IF(BO667=1,"Lose – Fläche geschätzt; ","")&amp;IF(G667&gt;AM667,"Überbestand "&amp;ROUND(G667-AM667,0)&amp;" Stk / CHF "&amp;ROUND((G667-AM667)*F667,0)&amp;"; ","")&amp;IF(AND(BT667=1,BU667&lt;BV667),"MAX &lt; MB+LG; ","")&amp;IF(AND(BZ667&gt;0,BY667*10&gt;BZ667),"zu hoch für Tablar; ","")&amp;IF(AND(BK667=0,OR(BT667=1,V667&lt;&gt;"",S667&lt;&gt;"",T667&lt;&gt;"",W667&lt;&gt;"")),"manuell übersteuert; ","")&amp;IF(AND(BO667=0,Q667=0),"Gebinde unbekannt; ","")&amp;IF(AND(BO667=0,N(T667)&lt;=0,N(P667)&lt;=0),"Menge pro Gebinde fehlt (Ist = 1 Gebinde); ","")&amp;BJ667)</f>
        <v/>
      </c>
      <c r="BC667" s="53" t="n"/>
      <c r="BD667" s="53" t="n"/>
      <c r="BE667" s="61" t="n"/>
      <c r="BF667" s="55" t="n">
        <v>0</v>
      </c>
      <c r="BG667" s="55" t="n">
        <v>0</v>
      </c>
      <c r="BH667" s="54" t="n">
        <v>0</v>
      </c>
      <c r="BI667" s="55" t="n">
        <v>60</v>
      </c>
      <c r="BJ667" s="53" t="inlineStr"/>
      <c r="BK667" s="58" t="n">
        <v>0</v>
      </c>
      <c r="BL667" s="58" t="n">
        <v>667</v>
      </c>
      <c r="BM667" s="53">
        <f>IF(S667&lt;&gt;"",UPPER(TRIM(S667)),IF(O667="","LOSE",O667))</f>
        <v/>
      </c>
      <c r="BN667" s="55">
        <f>IF(BM667="LOSE",1,IF(N(T667)&gt;0,T667,IF(N(P667)&gt;0,P667,MAX(1,G667))))</f>
        <v/>
      </c>
      <c r="BO667" s="58">
        <f>IF(BM667="LOSE",1,0)</f>
        <v/>
      </c>
      <c r="BP667" s="64">
        <f>IF(BO667=0,0,IF(N(R667)&gt;0,R667,IFERROR(VLOOKUP(D667,Parameter!$A$35:$C$64,3,0)+0,0)))</f>
        <v/>
      </c>
      <c r="BQ667" s="53">
        <f>IF(V667&lt;&gt;"",V667,U667)</f>
        <v/>
      </c>
      <c r="BR667" s="53">
        <f>IF(BQ667=1,"L1",IF(OR(BQ667=2,BQ667=3),"L23",IF(BQ667="Aussen","Aussen","-")))</f>
        <v/>
      </c>
      <c r="BS667" s="66">
        <f>IF(N(W667)&gt;0,W667,0)</f>
        <v/>
      </c>
      <c r="BT667" s="58">
        <f>IF(ISNUMBER(Z667),1,0)</f>
        <v/>
      </c>
      <c r="BU667" s="55">
        <f>N(Z667)</f>
        <v/>
      </c>
      <c r="BV667" s="55">
        <f>N(L667)+N(M667)</f>
        <v/>
      </c>
      <c r="BW667" s="55">
        <f>ROUNDUP(G667/BN667,0)</f>
        <v/>
      </c>
      <c r="BX667" s="55">
        <f>ROUNDUP(BU667/BN667,0)</f>
        <v/>
      </c>
      <c r="BY667" s="58">
        <f>IF(BO667=1,0,IFERROR(VLOOKUP(BM667,'Gebinde-Kategorie'!$A$5:$G$45,5,0)+0,0))</f>
        <v/>
      </c>
      <c r="BZ667" s="58">
        <f>IFERROR(IF(OR(BQ667=1,BQ667=2,BQ667=3),N(INDEX(Parameter!$I$5:$I$7,BQ667)),0),0)</f>
        <v/>
      </c>
    </row>
    <row r="668">
      <c r="A668" s="53" t="inlineStr">
        <is>
          <t>110778</t>
        </is>
      </c>
      <c r="B668" s="53" t="inlineStr">
        <is>
          <t>Adapter SPGr10 geschweisst Petrobras</t>
        </is>
      </c>
      <c r="C668" s="53" t="inlineStr">
        <is>
          <t>F</t>
        </is>
      </c>
      <c r="D668" s="53" t="inlineStr">
        <is>
          <t>A-BEZ</t>
        </is>
      </c>
      <c r="E668" s="53" t="inlineStr">
        <is>
          <t>C</t>
        </is>
      </c>
      <c r="F668" s="54" t="n">
        <v>2344.22</v>
      </c>
      <c r="G668" s="55">
        <f>MAX(0,IF(Parameter!$B$20="Jahresanfang 2025 + Export",BG668+BF668,BF668))</f>
        <v/>
      </c>
      <c r="H668" s="55">
        <f>G668*F668</f>
        <v/>
      </c>
      <c r="I668" s="55">
        <f>BI668*Parameter!$B$18</f>
        <v/>
      </c>
      <c r="J668" s="56" t="n">
        <v>0</v>
      </c>
      <c r="K668" s="57" t="n">
        <v>0</v>
      </c>
      <c r="L668" s="55" t="n">
        <v>0</v>
      </c>
      <c r="M668" s="55" t="n">
        <v>1</v>
      </c>
      <c r="N668" s="58" t="n">
        <v>70</v>
      </c>
      <c r="O668" s="53" t="inlineStr">
        <is>
          <t>LOSE</t>
        </is>
      </c>
      <c r="P668" s="55" t="n"/>
      <c r="Q668" s="59">
        <f>IF(BO668=1,0,IFERROR(VLOOKUP(BM668,'Gebinde-Kategorie'!$A$5:$G$45,6,0)+0,0))</f>
        <v/>
      </c>
      <c r="R668" s="60" t="n"/>
      <c r="S668" s="61" t="n"/>
      <c r="T668" s="61" t="n"/>
      <c r="U668" s="53">
        <f>IF(A668="","",IF(IFERROR(VLOOKUP(D668,Parameter!$A$35:$C$64,2,0),"Nein")="2+3",IF(ISNUMBER(SEARCH("grosser Artikel",BJ668)),2,IFERROR(VLOOKUP(BM668,Parameter!$F$35:$G$64,2,0),2)),IF(OR(IFERROR(VLOOKUP(D668,Parameter!$A$35:$C$64,2,0),"Nein")="Nein",IFERROR(VLOOKUP(D668,Parameter!$A$35:$C$64,2,0),"Nein")=""),"-",VLOOKUP(D668,Parameter!$A$35:$C$64,2,0))))</f>
        <v/>
      </c>
      <c r="V668" s="61" t="n"/>
      <c r="W668" s="62" t="n"/>
      <c r="X668" s="55">
        <f>AM668</f>
        <v/>
      </c>
      <c r="Y668" s="55">
        <f>MAX(AM668,G668)</f>
        <v/>
      </c>
      <c r="Z668" s="63" t="n"/>
      <c r="AA668" s="55">
        <f>IF(LEFT(Cockpit!$C$5,1)="A",G668,IF(BT668=1,BU668,IF(LEFT(Cockpit!$C$5,1)="B",AE668,MAX(AE668,G668))))</f>
        <v/>
      </c>
      <c r="AB668" s="55">
        <f>IF(BO668=1,0,ROUNDUP(AA668/BN668,0))</f>
        <v/>
      </c>
      <c r="AC668" s="64">
        <f>IF(BO668=1,IF(AA668&lt;=0,0,BP668*MAX(1,IF(G668&gt;0,AA668/G668,1))),AB668*Q668)</f>
        <v/>
      </c>
      <c r="AD668" s="55">
        <f>AA668*F668</f>
        <v/>
      </c>
      <c r="AE668" s="55">
        <f>ROUNDUP(MAX(I668/IF(BS668&gt;0,BS668,MAX(0.1,N(Cockpit!$C$6))),BV668)/BN668,0)*BN668</f>
        <v/>
      </c>
      <c r="AF668" s="56">
        <f>IF(AC668&gt;0,I668/AC668,-1)</f>
        <v/>
      </c>
      <c r="AG668" s="56">
        <f>IF(AND(OR(BR668="L1",BR668="L23"),AC668&gt;0),SUMIFS($AC$7:$AC$1570,$BR$7:$BR$1570,BR668,$AF$7:$AF$1570,"&gt;"&amp;AF668)+SUMIFS($AC$7:$AC$1570,$BR$7:$BR$1570,BR668,$AF$7:$AF$1570,AF668,$BL$7:$BL$1570,"&lt;="&amp;BL668),"")</f>
        <v/>
      </c>
      <c r="AH668" s="65">
        <f>IF(AG668="",0,MAX(0,MIN(1,(IF(BR668="L1",Parameter!$K$5,Parameter!$K$6+Parameter!$K$7)-(AG668-AC668))/AC668)))</f>
        <v/>
      </c>
      <c r="AI668" s="55">
        <f>IF(LEFT(Cockpit!$I$5,1)="A",G668,IF(BT668=1,BU668,IF(LEFT(Cockpit!$I$5,1)="B",AM668,MAX(AM668,G668))))</f>
        <v/>
      </c>
      <c r="AJ668" s="55">
        <f>IF(BO668=1,0,ROUNDUP(AI668/BN668,0))</f>
        <v/>
      </c>
      <c r="AK668" s="64">
        <f>IF(BO668=1,IF(AI668&lt;=0,0,BP668*MAX(1,IF(G668&gt;0,AI668/G668,1))),AJ668*Q668)</f>
        <v/>
      </c>
      <c r="AL668" s="55">
        <f>AI668*F668</f>
        <v/>
      </c>
      <c r="AM668" s="55">
        <f>ROUNDUP(MAX(I668/IF(BS668&gt;0,BS668,MAX(0.1,N(Cockpit!$I$6))),BV668)/BN668,0)*BN668</f>
        <v/>
      </c>
      <c r="AN668" s="56">
        <f>IF(AK668&gt;0,I668/AK668,-1)</f>
        <v/>
      </c>
      <c r="AO668" s="56">
        <f>IF(AND(OR(BR668="L1",BR668="L23"),AK668&gt;0),SUMIFS($AK$7:$AK$1570,$BR$7:$BR$1570,BR668,$AN$7:$AN$1570,"&gt;"&amp;AN668)+SUMIFS($AK$7:$AK$1570,$BR$7:$BR$1570,BR668,$AN$7:$AN$1570,AN668,$BL$7:$BL$1570,"&lt;="&amp;BL668),"")</f>
        <v/>
      </c>
      <c r="AP668" s="65">
        <f>IF(AO668="",0,MAX(0,MIN(1,(IF(BR668="L1",Parameter!$K$5,Parameter!$K$6+Parameter!$K$7)-(AO668-AK668))/AK668)))</f>
        <v/>
      </c>
      <c r="AQ668" s="55">
        <f>IF(LEFT(Cockpit!$O$5,1)="A",G668,IF(BT668=1,BU668,IF(LEFT(Cockpit!$O$5,1)="B",AU668,MAX(AU668,G668))))</f>
        <v/>
      </c>
      <c r="AR668" s="55">
        <f>IF(BO668=1,0,ROUNDUP(AQ668/BN668,0))</f>
        <v/>
      </c>
      <c r="AS668" s="64">
        <f>IF(BO668=1,IF(AQ668&lt;=0,0,BP668*MAX(1,IF(G668&gt;0,AQ668/G668,1))),AR668*Q668)</f>
        <v/>
      </c>
      <c r="AT668" s="55">
        <f>AQ668*F668</f>
        <v/>
      </c>
      <c r="AU668" s="55">
        <f>ROUNDUP(MAX(I668/IF(BS668&gt;0,BS668,MAX(0.1,N(Cockpit!$O$6))),BV668)/BN668,0)*BN668</f>
        <v/>
      </c>
      <c r="AV668" s="56">
        <f>IF(AS668&gt;0,I668/AS668,-1)</f>
        <v/>
      </c>
      <c r="AW668" s="56">
        <f>IF(AND(OR(BR668="L1",BR668="L23"),AS668&gt;0),SUMIFS($AS$7:$AS$1570,$BR$7:$BR$1570,BR668,$AV$7:$AV$1570,"&gt;"&amp;AV668)+SUMIFS($AS$7:$AS$1570,$BR$7:$BR$1570,BR668,$AV$7:$AV$1570,AV668,$BL$7:$BL$1570,"&lt;="&amp;BL668),"")</f>
        <v/>
      </c>
      <c r="AX668" s="65">
        <f>IF(AW668="",0,MAX(0,MIN(1,(IF(BR668="L1",Parameter!$K$5,Parameter!$K$6+Parameter!$K$7)-(AW668-AS668))/AS668)))</f>
        <v/>
      </c>
      <c r="AY668" s="53">
        <f>IF(AC668&lt;=0,"",IF(BR668="Aussen","Aussenlager",IF(BR668="-","Nicht im Lift",IF(AH668&gt;=1,"Lift",IF(AH668&lt;=0,"Aussenlager","teilweise")))))</f>
        <v/>
      </c>
      <c r="AZ668" s="53">
        <f>IF(AK668&lt;=0,"",IF(BR668="Aussen","Aussenlager",IF(BR668="-","Nicht im Lift",IF(AP668&gt;=1,"Lift",IF(AP668&lt;=0,"Aussenlager","teilweise")))))</f>
        <v/>
      </c>
      <c r="BA668" s="53">
        <f>IF(AS668&lt;=0,"",IF(BR668="Aussen","Aussenlager",IF(BR668="-","Nicht im Lift",IF(AX668&gt;=1,"Lift",IF(AX668&lt;=0,"Aussenlager","teilweise")))))</f>
        <v/>
      </c>
      <c r="BB668" s="53">
        <f>IF(A668="","",IF(BK668=1,"Neu; ","")&amp;IF(AND(BK668=0,BF668&lt;0),"negativer Bestand (Export "&amp;BF668&amp;"); ","")&amp;IF(I668&lt;=0,"Kein Verbrauch; ","")&amp;IF(BO668=1,"Lose – Fläche geschätzt; ","")&amp;IF(G668&gt;AM668,"Überbestand "&amp;ROUND(G668-AM668,0)&amp;" Stk / CHF "&amp;ROUND((G668-AM668)*F668,0)&amp;"; ","")&amp;IF(AND(BT668=1,BU668&lt;BV668),"MAX &lt; MB+LG; ","")&amp;IF(AND(BZ668&gt;0,BY668*10&gt;BZ668),"zu hoch für Tablar; ","")&amp;IF(AND(BK668=0,OR(BT668=1,V668&lt;&gt;"",S668&lt;&gt;"",T668&lt;&gt;"",W668&lt;&gt;"")),"manuell übersteuert; ","")&amp;IF(AND(BO668=0,Q668=0),"Gebinde unbekannt; ","")&amp;IF(AND(BO668=0,N(T668)&lt;=0,N(P668)&lt;=0),"Menge pro Gebinde fehlt (Ist = 1 Gebinde); ","")&amp;BJ668)</f>
        <v/>
      </c>
      <c r="BC668" s="53" t="n"/>
      <c r="BD668" s="53" t="n"/>
      <c r="BE668" s="61" t="n"/>
      <c r="BF668" s="55" t="n">
        <v>0</v>
      </c>
      <c r="BG668" s="55" t="n">
        <v>0</v>
      </c>
      <c r="BH668" s="54" t="n">
        <v>0</v>
      </c>
      <c r="BI668" s="55" t="n">
        <v>4</v>
      </c>
      <c r="BJ668" s="53" t="inlineStr"/>
      <c r="BK668" s="58" t="n">
        <v>0</v>
      </c>
      <c r="BL668" s="58" t="n">
        <v>668</v>
      </c>
      <c r="BM668" s="53">
        <f>IF(S668&lt;&gt;"",UPPER(TRIM(S668)),IF(O668="","LOSE",O668))</f>
        <v/>
      </c>
      <c r="BN668" s="55">
        <f>IF(BM668="LOSE",1,IF(N(T668)&gt;0,T668,IF(N(P668)&gt;0,P668,MAX(1,G668))))</f>
        <v/>
      </c>
      <c r="BO668" s="58">
        <f>IF(BM668="LOSE",1,0)</f>
        <v/>
      </c>
      <c r="BP668" s="64">
        <f>IF(BO668=0,0,IF(N(R668)&gt;0,R668,IFERROR(VLOOKUP(D668,Parameter!$A$35:$C$64,3,0)+0,0)))</f>
        <v/>
      </c>
      <c r="BQ668" s="53">
        <f>IF(V668&lt;&gt;"",V668,U668)</f>
        <v/>
      </c>
      <c r="BR668" s="53">
        <f>IF(BQ668=1,"L1",IF(OR(BQ668=2,BQ668=3),"L23",IF(BQ668="Aussen","Aussen","-")))</f>
        <v/>
      </c>
      <c r="BS668" s="66">
        <f>IF(N(W668)&gt;0,W668,0)</f>
        <v/>
      </c>
      <c r="BT668" s="58">
        <f>IF(ISNUMBER(Z668),1,0)</f>
        <v/>
      </c>
      <c r="BU668" s="55">
        <f>N(Z668)</f>
        <v/>
      </c>
      <c r="BV668" s="55">
        <f>N(L668)+N(M668)</f>
        <v/>
      </c>
      <c r="BW668" s="55">
        <f>ROUNDUP(G668/BN668,0)</f>
        <v/>
      </c>
      <c r="BX668" s="55">
        <f>ROUNDUP(BU668/BN668,0)</f>
        <v/>
      </c>
      <c r="BY668" s="58">
        <f>IF(BO668=1,0,IFERROR(VLOOKUP(BM668,'Gebinde-Kategorie'!$A$5:$G$45,5,0)+0,0))</f>
        <v/>
      </c>
      <c r="BZ668" s="58">
        <f>IFERROR(IF(OR(BQ668=1,BQ668=2,BQ668=3),N(INDEX(Parameter!$I$5:$I$7,BQ668)),0),0)</f>
        <v/>
      </c>
    </row>
    <row r="669">
      <c r="A669" s="53" t="inlineStr">
        <is>
          <t>110998</t>
        </is>
      </c>
      <c r="B669" s="53" t="inlineStr">
        <is>
          <t>Austrittsdüse SPGr16</t>
        </is>
      </c>
      <c r="C669" s="53" t="inlineStr">
        <is>
          <t>F</t>
        </is>
      </c>
      <c r="D669" s="53" t="inlineStr">
        <is>
          <t>A-BEZ</t>
        </is>
      </c>
      <c r="E669" s="53" t="inlineStr">
        <is>
          <t>C</t>
        </is>
      </c>
      <c r="F669" s="54" t="n">
        <v>4681.1</v>
      </c>
      <c r="G669" s="55">
        <f>MAX(0,IF(Parameter!$B$20="Jahresanfang 2025 + Export",BG669+BF669,BF669))</f>
        <v/>
      </c>
      <c r="H669" s="55">
        <f>G669*F669</f>
        <v/>
      </c>
      <c r="I669" s="55">
        <f>BI669*Parameter!$B$18</f>
        <v/>
      </c>
      <c r="J669" s="56" t="n">
        <v>0</v>
      </c>
      <c r="K669" s="57" t="n">
        <v>0</v>
      </c>
      <c r="L669" s="55" t="n">
        <v>0</v>
      </c>
      <c r="M669" s="55" t="n">
        <v>1</v>
      </c>
      <c r="N669" s="58" t="n">
        <v>70</v>
      </c>
      <c r="O669" s="53" t="inlineStr">
        <is>
          <t>LOSE</t>
        </is>
      </c>
      <c r="P669" s="55" t="n"/>
      <c r="Q669" s="59">
        <f>IF(BO669=1,0,IFERROR(VLOOKUP(BM669,'Gebinde-Kategorie'!$A$5:$G$45,6,0)+0,0))</f>
        <v/>
      </c>
      <c r="R669" s="60" t="n"/>
      <c r="S669" s="61" t="n"/>
      <c r="T669" s="61" t="n"/>
      <c r="U669" s="53">
        <f>IF(A669="","",IF(IFERROR(VLOOKUP(D669,Parameter!$A$35:$C$64,2,0),"Nein")="2+3",IF(ISNUMBER(SEARCH("grosser Artikel",BJ669)),2,IFERROR(VLOOKUP(BM669,Parameter!$F$35:$G$64,2,0),2)),IF(OR(IFERROR(VLOOKUP(D669,Parameter!$A$35:$C$64,2,0),"Nein")="Nein",IFERROR(VLOOKUP(D669,Parameter!$A$35:$C$64,2,0),"Nein")=""),"-",VLOOKUP(D669,Parameter!$A$35:$C$64,2,0))))</f>
        <v/>
      </c>
      <c r="V669" s="61" t="n"/>
      <c r="W669" s="62" t="n"/>
      <c r="X669" s="55">
        <f>AM669</f>
        <v/>
      </c>
      <c r="Y669" s="55">
        <f>MAX(AM669,G669)</f>
        <v/>
      </c>
      <c r="Z669" s="63" t="n"/>
      <c r="AA669" s="55">
        <f>IF(LEFT(Cockpit!$C$5,1)="A",G669,IF(BT669=1,BU669,IF(LEFT(Cockpit!$C$5,1)="B",AE669,MAX(AE669,G669))))</f>
        <v/>
      </c>
      <c r="AB669" s="55">
        <f>IF(BO669=1,0,ROUNDUP(AA669/BN669,0))</f>
        <v/>
      </c>
      <c r="AC669" s="64">
        <f>IF(BO669=1,IF(AA669&lt;=0,0,BP669*MAX(1,IF(G669&gt;0,AA669/G669,1))),AB669*Q669)</f>
        <v/>
      </c>
      <c r="AD669" s="55">
        <f>AA669*F669</f>
        <v/>
      </c>
      <c r="AE669" s="55">
        <f>ROUNDUP(MAX(I669/IF(BS669&gt;0,BS669,MAX(0.1,N(Cockpit!$C$6))),BV669)/BN669,0)*BN669</f>
        <v/>
      </c>
      <c r="AF669" s="56">
        <f>IF(AC669&gt;0,I669/AC669,-1)</f>
        <v/>
      </c>
      <c r="AG669" s="56">
        <f>IF(AND(OR(BR669="L1",BR669="L23"),AC669&gt;0),SUMIFS($AC$7:$AC$1570,$BR$7:$BR$1570,BR669,$AF$7:$AF$1570,"&gt;"&amp;AF669)+SUMIFS($AC$7:$AC$1570,$BR$7:$BR$1570,BR669,$AF$7:$AF$1570,AF669,$BL$7:$BL$1570,"&lt;="&amp;BL669),"")</f>
        <v/>
      </c>
      <c r="AH669" s="65">
        <f>IF(AG669="",0,MAX(0,MIN(1,(IF(BR669="L1",Parameter!$K$5,Parameter!$K$6+Parameter!$K$7)-(AG669-AC669))/AC669)))</f>
        <v/>
      </c>
      <c r="AI669" s="55">
        <f>IF(LEFT(Cockpit!$I$5,1)="A",G669,IF(BT669=1,BU669,IF(LEFT(Cockpit!$I$5,1)="B",AM669,MAX(AM669,G669))))</f>
        <v/>
      </c>
      <c r="AJ669" s="55">
        <f>IF(BO669=1,0,ROUNDUP(AI669/BN669,0))</f>
        <v/>
      </c>
      <c r="AK669" s="64">
        <f>IF(BO669=1,IF(AI669&lt;=0,0,BP669*MAX(1,IF(G669&gt;0,AI669/G669,1))),AJ669*Q669)</f>
        <v/>
      </c>
      <c r="AL669" s="55">
        <f>AI669*F669</f>
        <v/>
      </c>
      <c r="AM669" s="55">
        <f>ROUNDUP(MAX(I669/IF(BS669&gt;0,BS669,MAX(0.1,N(Cockpit!$I$6))),BV669)/BN669,0)*BN669</f>
        <v/>
      </c>
      <c r="AN669" s="56">
        <f>IF(AK669&gt;0,I669/AK669,-1)</f>
        <v/>
      </c>
      <c r="AO669" s="56">
        <f>IF(AND(OR(BR669="L1",BR669="L23"),AK669&gt;0),SUMIFS($AK$7:$AK$1570,$BR$7:$BR$1570,BR669,$AN$7:$AN$1570,"&gt;"&amp;AN669)+SUMIFS($AK$7:$AK$1570,$BR$7:$BR$1570,BR669,$AN$7:$AN$1570,AN669,$BL$7:$BL$1570,"&lt;="&amp;BL669),"")</f>
        <v/>
      </c>
      <c r="AP669" s="65">
        <f>IF(AO669="",0,MAX(0,MIN(1,(IF(BR669="L1",Parameter!$K$5,Parameter!$K$6+Parameter!$K$7)-(AO669-AK669))/AK669)))</f>
        <v/>
      </c>
      <c r="AQ669" s="55">
        <f>IF(LEFT(Cockpit!$O$5,1)="A",G669,IF(BT669=1,BU669,IF(LEFT(Cockpit!$O$5,1)="B",AU669,MAX(AU669,G669))))</f>
        <v/>
      </c>
      <c r="AR669" s="55">
        <f>IF(BO669=1,0,ROUNDUP(AQ669/BN669,0))</f>
        <v/>
      </c>
      <c r="AS669" s="64">
        <f>IF(BO669=1,IF(AQ669&lt;=0,0,BP669*MAX(1,IF(G669&gt;0,AQ669/G669,1))),AR669*Q669)</f>
        <v/>
      </c>
      <c r="AT669" s="55">
        <f>AQ669*F669</f>
        <v/>
      </c>
      <c r="AU669" s="55">
        <f>ROUNDUP(MAX(I669/IF(BS669&gt;0,BS669,MAX(0.1,N(Cockpit!$O$6))),BV669)/BN669,0)*BN669</f>
        <v/>
      </c>
      <c r="AV669" s="56">
        <f>IF(AS669&gt;0,I669/AS669,-1)</f>
        <v/>
      </c>
      <c r="AW669" s="56">
        <f>IF(AND(OR(BR669="L1",BR669="L23"),AS669&gt;0),SUMIFS($AS$7:$AS$1570,$BR$7:$BR$1570,BR669,$AV$7:$AV$1570,"&gt;"&amp;AV669)+SUMIFS($AS$7:$AS$1570,$BR$7:$BR$1570,BR669,$AV$7:$AV$1570,AV669,$BL$7:$BL$1570,"&lt;="&amp;BL669),"")</f>
        <v/>
      </c>
      <c r="AX669" s="65">
        <f>IF(AW669="",0,MAX(0,MIN(1,(IF(BR669="L1",Parameter!$K$5,Parameter!$K$6+Parameter!$K$7)-(AW669-AS669))/AS669)))</f>
        <v/>
      </c>
      <c r="AY669" s="53">
        <f>IF(AC669&lt;=0,"",IF(BR669="Aussen","Aussenlager",IF(BR669="-","Nicht im Lift",IF(AH669&gt;=1,"Lift",IF(AH669&lt;=0,"Aussenlager","teilweise")))))</f>
        <v/>
      </c>
      <c r="AZ669" s="53">
        <f>IF(AK669&lt;=0,"",IF(BR669="Aussen","Aussenlager",IF(BR669="-","Nicht im Lift",IF(AP669&gt;=1,"Lift",IF(AP669&lt;=0,"Aussenlager","teilweise")))))</f>
        <v/>
      </c>
      <c r="BA669" s="53">
        <f>IF(AS669&lt;=0,"",IF(BR669="Aussen","Aussenlager",IF(BR669="-","Nicht im Lift",IF(AX669&gt;=1,"Lift",IF(AX669&lt;=0,"Aussenlager","teilweise")))))</f>
        <v/>
      </c>
      <c r="BB669" s="53">
        <f>IF(A669="","",IF(BK669=1,"Neu; ","")&amp;IF(AND(BK669=0,BF669&lt;0),"negativer Bestand (Export "&amp;BF669&amp;"); ","")&amp;IF(I669&lt;=0,"Kein Verbrauch; ","")&amp;IF(BO669=1,"Lose – Fläche geschätzt; ","")&amp;IF(G669&gt;AM669,"Überbestand "&amp;ROUND(G669-AM669,0)&amp;" Stk / CHF "&amp;ROUND((G669-AM669)*F669,0)&amp;"; ","")&amp;IF(AND(BT669=1,BU669&lt;BV669),"MAX &lt; MB+LG; ","")&amp;IF(AND(BZ669&gt;0,BY669*10&gt;BZ669),"zu hoch für Tablar; ","")&amp;IF(AND(BK669=0,OR(BT669=1,V669&lt;&gt;"",S669&lt;&gt;"",T669&lt;&gt;"",W669&lt;&gt;"")),"manuell übersteuert; ","")&amp;IF(AND(BO669=0,Q669=0),"Gebinde unbekannt; ","")&amp;IF(AND(BO669=0,N(T669)&lt;=0,N(P669)&lt;=0),"Menge pro Gebinde fehlt (Ist = 1 Gebinde); ","")&amp;BJ669)</f>
        <v/>
      </c>
      <c r="BC669" s="53" t="n"/>
      <c r="BD669" s="53" t="n"/>
      <c r="BE669" s="61" t="n"/>
      <c r="BF669" s="55" t="n">
        <v>0</v>
      </c>
      <c r="BG669" s="55" t="n">
        <v>0</v>
      </c>
      <c r="BH669" s="54" t="n">
        <v>0</v>
      </c>
      <c r="BI669" s="55" t="n">
        <v>3</v>
      </c>
      <c r="BJ669" s="53" t="inlineStr"/>
      <c r="BK669" s="58" t="n">
        <v>0</v>
      </c>
      <c r="BL669" s="58" t="n">
        <v>669</v>
      </c>
      <c r="BM669" s="53">
        <f>IF(S669&lt;&gt;"",UPPER(TRIM(S669)),IF(O669="","LOSE",O669))</f>
        <v/>
      </c>
      <c r="BN669" s="55">
        <f>IF(BM669="LOSE",1,IF(N(T669)&gt;0,T669,IF(N(P669)&gt;0,P669,MAX(1,G669))))</f>
        <v/>
      </c>
      <c r="BO669" s="58">
        <f>IF(BM669="LOSE",1,0)</f>
        <v/>
      </c>
      <c r="BP669" s="64">
        <f>IF(BO669=0,0,IF(N(R669)&gt;0,R669,IFERROR(VLOOKUP(D669,Parameter!$A$35:$C$64,3,0)+0,0)))</f>
        <v/>
      </c>
      <c r="BQ669" s="53">
        <f>IF(V669&lt;&gt;"",V669,U669)</f>
        <v/>
      </c>
      <c r="BR669" s="53">
        <f>IF(BQ669=1,"L1",IF(OR(BQ669=2,BQ669=3),"L23",IF(BQ669="Aussen","Aussen","-")))</f>
        <v/>
      </c>
      <c r="BS669" s="66">
        <f>IF(N(W669)&gt;0,W669,0)</f>
        <v/>
      </c>
      <c r="BT669" s="58">
        <f>IF(ISNUMBER(Z669),1,0)</f>
        <v/>
      </c>
      <c r="BU669" s="55">
        <f>N(Z669)</f>
        <v/>
      </c>
      <c r="BV669" s="55">
        <f>N(L669)+N(M669)</f>
        <v/>
      </c>
      <c r="BW669" s="55">
        <f>ROUNDUP(G669/BN669,0)</f>
        <v/>
      </c>
      <c r="BX669" s="55">
        <f>ROUNDUP(BU669/BN669,0)</f>
        <v/>
      </c>
      <c r="BY669" s="58">
        <f>IF(BO669=1,0,IFERROR(VLOOKUP(BM669,'Gebinde-Kategorie'!$A$5:$G$45,5,0)+0,0))</f>
        <v/>
      </c>
      <c r="BZ669" s="58">
        <f>IFERROR(IF(OR(BQ669=1,BQ669=2,BQ669=3),N(INDEX(Parameter!$I$5:$I$7,BQ669)),0),0)</f>
        <v/>
      </c>
    </row>
    <row r="670">
      <c r="A670" s="53" t="inlineStr">
        <is>
          <t>110844</t>
        </is>
      </c>
      <c r="B670" s="53" t="inlineStr">
        <is>
          <t>Dichtung externe Stahlstruktur SPGr16</t>
        </is>
      </c>
      <c r="C670" s="53" t="inlineStr">
        <is>
          <t>F</t>
        </is>
      </c>
      <c r="D670" s="53" t="inlineStr">
        <is>
          <t>A-BEZ</t>
        </is>
      </c>
      <c r="E670" s="53" t="inlineStr">
        <is>
          <t>C</t>
        </is>
      </c>
      <c r="F670" s="54" t="n">
        <v>171.76</v>
      </c>
      <c r="G670" s="55">
        <f>MAX(0,IF(Parameter!$B$20="Jahresanfang 2025 + Export",BG670+BF670,BF670))</f>
        <v/>
      </c>
      <c r="H670" s="55">
        <f>G670*F670</f>
        <v/>
      </c>
      <c r="I670" s="55">
        <f>BI670*Parameter!$B$18</f>
        <v/>
      </c>
      <c r="J670" s="56" t="n">
        <v>0</v>
      </c>
      <c r="K670" s="57" t="n">
        <v>0</v>
      </c>
      <c r="L670" s="55" t="n">
        <v>0</v>
      </c>
      <c r="M670" s="55" t="n">
        <v>1</v>
      </c>
      <c r="N670" s="58" t="n">
        <v>105</v>
      </c>
      <c r="O670" s="53" t="inlineStr">
        <is>
          <t>LOSE</t>
        </is>
      </c>
      <c r="P670" s="55" t="n"/>
      <c r="Q670" s="59">
        <f>IF(BO670=1,0,IFERROR(VLOOKUP(BM670,'Gebinde-Kategorie'!$A$5:$G$45,6,0)+0,0))</f>
        <v/>
      </c>
      <c r="R670" s="60" t="n"/>
      <c r="S670" s="61" t="n"/>
      <c r="T670" s="61" t="n"/>
      <c r="U670" s="53">
        <f>IF(A670="","",IF(IFERROR(VLOOKUP(D670,Parameter!$A$35:$C$64,2,0),"Nein")="2+3",IF(ISNUMBER(SEARCH("grosser Artikel",BJ670)),2,IFERROR(VLOOKUP(BM670,Parameter!$F$35:$G$64,2,0),2)),IF(OR(IFERROR(VLOOKUP(D670,Parameter!$A$35:$C$64,2,0),"Nein")="Nein",IFERROR(VLOOKUP(D670,Parameter!$A$35:$C$64,2,0),"Nein")=""),"-",VLOOKUP(D670,Parameter!$A$35:$C$64,2,0))))</f>
        <v/>
      </c>
      <c r="V670" s="61" t="n"/>
      <c r="W670" s="62" t="n"/>
      <c r="X670" s="55">
        <f>AM670</f>
        <v/>
      </c>
      <c r="Y670" s="55">
        <f>MAX(AM670,G670)</f>
        <v/>
      </c>
      <c r="Z670" s="63" t="n"/>
      <c r="AA670" s="55">
        <f>IF(LEFT(Cockpit!$C$5,1)="A",G670,IF(BT670=1,BU670,IF(LEFT(Cockpit!$C$5,1)="B",AE670,MAX(AE670,G670))))</f>
        <v/>
      </c>
      <c r="AB670" s="55">
        <f>IF(BO670=1,0,ROUNDUP(AA670/BN670,0))</f>
        <v/>
      </c>
      <c r="AC670" s="64">
        <f>IF(BO670=1,IF(AA670&lt;=0,0,BP670*MAX(1,IF(G670&gt;0,AA670/G670,1))),AB670*Q670)</f>
        <v/>
      </c>
      <c r="AD670" s="55">
        <f>AA670*F670</f>
        <v/>
      </c>
      <c r="AE670" s="55">
        <f>ROUNDUP(MAX(I670/IF(BS670&gt;0,BS670,MAX(0.1,N(Cockpit!$C$6))),BV670)/BN670,0)*BN670</f>
        <v/>
      </c>
      <c r="AF670" s="56">
        <f>IF(AC670&gt;0,I670/AC670,-1)</f>
        <v/>
      </c>
      <c r="AG670" s="56">
        <f>IF(AND(OR(BR670="L1",BR670="L23"),AC670&gt;0),SUMIFS($AC$7:$AC$1570,$BR$7:$BR$1570,BR670,$AF$7:$AF$1570,"&gt;"&amp;AF670)+SUMIFS($AC$7:$AC$1570,$BR$7:$BR$1570,BR670,$AF$7:$AF$1570,AF670,$BL$7:$BL$1570,"&lt;="&amp;BL670),"")</f>
        <v/>
      </c>
      <c r="AH670" s="65">
        <f>IF(AG670="",0,MAX(0,MIN(1,(IF(BR670="L1",Parameter!$K$5,Parameter!$K$6+Parameter!$K$7)-(AG670-AC670))/AC670)))</f>
        <v/>
      </c>
      <c r="AI670" s="55">
        <f>IF(LEFT(Cockpit!$I$5,1)="A",G670,IF(BT670=1,BU670,IF(LEFT(Cockpit!$I$5,1)="B",AM670,MAX(AM670,G670))))</f>
        <v/>
      </c>
      <c r="AJ670" s="55">
        <f>IF(BO670=1,0,ROUNDUP(AI670/BN670,0))</f>
        <v/>
      </c>
      <c r="AK670" s="64">
        <f>IF(BO670=1,IF(AI670&lt;=0,0,BP670*MAX(1,IF(G670&gt;0,AI670/G670,1))),AJ670*Q670)</f>
        <v/>
      </c>
      <c r="AL670" s="55">
        <f>AI670*F670</f>
        <v/>
      </c>
      <c r="AM670" s="55">
        <f>ROUNDUP(MAX(I670/IF(BS670&gt;0,BS670,MAX(0.1,N(Cockpit!$I$6))),BV670)/BN670,0)*BN670</f>
        <v/>
      </c>
      <c r="AN670" s="56">
        <f>IF(AK670&gt;0,I670/AK670,-1)</f>
        <v/>
      </c>
      <c r="AO670" s="56">
        <f>IF(AND(OR(BR670="L1",BR670="L23"),AK670&gt;0),SUMIFS($AK$7:$AK$1570,$BR$7:$BR$1570,BR670,$AN$7:$AN$1570,"&gt;"&amp;AN670)+SUMIFS($AK$7:$AK$1570,$BR$7:$BR$1570,BR670,$AN$7:$AN$1570,AN670,$BL$7:$BL$1570,"&lt;="&amp;BL670),"")</f>
        <v/>
      </c>
      <c r="AP670" s="65">
        <f>IF(AO670="",0,MAX(0,MIN(1,(IF(BR670="L1",Parameter!$K$5,Parameter!$K$6+Parameter!$K$7)-(AO670-AK670))/AK670)))</f>
        <v/>
      </c>
      <c r="AQ670" s="55">
        <f>IF(LEFT(Cockpit!$O$5,1)="A",G670,IF(BT670=1,BU670,IF(LEFT(Cockpit!$O$5,1)="B",AU670,MAX(AU670,G670))))</f>
        <v/>
      </c>
      <c r="AR670" s="55">
        <f>IF(BO670=1,0,ROUNDUP(AQ670/BN670,0))</f>
        <v/>
      </c>
      <c r="AS670" s="64">
        <f>IF(BO670=1,IF(AQ670&lt;=0,0,BP670*MAX(1,IF(G670&gt;0,AQ670/G670,1))),AR670*Q670)</f>
        <v/>
      </c>
      <c r="AT670" s="55">
        <f>AQ670*F670</f>
        <v/>
      </c>
      <c r="AU670" s="55">
        <f>ROUNDUP(MAX(I670/IF(BS670&gt;0,BS670,MAX(0.1,N(Cockpit!$O$6))),BV670)/BN670,0)*BN670</f>
        <v/>
      </c>
      <c r="AV670" s="56">
        <f>IF(AS670&gt;0,I670/AS670,-1)</f>
        <v/>
      </c>
      <c r="AW670" s="56">
        <f>IF(AND(OR(BR670="L1",BR670="L23"),AS670&gt;0),SUMIFS($AS$7:$AS$1570,$BR$7:$BR$1570,BR670,$AV$7:$AV$1570,"&gt;"&amp;AV670)+SUMIFS($AS$7:$AS$1570,$BR$7:$BR$1570,BR670,$AV$7:$AV$1570,AV670,$BL$7:$BL$1570,"&lt;="&amp;BL670),"")</f>
        <v/>
      </c>
      <c r="AX670" s="65">
        <f>IF(AW670="",0,MAX(0,MIN(1,(IF(BR670="L1",Parameter!$K$5,Parameter!$K$6+Parameter!$K$7)-(AW670-AS670))/AS670)))</f>
        <v/>
      </c>
      <c r="AY670" s="53">
        <f>IF(AC670&lt;=0,"",IF(BR670="Aussen","Aussenlager",IF(BR670="-","Nicht im Lift",IF(AH670&gt;=1,"Lift",IF(AH670&lt;=0,"Aussenlager","teilweise")))))</f>
        <v/>
      </c>
      <c r="AZ670" s="53">
        <f>IF(AK670&lt;=0,"",IF(BR670="Aussen","Aussenlager",IF(BR670="-","Nicht im Lift",IF(AP670&gt;=1,"Lift",IF(AP670&lt;=0,"Aussenlager","teilweise")))))</f>
        <v/>
      </c>
      <c r="BA670" s="53">
        <f>IF(AS670&lt;=0,"",IF(BR670="Aussen","Aussenlager",IF(BR670="-","Nicht im Lift",IF(AX670&gt;=1,"Lift",IF(AX670&lt;=0,"Aussenlager","teilweise")))))</f>
        <v/>
      </c>
      <c r="BB670" s="53">
        <f>IF(A670="","",IF(BK670=1,"Neu; ","")&amp;IF(AND(BK670=0,BF670&lt;0),"negativer Bestand (Export "&amp;BF670&amp;"); ","")&amp;IF(I670&lt;=0,"Kein Verbrauch; ","")&amp;IF(BO670=1,"Lose – Fläche geschätzt; ","")&amp;IF(G670&gt;AM670,"Überbestand "&amp;ROUND(G670-AM670,0)&amp;" Stk / CHF "&amp;ROUND((G670-AM670)*F670,0)&amp;"; ","")&amp;IF(AND(BT670=1,BU670&lt;BV670),"MAX &lt; MB+LG; ","")&amp;IF(AND(BZ670&gt;0,BY670*10&gt;BZ670),"zu hoch für Tablar; ","")&amp;IF(AND(BK670=0,OR(BT670=1,V670&lt;&gt;"",S670&lt;&gt;"",T670&lt;&gt;"",W670&lt;&gt;"")),"manuell übersteuert; ","")&amp;IF(AND(BO670=0,Q670=0),"Gebinde unbekannt; ","")&amp;IF(AND(BO670=0,N(T670)&lt;=0,N(P670)&lt;=0),"Menge pro Gebinde fehlt (Ist = 1 Gebinde); ","")&amp;BJ670)</f>
        <v/>
      </c>
      <c r="BC670" s="53" t="n"/>
      <c r="BD670" s="53" t="n"/>
      <c r="BE670" s="61" t="n"/>
      <c r="BF670" s="55" t="n">
        <v>0</v>
      </c>
      <c r="BG670" s="55" t="n">
        <v>0</v>
      </c>
      <c r="BH670" s="54" t="n">
        <v>0</v>
      </c>
      <c r="BI670" s="55" t="n">
        <v>1</v>
      </c>
      <c r="BJ670" s="53" t="inlineStr"/>
      <c r="BK670" s="58" t="n">
        <v>0</v>
      </c>
      <c r="BL670" s="58" t="n">
        <v>670</v>
      </c>
      <c r="BM670" s="53">
        <f>IF(S670&lt;&gt;"",UPPER(TRIM(S670)),IF(O670="","LOSE",O670))</f>
        <v/>
      </c>
      <c r="BN670" s="55">
        <f>IF(BM670="LOSE",1,IF(N(T670)&gt;0,T670,IF(N(P670)&gt;0,P670,MAX(1,G670))))</f>
        <v/>
      </c>
      <c r="BO670" s="58">
        <f>IF(BM670="LOSE",1,0)</f>
        <v/>
      </c>
      <c r="BP670" s="64">
        <f>IF(BO670=0,0,IF(N(R670)&gt;0,R670,IFERROR(VLOOKUP(D670,Parameter!$A$35:$C$64,3,0)+0,0)))</f>
        <v/>
      </c>
      <c r="BQ670" s="53">
        <f>IF(V670&lt;&gt;"",V670,U670)</f>
        <v/>
      </c>
      <c r="BR670" s="53">
        <f>IF(BQ670=1,"L1",IF(OR(BQ670=2,BQ670=3),"L23",IF(BQ670="Aussen","Aussen","-")))</f>
        <v/>
      </c>
      <c r="BS670" s="66">
        <f>IF(N(W670)&gt;0,W670,0)</f>
        <v/>
      </c>
      <c r="BT670" s="58">
        <f>IF(ISNUMBER(Z670),1,0)</f>
        <v/>
      </c>
      <c r="BU670" s="55">
        <f>N(Z670)</f>
        <v/>
      </c>
      <c r="BV670" s="55">
        <f>N(L670)+N(M670)</f>
        <v/>
      </c>
      <c r="BW670" s="55">
        <f>ROUNDUP(G670/BN670,0)</f>
        <v/>
      </c>
      <c r="BX670" s="55">
        <f>ROUNDUP(BU670/BN670,0)</f>
        <v/>
      </c>
      <c r="BY670" s="58">
        <f>IF(BO670=1,0,IFERROR(VLOOKUP(BM670,'Gebinde-Kategorie'!$A$5:$G$45,5,0)+0,0))</f>
        <v/>
      </c>
      <c r="BZ670" s="58">
        <f>IFERROR(IF(OR(BQ670=1,BQ670=2,BQ670=3),N(INDEX(Parameter!$I$5:$I$7,BQ670)),0),0)</f>
        <v/>
      </c>
    </row>
    <row r="671">
      <c r="A671" s="53" t="inlineStr">
        <is>
          <t>111010</t>
        </is>
      </c>
      <c r="B671" s="53" t="inlineStr">
        <is>
          <t>Dichtung externe Stahlstruktur SPGr10</t>
        </is>
      </c>
      <c r="C671" s="53" t="inlineStr">
        <is>
          <t>F</t>
        </is>
      </c>
      <c r="D671" s="53" t="inlineStr">
        <is>
          <t>A-BEZ</t>
        </is>
      </c>
      <c r="E671" s="53" t="inlineStr">
        <is>
          <t>C</t>
        </is>
      </c>
      <c r="F671" s="54" t="n">
        <v>154.75</v>
      </c>
      <c r="G671" s="55">
        <f>MAX(0,IF(Parameter!$B$20="Jahresanfang 2025 + Export",BG671+BF671,BF671))</f>
        <v/>
      </c>
      <c r="H671" s="55">
        <f>G671*F671</f>
        <v/>
      </c>
      <c r="I671" s="55">
        <f>BI671*Parameter!$B$18</f>
        <v/>
      </c>
      <c r="J671" s="56" t="n">
        <v>0</v>
      </c>
      <c r="K671" s="57" t="n">
        <v>0</v>
      </c>
      <c r="L671" s="55" t="n">
        <v>0</v>
      </c>
      <c r="M671" s="55" t="n">
        <v>1</v>
      </c>
      <c r="N671" s="58" t="n">
        <v>105</v>
      </c>
      <c r="O671" s="53" t="inlineStr">
        <is>
          <t>LOSE</t>
        </is>
      </c>
      <c r="P671" s="55" t="n"/>
      <c r="Q671" s="59">
        <f>IF(BO671=1,0,IFERROR(VLOOKUP(BM671,'Gebinde-Kategorie'!$A$5:$G$45,6,0)+0,0))</f>
        <v/>
      </c>
      <c r="R671" s="60" t="n"/>
      <c r="S671" s="61" t="n"/>
      <c r="T671" s="61" t="n"/>
      <c r="U671" s="53">
        <f>IF(A671="","",IF(IFERROR(VLOOKUP(D671,Parameter!$A$35:$C$64,2,0),"Nein")="2+3",IF(ISNUMBER(SEARCH("grosser Artikel",BJ671)),2,IFERROR(VLOOKUP(BM671,Parameter!$F$35:$G$64,2,0),2)),IF(OR(IFERROR(VLOOKUP(D671,Parameter!$A$35:$C$64,2,0),"Nein")="Nein",IFERROR(VLOOKUP(D671,Parameter!$A$35:$C$64,2,0),"Nein")=""),"-",VLOOKUP(D671,Parameter!$A$35:$C$64,2,0))))</f>
        <v/>
      </c>
      <c r="V671" s="61" t="n"/>
      <c r="W671" s="62" t="n"/>
      <c r="X671" s="55">
        <f>AM671</f>
        <v/>
      </c>
      <c r="Y671" s="55">
        <f>MAX(AM671,G671)</f>
        <v/>
      </c>
      <c r="Z671" s="63" t="n"/>
      <c r="AA671" s="55">
        <f>IF(LEFT(Cockpit!$C$5,1)="A",G671,IF(BT671=1,BU671,IF(LEFT(Cockpit!$C$5,1)="B",AE671,MAX(AE671,G671))))</f>
        <v/>
      </c>
      <c r="AB671" s="55">
        <f>IF(BO671=1,0,ROUNDUP(AA671/BN671,0))</f>
        <v/>
      </c>
      <c r="AC671" s="64">
        <f>IF(BO671=1,IF(AA671&lt;=0,0,BP671*MAX(1,IF(G671&gt;0,AA671/G671,1))),AB671*Q671)</f>
        <v/>
      </c>
      <c r="AD671" s="55">
        <f>AA671*F671</f>
        <v/>
      </c>
      <c r="AE671" s="55">
        <f>ROUNDUP(MAX(I671/IF(BS671&gt;0,BS671,MAX(0.1,N(Cockpit!$C$6))),BV671)/BN671,0)*BN671</f>
        <v/>
      </c>
      <c r="AF671" s="56">
        <f>IF(AC671&gt;0,I671/AC671,-1)</f>
        <v/>
      </c>
      <c r="AG671" s="56">
        <f>IF(AND(OR(BR671="L1",BR671="L23"),AC671&gt;0),SUMIFS($AC$7:$AC$1570,$BR$7:$BR$1570,BR671,$AF$7:$AF$1570,"&gt;"&amp;AF671)+SUMIFS($AC$7:$AC$1570,$BR$7:$BR$1570,BR671,$AF$7:$AF$1570,AF671,$BL$7:$BL$1570,"&lt;="&amp;BL671),"")</f>
        <v/>
      </c>
      <c r="AH671" s="65">
        <f>IF(AG671="",0,MAX(0,MIN(1,(IF(BR671="L1",Parameter!$K$5,Parameter!$K$6+Parameter!$K$7)-(AG671-AC671))/AC671)))</f>
        <v/>
      </c>
      <c r="AI671" s="55">
        <f>IF(LEFT(Cockpit!$I$5,1)="A",G671,IF(BT671=1,BU671,IF(LEFT(Cockpit!$I$5,1)="B",AM671,MAX(AM671,G671))))</f>
        <v/>
      </c>
      <c r="AJ671" s="55">
        <f>IF(BO671=1,0,ROUNDUP(AI671/BN671,0))</f>
        <v/>
      </c>
      <c r="AK671" s="64">
        <f>IF(BO671=1,IF(AI671&lt;=0,0,BP671*MAX(1,IF(G671&gt;0,AI671/G671,1))),AJ671*Q671)</f>
        <v/>
      </c>
      <c r="AL671" s="55">
        <f>AI671*F671</f>
        <v/>
      </c>
      <c r="AM671" s="55">
        <f>ROUNDUP(MAX(I671/IF(BS671&gt;0,BS671,MAX(0.1,N(Cockpit!$I$6))),BV671)/BN671,0)*BN671</f>
        <v/>
      </c>
      <c r="AN671" s="56">
        <f>IF(AK671&gt;0,I671/AK671,-1)</f>
        <v/>
      </c>
      <c r="AO671" s="56">
        <f>IF(AND(OR(BR671="L1",BR671="L23"),AK671&gt;0),SUMIFS($AK$7:$AK$1570,$BR$7:$BR$1570,BR671,$AN$7:$AN$1570,"&gt;"&amp;AN671)+SUMIFS($AK$7:$AK$1570,$BR$7:$BR$1570,BR671,$AN$7:$AN$1570,AN671,$BL$7:$BL$1570,"&lt;="&amp;BL671),"")</f>
        <v/>
      </c>
      <c r="AP671" s="65">
        <f>IF(AO671="",0,MAX(0,MIN(1,(IF(BR671="L1",Parameter!$K$5,Parameter!$K$6+Parameter!$K$7)-(AO671-AK671))/AK671)))</f>
        <v/>
      </c>
      <c r="AQ671" s="55">
        <f>IF(LEFT(Cockpit!$O$5,1)="A",G671,IF(BT671=1,BU671,IF(LEFT(Cockpit!$O$5,1)="B",AU671,MAX(AU671,G671))))</f>
        <v/>
      </c>
      <c r="AR671" s="55">
        <f>IF(BO671=1,0,ROUNDUP(AQ671/BN671,0))</f>
        <v/>
      </c>
      <c r="AS671" s="64">
        <f>IF(BO671=1,IF(AQ671&lt;=0,0,BP671*MAX(1,IF(G671&gt;0,AQ671/G671,1))),AR671*Q671)</f>
        <v/>
      </c>
      <c r="AT671" s="55">
        <f>AQ671*F671</f>
        <v/>
      </c>
      <c r="AU671" s="55">
        <f>ROUNDUP(MAX(I671/IF(BS671&gt;0,BS671,MAX(0.1,N(Cockpit!$O$6))),BV671)/BN671,0)*BN671</f>
        <v/>
      </c>
      <c r="AV671" s="56">
        <f>IF(AS671&gt;0,I671/AS671,-1)</f>
        <v/>
      </c>
      <c r="AW671" s="56">
        <f>IF(AND(OR(BR671="L1",BR671="L23"),AS671&gt;0),SUMIFS($AS$7:$AS$1570,$BR$7:$BR$1570,BR671,$AV$7:$AV$1570,"&gt;"&amp;AV671)+SUMIFS($AS$7:$AS$1570,$BR$7:$BR$1570,BR671,$AV$7:$AV$1570,AV671,$BL$7:$BL$1570,"&lt;="&amp;BL671),"")</f>
        <v/>
      </c>
      <c r="AX671" s="65">
        <f>IF(AW671="",0,MAX(0,MIN(1,(IF(BR671="L1",Parameter!$K$5,Parameter!$K$6+Parameter!$K$7)-(AW671-AS671))/AS671)))</f>
        <v/>
      </c>
      <c r="AY671" s="53">
        <f>IF(AC671&lt;=0,"",IF(BR671="Aussen","Aussenlager",IF(BR671="-","Nicht im Lift",IF(AH671&gt;=1,"Lift",IF(AH671&lt;=0,"Aussenlager","teilweise")))))</f>
        <v/>
      </c>
      <c r="AZ671" s="53">
        <f>IF(AK671&lt;=0,"",IF(BR671="Aussen","Aussenlager",IF(BR671="-","Nicht im Lift",IF(AP671&gt;=1,"Lift",IF(AP671&lt;=0,"Aussenlager","teilweise")))))</f>
        <v/>
      </c>
      <c r="BA671" s="53">
        <f>IF(AS671&lt;=0,"",IF(BR671="Aussen","Aussenlager",IF(BR671="-","Nicht im Lift",IF(AX671&gt;=1,"Lift",IF(AX671&lt;=0,"Aussenlager","teilweise")))))</f>
        <v/>
      </c>
      <c r="BB671" s="53">
        <f>IF(A671="","",IF(BK671=1,"Neu; ","")&amp;IF(AND(BK671=0,BF671&lt;0),"negativer Bestand (Export "&amp;BF671&amp;"); ","")&amp;IF(I671&lt;=0,"Kein Verbrauch; ","")&amp;IF(BO671=1,"Lose – Fläche geschätzt; ","")&amp;IF(G671&gt;AM671,"Überbestand "&amp;ROUND(G671-AM671,0)&amp;" Stk / CHF "&amp;ROUND((G671-AM671)*F671,0)&amp;"; ","")&amp;IF(AND(BT671=1,BU671&lt;BV671),"MAX &lt; MB+LG; ","")&amp;IF(AND(BZ671&gt;0,BY671*10&gt;BZ671),"zu hoch für Tablar; ","")&amp;IF(AND(BK671=0,OR(BT671=1,V671&lt;&gt;"",S671&lt;&gt;"",T671&lt;&gt;"",W671&lt;&gt;"")),"manuell übersteuert; ","")&amp;IF(AND(BO671=0,Q671=0),"Gebinde unbekannt; ","")&amp;IF(AND(BO671=0,N(T671)&lt;=0,N(P671)&lt;=0),"Menge pro Gebinde fehlt (Ist = 1 Gebinde); ","")&amp;BJ671)</f>
        <v/>
      </c>
      <c r="BC671" s="53" t="n"/>
      <c r="BD671" s="53" t="n"/>
      <c r="BE671" s="61" t="n"/>
      <c r="BF671" s="55" t="n">
        <v>0</v>
      </c>
      <c r="BG671" s="55" t="n">
        <v>0</v>
      </c>
      <c r="BH671" s="54" t="n">
        <v>0</v>
      </c>
      <c r="BI671" s="55" t="n">
        <v>4</v>
      </c>
      <c r="BJ671" s="53" t="inlineStr"/>
      <c r="BK671" s="58" t="n">
        <v>0</v>
      </c>
      <c r="BL671" s="58" t="n">
        <v>671</v>
      </c>
      <c r="BM671" s="53">
        <f>IF(S671&lt;&gt;"",UPPER(TRIM(S671)),IF(O671="","LOSE",O671))</f>
        <v/>
      </c>
      <c r="BN671" s="55">
        <f>IF(BM671="LOSE",1,IF(N(T671)&gt;0,T671,IF(N(P671)&gt;0,P671,MAX(1,G671))))</f>
        <v/>
      </c>
      <c r="BO671" s="58">
        <f>IF(BM671="LOSE",1,0)</f>
        <v/>
      </c>
      <c r="BP671" s="64">
        <f>IF(BO671=0,0,IF(N(R671)&gt;0,R671,IFERROR(VLOOKUP(D671,Parameter!$A$35:$C$64,3,0)+0,0)))</f>
        <v/>
      </c>
      <c r="BQ671" s="53">
        <f>IF(V671&lt;&gt;"",V671,U671)</f>
        <v/>
      </c>
      <c r="BR671" s="53">
        <f>IF(BQ671=1,"L1",IF(OR(BQ671=2,BQ671=3),"L23",IF(BQ671="Aussen","Aussen","-")))</f>
        <v/>
      </c>
      <c r="BS671" s="66">
        <f>IF(N(W671)&gt;0,W671,0)</f>
        <v/>
      </c>
      <c r="BT671" s="58">
        <f>IF(ISNUMBER(Z671),1,0)</f>
        <v/>
      </c>
      <c r="BU671" s="55">
        <f>N(Z671)</f>
        <v/>
      </c>
      <c r="BV671" s="55">
        <f>N(L671)+N(M671)</f>
        <v/>
      </c>
      <c r="BW671" s="55">
        <f>ROUNDUP(G671/BN671,0)</f>
        <v/>
      </c>
      <c r="BX671" s="55">
        <f>ROUNDUP(BU671/BN671,0)</f>
        <v/>
      </c>
      <c r="BY671" s="58">
        <f>IF(BO671=1,0,IFERROR(VLOOKUP(BM671,'Gebinde-Kategorie'!$A$5:$G$45,5,0)+0,0))</f>
        <v/>
      </c>
      <c r="BZ671" s="58">
        <f>IFERROR(IF(OR(BQ671=1,BQ671=2,BQ671=3),N(INDEX(Parameter!$I$5:$I$7,BQ671)),0),0)</f>
        <v/>
      </c>
    </row>
    <row r="672">
      <c r="A672" s="53" t="inlineStr">
        <is>
          <t>109872</t>
        </is>
      </c>
      <c r="B672" s="53" t="inlineStr">
        <is>
          <t>Ventilpanel SPGr BASE komplett</t>
        </is>
      </c>
      <c r="C672" s="53" t="inlineStr">
        <is>
          <t>F</t>
        </is>
      </c>
      <c r="D672" s="53" t="inlineStr">
        <is>
          <t>PAL</t>
        </is>
      </c>
      <c r="E672" s="53" t="inlineStr">
        <is>
          <t>C</t>
        </is>
      </c>
      <c r="F672" s="54" t="n">
        <v>5409.17</v>
      </c>
      <c r="G672" s="55">
        <f>MAX(0,IF(Parameter!$B$20="Jahresanfang 2025 + Export",BG672+BF672,BF672))</f>
        <v/>
      </c>
      <c r="H672" s="55">
        <f>G672*F672</f>
        <v/>
      </c>
      <c r="I672" s="55">
        <f>BI672*Parameter!$B$18</f>
        <v/>
      </c>
      <c r="J672" s="56" t="n">
        <v>0</v>
      </c>
      <c r="K672" s="57" t="n">
        <v>0</v>
      </c>
      <c r="L672" s="55" t="n">
        <v>0</v>
      </c>
      <c r="M672" s="55" t="n">
        <v>1</v>
      </c>
      <c r="N672" s="58" t="n">
        <v>115</v>
      </c>
      <c r="O672" s="53" t="inlineStr">
        <is>
          <t>LOSE</t>
        </is>
      </c>
      <c r="P672" s="55" t="n"/>
      <c r="Q672" s="59">
        <f>IF(BO672=1,0,IFERROR(VLOOKUP(BM672,'Gebinde-Kategorie'!$A$5:$G$45,6,0)+0,0))</f>
        <v/>
      </c>
      <c r="R672" s="60" t="n"/>
      <c r="S672" s="61" t="n"/>
      <c r="T672" s="61" t="n"/>
      <c r="U672" s="53">
        <f>IF(A672="","",IF(IFERROR(VLOOKUP(D672,Parameter!$A$35:$C$64,2,0),"Nein")="2+3",IF(ISNUMBER(SEARCH("grosser Artikel",BJ672)),2,IFERROR(VLOOKUP(BM672,Parameter!$F$35:$G$64,2,0),2)),IF(OR(IFERROR(VLOOKUP(D672,Parameter!$A$35:$C$64,2,0),"Nein")="Nein",IFERROR(VLOOKUP(D672,Parameter!$A$35:$C$64,2,0),"Nein")=""),"-",VLOOKUP(D672,Parameter!$A$35:$C$64,2,0))))</f>
        <v/>
      </c>
      <c r="V672" s="61" t="n"/>
      <c r="W672" s="62" t="n"/>
      <c r="X672" s="55">
        <f>AM672</f>
        <v/>
      </c>
      <c r="Y672" s="55">
        <f>MAX(AM672,G672)</f>
        <v/>
      </c>
      <c r="Z672" s="63" t="n"/>
      <c r="AA672" s="55">
        <f>IF(LEFT(Cockpit!$C$5,1)="A",G672,IF(BT672=1,BU672,IF(LEFT(Cockpit!$C$5,1)="B",AE672,MAX(AE672,G672))))</f>
        <v/>
      </c>
      <c r="AB672" s="55">
        <f>IF(BO672=1,0,ROUNDUP(AA672/BN672,0))</f>
        <v/>
      </c>
      <c r="AC672" s="64">
        <f>IF(BO672=1,IF(AA672&lt;=0,0,BP672*MAX(1,IF(G672&gt;0,AA672/G672,1))),AB672*Q672)</f>
        <v/>
      </c>
      <c r="AD672" s="55">
        <f>AA672*F672</f>
        <v/>
      </c>
      <c r="AE672" s="55">
        <f>ROUNDUP(MAX(I672/IF(BS672&gt;0,BS672,MAX(0.1,N(Cockpit!$C$6))),BV672)/BN672,0)*BN672</f>
        <v/>
      </c>
      <c r="AF672" s="56">
        <f>IF(AC672&gt;0,I672/AC672,-1)</f>
        <v/>
      </c>
      <c r="AG672" s="56">
        <f>IF(AND(OR(BR672="L1",BR672="L23"),AC672&gt;0),SUMIFS($AC$7:$AC$1570,$BR$7:$BR$1570,BR672,$AF$7:$AF$1570,"&gt;"&amp;AF672)+SUMIFS($AC$7:$AC$1570,$BR$7:$BR$1570,BR672,$AF$7:$AF$1570,AF672,$BL$7:$BL$1570,"&lt;="&amp;BL672),"")</f>
        <v/>
      </c>
      <c r="AH672" s="65">
        <f>IF(AG672="",0,MAX(0,MIN(1,(IF(BR672="L1",Parameter!$K$5,Parameter!$K$6+Parameter!$K$7)-(AG672-AC672))/AC672)))</f>
        <v/>
      </c>
      <c r="AI672" s="55">
        <f>IF(LEFT(Cockpit!$I$5,1)="A",G672,IF(BT672=1,BU672,IF(LEFT(Cockpit!$I$5,1)="B",AM672,MAX(AM672,G672))))</f>
        <v/>
      </c>
      <c r="AJ672" s="55">
        <f>IF(BO672=1,0,ROUNDUP(AI672/BN672,0))</f>
        <v/>
      </c>
      <c r="AK672" s="64">
        <f>IF(BO672=1,IF(AI672&lt;=0,0,BP672*MAX(1,IF(G672&gt;0,AI672/G672,1))),AJ672*Q672)</f>
        <v/>
      </c>
      <c r="AL672" s="55">
        <f>AI672*F672</f>
        <v/>
      </c>
      <c r="AM672" s="55">
        <f>ROUNDUP(MAX(I672/IF(BS672&gt;0,BS672,MAX(0.1,N(Cockpit!$I$6))),BV672)/BN672,0)*BN672</f>
        <v/>
      </c>
      <c r="AN672" s="56">
        <f>IF(AK672&gt;0,I672/AK672,-1)</f>
        <v/>
      </c>
      <c r="AO672" s="56">
        <f>IF(AND(OR(BR672="L1",BR672="L23"),AK672&gt;0),SUMIFS($AK$7:$AK$1570,$BR$7:$BR$1570,BR672,$AN$7:$AN$1570,"&gt;"&amp;AN672)+SUMIFS($AK$7:$AK$1570,$BR$7:$BR$1570,BR672,$AN$7:$AN$1570,AN672,$BL$7:$BL$1570,"&lt;="&amp;BL672),"")</f>
        <v/>
      </c>
      <c r="AP672" s="65">
        <f>IF(AO672="",0,MAX(0,MIN(1,(IF(BR672="L1",Parameter!$K$5,Parameter!$K$6+Parameter!$K$7)-(AO672-AK672))/AK672)))</f>
        <v/>
      </c>
      <c r="AQ672" s="55">
        <f>IF(LEFT(Cockpit!$O$5,1)="A",G672,IF(BT672=1,BU672,IF(LEFT(Cockpit!$O$5,1)="B",AU672,MAX(AU672,G672))))</f>
        <v/>
      </c>
      <c r="AR672" s="55">
        <f>IF(BO672=1,0,ROUNDUP(AQ672/BN672,0))</f>
        <v/>
      </c>
      <c r="AS672" s="64">
        <f>IF(BO672=1,IF(AQ672&lt;=0,0,BP672*MAX(1,IF(G672&gt;0,AQ672/G672,1))),AR672*Q672)</f>
        <v/>
      </c>
      <c r="AT672" s="55">
        <f>AQ672*F672</f>
        <v/>
      </c>
      <c r="AU672" s="55">
        <f>ROUNDUP(MAX(I672/IF(BS672&gt;0,BS672,MAX(0.1,N(Cockpit!$O$6))),BV672)/BN672,0)*BN672</f>
        <v/>
      </c>
      <c r="AV672" s="56">
        <f>IF(AS672&gt;0,I672/AS672,-1)</f>
        <v/>
      </c>
      <c r="AW672" s="56">
        <f>IF(AND(OR(BR672="L1",BR672="L23"),AS672&gt;0),SUMIFS($AS$7:$AS$1570,$BR$7:$BR$1570,BR672,$AV$7:$AV$1570,"&gt;"&amp;AV672)+SUMIFS($AS$7:$AS$1570,$BR$7:$BR$1570,BR672,$AV$7:$AV$1570,AV672,$BL$7:$BL$1570,"&lt;="&amp;BL672),"")</f>
        <v/>
      </c>
      <c r="AX672" s="65">
        <f>IF(AW672="",0,MAX(0,MIN(1,(IF(BR672="L1",Parameter!$K$5,Parameter!$K$6+Parameter!$K$7)-(AW672-AS672))/AS672)))</f>
        <v/>
      </c>
      <c r="AY672" s="53">
        <f>IF(AC672&lt;=0,"",IF(BR672="Aussen","Aussenlager",IF(BR672="-","Nicht im Lift",IF(AH672&gt;=1,"Lift",IF(AH672&lt;=0,"Aussenlager","teilweise")))))</f>
        <v/>
      </c>
      <c r="AZ672" s="53">
        <f>IF(AK672&lt;=0,"",IF(BR672="Aussen","Aussenlager",IF(BR672="-","Nicht im Lift",IF(AP672&gt;=1,"Lift",IF(AP672&lt;=0,"Aussenlager","teilweise")))))</f>
        <v/>
      </c>
      <c r="BA672" s="53">
        <f>IF(AS672&lt;=0,"",IF(BR672="Aussen","Aussenlager",IF(BR672="-","Nicht im Lift",IF(AX672&gt;=1,"Lift",IF(AX672&lt;=0,"Aussenlager","teilweise")))))</f>
        <v/>
      </c>
      <c r="BB672" s="53">
        <f>IF(A672="","",IF(BK672=1,"Neu; ","")&amp;IF(AND(BK672=0,BF672&lt;0),"negativer Bestand (Export "&amp;BF672&amp;"); ","")&amp;IF(I672&lt;=0,"Kein Verbrauch; ","")&amp;IF(BO672=1,"Lose – Fläche geschätzt; ","")&amp;IF(G672&gt;AM672,"Überbestand "&amp;ROUND(G672-AM672,0)&amp;" Stk / CHF "&amp;ROUND((G672-AM672)*F672,0)&amp;"; ","")&amp;IF(AND(BT672=1,BU672&lt;BV672),"MAX &lt; MB+LG; ","")&amp;IF(AND(BZ672&gt;0,BY672*10&gt;BZ672),"zu hoch für Tablar; ","")&amp;IF(AND(BK672=0,OR(BT672=1,V672&lt;&gt;"",S672&lt;&gt;"",T672&lt;&gt;"",W672&lt;&gt;"")),"manuell übersteuert; ","")&amp;IF(AND(BO672=0,Q672=0),"Gebinde unbekannt; ","")&amp;IF(AND(BO672=0,N(T672)&lt;=0,N(P672)&lt;=0),"Menge pro Gebinde fehlt (Ist = 1 Gebinde); ","")&amp;BJ672)</f>
        <v/>
      </c>
      <c r="BC672" s="53" t="n"/>
      <c r="BD672" s="53" t="n"/>
      <c r="BE672" s="61" t="n"/>
      <c r="BF672" s="55" t="n">
        <v>0</v>
      </c>
      <c r="BG672" s="55" t="n">
        <v>0</v>
      </c>
      <c r="BH672" s="54" t="n">
        <v>0</v>
      </c>
      <c r="BI672" s="55" t="n">
        <v>1</v>
      </c>
      <c r="BJ672" s="53" t="inlineStr"/>
      <c r="BK672" s="58" t="n">
        <v>0</v>
      </c>
      <c r="BL672" s="58" t="n">
        <v>672</v>
      </c>
      <c r="BM672" s="53">
        <f>IF(S672&lt;&gt;"",UPPER(TRIM(S672)),IF(O672="","LOSE",O672))</f>
        <v/>
      </c>
      <c r="BN672" s="55">
        <f>IF(BM672="LOSE",1,IF(N(T672)&gt;0,T672,IF(N(P672)&gt;0,P672,MAX(1,G672))))</f>
        <v/>
      </c>
      <c r="BO672" s="58">
        <f>IF(BM672="LOSE",1,0)</f>
        <v/>
      </c>
      <c r="BP672" s="64">
        <f>IF(BO672=0,0,IF(N(R672)&gt;0,R672,IFERROR(VLOOKUP(D672,Parameter!$A$35:$C$64,3,0)+0,0)))</f>
        <v/>
      </c>
      <c r="BQ672" s="53">
        <f>IF(V672&lt;&gt;"",V672,U672)</f>
        <v/>
      </c>
      <c r="BR672" s="53">
        <f>IF(BQ672=1,"L1",IF(OR(BQ672=2,BQ672=3),"L23",IF(BQ672="Aussen","Aussen","-")))</f>
        <v/>
      </c>
      <c r="BS672" s="66">
        <f>IF(N(W672)&gt;0,W672,0)</f>
        <v/>
      </c>
      <c r="BT672" s="58">
        <f>IF(ISNUMBER(Z672),1,0)</f>
        <v/>
      </c>
      <c r="BU672" s="55">
        <f>N(Z672)</f>
        <v/>
      </c>
      <c r="BV672" s="55">
        <f>N(L672)+N(M672)</f>
        <v/>
      </c>
      <c r="BW672" s="55">
        <f>ROUNDUP(G672/BN672,0)</f>
        <v/>
      </c>
      <c r="BX672" s="55">
        <f>ROUNDUP(BU672/BN672,0)</f>
        <v/>
      </c>
      <c r="BY672" s="58">
        <f>IF(BO672=1,0,IFERROR(VLOOKUP(BM672,'Gebinde-Kategorie'!$A$5:$G$45,5,0)+0,0))</f>
        <v/>
      </c>
      <c r="BZ672" s="58">
        <f>IFERROR(IF(OR(BQ672=1,BQ672=2,BQ672=3),N(INDEX(Parameter!$I$5:$I$7,BQ672)),0),0)</f>
        <v/>
      </c>
    </row>
    <row r="673">
      <c r="A673" s="53" t="inlineStr">
        <is>
          <t>111370</t>
        </is>
      </c>
      <c r="B673" s="53" t="inlineStr">
        <is>
          <t>SPC800 Coupler</t>
        </is>
      </c>
      <c r="C673" s="53" t="inlineStr">
        <is>
          <t>F</t>
        </is>
      </c>
      <c r="D673" s="53" t="inlineStr">
        <is>
          <t>A-BEZ</t>
        </is>
      </c>
      <c r="E673" s="53" t="inlineStr">
        <is>
          <t>C</t>
        </is>
      </c>
      <c r="F673" s="54" t="n">
        <v>0</v>
      </c>
      <c r="G673" s="55">
        <f>MAX(0,IF(Parameter!$B$20="Jahresanfang 2025 + Export",BG673+BF673,BF673))</f>
        <v/>
      </c>
      <c r="H673" s="55">
        <f>G673*F673</f>
        <v/>
      </c>
      <c r="I673" s="55">
        <f>BI673*Parameter!$B$18</f>
        <v/>
      </c>
      <c r="J673" s="56" t="n">
        <v>0.5</v>
      </c>
      <c r="K673" s="57" t="n">
        <v>0</v>
      </c>
      <c r="L673" s="55" t="n">
        <v>0</v>
      </c>
      <c r="M673" s="55" t="n">
        <v>1</v>
      </c>
      <c r="N673" s="58" t="n">
        <v>28</v>
      </c>
      <c r="O673" s="53" t="inlineStr">
        <is>
          <t>LOSE</t>
        </is>
      </c>
      <c r="P673" s="55" t="n"/>
      <c r="Q673" s="59">
        <f>IF(BO673=1,0,IFERROR(VLOOKUP(BM673,'Gebinde-Kategorie'!$A$5:$G$45,6,0)+0,0))</f>
        <v/>
      </c>
      <c r="R673" s="60" t="n"/>
      <c r="S673" s="61" t="n"/>
      <c r="T673" s="61" t="n"/>
      <c r="U673" s="53">
        <f>IF(A673="","",IF(IFERROR(VLOOKUP(D673,Parameter!$A$35:$C$64,2,0),"Nein")="2+3",IF(ISNUMBER(SEARCH("grosser Artikel",BJ673)),2,IFERROR(VLOOKUP(BM673,Parameter!$F$35:$G$64,2,0),2)),IF(OR(IFERROR(VLOOKUP(D673,Parameter!$A$35:$C$64,2,0),"Nein")="Nein",IFERROR(VLOOKUP(D673,Parameter!$A$35:$C$64,2,0),"Nein")=""),"-",VLOOKUP(D673,Parameter!$A$35:$C$64,2,0))))</f>
        <v/>
      </c>
      <c r="V673" s="61" t="n"/>
      <c r="W673" s="62" t="n"/>
      <c r="X673" s="55">
        <f>AM673</f>
        <v/>
      </c>
      <c r="Y673" s="55">
        <f>MAX(AM673,G673)</f>
        <v/>
      </c>
      <c r="Z673" s="63" t="n"/>
      <c r="AA673" s="55">
        <f>IF(LEFT(Cockpit!$C$5,1)="A",G673,IF(BT673=1,BU673,IF(LEFT(Cockpit!$C$5,1)="B",AE673,MAX(AE673,G673))))</f>
        <v/>
      </c>
      <c r="AB673" s="55">
        <f>IF(BO673=1,0,ROUNDUP(AA673/BN673,0))</f>
        <v/>
      </c>
      <c r="AC673" s="64">
        <f>IF(BO673=1,IF(AA673&lt;=0,0,BP673*MAX(1,IF(G673&gt;0,AA673/G673,1))),AB673*Q673)</f>
        <v/>
      </c>
      <c r="AD673" s="55">
        <f>AA673*F673</f>
        <v/>
      </c>
      <c r="AE673" s="55">
        <f>ROUNDUP(MAX(I673/IF(BS673&gt;0,BS673,MAX(0.1,N(Cockpit!$C$6))),BV673)/BN673,0)*BN673</f>
        <v/>
      </c>
      <c r="AF673" s="56">
        <f>IF(AC673&gt;0,I673/AC673,-1)</f>
        <v/>
      </c>
      <c r="AG673" s="56">
        <f>IF(AND(OR(BR673="L1",BR673="L23"),AC673&gt;0),SUMIFS($AC$7:$AC$1570,$BR$7:$BR$1570,BR673,$AF$7:$AF$1570,"&gt;"&amp;AF673)+SUMIFS($AC$7:$AC$1570,$BR$7:$BR$1570,BR673,$AF$7:$AF$1570,AF673,$BL$7:$BL$1570,"&lt;="&amp;BL673),"")</f>
        <v/>
      </c>
      <c r="AH673" s="65">
        <f>IF(AG673="",0,MAX(0,MIN(1,(IF(BR673="L1",Parameter!$K$5,Parameter!$K$6+Parameter!$K$7)-(AG673-AC673))/AC673)))</f>
        <v/>
      </c>
      <c r="AI673" s="55">
        <f>IF(LEFT(Cockpit!$I$5,1)="A",G673,IF(BT673=1,BU673,IF(LEFT(Cockpit!$I$5,1)="B",AM673,MAX(AM673,G673))))</f>
        <v/>
      </c>
      <c r="AJ673" s="55">
        <f>IF(BO673=1,0,ROUNDUP(AI673/BN673,0))</f>
        <v/>
      </c>
      <c r="AK673" s="64">
        <f>IF(BO673=1,IF(AI673&lt;=0,0,BP673*MAX(1,IF(G673&gt;0,AI673/G673,1))),AJ673*Q673)</f>
        <v/>
      </c>
      <c r="AL673" s="55">
        <f>AI673*F673</f>
        <v/>
      </c>
      <c r="AM673" s="55">
        <f>ROUNDUP(MAX(I673/IF(BS673&gt;0,BS673,MAX(0.1,N(Cockpit!$I$6))),BV673)/BN673,0)*BN673</f>
        <v/>
      </c>
      <c r="AN673" s="56">
        <f>IF(AK673&gt;0,I673/AK673,-1)</f>
        <v/>
      </c>
      <c r="AO673" s="56">
        <f>IF(AND(OR(BR673="L1",BR673="L23"),AK673&gt;0),SUMIFS($AK$7:$AK$1570,$BR$7:$BR$1570,BR673,$AN$7:$AN$1570,"&gt;"&amp;AN673)+SUMIFS($AK$7:$AK$1570,$BR$7:$BR$1570,BR673,$AN$7:$AN$1570,AN673,$BL$7:$BL$1570,"&lt;="&amp;BL673),"")</f>
        <v/>
      </c>
      <c r="AP673" s="65">
        <f>IF(AO673="",0,MAX(0,MIN(1,(IF(BR673="L1",Parameter!$K$5,Parameter!$K$6+Parameter!$K$7)-(AO673-AK673))/AK673)))</f>
        <v/>
      </c>
      <c r="AQ673" s="55">
        <f>IF(LEFT(Cockpit!$O$5,1)="A",G673,IF(BT673=1,BU673,IF(LEFT(Cockpit!$O$5,1)="B",AU673,MAX(AU673,G673))))</f>
        <v/>
      </c>
      <c r="AR673" s="55">
        <f>IF(BO673=1,0,ROUNDUP(AQ673/BN673,0))</f>
        <v/>
      </c>
      <c r="AS673" s="64">
        <f>IF(BO673=1,IF(AQ673&lt;=0,0,BP673*MAX(1,IF(G673&gt;0,AQ673/G673,1))),AR673*Q673)</f>
        <v/>
      </c>
      <c r="AT673" s="55">
        <f>AQ673*F673</f>
        <v/>
      </c>
      <c r="AU673" s="55">
        <f>ROUNDUP(MAX(I673/IF(BS673&gt;0,BS673,MAX(0.1,N(Cockpit!$O$6))),BV673)/BN673,0)*BN673</f>
        <v/>
      </c>
      <c r="AV673" s="56">
        <f>IF(AS673&gt;0,I673/AS673,-1)</f>
        <v/>
      </c>
      <c r="AW673" s="56">
        <f>IF(AND(OR(BR673="L1",BR673="L23"),AS673&gt;0),SUMIFS($AS$7:$AS$1570,$BR$7:$BR$1570,BR673,$AV$7:$AV$1570,"&gt;"&amp;AV673)+SUMIFS($AS$7:$AS$1570,$BR$7:$BR$1570,BR673,$AV$7:$AV$1570,AV673,$BL$7:$BL$1570,"&lt;="&amp;BL673),"")</f>
        <v/>
      </c>
      <c r="AX673" s="65">
        <f>IF(AW673="",0,MAX(0,MIN(1,(IF(BR673="L1",Parameter!$K$5,Parameter!$K$6+Parameter!$K$7)-(AW673-AS673))/AS673)))</f>
        <v/>
      </c>
      <c r="AY673" s="53">
        <f>IF(AC673&lt;=0,"",IF(BR673="Aussen","Aussenlager",IF(BR673="-","Nicht im Lift",IF(AH673&gt;=1,"Lift",IF(AH673&lt;=0,"Aussenlager","teilweise")))))</f>
        <v/>
      </c>
      <c r="AZ673" s="53">
        <f>IF(AK673&lt;=0,"",IF(BR673="Aussen","Aussenlager",IF(BR673="-","Nicht im Lift",IF(AP673&gt;=1,"Lift",IF(AP673&lt;=0,"Aussenlager","teilweise")))))</f>
        <v/>
      </c>
      <c r="BA673" s="53">
        <f>IF(AS673&lt;=0,"",IF(BR673="Aussen","Aussenlager",IF(BR673="-","Nicht im Lift",IF(AX673&gt;=1,"Lift",IF(AX673&lt;=0,"Aussenlager","teilweise")))))</f>
        <v/>
      </c>
      <c r="BB673" s="53">
        <f>IF(A673="","",IF(BK673=1,"Neu; ","")&amp;IF(AND(BK673=0,BF673&lt;0),"negativer Bestand (Export "&amp;BF673&amp;"); ","")&amp;IF(I673&lt;=0,"Kein Verbrauch; ","")&amp;IF(BO673=1,"Lose – Fläche geschätzt; ","")&amp;IF(G673&gt;AM673,"Überbestand "&amp;ROUND(G673-AM673,0)&amp;" Stk / CHF "&amp;ROUND((G673-AM673)*F673,0)&amp;"; ","")&amp;IF(AND(BT673=1,BU673&lt;BV673),"MAX &lt; MB+LG; ","")&amp;IF(AND(BZ673&gt;0,BY673*10&gt;BZ673),"zu hoch für Tablar; ","")&amp;IF(AND(BK673=0,OR(BT673=1,V673&lt;&gt;"",S673&lt;&gt;"",T673&lt;&gt;"",W673&lt;&gt;"")),"manuell übersteuert; ","")&amp;IF(AND(BO673=0,Q673=0),"Gebinde unbekannt; ","")&amp;IF(AND(BO673=0,N(T673)&lt;=0,N(P673)&lt;=0),"Menge pro Gebinde fehlt (Ist = 1 Gebinde); ","")&amp;BJ673)</f>
        <v/>
      </c>
      <c r="BC673" s="53" t="n"/>
      <c r="BD673" s="53" t="n"/>
      <c r="BE673" s="61" t="n"/>
      <c r="BF673" s="55" t="n">
        <v>0</v>
      </c>
      <c r="BG673" s="55" t="n">
        <v>0</v>
      </c>
      <c r="BH673" s="54" t="n">
        <v>0</v>
      </c>
      <c r="BI673" s="55" t="n">
        <v>0</v>
      </c>
      <c r="BJ673" s="53" t="inlineStr"/>
      <c r="BK673" s="58" t="n">
        <v>0</v>
      </c>
      <c r="BL673" s="58" t="n">
        <v>673</v>
      </c>
      <c r="BM673" s="53">
        <f>IF(S673&lt;&gt;"",UPPER(TRIM(S673)),IF(O673="","LOSE",O673))</f>
        <v/>
      </c>
      <c r="BN673" s="55">
        <f>IF(BM673="LOSE",1,IF(N(T673)&gt;0,T673,IF(N(P673)&gt;0,P673,MAX(1,G673))))</f>
        <v/>
      </c>
      <c r="BO673" s="58">
        <f>IF(BM673="LOSE",1,0)</f>
        <v/>
      </c>
      <c r="BP673" s="64">
        <f>IF(BO673=0,0,IF(N(R673)&gt;0,R673,IFERROR(VLOOKUP(D673,Parameter!$A$35:$C$64,3,0)+0,0)))</f>
        <v/>
      </c>
      <c r="BQ673" s="53">
        <f>IF(V673&lt;&gt;"",V673,U673)</f>
        <v/>
      </c>
      <c r="BR673" s="53">
        <f>IF(BQ673=1,"L1",IF(OR(BQ673=2,BQ673=3),"L23",IF(BQ673="Aussen","Aussen","-")))</f>
        <v/>
      </c>
      <c r="BS673" s="66">
        <f>IF(N(W673)&gt;0,W673,0)</f>
        <v/>
      </c>
      <c r="BT673" s="58">
        <f>IF(ISNUMBER(Z673),1,0)</f>
        <v/>
      </c>
      <c r="BU673" s="55">
        <f>N(Z673)</f>
        <v/>
      </c>
      <c r="BV673" s="55">
        <f>N(L673)+N(M673)</f>
        <v/>
      </c>
      <c r="BW673" s="55">
        <f>ROUNDUP(G673/BN673,0)</f>
        <v/>
      </c>
      <c r="BX673" s="55">
        <f>ROUNDUP(BU673/BN673,0)</f>
        <v/>
      </c>
      <c r="BY673" s="58">
        <f>IF(BO673=1,0,IFERROR(VLOOKUP(BM673,'Gebinde-Kategorie'!$A$5:$G$45,5,0)+0,0))</f>
        <v/>
      </c>
      <c r="BZ673" s="58">
        <f>IFERROR(IF(OR(BQ673=1,BQ673=2,BQ673=3),N(INDEX(Parameter!$I$5:$I$7,BQ673)),0),0)</f>
        <v/>
      </c>
    </row>
    <row r="674">
      <c r="A674" s="53" t="inlineStr">
        <is>
          <t>110764</t>
        </is>
      </c>
      <c r="B674" s="53" t="inlineStr">
        <is>
          <t>Dichtung</t>
        </is>
      </c>
      <c r="C674" s="53" t="inlineStr">
        <is>
          <t>F</t>
        </is>
      </c>
      <c r="D674" s="53" t="inlineStr">
        <is>
          <t>A-BEZ</t>
        </is>
      </c>
      <c r="E674" s="53" t="inlineStr">
        <is>
          <t>C</t>
        </is>
      </c>
      <c r="F674" s="54" t="n">
        <v>177.69</v>
      </c>
      <c r="G674" s="55">
        <f>MAX(0,IF(Parameter!$B$20="Jahresanfang 2025 + Export",BG674+BF674,BF674))</f>
        <v/>
      </c>
      <c r="H674" s="55">
        <f>G674*F674</f>
        <v/>
      </c>
      <c r="I674" s="55">
        <f>BI674*Parameter!$B$18</f>
        <v/>
      </c>
      <c r="J674" s="56" t="n">
        <v>0</v>
      </c>
      <c r="K674" s="57" t="n">
        <v>0</v>
      </c>
      <c r="L674" s="55" t="n">
        <v>0</v>
      </c>
      <c r="M674" s="55" t="n">
        <v>1</v>
      </c>
      <c r="N674" s="58" t="n">
        <v>105</v>
      </c>
      <c r="O674" s="53" t="inlineStr">
        <is>
          <t>LOSE</t>
        </is>
      </c>
      <c r="P674" s="55" t="n"/>
      <c r="Q674" s="59">
        <f>IF(BO674=1,0,IFERROR(VLOOKUP(BM674,'Gebinde-Kategorie'!$A$5:$G$45,6,0)+0,0))</f>
        <v/>
      </c>
      <c r="R674" s="60" t="n"/>
      <c r="S674" s="61" t="n"/>
      <c r="T674" s="61" t="n"/>
      <c r="U674" s="53">
        <f>IF(A674="","",IF(IFERROR(VLOOKUP(D674,Parameter!$A$35:$C$64,2,0),"Nein")="2+3",IF(ISNUMBER(SEARCH("grosser Artikel",BJ674)),2,IFERROR(VLOOKUP(BM674,Parameter!$F$35:$G$64,2,0),2)),IF(OR(IFERROR(VLOOKUP(D674,Parameter!$A$35:$C$64,2,0),"Nein")="Nein",IFERROR(VLOOKUP(D674,Parameter!$A$35:$C$64,2,0),"Nein")=""),"-",VLOOKUP(D674,Parameter!$A$35:$C$64,2,0))))</f>
        <v/>
      </c>
      <c r="V674" s="61" t="n"/>
      <c r="W674" s="62" t="n"/>
      <c r="X674" s="55">
        <f>AM674</f>
        <v/>
      </c>
      <c r="Y674" s="55">
        <f>MAX(AM674,G674)</f>
        <v/>
      </c>
      <c r="Z674" s="63" t="n"/>
      <c r="AA674" s="55">
        <f>IF(LEFT(Cockpit!$C$5,1)="A",G674,IF(BT674=1,BU674,IF(LEFT(Cockpit!$C$5,1)="B",AE674,MAX(AE674,G674))))</f>
        <v/>
      </c>
      <c r="AB674" s="55">
        <f>IF(BO674=1,0,ROUNDUP(AA674/BN674,0))</f>
        <v/>
      </c>
      <c r="AC674" s="64">
        <f>IF(BO674=1,IF(AA674&lt;=0,0,BP674*MAX(1,IF(G674&gt;0,AA674/G674,1))),AB674*Q674)</f>
        <v/>
      </c>
      <c r="AD674" s="55">
        <f>AA674*F674</f>
        <v/>
      </c>
      <c r="AE674" s="55">
        <f>ROUNDUP(MAX(I674/IF(BS674&gt;0,BS674,MAX(0.1,N(Cockpit!$C$6))),BV674)/BN674,0)*BN674</f>
        <v/>
      </c>
      <c r="AF674" s="56">
        <f>IF(AC674&gt;0,I674/AC674,-1)</f>
        <v/>
      </c>
      <c r="AG674" s="56">
        <f>IF(AND(OR(BR674="L1",BR674="L23"),AC674&gt;0),SUMIFS($AC$7:$AC$1570,$BR$7:$BR$1570,BR674,$AF$7:$AF$1570,"&gt;"&amp;AF674)+SUMIFS($AC$7:$AC$1570,$BR$7:$BR$1570,BR674,$AF$7:$AF$1570,AF674,$BL$7:$BL$1570,"&lt;="&amp;BL674),"")</f>
        <v/>
      </c>
      <c r="AH674" s="65">
        <f>IF(AG674="",0,MAX(0,MIN(1,(IF(BR674="L1",Parameter!$K$5,Parameter!$K$6+Parameter!$K$7)-(AG674-AC674))/AC674)))</f>
        <v/>
      </c>
      <c r="AI674" s="55">
        <f>IF(LEFT(Cockpit!$I$5,1)="A",G674,IF(BT674=1,BU674,IF(LEFT(Cockpit!$I$5,1)="B",AM674,MAX(AM674,G674))))</f>
        <v/>
      </c>
      <c r="AJ674" s="55">
        <f>IF(BO674=1,0,ROUNDUP(AI674/BN674,0))</f>
        <v/>
      </c>
      <c r="AK674" s="64">
        <f>IF(BO674=1,IF(AI674&lt;=0,0,BP674*MAX(1,IF(G674&gt;0,AI674/G674,1))),AJ674*Q674)</f>
        <v/>
      </c>
      <c r="AL674" s="55">
        <f>AI674*F674</f>
        <v/>
      </c>
      <c r="AM674" s="55">
        <f>ROUNDUP(MAX(I674/IF(BS674&gt;0,BS674,MAX(0.1,N(Cockpit!$I$6))),BV674)/BN674,0)*BN674</f>
        <v/>
      </c>
      <c r="AN674" s="56">
        <f>IF(AK674&gt;0,I674/AK674,-1)</f>
        <v/>
      </c>
      <c r="AO674" s="56">
        <f>IF(AND(OR(BR674="L1",BR674="L23"),AK674&gt;0),SUMIFS($AK$7:$AK$1570,$BR$7:$BR$1570,BR674,$AN$7:$AN$1570,"&gt;"&amp;AN674)+SUMIFS($AK$7:$AK$1570,$BR$7:$BR$1570,BR674,$AN$7:$AN$1570,AN674,$BL$7:$BL$1570,"&lt;="&amp;BL674),"")</f>
        <v/>
      </c>
      <c r="AP674" s="65">
        <f>IF(AO674="",0,MAX(0,MIN(1,(IF(BR674="L1",Parameter!$K$5,Parameter!$K$6+Parameter!$K$7)-(AO674-AK674))/AK674)))</f>
        <v/>
      </c>
      <c r="AQ674" s="55">
        <f>IF(LEFT(Cockpit!$O$5,1)="A",G674,IF(BT674=1,BU674,IF(LEFT(Cockpit!$O$5,1)="B",AU674,MAX(AU674,G674))))</f>
        <v/>
      </c>
      <c r="AR674" s="55">
        <f>IF(BO674=1,0,ROUNDUP(AQ674/BN674,0))</f>
        <v/>
      </c>
      <c r="AS674" s="64">
        <f>IF(BO674=1,IF(AQ674&lt;=0,0,BP674*MAX(1,IF(G674&gt;0,AQ674/G674,1))),AR674*Q674)</f>
        <v/>
      </c>
      <c r="AT674" s="55">
        <f>AQ674*F674</f>
        <v/>
      </c>
      <c r="AU674" s="55">
        <f>ROUNDUP(MAX(I674/IF(BS674&gt;0,BS674,MAX(0.1,N(Cockpit!$O$6))),BV674)/BN674,0)*BN674</f>
        <v/>
      </c>
      <c r="AV674" s="56">
        <f>IF(AS674&gt;0,I674/AS674,-1)</f>
        <v/>
      </c>
      <c r="AW674" s="56">
        <f>IF(AND(OR(BR674="L1",BR674="L23"),AS674&gt;0),SUMIFS($AS$7:$AS$1570,$BR$7:$BR$1570,BR674,$AV$7:$AV$1570,"&gt;"&amp;AV674)+SUMIFS($AS$7:$AS$1570,$BR$7:$BR$1570,BR674,$AV$7:$AV$1570,AV674,$BL$7:$BL$1570,"&lt;="&amp;BL674),"")</f>
        <v/>
      </c>
      <c r="AX674" s="65">
        <f>IF(AW674="",0,MAX(0,MIN(1,(IF(BR674="L1",Parameter!$K$5,Parameter!$K$6+Parameter!$K$7)-(AW674-AS674))/AS674)))</f>
        <v/>
      </c>
      <c r="AY674" s="53">
        <f>IF(AC674&lt;=0,"",IF(BR674="Aussen","Aussenlager",IF(BR674="-","Nicht im Lift",IF(AH674&gt;=1,"Lift",IF(AH674&lt;=0,"Aussenlager","teilweise")))))</f>
        <v/>
      </c>
      <c r="AZ674" s="53">
        <f>IF(AK674&lt;=0,"",IF(BR674="Aussen","Aussenlager",IF(BR674="-","Nicht im Lift",IF(AP674&gt;=1,"Lift",IF(AP674&lt;=0,"Aussenlager","teilweise")))))</f>
        <v/>
      </c>
      <c r="BA674" s="53">
        <f>IF(AS674&lt;=0,"",IF(BR674="Aussen","Aussenlager",IF(BR674="-","Nicht im Lift",IF(AX674&gt;=1,"Lift",IF(AX674&lt;=0,"Aussenlager","teilweise")))))</f>
        <v/>
      </c>
      <c r="BB674" s="53">
        <f>IF(A674="","",IF(BK674=1,"Neu; ","")&amp;IF(AND(BK674=0,BF674&lt;0),"negativer Bestand (Export "&amp;BF674&amp;"); ","")&amp;IF(I674&lt;=0,"Kein Verbrauch; ","")&amp;IF(BO674=1,"Lose – Fläche geschätzt; ","")&amp;IF(G674&gt;AM674,"Überbestand "&amp;ROUND(G674-AM674,0)&amp;" Stk / CHF "&amp;ROUND((G674-AM674)*F674,0)&amp;"; ","")&amp;IF(AND(BT674=1,BU674&lt;BV674),"MAX &lt; MB+LG; ","")&amp;IF(AND(BZ674&gt;0,BY674*10&gt;BZ674),"zu hoch für Tablar; ","")&amp;IF(AND(BK674=0,OR(BT674=1,V674&lt;&gt;"",S674&lt;&gt;"",T674&lt;&gt;"",W674&lt;&gt;"")),"manuell übersteuert; ","")&amp;IF(AND(BO674=0,Q674=0),"Gebinde unbekannt; ","")&amp;IF(AND(BO674=0,N(T674)&lt;=0,N(P674)&lt;=0),"Menge pro Gebinde fehlt (Ist = 1 Gebinde); ","")&amp;BJ674)</f>
        <v/>
      </c>
      <c r="BC674" s="53" t="n"/>
      <c r="BD674" s="53" t="n"/>
      <c r="BE674" s="61" t="n"/>
      <c r="BF674" s="55" t="n">
        <v>0</v>
      </c>
      <c r="BG674" s="55" t="n">
        <v>0</v>
      </c>
      <c r="BH674" s="54" t="n">
        <v>0</v>
      </c>
      <c r="BI674" s="55" t="n">
        <v>4</v>
      </c>
      <c r="BJ674" s="53" t="inlineStr"/>
      <c r="BK674" s="58" t="n">
        <v>0</v>
      </c>
      <c r="BL674" s="58" t="n">
        <v>674</v>
      </c>
      <c r="BM674" s="53">
        <f>IF(S674&lt;&gt;"",UPPER(TRIM(S674)),IF(O674="","LOSE",O674))</f>
        <v/>
      </c>
      <c r="BN674" s="55">
        <f>IF(BM674="LOSE",1,IF(N(T674)&gt;0,T674,IF(N(P674)&gt;0,P674,MAX(1,G674))))</f>
        <v/>
      </c>
      <c r="BO674" s="58">
        <f>IF(BM674="LOSE",1,0)</f>
        <v/>
      </c>
      <c r="BP674" s="64">
        <f>IF(BO674=0,0,IF(N(R674)&gt;0,R674,IFERROR(VLOOKUP(D674,Parameter!$A$35:$C$64,3,0)+0,0)))</f>
        <v/>
      </c>
      <c r="BQ674" s="53">
        <f>IF(V674&lt;&gt;"",V674,U674)</f>
        <v/>
      </c>
      <c r="BR674" s="53">
        <f>IF(BQ674=1,"L1",IF(OR(BQ674=2,BQ674=3),"L23",IF(BQ674="Aussen","Aussen","-")))</f>
        <v/>
      </c>
      <c r="BS674" s="66">
        <f>IF(N(W674)&gt;0,W674,0)</f>
        <v/>
      </c>
      <c r="BT674" s="58">
        <f>IF(ISNUMBER(Z674),1,0)</f>
        <v/>
      </c>
      <c r="BU674" s="55">
        <f>N(Z674)</f>
        <v/>
      </c>
      <c r="BV674" s="55">
        <f>N(L674)+N(M674)</f>
        <v/>
      </c>
      <c r="BW674" s="55">
        <f>ROUNDUP(G674/BN674,0)</f>
        <v/>
      </c>
      <c r="BX674" s="55">
        <f>ROUNDUP(BU674/BN674,0)</f>
        <v/>
      </c>
      <c r="BY674" s="58">
        <f>IF(BO674=1,0,IFERROR(VLOOKUP(BM674,'Gebinde-Kategorie'!$A$5:$G$45,5,0)+0,0))</f>
        <v/>
      </c>
      <c r="BZ674" s="58">
        <f>IFERROR(IF(OR(BQ674=1,BQ674=2,BQ674=3),N(INDEX(Parameter!$I$5:$I$7,BQ674)),0),0)</f>
        <v/>
      </c>
    </row>
    <row r="675">
      <c r="A675" s="53" t="inlineStr">
        <is>
          <t>111719</t>
        </is>
      </c>
      <c r="B675" s="53" t="inlineStr">
        <is>
          <t>Führungsstange verlängert</t>
        </is>
      </c>
      <c r="C675" s="53" t="inlineStr">
        <is>
          <t>F</t>
        </is>
      </c>
      <c r="D675" s="53" t="inlineStr">
        <is>
          <t>PAL</t>
        </is>
      </c>
      <c r="E675" s="53" t="inlineStr">
        <is>
          <t>C</t>
        </is>
      </c>
      <c r="F675" s="54" t="n">
        <v>245</v>
      </c>
      <c r="G675" s="55">
        <f>MAX(0,IF(Parameter!$B$20="Jahresanfang 2025 + Export",BG675+BF675,BF675))</f>
        <v/>
      </c>
      <c r="H675" s="55">
        <f>G675*F675</f>
        <v/>
      </c>
      <c r="I675" s="55">
        <f>BI675*Parameter!$B$18</f>
        <v/>
      </c>
      <c r="J675" s="56" t="n">
        <v>0</v>
      </c>
      <c r="K675" s="57" t="n">
        <v>0</v>
      </c>
      <c r="L675" s="55" t="n">
        <v>0</v>
      </c>
      <c r="M675" s="55" t="n">
        <v>1</v>
      </c>
      <c r="N675" s="58" t="n">
        <v>999</v>
      </c>
      <c r="O675" s="53" t="inlineStr">
        <is>
          <t>S71</t>
        </is>
      </c>
      <c r="P675" s="55" t="n"/>
      <c r="Q675" s="59">
        <f>IF(BO675=1,0,IFERROR(VLOOKUP(BM675,'Gebinde-Kategorie'!$A$5:$G$45,6,0)+0,0))</f>
        <v/>
      </c>
      <c r="R675" s="60" t="n"/>
      <c r="S675" s="61" t="n"/>
      <c r="T675" s="61" t="n"/>
      <c r="U675" s="53">
        <f>IF(A675="","",IF(IFERROR(VLOOKUP(D675,Parameter!$A$35:$C$64,2,0),"Nein")="2+3",IF(ISNUMBER(SEARCH("grosser Artikel",BJ675)),2,IFERROR(VLOOKUP(BM675,Parameter!$F$35:$G$64,2,0),2)),IF(OR(IFERROR(VLOOKUP(D675,Parameter!$A$35:$C$64,2,0),"Nein")="Nein",IFERROR(VLOOKUP(D675,Parameter!$A$35:$C$64,2,0),"Nein")=""),"-",VLOOKUP(D675,Parameter!$A$35:$C$64,2,0))))</f>
        <v/>
      </c>
      <c r="V675" s="61" t="n"/>
      <c r="W675" s="62" t="n"/>
      <c r="X675" s="55">
        <f>AM675</f>
        <v/>
      </c>
      <c r="Y675" s="55">
        <f>MAX(AM675,G675)</f>
        <v/>
      </c>
      <c r="Z675" s="63" t="n"/>
      <c r="AA675" s="55">
        <f>IF(LEFT(Cockpit!$C$5,1)="A",G675,IF(BT675=1,BU675,IF(LEFT(Cockpit!$C$5,1)="B",AE675,MAX(AE675,G675))))</f>
        <v/>
      </c>
      <c r="AB675" s="55">
        <f>IF(BO675=1,0,ROUNDUP(AA675/BN675,0))</f>
        <v/>
      </c>
      <c r="AC675" s="64">
        <f>IF(BO675=1,IF(AA675&lt;=0,0,BP675*MAX(1,IF(G675&gt;0,AA675/G675,1))),AB675*Q675)</f>
        <v/>
      </c>
      <c r="AD675" s="55">
        <f>AA675*F675</f>
        <v/>
      </c>
      <c r="AE675" s="55">
        <f>ROUNDUP(MAX(I675/IF(BS675&gt;0,BS675,MAX(0.1,N(Cockpit!$C$6))),BV675)/BN675,0)*BN675</f>
        <v/>
      </c>
      <c r="AF675" s="56">
        <f>IF(AC675&gt;0,I675/AC675,-1)</f>
        <v/>
      </c>
      <c r="AG675" s="56">
        <f>IF(AND(OR(BR675="L1",BR675="L23"),AC675&gt;0),SUMIFS($AC$7:$AC$1570,$BR$7:$BR$1570,BR675,$AF$7:$AF$1570,"&gt;"&amp;AF675)+SUMIFS($AC$7:$AC$1570,$BR$7:$BR$1570,BR675,$AF$7:$AF$1570,AF675,$BL$7:$BL$1570,"&lt;="&amp;BL675),"")</f>
        <v/>
      </c>
      <c r="AH675" s="65">
        <f>IF(AG675="",0,MAX(0,MIN(1,(IF(BR675="L1",Parameter!$K$5,Parameter!$K$6+Parameter!$K$7)-(AG675-AC675))/AC675)))</f>
        <v/>
      </c>
      <c r="AI675" s="55">
        <f>IF(LEFT(Cockpit!$I$5,1)="A",G675,IF(BT675=1,BU675,IF(LEFT(Cockpit!$I$5,1)="B",AM675,MAX(AM675,G675))))</f>
        <v/>
      </c>
      <c r="AJ675" s="55">
        <f>IF(BO675=1,0,ROUNDUP(AI675/BN675,0))</f>
        <v/>
      </c>
      <c r="AK675" s="64">
        <f>IF(BO675=1,IF(AI675&lt;=0,0,BP675*MAX(1,IF(G675&gt;0,AI675/G675,1))),AJ675*Q675)</f>
        <v/>
      </c>
      <c r="AL675" s="55">
        <f>AI675*F675</f>
        <v/>
      </c>
      <c r="AM675" s="55">
        <f>ROUNDUP(MAX(I675/IF(BS675&gt;0,BS675,MAX(0.1,N(Cockpit!$I$6))),BV675)/BN675,0)*BN675</f>
        <v/>
      </c>
      <c r="AN675" s="56">
        <f>IF(AK675&gt;0,I675/AK675,-1)</f>
        <v/>
      </c>
      <c r="AO675" s="56">
        <f>IF(AND(OR(BR675="L1",BR675="L23"),AK675&gt;0),SUMIFS($AK$7:$AK$1570,$BR$7:$BR$1570,BR675,$AN$7:$AN$1570,"&gt;"&amp;AN675)+SUMIFS($AK$7:$AK$1570,$BR$7:$BR$1570,BR675,$AN$7:$AN$1570,AN675,$BL$7:$BL$1570,"&lt;="&amp;BL675),"")</f>
        <v/>
      </c>
      <c r="AP675" s="65">
        <f>IF(AO675="",0,MAX(0,MIN(1,(IF(BR675="L1",Parameter!$K$5,Parameter!$K$6+Parameter!$K$7)-(AO675-AK675))/AK675)))</f>
        <v/>
      </c>
      <c r="AQ675" s="55">
        <f>IF(LEFT(Cockpit!$O$5,1)="A",G675,IF(BT675=1,BU675,IF(LEFT(Cockpit!$O$5,1)="B",AU675,MAX(AU675,G675))))</f>
        <v/>
      </c>
      <c r="AR675" s="55">
        <f>IF(BO675=1,0,ROUNDUP(AQ675/BN675,0))</f>
        <v/>
      </c>
      <c r="AS675" s="64">
        <f>IF(BO675=1,IF(AQ675&lt;=0,0,BP675*MAX(1,IF(G675&gt;0,AQ675/G675,1))),AR675*Q675)</f>
        <v/>
      </c>
      <c r="AT675" s="55">
        <f>AQ675*F675</f>
        <v/>
      </c>
      <c r="AU675" s="55">
        <f>ROUNDUP(MAX(I675/IF(BS675&gt;0,BS675,MAX(0.1,N(Cockpit!$O$6))),BV675)/BN675,0)*BN675</f>
        <v/>
      </c>
      <c r="AV675" s="56">
        <f>IF(AS675&gt;0,I675/AS675,-1)</f>
        <v/>
      </c>
      <c r="AW675" s="56">
        <f>IF(AND(OR(BR675="L1",BR675="L23"),AS675&gt;0),SUMIFS($AS$7:$AS$1570,$BR$7:$BR$1570,BR675,$AV$7:$AV$1570,"&gt;"&amp;AV675)+SUMIFS($AS$7:$AS$1570,$BR$7:$BR$1570,BR675,$AV$7:$AV$1570,AV675,$BL$7:$BL$1570,"&lt;="&amp;BL675),"")</f>
        <v/>
      </c>
      <c r="AX675" s="65">
        <f>IF(AW675="",0,MAX(0,MIN(1,(IF(BR675="L1",Parameter!$K$5,Parameter!$K$6+Parameter!$K$7)-(AW675-AS675))/AS675)))</f>
        <v/>
      </c>
      <c r="AY675" s="53">
        <f>IF(AC675&lt;=0,"",IF(BR675="Aussen","Aussenlager",IF(BR675="-","Nicht im Lift",IF(AH675&gt;=1,"Lift",IF(AH675&lt;=0,"Aussenlager","teilweise")))))</f>
        <v/>
      </c>
      <c r="AZ675" s="53">
        <f>IF(AK675&lt;=0,"",IF(BR675="Aussen","Aussenlager",IF(BR675="-","Nicht im Lift",IF(AP675&gt;=1,"Lift",IF(AP675&lt;=0,"Aussenlager","teilweise")))))</f>
        <v/>
      </c>
      <c r="BA675" s="53">
        <f>IF(AS675&lt;=0,"",IF(BR675="Aussen","Aussenlager",IF(BR675="-","Nicht im Lift",IF(AX675&gt;=1,"Lift",IF(AX675&lt;=0,"Aussenlager","teilweise")))))</f>
        <v/>
      </c>
      <c r="BB675" s="53">
        <f>IF(A675="","",IF(BK675=1,"Neu; ","")&amp;IF(AND(BK675=0,BF675&lt;0),"negativer Bestand (Export "&amp;BF675&amp;"); ","")&amp;IF(I675&lt;=0,"Kein Verbrauch; ","")&amp;IF(BO675=1,"Lose – Fläche geschätzt; ","")&amp;IF(G675&gt;AM675,"Überbestand "&amp;ROUND(G675-AM675,0)&amp;" Stk / CHF "&amp;ROUND((G675-AM675)*F675,0)&amp;"; ","")&amp;IF(AND(BT675=1,BU675&lt;BV675),"MAX &lt; MB+LG; ","")&amp;IF(AND(BZ675&gt;0,BY675*10&gt;BZ675),"zu hoch für Tablar; ","")&amp;IF(AND(BK675=0,OR(BT675=1,V675&lt;&gt;"",S675&lt;&gt;"",T675&lt;&gt;"",W675&lt;&gt;"")),"manuell übersteuert; ","")&amp;IF(AND(BO675=0,Q675=0),"Gebinde unbekannt; ","")&amp;IF(AND(BO675=0,N(T675)&lt;=0,N(P675)&lt;=0),"Menge pro Gebinde fehlt (Ist = 1 Gebinde); ","")&amp;BJ675)</f>
        <v/>
      </c>
      <c r="BC675" s="53" t="n"/>
      <c r="BD675" s="53" t="n"/>
      <c r="BE675" s="61" t="n"/>
      <c r="BF675" s="55" t="n">
        <v>0</v>
      </c>
      <c r="BG675" s="55" t="n">
        <v>0</v>
      </c>
      <c r="BH675" s="54" t="n">
        <v>0</v>
      </c>
      <c r="BI675" s="55" t="n">
        <v>0</v>
      </c>
      <c r="BJ675" s="53" t="inlineStr"/>
      <c r="BK675" s="58" t="n">
        <v>0</v>
      </c>
      <c r="BL675" s="58" t="n">
        <v>675</v>
      </c>
      <c r="BM675" s="53">
        <f>IF(S675&lt;&gt;"",UPPER(TRIM(S675)),IF(O675="","LOSE",O675))</f>
        <v/>
      </c>
      <c r="BN675" s="55">
        <f>IF(BM675="LOSE",1,IF(N(T675)&gt;0,T675,IF(N(P675)&gt;0,P675,MAX(1,G675))))</f>
        <v/>
      </c>
      <c r="BO675" s="58">
        <f>IF(BM675="LOSE",1,0)</f>
        <v/>
      </c>
      <c r="BP675" s="64">
        <f>IF(BO675=0,0,IF(N(R675)&gt;0,R675,IFERROR(VLOOKUP(D675,Parameter!$A$35:$C$64,3,0)+0,0)))</f>
        <v/>
      </c>
      <c r="BQ675" s="53">
        <f>IF(V675&lt;&gt;"",V675,U675)</f>
        <v/>
      </c>
      <c r="BR675" s="53">
        <f>IF(BQ675=1,"L1",IF(OR(BQ675=2,BQ675=3),"L23",IF(BQ675="Aussen","Aussen","-")))</f>
        <v/>
      </c>
      <c r="BS675" s="66">
        <f>IF(N(W675)&gt;0,W675,0)</f>
        <v/>
      </c>
      <c r="BT675" s="58">
        <f>IF(ISNUMBER(Z675),1,0)</f>
        <v/>
      </c>
      <c r="BU675" s="55">
        <f>N(Z675)</f>
        <v/>
      </c>
      <c r="BV675" s="55">
        <f>N(L675)+N(M675)</f>
        <v/>
      </c>
      <c r="BW675" s="55">
        <f>ROUNDUP(G675/BN675,0)</f>
        <v/>
      </c>
      <c r="BX675" s="55">
        <f>ROUNDUP(BU675/BN675,0)</f>
        <v/>
      </c>
      <c r="BY675" s="58">
        <f>IF(BO675=1,0,IFERROR(VLOOKUP(BM675,'Gebinde-Kategorie'!$A$5:$G$45,5,0)+0,0))</f>
        <v/>
      </c>
      <c r="BZ675" s="58">
        <f>IFERROR(IF(OR(BQ675=1,BQ675=2,BQ675=3),N(INDEX(Parameter!$I$5:$I$7,BQ675)),0),0)</f>
        <v/>
      </c>
    </row>
    <row r="676">
      <c r="A676" s="53" t="inlineStr">
        <is>
          <t>110788</t>
        </is>
      </c>
      <c r="B676" s="53" t="inlineStr">
        <is>
          <t>Kompensator Petrobras SPGr10</t>
        </is>
      </c>
      <c r="C676" s="53" t="inlineStr">
        <is>
          <t>F</t>
        </is>
      </c>
      <c r="D676" s="53" t="inlineStr">
        <is>
          <t>A-BEZ</t>
        </is>
      </c>
      <c r="E676" s="53" t="inlineStr">
        <is>
          <t>C</t>
        </is>
      </c>
      <c r="F676" s="54" t="n">
        <v>3157.44</v>
      </c>
      <c r="G676" s="55">
        <f>MAX(0,IF(Parameter!$B$20="Jahresanfang 2025 + Export",BG676+BF676,BF676))</f>
        <v/>
      </c>
      <c r="H676" s="55">
        <f>G676*F676</f>
        <v/>
      </c>
      <c r="I676" s="55">
        <f>BI676*Parameter!$B$18</f>
        <v/>
      </c>
      <c r="J676" s="56" t="n">
        <v>0</v>
      </c>
      <c r="K676" s="57" t="n">
        <v>0</v>
      </c>
      <c r="L676" s="55" t="n">
        <v>0</v>
      </c>
      <c r="M676" s="55" t="n">
        <v>1</v>
      </c>
      <c r="N676" s="58" t="n">
        <v>90</v>
      </c>
      <c r="O676" s="53" t="inlineStr">
        <is>
          <t>LOSE</t>
        </is>
      </c>
      <c r="P676" s="55" t="n"/>
      <c r="Q676" s="59">
        <f>IF(BO676=1,0,IFERROR(VLOOKUP(BM676,'Gebinde-Kategorie'!$A$5:$G$45,6,0)+0,0))</f>
        <v/>
      </c>
      <c r="R676" s="60" t="n"/>
      <c r="S676" s="61" t="n"/>
      <c r="T676" s="61" t="n"/>
      <c r="U676" s="53">
        <f>IF(A676="","",IF(IFERROR(VLOOKUP(D676,Parameter!$A$35:$C$64,2,0),"Nein")="2+3",IF(ISNUMBER(SEARCH("grosser Artikel",BJ676)),2,IFERROR(VLOOKUP(BM676,Parameter!$F$35:$G$64,2,0),2)),IF(OR(IFERROR(VLOOKUP(D676,Parameter!$A$35:$C$64,2,0),"Nein")="Nein",IFERROR(VLOOKUP(D676,Parameter!$A$35:$C$64,2,0),"Nein")=""),"-",VLOOKUP(D676,Parameter!$A$35:$C$64,2,0))))</f>
        <v/>
      </c>
      <c r="V676" s="61" t="n"/>
      <c r="W676" s="62" t="n"/>
      <c r="X676" s="55">
        <f>AM676</f>
        <v/>
      </c>
      <c r="Y676" s="55">
        <f>MAX(AM676,G676)</f>
        <v/>
      </c>
      <c r="Z676" s="63" t="n"/>
      <c r="AA676" s="55">
        <f>IF(LEFT(Cockpit!$C$5,1)="A",G676,IF(BT676=1,BU676,IF(LEFT(Cockpit!$C$5,1)="B",AE676,MAX(AE676,G676))))</f>
        <v/>
      </c>
      <c r="AB676" s="55">
        <f>IF(BO676=1,0,ROUNDUP(AA676/BN676,0))</f>
        <v/>
      </c>
      <c r="AC676" s="64">
        <f>IF(BO676=1,IF(AA676&lt;=0,0,BP676*MAX(1,IF(G676&gt;0,AA676/G676,1))),AB676*Q676)</f>
        <v/>
      </c>
      <c r="AD676" s="55">
        <f>AA676*F676</f>
        <v/>
      </c>
      <c r="AE676" s="55">
        <f>ROUNDUP(MAX(I676/IF(BS676&gt;0,BS676,MAX(0.1,N(Cockpit!$C$6))),BV676)/BN676,0)*BN676</f>
        <v/>
      </c>
      <c r="AF676" s="56">
        <f>IF(AC676&gt;0,I676/AC676,-1)</f>
        <v/>
      </c>
      <c r="AG676" s="56">
        <f>IF(AND(OR(BR676="L1",BR676="L23"),AC676&gt;0),SUMIFS($AC$7:$AC$1570,$BR$7:$BR$1570,BR676,$AF$7:$AF$1570,"&gt;"&amp;AF676)+SUMIFS($AC$7:$AC$1570,$BR$7:$BR$1570,BR676,$AF$7:$AF$1570,AF676,$BL$7:$BL$1570,"&lt;="&amp;BL676),"")</f>
        <v/>
      </c>
      <c r="AH676" s="65">
        <f>IF(AG676="",0,MAX(0,MIN(1,(IF(BR676="L1",Parameter!$K$5,Parameter!$K$6+Parameter!$K$7)-(AG676-AC676))/AC676)))</f>
        <v/>
      </c>
      <c r="AI676" s="55">
        <f>IF(LEFT(Cockpit!$I$5,1)="A",G676,IF(BT676=1,BU676,IF(LEFT(Cockpit!$I$5,1)="B",AM676,MAX(AM676,G676))))</f>
        <v/>
      </c>
      <c r="AJ676" s="55">
        <f>IF(BO676=1,0,ROUNDUP(AI676/BN676,0))</f>
        <v/>
      </c>
      <c r="AK676" s="64">
        <f>IF(BO676=1,IF(AI676&lt;=0,0,BP676*MAX(1,IF(G676&gt;0,AI676/G676,1))),AJ676*Q676)</f>
        <v/>
      </c>
      <c r="AL676" s="55">
        <f>AI676*F676</f>
        <v/>
      </c>
      <c r="AM676" s="55">
        <f>ROUNDUP(MAX(I676/IF(BS676&gt;0,BS676,MAX(0.1,N(Cockpit!$I$6))),BV676)/BN676,0)*BN676</f>
        <v/>
      </c>
      <c r="AN676" s="56">
        <f>IF(AK676&gt;0,I676/AK676,-1)</f>
        <v/>
      </c>
      <c r="AO676" s="56">
        <f>IF(AND(OR(BR676="L1",BR676="L23"),AK676&gt;0),SUMIFS($AK$7:$AK$1570,$BR$7:$BR$1570,BR676,$AN$7:$AN$1570,"&gt;"&amp;AN676)+SUMIFS($AK$7:$AK$1570,$BR$7:$BR$1570,BR676,$AN$7:$AN$1570,AN676,$BL$7:$BL$1570,"&lt;="&amp;BL676),"")</f>
        <v/>
      </c>
      <c r="AP676" s="65">
        <f>IF(AO676="",0,MAX(0,MIN(1,(IF(BR676="L1",Parameter!$K$5,Parameter!$K$6+Parameter!$K$7)-(AO676-AK676))/AK676)))</f>
        <v/>
      </c>
      <c r="AQ676" s="55">
        <f>IF(LEFT(Cockpit!$O$5,1)="A",G676,IF(BT676=1,BU676,IF(LEFT(Cockpit!$O$5,1)="B",AU676,MAX(AU676,G676))))</f>
        <v/>
      </c>
      <c r="AR676" s="55">
        <f>IF(BO676=1,0,ROUNDUP(AQ676/BN676,0))</f>
        <v/>
      </c>
      <c r="AS676" s="64">
        <f>IF(BO676=1,IF(AQ676&lt;=0,0,BP676*MAX(1,IF(G676&gt;0,AQ676/G676,1))),AR676*Q676)</f>
        <v/>
      </c>
      <c r="AT676" s="55">
        <f>AQ676*F676</f>
        <v/>
      </c>
      <c r="AU676" s="55">
        <f>ROUNDUP(MAX(I676/IF(BS676&gt;0,BS676,MAX(0.1,N(Cockpit!$O$6))),BV676)/BN676,0)*BN676</f>
        <v/>
      </c>
      <c r="AV676" s="56">
        <f>IF(AS676&gt;0,I676/AS676,-1)</f>
        <v/>
      </c>
      <c r="AW676" s="56">
        <f>IF(AND(OR(BR676="L1",BR676="L23"),AS676&gt;0),SUMIFS($AS$7:$AS$1570,$BR$7:$BR$1570,BR676,$AV$7:$AV$1570,"&gt;"&amp;AV676)+SUMIFS($AS$7:$AS$1570,$BR$7:$BR$1570,BR676,$AV$7:$AV$1570,AV676,$BL$7:$BL$1570,"&lt;="&amp;BL676),"")</f>
        <v/>
      </c>
      <c r="AX676" s="65">
        <f>IF(AW676="",0,MAX(0,MIN(1,(IF(BR676="L1",Parameter!$K$5,Parameter!$K$6+Parameter!$K$7)-(AW676-AS676))/AS676)))</f>
        <v/>
      </c>
      <c r="AY676" s="53">
        <f>IF(AC676&lt;=0,"",IF(BR676="Aussen","Aussenlager",IF(BR676="-","Nicht im Lift",IF(AH676&gt;=1,"Lift",IF(AH676&lt;=0,"Aussenlager","teilweise")))))</f>
        <v/>
      </c>
      <c r="AZ676" s="53">
        <f>IF(AK676&lt;=0,"",IF(BR676="Aussen","Aussenlager",IF(BR676="-","Nicht im Lift",IF(AP676&gt;=1,"Lift",IF(AP676&lt;=0,"Aussenlager","teilweise")))))</f>
        <v/>
      </c>
      <c r="BA676" s="53">
        <f>IF(AS676&lt;=0,"",IF(BR676="Aussen","Aussenlager",IF(BR676="-","Nicht im Lift",IF(AX676&gt;=1,"Lift",IF(AX676&lt;=0,"Aussenlager","teilweise")))))</f>
        <v/>
      </c>
      <c r="BB676" s="53">
        <f>IF(A676="","",IF(BK676=1,"Neu; ","")&amp;IF(AND(BK676=0,BF676&lt;0),"negativer Bestand (Export "&amp;BF676&amp;"); ","")&amp;IF(I676&lt;=0,"Kein Verbrauch; ","")&amp;IF(BO676=1,"Lose – Fläche geschätzt; ","")&amp;IF(G676&gt;AM676,"Überbestand "&amp;ROUND(G676-AM676,0)&amp;" Stk / CHF "&amp;ROUND((G676-AM676)*F676,0)&amp;"; ","")&amp;IF(AND(BT676=1,BU676&lt;BV676),"MAX &lt; MB+LG; ","")&amp;IF(AND(BZ676&gt;0,BY676*10&gt;BZ676),"zu hoch für Tablar; ","")&amp;IF(AND(BK676=0,OR(BT676=1,V676&lt;&gt;"",S676&lt;&gt;"",T676&lt;&gt;"",W676&lt;&gt;"")),"manuell übersteuert; ","")&amp;IF(AND(BO676=0,Q676=0),"Gebinde unbekannt; ","")&amp;IF(AND(BO676=0,N(T676)&lt;=0,N(P676)&lt;=0),"Menge pro Gebinde fehlt (Ist = 1 Gebinde); ","")&amp;BJ676)</f>
        <v/>
      </c>
      <c r="BC676" s="53" t="n"/>
      <c r="BD676" s="53" t="n"/>
      <c r="BE676" s="61" t="n"/>
      <c r="BF676" s="55" t="n">
        <v>0</v>
      </c>
      <c r="BG676" s="55" t="n">
        <v>0</v>
      </c>
      <c r="BH676" s="54" t="n">
        <v>0</v>
      </c>
      <c r="BI676" s="55" t="n">
        <v>4</v>
      </c>
      <c r="BJ676" s="53" t="inlineStr"/>
      <c r="BK676" s="58" t="n">
        <v>0</v>
      </c>
      <c r="BL676" s="58" t="n">
        <v>676</v>
      </c>
      <c r="BM676" s="53">
        <f>IF(S676&lt;&gt;"",UPPER(TRIM(S676)),IF(O676="","LOSE",O676))</f>
        <v/>
      </c>
      <c r="BN676" s="55">
        <f>IF(BM676="LOSE",1,IF(N(T676)&gt;0,T676,IF(N(P676)&gt;0,P676,MAX(1,G676))))</f>
        <v/>
      </c>
      <c r="BO676" s="58">
        <f>IF(BM676="LOSE",1,0)</f>
        <v/>
      </c>
      <c r="BP676" s="64">
        <f>IF(BO676=0,0,IF(N(R676)&gt;0,R676,IFERROR(VLOOKUP(D676,Parameter!$A$35:$C$64,3,0)+0,0)))</f>
        <v/>
      </c>
      <c r="BQ676" s="53">
        <f>IF(V676&lt;&gt;"",V676,U676)</f>
        <v/>
      </c>
      <c r="BR676" s="53">
        <f>IF(BQ676=1,"L1",IF(OR(BQ676=2,BQ676=3),"L23",IF(BQ676="Aussen","Aussen","-")))</f>
        <v/>
      </c>
      <c r="BS676" s="66">
        <f>IF(N(W676)&gt;0,W676,0)</f>
        <v/>
      </c>
      <c r="BT676" s="58">
        <f>IF(ISNUMBER(Z676),1,0)</f>
        <v/>
      </c>
      <c r="BU676" s="55">
        <f>N(Z676)</f>
        <v/>
      </c>
      <c r="BV676" s="55">
        <f>N(L676)+N(M676)</f>
        <v/>
      </c>
      <c r="BW676" s="55">
        <f>ROUNDUP(G676/BN676,0)</f>
        <v/>
      </c>
      <c r="BX676" s="55">
        <f>ROUNDUP(BU676/BN676,0)</f>
        <v/>
      </c>
      <c r="BY676" s="58">
        <f>IF(BO676=1,0,IFERROR(VLOOKUP(BM676,'Gebinde-Kategorie'!$A$5:$G$45,5,0)+0,0))</f>
        <v/>
      </c>
      <c r="BZ676" s="58">
        <f>IFERROR(IF(OR(BQ676=1,BQ676=2,BQ676=3),N(INDEX(Parameter!$I$5:$I$7,BQ676)),0),0)</f>
        <v/>
      </c>
    </row>
    <row r="677">
      <c r="A677" s="53" t="inlineStr">
        <is>
          <t>110790</t>
        </is>
      </c>
      <c r="B677" s="53" t="inlineStr">
        <is>
          <t>Plattenschieber Petrobras SPGr10</t>
        </is>
      </c>
      <c r="C677" s="53" t="inlineStr">
        <is>
          <t>F</t>
        </is>
      </c>
      <c r="D677" s="53" t="inlineStr">
        <is>
          <t>A-BEZ</t>
        </is>
      </c>
      <c r="E677" s="53" t="inlineStr">
        <is>
          <t>C</t>
        </is>
      </c>
      <c r="F677" s="54" t="n">
        <v>12854.39</v>
      </c>
      <c r="G677" s="55">
        <f>MAX(0,IF(Parameter!$B$20="Jahresanfang 2025 + Export",BG677+BF677,BF677))</f>
        <v/>
      </c>
      <c r="H677" s="55">
        <f>G677*F677</f>
        <v/>
      </c>
      <c r="I677" s="55">
        <f>BI677*Parameter!$B$18</f>
        <v/>
      </c>
      <c r="J677" s="56" t="n">
        <v>0</v>
      </c>
      <c r="K677" s="57" t="n">
        <v>0</v>
      </c>
      <c r="L677" s="55" t="n">
        <v>0</v>
      </c>
      <c r="M677" s="55" t="n">
        <v>1</v>
      </c>
      <c r="N677" s="58" t="n">
        <v>90</v>
      </c>
      <c r="O677" s="53" t="inlineStr">
        <is>
          <t>LOSE</t>
        </is>
      </c>
      <c r="P677" s="55" t="n"/>
      <c r="Q677" s="59">
        <f>IF(BO677=1,0,IFERROR(VLOOKUP(BM677,'Gebinde-Kategorie'!$A$5:$G$45,6,0)+0,0))</f>
        <v/>
      </c>
      <c r="R677" s="60" t="n"/>
      <c r="S677" s="61" t="n"/>
      <c r="T677" s="61" t="n"/>
      <c r="U677" s="53">
        <f>IF(A677="","",IF(IFERROR(VLOOKUP(D677,Parameter!$A$35:$C$64,2,0),"Nein")="2+3",IF(ISNUMBER(SEARCH("grosser Artikel",BJ677)),2,IFERROR(VLOOKUP(BM677,Parameter!$F$35:$G$64,2,0),2)),IF(OR(IFERROR(VLOOKUP(D677,Parameter!$A$35:$C$64,2,0),"Nein")="Nein",IFERROR(VLOOKUP(D677,Parameter!$A$35:$C$64,2,0),"Nein")=""),"-",VLOOKUP(D677,Parameter!$A$35:$C$64,2,0))))</f>
        <v/>
      </c>
      <c r="V677" s="61" t="n"/>
      <c r="W677" s="62" t="n"/>
      <c r="X677" s="55">
        <f>AM677</f>
        <v/>
      </c>
      <c r="Y677" s="55">
        <f>MAX(AM677,G677)</f>
        <v/>
      </c>
      <c r="Z677" s="63" t="n"/>
      <c r="AA677" s="55">
        <f>IF(LEFT(Cockpit!$C$5,1)="A",G677,IF(BT677=1,BU677,IF(LEFT(Cockpit!$C$5,1)="B",AE677,MAX(AE677,G677))))</f>
        <v/>
      </c>
      <c r="AB677" s="55">
        <f>IF(BO677=1,0,ROUNDUP(AA677/BN677,0))</f>
        <v/>
      </c>
      <c r="AC677" s="64">
        <f>IF(BO677=1,IF(AA677&lt;=0,0,BP677*MAX(1,IF(G677&gt;0,AA677/G677,1))),AB677*Q677)</f>
        <v/>
      </c>
      <c r="AD677" s="55">
        <f>AA677*F677</f>
        <v/>
      </c>
      <c r="AE677" s="55">
        <f>ROUNDUP(MAX(I677/IF(BS677&gt;0,BS677,MAX(0.1,N(Cockpit!$C$6))),BV677)/BN677,0)*BN677</f>
        <v/>
      </c>
      <c r="AF677" s="56">
        <f>IF(AC677&gt;0,I677/AC677,-1)</f>
        <v/>
      </c>
      <c r="AG677" s="56">
        <f>IF(AND(OR(BR677="L1",BR677="L23"),AC677&gt;0),SUMIFS($AC$7:$AC$1570,$BR$7:$BR$1570,BR677,$AF$7:$AF$1570,"&gt;"&amp;AF677)+SUMIFS($AC$7:$AC$1570,$BR$7:$BR$1570,BR677,$AF$7:$AF$1570,AF677,$BL$7:$BL$1570,"&lt;="&amp;BL677),"")</f>
        <v/>
      </c>
      <c r="AH677" s="65">
        <f>IF(AG677="",0,MAX(0,MIN(1,(IF(BR677="L1",Parameter!$K$5,Parameter!$K$6+Parameter!$K$7)-(AG677-AC677))/AC677)))</f>
        <v/>
      </c>
      <c r="AI677" s="55">
        <f>IF(LEFT(Cockpit!$I$5,1)="A",G677,IF(BT677=1,BU677,IF(LEFT(Cockpit!$I$5,1)="B",AM677,MAX(AM677,G677))))</f>
        <v/>
      </c>
      <c r="AJ677" s="55">
        <f>IF(BO677=1,0,ROUNDUP(AI677/BN677,0))</f>
        <v/>
      </c>
      <c r="AK677" s="64">
        <f>IF(BO677=1,IF(AI677&lt;=0,0,BP677*MAX(1,IF(G677&gt;0,AI677/G677,1))),AJ677*Q677)</f>
        <v/>
      </c>
      <c r="AL677" s="55">
        <f>AI677*F677</f>
        <v/>
      </c>
      <c r="AM677" s="55">
        <f>ROUNDUP(MAX(I677/IF(BS677&gt;0,BS677,MAX(0.1,N(Cockpit!$I$6))),BV677)/BN677,0)*BN677</f>
        <v/>
      </c>
      <c r="AN677" s="56">
        <f>IF(AK677&gt;0,I677/AK677,-1)</f>
        <v/>
      </c>
      <c r="AO677" s="56">
        <f>IF(AND(OR(BR677="L1",BR677="L23"),AK677&gt;0),SUMIFS($AK$7:$AK$1570,$BR$7:$BR$1570,BR677,$AN$7:$AN$1570,"&gt;"&amp;AN677)+SUMIFS($AK$7:$AK$1570,$BR$7:$BR$1570,BR677,$AN$7:$AN$1570,AN677,$BL$7:$BL$1570,"&lt;="&amp;BL677),"")</f>
        <v/>
      </c>
      <c r="AP677" s="65">
        <f>IF(AO677="",0,MAX(0,MIN(1,(IF(BR677="L1",Parameter!$K$5,Parameter!$K$6+Parameter!$K$7)-(AO677-AK677))/AK677)))</f>
        <v/>
      </c>
      <c r="AQ677" s="55">
        <f>IF(LEFT(Cockpit!$O$5,1)="A",G677,IF(BT677=1,BU677,IF(LEFT(Cockpit!$O$5,1)="B",AU677,MAX(AU677,G677))))</f>
        <v/>
      </c>
      <c r="AR677" s="55">
        <f>IF(BO677=1,0,ROUNDUP(AQ677/BN677,0))</f>
        <v/>
      </c>
      <c r="AS677" s="64">
        <f>IF(BO677=1,IF(AQ677&lt;=0,0,BP677*MAX(1,IF(G677&gt;0,AQ677/G677,1))),AR677*Q677)</f>
        <v/>
      </c>
      <c r="AT677" s="55">
        <f>AQ677*F677</f>
        <v/>
      </c>
      <c r="AU677" s="55">
        <f>ROUNDUP(MAX(I677/IF(BS677&gt;0,BS677,MAX(0.1,N(Cockpit!$O$6))),BV677)/BN677,0)*BN677</f>
        <v/>
      </c>
      <c r="AV677" s="56">
        <f>IF(AS677&gt;0,I677/AS677,-1)</f>
        <v/>
      </c>
      <c r="AW677" s="56">
        <f>IF(AND(OR(BR677="L1",BR677="L23"),AS677&gt;0),SUMIFS($AS$7:$AS$1570,$BR$7:$BR$1570,BR677,$AV$7:$AV$1570,"&gt;"&amp;AV677)+SUMIFS($AS$7:$AS$1570,$BR$7:$BR$1570,BR677,$AV$7:$AV$1570,AV677,$BL$7:$BL$1570,"&lt;="&amp;BL677),"")</f>
        <v/>
      </c>
      <c r="AX677" s="65">
        <f>IF(AW677="",0,MAX(0,MIN(1,(IF(BR677="L1",Parameter!$K$5,Parameter!$K$6+Parameter!$K$7)-(AW677-AS677))/AS677)))</f>
        <v/>
      </c>
      <c r="AY677" s="53">
        <f>IF(AC677&lt;=0,"",IF(BR677="Aussen","Aussenlager",IF(BR677="-","Nicht im Lift",IF(AH677&gt;=1,"Lift",IF(AH677&lt;=0,"Aussenlager","teilweise")))))</f>
        <v/>
      </c>
      <c r="AZ677" s="53">
        <f>IF(AK677&lt;=0,"",IF(BR677="Aussen","Aussenlager",IF(BR677="-","Nicht im Lift",IF(AP677&gt;=1,"Lift",IF(AP677&lt;=0,"Aussenlager","teilweise")))))</f>
        <v/>
      </c>
      <c r="BA677" s="53">
        <f>IF(AS677&lt;=0,"",IF(BR677="Aussen","Aussenlager",IF(BR677="-","Nicht im Lift",IF(AX677&gt;=1,"Lift",IF(AX677&lt;=0,"Aussenlager","teilweise")))))</f>
        <v/>
      </c>
      <c r="BB677" s="53">
        <f>IF(A677="","",IF(BK677=1,"Neu; ","")&amp;IF(AND(BK677=0,BF677&lt;0),"negativer Bestand (Export "&amp;BF677&amp;"); ","")&amp;IF(I677&lt;=0,"Kein Verbrauch; ","")&amp;IF(BO677=1,"Lose – Fläche geschätzt; ","")&amp;IF(G677&gt;AM677,"Überbestand "&amp;ROUND(G677-AM677,0)&amp;" Stk / CHF "&amp;ROUND((G677-AM677)*F677,0)&amp;"; ","")&amp;IF(AND(BT677=1,BU677&lt;BV677),"MAX &lt; MB+LG; ","")&amp;IF(AND(BZ677&gt;0,BY677*10&gt;BZ677),"zu hoch für Tablar; ","")&amp;IF(AND(BK677=0,OR(BT677=1,V677&lt;&gt;"",S677&lt;&gt;"",T677&lt;&gt;"",W677&lt;&gt;"")),"manuell übersteuert; ","")&amp;IF(AND(BO677=0,Q677=0),"Gebinde unbekannt; ","")&amp;IF(AND(BO677=0,N(T677)&lt;=0,N(P677)&lt;=0),"Menge pro Gebinde fehlt (Ist = 1 Gebinde); ","")&amp;BJ677)</f>
        <v/>
      </c>
      <c r="BC677" s="53" t="n"/>
      <c r="BD677" s="53" t="n"/>
      <c r="BE677" s="61" t="n"/>
      <c r="BF677" s="55" t="n">
        <v>0</v>
      </c>
      <c r="BG677" s="55" t="n">
        <v>0</v>
      </c>
      <c r="BH677" s="54" t="n">
        <v>0</v>
      </c>
      <c r="BI677" s="55" t="n">
        <v>4</v>
      </c>
      <c r="BJ677" s="53" t="inlineStr"/>
      <c r="BK677" s="58" t="n">
        <v>0</v>
      </c>
      <c r="BL677" s="58" t="n">
        <v>677</v>
      </c>
      <c r="BM677" s="53">
        <f>IF(S677&lt;&gt;"",UPPER(TRIM(S677)),IF(O677="","LOSE",O677))</f>
        <v/>
      </c>
      <c r="BN677" s="55">
        <f>IF(BM677="LOSE",1,IF(N(T677)&gt;0,T677,IF(N(P677)&gt;0,P677,MAX(1,G677))))</f>
        <v/>
      </c>
      <c r="BO677" s="58">
        <f>IF(BM677="LOSE",1,0)</f>
        <v/>
      </c>
      <c r="BP677" s="64">
        <f>IF(BO677=0,0,IF(N(R677)&gt;0,R677,IFERROR(VLOOKUP(D677,Parameter!$A$35:$C$64,3,0)+0,0)))</f>
        <v/>
      </c>
      <c r="BQ677" s="53">
        <f>IF(V677&lt;&gt;"",V677,U677)</f>
        <v/>
      </c>
      <c r="BR677" s="53">
        <f>IF(BQ677=1,"L1",IF(OR(BQ677=2,BQ677=3),"L23",IF(BQ677="Aussen","Aussen","-")))</f>
        <v/>
      </c>
      <c r="BS677" s="66">
        <f>IF(N(W677)&gt;0,W677,0)</f>
        <v/>
      </c>
      <c r="BT677" s="58">
        <f>IF(ISNUMBER(Z677),1,0)</f>
        <v/>
      </c>
      <c r="BU677" s="55">
        <f>N(Z677)</f>
        <v/>
      </c>
      <c r="BV677" s="55">
        <f>N(L677)+N(M677)</f>
        <v/>
      </c>
      <c r="BW677" s="55">
        <f>ROUNDUP(G677/BN677,0)</f>
        <v/>
      </c>
      <c r="BX677" s="55">
        <f>ROUNDUP(BU677/BN677,0)</f>
        <v/>
      </c>
      <c r="BY677" s="58">
        <f>IF(BO677=1,0,IFERROR(VLOOKUP(BM677,'Gebinde-Kategorie'!$A$5:$G$45,5,0)+0,0))</f>
        <v/>
      </c>
      <c r="BZ677" s="58">
        <f>IFERROR(IF(OR(BQ677=1,BQ677=2,BQ677=3),N(INDEX(Parameter!$I$5:$I$7,BQ677)),0),0)</f>
        <v/>
      </c>
    </row>
    <row r="678">
      <c r="A678" s="53" t="inlineStr">
        <is>
          <t>109977</t>
        </is>
      </c>
      <c r="B678" s="53" t="inlineStr">
        <is>
          <t>Ventilpanel SPGr SUB komplett</t>
        </is>
      </c>
      <c r="C678" s="53" t="inlineStr">
        <is>
          <t>F</t>
        </is>
      </c>
      <c r="D678" s="53" t="inlineStr">
        <is>
          <t>PAL</t>
        </is>
      </c>
      <c r="E678" s="53" t="inlineStr">
        <is>
          <t>C</t>
        </is>
      </c>
      <c r="F678" s="54" t="n">
        <v>5018.88</v>
      </c>
      <c r="G678" s="55">
        <f>MAX(0,IF(Parameter!$B$20="Jahresanfang 2025 + Export",BG678+BF678,BF678))</f>
        <v/>
      </c>
      <c r="H678" s="55">
        <f>G678*F678</f>
        <v/>
      </c>
      <c r="I678" s="55">
        <f>BI678*Parameter!$B$18</f>
        <v/>
      </c>
      <c r="J678" s="56" t="n">
        <v>0</v>
      </c>
      <c r="K678" s="57" t="n">
        <v>0</v>
      </c>
      <c r="L678" s="55" t="n">
        <v>0</v>
      </c>
      <c r="M678" s="55" t="n">
        <v>1</v>
      </c>
      <c r="N678" s="58" t="n">
        <v>115</v>
      </c>
      <c r="O678" s="53" t="inlineStr">
        <is>
          <t>LOSE</t>
        </is>
      </c>
      <c r="P678" s="55" t="n"/>
      <c r="Q678" s="59">
        <f>IF(BO678=1,0,IFERROR(VLOOKUP(BM678,'Gebinde-Kategorie'!$A$5:$G$45,6,0)+0,0))</f>
        <v/>
      </c>
      <c r="R678" s="60" t="n"/>
      <c r="S678" s="61" t="n"/>
      <c r="T678" s="61" t="n"/>
      <c r="U678" s="53">
        <f>IF(A678="","",IF(IFERROR(VLOOKUP(D678,Parameter!$A$35:$C$64,2,0),"Nein")="2+3",IF(ISNUMBER(SEARCH("grosser Artikel",BJ678)),2,IFERROR(VLOOKUP(BM678,Parameter!$F$35:$G$64,2,0),2)),IF(OR(IFERROR(VLOOKUP(D678,Parameter!$A$35:$C$64,2,0),"Nein")="Nein",IFERROR(VLOOKUP(D678,Parameter!$A$35:$C$64,2,0),"Nein")=""),"-",VLOOKUP(D678,Parameter!$A$35:$C$64,2,0))))</f>
        <v/>
      </c>
      <c r="V678" s="61" t="n"/>
      <c r="W678" s="62" t="n"/>
      <c r="X678" s="55">
        <f>AM678</f>
        <v/>
      </c>
      <c r="Y678" s="55">
        <f>MAX(AM678,G678)</f>
        <v/>
      </c>
      <c r="Z678" s="63" t="n"/>
      <c r="AA678" s="55">
        <f>IF(LEFT(Cockpit!$C$5,1)="A",G678,IF(BT678=1,BU678,IF(LEFT(Cockpit!$C$5,1)="B",AE678,MAX(AE678,G678))))</f>
        <v/>
      </c>
      <c r="AB678" s="55">
        <f>IF(BO678=1,0,ROUNDUP(AA678/BN678,0))</f>
        <v/>
      </c>
      <c r="AC678" s="64">
        <f>IF(BO678=1,IF(AA678&lt;=0,0,BP678*MAX(1,IF(G678&gt;0,AA678/G678,1))),AB678*Q678)</f>
        <v/>
      </c>
      <c r="AD678" s="55">
        <f>AA678*F678</f>
        <v/>
      </c>
      <c r="AE678" s="55">
        <f>ROUNDUP(MAX(I678/IF(BS678&gt;0,BS678,MAX(0.1,N(Cockpit!$C$6))),BV678)/BN678,0)*BN678</f>
        <v/>
      </c>
      <c r="AF678" s="56">
        <f>IF(AC678&gt;0,I678/AC678,-1)</f>
        <v/>
      </c>
      <c r="AG678" s="56">
        <f>IF(AND(OR(BR678="L1",BR678="L23"),AC678&gt;0),SUMIFS($AC$7:$AC$1570,$BR$7:$BR$1570,BR678,$AF$7:$AF$1570,"&gt;"&amp;AF678)+SUMIFS($AC$7:$AC$1570,$BR$7:$BR$1570,BR678,$AF$7:$AF$1570,AF678,$BL$7:$BL$1570,"&lt;="&amp;BL678),"")</f>
        <v/>
      </c>
      <c r="AH678" s="65">
        <f>IF(AG678="",0,MAX(0,MIN(1,(IF(BR678="L1",Parameter!$K$5,Parameter!$K$6+Parameter!$K$7)-(AG678-AC678))/AC678)))</f>
        <v/>
      </c>
      <c r="AI678" s="55">
        <f>IF(LEFT(Cockpit!$I$5,1)="A",G678,IF(BT678=1,BU678,IF(LEFT(Cockpit!$I$5,1)="B",AM678,MAX(AM678,G678))))</f>
        <v/>
      </c>
      <c r="AJ678" s="55">
        <f>IF(BO678=1,0,ROUNDUP(AI678/BN678,0))</f>
        <v/>
      </c>
      <c r="AK678" s="64">
        <f>IF(BO678=1,IF(AI678&lt;=0,0,BP678*MAX(1,IF(G678&gt;0,AI678/G678,1))),AJ678*Q678)</f>
        <v/>
      </c>
      <c r="AL678" s="55">
        <f>AI678*F678</f>
        <v/>
      </c>
      <c r="AM678" s="55">
        <f>ROUNDUP(MAX(I678/IF(BS678&gt;0,BS678,MAX(0.1,N(Cockpit!$I$6))),BV678)/BN678,0)*BN678</f>
        <v/>
      </c>
      <c r="AN678" s="56">
        <f>IF(AK678&gt;0,I678/AK678,-1)</f>
        <v/>
      </c>
      <c r="AO678" s="56">
        <f>IF(AND(OR(BR678="L1",BR678="L23"),AK678&gt;0),SUMIFS($AK$7:$AK$1570,$BR$7:$BR$1570,BR678,$AN$7:$AN$1570,"&gt;"&amp;AN678)+SUMIFS($AK$7:$AK$1570,$BR$7:$BR$1570,BR678,$AN$7:$AN$1570,AN678,$BL$7:$BL$1570,"&lt;="&amp;BL678),"")</f>
        <v/>
      </c>
      <c r="AP678" s="65">
        <f>IF(AO678="",0,MAX(0,MIN(1,(IF(BR678="L1",Parameter!$K$5,Parameter!$K$6+Parameter!$K$7)-(AO678-AK678))/AK678)))</f>
        <v/>
      </c>
      <c r="AQ678" s="55">
        <f>IF(LEFT(Cockpit!$O$5,1)="A",G678,IF(BT678=1,BU678,IF(LEFT(Cockpit!$O$5,1)="B",AU678,MAX(AU678,G678))))</f>
        <v/>
      </c>
      <c r="AR678" s="55">
        <f>IF(BO678=1,0,ROUNDUP(AQ678/BN678,0))</f>
        <v/>
      </c>
      <c r="AS678" s="64">
        <f>IF(BO678=1,IF(AQ678&lt;=0,0,BP678*MAX(1,IF(G678&gt;0,AQ678/G678,1))),AR678*Q678)</f>
        <v/>
      </c>
      <c r="AT678" s="55">
        <f>AQ678*F678</f>
        <v/>
      </c>
      <c r="AU678" s="55">
        <f>ROUNDUP(MAX(I678/IF(BS678&gt;0,BS678,MAX(0.1,N(Cockpit!$O$6))),BV678)/BN678,0)*BN678</f>
        <v/>
      </c>
      <c r="AV678" s="56">
        <f>IF(AS678&gt;0,I678/AS678,-1)</f>
        <v/>
      </c>
      <c r="AW678" s="56">
        <f>IF(AND(OR(BR678="L1",BR678="L23"),AS678&gt;0),SUMIFS($AS$7:$AS$1570,$BR$7:$BR$1570,BR678,$AV$7:$AV$1570,"&gt;"&amp;AV678)+SUMIFS($AS$7:$AS$1570,$BR$7:$BR$1570,BR678,$AV$7:$AV$1570,AV678,$BL$7:$BL$1570,"&lt;="&amp;BL678),"")</f>
        <v/>
      </c>
      <c r="AX678" s="65">
        <f>IF(AW678="",0,MAX(0,MIN(1,(IF(BR678="L1",Parameter!$K$5,Parameter!$K$6+Parameter!$K$7)-(AW678-AS678))/AS678)))</f>
        <v/>
      </c>
      <c r="AY678" s="53">
        <f>IF(AC678&lt;=0,"",IF(BR678="Aussen","Aussenlager",IF(BR678="-","Nicht im Lift",IF(AH678&gt;=1,"Lift",IF(AH678&lt;=0,"Aussenlager","teilweise")))))</f>
        <v/>
      </c>
      <c r="AZ678" s="53">
        <f>IF(AK678&lt;=0,"",IF(BR678="Aussen","Aussenlager",IF(BR678="-","Nicht im Lift",IF(AP678&gt;=1,"Lift",IF(AP678&lt;=0,"Aussenlager","teilweise")))))</f>
        <v/>
      </c>
      <c r="BA678" s="53">
        <f>IF(AS678&lt;=0,"",IF(BR678="Aussen","Aussenlager",IF(BR678="-","Nicht im Lift",IF(AX678&gt;=1,"Lift",IF(AX678&lt;=0,"Aussenlager","teilweise")))))</f>
        <v/>
      </c>
      <c r="BB678" s="53">
        <f>IF(A678="","",IF(BK678=1,"Neu; ","")&amp;IF(AND(BK678=0,BF678&lt;0),"negativer Bestand (Export "&amp;BF678&amp;"); ","")&amp;IF(I678&lt;=0,"Kein Verbrauch; ","")&amp;IF(BO678=1,"Lose – Fläche geschätzt; ","")&amp;IF(G678&gt;AM678,"Überbestand "&amp;ROUND(G678-AM678,0)&amp;" Stk / CHF "&amp;ROUND((G678-AM678)*F678,0)&amp;"; ","")&amp;IF(AND(BT678=1,BU678&lt;BV678),"MAX &lt; MB+LG; ","")&amp;IF(AND(BZ678&gt;0,BY678*10&gt;BZ678),"zu hoch für Tablar; ","")&amp;IF(AND(BK678=0,OR(BT678=1,V678&lt;&gt;"",S678&lt;&gt;"",T678&lt;&gt;"",W678&lt;&gt;"")),"manuell übersteuert; ","")&amp;IF(AND(BO678=0,Q678=0),"Gebinde unbekannt; ","")&amp;IF(AND(BO678=0,N(T678)&lt;=0,N(P678)&lt;=0),"Menge pro Gebinde fehlt (Ist = 1 Gebinde); ","")&amp;BJ678)</f>
        <v/>
      </c>
      <c r="BC678" s="53" t="n"/>
      <c r="BD678" s="53" t="n"/>
      <c r="BE678" s="61" t="n"/>
      <c r="BF678" s="55" t="n">
        <v>0</v>
      </c>
      <c r="BG678" s="55" t="n">
        <v>0</v>
      </c>
      <c r="BH678" s="54" t="n">
        <v>0</v>
      </c>
      <c r="BI678" s="55" t="n">
        <v>1</v>
      </c>
      <c r="BJ678" s="53" t="inlineStr"/>
      <c r="BK678" s="58" t="n">
        <v>0</v>
      </c>
      <c r="BL678" s="58" t="n">
        <v>678</v>
      </c>
      <c r="BM678" s="53">
        <f>IF(S678&lt;&gt;"",UPPER(TRIM(S678)),IF(O678="","LOSE",O678))</f>
        <v/>
      </c>
      <c r="BN678" s="55">
        <f>IF(BM678="LOSE",1,IF(N(T678)&gt;0,T678,IF(N(P678)&gt;0,P678,MAX(1,G678))))</f>
        <v/>
      </c>
      <c r="BO678" s="58">
        <f>IF(BM678="LOSE",1,0)</f>
        <v/>
      </c>
      <c r="BP678" s="64">
        <f>IF(BO678=0,0,IF(N(R678)&gt;0,R678,IFERROR(VLOOKUP(D678,Parameter!$A$35:$C$64,3,0)+0,0)))</f>
        <v/>
      </c>
      <c r="BQ678" s="53">
        <f>IF(V678&lt;&gt;"",V678,U678)</f>
        <v/>
      </c>
      <c r="BR678" s="53">
        <f>IF(BQ678=1,"L1",IF(OR(BQ678=2,BQ678=3),"L23",IF(BQ678="Aussen","Aussen","-")))</f>
        <v/>
      </c>
      <c r="BS678" s="66">
        <f>IF(N(W678)&gt;0,W678,0)</f>
        <v/>
      </c>
      <c r="BT678" s="58">
        <f>IF(ISNUMBER(Z678),1,0)</f>
        <v/>
      </c>
      <c r="BU678" s="55">
        <f>N(Z678)</f>
        <v/>
      </c>
      <c r="BV678" s="55">
        <f>N(L678)+N(M678)</f>
        <v/>
      </c>
      <c r="BW678" s="55">
        <f>ROUNDUP(G678/BN678,0)</f>
        <v/>
      </c>
      <c r="BX678" s="55">
        <f>ROUNDUP(BU678/BN678,0)</f>
        <v/>
      </c>
      <c r="BY678" s="58">
        <f>IF(BO678=1,0,IFERROR(VLOOKUP(BM678,'Gebinde-Kategorie'!$A$5:$G$45,5,0)+0,0))</f>
        <v/>
      </c>
      <c r="BZ678" s="58">
        <f>IFERROR(IF(OR(BQ678=1,BQ678=2,BQ678=3),N(INDEX(Parameter!$I$5:$I$7,BQ678)),0),0)</f>
        <v/>
      </c>
    </row>
    <row r="679">
      <c r="A679" s="53" t="inlineStr">
        <is>
          <t>110816</t>
        </is>
      </c>
      <c r="B679" s="53" t="inlineStr">
        <is>
          <t>Adapter SPGr16 geschweisst Petrobras</t>
        </is>
      </c>
      <c r="C679" s="53" t="inlineStr">
        <is>
          <t>F</t>
        </is>
      </c>
      <c r="D679" s="53" t="inlineStr">
        <is>
          <t>A-BEZ</t>
        </is>
      </c>
      <c r="E679" s="53" t="inlineStr">
        <is>
          <t>C</t>
        </is>
      </c>
      <c r="F679" s="54" t="n">
        <v>3620.46</v>
      </c>
      <c r="G679" s="55">
        <f>MAX(0,IF(Parameter!$B$20="Jahresanfang 2025 + Export",BG679+BF679,BF679))</f>
        <v/>
      </c>
      <c r="H679" s="55">
        <f>G679*F679</f>
        <v/>
      </c>
      <c r="I679" s="55">
        <f>BI679*Parameter!$B$18</f>
        <v/>
      </c>
      <c r="J679" s="56" t="n">
        <v>0</v>
      </c>
      <c r="K679" s="57" t="n">
        <v>0</v>
      </c>
      <c r="L679" s="55" t="n">
        <v>0</v>
      </c>
      <c r="M679" s="55" t="n">
        <v>1</v>
      </c>
      <c r="N679" s="58" t="n">
        <v>70</v>
      </c>
      <c r="O679" s="53" t="inlineStr">
        <is>
          <t>LOSE</t>
        </is>
      </c>
      <c r="P679" s="55" t="n"/>
      <c r="Q679" s="59">
        <f>IF(BO679=1,0,IFERROR(VLOOKUP(BM679,'Gebinde-Kategorie'!$A$5:$G$45,6,0)+0,0))</f>
        <v/>
      </c>
      <c r="R679" s="60" t="n"/>
      <c r="S679" s="61" t="n"/>
      <c r="T679" s="61" t="n"/>
      <c r="U679" s="53">
        <f>IF(A679="","",IF(IFERROR(VLOOKUP(D679,Parameter!$A$35:$C$64,2,0),"Nein")="2+3",IF(ISNUMBER(SEARCH("grosser Artikel",BJ679)),2,IFERROR(VLOOKUP(BM679,Parameter!$F$35:$G$64,2,0),2)),IF(OR(IFERROR(VLOOKUP(D679,Parameter!$A$35:$C$64,2,0),"Nein")="Nein",IFERROR(VLOOKUP(D679,Parameter!$A$35:$C$64,2,0),"Nein")=""),"-",VLOOKUP(D679,Parameter!$A$35:$C$64,2,0))))</f>
        <v/>
      </c>
      <c r="V679" s="61" t="n"/>
      <c r="W679" s="62" t="n"/>
      <c r="X679" s="55">
        <f>AM679</f>
        <v/>
      </c>
      <c r="Y679" s="55">
        <f>MAX(AM679,G679)</f>
        <v/>
      </c>
      <c r="Z679" s="63" t="n"/>
      <c r="AA679" s="55">
        <f>IF(LEFT(Cockpit!$C$5,1)="A",G679,IF(BT679=1,BU679,IF(LEFT(Cockpit!$C$5,1)="B",AE679,MAX(AE679,G679))))</f>
        <v/>
      </c>
      <c r="AB679" s="55">
        <f>IF(BO679=1,0,ROUNDUP(AA679/BN679,0))</f>
        <v/>
      </c>
      <c r="AC679" s="64">
        <f>IF(BO679=1,IF(AA679&lt;=0,0,BP679*MAX(1,IF(G679&gt;0,AA679/G679,1))),AB679*Q679)</f>
        <v/>
      </c>
      <c r="AD679" s="55">
        <f>AA679*F679</f>
        <v/>
      </c>
      <c r="AE679" s="55">
        <f>ROUNDUP(MAX(I679/IF(BS679&gt;0,BS679,MAX(0.1,N(Cockpit!$C$6))),BV679)/BN679,0)*BN679</f>
        <v/>
      </c>
      <c r="AF679" s="56">
        <f>IF(AC679&gt;0,I679/AC679,-1)</f>
        <v/>
      </c>
      <c r="AG679" s="56">
        <f>IF(AND(OR(BR679="L1",BR679="L23"),AC679&gt;0),SUMIFS($AC$7:$AC$1570,$BR$7:$BR$1570,BR679,$AF$7:$AF$1570,"&gt;"&amp;AF679)+SUMIFS($AC$7:$AC$1570,$BR$7:$BR$1570,BR679,$AF$7:$AF$1570,AF679,$BL$7:$BL$1570,"&lt;="&amp;BL679),"")</f>
        <v/>
      </c>
      <c r="AH679" s="65">
        <f>IF(AG679="",0,MAX(0,MIN(1,(IF(BR679="L1",Parameter!$K$5,Parameter!$K$6+Parameter!$K$7)-(AG679-AC679))/AC679)))</f>
        <v/>
      </c>
      <c r="AI679" s="55">
        <f>IF(LEFT(Cockpit!$I$5,1)="A",G679,IF(BT679=1,BU679,IF(LEFT(Cockpit!$I$5,1)="B",AM679,MAX(AM679,G679))))</f>
        <v/>
      </c>
      <c r="AJ679" s="55">
        <f>IF(BO679=1,0,ROUNDUP(AI679/BN679,0))</f>
        <v/>
      </c>
      <c r="AK679" s="64">
        <f>IF(BO679=1,IF(AI679&lt;=0,0,BP679*MAX(1,IF(G679&gt;0,AI679/G679,1))),AJ679*Q679)</f>
        <v/>
      </c>
      <c r="AL679" s="55">
        <f>AI679*F679</f>
        <v/>
      </c>
      <c r="AM679" s="55">
        <f>ROUNDUP(MAX(I679/IF(BS679&gt;0,BS679,MAX(0.1,N(Cockpit!$I$6))),BV679)/BN679,0)*BN679</f>
        <v/>
      </c>
      <c r="AN679" s="56">
        <f>IF(AK679&gt;0,I679/AK679,-1)</f>
        <v/>
      </c>
      <c r="AO679" s="56">
        <f>IF(AND(OR(BR679="L1",BR679="L23"),AK679&gt;0),SUMIFS($AK$7:$AK$1570,$BR$7:$BR$1570,BR679,$AN$7:$AN$1570,"&gt;"&amp;AN679)+SUMIFS($AK$7:$AK$1570,$BR$7:$BR$1570,BR679,$AN$7:$AN$1570,AN679,$BL$7:$BL$1570,"&lt;="&amp;BL679),"")</f>
        <v/>
      </c>
      <c r="AP679" s="65">
        <f>IF(AO679="",0,MAX(0,MIN(1,(IF(BR679="L1",Parameter!$K$5,Parameter!$K$6+Parameter!$K$7)-(AO679-AK679))/AK679)))</f>
        <v/>
      </c>
      <c r="AQ679" s="55">
        <f>IF(LEFT(Cockpit!$O$5,1)="A",G679,IF(BT679=1,BU679,IF(LEFT(Cockpit!$O$5,1)="B",AU679,MAX(AU679,G679))))</f>
        <v/>
      </c>
      <c r="AR679" s="55">
        <f>IF(BO679=1,0,ROUNDUP(AQ679/BN679,0))</f>
        <v/>
      </c>
      <c r="AS679" s="64">
        <f>IF(BO679=1,IF(AQ679&lt;=0,0,BP679*MAX(1,IF(G679&gt;0,AQ679/G679,1))),AR679*Q679)</f>
        <v/>
      </c>
      <c r="AT679" s="55">
        <f>AQ679*F679</f>
        <v/>
      </c>
      <c r="AU679" s="55">
        <f>ROUNDUP(MAX(I679/IF(BS679&gt;0,BS679,MAX(0.1,N(Cockpit!$O$6))),BV679)/BN679,0)*BN679</f>
        <v/>
      </c>
      <c r="AV679" s="56">
        <f>IF(AS679&gt;0,I679/AS679,-1)</f>
        <v/>
      </c>
      <c r="AW679" s="56">
        <f>IF(AND(OR(BR679="L1",BR679="L23"),AS679&gt;0),SUMIFS($AS$7:$AS$1570,$BR$7:$BR$1570,BR679,$AV$7:$AV$1570,"&gt;"&amp;AV679)+SUMIFS($AS$7:$AS$1570,$BR$7:$BR$1570,BR679,$AV$7:$AV$1570,AV679,$BL$7:$BL$1570,"&lt;="&amp;BL679),"")</f>
        <v/>
      </c>
      <c r="AX679" s="65">
        <f>IF(AW679="",0,MAX(0,MIN(1,(IF(BR679="L1",Parameter!$K$5,Parameter!$K$6+Parameter!$K$7)-(AW679-AS679))/AS679)))</f>
        <v/>
      </c>
      <c r="AY679" s="53">
        <f>IF(AC679&lt;=0,"",IF(BR679="Aussen","Aussenlager",IF(BR679="-","Nicht im Lift",IF(AH679&gt;=1,"Lift",IF(AH679&lt;=0,"Aussenlager","teilweise")))))</f>
        <v/>
      </c>
      <c r="AZ679" s="53">
        <f>IF(AK679&lt;=0,"",IF(BR679="Aussen","Aussenlager",IF(BR679="-","Nicht im Lift",IF(AP679&gt;=1,"Lift",IF(AP679&lt;=0,"Aussenlager","teilweise")))))</f>
        <v/>
      </c>
      <c r="BA679" s="53">
        <f>IF(AS679&lt;=0,"",IF(BR679="Aussen","Aussenlager",IF(BR679="-","Nicht im Lift",IF(AX679&gt;=1,"Lift",IF(AX679&lt;=0,"Aussenlager","teilweise")))))</f>
        <v/>
      </c>
      <c r="BB679" s="53">
        <f>IF(A679="","",IF(BK679=1,"Neu; ","")&amp;IF(AND(BK679=0,BF679&lt;0),"negativer Bestand (Export "&amp;BF679&amp;"); ","")&amp;IF(I679&lt;=0,"Kein Verbrauch; ","")&amp;IF(BO679=1,"Lose – Fläche geschätzt; ","")&amp;IF(G679&gt;AM679,"Überbestand "&amp;ROUND(G679-AM679,0)&amp;" Stk / CHF "&amp;ROUND((G679-AM679)*F679,0)&amp;"; ","")&amp;IF(AND(BT679=1,BU679&lt;BV679),"MAX &lt; MB+LG; ","")&amp;IF(AND(BZ679&gt;0,BY679*10&gt;BZ679),"zu hoch für Tablar; ","")&amp;IF(AND(BK679=0,OR(BT679=1,V679&lt;&gt;"",S679&lt;&gt;"",T679&lt;&gt;"",W679&lt;&gt;"")),"manuell übersteuert; ","")&amp;IF(AND(BO679=0,Q679=0),"Gebinde unbekannt; ","")&amp;IF(AND(BO679=0,N(T679)&lt;=0,N(P679)&lt;=0),"Menge pro Gebinde fehlt (Ist = 1 Gebinde); ","")&amp;BJ679)</f>
        <v/>
      </c>
      <c r="BC679" s="53" t="n"/>
      <c r="BD679" s="53" t="n"/>
      <c r="BE679" s="61" t="n"/>
      <c r="BF679" s="55" t="n">
        <v>0</v>
      </c>
      <c r="BG679" s="55" t="n">
        <v>0</v>
      </c>
      <c r="BH679" s="54" t="n">
        <v>0</v>
      </c>
      <c r="BI679" s="55" t="n">
        <v>1</v>
      </c>
      <c r="BJ679" s="53" t="inlineStr"/>
      <c r="BK679" s="58" t="n">
        <v>0</v>
      </c>
      <c r="BL679" s="58" t="n">
        <v>679</v>
      </c>
      <c r="BM679" s="53">
        <f>IF(S679&lt;&gt;"",UPPER(TRIM(S679)),IF(O679="","LOSE",O679))</f>
        <v/>
      </c>
      <c r="BN679" s="55">
        <f>IF(BM679="LOSE",1,IF(N(T679)&gt;0,T679,IF(N(P679)&gt;0,P679,MAX(1,G679))))</f>
        <v/>
      </c>
      <c r="BO679" s="58">
        <f>IF(BM679="LOSE",1,0)</f>
        <v/>
      </c>
      <c r="BP679" s="64">
        <f>IF(BO679=0,0,IF(N(R679)&gt;0,R679,IFERROR(VLOOKUP(D679,Parameter!$A$35:$C$64,3,0)+0,0)))</f>
        <v/>
      </c>
      <c r="BQ679" s="53">
        <f>IF(V679&lt;&gt;"",V679,U679)</f>
        <v/>
      </c>
      <c r="BR679" s="53">
        <f>IF(BQ679=1,"L1",IF(OR(BQ679=2,BQ679=3),"L23",IF(BQ679="Aussen","Aussen","-")))</f>
        <v/>
      </c>
      <c r="BS679" s="66">
        <f>IF(N(W679)&gt;0,W679,0)</f>
        <v/>
      </c>
      <c r="BT679" s="58">
        <f>IF(ISNUMBER(Z679),1,0)</f>
        <v/>
      </c>
      <c r="BU679" s="55">
        <f>N(Z679)</f>
        <v/>
      </c>
      <c r="BV679" s="55">
        <f>N(L679)+N(M679)</f>
        <v/>
      </c>
      <c r="BW679" s="55">
        <f>ROUNDUP(G679/BN679,0)</f>
        <v/>
      </c>
      <c r="BX679" s="55">
        <f>ROUNDUP(BU679/BN679,0)</f>
        <v/>
      </c>
      <c r="BY679" s="58">
        <f>IF(BO679=1,0,IFERROR(VLOOKUP(BM679,'Gebinde-Kategorie'!$A$5:$G$45,5,0)+0,0))</f>
        <v/>
      </c>
      <c r="BZ679" s="58">
        <f>IFERROR(IF(OR(BQ679=1,BQ679=2,BQ679=3),N(INDEX(Parameter!$I$5:$I$7,BQ679)),0),0)</f>
        <v/>
      </c>
    </row>
    <row r="680">
      <c r="A680" s="53" t="inlineStr">
        <is>
          <t>110831</t>
        </is>
      </c>
      <c r="B680" s="53" t="inlineStr">
        <is>
          <t>Dichtung externe Stahlstruktur SPGr16</t>
        </is>
      </c>
      <c r="C680" s="53" t="inlineStr">
        <is>
          <t>F</t>
        </is>
      </c>
      <c r="D680" s="53" t="inlineStr">
        <is>
          <t>A-BEZ</t>
        </is>
      </c>
      <c r="E680" s="53" t="inlineStr">
        <is>
          <t>C</t>
        </is>
      </c>
      <c r="F680" s="54" t="n">
        <v>164.77</v>
      </c>
      <c r="G680" s="55">
        <f>MAX(0,IF(Parameter!$B$20="Jahresanfang 2025 + Export",BG680+BF680,BF680))</f>
        <v/>
      </c>
      <c r="H680" s="55">
        <f>G680*F680</f>
        <v/>
      </c>
      <c r="I680" s="55">
        <f>BI680*Parameter!$B$18</f>
        <v/>
      </c>
      <c r="J680" s="56" t="n">
        <v>0</v>
      </c>
      <c r="K680" s="57" t="n">
        <v>0</v>
      </c>
      <c r="L680" s="55" t="n">
        <v>0</v>
      </c>
      <c r="M680" s="55" t="n">
        <v>1</v>
      </c>
      <c r="N680" s="58" t="n">
        <v>105</v>
      </c>
      <c r="O680" s="53" t="inlineStr">
        <is>
          <t>LOSE</t>
        </is>
      </c>
      <c r="P680" s="55" t="n"/>
      <c r="Q680" s="59">
        <f>IF(BO680=1,0,IFERROR(VLOOKUP(BM680,'Gebinde-Kategorie'!$A$5:$G$45,6,0)+0,0))</f>
        <v/>
      </c>
      <c r="R680" s="60" t="n"/>
      <c r="S680" s="61" t="n"/>
      <c r="T680" s="61" t="n"/>
      <c r="U680" s="53">
        <f>IF(A680="","",IF(IFERROR(VLOOKUP(D680,Parameter!$A$35:$C$64,2,0),"Nein")="2+3",IF(ISNUMBER(SEARCH("grosser Artikel",BJ680)),2,IFERROR(VLOOKUP(BM680,Parameter!$F$35:$G$64,2,0),2)),IF(OR(IFERROR(VLOOKUP(D680,Parameter!$A$35:$C$64,2,0),"Nein")="Nein",IFERROR(VLOOKUP(D680,Parameter!$A$35:$C$64,2,0),"Nein")=""),"-",VLOOKUP(D680,Parameter!$A$35:$C$64,2,0))))</f>
        <v/>
      </c>
      <c r="V680" s="61" t="n"/>
      <c r="W680" s="62" t="n"/>
      <c r="X680" s="55">
        <f>AM680</f>
        <v/>
      </c>
      <c r="Y680" s="55">
        <f>MAX(AM680,G680)</f>
        <v/>
      </c>
      <c r="Z680" s="63" t="n"/>
      <c r="AA680" s="55">
        <f>IF(LEFT(Cockpit!$C$5,1)="A",G680,IF(BT680=1,BU680,IF(LEFT(Cockpit!$C$5,1)="B",AE680,MAX(AE680,G680))))</f>
        <v/>
      </c>
      <c r="AB680" s="55">
        <f>IF(BO680=1,0,ROUNDUP(AA680/BN680,0))</f>
        <v/>
      </c>
      <c r="AC680" s="64">
        <f>IF(BO680=1,IF(AA680&lt;=0,0,BP680*MAX(1,IF(G680&gt;0,AA680/G680,1))),AB680*Q680)</f>
        <v/>
      </c>
      <c r="AD680" s="55">
        <f>AA680*F680</f>
        <v/>
      </c>
      <c r="AE680" s="55">
        <f>ROUNDUP(MAX(I680/IF(BS680&gt;0,BS680,MAX(0.1,N(Cockpit!$C$6))),BV680)/BN680,0)*BN680</f>
        <v/>
      </c>
      <c r="AF680" s="56">
        <f>IF(AC680&gt;0,I680/AC680,-1)</f>
        <v/>
      </c>
      <c r="AG680" s="56">
        <f>IF(AND(OR(BR680="L1",BR680="L23"),AC680&gt;0),SUMIFS($AC$7:$AC$1570,$BR$7:$BR$1570,BR680,$AF$7:$AF$1570,"&gt;"&amp;AF680)+SUMIFS($AC$7:$AC$1570,$BR$7:$BR$1570,BR680,$AF$7:$AF$1570,AF680,$BL$7:$BL$1570,"&lt;="&amp;BL680),"")</f>
        <v/>
      </c>
      <c r="AH680" s="65">
        <f>IF(AG680="",0,MAX(0,MIN(1,(IF(BR680="L1",Parameter!$K$5,Parameter!$K$6+Parameter!$K$7)-(AG680-AC680))/AC680)))</f>
        <v/>
      </c>
      <c r="AI680" s="55">
        <f>IF(LEFT(Cockpit!$I$5,1)="A",G680,IF(BT680=1,BU680,IF(LEFT(Cockpit!$I$5,1)="B",AM680,MAX(AM680,G680))))</f>
        <v/>
      </c>
      <c r="AJ680" s="55">
        <f>IF(BO680=1,0,ROUNDUP(AI680/BN680,0))</f>
        <v/>
      </c>
      <c r="AK680" s="64">
        <f>IF(BO680=1,IF(AI680&lt;=0,0,BP680*MAX(1,IF(G680&gt;0,AI680/G680,1))),AJ680*Q680)</f>
        <v/>
      </c>
      <c r="AL680" s="55">
        <f>AI680*F680</f>
        <v/>
      </c>
      <c r="AM680" s="55">
        <f>ROUNDUP(MAX(I680/IF(BS680&gt;0,BS680,MAX(0.1,N(Cockpit!$I$6))),BV680)/BN680,0)*BN680</f>
        <v/>
      </c>
      <c r="AN680" s="56">
        <f>IF(AK680&gt;0,I680/AK680,-1)</f>
        <v/>
      </c>
      <c r="AO680" s="56">
        <f>IF(AND(OR(BR680="L1",BR680="L23"),AK680&gt;0),SUMIFS($AK$7:$AK$1570,$BR$7:$BR$1570,BR680,$AN$7:$AN$1570,"&gt;"&amp;AN680)+SUMIFS($AK$7:$AK$1570,$BR$7:$BR$1570,BR680,$AN$7:$AN$1570,AN680,$BL$7:$BL$1570,"&lt;="&amp;BL680),"")</f>
        <v/>
      </c>
      <c r="AP680" s="65">
        <f>IF(AO680="",0,MAX(0,MIN(1,(IF(BR680="L1",Parameter!$K$5,Parameter!$K$6+Parameter!$K$7)-(AO680-AK680))/AK680)))</f>
        <v/>
      </c>
      <c r="AQ680" s="55">
        <f>IF(LEFT(Cockpit!$O$5,1)="A",G680,IF(BT680=1,BU680,IF(LEFT(Cockpit!$O$5,1)="B",AU680,MAX(AU680,G680))))</f>
        <v/>
      </c>
      <c r="AR680" s="55">
        <f>IF(BO680=1,0,ROUNDUP(AQ680/BN680,0))</f>
        <v/>
      </c>
      <c r="AS680" s="64">
        <f>IF(BO680=1,IF(AQ680&lt;=0,0,BP680*MAX(1,IF(G680&gt;0,AQ680/G680,1))),AR680*Q680)</f>
        <v/>
      </c>
      <c r="AT680" s="55">
        <f>AQ680*F680</f>
        <v/>
      </c>
      <c r="AU680" s="55">
        <f>ROUNDUP(MAX(I680/IF(BS680&gt;0,BS680,MAX(0.1,N(Cockpit!$O$6))),BV680)/BN680,0)*BN680</f>
        <v/>
      </c>
      <c r="AV680" s="56">
        <f>IF(AS680&gt;0,I680/AS680,-1)</f>
        <v/>
      </c>
      <c r="AW680" s="56">
        <f>IF(AND(OR(BR680="L1",BR680="L23"),AS680&gt;0),SUMIFS($AS$7:$AS$1570,$BR$7:$BR$1570,BR680,$AV$7:$AV$1570,"&gt;"&amp;AV680)+SUMIFS($AS$7:$AS$1570,$BR$7:$BR$1570,BR680,$AV$7:$AV$1570,AV680,$BL$7:$BL$1570,"&lt;="&amp;BL680),"")</f>
        <v/>
      </c>
      <c r="AX680" s="65">
        <f>IF(AW680="",0,MAX(0,MIN(1,(IF(BR680="L1",Parameter!$K$5,Parameter!$K$6+Parameter!$K$7)-(AW680-AS680))/AS680)))</f>
        <v/>
      </c>
      <c r="AY680" s="53">
        <f>IF(AC680&lt;=0,"",IF(BR680="Aussen","Aussenlager",IF(BR680="-","Nicht im Lift",IF(AH680&gt;=1,"Lift",IF(AH680&lt;=0,"Aussenlager","teilweise")))))</f>
        <v/>
      </c>
      <c r="AZ680" s="53">
        <f>IF(AK680&lt;=0,"",IF(BR680="Aussen","Aussenlager",IF(BR680="-","Nicht im Lift",IF(AP680&gt;=1,"Lift",IF(AP680&lt;=0,"Aussenlager","teilweise")))))</f>
        <v/>
      </c>
      <c r="BA680" s="53">
        <f>IF(AS680&lt;=0,"",IF(BR680="Aussen","Aussenlager",IF(BR680="-","Nicht im Lift",IF(AX680&gt;=1,"Lift",IF(AX680&lt;=0,"Aussenlager","teilweise")))))</f>
        <v/>
      </c>
      <c r="BB680" s="53">
        <f>IF(A680="","",IF(BK680=1,"Neu; ","")&amp;IF(AND(BK680=0,BF680&lt;0),"negativer Bestand (Export "&amp;BF680&amp;"); ","")&amp;IF(I680&lt;=0,"Kein Verbrauch; ","")&amp;IF(BO680=1,"Lose – Fläche geschätzt; ","")&amp;IF(G680&gt;AM680,"Überbestand "&amp;ROUND(G680-AM680,0)&amp;" Stk / CHF "&amp;ROUND((G680-AM680)*F680,0)&amp;"; ","")&amp;IF(AND(BT680=1,BU680&lt;BV680),"MAX &lt; MB+LG; ","")&amp;IF(AND(BZ680&gt;0,BY680*10&gt;BZ680),"zu hoch für Tablar; ","")&amp;IF(AND(BK680=0,OR(BT680=1,V680&lt;&gt;"",S680&lt;&gt;"",T680&lt;&gt;"",W680&lt;&gt;"")),"manuell übersteuert; ","")&amp;IF(AND(BO680=0,Q680=0),"Gebinde unbekannt; ","")&amp;IF(AND(BO680=0,N(T680)&lt;=0,N(P680)&lt;=0),"Menge pro Gebinde fehlt (Ist = 1 Gebinde); ","")&amp;BJ680)</f>
        <v/>
      </c>
      <c r="BC680" s="53" t="n"/>
      <c r="BD680" s="53" t="n"/>
      <c r="BE680" s="61" t="n"/>
      <c r="BF680" s="55" t="n">
        <v>0</v>
      </c>
      <c r="BG680" s="55" t="n">
        <v>0</v>
      </c>
      <c r="BH680" s="54" t="n">
        <v>0</v>
      </c>
      <c r="BI680" s="55" t="n">
        <v>3</v>
      </c>
      <c r="BJ680" s="53" t="inlineStr"/>
      <c r="BK680" s="58" t="n">
        <v>0</v>
      </c>
      <c r="BL680" s="58" t="n">
        <v>680</v>
      </c>
      <c r="BM680" s="53">
        <f>IF(S680&lt;&gt;"",UPPER(TRIM(S680)),IF(O680="","LOSE",O680))</f>
        <v/>
      </c>
      <c r="BN680" s="55">
        <f>IF(BM680="LOSE",1,IF(N(T680)&gt;0,T680,IF(N(P680)&gt;0,P680,MAX(1,G680))))</f>
        <v/>
      </c>
      <c r="BO680" s="58">
        <f>IF(BM680="LOSE",1,0)</f>
        <v/>
      </c>
      <c r="BP680" s="64">
        <f>IF(BO680=0,0,IF(N(R680)&gt;0,R680,IFERROR(VLOOKUP(D680,Parameter!$A$35:$C$64,3,0)+0,0)))</f>
        <v/>
      </c>
      <c r="BQ680" s="53">
        <f>IF(V680&lt;&gt;"",V680,U680)</f>
        <v/>
      </c>
      <c r="BR680" s="53">
        <f>IF(BQ680=1,"L1",IF(OR(BQ680=2,BQ680=3),"L23",IF(BQ680="Aussen","Aussen","-")))</f>
        <v/>
      </c>
      <c r="BS680" s="66">
        <f>IF(N(W680)&gt;0,W680,0)</f>
        <v/>
      </c>
      <c r="BT680" s="58">
        <f>IF(ISNUMBER(Z680),1,0)</f>
        <v/>
      </c>
      <c r="BU680" s="55">
        <f>N(Z680)</f>
        <v/>
      </c>
      <c r="BV680" s="55">
        <f>N(L680)+N(M680)</f>
        <v/>
      </c>
      <c r="BW680" s="55">
        <f>ROUNDUP(G680/BN680,0)</f>
        <v/>
      </c>
      <c r="BX680" s="55">
        <f>ROUNDUP(BU680/BN680,0)</f>
        <v/>
      </c>
      <c r="BY680" s="58">
        <f>IF(BO680=1,0,IFERROR(VLOOKUP(BM680,'Gebinde-Kategorie'!$A$5:$G$45,5,0)+0,0))</f>
        <v/>
      </c>
      <c r="BZ680" s="58">
        <f>IFERROR(IF(OR(BQ680=1,BQ680=2,BQ680=3),N(INDEX(Parameter!$I$5:$I$7,BQ680)),0),0)</f>
        <v/>
      </c>
    </row>
    <row r="681">
      <c r="A681" s="53" t="inlineStr">
        <is>
          <t>110651</t>
        </is>
      </c>
      <c r="B681" s="53" t="inlineStr">
        <is>
          <t>Temperatursensor PT100</t>
        </is>
      </c>
      <c r="C681" s="53" t="inlineStr">
        <is>
          <t>F</t>
        </is>
      </c>
      <c r="D681" s="53" t="inlineStr">
        <is>
          <t>KTL</t>
        </is>
      </c>
      <c r="E681" s="53" t="inlineStr">
        <is>
          <t>C</t>
        </is>
      </c>
      <c r="F681" s="54" t="n">
        <v>106.32</v>
      </c>
      <c r="G681" s="55">
        <f>MAX(0,IF(Parameter!$B$20="Jahresanfang 2025 + Export",BG681+BF681,BF681))</f>
        <v/>
      </c>
      <c r="H681" s="55">
        <f>G681*F681</f>
        <v/>
      </c>
      <c r="I681" s="55">
        <f>BI681*Parameter!$B$18</f>
        <v/>
      </c>
      <c r="J681" s="56" t="n">
        <v>0</v>
      </c>
      <c r="K681" s="57" t="n">
        <v>0</v>
      </c>
      <c r="L681" s="55" t="n">
        <v>0</v>
      </c>
      <c r="M681" s="55" t="n">
        <v>1</v>
      </c>
      <c r="N681" s="58" t="n">
        <v>28</v>
      </c>
      <c r="O681" s="53" t="inlineStr">
        <is>
          <t>LOSE</t>
        </is>
      </c>
      <c r="P681" s="55" t="n"/>
      <c r="Q681" s="59">
        <f>IF(BO681=1,0,IFERROR(VLOOKUP(BM681,'Gebinde-Kategorie'!$A$5:$G$45,6,0)+0,0))</f>
        <v/>
      </c>
      <c r="R681" s="60" t="n"/>
      <c r="S681" s="61" t="n"/>
      <c r="T681" s="61" t="n"/>
      <c r="U681" s="53">
        <f>IF(A681="","",IF(IFERROR(VLOOKUP(D681,Parameter!$A$35:$C$64,2,0),"Nein")="2+3",IF(ISNUMBER(SEARCH("grosser Artikel",BJ681)),2,IFERROR(VLOOKUP(BM681,Parameter!$F$35:$G$64,2,0),2)),IF(OR(IFERROR(VLOOKUP(D681,Parameter!$A$35:$C$64,2,0),"Nein")="Nein",IFERROR(VLOOKUP(D681,Parameter!$A$35:$C$64,2,0),"Nein")=""),"-",VLOOKUP(D681,Parameter!$A$35:$C$64,2,0))))</f>
        <v/>
      </c>
      <c r="V681" s="61" t="n"/>
      <c r="W681" s="62" t="n"/>
      <c r="X681" s="55">
        <f>AM681</f>
        <v/>
      </c>
      <c r="Y681" s="55">
        <f>MAX(AM681,G681)</f>
        <v/>
      </c>
      <c r="Z681" s="63" t="n"/>
      <c r="AA681" s="55">
        <f>IF(LEFT(Cockpit!$C$5,1)="A",G681,IF(BT681=1,BU681,IF(LEFT(Cockpit!$C$5,1)="B",AE681,MAX(AE681,G681))))</f>
        <v/>
      </c>
      <c r="AB681" s="55">
        <f>IF(BO681=1,0,ROUNDUP(AA681/BN681,0))</f>
        <v/>
      </c>
      <c r="AC681" s="64">
        <f>IF(BO681=1,IF(AA681&lt;=0,0,BP681*MAX(1,IF(G681&gt;0,AA681/G681,1))),AB681*Q681)</f>
        <v/>
      </c>
      <c r="AD681" s="55">
        <f>AA681*F681</f>
        <v/>
      </c>
      <c r="AE681" s="55">
        <f>ROUNDUP(MAX(I681/IF(BS681&gt;0,BS681,MAX(0.1,N(Cockpit!$C$6))),BV681)/BN681,0)*BN681</f>
        <v/>
      </c>
      <c r="AF681" s="56">
        <f>IF(AC681&gt;0,I681/AC681,-1)</f>
        <v/>
      </c>
      <c r="AG681" s="56">
        <f>IF(AND(OR(BR681="L1",BR681="L23"),AC681&gt;0),SUMIFS($AC$7:$AC$1570,$BR$7:$BR$1570,BR681,$AF$7:$AF$1570,"&gt;"&amp;AF681)+SUMIFS($AC$7:$AC$1570,$BR$7:$BR$1570,BR681,$AF$7:$AF$1570,AF681,$BL$7:$BL$1570,"&lt;="&amp;BL681),"")</f>
        <v/>
      </c>
      <c r="AH681" s="65">
        <f>IF(AG681="",0,MAX(0,MIN(1,(IF(BR681="L1",Parameter!$K$5,Parameter!$K$6+Parameter!$K$7)-(AG681-AC681))/AC681)))</f>
        <v/>
      </c>
      <c r="AI681" s="55">
        <f>IF(LEFT(Cockpit!$I$5,1)="A",G681,IF(BT681=1,BU681,IF(LEFT(Cockpit!$I$5,1)="B",AM681,MAX(AM681,G681))))</f>
        <v/>
      </c>
      <c r="AJ681" s="55">
        <f>IF(BO681=1,0,ROUNDUP(AI681/BN681,0))</f>
        <v/>
      </c>
      <c r="AK681" s="64">
        <f>IF(BO681=1,IF(AI681&lt;=0,0,BP681*MAX(1,IF(G681&gt;0,AI681/G681,1))),AJ681*Q681)</f>
        <v/>
      </c>
      <c r="AL681" s="55">
        <f>AI681*F681</f>
        <v/>
      </c>
      <c r="AM681" s="55">
        <f>ROUNDUP(MAX(I681/IF(BS681&gt;0,BS681,MAX(0.1,N(Cockpit!$I$6))),BV681)/BN681,0)*BN681</f>
        <v/>
      </c>
      <c r="AN681" s="56">
        <f>IF(AK681&gt;0,I681/AK681,-1)</f>
        <v/>
      </c>
      <c r="AO681" s="56">
        <f>IF(AND(OR(BR681="L1",BR681="L23"),AK681&gt;0),SUMIFS($AK$7:$AK$1570,$BR$7:$BR$1570,BR681,$AN$7:$AN$1570,"&gt;"&amp;AN681)+SUMIFS($AK$7:$AK$1570,$BR$7:$BR$1570,BR681,$AN$7:$AN$1570,AN681,$BL$7:$BL$1570,"&lt;="&amp;BL681),"")</f>
        <v/>
      </c>
      <c r="AP681" s="65">
        <f>IF(AO681="",0,MAX(0,MIN(1,(IF(BR681="L1",Parameter!$K$5,Parameter!$K$6+Parameter!$K$7)-(AO681-AK681))/AK681)))</f>
        <v/>
      </c>
      <c r="AQ681" s="55">
        <f>IF(LEFT(Cockpit!$O$5,1)="A",G681,IF(BT681=1,BU681,IF(LEFT(Cockpit!$O$5,1)="B",AU681,MAX(AU681,G681))))</f>
        <v/>
      </c>
      <c r="AR681" s="55">
        <f>IF(BO681=1,0,ROUNDUP(AQ681/BN681,0))</f>
        <v/>
      </c>
      <c r="AS681" s="64">
        <f>IF(BO681=1,IF(AQ681&lt;=0,0,BP681*MAX(1,IF(G681&gt;0,AQ681/G681,1))),AR681*Q681)</f>
        <v/>
      </c>
      <c r="AT681" s="55">
        <f>AQ681*F681</f>
        <v/>
      </c>
      <c r="AU681" s="55">
        <f>ROUNDUP(MAX(I681/IF(BS681&gt;0,BS681,MAX(0.1,N(Cockpit!$O$6))),BV681)/BN681,0)*BN681</f>
        <v/>
      </c>
      <c r="AV681" s="56">
        <f>IF(AS681&gt;0,I681/AS681,-1)</f>
        <v/>
      </c>
      <c r="AW681" s="56">
        <f>IF(AND(OR(BR681="L1",BR681="L23"),AS681&gt;0),SUMIFS($AS$7:$AS$1570,$BR$7:$BR$1570,BR681,$AV$7:$AV$1570,"&gt;"&amp;AV681)+SUMIFS($AS$7:$AS$1570,$BR$7:$BR$1570,BR681,$AV$7:$AV$1570,AV681,$BL$7:$BL$1570,"&lt;="&amp;BL681),"")</f>
        <v/>
      </c>
      <c r="AX681" s="65">
        <f>IF(AW681="",0,MAX(0,MIN(1,(IF(BR681="L1",Parameter!$K$5,Parameter!$K$6+Parameter!$K$7)-(AW681-AS681))/AS681)))</f>
        <v/>
      </c>
      <c r="AY681" s="53">
        <f>IF(AC681&lt;=0,"",IF(BR681="Aussen","Aussenlager",IF(BR681="-","Nicht im Lift",IF(AH681&gt;=1,"Lift",IF(AH681&lt;=0,"Aussenlager","teilweise")))))</f>
        <v/>
      </c>
      <c r="AZ681" s="53">
        <f>IF(AK681&lt;=0,"",IF(BR681="Aussen","Aussenlager",IF(BR681="-","Nicht im Lift",IF(AP681&gt;=1,"Lift",IF(AP681&lt;=0,"Aussenlager","teilweise")))))</f>
        <v/>
      </c>
      <c r="BA681" s="53">
        <f>IF(AS681&lt;=0,"",IF(BR681="Aussen","Aussenlager",IF(BR681="-","Nicht im Lift",IF(AX681&gt;=1,"Lift",IF(AX681&lt;=0,"Aussenlager","teilweise")))))</f>
        <v/>
      </c>
      <c r="BB681" s="53">
        <f>IF(A681="","",IF(BK681=1,"Neu; ","")&amp;IF(AND(BK681=0,BF681&lt;0),"negativer Bestand (Export "&amp;BF681&amp;"); ","")&amp;IF(I681&lt;=0,"Kein Verbrauch; ","")&amp;IF(BO681=1,"Lose – Fläche geschätzt; ","")&amp;IF(G681&gt;AM681,"Überbestand "&amp;ROUND(G681-AM681,0)&amp;" Stk / CHF "&amp;ROUND((G681-AM681)*F681,0)&amp;"; ","")&amp;IF(AND(BT681=1,BU681&lt;BV681),"MAX &lt; MB+LG; ","")&amp;IF(AND(BZ681&gt;0,BY681*10&gt;BZ681),"zu hoch für Tablar; ","")&amp;IF(AND(BK681=0,OR(BT681=1,V681&lt;&gt;"",S681&lt;&gt;"",T681&lt;&gt;"",W681&lt;&gt;"")),"manuell übersteuert; ","")&amp;IF(AND(BO681=0,Q681=0),"Gebinde unbekannt; ","")&amp;IF(AND(BO681=0,N(T681)&lt;=0,N(P681)&lt;=0),"Menge pro Gebinde fehlt (Ist = 1 Gebinde); ","")&amp;BJ681)</f>
        <v/>
      </c>
      <c r="BC681" s="53" t="n"/>
      <c r="BD681" s="53" t="n"/>
      <c r="BE681" s="61" t="n"/>
      <c r="BF681" s="55" t="n">
        <v>0</v>
      </c>
      <c r="BG681" s="55" t="n">
        <v>0</v>
      </c>
      <c r="BH681" s="54" t="n">
        <v>0</v>
      </c>
      <c r="BI681" s="55" t="n">
        <v>2</v>
      </c>
      <c r="BJ681" s="53" t="inlineStr"/>
      <c r="BK681" s="58" t="n">
        <v>0</v>
      </c>
      <c r="BL681" s="58" t="n">
        <v>681</v>
      </c>
      <c r="BM681" s="53">
        <f>IF(S681&lt;&gt;"",UPPER(TRIM(S681)),IF(O681="","LOSE",O681))</f>
        <v/>
      </c>
      <c r="BN681" s="55">
        <f>IF(BM681="LOSE",1,IF(N(T681)&gt;0,T681,IF(N(P681)&gt;0,P681,MAX(1,G681))))</f>
        <v/>
      </c>
      <c r="BO681" s="58">
        <f>IF(BM681="LOSE",1,0)</f>
        <v/>
      </c>
      <c r="BP681" s="64">
        <f>IF(BO681=0,0,IF(N(R681)&gt;0,R681,IFERROR(VLOOKUP(D681,Parameter!$A$35:$C$64,3,0)+0,0)))</f>
        <v/>
      </c>
      <c r="BQ681" s="53">
        <f>IF(V681&lt;&gt;"",V681,U681)</f>
        <v/>
      </c>
      <c r="BR681" s="53">
        <f>IF(BQ681=1,"L1",IF(OR(BQ681=2,BQ681=3),"L23",IF(BQ681="Aussen","Aussen","-")))</f>
        <v/>
      </c>
      <c r="BS681" s="66">
        <f>IF(N(W681)&gt;0,W681,0)</f>
        <v/>
      </c>
      <c r="BT681" s="58">
        <f>IF(ISNUMBER(Z681),1,0)</f>
        <v/>
      </c>
      <c r="BU681" s="55">
        <f>N(Z681)</f>
        <v/>
      </c>
      <c r="BV681" s="55">
        <f>N(L681)+N(M681)</f>
        <v/>
      </c>
      <c r="BW681" s="55">
        <f>ROUNDUP(G681/BN681,0)</f>
        <v/>
      </c>
      <c r="BX681" s="55">
        <f>ROUNDUP(BU681/BN681,0)</f>
        <v/>
      </c>
      <c r="BY681" s="58">
        <f>IF(BO681=1,0,IFERROR(VLOOKUP(BM681,'Gebinde-Kategorie'!$A$5:$G$45,5,0)+0,0))</f>
        <v/>
      </c>
      <c r="BZ681" s="58">
        <f>IFERROR(IF(OR(BQ681=1,BQ681=2,BQ681=3),N(INDEX(Parameter!$I$5:$I$7,BQ681)),0),0)</f>
        <v/>
      </c>
    </row>
    <row r="682">
      <c r="A682" s="53" t="inlineStr">
        <is>
          <t>OC-108317</t>
        </is>
      </c>
      <c r="B682" s="53" t="inlineStr">
        <is>
          <t>Ventilpanel SPGr 4 Block oDT Spezial</t>
        </is>
      </c>
      <c r="C682" s="53" t="inlineStr">
        <is>
          <t>F</t>
        </is>
      </c>
      <c r="D682" s="53" t="inlineStr">
        <is>
          <t>OCC</t>
        </is>
      </c>
      <c r="E682" s="53" t="inlineStr">
        <is>
          <t>C</t>
        </is>
      </c>
      <c r="F682" s="54" t="n">
        <v>1</v>
      </c>
      <c r="G682" s="55">
        <f>MAX(0,IF(Parameter!$B$20="Jahresanfang 2025 + Export",BG682+BF682,BF682))</f>
        <v/>
      </c>
      <c r="H682" s="55">
        <f>G682*F682</f>
        <v/>
      </c>
      <c r="I682" s="55">
        <f>BI682*Parameter!$B$18</f>
        <v/>
      </c>
      <c r="J682" s="56" t="n">
        <v>0.5</v>
      </c>
      <c r="K682" s="57" t="n">
        <v>2</v>
      </c>
      <c r="L682" s="55" t="n">
        <v>0</v>
      </c>
      <c r="M682" s="55" t="n">
        <v>1</v>
      </c>
      <c r="N682" s="58" t="n">
        <v>0</v>
      </c>
      <c r="O682" s="53" t="inlineStr">
        <is>
          <t>LOSE</t>
        </is>
      </c>
      <c r="P682" s="55" t="n"/>
      <c r="Q682" s="59">
        <f>IF(BO682=1,0,IFERROR(VLOOKUP(BM682,'Gebinde-Kategorie'!$A$5:$G$45,6,0)+0,0))</f>
        <v/>
      </c>
      <c r="R682" s="60" t="n"/>
      <c r="S682" s="61" t="n"/>
      <c r="T682" s="61" t="n"/>
      <c r="U682" s="53">
        <f>IF(A682="","",IF(IFERROR(VLOOKUP(D682,Parameter!$A$35:$C$64,2,0),"Nein")="2+3",IF(ISNUMBER(SEARCH("grosser Artikel",BJ682)),2,IFERROR(VLOOKUP(BM682,Parameter!$F$35:$G$64,2,0),2)),IF(OR(IFERROR(VLOOKUP(D682,Parameter!$A$35:$C$64,2,0),"Nein")="Nein",IFERROR(VLOOKUP(D682,Parameter!$A$35:$C$64,2,0),"Nein")=""),"-",VLOOKUP(D682,Parameter!$A$35:$C$64,2,0))))</f>
        <v/>
      </c>
      <c r="V682" s="61" t="n"/>
      <c r="W682" s="62" t="n"/>
      <c r="X682" s="55">
        <f>AM682</f>
        <v/>
      </c>
      <c r="Y682" s="55">
        <f>MAX(AM682,G682)</f>
        <v/>
      </c>
      <c r="Z682" s="63" t="n"/>
      <c r="AA682" s="55">
        <f>IF(LEFT(Cockpit!$C$5,1)="A",G682,IF(BT682=1,BU682,IF(LEFT(Cockpit!$C$5,1)="B",AE682,MAX(AE682,G682))))</f>
        <v/>
      </c>
      <c r="AB682" s="55">
        <f>IF(BO682=1,0,ROUNDUP(AA682/BN682,0))</f>
        <v/>
      </c>
      <c r="AC682" s="64">
        <f>IF(BO682=1,IF(AA682&lt;=0,0,BP682*MAX(1,IF(G682&gt;0,AA682/G682,1))),AB682*Q682)</f>
        <v/>
      </c>
      <c r="AD682" s="55">
        <f>AA682*F682</f>
        <v/>
      </c>
      <c r="AE682" s="55">
        <f>ROUNDUP(MAX(I682/IF(BS682&gt;0,BS682,MAX(0.1,N(Cockpit!$C$6))),BV682)/BN682,0)*BN682</f>
        <v/>
      </c>
      <c r="AF682" s="56">
        <f>IF(AC682&gt;0,I682/AC682,-1)</f>
        <v/>
      </c>
      <c r="AG682" s="56">
        <f>IF(AND(OR(BR682="L1",BR682="L23"),AC682&gt;0),SUMIFS($AC$7:$AC$1570,$BR$7:$BR$1570,BR682,$AF$7:$AF$1570,"&gt;"&amp;AF682)+SUMIFS($AC$7:$AC$1570,$BR$7:$BR$1570,BR682,$AF$7:$AF$1570,AF682,$BL$7:$BL$1570,"&lt;="&amp;BL682),"")</f>
        <v/>
      </c>
      <c r="AH682" s="65">
        <f>IF(AG682="",0,MAX(0,MIN(1,(IF(BR682="L1",Parameter!$K$5,Parameter!$K$6+Parameter!$K$7)-(AG682-AC682))/AC682)))</f>
        <v/>
      </c>
      <c r="AI682" s="55">
        <f>IF(LEFT(Cockpit!$I$5,1)="A",G682,IF(BT682=1,BU682,IF(LEFT(Cockpit!$I$5,1)="B",AM682,MAX(AM682,G682))))</f>
        <v/>
      </c>
      <c r="AJ682" s="55">
        <f>IF(BO682=1,0,ROUNDUP(AI682/BN682,0))</f>
        <v/>
      </c>
      <c r="AK682" s="64">
        <f>IF(BO682=1,IF(AI682&lt;=0,0,BP682*MAX(1,IF(G682&gt;0,AI682/G682,1))),AJ682*Q682)</f>
        <v/>
      </c>
      <c r="AL682" s="55">
        <f>AI682*F682</f>
        <v/>
      </c>
      <c r="AM682" s="55">
        <f>ROUNDUP(MAX(I682/IF(BS682&gt;0,BS682,MAX(0.1,N(Cockpit!$I$6))),BV682)/BN682,0)*BN682</f>
        <v/>
      </c>
      <c r="AN682" s="56">
        <f>IF(AK682&gt;0,I682/AK682,-1)</f>
        <v/>
      </c>
      <c r="AO682" s="56">
        <f>IF(AND(OR(BR682="L1",BR682="L23"),AK682&gt;0),SUMIFS($AK$7:$AK$1570,$BR$7:$BR$1570,BR682,$AN$7:$AN$1570,"&gt;"&amp;AN682)+SUMIFS($AK$7:$AK$1570,$BR$7:$BR$1570,BR682,$AN$7:$AN$1570,AN682,$BL$7:$BL$1570,"&lt;="&amp;BL682),"")</f>
        <v/>
      </c>
      <c r="AP682" s="65">
        <f>IF(AO682="",0,MAX(0,MIN(1,(IF(BR682="L1",Parameter!$K$5,Parameter!$K$6+Parameter!$K$7)-(AO682-AK682))/AK682)))</f>
        <v/>
      </c>
      <c r="AQ682" s="55">
        <f>IF(LEFT(Cockpit!$O$5,1)="A",G682,IF(BT682=1,BU682,IF(LEFT(Cockpit!$O$5,1)="B",AU682,MAX(AU682,G682))))</f>
        <v/>
      </c>
      <c r="AR682" s="55">
        <f>IF(BO682=1,0,ROUNDUP(AQ682/BN682,0))</f>
        <v/>
      </c>
      <c r="AS682" s="64">
        <f>IF(BO682=1,IF(AQ682&lt;=0,0,BP682*MAX(1,IF(G682&gt;0,AQ682/G682,1))),AR682*Q682)</f>
        <v/>
      </c>
      <c r="AT682" s="55">
        <f>AQ682*F682</f>
        <v/>
      </c>
      <c r="AU682" s="55">
        <f>ROUNDUP(MAX(I682/IF(BS682&gt;0,BS682,MAX(0.1,N(Cockpit!$O$6))),BV682)/BN682,0)*BN682</f>
        <v/>
      </c>
      <c r="AV682" s="56">
        <f>IF(AS682&gt;0,I682/AS682,-1)</f>
        <v/>
      </c>
      <c r="AW682" s="56">
        <f>IF(AND(OR(BR682="L1",BR682="L23"),AS682&gt;0),SUMIFS($AS$7:$AS$1570,$BR$7:$BR$1570,BR682,$AV$7:$AV$1570,"&gt;"&amp;AV682)+SUMIFS($AS$7:$AS$1570,$BR$7:$BR$1570,BR682,$AV$7:$AV$1570,AV682,$BL$7:$BL$1570,"&lt;="&amp;BL682),"")</f>
        <v/>
      </c>
      <c r="AX682" s="65">
        <f>IF(AW682="",0,MAX(0,MIN(1,(IF(BR682="L1",Parameter!$K$5,Parameter!$K$6+Parameter!$K$7)-(AW682-AS682))/AS682)))</f>
        <v/>
      </c>
      <c r="AY682" s="53">
        <f>IF(AC682&lt;=0,"",IF(BR682="Aussen","Aussenlager",IF(BR682="-","Nicht im Lift",IF(AH682&gt;=1,"Lift",IF(AH682&lt;=0,"Aussenlager","teilweise")))))</f>
        <v/>
      </c>
      <c r="AZ682" s="53">
        <f>IF(AK682&lt;=0,"",IF(BR682="Aussen","Aussenlager",IF(BR682="-","Nicht im Lift",IF(AP682&gt;=1,"Lift",IF(AP682&lt;=0,"Aussenlager","teilweise")))))</f>
        <v/>
      </c>
      <c r="BA682" s="53">
        <f>IF(AS682&lt;=0,"",IF(BR682="Aussen","Aussenlager",IF(BR682="-","Nicht im Lift",IF(AX682&gt;=1,"Lift",IF(AX682&lt;=0,"Aussenlager","teilweise")))))</f>
        <v/>
      </c>
      <c r="BB682" s="53">
        <f>IF(A682="","",IF(BK682=1,"Neu; ","")&amp;IF(AND(BK682=0,BF682&lt;0),"negativer Bestand (Export "&amp;BF682&amp;"); ","")&amp;IF(I682&lt;=0,"Kein Verbrauch; ","")&amp;IF(BO682=1,"Lose – Fläche geschätzt; ","")&amp;IF(G682&gt;AM682,"Überbestand "&amp;ROUND(G682-AM682,0)&amp;" Stk / CHF "&amp;ROUND((G682-AM682)*F682,0)&amp;"; ","")&amp;IF(AND(BT682=1,BU682&lt;BV682),"MAX &lt; MB+LG; ","")&amp;IF(AND(BZ682&gt;0,BY682*10&gt;BZ682),"zu hoch für Tablar; ","")&amp;IF(AND(BK682=0,OR(BT682=1,V682&lt;&gt;"",S682&lt;&gt;"",T682&lt;&gt;"",W682&lt;&gt;"")),"manuell übersteuert; ","")&amp;IF(AND(BO682=0,Q682=0),"Gebinde unbekannt; ","")&amp;IF(AND(BO682=0,N(T682)&lt;=0,N(P682)&lt;=0),"Menge pro Gebinde fehlt (Ist = 1 Gebinde); ","")&amp;BJ682)</f>
        <v/>
      </c>
      <c r="BC682" s="53" t="n"/>
      <c r="BD682" s="53" t="n"/>
      <c r="BE682" s="61" t="n"/>
      <c r="BF682" s="55" t="n">
        <v>-1</v>
      </c>
      <c r="BG682" s="55" t="n">
        <v>1</v>
      </c>
      <c r="BH682" s="54" t="n">
        <v>0</v>
      </c>
      <c r="BI682" s="55" t="n">
        <v>1</v>
      </c>
      <c r="BJ682" s="53" t="inlineStr"/>
      <c r="BK682" s="58" t="n">
        <v>0</v>
      </c>
      <c r="BL682" s="58" t="n">
        <v>682</v>
      </c>
      <c r="BM682" s="53">
        <f>IF(S682&lt;&gt;"",UPPER(TRIM(S682)),IF(O682="","LOSE",O682))</f>
        <v/>
      </c>
      <c r="BN682" s="55">
        <f>IF(BM682="LOSE",1,IF(N(T682)&gt;0,T682,IF(N(P682)&gt;0,P682,MAX(1,G682))))</f>
        <v/>
      </c>
      <c r="BO682" s="58">
        <f>IF(BM682="LOSE",1,0)</f>
        <v/>
      </c>
      <c r="BP682" s="64">
        <f>IF(BO682=0,0,IF(N(R682)&gt;0,R682,IFERROR(VLOOKUP(D682,Parameter!$A$35:$C$64,3,0)+0,0)))</f>
        <v/>
      </c>
      <c r="BQ682" s="53">
        <f>IF(V682&lt;&gt;"",V682,U682)</f>
        <v/>
      </c>
      <c r="BR682" s="53">
        <f>IF(BQ682=1,"L1",IF(OR(BQ682=2,BQ682=3),"L23",IF(BQ682="Aussen","Aussen","-")))</f>
        <v/>
      </c>
      <c r="BS682" s="66">
        <f>IF(N(W682)&gt;0,W682,0)</f>
        <v/>
      </c>
      <c r="BT682" s="58">
        <f>IF(ISNUMBER(Z682),1,0)</f>
        <v/>
      </c>
      <c r="BU682" s="55">
        <f>N(Z682)</f>
        <v/>
      </c>
      <c r="BV682" s="55">
        <f>N(L682)+N(M682)</f>
        <v/>
      </c>
      <c r="BW682" s="55">
        <f>ROUNDUP(G682/BN682,0)</f>
        <v/>
      </c>
      <c r="BX682" s="55">
        <f>ROUNDUP(BU682/BN682,0)</f>
        <v/>
      </c>
      <c r="BY682" s="58">
        <f>IF(BO682=1,0,IFERROR(VLOOKUP(BM682,'Gebinde-Kategorie'!$A$5:$G$45,5,0)+0,0))</f>
        <v/>
      </c>
      <c r="BZ682" s="58">
        <f>IFERROR(IF(OR(BQ682=1,BQ682=2,BQ682=3),N(INDEX(Parameter!$I$5:$I$7,BQ682)),0),0)</f>
        <v/>
      </c>
    </row>
    <row r="683">
      <c r="A683" s="53" t="inlineStr">
        <is>
          <t>110688</t>
        </is>
      </c>
      <c r="B683" s="53" t="inlineStr">
        <is>
          <t>Austrittsdüse SPGr10 Strasbourg</t>
        </is>
      </c>
      <c r="C683" s="53" t="inlineStr">
        <is>
          <t>F</t>
        </is>
      </c>
      <c r="D683" s="53" t="inlineStr">
        <is>
          <t>PAL</t>
        </is>
      </c>
      <c r="E683" s="53" t="inlineStr">
        <is>
          <t>C</t>
        </is>
      </c>
      <c r="F683" s="54" t="n">
        <v>4509.47</v>
      </c>
      <c r="G683" s="55">
        <f>MAX(0,IF(Parameter!$B$20="Jahresanfang 2025 + Export",BG683+BF683,BF683))</f>
        <v/>
      </c>
      <c r="H683" s="55">
        <f>G683*F683</f>
        <v/>
      </c>
      <c r="I683" s="55">
        <f>BI683*Parameter!$B$18</f>
        <v/>
      </c>
      <c r="J683" s="56" t="n">
        <v>0</v>
      </c>
      <c r="K683" s="57" t="n">
        <v>0</v>
      </c>
      <c r="L683" s="55" t="n">
        <v>0</v>
      </c>
      <c r="M683" s="55" t="n">
        <v>1</v>
      </c>
      <c r="N683" s="58" t="n">
        <v>70</v>
      </c>
      <c r="O683" s="53" t="inlineStr">
        <is>
          <t>LOSE</t>
        </is>
      </c>
      <c r="P683" s="55" t="n"/>
      <c r="Q683" s="59">
        <f>IF(BO683=1,0,IFERROR(VLOOKUP(BM683,'Gebinde-Kategorie'!$A$5:$G$45,6,0)+0,0))</f>
        <v/>
      </c>
      <c r="R683" s="60" t="n"/>
      <c r="S683" s="61" t="n"/>
      <c r="T683" s="61" t="n"/>
      <c r="U683" s="53">
        <f>IF(A683="","",IF(IFERROR(VLOOKUP(D683,Parameter!$A$35:$C$64,2,0),"Nein")="2+3",IF(ISNUMBER(SEARCH("grosser Artikel",BJ683)),2,IFERROR(VLOOKUP(BM683,Parameter!$F$35:$G$64,2,0),2)),IF(OR(IFERROR(VLOOKUP(D683,Parameter!$A$35:$C$64,2,0),"Nein")="Nein",IFERROR(VLOOKUP(D683,Parameter!$A$35:$C$64,2,0),"Nein")=""),"-",VLOOKUP(D683,Parameter!$A$35:$C$64,2,0))))</f>
        <v/>
      </c>
      <c r="V683" s="61" t="n"/>
      <c r="W683" s="62" t="n"/>
      <c r="X683" s="55">
        <f>AM683</f>
        <v/>
      </c>
      <c r="Y683" s="55">
        <f>MAX(AM683,G683)</f>
        <v/>
      </c>
      <c r="Z683" s="63" t="n"/>
      <c r="AA683" s="55">
        <f>IF(LEFT(Cockpit!$C$5,1)="A",G683,IF(BT683=1,BU683,IF(LEFT(Cockpit!$C$5,1)="B",AE683,MAX(AE683,G683))))</f>
        <v/>
      </c>
      <c r="AB683" s="55">
        <f>IF(BO683=1,0,ROUNDUP(AA683/BN683,0))</f>
        <v/>
      </c>
      <c r="AC683" s="64">
        <f>IF(BO683=1,IF(AA683&lt;=0,0,BP683*MAX(1,IF(G683&gt;0,AA683/G683,1))),AB683*Q683)</f>
        <v/>
      </c>
      <c r="AD683" s="55">
        <f>AA683*F683</f>
        <v/>
      </c>
      <c r="AE683" s="55">
        <f>ROUNDUP(MAX(I683/IF(BS683&gt;0,BS683,MAX(0.1,N(Cockpit!$C$6))),BV683)/BN683,0)*BN683</f>
        <v/>
      </c>
      <c r="AF683" s="56">
        <f>IF(AC683&gt;0,I683/AC683,-1)</f>
        <v/>
      </c>
      <c r="AG683" s="56">
        <f>IF(AND(OR(BR683="L1",BR683="L23"),AC683&gt;0),SUMIFS($AC$7:$AC$1570,$BR$7:$BR$1570,BR683,$AF$7:$AF$1570,"&gt;"&amp;AF683)+SUMIFS($AC$7:$AC$1570,$BR$7:$BR$1570,BR683,$AF$7:$AF$1570,AF683,$BL$7:$BL$1570,"&lt;="&amp;BL683),"")</f>
        <v/>
      </c>
      <c r="AH683" s="65">
        <f>IF(AG683="",0,MAX(0,MIN(1,(IF(BR683="L1",Parameter!$K$5,Parameter!$K$6+Parameter!$K$7)-(AG683-AC683))/AC683)))</f>
        <v/>
      </c>
      <c r="AI683" s="55">
        <f>IF(LEFT(Cockpit!$I$5,1)="A",G683,IF(BT683=1,BU683,IF(LEFT(Cockpit!$I$5,1)="B",AM683,MAX(AM683,G683))))</f>
        <v/>
      </c>
      <c r="AJ683" s="55">
        <f>IF(BO683=1,0,ROUNDUP(AI683/BN683,0))</f>
        <v/>
      </c>
      <c r="AK683" s="64">
        <f>IF(BO683=1,IF(AI683&lt;=0,0,BP683*MAX(1,IF(G683&gt;0,AI683/G683,1))),AJ683*Q683)</f>
        <v/>
      </c>
      <c r="AL683" s="55">
        <f>AI683*F683</f>
        <v/>
      </c>
      <c r="AM683" s="55">
        <f>ROUNDUP(MAX(I683/IF(BS683&gt;0,BS683,MAX(0.1,N(Cockpit!$I$6))),BV683)/BN683,0)*BN683</f>
        <v/>
      </c>
      <c r="AN683" s="56">
        <f>IF(AK683&gt;0,I683/AK683,-1)</f>
        <v/>
      </c>
      <c r="AO683" s="56">
        <f>IF(AND(OR(BR683="L1",BR683="L23"),AK683&gt;0),SUMIFS($AK$7:$AK$1570,$BR$7:$BR$1570,BR683,$AN$7:$AN$1570,"&gt;"&amp;AN683)+SUMIFS($AK$7:$AK$1570,$BR$7:$BR$1570,BR683,$AN$7:$AN$1570,AN683,$BL$7:$BL$1570,"&lt;="&amp;BL683),"")</f>
        <v/>
      </c>
      <c r="AP683" s="65">
        <f>IF(AO683="",0,MAX(0,MIN(1,(IF(BR683="L1",Parameter!$K$5,Parameter!$K$6+Parameter!$K$7)-(AO683-AK683))/AK683)))</f>
        <v/>
      </c>
      <c r="AQ683" s="55">
        <f>IF(LEFT(Cockpit!$O$5,1)="A",G683,IF(BT683=1,BU683,IF(LEFT(Cockpit!$O$5,1)="B",AU683,MAX(AU683,G683))))</f>
        <v/>
      </c>
      <c r="AR683" s="55">
        <f>IF(BO683=1,0,ROUNDUP(AQ683/BN683,0))</f>
        <v/>
      </c>
      <c r="AS683" s="64">
        <f>IF(BO683=1,IF(AQ683&lt;=0,0,BP683*MAX(1,IF(G683&gt;0,AQ683/G683,1))),AR683*Q683)</f>
        <v/>
      </c>
      <c r="AT683" s="55">
        <f>AQ683*F683</f>
        <v/>
      </c>
      <c r="AU683" s="55">
        <f>ROUNDUP(MAX(I683/IF(BS683&gt;0,BS683,MAX(0.1,N(Cockpit!$O$6))),BV683)/BN683,0)*BN683</f>
        <v/>
      </c>
      <c r="AV683" s="56">
        <f>IF(AS683&gt;0,I683/AS683,-1)</f>
        <v/>
      </c>
      <c r="AW683" s="56">
        <f>IF(AND(OR(BR683="L1",BR683="L23"),AS683&gt;0),SUMIFS($AS$7:$AS$1570,$BR$7:$BR$1570,BR683,$AV$7:$AV$1570,"&gt;"&amp;AV683)+SUMIFS($AS$7:$AS$1570,$BR$7:$BR$1570,BR683,$AV$7:$AV$1570,AV683,$BL$7:$BL$1570,"&lt;="&amp;BL683),"")</f>
        <v/>
      </c>
      <c r="AX683" s="65">
        <f>IF(AW683="",0,MAX(0,MIN(1,(IF(BR683="L1",Parameter!$K$5,Parameter!$K$6+Parameter!$K$7)-(AW683-AS683))/AS683)))</f>
        <v/>
      </c>
      <c r="AY683" s="53">
        <f>IF(AC683&lt;=0,"",IF(BR683="Aussen","Aussenlager",IF(BR683="-","Nicht im Lift",IF(AH683&gt;=1,"Lift",IF(AH683&lt;=0,"Aussenlager","teilweise")))))</f>
        <v/>
      </c>
      <c r="AZ683" s="53">
        <f>IF(AK683&lt;=0,"",IF(BR683="Aussen","Aussenlager",IF(BR683="-","Nicht im Lift",IF(AP683&gt;=1,"Lift",IF(AP683&lt;=0,"Aussenlager","teilweise")))))</f>
        <v/>
      </c>
      <c r="BA683" s="53">
        <f>IF(AS683&lt;=0,"",IF(BR683="Aussen","Aussenlager",IF(BR683="-","Nicht im Lift",IF(AX683&gt;=1,"Lift",IF(AX683&lt;=0,"Aussenlager","teilweise")))))</f>
        <v/>
      </c>
      <c r="BB683" s="53">
        <f>IF(A683="","",IF(BK683=1,"Neu; ","")&amp;IF(AND(BK683=0,BF683&lt;0),"negativer Bestand (Export "&amp;BF683&amp;"); ","")&amp;IF(I683&lt;=0,"Kein Verbrauch; ","")&amp;IF(BO683=1,"Lose – Fläche geschätzt; ","")&amp;IF(G683&gt;AM683,"Überbestand "&amp;ROUND(G683-AM683,0)&amp;" Stk / CHF "&amp;ROUND((G683-AM683)*F683,0)&amp;"; ","")&amp;IF(AND(BT683=1,BU683&lt;BV683),"MAX &lt; MB+LG; ","")&amp;IF(AND(BZ683&gt;0,BY683*10&gt;BZ683),"zu hoch für Tablar; ","")&amp;IF(AND(BK683=0,OR(BT683=1,V683&lt;&gt;"",S683&lt;&gt;"",T683&lt;&gt;"",W683&lt;&gt;"")),"manuell übersteuert; ","")&amp;IF(AND(BO683=0,Q683=0),"Gebinde unbekannt; ","")&amp;IF(AND(BO683=0,N(T683)&lt;=0,N(P683)&lt;=0),"Menge pro Gebinde fehlt (Ist = 1 Gebinde); ","")&amp;BJ683)</f>
        <v/>
      </c>
      <c r="BC683" s="53" t="n"/>
      <c r="BD683" s="53" t="n"/>
      <c r="BE683" s="61" t="n"/>
      <c r="BF683" s="55" t="n">
        <v>0</v>
      </c>
      <c r="BG683" s="55" t="n">
        <v>0</v>
      </c>
      <c r="BH683" s="54" t="n">
        <v>0</v>
      </c>
      <c r="BI683" s="55" t="n">
        <v>5</v>
      </c>
      <c r="BJ683" s="53" t="inlineStr"/>
      <c r="BK683" s="58" t="n">
        <v>0</v>
      </c>
      <c r="BL683" s="58" t="n">
        <v>683</v>
      </c>
      <c r="BM683" s="53">
        <f>IF(S683&lt;&gt;"",UPPER(TRIM(S683)),IF(O683="","LOSE",O683))</f>
        <v/>
      </c>
      <c r="BN683" s="55">
        <f>IF(BM683="LOSE",1,IF(N(T683)&gt;0,T683,IF(N(P683)&gt;0,P683,MAX(1,G683))))</f>
        <v/>
      </c>
      <c r="BO683" s="58">
        <f>IF(BM683="LOSE",1,0)</f>
        <v/>
      </c>
      <c r="BP683" s="64">
        <f>IF(BO683=0,0,IF(N(R683)&gt;0,R683,IFERROR(VLOOKUP(D683,Parameter!$A$35:$C$64,3,0)+0,0)))</f>
        <v/>
      </c>
      <c r="BQ683" s="53">
        <f>IF(V683&lt;&gt;"",V683,U683)</f>
        <v/>
      </c>
      <c r="BR683" s="53">
        <f>IF(BQ683=1,"L1",IF(OR(BQ683=2,BQ683=3),"L23",IF(BQ683="Aussen","Aussen","-")))</f>
        <v/>
      </c>
      <c r="BS683" s="66">
        <f>IF(N(W683)&gt;0,W683,0)</f>
        <v/>
      </c>
      <c r="BT683" s="58">
        <f>IF(ISNUMBER(Z683),1,0)</f>
        <v/>
      </c>
      <c r="BU683" s="55">
        <f>N(Z683)</f>
        <v/>
      </c>
      <c r="BV683" s="55">
        <f>N(L683)+N(M683)</f>
        <v/>
      </c>
      <c r="BW683" s="55">
        <f>ROUNDUP(G683/BN683,0)</f>
        <v/>
      </c>
      <c r="BX683" s="55">
        <f>ROUNDUP(BU683/BN683,0)</f>
        <v/>
      </c>
      <c r="BY683" s="58">
        <f>IF(BO683=1,0,IFERROR(VLOOKUP(BM683,'Gebinde-Kategorie'!$A$5:$G$45,5,0)+0,0))</f>
        <v/>
      </c>
      <c r="BZ683" s="58">
        <f>IFERROR(IF(OR(BQ683=1,BQ683=2,BQ683=3),N(INDEX(Parameter!$I$5:$I$7,BQ683)),0),0)</f>
        <v/>
      </c>
    </row>
    <row r="684">
      <c r="A684" s="53" t="inlineStr">
        <is>
          <t>VM00011</t>
        </is>
      </c>
      <c r="B684" s="53" t="inlineStr">
        <is>
          <t>Umreifungsband</t>
        </is>
      </c>
      <c r="C684" s="53" t="inlineStr">
        <is>
          <t>F</t>
        </is>
      </c>
      <c r="D684" s="53" t="inlineStr">
        <is>
          <t>VERB-P</t>
        </is>
      </c>
      <c r="E684" s="53" t="inlineStr">
        <is>
          <t>C</t>
        </is>
      </c>
      <c r="F684" s="54" t="n">
        <v>159</v>
      </c>
      <c r="G684" s="55">
        <f>MAX(0,IF(Parameter!$B$20="Jahresanfang 2025 + Export",BG684+BF684,BF684))</f>
        <v/>
      </c>
      <c r="H684" s="55">
        <f>G684*F684</f>
        <v/>
      </c>
      <c r="I684" s="55">
        <f>BI684*Parameter!$B$18</f>
        <v/>
      </c>
      <c r="J684" s="56" t="n">
        <v>0</v>
      </c>
      <c r="K684" s="57" t="n">
        <v>0</v>
      </c>
      <c r="L684" s="55" t="n">
        <v>0</v>
      </c>
      <c r="M684" s="55" t="n">
        <v>1</v>
      </c>
      <c r="N684" s="58" t="n">
        <v>0</v>
      </c>
      <c r="O684" s="53" t="inlineStr">
        <is>
          <t>LOSE</t>
        </is>
      </c>
      <c r="P684" s="55" t="n"/>
      <c r="Q684" s="59">
        <f>IF(BO684=1,0,IFERROR(VLOOKUP(BM684,'Gebinde-Kategorie'!$A$5:$G$45,6,0)+0,0))</f>
        <v/>
      </c>
      <c r="R684" s="60" t="n"/>
      <c r="S684" s="61" t="n"/>
      <c r="T684" s="61" t="n"/>
      <c r="U684" s="53">
        <f>IF(A684="","",IF(IFERROR(VLOOKUP(D684,Parameter!$A$35:$C$64,2,0),"Nein")="2+3",IF(ISNUMBER(SEARCH("grosser Artikel",BJ684)),2,IFERROR(VLOOKUP(BM684,Parameter!$F$35:$G$64,2,0),2)),IF(OR(IFERROR(VLOOKUP(D684,Parameter!$A$35:$C$64,2,0),"Nein")="Nein",IFERROR(VLOOKUP(D684,Parameter!$A$35:$C$64,2,0),"Nein")=""),"-",VLOOKUP(D684,Parameter!$A$35:$C$64,2,0))))</f>
        <v/>
      </c>
      <c r="V684" s="61" t="n"/>
      <c r="W684" s="62" t="n"/>
      <c r="X684" s="55">
        <f>AM684</f>
        <v/>
      </c>
      <c r="Y684" s="55">
        <f>MAX(AM684,G684)</f>
        <v/>
      </c>
      <c r="Z684" s="63" t="n"/>
      <c r="AA684" s="55">
        <f>IF(LEFT(Cockpit!$C$5,1)="A",G684,IF(BT684=1,BU684,IF(LEFT(Cockpit!$C$5,1)="B",AE684,MAX(AE684,G684))))</f>
        <v/>
      </c>
      <c r="AB684" s="55">
        <f>IF(BO684=1,0,ROUNDUP(AA684/BN684,0))</f>
        <v/>
      </c>
      <c r="AC684" s="64">
        <f>IF(BO684=1,IF(AA684&lt;=0,0,BP684*MAX(1,IF(G684&gt;0,AA684/G684,1))),AB684*Q684)</f>
        <v/>
      </c>
      <c r="AD684" s="55">
        <f>AA684*F684</f>
        <v/>
      </c>
      <c r="AE684" s="55">
        <f>ROUNDUP(MAX(I684/IF(BS684&gt;0,BS684,MAX(0.1,N(Cockpit!$C$6))),BV684)/BN684,0)*BN684</f>
        <v/>
      </c>
      <c r="AF684" s="56">
        <f>IF(AC684&gt;0,I684/AC684,-1)</f>
        <v/>
      </c>
      <c r="AG684" s="56">
        <f>IF(AND(OR(BR684="L1",BR684="L23"),AC684&gt;0),SUMIFS($AC$7:$AC$1570,$BR$7:$BR$1570,BR684,$AF$7:$AF$1570,"&gt;"&amp;AF684)+SUMIFS($AC$7:$AC$1570,$BR$7:$BR$1570,BR684,$AF$7:$AF$1570,AF684,$BL$7:$BL$1570,"&lt;="&amp;BL684),"")</f>
        <v/>
      </c>
      <c r="AH684" s="65">
        <f>IF(AG684="",0,MAX(0,MIN(1,(IF(BR684="L1",Parameter!$K$5,Parameter!$K$6+Parameter!$K$7)-(AG684-AC684))/AC684)))</f>
        <v/>
      </c>
      <c r="AI684" s="55">
        <f>IF(LEFT(Cockpit!$I$5,1)="A",G684,IF(BT684=1,BU684,IF(LEFT(Cockpit!$I$5,1)="B",AM684,MAX(AM684,G684))))</f>
        <v/>
      </c>
      <c r="AJ684" s="55">
        <f>IF(BO684=1,0,ROUNDUP(AI684/BN684,0))</f>
        <v/>
      </c>
      <c r="AK684" s="64">
        <f>IF(BO684=1,IF(AI684&lt;=0,0,BP684*MAX(1,IF(G684&gt;0,AI684/G684,1))),AJ684*Q684)</f>
        <v/>
      </c>
      <c r="AL684" s="55">
        <f>AI684*F684</f>
        <v/>
      </c>
      <c r="AM684" s="55">
        <f>ROUNDUP(MAX(I684/IF(BS684&gt;0,BS684,MAX(0.1,N(Cockpit!$I$6))),BV684)/BN684,0)*BN684</f>
        <v/>
      </c>
      <c r="AN684" s="56">
        <f>IF(AK684&gt;0,I684/AK684,-1)</f>
        <v/>
      </c>
      <c r="AO684" s="56">
        <f>IF(AND(OR(BR684="L1",BR684="L23"),AK684&gt;0),SUMIFS($AK$7:$AK$1570,$BR$7:$BR$1570,BR684,$AN$7:$AN$1570,"&gt;"&amp;AN684)+SUMIFS($AK$7:$AK$1570,$BR$7:$BR$1570,BR684,$AN$7:$AN$1570,AN684,$BL$7:$BL$1570,"&lt;="&amp;BL684),"")</f>
        <v/>
      </c>
      <c r="AP684" s="65">
        <f>IF(AO684="",0,MAX(0,MIN(1,(IF(BR684="L1",Parameter!$K$5,Parameter!$K$6+Parameter!$K$7)-(AO684-AK684))/AK684)))</f>
        <v/>
      </c>
      <c r="AQ684" s="55">
        <f>IF(LEFT(Cockpit!$O$5,1)="A",G684,IF(BT684=1,BU684,IF(LEFT(Cockpit!$O$5,1)="B",AU684,MAX(AU684,G684))))</f>
        <v/>
      </c>
      <c r="AR684" s="55">
        <f>IF(BO684=1,0,ROUNDUP(AQ684/BN684,0))</f>
        <v/>
      </c>
      <c r="AS684" s="64">
        <f>IF(BO684=1,IF(AQ684&lt;=0,0,BP684*MAX(1,IF(G684&gt;0,AQ684/G684,1))),AR684*Q684)</f>
        <v/>
      </c>
      <c r="AT684" s="55">
        <f>AQ684*F684</f>
        <v/>
      </c>
      <c r="AU684" s="55">
        <f>ROUNDUP(MAX(I684/IF(BS684&gt;0,BS684,MAX(0.1,N(Cockpit!$O$6))),BV684)/BN684,0)*BN684</f>
        <v/>
      </c>
      <c r="AV684" s="56">
        <f>IF(AS684&gt;0,I684/AS684,-1)</f>
        <v/>
      </c>
      <c r="AW684" s="56">
        <f>IF(AND(OR(BR684="L1",BR684="L23"),AS684&gt;0),SUMIFS($AS$7:$AS$1570,$BR$7:$BR$1570,BR684,$AV$7:$AV$1570,"&gt;"&amp;AV684)+SUMIFS($AS$7:$AS$1570,$BR$7:$BR$1570,BR684,$AV$7:$AV$1570,AV684,$BL$7:$BL$1570,"&lt;="&amp;BL684),"")</f>
        <v/>
      </c>
      <c r="AX684" s="65">
        <f>IF(AW684="",0,MAX(0,MIN(1,(IF(BR684="L1",Parameter!$K$5,Parameter!$K$6+Parameter!$K$7)-(AW684-AS684))/AS684)))</f>
        <v/>
      </c>
      <c r="AY684" s="53">
        <f>IF(AC684&lt;=0,"",IF(BR684="Aussen","Aussenlager",IF(BR684="-","Nicht im Lift",IF(AH684&gt;=1,"Lift",IF(AH684&lt;=0,"Aussenlager","teilweise")))))</f>
        <v/>
      </c>
      <c r="AZ684" s="53">
        <f>IF(AK684&lt;=0,"",IF(BR684="Aussen","Aussenlager",IF(BR684="-","Nicht im Lift",IF(AP684&gt;=1,"Lift",IF(AP684&lt;=0,"Aussenlager","teilweise")))))</f>
        <v/>
      </c>
      <c r="BA684" s="53">
        <f>IF(AS684&lt;=0,"",IF(BR684="Aussen","Aussenlager",IF(BR684="-","Nicht im Lift",IF(AX684&gt;=1,"Lift",IF(AX684&lt;=0,"Aussenlager","teilweise")))))</f>
        <v/>
      </c>
      <c r="BB684" s="53">
        <f>IF(A684="","",IF(BK684=1,"Neu; ","")&amp;IF(AND(BK684=0,BF684&lt;0),"negativer Bestand (Export "&amp;BF684&amp;"); ","")&amp;IF(I684&lt;=0,"Kein Verbrauch; ","")&amp;IF(BO684=1,"Lose – Fläche geschätzt; ","")&amp;IF(G684&gt;AM684,"Überbestand "&amp;ROUND(G684-AM684,0)&amp;" Stk / CHF "&amp;ROUND((G684-AM684)*F684,0)&amp;"; ","")&amp;IF(AND(BT684=1,BU684&lt;BV684),"MAX &lt; MB+LG; ","")&amp;IF(AND(BZ684&gt;0,BY684*10&gt;BZ684),"zu hoch für Tablar; ","")&amp;IF(AND(BK684=0,OR(BT684=1,V684&lt;&gt;"",S684&lt;&gt;"",T684&lt;&gt;"",W684&lt;&gt;"")),"manuell übersteuert; ","")&amp;IF(AND(BO684=0,Q684=0),"Gebinde unbekannt; ","")&amp;IF(AND(BO684=0,N(T684)&lt;=0,N(P684)&lt;=0),"Menge pro Gebinde fehlt (Ist = 1 Gebinde); ","")&amp;BJ684)</f>
        <v/>
      </c>
      <c r="BC684" s="53" t="n"/>
      <c r="BD684" s="53" t="n"/>
      <c r="BE684" s="61" t="n"/>
      <c r="BF684" s="55" t="n">
        <v>0</v>
      </c>
      <c r="BG684" s="55" t="n">
        <v>0</v>
      </c>
      <c r="BH684" s="54" t="n">
        <v>0</v>
      </c>
      <c r="BI684" s="55" t="n">
        <v>0</v>
      </c>
      <c r="BJ684" s="53" t="inlineStr"/>
      <c r="BK684" s="58" t="n">
        <v>0</v>
      </c>
      <c r="BL684" s="58" t="n">
        <v>684</v>
      </c>
      <c r="BM684" s="53">
        <f>IF(S684&lt;&gt;"",UPPER(TRIM(S684)),IF(O684="","LOSE",O684))</f>
        <v/>
      </c>
      <c r="BN684" s="55">
        <f>IF(BM684="LOSE",1,IF(N(T684)&gt;0,T684,IF(N(P684)&gt;0,P684,MAX(1,G684))))</f>
        <v/>
      </c>
      <c r="BO684" s="58">
        <f>IF(BM684="LOSE",1,0)</f>
        <v/>
      </c>
      <c r="BP684" s="64">
        <f>IF(BO684=0,0,IF(N(R684)&gt;0,R684,IFERROR(VLOOKUP(D684,Parameter!$A$35:$C$64,3,0)+0,0)))</f>
        <v/>
      </c>
      <c r="BQ684" s="53">
        <f>IF(V684&lt;&gt;"",V684,U684)</f>
        <v/>
      </c>
      <c r="BR684" s="53">
        <f>IF(BQ684=1,"L1",IF(OR(BQ684=2,BQ684=3),"L23",IF(BQ684="Aussen","Aussen","-")))</f>
        <v/>
      </c>
      <c r="BS684" s="66">
        <f>IF(N(W684)&gt;0,W684,0)</f>
        <v/>
      </c>
      <c r="BT684" s="58">
        <f>IF(ISNUMBER(Z684),1,0)</f>
        <v/>
      </c>
      <c r="BU684" s="55">
        <f>N(Z684)</f>
        <v/>
      </c>
      <c r="BV684" s="55">
        <f>N(L684)+N(M684)</f>
        <v/>
      </c>
      <c r="BW684" s="55">
        <f>ROUNDUP(G684/BN684,0)</f>
        <v/>
      </c>
      <c r="BX684" s="55">
        <f>ROUNDUP(BU684/BN684,0)</f>
        <v/>
      </c>
      <c r="BY684" s="58">
        <f>IF(BO684=1,0,IFERROR(VLOOKUP(BM684,'Gebinde-Kategorie'!$A$5:$G$45,5,0)+0,0))</f>
        <v/>
      </c>
      <c r="BZ684" s="58">
        <f>IFERROR(IF(OR(BQ684=1,BQ684=2,BQ684=3),N(INDEX(Parameter!$I$5:$I$7,BQ684)),0),0)</f>
        <v/>
      </c>
    </row>
    <row r="685">
      <c r="A685" s="53" t="inlineStr">
        <is>
          <t>110724</t>
        </is>
      </c>
      <c r="B685" s="53" t="inlineStr">
        <is>
          <t>Zwischenrohr SPGr16</t>
        </is>
      </c>
      <c r="C685" s="53" t="inlineStr">
        <is>
          <t>F</t>
        </is>
      </c>
      <c r="D685" s="53" t="inlineStr">
        <is>
          <t>A-BEZ</t>
        </is>
      </c>
      <c r="E685" s="53" t="inlineStr">
        <is>
          <t>C</t>
        </is>
      </c>
      <c r="F685" s="54" t="n">
        <v>3157.32</v>
      </c>
      <c r="G685" s="55">
        <f>MAX(0,IF(Parameter!$B$20="Jahresanfang 2025 + Export",BG685+BF685,BF685))</f>
        <v/>
      </c>
      <c r="H685" s="55">
        <f>G685*F685</f>
        <v/>
      </c>
      <c r="I685" s="55">
        <f>BI685*Parameter!$B$18</f>
        <v/>
      </c>
      <c r="J685" s="56" t="n">
        <v>0</v>
      </c>
      <c r="K685" s="57" t="n">
        <v>0</v>
      </c>
      <c r="L685" s="55" t="n">
        <v>0</v>
      </c>
      <c r="M685" s="55" t="n">
        <v>1</v>
      </c>
      <c r="N685" s="58" t="n">
        <v>70</v>
      </c>
      <c r="O685" s="53" t="inlineStr">
        <is>
          <t>LOSE</t>
        </is>
      </c>
      <c r="P685" s="55" t="n"/>
      <c r="Q685" s="59">
        <f>IF(BO685=1,0,IFERROR(VLOOKUP(BM685,'Gebinde-Kategorie'!$A$5:$G$45,6,0)+0,0))</f>
        <v/>
      </c>
      <c r="R685" s="60" t="n"/>
      <c r="S685" s="61" t="n"/>
      <c r="T685" s="61" t="n"/>
      <c r="U685" s="53">
        <f>IF(A685="","",IF(IFERROR(VLOOKUP(D685,Parameter!$A$35:$C$64,2,0),"Nein")="2+3",IF(ISNUMBER(SEARCH("grosser Artikel",BJ685)),2,IFERROR(VLOOKUP(BM685,Parameter!$F$35:$G$64,2,0),2)),IF(OR(IFERROR(VLOOKUP(D685,Parameter!$A$35:$C$64,2,0),"Nein")="Nein",IFERROR(VLOOKUP(D685,Parameter!$A$35:$C$64,2,0),"Nein")=""),"-",VLOOKUP(D685,Parameter!$A$35:$C$64,2,0))))</f>
        <v/>
      </c>
      <c r="V685" s="61" t="n"/>
      <c r="W685" s="62" t="n"/>
      <c r="X685" s="55">
        <f>AM685</f>
        <v/>
      </c>
      <c r="Y685" s="55">
        <f>MAX(AM685,G685)</f>
        <v/>
      </c>
      <c r="Z685" s="63" t="n"/>
      <c r="AA685" s="55">
        <f>IF(LEFT(Cockpit!$C$5,1)="A",G685,IF(BT685=1,BU685,IF(LEFT(Cockpit!$C$5,1)="B",AE685,MAX(AE685,G685))))</f>
        <v/>
      </c>
      <c r="AB685" s="55">
        <f>IF(BO685=1,0,ROUNDUP(AA685/BN685,0))</f>
        <v/>
      </c>
      <c r="AC685" s="64">
        <f>IF(BO685=1,IF(AA685&lt;=0,0,BP685*MAX(1,IF(G685&gt;0,AA685/G685,1))),AB685*Q685)</f>
        <v/>
      </c>
      <c r="AD685" s="55">
        <f>AA685*F685</f>
        <v/>
      </c>
      <c r="AE685" s="55">
        <f>ROUNDUP(MAX(I685/IF(BS685&gt;0,BS685,MAX(0.1,N(Cockpit!$C$6))),BV685)/BN685,0)*BN685</f>
        <v/>
      </c>
      <c r="AF685" s="56">
        <f>IF(AC685&gt;0,I685/AC685,-1)</f>
        <v/>
      </c>
      <c r="AG685" s="56">
        <f>IF(AND(OR(BR685="L1",BR685="L23"),AC685&gt;0),SUMIFS($AC$7:$AC$1570,$BR$7:$BR$1570,BR685,$AF$7:$AF$1570,"&gt;"&amp;AF685)+SUMIFS($AC$7:$AC$1570,$BR$7:$BR$1570,BR685,$AF$7:$AF$1570,AF685,$BL$7:$BL$1570,"&lt;="&amp;BL685),"")</f>
        <v/>
      </c>
      <c r="AH685" s="65">
        <f>IF(AG685="",0,MAX(0,MIN(1,(IF(BR685="L1",Parameter!$K$5,Parameter!$K$6+Parameter!$K$7)-(AG685-AC685))/AC685)))</f>
        <v/>
      </c>
      <c r="AI685" s="55">
        <f>IF(LEFT(Cockpit!$I$5,1)="A",G685,IF(BT685=1,BU685,IF(LEFT(Cockpit!$I$5,1)="B",AM685,MAX(AM685,G685))))</f>
        <v/>
      </c>
      <c r="AJ685" s="55">
        <f>IF(BO685=1,0,ROUNDUP(AI685/BN685,0))</f>
        <v/>
      </c>
      <c r="AK685" s="64">
        <f>IF(BO685=1,IF(AI685&lt;=0,0,BP685*MAX(1,IF(G685&gt;0,AI685/G685,1))),AJ685*Q685)</f>
        <v/>
      </c>
      <c r="AL685" s="55">
        <f>AI685*F685</f>
        <v/>
      </c>
      <c r="AM685" s="55">
        <f>ROUNDUP(MAX(I685/IF(BS685&gt;0,BS685,MAX(0.1,N(Cockpit!$I$6))),BV685)/BN685,0)*BN685</f>
        <v/>
      </c>
      <c r="AN685" s="56">
        <f>IF(AK685&gt;0,I685/AK685,-1)</f>
        <v/>
      </c>
      <c r="AO685" s="56">
        <f>IF(AND(OR(BR685="L1",BR685="L23"),AK685&gt;0),SUMIFS($AK$7:$AK$1570,$BR$7:$BR$1570,BR685,$AN$7:$AN$1570,"&gt;"&amp;AN685)+SUMIFS($AK$7:$AK$1570,$BR$7:$BR$1570,BR685,$AN$7:$AN$1570,AN685,$BL$7:$BL$1570,"&lt;="&amp;BL685),"")</f>
        <v/>
      </c>
      <c r="AP685" s="65">
        <f>IF(AO685="",0,MAX(0,MIN(1,(IF(BR685="L1",Parameter!$K$5,Parameter!$K$6+Parameter!$K$7)-(AO685-AK685))/AK685)))</f>
        <v/>
      </c>
      <c r="AQ685" s="55">
        <f>IF(LEFT(Cockpit!$O$5,1)="A",G685,IF(BT685=1,BU685,IF(LEFT(Cockpit!$O$5,1)="B",AU685,MAX(AU685,G685))))</f>
        <v/>
      </c>
      <c r="AR685" s="55">
        <f>IF(BO685=1,0,ROUNDUP(AQ685/BN685,0))</f>
        <v/>
      </c>
      <c r="AS685" s="64">
        <f>IF(BO685=1,IF(AQ685&lt;=0,0,BP685*MAX(1,IF(G685&gt;0,AQ685/G685,1))),AR685*Q685)</f>
        <v/>
      </c>
      <c r="AT685" s="55">
        <f>AQ685*F685</f>
        <v/>
      </c>
      <c r="AU685" s="55">
        <f>ROUNDUP(MAX(I685/IF(BS685&gt;0,BS685,MAX(0.1,N(Cockpit!$O$6))),BV685)/BN685,0)*BN685</f>
        <v/>
      </c>
      <c r="AV685" s="56">
        <f>IF(AS685&gt;0,I685/AS685,-1)</f>
        <v/>
      </c>
      <c r="AW685" s="56">
        <f>IF(AND(OR(BR685="L1",BR685="L23"),AS685&gt;0),SUMIFS($AS$7:$AS$1570,$BR$7:$BR$1570,BR685,$AV$7:$AV$1570,"&gt;"&amp;AV685)+SUMIFS($AS$7:$AS$1570,$BR$7:$BR$1570,BR685,$AV$7:$AV$1570,AV685,$BL$7:$BL$1570,"&lt;="&amp;BL685),"")</f>
        <v/>
      </c>
      <c r="AX685" s="65">
        <f>IF(AW685="",0,MAX(0,MIN(1,(IF(BR685="L1",Parameter!$K$5,Parameter!$K$6+Parameter!$K$7)-(AW685-AS685))/AS685)))</f>
        <v/>
      </c>
      <c r="AY685" s="53">
        <f>IF(AC685&lt;=0,"",IF(BR685="Aussen","Aussenlager",IF(BR685="-","Nicht im Lift",IF(AH685&gt;=1,"Lift",IF(AH685&lt;=0,"Aussenlager","teilweise")))))</f>
        <v/>
      </c>
      <c r="AZ685" s="53">
        <f>IF(AK685&lt;=0,"",IF(BR685="Aussen","Aussenlager",IF(BR685="-","Nicht im Lift",IF(AP685&gt;=1,"Lift",IF(AP685&lt;=0,"Aussenlager","teilweise")))))</f>
        <v/>
      </c>
      <c r="BA685" s="53">
        <f>IF(AS685&lt;=0,"",IF(BR685="Aussen","Aussenlager",IF(BR685="-","Nicht im Lift",IF(AX685&gt;=1,"Lift",IF(AX685&lt;=0,"Aussenlager","teilweise")))))</f>
        <v/>
      </c>
      <c r="BB685" s="53">
        <f>IF(A685="","",IF(BK685=1,"Neu; ","")&amp;IF(AND(BK685=0,BF685&lt;0),"negativer Bestand (Export "&amp;BF685&amp;"); ","")&amp;IF(I685&lt;=0,"Kein Verbrauch; ","")&amp;IF(BO685=1,"Lose – Fläche geschätzt; ","")&amp;IF(G685&gt;AM685,"Überbestand "&amp;ROUND(G685-AM685,0)&amp;" Stk / CHF "&amp;ROUND((G685-AM685)*F685,0)&amp;"; ","")&amp;IF(AND(BT685=1,BU685&lt;BV685),"MAX &lt; MB+LG; ","")&amp;IF(AND(BZ685&gt;0,BY685*10&gt;BZ685),"zu hoch für Tablar; ","")&amp;IF(AND(BK685=0,OR(BT685=1,V685&lt;&gt;"",S685&lt;&gt;"",T685&lt;&gt;"",W685&lt;&gt;"")),"manuell übersteuert; ","")&amp;IF(AND(BO685=0,Q685=0),"Gebinde unbekannt; ","")&amp;IF(AND(BO685=0,N(T685)&lt;=0,N(P685)&lt;=0),"Menge pro Gebinde fehlt (Ist = 1 Gebinde); ","")&amp;BJ685)</f>
        <v/>
      </c>
      <c r="BC685" s="53" t="n"/>
      <c r="BD685" s="53" t="n"/>
      <c r="BE685" s="61" t="n"/>
      <c r="BF685" s="55" t="n">
        <v>0</v>
      </c>
      <c r="BG685" s="55" t="n">
        <v>0</v>
      </c>
      <c r="BH685" s="54" t="n">
        <v>0</v>
      </c>
      <c r="BI685" s="55" t="n">
        <v>3</v>
      </c>
      <c r="BJ685" s="53" t="inlineStr"/>
      <c r="BK685" s="58" t="n">
        <v>0</v>
      </c>
      <c r="BL685" s="58" t="n">
        <v>685</v>
      </c>
      <c r="BM685" s="53">
        <f>IF(S685&lt;&gt;"",UPPER(TRIM(S685)),IF(O685="","LOSE",O685))</f>
        <v/>
      </c>
      <c r="BN685" s="55">
        <f>IF(BM685="LOSE",1,IF(N(T685)&gt;0,T685,IF(N(P685)&gt;0,P685,MAX(1,G685))))</f>
        <v/>
      </c>
      <c r="BO685" s="58">
        <f>IF(BM685="LOSE",1,0)</f>
        <v/>
      </c>
      <c r="BP685" s="64">
        <f>IF(BO685=0,0,IF(N(R685)&gt;0,R685,IFERROR(VLOOKUP(D685,Parameter!$A$35:$C$64,3,0)+0,0)))</f>
        <v/>
      </c>
      <c r="BQ685" s="53">
        <f>IF(V685&lt;&gt;"",V685,U685)</f>
        <v/>
      </c>
      <c r="BR685" s="53">
        <f>IF(BQ685=1,"L1",IF(OR(BQ685=2,BQ685=3),"L23",IF(BQ685="Aussen","Aussen","-")))</f>
        <v/>
      </c>
      <c r="BS685" s="66">
        <f>IF(N(W685)&gt;0,W685,0)</f>
        <v/>
      </c>
      <c r="BT685" s="58">
        <f>IF(ISNUMBER(Z685),1,0)</f>
        <v/>
      </c>
      <c r="BU685" s="55">
        <f>N(Z685)</f>
        <v/>
      </c>
      <c r="BV685" s="55">
        <f>N(L685)+N(M685)</f>
        <v/>
      </c>
      <c r="BW685" s="55">
        <f>ROUNDUP(G685/BN685,0)</f>
        <v/>
      </c>
      <c r="BX685" s="55">
        <f>ROUNDUP(BU685/BN685,0)</f>
        <v/>
      </c>
      <c r="BY685" s="58">
        <f>IF(BO685=1,0,IFERROR(VLOOKUP(BM685,'Gebinde-Kategorie'!$A$5:$G$45,5,0)+0,0))</f>
        <v/>
      </c>
      <c r="BZ685" s="58">
        <f>IFERROR(IF(OR(BQ685=1,BQ685=2,BQ685=3),N(INDEX(Parameter!$I$5:$I$7,BQ685)),0),0)</f>
        <v/>
      </c>
    </row>
    <row r="686">
      <c r="A686" s="53" t="inlineStr">
        <is>
          <t>VM00015</t>
        </is>
      </c>
      <c r="B686" s="53" t="inlineStr">
        <is>
          <t>Rohrschutzkappe</t>
        </is>
      </c>
      <c r="C686" s="53" t="inlineStr">
        <is>
          <t>F</t>
        </is>
      </c>
      <c r="D686" s="53" t="inlineStr">
        <is>
          <t>EK-TV</t>
        </is>
      </c>
      <c r="E686" s="53" t="inlineStr">
        <is>
          <t>C</t>
        </is>
      </c>
      <c r="F686" s="54" t="n">
        <v>0.65</v>
      </c>
      <c r="G686" s="55">
        <f>MAX(0,IF(Parameter!$B$20="Jahresanfang 2025 + Export",BG686+BF686,BF686))</f>
        <v/>
      </c>
      <c r="H686" s="55">
        <f>G686*F686</f>
        <v/>
      </c>
      <c r="I686" s="55">
        <f>BI686*Parameter!$B$18</f>
        <v/>
      </c>
      <c r="J686" s="56" t="n">
        <v>0</v>
      </c>
      <c r="K686" s="57" t="n">
        <v>0</v>
      </c>
      <c r="L686" s="55" t="n">
        <v>0</v>
      </c>
      <c r="M686" s="55" t="n">
        <v>1000</v>
      </c>
      <c r="N686" s="58" t="n">
        <v>21</v>
      </c>
      <c r="O686" s="53" t="inlineStr">
        <is>
          <t>LOSE</t>
        </is>
      </c>
      <c r="P686" s="55" t="n"/>
      <c r="Q686" s="59">
        <f>IF(BO686=1,0,IFERROR(VLOOKUP(BM686,'Gebinde-Kategorie'!$A$5:$G$45,6,0)+0,0))</f>
        <v/>
      </c>
      <c r="R686" s="60" t="n"/>
      <c r="S686" s="61" t="n"/>
      <c r="T686" s="61" t="n"/>
      <c r="U686" s="53">
        <f>IF(A686="","",IF(IFERROR(VLOOKUP(D686,Parameter!$A$35:$C$64,2,0),"Nein")="2+3",IF(ISNUMBER(SEARCH("grosser Artikel",BJ686)),2,IFERROR(VLOOKUP(BM686,Parameter!$F$35:$G$64,2,0),2)),IF(OR(IFERROR(VLOOKUP(D686,Parameter!$A$35:$C$64,2,0),"Nein")="Nein",IFERROR(VLOOKUP(D686,Parameter!$A$35:$C$64,2,0),"Nein")=""),"-",VLOOKUP(D686,Parameter!$A$35:$C$64,2,0))))</f>
        <v/>
      </c>
      <c r="V686" s="61" t="n"/>
      <c r="W686" s="62" t="n"/>
      <c r="X686" s="55">
        <f>AM686</f>
        <v/>
      </c>
      <c r="Y686" s="55">
        <f>MAX(AM686,G686)</f>
        <v/>
      </c>
      <c r="Z686" s="63" t="n"/>
      <c r="AA686" s="55">
        <f>IF(LEFT(Cockpit!$C$5,1)="A",G686,IF(BT686=1,BU686,IF(LEFT(Cockpit!$C$5,1)="B",AE686,MAX(AE686,G686))))</f>
        <v/>
      </c>
      <c r="AB686" s="55">
        <f>IF(BO686=1,0,ROUNDUP(AA686/BN686,0))</f>
        <v/>
      </c>
      <c r="AC686" s="64">
        <f>IF(BO686=1,IF(AA686&lt;=0,0,BP686*MAX(1,IF(G686&gt;0,AA686/G686,1))),AB686*Q686)</f>
        <v/>
      </c>
      <c r="AD686" s="55">
        <f>AA686*F686</f>
        <v/>
      </c>
      <c r="AE686" s="55">
        <f>ROUNDUP(MAX(I686/IF(BS686&gt;0,BS686,MAX(0.1,N(Cockpit!$C$6))),BV686)/BN686,0)*BN686</f>
        <v/>
      </c>
      <c r="AF686" s="56">
        <f>IF(AC686&gt;0,I686/AC686,-1)</f>
        <v/>
      </c>
      <c r="AG686" s="56">
        <f>IF(AND(OR(BR686="L1",BR686="L23"),AC686&gt;0),SUMIFS($AC$7:$AC$1570,$BR$7:$BR$1570,BR686,$AF$7:$AF$1570,"&gt;"&amp;AF686)+SUMIFS($AC$7:$AC$1570,$BR$7:$BR$1570,BR686,$AF$7:$AF$1570,AF686,$BL$7:$BL$1570,"&lt;="&amp;BL686),"")</f>
        <v/>
      </c>
      <c r="AH686" s="65">
        <f>IF(AG686="",0,MAX(0,MIN(1,(IF(BR686="L1",Parameter!$K$5,Parameter!$K$6+Parameter!$K$7)-(AG686-AC686))/AC686)))</f>
        <v/>
      </c>
      <c r="AI686" s="55">
        <f>IF(LEFT(Cockpit!$I$5,1)="A",G686,IF(BT686=1,BU686,IF(LEFT(Cockpit!$I$5,1)="B",AM686,MAX(AM686,G686))))</f>
        <v/>
      </c>
      <c r="AJ686" s="55">
        <f>IF(BO686=1,0,ROUNDUP(AI686/BN686,0))</f>
        <v/>
      </c>
      <c r="AK686" s="64">
        <f>IF(BO686=1,IF(AI686&lt;=0,0,BP686*MAX(1,IF(G686&gt;0,AI686/G686,1))),AJ686*Q686)</f>
        <v/>
      </c>
      <c r="AL686" s="55">
        <f>AI686*F686</f>
        <v/>
      </c>
      <c r="AM686" s="55">
        <f>ROUNDUP(MAX(I686/IF(BS686&gt;0,BS686,MAX(0.1,N(Cockpit!$I$6))),BV686)/BN686,0)*BN686</f>
        <v/>
      </c>
      <c r="AN686" s="56">
        <f>IF(AK686&gt;0,I686/AK686,-1)</f>
        <v/>
      </c>
      <c r="AO686" s="56">
        <f>IF(AND(OR(BR686="L1",BR686="L23"),AK686&gt;0),SUMIFS($AK$7:$AK$1570,$BR$7:$BR$1570,BR686,$AN$7:$AN$1570,"&gt;"&amp;AN686)+SUMIFS($AK$7:$AK$1570,$BR$7:$BR$1570,BR686,$AN$7:$AN$1570,AN686,$BL$7:$BL$1570,"&lt;="&amp;BL686),"")</f>
        <v/>
      </c>
      <c r="AP686" s="65">
        <f>IF(AO686="",0,MAX(0,MIN(1,(IF(BR686="L1",Parameter!$K$5,Parameter!$K$6+Parameter!$K$7)-(AO686-AK686))/AK686)))</f>
        <v/>
      </c>
      <c r="AQ686" s="55">
        <f>IF(LEFT(Cockpit!$O$5,1)="A",G686,IF(BT686=1,BU686,IF(LEFT(Cockpit!$O$5,1)="B",AU686,MAX(AU686,G686))))</f>
        <v/>
      </c>
      <c r="AR686" s="55">
        <f>IF(BO686=1,0,ROUNDUP(AQ686/BN686,0))</f>
        <v/>
      </c>
      <c r="AS686" s="64">
        <f>IF(BO686=1,IF(AQ686&lt;=0,0,BP686*MAX(1,IF(G686&gt;0,AQ686/G686,1))),AR686*Q686)</f>
        <v/>
      </c>
      <c r="AT686" s="55">
        <f>AQ686*F686</f>
        <v/>
      </c>
      <c r="AU686" s="55">
        <f>ROUNDUP(MAX(I686/IF(BS686&gt;0,BS686,MAX(0.1,N(Cockpit!$O$6))),BV686)/BN686,0)*BN686</f>
        <v/>
      </c>
      <c r="AV686" s="56">
        <f>IF(AS686&gt;0,I686/AS686,-1)</f>
        <v/>
      </c>
      <c r="AW686" s="56">
        <f>IF(AND(OR(BR686="L1",BR686="L23"),AS686&gt;0),SUMIFS($AS$7:$AS$1570,$BR$7:$BR$1570,BR686,$AV$7:$AV$1570,"&gt;"&amp;AV686)+SUMIFS($AS$7:$AS$1570,$BR$7:$BR$1570,BR686,$AV$7:$AV$1570,AV686,$BL$7:$BL$1570,"&lt;="&amp;BL686),"")</f>
        <v/>
      </c>
      <c r="AX686" s="65">
        <f>IF(AW686="",0,MAX(0,MIN(1,(IF(BR686="L1",Parameter!$K$5,Parameter!$K$6+Parameter!$K$7)-(AW686-AS686))/AS686)))</f>
        <v/>
      </c>
      <c r="AY686" s="53">
        <f>IF(AC686&lt;=0,"",IF(BR686="Aussen","Aussenlager",IF(BR686="-","Nicht im Lift",IF(AH686&gt;=1,"Lift",IF(AH686&lt;=0,"Aussenlager","teilweise")))))</f>
        <v/>
      </c>
      <c r="AZ686" s="53">
        <f>IF(AK686&lt;=0,"",IF(BR686="Aussen","Aussenlager",IF(BR686="-","Nicht im Lift",IF(AP686&gt;=1,"Lift",IF(AP686&lt;=0,"Aussenlager","teilweise")))))</f>
        <v/>
      </c>
      <c r="BA686" s="53">
        <f>IF(AS686&lt;=0,"",IF(BR686="Aussen","Aussenlager",IF(BR686="-","Nicht im Lift",IF(AX686&gt;=1,"Lift",IF(AX686&lt;=0,"Aussenlager","teilweise")))))</f>
        <v/>
      </c>
      <c r="BB686" s="53">
        <f>IF(A686="","",IF(BK686=1,"Neu; ","")&amp;IF(AND(BK686=0,BF686&lt;0),"negativer Bestand (Export "&amp;BF686&amp;"); ","")&amp;IF(I686&lt;=0,"Kein Verbrauch; ","")&amp;IF(BO686=1,"Lose – Fläche geschätzt; ","")&amp;IF(G686&gt;AM686,"Überbestand "&amp;ROUND(G686-AM686,0)&amp;" Stk / CHF "&amp;ROUND((G686-AM686)*F686,0)&amp;"; ","")&amp;IF(AND(BT686=1,BU686&lt;BV686),"MAX &lt; MB+LG; ","")&amp;IF(AND(BZ686&gt;0,BY686*10&gt;BZ686),"zu hoch für Tablar; ","")&amp;IF(AND(BK686=0,OR(BT686=1,V686&lt;&gt;"",S686&lt;&gt;"",T686&lt;&gt;"",W686&lt;&gt;"")),"manuell übersteuert; ","")&amp;IF(AND(BO686=0,Q686=0),"Gebinde unbekannt; ","")&amp;IF(AND(BO686=0,N(T686)&lt;=0,N(P686)&lt;=0),"Menge pro Gebinde fehlt (Ist = 1 Gebinde); ","")&amp;BJ686)</f>
        <v/>
      </c>
      <c r="BC686" s="53" t="n"/>
      <c r="BD686" s="53" t="n"/>
      <c r="BE686" s="61" t="n"/>
      <c r="BF686" s="55" t="n">
        <v>0</v>
      </c>
      <c r="BG686" s="55" t="n">
        <v>0</v>
      </c>
      <c r="BH686" s="54" t="n">
        <v>0</v>
      </c>
      <c r="BI686" s="55" t="n">
        <v>0</v>
      </c>
      <c r="BJ686" s="53" t="inlineStr"/>
      <c r="BK686" s="58" t="n">
        <v>0</v>
      </c>
      <c r="BL686" s="58" t="n">
        <v>686</v>
      </c>
      <c r="BM686" s="53">
        <f>IF(S686&lt;&gt;"",UPPER(TRIM(S686)),IF(O686="","LOSE",O686))</f>
        <v/>
      </c>
      <c r="BN686" s="55">
        <f>IF(BM686="LOSE",1,IF(N(T686)&gt;0,T686,IF(N(P686)&gt;0,P686,MAX(1,G686))))</f>
        <v/>
      </c>
      <c r="BO686" s="58">
        <f>IF(BM686="LOSE",1,0)</f>
        <v/>
      </c>
      <c r="BP686" s="64">
        <f>IF(BO686=0,0,IF(N(R686)&gt;0,R686,IFERROR(VLOOKUP(D686,Parameter!$A$35:$C$64,3,0)+0,0)))</f>
        <v/>
      </c>
      <c r="BQ686" s="53">
        <f>IF(V686&lt;&gt;"",V686,U686)</f>
        <v/>
      </c>
      <c r="BR686" s="53">
        <f>IF(BQ686=1,"L1",IF(OR(BQ686=2,BQ686=3),"L23",IF(BQ686="Aussen","Aussen","-")))</f>
        <v/>
      </c>
      <c r="BS686" s="66">
        <f>IF(N(W686)&gt;0,W686,0)</f>
        <v/>
      </c>
      <c r="BT686" s="58">
        <f>IF(ISNUMBER(Z686),1,0)</f>
        <v/>
      </c>
      <c r="BU686" s="55">
        <f>N(Z686)</f>
        <v/>
      </c>
      <c r="BV686" s="55">
        <f>N(L686)+N(M686)</f>
        <v/>
      </c>
      <c r="BW686" s="55">
        <f>ROUNDUP(G686/BN686,0)</f>
        <v/>
      </c>
      <c r="BX686" s="55">
        <f>ROUNDUP(BU686/BN686,0)</f>
        <v/>
      </c>
      <c r="BY686" s="58">
        <f>IF(BO686=1,0,IFERROR(VLOOKUP(BM686,'Gebinde-Kategorie'!$A$5:$G$45,5,0)+0,0))</f>
        <v/>
      </c>
      <c r="BZ686" s="58">
        <f>IFERROR(IF(OR(BQ686=1,BQ686=2,BQ686=3),N(INDEX(Parameter!$I$5:$I$7,BQ686)),0),0)</f>
        <v/>
      </c>
    </row>
    <row r="687">
      <c r="A687" s="53" t="inlineStr">
        <is>
          <t>110753</t>
        </is>
      </c>
      <c r="B687" s="53" t="inlineStr">
        <is>
          <t>Adapter SPGr16 geschweisst Petrobras</t>
        </is>
      </c>
      <c r="C687" s="53" t="inlineStr">
        <is>
          <t>F</t>
        </is>
      </c>
      <c r="D687" s="53" t="inlineStr">
        <is>
          <t>A-BEZ</t>
        </is>
      </c>
      <c r="E687" s="53" t="inlineStr">
        <is>
          <t>C</t>
        </is>
      </c>
      <c r="F687" s="54" t="n">
        <v>2743.64</v>
      </c>
      <c r="G687" s="55">
        <f>MAX(0,IF(Parameter!$B$20="Jahresanfang 2025 + Export",BG687+BF687,BF687))</f>
        <v/>
      </c>
      <c r="H687" s="55">
        <f>G687*F687</f>
        <v/>
      </c>
      <c r="I687" s="55">
        <f>BI687*Parameter!$B$18</f>
        <v/>
      </c>
      <c r="J687" s="56" t="n">
        <v>0</v>
      </c>
      <c r="K687" s="57" t="n">
        <v>0</v>
      </c>
      <c r="L687" s="55" t="n">
        <v>0</v>
      </c>
      <c r="M687" s="55" t="n">
        <v>1</v>
      </c>
      <c r="N687" s="58" t="n">
        <v>70</v>
      </c>
      <c r="O687" s="53" t="inlineStr">
        <is>
          <t>LOSE</t>
        </is>
      </c>
      <c r="P687" s="55" t="n"/>
      <c r="Q687" s="59">
        <f>IF(BO687=1,0,IFERROR(VLOOKUP(BM687,'Gebinde-Kategorie'!$A$5:$G$45,6,0)+0,0))</f>
        <v/>
      </c>
      <c r="R687" s="60" t="n"/>
      <c r="S687" s="61" t="n"/>
      <c r="T687" s="61" t="n"/>
      <c r="U687" s="53">
        <f>IF(A687="","",IF(IFERROR(VLOOKUP(D687,Parameter!$A$35:$C$64,2,0),"Nein")="2+3",IF(ISNUMBER(SEARCH("grosser Artikel",BJ687)),2,IFERROR(VLOOKUP(BM687,Parameter!$F$35:$G$64,2,0),2)),IF(OR(IFERROR(VLOOKUP(D687,Parameter!$A$35:$C$64,2,0),"Nein")="Nein",IFERROR(VLOOKUP(D687,Parameter!$A$35:$C$64,2,0),"Nein")=""),"-",VLOOKUP(D687,Parameter!$A$35:$C$64,2,0))))</f>
        <v/>
      </c>
      <c r="V687" s="61" t="n"/>
      <c r="W687" s="62" t="n"/>
      <c r="X687" s="55">
        <f>AM687</f>
        <v/>
      </c>
      <c r="Y687" s="55">
        <f>MAX(AM687,G687)</f>
        <v/>
      </c>
      <c r="Z687" s="63" t="n"/>
      <c r="AA687" s="55">
        <f>IF(LEFT(Cockpit!$C$5,1)="A",G687,IF(BT687=1,BU687,IF(LEFT(Cockpit!$C$5,1)="B",AE687,MAX(AE687,G687))))</f>
        <v/>
      </c>
      <c r="AB687" s="55">
        <f>IF(BO687=1,0,ROUNDUP(AA687/BN687,0))</f>
        <v/>
      </c>
      <c r="AC687" s="64">
        <f>IF(BO687=1,IF(AA687&lt;=0,0,BP687*MAX(1,IF(G687&gt;0,AA687/G687,1))),AB687*Q687)</f>
        <v/>
      </c>
      <c r="AD687" s="55">
        <f>AA687*F687</f>
        <v/>
      </c>
      <c r="AE687" s="55">
        <f>ROUNDUP(MAX(I687/IF(BS687&gt;0,BS687,MAX(0.1,N(Cockpit!$C$6))),BV687)/BN687,0)*BN687</f>
        <v/>
      </c>
      <c r="AF687" s="56">
        <f>IF(AC687&gt;0,I687/AC687,-1)</f>
        <v/>
      </c>
      <c r="AG687" s="56">
        <f>IF(AND(OR(BR687="L1",BR687="L23"),AC687&gt;0),SUMIFS($AC$7:$AC$1570,$BR$7:$BR$1570,BR687,$AF$7:$AF$1570,"&gt;"&amp;AF687)+SUMIFS($AC$7:$AC$1570,$BR$7:$BR$1570,BR687,$AF$7:$AF$1570,AF687,$BL$7:$BL$1570,"&lt;="&amp;BL687),"")</f>
        <v/>
      </c>
      <c r="AH687" s="65">
        <f>IF(AG687="",0,MAX(0,MIN(1,(IF(BR687="L1",Parameter!$K$5,Parameter!$K$6+Parameter!$K$7)-(AG687-AC687))/AC687)))</f>
        <v/>
      </c>
      <c r="AI687" s="55">
        <f>IF(LEFT(Cockpit!$I$5,1)="A",G687,IF(BT687=1,BU687,IF(LEFT(Cockpit!$I$5,1)="B",AM687,MAX(AM687,G687))))</f>
        <v/>
      </c>
      <c r="AJ687" s="55">
        <f>IF(BO687=1,0,ROUNDUP(AI687/BN687,0))</f>
        <v/>
      </c>
      <c r="AK687" s="64">
        <f>IF(BO687=1,IF(AI687&lt;=0,0,BP687*MAX(1,IF(G687&gt;0,AI687/G687,1))),AJ687*Q687)</f>
        <v/>
      </c>
      <c r="AL687" s="55">
        <f>AI687*F687</f>
        <v/>
      </c>
      <c r="AM687" s="55">
        <f>ROUNDUP(MAX(I687/IF(BS687&gt;0,BS687,MAX(0.1,N(Cockpit!$I$6))),BV687)/BN687,0)*BN687</f>
        <v/>
      </c>
      <c r="AN687" s="56">
        <f>IF(AK687&gt;0,I687/AK687,-1)</f>
        <v/>
      </c>
      <c r="AO687" s="56">
        <f>IF(AND(OR(BR687="L1",BR687="L23"),AK687&gt;0),SUMIFS($AK$7:$AK$1570,$BR$7:$BR$1570,BR687,$AN$7:$AN$1570,"&gt;"&amp;AN687)+SUMIFS($AK$7:$AK$1570,$BR$7:$BR$1570,BR687,$AN$7:$AN$1570,AN687,$BL$7:$BL$1570,"&lt;="&amp;BL687),"")</f>
        <v/>
      </c>
      <c r="AP687" s="65">
        <f>IF(AO687="",0,MAX(0,MIN(1,(IF(BR687="L1",Parameter!$K$5,Parameter!$K$6+Parameter!$K$7)-(AO687-AK687))/AK687)))</f>
        <v/>
      </c>
      <c r="AQ687" s="55">
        <f>IF(LEFT(Cockpit!$O$5,1)="A",G687,IF(BT687=1,BU687,IF(LEFT(Cockpit!$O$5,1)="B",AU687,MAX(AU687,G687))))</f>
        <v/>
      </c>
      <c r="AR687" s="55">
        <f>IF(BO687=1,0,ROUNDUP(AQ687/BN687,0))</f>
        <v/>
      </c>
      <c r="AS687" s="64">
        <f>IF(BO687=1,IF(AQ687&lt;=0,0,BP687*MAX(1,IF(G687&gt;0,AQ687/G687,1))),AR687*Q687)</f>
        <v/>
      </c>
      <c r="AT687" s="55">
        <f>AQ687*F687</f>
        <v/>
      </c>
      <c r="AU687" s="55">
        <f>ROUNDUP(MAX(I687/IF(BS687&gt;0,BS687,MAX(0.1,N(Cockpit!$O$6))),BV687)/BN687,0)*BN687</f>
        <v/>
      </c>
      <c r="AV687" s="56">
        <f>IF(AS687&gt;0,I687/AS687,-1)</f>
        <v/>
      </c>
      <c r="AW687" s="56">
        <f>IF(AND(OR(BR687="L1",BR687="L23"),AS687&gt;0),SUMIFS($AS$7:$AS$1570,$BR$7:$BR$1570,BR687,$AV$7:$AV$1570,"&gt;"&amp;AV687)+SUMIFS($AS$7:$AS$1570,$BR$7:$BR$1570,BR687,$AV$7:$AV$1570,AV687,$BL$7:$BL$1570,"&lt;="&amp;BL687),"")</f>
        <v/>
      </c>
      <c r="AX687" s="65">
        <f>IF(AW687="",0,MAX(0,MIN(1,(IF(BR687="L1",Parameter!$K$5,Parameter!$K$6+Parameter!$K$7)-(AW687-AS687))/AS687)))</f>
        <v/>
      </c>
      <c r="AY687" s="53">
        <f>IF(AC687&lt;=0,"",IF(BR687="Aussen","Aussenlager",IF(BR687="-","Nicht im Lift",IF(AH687&gt;=1,"Lift",IF(AH687&lt;=0,"Aussenlager","teilweise")))))</f>
        <v/>
      </c>
      <c r="AZ687" s="53">
        <f>IF(AK687&lt;=0,"",IF(BR687="Aussen","Aussenlager",IF(BR687="-","Nicht im Lift",IF(AP687&gt;=1,"Lift",IF(AP687&lt;=0,"Aussenlager","teilweise")))))</f>
        <v/>
      </c>
      <c r="BA687" s="53">
        <f>IF(AS687&lt;=0,"",IF(BR687="Aussen","Aussenlager",IF(BR687="-","Nicht im Lift",IF(AX687&gt;=1,"Lift",IF(AX687&lt;=0,"Aussenlager","teilweise")))))</f>
        <v/>
      </c>
      <c r="BB687" s="53">
        <f>IF(A687="","",IF(BK687=1,"Neu; ","")&amp;IF(AND(BK687=0,BF687&lt;0),"negativer Bestand (Export "&amp;BF687&amp;"); ","")&amp;IF(I687&lt;=0,"Kein Verbrauch; ","")&amp;IF(BO687=1,"Lose – Fläche geschätzt; ","")&amp;IF(G687&gt;AM687,"Überbestand "&amp;ROUND(G687-AM687,0)&amp;" Stk / CHF "&amp;ROUND((G687-AM687)*F687,0)&amp;"; ","")&amp;IF(AND(BT687=1,BU687&lt;BV687),"MAX &lt; MB+LG; ","")&amp;IF(AND(BZ687&gt;0,BY687*10&gt;BZ687),"zu hoch für Tablar; ","")&amp;IF(AND(BK687=0,OR(BT687=1,V687&lt;&gt;"",S687&lt;&gt;"",T687&lt;&gt;"",W687&lt;&gt;"")),"manuell übersteuert; ","")&amp;IF(AND(BO687=0,Q687=0),"Gebinde unbekannt; ","")&amp;IF(AND(BO687=0,N(T687)&lt;=0,N(P687)&lt;=0),"Menge pro Gebinde fehlt (Ist = 1 Gebinde); ","")&amp;BJ687)</f>
        <v/>
      </c>
      <c r="BC687" s="53" t="n"/>
      <c r="BD687" s="53" t="n"/>
      <c r="BE687" s="61" t="n"/>
      <c r="BF687" s="55" t="n">
        <v>0</v>
      </c>
      <c r="BG687" s="55" t="n">
        <v>0</v>
      </c>
      <c r="BH687" s="54" t="n">
        <v>0</v>
      </c>
      <c r="BI687" s="55" t="n">
        <v>3</v>
      </c>
      <c r="BJ687" s="53" t="inlineStr"/>
      <c r="BK687" s="58" t="n">
        <v>0</v>
      </c>
      <c r="BL687" s="58" t="n">
        <v>687</v>
      </c>
      <c r="BM687" s="53">
        <f>IF(S687&lt;&gt;"",UPPER(TRIM(S687)),IF(O687="","LOSE",O687))</f>
        <v/>
      </c>
      <c r="BN687" s="55">
        <f>IF(BM687="LOSE",1,IF(N(T687)&gt;0,T687,IF(N(P687)&gt;0,P687,MAX(1,G687))))</f>
        <v/>
      </c>
      <c r="BO687" s="58">
        <f>IF(BM687="LOSE",1,0)</f>
        <v/>
      </c>
      <c r="BP687" s="64">
        <f>IF(BO687=0,0,IF(N(R687)&gt;0,R687,IFERROR(VLOOKUP(D687,Parameter!$A$35:$C$64,3,0)+0,0)))</f>
        <v/>
      </c>
      <c r="BQ687" s="53">
        <f>IF(V687&lt;&gt;"",V687,U687)</f>
        <v/>
      </c>
      <c r="BR687" s="53">
        <f>IF(BQ687=1,"L1",IF(OR(BQ687=2,BQ687=3),"L23",IF(BQ687="Aussen","Aussen","-")))</f>
        <v/>
      </c>
      <c r="BS687" s="66">
        <f>IF(N(W687)&gt;0,W687,0)</f>
        <v/>
      </c>
      <c r="BT687" s="58">
        <f>IF(ISNUMBER(Z687),1,0)</f>
        <v/>
      </c>
      <c r="BU687" s="55">
        <f>N(Z687)</f>
        <v/>
      </c>
      <c r="BV687" s="55">
        <f>N(L687)+N(M687)</f>
        <v/>
      </c>
      <c r="BW687" s="55">
        <f>ROUNDUP(G687/BN687,0)</f>
        <v/>
      </c>
      <c r="BX687" s="55">
        <f>ROUNDUP(BU687/BN687,0)</f>
        <v/>
      </c>
      <c r="BY687" s="58">
        <f>IF(BO687=1,0,IFERROR(VLOOKUP(BM687,'Gebinde-Kategorie'!$A$5:$G$45,5,0)+0,0))</f>
        <v/>
      </c>
      <c r="BZ687" s="58">
        <f>IFERROR(IF(OR(BQ687=1,BQ687=2,BQ687=3),N(INDEX(Parameter!$I$5:$I$7,BQ687)),0),0)</f>
        <v/>
      </c>
    </row>
    <row r="688">
      <c r="A688" s="53" t="inlineStr">
        <is>
          <t>110759</t>
        </is>
      </c>
      <c r="B688" s="53" t="inlineStr">
        <is>
          <t>Kompensator Petrobras SPGr16</t>
        </is>
      </c>
      <c r="C688" s="53" t="inlineStr">
        <is>
          <t>F</t>
        </is>
      </c>
      <c r="D688" s="53" t="inlineStr">
        <is>
          <t>A-BEZ</t>
        </is>
      </c>
      <c r="E688" s="53" t="inlineStr">
        <is>
          <t>C</t>
        </is>
      </c>
      <c r="F688" s="54" t="n">
        <v>3703.81</v>
      </c>
      <c r="G688" s="55">
        <f>MAX(0,IF(Parameter!$B$20="Jahresanfang 2025 + Export",BG688+BF688,BF688))</f>
        <v/>
      </c>
      <c r="H688" s="55">
        <f>G688*F688</f>
        <v/>
      </c>
      <c r="I688" s="55">
        <f>BI688*Parameter!$B$18</f>
        <v/>
      </c>
      <c r="J688" s="56" t="n">
        <v>0</v>
      </c>
      <c r="K688" s="57" t="n">
        <v>0</v>
      </c>
      <c r="L688" s="55" t="n">
        <v>0</v>
      </c>
      <c r="M688" s="55" t="n">
        <v>1</v>
      </c>
      <c r="N688" s="58" t="n">
        <v>90</v>
      </c>
      <c r="O688" s="53" t="inlineStr">
        <is>
          <t>LOSE</t>
        </is>
      </c>
      <c r="P688" s="55" t="n"/>
      <c r="Q688" s="59">
        <f>IF(BO688=1,0,IFERROR(VLOOKUP(BM688,'Gebinde-Kategorie'!$A$5:$G$45,6,0)+0,0))</f>
        <v/>
      </c>
      <c r="R688" s="60" t="n"/>
      <c r="S688" s="61" t="n"/>
      <c r="T688" s="61" t="n"/>
      <c r="U688" s="53">
        <f>IF(A688="","",IF(IFERROR(VLOOKUP(D688,Parameter!$A$35:$C$64,2,0),"Nein")="2+3",IF(ISNUMBER(SEARCH("grosser Artikel",BJ688)),2,IFERROR(VLOOKUP(BM688,Parameter!$F$35:$G$64,2,0),2)),IF(OR(IFERROR(VLOOKUP(D688,Parameter!$A$35:$C$64,2,0),"Nein")="Nein",IFERROR(VLOOKUP(D688,Parameter!$A$35:$C$64,2,0),"Nein")=""),"-",VLOOKUP(D688,Parameter!$A$35:$C$64,2,0))))</f>
        <v/>
      </c>
      <c r="V688" s="61" t="n"/>
      <c r="W688" s="62" t="n"/>
      <c r="X688" s="55">
        <f>AM688</f>
        <v/>
      </c>
      <c r="Y688" s="55">
        <f>MAX(AM688,G688)</f>
        <v/>
      </c>
      <c r="Z688" s="63" t="n"/>
      <c r="AA688" s="55">
        <f>IF(LEFT(Cockpit!$C$5,1)="A",G688,IF(BT688=1,BU688,IF(LEFT(Cockpit!$C$5,1)="B",AE688,MAX(AE688,G688))))</f>
        <v/>
      </c>
      <c r="AB688" s="55">
        <f>IF(BO688=1,0,ROUNDUP(AA688/BN688,0))</f>
        <v/>
      </c>
      <c r="AC688" s="64">
        <f>IF(BO688=1,IF(AA688&lt;=0,0,BP688*MAX(1,IF(G688&gt;0,AA688/G688,1))),AB688*Q688)</f>
        <v/>
      </c>
      <c r="AD688" s="55">
        <f>AA688*F688</f>
        <v/>
      </c>
      <c r="AE688" s="55">
        <f>ROUNDUP(MAX(I688/IF(BS688&gt;0,BS688,MAX(0.1,N(Cockpit!$C$6))),BV688)/BN688,0)*BN688</f>
        <v/>
      </c>
      <c r="AF688" s="56">
        <f>IF(AC688&gt;0,I688/AC688,-1)</f>
        <v/>
      </c>
      <c r="AG688" s="56">
        <f>IF(AND(OR(BR688="L1",BR688="L23"),AC688&gt;0),SUMIFS($AC$7:$AC$1570,$BR$7:$BR$1570,BR688,$AF$7:$AF$1570,"&gt;"&amp;AF688)+SUMIFS($AC$7:$AC$1570,$BR$7:$BR$1570,BR688,$AF$7:$AF$1570,AF688,$BL$7:$BL$1570,"&lt;="&amp;BL688),"")</f>
        <v/>
      </c>
      <c r="AH688" s="65">
        <f>IF(AG688="",0,MAX(0,MIN(1,(IF(BR688="L1",Parameter!$K$5,Parameter!$K$6+Parameter!$K$7)-(AG688-AC688))/AC688)))</f>
        <v/>
      </c>
      <c r="AI688" s="55">
        <f>IF(LEFT(Cockpit!$I$5,1)="A",G688,IF(BT688=1,BU688,IF(LEFT(Cockpit!$I$5,1)="B",AM688,MAX(AM688,G688))))</f>
        <v/>
      </c>
      <c r="AJ688" s="55">
        <f>IF(BO688=1,0,ROUNDUP(AI688/BN688,0))</f>
        <v/>
      </c>
      <c r="AK688" s="64">
        <f>IF(BO688=1,IF(AI688&lt;=0,0,BP688*MAX(1,IF(G688&gt;0,AI688/G688,1))),AJ688*Q688)</f>
        <v/>
      </c>
      <c r="AL688" s="55">
        <f>AI688*F688</f>
        <v/>
      </c>
      <c r="AM688" s="55">
        <f>ROUNDUP(MAX(I688/IF(BS688&gt;0,BS688,MAX(0.1,N(Cockpit!$I$6))),BV688)/BN688,0)*BN688</f>
        <v/>
      </c>
      <c r="AN688" s="56">
        <f>IF(AK688&gt;0,I688/AK688,-1)</f>
        <v/>
      </c>
      <c r="AO688" s="56">
        <f>IF(AND(OR(BR688="L1",BR688="L23"),AK688&gt;0),SUMIFS($AK$7:$AK$1570,$BR$7:$BR$1570,BR688,$AN$7:$AN$1570,"&gt;"&amp;AN688)+SUMIFS($AK$7:$AK$1570,$BR$7:$BR$1570,BR688,$AN$7:$AN$1570,AN688,$BL$7:$BL$1570,"&lt;="&amp;BL688),"")</f>
        <v/>
      </c>
      <c r="AP688" s="65">
        <f>IF(AO688="",0,MAX(0,MIN(1,(IF(BR688="L1",Parameter!$K$5,Parameter!$K$6+Parameter!$K$7)-(AO688-AK688))/AK688)))</f>
        <v/>
      </c>
      <c r="AQ688" s="55">
        <f>IF(LEFT(Cockpit!$O$5,1)="A",G688,IF(BT688=1,BU688,IF(LEFT(Cockpit!$O$5,1)="B",AU688,MAX(AU688,G688))))</f>
        <v/>
      </c>
      <c r="AR688" s="55">
        <f>IF(BO688=1,0,ROUNDUP(AQ688/BN688,0))</f>
        <v/>
      </c>
      <c r="AS688" s="64">
        <f>IF(BO688=1,IF(AQ688&lt;=0,0,BP688*MAX(1,IF(G688&gt;0,AQ688/G688,1))),AR688*Q688)</f>
        <v/>
      </c>
      <c r="AT688" s="55">
        <f>AQ688*F688</f>
        <v/>
      </c>
      <c r="AU688" s="55">
        <f>ROUNDUP(MAX(I688/IF(BS688&gt;0,BS688,MAX(0.1,N(Cockpit!$O$6))),BV688)/BN688,0)*BN688</f>
        <v/>
      </c>
      <c r="AV688" s="56">
        <f>IF(AS688&gt;0,I688/AS688,-1)</f>
        <v/>
      </c>
      <c r="AW688" s="56">
        <f>IF(AND(OR(BR688="L1",BR688="L23"),AS688&gt;0),SUMIFS($AS$7:$AS$1570,$BR$7:$BR$1570,BR688,$AV$7:$AV$1570,"&gt;"&amp;AV688)+SUMIFS($AS$7:$AS$1570,$BR$7:$BR$1570,BR688,$AV$7:$AV$1570,AV688,$BL$7:$BL$1570,"&lt;="&amp;BL688),"")</f>
        <v/>
      </c>
      <c r="AX688" s="65">
        <f>IF(AW688="",0,MAX(0,MIN(1,(IF(BR688="L1",Parameter!$K$5,Parameter!$K$6+Parameter!$K$7)-(AW688-AS688))/AS688)))</f>
        <v/>
      </c>
      <c r="AY688" s="53">
        <f>IF(AC688&lt;=0,"",IF(BR688="Aussen","Aussenlager",IF(BR688="-","Nicht im Lift",IF(AH688&gt;=1,"Lift",IF(AH688&lt;=0,"Aussenlager","teilweise")))))</f>
        <v/>
      </c>
      <c r="AZ688" s="53">
        <f>IF(AK688&lt;=0,"",IF(BR688="Aussen","Aussenlager",IF(BR688="-","Nicht im Lift",IF(AP688&gt;=1,"Lift",IF(AP688&lt;=0,"Aussenlager","teilweise")))))</f>
        <v/>
      </c>
      <c r="BA688" s="53">
        <f>IF(AS688&lt;=0,"",IF(BR688="Aussen","Aussenlager",IF(BR688="-","Nicht im Lift",IF(AX688&gt;=1,"Lift",IF(AX688&lt;=0,"Aussenlager","teilweise")))))</f>
        <v/>
      </c>
      <c r="BB688" s="53">
        <f>IF(A688="","",IF(BK688=1,"Neu; ","")&amp;IF(AND(BK688=0,BF688&lt;0),"negativer Bestand (Export "&amp;BF688&amp;"); ","")&amp;IF(I688&lt;=0,"Kein Verbrauch; ","")&amp;IF(BO688=1,"Lose – Fläche geschätzt; ","")&amp;IF(G688&gt;AM688,"Überbestand "&amp;ROUND(G688-AM688,0)&amp;" Stk / CHF "&amp;ROUND((G688-AM688)*F688,0)&amp;"; ","")&amp;IF(AND(BT688=1,BU688&lt;BV688),"MAX &lt; MB+LG; ","")&amp;IF(AND(BZ688&gt;0,BY688*10&gt;BZ688),"zu hoch für Tablar; ","")&amp;IF(AND(BK688=0,OR(BT688=1,V688&lt;&gt;"",S688&lt;&gt;"",T688&lt;&gt;"",W688&lt;&gt;"")),"manuell übersteuert; ","")&amp;IF(AND(BO688=0,Q688=0),"Gebinde unbekannt; ","")&amp;IF(AND(BO688=0,N(T688)&lt;=0,N(P688)&lt;=0),"Menge pro Gebinde fehlt (Ist = 1 Gebinde); ","")&amp;BJ688)</f>
        <v/>
      </c>
      <c r="BC688" s="53" t="n"/>
      <c r="BD688" s="53" t="n"/>
      <c r="BE688" s="61" t="n"/>
      <c r="BF688" s="55" t="n">
        <v>0</v>
      </c>
      <c r="BG688" s="55" t="n">
        <v>0</v>
      </c>
      <c r="BH688" s="54" t="n">
        <v>0</v>
      </c>
      <c r="BI688" s="55" t="n">
        <v>4</v>
      </c>
      <c r="BJ688" s="53" t="inlineStr"/>
      <c r="BK688" s="58" t="n">
        <v>0</v>
      </c>
      <c r="BL688" s="58" t="n">
        <v>688</v>
      </c>
      <c r="BM688" s="53">
        <f>IF(S688&lt;&gt;"",UPPER(TRIM(S688)),IF(O688="","LOSE",O688))</f>
        <v/>
      </c>
      <c r="BN688" s="55">
        <f>IF(BM688="LOSE",1,IF(N(T688)&gt;0,T688,IF(N(P688)&gt;0,P688,MAX(1,G688))))</f>
        <v/>
      </c>
      <c r="BO688" s="58">
        <f>IF(BM688="LOSE",1,0)</f>
        <v/>
      </c>
      <c r="BP688" s="64">
        <f>IF(BO688=0,0,IF(N(R688)&gt;0,R688,IFERROR(VLOOKUP(D688,Parameter!$A$35:$C$64,3,0)+0,0)))</f>
        <v/>
      </c>
      <c r="BQ688" s="53">
        <f>IF(V688&lt;&gt;"",V688,U688)</f>
        <v/>
      </c>
      <c r="BR688" s="53">
        <f>IF(BQ688=1,"L1",IF(OR(BQ688=2,BQ688=3),"L23",IF(BQ688="Aussen","Aussen","-")))</f>
        <v/>
      </c>
      <c r="BS688" s="66">
        <f>IF(N(W688)&gt;0,W688,0)</f>
        <v/>
      </c>
      <c r="BT688" s="58">
        <f>IF(ISNUMBER(Z688),1,0)</f>
        <v/>
      </c>
      <c r="BU688" s="55">
        <f>N(Z688)</f>
        <v/>
      </c>
      <c r="BV688" s="55">
        <f>N(L688)+N(M688)</f>
        <v/>
      </c>
      <c r="BW688" s="55">
        <f>ROUNDUP(G688/BN688,0)</f>
        <v/>
      </c>
      <c r="BX688" s="55">
        <f>ROUNDUP(BU688/BN688,0)</f>
        <v/>
      </c>
      <c r="BY688" s="58">
        <f>IF(BO688=1,0,IFERROR(VLOOKUP(BM688,'Gebinde-Kategorie'!$A$5:$G$45,5,0)+0,0))</f>
        <v/>
      </c>
      <c r="BZ688" s="58">
        <f>IFERROR(IF(OR(BQ688=1,BQ688=2,BQ688=3),N(INDEX(Parameter!$I$5:$I$7,BQ688)),0),0)</f>
        <v/>
      </c>
    </row>
    <row r="689">
      <c r="A689" s="53" t="inlineStr">
        <is>
          <t>109910</t>
        </is>
      </c>
      <c r="B689" s="53" t="inlineStr">
        <is>
          <t>DIN Schienen-Kit</t>
        </is>
      </c>
      <c r="C689" s="53" t="inlineStr">
        <is>
          <t>F</t>
        </is>
      </c>
      <c r="D689" s="53" t="inlineStr">
        <is>
          <t>KTL</t>
        </is>
      </c>
      <c r="E689" s="53" t="inlineStr">
        <is>
          <t>C</t>
        </is>
      </c>
      <c r="F689" s="54" t="n">
        <v>8.970000000000001</v>
      </c>
      <c r="G689" s="55">
        <f>MAX(0,IF(Parameter!$B$20="Jahresanfang 2025 + Export",BG689+BF689,BF689))</f>
        <v/>
      </c>
      <c r="H689" s="55">
        <f>G689*F689</f>
        <v/>
      </c>
      <c r="I689" s="55">
        <f>BI689*Parameter!$B$18</f>
        <v/>
      </c>
      <c r="J689" s="56" t="n">
        <v>22.5</v>
      </c>
      <c r="K689" s="57" t="n">
        <v>0</v>
      </c>
      <c r="L689" s="55" t="n">
        <v>0</v>
      </c>
      <c r="M689" s="55" t="n">
        <v>1</v>
      </c>
      <c r="N689" s="58" t="n">
        <v>21</v>
      </c>
      <c r="O689" s="53" t="inlineStr">
        <is>
          <t>S32</t>
        </is>
      </c>
      <c r="P689" s="55" t="n">
        <v>25</v>
      </c>
      <c r="Q689" s="59">
        <f>IF(BO689=1,0,IFERROR(VLOOKUP(BM689,'Gebinde-Kategorie'!$A$5:$G$45,6,0)+0,0))</f>
        <v/>
      </c>
      <c r="R689" s="60" t="n"/>
      <c r="S689" s="61" t="n"/>
      <c r="T689" s="61" t="n"/>
      <c r="U689" s="53">
        <f>IF(A689="","",IF(IFERROR(VLOOKUP(D689,Parameter!$A$35:$C$64,2,0),"Nein")="2+3",IF(ISNUMBER(SEARCH("grosser Artikel",BJ689)),2,IFERROR(VLOOKUP(BM689,Parameter!$F$35:$G$64,2,0),2)),IF(OR(IFERROR(VLOOKUP(D689,Parameter!$A$35:$C$64,2,0),"Nein")="Nein",IFERROR(VLOOKUP(D689,Parameter!$A$35:$C$64,2,0),"Nein")=""),"-",VLOOKUP(D689,Parameter!$A$35:$C$64,2,0))))</f>
        <v/>
      </c>
      <c r="V689" s="61" t="n"/>
      <c r="W689" s="62" t="n"/>
      <c r="X689" s="55">
        <f>AM689</f>
        <v/>
      </c>
      <c r="Y689" s="55">
        <f>MAX(AM689,G689)</f>
        <v/>
      </c>
      <c r="Z689" s="63" t="n"/>
      <c r="AA689" s="55">
        <f>IF(LEFT(Cockpit!$C$5,1)="A",G689,IF(BT689=1,BU689,IF(LEFT(Cockpit!$C$5,1)="B",AE689,MAX(AE689,G689))))</f>
        <v/>
      </c>
      <c r="AB689" s="55">
        <f>IF(BO689=1,0,ROUNDUP(AA689/BN689,0))</f>
        <v/>
      </c>
      <c r="AC689" s="64">
        <f>IF(BO689=1,IF(AA689&lt;=0,0,BP689*MAX(1,IF(G689&gt;0,AA689/G689,1))),AB689*Q689)</f>
        <v/>
      </c>
      <c r="AD689" s="55">
        <f>AA689*F689</f>
        <v/>
      </c>
      <c r="AE689" s="55">
        <f>ROUNDUP(MAX(I689/IF(BS689&gt;0,BS689,MAX(0.1,N(Cockpit!$C$6))),BV689)/BN689,0)*BN689</f>
        <v/>
      </c>
      <c r="AF689" s="56">
        <f>IF(AC689&gt;0,I689/AC689,-1)</f>
        <v/>
      </c>
      <c r="AG689" s="56">
        <f>IF(AND(OR(BR689="L1",BR689="L23"),AC689&gt;0),SUMIFS($AC$7:$AC$1570,$BR$7:$BR$1570,BR689,$AF$7:$AF$1570,"&gt;"&amp;AF689)+SUMIFS($AC$7:$AC$1570,$BR$7:$BR$1570,BR689,$AF$7:$AF$1570,AF689,$BL$7:$BL$1570,"&lt;="&amp;BL689),"")</f>
        <v/>
      </c>
      <c r="AH689" s="65">
        <f>IF(AG689="",0,MAX(0,MIN(1,(IF(BR689="L1",Parameter!$K$5,Parameter!$K$6+Parameter!$K$7)-(AG689-AC689))/AC689)))</f>
        <v/>
      </c>
      <c r="AI689" s="55">
        <f>IF(LEFT(Cockpit!$I$5,1)="A",G689,IF(BT689=1,BU689,IF(LEFT(Cockpit!$I$5,1)="B",AM689,MAX(AM689,G689))))</f>
        <v/>
      </c>
      <c r="AJ689" s="55">
        <f>IF(BO689=1,0,ROUNDUP(AI689/BN689,0))</f>
        <v/>
      </c>
      <c r="AK689" s="64">
        <f>IF(BO689=1,IF(AI689&lt;=0,0,BP689*MAX(1,IF(G689&gt;0,AI689/G689,1))),AJ689*Q689)</f>
        <v/>
      </c>
      <c r="AL689" s="55">
        <f>AI689*F689</f>
        <v/>
      </c>
      <c r="AM689" s="55">
        <f>ROUNDUP(MAX(I689/IF(BS689&gt;0,BS689,MAX(0.1,N(Cockpit!$I$6))),BV689)/BN689,0)*BN689</f>
        <v/>
      </c>
      <c r="AN689" s="56">
        <f>IF(AK689&gt;0,I689/AK689,-1)</f>
        <v/>
      </c>
      <c r="AO689" s="56">
        <f>IF(AND(OR(BR689="L1",BR689="L23"),AK689&gt;0),SUMIFS($AK$7:$AK$1570,$BR$7:$BR$1570,BR689,$AN$7:$AN$1570,"&gt;"&amp;AN689)+SUMIFS($AK$7:$AK$1570,$BR$7:$BR$1570,BR689,$AN$7:$AN$1570,AN689,$BL$7:$BL$1570,"&lt;="&amp;BL689),"")</f>
        <v/>
      </c>
      <c r="AP689" s="65">
        <f>IF(AO689="",0,MAX(0,MIN(1,(IF(BR689="L1",Parameter!$K$5,Parameter!$K$6+Parameter!$K$7)-(AO689-AK689))/AK689)))</f>
        <v/>
      </c>
      <c r="AQ689" s="55">
        <f>IF(LEFT(Cockpit!$O$5,1)="A",G689,IF(BT689=1,BU689,IF(LEFT(Cockpit!$O$5,1)="B",AU689,MAX(AU689,G689))))</f>
        <v/>
      </c>
      <c r="AR689" s="55">
        <f>IF(BO689=1,0,ROUNDUP(AQ689/BN689,0))</f>
        <v/>
      </c>
      <c r="AS689" s="64">
        <f>IF(BO689=1,IF(AQ689&lt;=0,0,BP689*MAX(1,IF(G689&gt;0,AQ689/G689,1))),AR689*Q689)</f>
        <v/>
      </c>
      <c r="AT689" s="55">
        <f>AQ689*F689</f>
        <v/>
      </c>
      <c r="AU689" s="55">
        <f>ROUNDUP(MAX(I689/IF(BS689&gt;0,BS689,MAX(0.1,N(Cockpit!$O$6))),BV689)/BN689,0)*BN689</f>
        <v/>
      </c>
      <c r="AV689" s="56">
        <f>IF(AS689&gt;0,I689/AS689,-1)</f>
        <v/>
      </c>
      <c r="AW689" s="56">
        <f>IF(AND(OR(BR689="L1",BR689="L23"),AS689&gt;0),SUMIFS($AS$7:$AS$1570,$BR$7:$BR$1570,BR689,$AV$7:$AV$1570,"&gt;"&amp;AV689)+SUMIFS($AS$7:$AS$1570,$BR$7:$BR$1570,BR689,$AV$7:$AV$1570,AV689,$BL$7:$BL$1570,"&lt;="&amp;BL689),"")</f>
        <v/>
      </c>
      <c r="AX689" s="65">
        <f>IF(AW689="",0,MAX(0,MIN(1,(IF(BR689="L1",Parameter!$K$5,Parameter!$K$6+Parameter!$K$7)-(AW689-AS689))/AS689)))</f>
        <v/>
      </c>
      <c r="AY689" s="53">
        <f>IF(AC689&lt;=0,"",IF(BR689="Aussen","Aussenlager",IF(BR689="-","Nicht im Lift",IF(AH689&gt;=1,"Lift",IF(AH689&lt;=0,"Aussenlager","teilweise")))))</f>
        <v/>
      </c>
      <c r="AZ689" s="53">
        <f>IF(AK689&lt;=0,"",IF(BR689="Aussen","Aussenlager",IF(BR689="-","Nicht im Lift",IF(AP689&gt;=1,"Lift",IF(AP689&lt;=0,"Aussenlager","teilweise")))))</f>
        <v/>
      </c>
      <c r="BA689" s="53">
        <f>IF(AS689&lt;=0,"",IF(BR689="Aussen","Aussenlager",IF(BR689="-","Nicht im Lift",IF(AX689&gt;=1,"Lift",IF(AX689&lt;=0,"Aussenlager","teilweise")))))</f>
        <v/>
      </c>
      <c r="BB689" s="53">
        <f>IF(A689="","",IF(BK689=1,"Neu; ","")&amp;IF(AND(BK689=0,BF689&lt;0),"negativer Bestand (Export "&amp;BF689&amp;"); ","")&amp;IF(I689&lt;=0,"Kein Verbrauch; ","")&amp;IF(BO689=1,"Lose – Fläche geschätzt; ","")&amp;IF(G689&gt;AM689,"Überbestand "&amp;ROUND(G689-AM689,0)&amp;" Stk / CHF "&amp;ROUND((G689-AM689)*F689,0)&amp;"; ","")&amp;IF(AND(BT689=1,BU689&lt;BV689),"MAX &lt; MB+LG; ","")&amp;IF(AND(BZ689&gt;0,BY689*10&gt;BZ689),"zu hoch für Tablar; ","")&amp;IF(AND(BK689=0,OR(BT689=1,V689&lt;&gt;"",S689&lt;&gt;"",T689&lt;&gt;"",W689&lt;&gt;"")),"manuell übersteuert; ","")&amp;IF(AND(BO689=0,Q689=0),"Gebinde unbekannt; ","")&amp;IF(AND(BO689=0,N(T689)&lt;=0,N(P689)&lt;=0),"Menge pro Gebinde fehlt (Ist = 1 Gebinde); ","")&amp;BJ689)</f>
        <v/>
      </c>
      <c r="BC689" s="53" t="n"/>
      <c r="BD689" s="53" t="n"/>
      <c r="BE689" s="61" t="n"/>
      <c r="BF689" s="55" t="n">
        <v>0</v>
      </c>
      <c r="BG689" s="55" t="n">
        <v>22</v>
      </c>
      <c r="BH689" s="54" t="n">
        <v>0</v>
      </c>
      <c r="BI689" s="55" t="n">
        <v>0</v>
      </c>
      <c r="BJ689" s="53" t="inlineStr"/>
      <c r="BK689" s="58" t="n">
        <v>0</v>
      </c>
      <c r="BL689" s="58" t="n">
        <v>689</v>
      </c>
      <c r="BM689" s="53">
        <f>IF(S689&lt;&gt;"",UPPER(TRIM(S689)),IF(O689="","LOSE",O689))</f>
        <v/>
      </c>
      <c r="BN689" s="55">
        <f>IF(BM689="LOSE",1,IF(N(T689)&gt;0,T689,IF(N(P689)&gt;0,P689,MAX(1,G689))))</f>
        <v/>
      </c>
      <c r="BO689" s="58">
        <f>IF(BM689="LOSE",1,0)</f>
        <v/>
      </c>
      <c r="BP689" s="64">
        <f>IF(BO689=0,0,IF(N(R689)&gt;0,R689,IFERROR(VLOOKUP(D689,Parameter!$A$35:$C$64,3,0)+0,0)))</f>
        <v/>
      </c>
      <c r="BQ689" s="53">
        <f>IF(V689&lt;&gt;"",V689,U689)</f>
        <v/>
      </c>
      <c r="BR689" s="53">
        <f>IF(BQ689=1,"L1",IF(OR(BQ689=2,BQ689=3),"L23",IF(BQ689="Aussen","Aussen","-")))</f>
        <v/>
      </c>
      <c r="BS689" s="66">
        <f>IF(N(W689)&gt;0,W689,0)</f>
        <v/>
      </c>
      <c r="BT689" s="58">
        <f>IF(ISNUMBER(Z689),1,0)</f>
        <v/>
      </c>
      <c r="BU689" s="55">
        <f>N(Z689)</f>
        <v/>
      </c>
      <c r="BV689" s="55">
        <f>N(L689)+N(M689)</f>
        <v/>
      </c>
      <c r="BW689" s="55">
        <f>ROUNDUP(G689/BN689,0)</f>
        <v/>
      </c>
      <c r="BX689" s="55">
        <f>ROUNDUP(BU689/BN689,0)</f>
        <v/>
      </c>
      <c r="BY689" s="58">
        <f>IF(BO689=1,0,IFERROR(VLOOKUP(BM689,'Gebinde-Kategorie'!$A$5:$G$45,5,0)+0,0))</f>
        <v/>
      </c>
      <c r="BZ689" s="58">
        <f>IFERROR(IF(OR(BQ689=1,BQ689=2,BQ689=3),N(INDEX(Parameter!$I$5:$I$7,BQ689)),0),0)</f>
        <v/>
      </c>
    </row>
    <row r="690">
      <c r="A690" s="53" t="inlineStr">
        <is>
          <t>109148</t>
        </is>
      </c>
      <c r="B690" s="53" t="inlineStr">
        <is>
          <t>Druckregler</t>
        </is>
      </c>
      <c r="C690" s="53" t="inlineStr">
        <is>
          <t>F</t>
        </is>
      </c>
      <c r="D690" s="53" t="inlineStr">
        <is>
          <t>KTL</t>
        </is>
      </c>
      <c r="E690" s="53" t="inlineStr">
        <is>
          <t>C</t>
        </is>
      </c>
      <c r="F690" s="54" t="n">
        <v>703.8099999999999</v>
      </c>
      <c r="G690" s="55">
        <f>MAX(0,IF(Parameter!$B$20="Jahresanfang 2025 + Export",BG690+BF690,BF690))</f>
        <v/>
      </c>
      <c r="H690" s="55">
        <f>G690*F690</f>
        <v/>
      </c>
      <c r="I690" s="55">
        <f>BI690*Parameter!$B$18</f>
        <v/>
      </c>
      <c r="J690" s="56" t="n">
        <v>17</v>
      </c>
      <c r="K690" s="57" t="n">
        <v>0</v>
      </c>
      <c r="L690" s="55" t="n">
        <v>0</v>
      </c>
      <c r="M690" s="55" t="n">
        <v>1</v>
      </c>
      <c r="N690" s="58" t="n">
        <v>35</v>
      </c>
      <c r="O690" s="53" t="inlineStr">
        <is>
          <t>LOSE</t>
        </is>
      </c>
      <c r="P690" s="55" t="n"/>
      <c r="Q690" s="59">
        <f>IF(BO690=1,0,IFERROR(VLOOKUP(BM690,'Gebinde-Kategorie'!$A$5:$G$45,6,0)+0,0))</f>
        <v/>
      </c>
      <c r="R690" s="60" t="n"/>
      <c r="S690" s="61" t="n"/>
      <c r="T690" s="61" t="n"/>
      <c r="U690" s="53">
        <f>IF(A690="","",IF(IFERROR(VLOOKUP(D690,Parameter!$A$35:$C$64,2,0),"Nein")="2+3",IF(ISNUMBER(SEARCH("grosser Artikel",BJ690)),2,IFERROR(VLOOKUP(BM690,Parameter!$F$35:$G$64,2,0),2)),IF(OR(IFERROR(VLOOKUP(D690,Parameter!$A$35:$C$64,2,0),"Nein")="Nein",IFERROR(VLOOKUP(D690,Parameter!$A$35:$C$64,2,0),"Nein")=""),"-",VLOOKUP(D690,Parameter!$A$35:$C$64,2,0))))</f>
        <v/>
      </c>
      <c r="V690" s="61" t="n"/>
      <c r="W690" s="62" t="n"/>
      <c r="X690" s="55">
        <f>AM690</f>
        <v/>
      </c>
      <c r="Y690" s="55">
        <f>MAX(AM690,G690)</f>
        <v/>
      </c>
      <c r="Z690" s="63" t="n"/>
      <c r="AA690" s="55">
        <f>IF(LEFT(Cockpit!$C$5,1)="A",G690,IF(BT690=1,BU690,IF(LEFT(Cockpit!$C$5,1)="B",AE690,MAX(AE690,G690))))</f>
        <v/>
      </c>
      <c r="AB690" s="55">
        <f>IF(BO690=1,0,ROUNDUP(AA690/BN690,0))</f>
        <v/>
      </c>
      <c r="AC690" s="64">
        <f>IF(BO690=1,IF(AA690&lt;=0,0,BP690*MAX(1,IF(G690&gt;0,AA690/G690,1))),AB690*Q690)</f>
        <v/>
      </c>
      <c r="AD690" s="55">
        <f>AA690*F690</f>
        <v/>
      </c>
      <c r="AE690" s="55">
        <f>ROUNDUP(MAX(I690/IF(BS690&gt;0,BS690,MAX(0.1,N(Cockpit!$C$6))),BV690)/BN690,0)*BN690</f>
        <v/>
      </c>
      <c r="AF690" s="56">
        <f>IF(AC690&gt;0,I690/AC690,-1)</f>
        <v/>
      </c>
      <c r="AG690" s="56">
        <f>IF(AND(OR(BR690="L1",BR690="L23"),AC690&gt;0),SUMIFS($AC$7:$AC$1570,$BR$7:$BR$1570,BR690,$AF$7:$AF$1570,"&gt;"&amp;AF690)+SUMIFS($AC$7:$AC$1570,$BR$7:$BR$1570,BR690,$AF$7:$AF$1570,AF690,$BL$7:$BL$1570,"&lt;="&amp;BL690),"")</f>
        <v/>
      </c>
      <c r="AH690" s="65">
        <f>IF(AG690="",0,MAX(0,MIN(1,(IF(BR690="L1",Parameter!$K$5,Parameter!$K$6+Parameter!$K$7)-(AG690-AC690))/AC690)))</f>
        <v/>
      </c>
      <c r="AI690" s="55">
        <f>IF(LEFT(Cockpit!$I$5,1)="A",G690,IF(BT690=1,BU690,IF(LEFT(Cockpit!$I$5,1)="B",AM690,MAX(AM690,G690))))</f>
        <v/>
      </c>
      <c r="AJ690" s="55">
        <f>IF(BO690=1,0,ROUNDUP(AI690/BN690,0))</f>
        <v/>
      </c>
      <c r="AK690" s="64">
        <f>IF(BO690=1,IF(AI690&lt;=0,0,BP690*MAX(1,IF(G690&gt;0,AI690/G690,1))),AJ690*Q690)</f>
        <v/>
      </c>
      <c r="AL690" s="55">
        <f>AI690*F690</f>
        <v/>
      </c>
      <c r="AM690" s="55">
        <f>ROUNDUP(MAX(I690/IF(BS690&gt;0,BS690,MAX(0.1,N(Cockpit!$I$6))),BV690)/BN690,0)*BN690</f>
        <v/>
      </c>
      <c r="AN690" s="56">
        <f>IF(AK690&gt;0,I690/AK690,-1)</f>
        <v/>
      </c>
      <c r="AO690" s="56">
        <f>IF(AND(OR(BR690="L1",BR690="L23"),AK690&gt;0),SUMIFS($AK$7:$AK$1570,$BR$7:$BR$1570,BR690,$AN$7:$AN$1570,"&gt;"&amp;AN690)+SUMIFS($AK$7:$AK$1570,$BR$7:$BR$1570,BR690,$AN$7:$AN$1570,AN690,$BL$7:$BL$1570,"&lt;="&amp;BL690),"")</f>
        <v/>
      </c>
      <c r="AP690" s="65">
        <f>IF(AO690="",0,MAX(0,MIN(1,(IF(BR690="L1",Parameter!$K$5,Parameter!$K$6+Parameter!$K$7)-(AO690-AK690))/AK690)))</f>
        <v/>
      </c>
      <c r="AQ690" s="55">
        <f>IF(LEFT(Cockpit!$O$5,1)="A",G690,IF(BT690=1,BU690,IF(LEFT(Cockpit!$O$5,1)="B",AU690,MAX(AU690,G690))))</f>
        <v/>
      </c>
      <c r="AR690" s="55">
        <f>IF(BO690=1,0,ROUNDUP(AQ690/BN690,0))</f>
        <v/>
      </c>
      <c r="AS690" s="64">
        <f>IF(BO690=1,IF(AQ690&lt;=0,0,BP690*MAX(1,IF(G690&gt;0,AQ690/G690,1))),AR690*Q690)</f>
        <v/>
      </c>
      <c r="AT690" s="55">
        <f>AQ690*F690</f>
        <v/>
      </c>
      <c r="AU690" s="55">
        <f>ROUNDUP(MAX(I690/IF(BS690&gt;0,BS690,MAX(0.1,N(Cockpit!$O$6))),BV690)/BN690,0)*BN690</f>
        <v/>
      </c>
      <c r="AV690" s="56">
        <f>IF(AS690&gt;0,I690/AS690,-1)</f>
        <v/>
      </c>
      <c r="AW690" s="56">
        <f>IF(AND(OR(BR690="L1",BR690="L23"),AS690&gt;0),SUMIFS($AS$7:$AS$1570,$BR$7:$BR$1570,BR690,$AV$7:$AV$1570,"&gt;"&amp;AV690)+SUMIFS($AS$7:$AS$1570,$BR$7:$BR$1570,BR690,$AV$7:$AV$1570,AV690,$BL$7:$BL$1570,"&lt;="&amp;BL690),"")</f>
        <v/>
      </c>
      <c r="AX690" s="65">
        <f>IF(AW690="",0,MAX(0,MIN(1,(IF(BR690="L1",Parameter!$K$5,Parameter!$K$6+Parameter!$K$7)-(AW690-AS690))/AS690)))</f>
        <v/>
      </c>
      <c r="AY690" s="53">
        <f>IF(AC690&lt;=0,"",IF(BR690="Aussen","Aussenlager",IF(BR690="-","Nicht im Lift",IF(AH690&gt;=1,"Lift",IF(AH690&lt;=0,"Aussenlager","teilweise")))))</f>
        <v/>
      </c>
      <c r="AZ690" s="53">
        <f>IF(AK690&lt;=0,"",IF(BR690="Aussen","Aussenlager",IF(BR690="-","Nicht im Lift",IF(AP690&gt;=1,"Lift",IF(AP690&lt;=0,"Aussenlager","teilweise")))))</f>
        <v/>
      </c>
      <c r="BA690" s="53">
        <f>IF(AS690&lt;=0,"",IF(BR690="Aussen","Aussenlager",IF(BR690="-","Nicht im Lift",IF(AX690&gt;=1,"Lift",IF(AX690&lt;=0,"Aussenlager","teilweise")))))</f>
        <v/>
      </c>
      <c r="BB690" s="53">
        <f>IF(A690="","",IF(BK690=1,"Neu; ","")&amp;IF(AND(BK690=0,BF690&lt;0),"negativer Bestand (Export "&amp;BF690&amp;"); ","")&amp;IF(I690&lt;=0,"Kein Verbrauch; ","")&amp;IF(BO690=1,"Lose – Fläche geschätzt; ","")&amp;IF(G690&gt;AM690,"Überbestand "&amp;ROUND(G690-AM690,0)&amp;" Stk / CHF "&amp;ROUND((G690-AM690)*F690,0)&amp;"; ","")&amp;IF(AND(BT690=1,BU690&lt;BV690),"MAX &lt; MB+LG; ","")&amp;IF(AND(BZ690&gt;0,BY690*10&gt;BZ690),"zu hoch für Tablar; ","")&amp;IF(AND(BK690=0,OR(BT690=1,V690&lt;&gt;"",S690&lt;&gt;"",T690&lt;&gt;"",W690&lt;&gt;"")),"manuell übersteuert; ","")&amp;IF(AND(BO690=0,Q690=0),"Gebinde unbekannt; ","")&amp;IF(AND(BO690=0,N(T690)&lt;=0,N(P690)&lt;=0),"Menge pro Gebinde fehlt (Ist = 1 Gebinde); ","")&amp;BJ690)</f>
        <v/>
      </c>
      <c r="BC690" s="53" t="n"/>
      <c r="BD690" s="53" t="n"/>
      <c r="BE690" s="61" t="n"/>
      <c r="BF690" s="55" t="n">
        <v>0</v>
      </c>
      <c r="BG690" s="55" t="n">
        <v>17</v>
      </c>
      <c r="BH690" s="54" t="n">
        <v>0</v>
      </c>
      <c r="BI690" s="55" t="n">
        <v>0</v>
      </c>
      <c r="BJ690" s="53" t="inlineStr"/>
      <c r="BK690" s="58" t="n">
        <v>0</v>
      </c>
      <c r="BL690" s="58" t="n">
        <v>690</v>
      </c>
      <c r="BM690" s="53">
        <f>IF(S690&lt;&gt;"",UPPER(TRIM(S690)),IF(O690="","LOSE",O690))</f>
        <v/>
      </c>
      <c r="BN690" s="55">
        <f>IF(BM690="LOSE",1,IF(N(T690)&gt;0,T690,IF(N(P690)&gt;0,P690,MAX(1,G690))))</f>
        <v/>
      </c>
      <c r="BO690" s="58">
        <f>IF(BM690="LOSE",1,0)</f>
        <v/>
      </c>
      <c r="BP690" s="64">
        <f>IF(BO690=0,0,IF(N(R690)&gt;0,R690,IFERROR(VLOOKUP(D690,Parameter!$A$35:$C$64,3,0)+0,0)))</f>
        <v/>
      </c>
      <c r="BQ690" s="53">
        <f>IF(V690&lt;&gt;"",V690,U690)</f>
        <v/>
      </c>
      <c r="BR690" s="53">
        <f>IF(BQ690=1,"L1",IF(OR(BQ690=2,BQ690=3),"L23",IF(BQ690="Aussen","Aussen","-")))</f>
        <v/>
      </c>
      <c r="BS690" s="66">
        <f>IF(N(W690)&gt;0,W690,0)</f>
        <v/>
      </c>
      <c r="BT690" s="58">
        <f>IF(ISNUMBER(Z690),1,0)</f>
        <v/>
      </c>
      <c r="BU690" s="55">
        <f>N(Z690)</f>
        <v/>
      </c>
      <c r="BV690" s="55">
        <f>N(L690)+N(M690)</f>
        <v/>
      </c>
      <c r="BW690" s="55">
        <f>ROUNDUP(G690/BN690,0)</f>
        <v/>
      </c>
      <c r="BX690" s="55">
        <f>ROUNDUP(BU690/BN690,0)</f>
        <v/>
      </c>
      <c r="BY690" s="58">
        <f>IF(BO690=1,0,IFERROR(VLOOKUP(BM690,'Gebinde-Kategorie'!$A$5:$G$45,5,0)+0,0))</f>
        <v/>
      </c>
      <c r="BZ690" s="58">
        <f>IFERROR(IF(OR(BQ690=1,BQ690=2,BQ690=3),N(INDEX(Parameter!$I$5:$I$7,BQ690)),0),0)</f>
        <v/>
      </c>
    </row>
    <row r="691">
      <c r="A691" s="53" t="inlineStr">
        <is>
          <t>108444</t>
        </is>
      </c>
      <c r="B691" s="53" t="inlineStr">
        <is>
          <t>Drucktransmitter</t>
        </is>
      </c>
      <c r="C691" s="53" t="inlineStr">
        <is>
          <t>F</t>
        </is>
      </c>
      <c r="D691" s="53" t="inlineStr">
        <is>
          <t>KTL</t>
        </is>
      </c>
      <c r="E691" s="53" t="inlineStr">
        <is>
          <t>C</t>
        </is>
      </c>
      <c r="F691" s="54" t="n">
        <v>137.1</v>
      </c>
      <c r="G691" s="55">
        <f>MAX(0,IF(Parameter!$B$20="Jahresanfang 2025 + Export",BG691+BF691,BF691))</f>
        <v/>
      </c>
      <c r="H691" s="55">
        <f>G691*F691</f>
        <v/>
      </c>
      <c r="I691" s="55">
        <f>BI691*Parameter!$B$18</f>
        <v/>
      </c>
      <c r="J691" s="56" t="n">
        <v>1</v>
      </c>
      <c r="K691" s="57" t="n">
        <v>1</v>
      </c>
      <c r="L691" s="55" t="n">
        <v>0</v>
      </c>
      <c r="M691" s="55" t="n">
        <v>1</v>
      </c>
      <c r="N691" s="58" t="n">
        <v>70</v>
      </c>
      <c r="O691" s="53" t="inlineStr">
        <is>
          <t>S21</t>
        </is>
      </c>
      <c r="P691" s="55" t="n">
        <v>1</v>
      </c>
      <c r="Q691" s="59">
        <f>IF(BO691=1,0,IFERROR(VLOOKUP(BM691,'Gebinde-Kategorie'!$A$5:$G$45,6,0)+0,0))</f>
        <v/>
      </c>
      <c r="R691" s="60" t="n"/>
      <c r="S691" s="61" t="n"/>
      <c r="T691" s="61" t="n"/>
      <c r="U691" s="53">
        <f>IF(A691="","",IF(IFERROR(VLOOKUP(D691,Parameter!$A$35:$C$64,2,0),"Nein")="2+3",IF(ISNUMBER(SEARCH("grosser Artikel",BJ691)),2,IFERROR(VLOOKUP(BM691,Parameter!$F$35:$G$64,2,0),2)),IF(OR(IFERROR(VLOOKUP(D691,Parameter!$A$35:$C$64,2,0),"Nein")="Nein",IFERROR(VLOOKUP(D691,Parameter!$A$35:$C$64,2,0),"Nein")=""),"-",VLOOKUP(D691,Parameter!$A$35:$C$64,2,0))))</f>
        <v/>
      </c>
      <c r="V691" s="61" t="n"/>
      <c r="W691" s="62" t="n"/>
      <c r="X691" s="55">
        <f>AM691</f>
        <v/>
      </c>
      <c r="Y691" s="55">
        <f>MAX(AM691,G691)</f>
        <v/>
      </c>
      <c r="Z691" s="63" t="n"/>
      <c r="AA691" s="55">
        <f>IF(LEFT(Cockpit!$C$5,1)="A",G691,IF(BT691=1,BU691,IF(LEFT(Cockpit!$C$5,1)="B",AE691,MAX(AE691,G691))))</f>
        <v/>
      </c>
      <c r="AB691" s="55">
        <f>IF(BO691=1,0,ROUNDUP(AA691/BN691,0))</f>
        <v/>
      </c>
      <c r="AC691" s="64">
        <f>IF(BO691=1,IF(AA691&lt;=0,0,BP691*MAX(1,IF(G691&gt;0,AA691/G691,1))),AB691*Q691)</f>
        <v/>
      </c>
      <c r="AD691" s="55">
        <f>AA691*F691</f>
        <v/>
      </c>
      <c r="AE691" s="55">
        <f>ROUNDUP(MAX(I691/IF(BS691&gt;0,BS691,MAX(0.1,N(Cockpit!$C$6))),BV691)/BN691,0)*BN691</f>
        <v/>
      </c>
      <c r="AF691" s="56">
        <f>IF(AC691&gt;0,I691/AC691,-1)</f>
        <v/>
      </c>
      <c r="AG691" s="56">
        <f>IF(AND(OR(BR691="L1",BR691="L23"),AC691&gt;0),SUMIFS($AC$7:$AC$1570,$BR$7:$BR$1570,BR691,$AF$7:$AF$1570,"&gt;"&amp;AF691)+SUMIFS($AC$7:$AC$1570,$BR$7:$BR$1570,BR691,$AF$7:$AF$1570,AF691,$BL$7:$BL$1570,"&lt;="&amp;BL691),"")</f>
        <v/>
      </c>
      <c r="AH691" s="65">
        <f>IF(AG691="",0,MAX(0,MIN(1,(IF(BR691="L1",Parameter!$K$5,Parameter!$K$6+Parameter!$K$7)-(AG691-AC691))/AC691)))</f>
        <v/>
      </c>
      <c r="AI691" s="55">
        <f>IF(LEFT(Cockpit!$I$5,1)="A",G691,IF(BT691=1,BU691,IF(LEFT(Cockpit!$I$5,1)="B",AM691,MAX(AM691,G691))))</f>
        <v/>
      </c>
      <c r="AJ691" s="55">
        <f>IF(BO691=1,0,ROUNDUP(AI691/BN691,0))</f>
        <v/>
      </c>
      <c r="AK691" s="64">
        <f>IF(BO691=1,IF(AI691&lt;=0,0,BP691*MAX(1,IF(G691&gt;0,AI691/G691,1))),AJ691*Q691)</f>
        <v/>
      </c>
      <c r="AL691" s="55">
        <f>AI691*F691</f>
        <v/>
      </c>
      <c r="AM691" s="55">
        <f>ROUNDUP(MAX(I691/IF(BS691&gt;0,BS691,MAX(0.1,N(Cockpit!$I$6))),BV691)/BN691,0)*BN691</f>
        <v/>
      </c>
      <c r="AN691" s="56">
        <f>IF(AK691&gt;0,I691/AK691,-1)</f>
        <v/>
      </c>
      <c r="AO691" s="56">
        <f>IF(AND(OR(BR691="L1",BR691="L23"),AK691&gt;0),SUMIFS($AK$7:$AK$1570,$BR$7:$BR$1570,BR691,$AN$7:$AN$1570,"&gt;"&amp;AN691)+SUMIFS($AK$7:$AK$1570,$BR$7:$BR$1570,BR691,$AN$7:$AN$1570,AN691,$BL$7:$BL$1570,"&lt;="&amp;BL691),"")</f>
        <v/>
      </c>
      <c r="AP691" s="65">
        <f>IF(AO691="",0,MAX(0,MIN(1,(IF(BR691="L1",Parameter!$K$5,Parameter!$K$6+Parameter!$K$7)-(AO691-AK691))/AK691)))</f>
        <v/>
      </c>
      <c r="AQ691" s="55">
        <f>IF(LEFT(Cockpit!$O$5,1)="A",G691,IF(BT691=1,BU691,IF(LEFT(Cockpit!$O$5,1)="B",AU691,MAX(AU691,G691))))</f>
        <v/>
      </c>
      <c r="AR691" s="55">
        <f>IF(BO691=1,0,ROUNDUP(AQ691/BN691,0))</f>
        <v/>
      </c>
      <c r="AS691" s="64">
        <f>IF(BO691=1,IF(AQ691&lt;=0,0,BP691*MAX(1,IF(G691&gt;0,AQ691/G691,1))),AR691*Q691)</f>
        <v/>
      </c>
      <c r="AT691" s="55">
        <f>AQ691*F691</f>
        <v/>
      </c>
      <c r="AU691" s="55">
        <f>ROUNDUP(MAX(I691/IF(BS691&gt;0,BS691,MAX(0.1,N(Cockpit!$O$6))),BV691)/BN691,0)*BN691</f>
        <v/>
      </c>
      <c r="AV691" s="56">
        <f>IF(AS691&gt;0,I691/AS691,-1)</f>
        <v/>
      </c>
      <c r="AW691" s="56">
        <f>IF(AND(OR(BR691="L1",BR691="L23"),AS691&gt;0),SUMIFS($AS$7:$AS$1570,$BR$7:$BR$1570,BR691,$AV$7:$AV$1570,"&gt;"&amp;AV691)+SUMIFS($AS$7:$AS$1570,$BR$7:$BR$1570,BR691,$AV$7:$AV$1570,AV691,$BL$7:$BL$1570,"&lt;="&amp;BL691),"")</f>
        <v/>
      </c>
      <c r="AX691" s="65">
        <f>IF(AW691="",0,MAX(0,MIN(1,(IF(BR691="L1",Parameter!$K$5,Parameter!$K$6+Parameter!$K$7)-(AW691-AS691))/AS691)))</f>
        <v/>
      </c>
      <c r="AY691" s="53">
        <f>IF(AC691&lt;=0,"",IF(BR691="Aussen","Aussenlager",IF(BR691="-","Nicht im Lift",IF(AH691&gt;=1,"Lift",IF(AH691&lt;=0,"Aussenlager","teilweise")))))</f>
        <v/>
      </c>
      <c r="AZ691" s="53">
        <f>IF(AK691&lt;=0,"",IF(BR691="Aussen","Aussenlager",IF(BR691="-","Nicht im Lift",IF(AP691&gt;=1,"Lift",IF(AP691&lt;=0,"Aussenlager","teilweise")))))</f>
        <v/>
      </c>
      <c r="BA691" s="53">
        <f>IF(AS691&lt;=0,"",IF(BR691="Aussen","Aussenlager",IF(BR691="-","Nicht im Lift",IF(AX691&gt;=1,"Lift",IF(AX691&lt;=0,"Aussenlager","teilweise")))))</f>
        <v/>
      </c>
      <c r="BB691" s="53">
        <f>IF(A691="","",IF(BK691=1,"Neu; ","")&amp;IF(AND(BK691=0,BF691&lt;0),"negativer Bestand (Export "&amp;BF691&amp;"); ","")&amp;IF(I691&lt;=0,"Kein Verbrauch; ","")&amp;IF(BO691=1,"Lose – Fläche geschätzt; ","")&amp;IF(G691&gt;AM691,"Überbestand "&amp;ROUND(G691-AM691,0)&amp;" Stk / CHF "&amp;ROUND((G691-AM691)*F691,0)&amp;"; ","")&amp;IF(AND(BT691=1,BU691&lt;BV691),"MAX &lt; MB+LG; ","")&amp;IF(AND(BZ691&gt;0,BY691*10&gt;BZ691),"zu hoch für Tablar; ","")&amp;IF(AND(BK691=0,OR(BT691=1,V691&lt;&gt;"",S691&lt;&gt;"",T691&lt;&gt;"",W691&lt;&gt;"")),"manuell übersteuert; ","")&amp;IF(AND(BO691=0,Q691=0),"Gebinde unbekannt; ","")&amp;IF(AND(BO691=0,N(T691)&lt;=0,N(P691)&lt;=0),"Menge pro Gebinde fehlt (Ist = 1 Gebinde); ","")&amp;BJ691)</f>
        <v/>
      </c>
      <c r="BC691" s="53" t="n"/>
      <c r="BD691" s="53" t="n"/>
      <c r="BE691" s="61" t="n"/>
      <c r="BF691" s="55" t="n">
        <v>0</v>
      </c>
      <c r="BG691" s="55" t="n">
        <v>1</v>
      </c>
      <c r="BH691" s="54" t="n">
        <v>0</v>
      </c>
      <c r="BI691" s="55" t="n">
        <v>1</v>
      </c>
      <c r="BJ691" s="53" t="inlineStr"/>
      <c r="BK691" s="58" t="n">
        <v>0</v>
      </c>
      <c r="BL691" s="58" t="n">
        <v>691</v>
      </c>
      <c r="BM691" s="53">
        <f>IF(S691&lt;&gt;"",UPPER(TRIM(S691)),IF(O691="","LOSE",O691))</f>
        <v/>
      </c>
      <c r="BN691" s="55">
        <f>IF(BM691="LOSE",1,IF(N(T691)&gt;0,T691,IF(N(P691)&gt;0,P691,MAX(1,G691))))</f>
        <v/>
      </c>
      <c r="BO691" s="58">
        <f>IF(BM691="LOSE",1,0)</f>
        <v/>
      </c>
      <c r="BP691" s="64">
        <f>IF(BO691=0,0,IF(N(R691)&gt;0,R691,IFERROR(VLOOKUP(D691,Parameter!$A$35:$C$64,3,0)+0,0)))</f>
        <v/>
      </c>
      <c r="BQ691" s="53">
        <f>IF(V691&lt;&gt;"",V691,U691)</f>
        <v/>
      </c>
      <c r="BR691" s="53">
        <f>IF(BQ691=1,"L1",IF(OR(BQ691=2,BQ691=3),"L23",IF(BQ691="Aussen","Aussen","-")))</f>
        <v/>
      </c>
      <c r="BS691" s="66">
        <f>IF(N(W691)&gt;0,W691,0)</f>
        <v/>
      </c>
      <c r="BT691" s="58">
        <f>IF(ISNUMBER(Z691),1,0)</f>
        <v/>
      </c>
      <c r="BU691" s="55">
        <f>N(Z691)</f>
        <v/>
      </c>
      <c r="BV691" s="55">
        <f>N(L691)+N(M691)</f>
        <v/>
      </c>
      <c r="BW691" s="55">
        <f>ROUNDUP(G691/BN691,0)</f>
        <v/>
      </c>
      <c r="BX691" s="55">
        <f>ROUNDUP(BU691/BN691,0)</f>
        <v/>
      </c>
      <c r="BY691" s="58">
        <f>IF(BO691=1,0,IFERROR(VLOOKUP(BM691,'Gebinde-Kategorie'!$A$5:$G$45,5,0)+0,0))</f>
        <v/>
      </c>
      <c r="BZ691" s="58">
        <f>IFERROR(IF(OR(BQ691=1,BQ691=2,BQ691=3),N(INDEX(Parameter!$I$5:$I$7,BQ691)),0),0)</f>
        <v/>
      </c>
    </row>
    <row r="692">
      <c r="A692" s="53" t="inlineStr">
        <is>
          <t>107896</t>
        </is>
      </c>
      <c r="B692" s="53" t="inlineStr">
        <is>
          <t>Luftkompressor AC260</t>
        </is>
      </c>
      <c r="C692" s="53" t="inlineStr">
        <is>
          <t>F</t>
        </is>
      </c>
      <c r="D692" s="53" t="inlineStr">
        <is>
          <t>PAL</t>
        </is>
      </c>
      <c r="E692" s="53" t="inlineStr">
        <is>
          <t>C</t>
        </is>
      </c>
      <c r="F692" s="54" t="n">
        <v>11045.16</v>
      </c>
      <c r="G692" s="55">
        <f>MAX(0,IF(Parameter!$B$20="Jahresanfang 2025 + Export",BG692+BF692,BF692))</f>
        <v/>
      </c>
      <c r="H692" s="55">
        <f>G692*F692</f>
        <v/>
      </c>
      <c r="I692" s="55">
        <f>BI692*Parameter!$B$18</f>
        <v/>
      </c>
      <c r="J692" s="56" t="n">
        <v>0</v>
      </c>
      <c r="K692" s="57" t="n">
        <v>0</v>
      </c>
      <c r="L692" s="55" t="n">
        <v>0</v>
      </c>
      <c r="M692" s="55" t="n">
        <v>1</v>
      </c>
      <c r="N692" s="58" t="n">
        <v>170</v>
      </c>
      <c r="O692" s="53" t="inlineStr">
        <is>
          <t>LOSE</t>
        </is>
      </c>
      <c r="P692" s="55" t="n"/>
      <c r="Q692" s="59">
        <f>IF(BO692=1,0,IFERROR(VLOOKUP(BM692,'Gebinde-Kategorie'!$A$5:$G$45,6,0)+0,0))</f>
        <v/>
      </c>
      <c r="R692" s="60" t="n"/>
      <c r="S692" s="61" t="n"/>
      <c r="T692" s="61" t="n"/>
      <c r="U692" s="53">
        <f>IF(A692="","",IF(IFERROR(VLOOKUP(D692,Parameter!$A$35:$C$64,2,0),"Nein")="2+3",IF(ISNUMBER(SEARCH("grosser Artikel",BJ692)),2,IFERROR(VLOOKUP(BM692,Parameter!$F$35:$G$64,2,0),2)),IF(OR(IFERROR(VLOOKUP(D692,Parameter!$A$35:$C$64,2,0),"Nein")="Nein",IFERROR(VLOOKUP(D692,Parameter!$A$35:$C$64,2,0),"Nein")=""),"-",VLOOKUP(D692,Parameter!$A$35:$C$64,2,0))))</f>
        <v/>
      </c>
      <c r="V692" s="61" t="n"/>
      <c r="W692" s="62" t="n"/>
      <c r="X692" s="55">
        <f>AM692</f>
        <v/>
      </c>
      <c r="Y692" s="55">
        <f>MAX(AM692,G692)</f>
        <v/>
      </c>
      <c r="Z692" s="63" t="n"/>
      <c r="AA692" s="55">
        <f>IF(LEFT(Cockpit!$C$5,1)="A",G692,IF(BT692=1,BU692,IF(LEFT(Cockpit!$C$5,1)="B",AE692,MAX(AE692,G692))))</f>
        <v/>
      </c>
      <c r="AB692" s="55">
        <f>IF(BO692=1,0,ROUNDUP(AA692/BN692,0))</f>
        <v/>
      </c>
      <c r="AC692" s="64">
        <f>IF(BO692=1,IF(AA692&lt;=0,0,BP692*MAX(1,IF(G692&gt;0,AA692/G692,1))),AB692*Q692)</f>
        <v/>
      </c>
      <c r="AD692" s="55">
        <f>AA692*F692</f>
        <v/>
      </c>
      <c r="AE692" s="55">
        <f>ROUNDUP(MAX(I692/IF(BS692&gt;0,BS692,MAX(0.1,N(Cockpit!$C$6))),BV692)/BN692,0)*BN692</f>
        <v/>
      </c>
      <c r="AF692" s="56">
        <f>IF(AC692&gt;0,I692/AC692,-1)</f>
        <v/>
      </c>
      <c r="AG692" s="56">
        <f>IF(AND(OR(BR692="L1",BR692="L23"),AC692&gt;0),SUMIFS($AC$7:$AC$1570,$BR$7:$BR$1570,BR692,$AF$7:$AF$1570,"&gt;"&amp;AF692)+SUMIFS($AC$7:$AC$1570,$BR$7:$BR$1570,BR692,$AF$7:$AF$1570,AF692,$BL$7:$BL$1570,"&lt;="&amp;BL692),"")</f>
        <v/>
      </c>
      <c r="AH692" s="65">
        <f>IF(AG692="",0,MAX(0,MIN(1,(IF(BR692="L1",Parameter!$K$5,Parameter!$K$6+Parameter!$K$7)-(AG692-AC692))/AC692)))</f>
        <v/>
      </c>
      <c r="AI692" s="55">
        <f>IF(LEFT(Cockpit!$I$5,1)="A",G692,IF(BT692=1,BU692,IF(LEFT(Cockpit!$I$5,1)="B",AM692,MAX(AM692,G692))))</f>
        <v/>
      </c>
      <c r="AJ692" s="55">
        <f>IF(BO692=1,0,ROUNDUP(AI692/BN692,0))</f>
        <v/>
      </c>
      <c r="AK692" s="64">
        <f>IF(BO692=1,IF(AI692&lt;=0,0,BP692*MAX(1,IF(G692&gt;0,AI692/G692,1))),AJ692*Q692)</f>
        <v/>
      </c>
      <c r="AL692" s="55">
        <f>AI692*F692</f>
        <v/>
      </c>
      <c r="AM692" s="55">
        <f>ROUNDUP(MAX(I692/IF(BS692&gt;0,BS692,MAX(0.1,N(Cockpit!$I$6))),BV692)/BN692,0)*BN692</f>
        <v/>
      </c>
      <c r="AN692" s="56">
        <f>IF(AK692&gt;0,I692/AK692,-1)</f>
        <v/>
      </c>
      <c r="AO692" s="56">
        <f>IF(AND(OR(BR692="L1",BR692="L23"),AK692&gt;0),SUMIFS($AK$7:$AK$1570,$BR$7:$BR$1570,BR692,$AN$7:$AN$1570,"&gt;"&amp;AN692)+SUMIFS($AK$7:$AK$1570,$BR$7:$BR$1570,BR692,$AN$7:$AN$1570,AN692,$BL$7:$BL$1570,"&lt;="&amp;BL692),"")</f>
        <v/>
      </c>
      <c r="AP692" s="65">
        <f>IF(AO692="",0,MAX(0,MIN(1,(IF(BR692="L1",Parameter!$K$5,Parameter!$K$6+Parameter!$K$7)-(AO692-AK692))/AK692)))</f>
        <v/>
      </c>
      <c r="AQ692" s="55">
        <f>IF(LEFT(Cockpit!$O$5,1)="A",G692,IF(BT692=1,BU692,IF(LEFT(Cockpit!$O$5,1)="B",AU692,MAX(AU692,G692))))</f>
        <v/>
      </c>
      <c r="AR692" s="55">
        <f>IF(BO692=1,0,ROUNDUP(AQ692/BN692,0))</f>
        <v/>
      </c>
      <c r="AS692" s="64">
        <f>IF(BO692=1,IF(AQ692&lt;=0,0,BP692*MAX(1,IF(G692&gt;0,AQ692/G692,1))),AR692*Q692)</f>
        <v/>
      </c>
      <c r="AT692" s="55">
        <f>AQ692*F692</f>
        <v/>
      </c>
      <c r="AU692" s="55">
        <f>ROUNDUP(MAX(I692/IF(BS692&gt;0,BS692,MAX(0.1,N(Cockpit!$O$6))),BV692)/BN692,0)*BN692</f>
        <v/>
      </c>
      <c r="AV692" s="56">
        <f>IF(AS692&gt;0,I692/AS692,-1)</f>
        <v/>
      </c>
      <c r="AW692" s="56">
        <f>IF(AND(OR(BR692="L1",BR692="L23"),AS692&gt;0),SUMIFS($AS$7:$AS$1570,$BR$7:$BR$1570,BR692,$AV$7:$AV$1570,"&gt;"&amp;AV692)+SUMIFS($AS$7:$AS$1570,$BR$7:$BR$1570,BR692,$AV$7:$AV$1570,AV692,$BL$7:$BL$1570,"&lt;="&amp;BL692),"")</f>
        <v/>
      </c>
      <c r="AX692" s="65">
        <f>IF(AW692="",0,MAX(0,MIN(1,(IF(BR692="L1",Parameter!$K$5,Parameter!$K$6+Parameter!$K$7)-(AW692-AS692))/AS692)))</f>
        <v/>
      </c>
      <c r="AY692" s="53">
        <f>IF(AC692&lt;=0,"",IF(BR692="Aussen","Aussenlager",IF(BR692="-","Nicht im Lift",IF(AH692&gt;=1,"Lift",IF(AH692&lt;=0,"Aussenlager","teilweise")))))</f>
        <v/>
      </c>
      <c r="AZ692" s="53">
        <f>IF(AK692&lt;=0,"",IF(BR692="Aussen","Aussenlager",IF(BR692="-","Nicht im Lift",IF(AP692&gt;=1,"Lift",IF(AP692&lt;=0,"Aussenlager","teilweise")))))</f>
        <v/>
      </c>
      <c r="BA692" s="53">
        <f>IF(AS692&lt;=0,"",IF(BR692="Aussen","Aussenlager",IF(BR692="-","Nicht im Lift",IF(AX692&gt;=1,"Lift",IF(AX692&lt;=0,"Aussenlager","teilweise")))))</f>
        <v/>
      </c>
      <c r="BB692" s="53">
        <f>IF(A692="","",IF(BK692=1,"Neu; ","")&amp;IF(AND(BK692=0,BF692&lt;0),"negativer Bestand (Export "&amp;BF692&amp;"); ","")&amp;IF(I692&lt;=0,"Kein Verbrauch; ","")&amp;IF(BO692=1,"Lose – Fläche geschätzt; ","")&amp;IF(G692&gt;AM692,"Überbestand "&amp;ROUND(G692-AM692,0)&amp;" Stk / CHF "&amp;ROUND((G692-AM692)*F692,0)&amp;"; ","")&amp;IF(AND(BT692=1,BU692&lt;BV692),"MAX &lt; MB+LG; ","")&amp;IF(AND(BZ692&gt;0,BY692*10&gt;BZ692),"zu hoch für Tablar; ","")&amp;IF(AND(BK692=0,OR(BT692=1,V692&lt;&gt;"",S692&lt;&gt;"",T692&lt;&gt;"",W692&lt;&gt;"")),"manuell übersteuert; ","")&amp;IF(AND(BO692=0,Q692=0),"Gebinde unbekannt; ","")&amp;IF(AND(BO692=0,N(T692)&lt;=0,N(P692)&lt;=0),"Menge pro Gebinde fehlt (Ist = 1 Gebinde); ","")&amp;BJ692)</f>
        <v/>
      </c>
      <c r="BC692" s="53" t="n"/>
      <c r="BD692" s="53" t="n"/>
      <c r="BE692" s="61" t="n"/>
      <c r="BF692" s="55" t="n">
        <v>0</v>
      </c>
      <c r="BG692" s="55" t="n">
        <v>0</v>
      </c>
      <c r="BH692" s="54" t="n">
        <v>0</v>
      </c>
      <c r="BI692" s="55" t="n">
        <v>2</v>
      </c>
      <c r="BJ692" s="53" t="inlineStr"/>
      <c r="BK692" s="58" t="n">
        <v>0</v>
      </c>
      <c r="BL692" s="58" t="n">
        <v>692</v>
      </c>
      <c r="BM692" s="53">
        <f>IF(S692&lt;&gt;"",UPPER(TRIM(S692)),IF(O692="","LOSE",O692))</f>
        <v/>
      </c>
      <c r="BN692" s="55">
        <f>IF(BM692="LOSE",1,IF(N(T692)&gt;0,T692,IF(N(P692)&gt;0,P692,MAX(1,G692))))</f>
        <v/>
      </c>
      <c r="BO692" s="58">
        <f>IF(BM692="LOSE",1,0)</f>
        <v/>
      </c>
      <c r="BP692" s="64">
        <f>IF(BO692=0,0,IF(N(R692)&gt;0,R692,IFERROR(VLOOKUP(D692,Parameter!$A$35:$C$64,3,0)+0,0)))</f>
        <v/>
      </c>
      <c r="BQ692" s="53">
        <f>IF(V692&lt;&gt;"",V692,U692)</f>
        <v/>
      </c>
      <c r="BR692" s="53">
        <f>IF(BQ692=1,"L1",IF(OR(BQ692=2,BQ692=3),"L23",IF(BQ692="Aussen","Aussen","-")))</f>
        <v/>
      </c>
      <c r="BS692" s="66">
        <f>IF(N(W692)&gt;0,W692,0)</f>
        <v/>
      </c>
      <c r="BT692" s="58">
        <f>IF(ISNUMBER(Z692),1,0)</f>
        <v/>
      </c>
      <c r="BU692" s="55">
        <f>N(Z692)</f>
        <v/>
      </c>
      <c r="BV692" s="55">
        <f>N(L692)+N(M692)</f>
        <v/>
      </c>
      <c r="BW692" s="55">
        <f>ROUNDUP(G692/BN692,0)</f>
        <v/>
      </c>
      <c r="BX692" s="55">
        <f>ROUNDUP(BU692/BN692,0)</f>
        <v/>
      </c>
      <c r="BY692" s="58">
        <f>IF(BO692=1,0,IFERROR(VLOOKUP(BM692,'Gebinde-Kategorie'!$A$5:$G$45,5,0)+0,0))</f>
        <v/>
      </c>
      <c r="BZ692" s="58">
        <f>IFERROR(IF(OR(BQ692=1,BQ692=2,BQ692=3),N(INDEX(Parameter!$I$5:$I$7,BQ692)),0),0)</f>
        <v/>
      </c>
    </row>
    <row r="693">
      <c r="A693" s="53" t="inlineStr">
        <is>
          <t>107668</t>
        </is>
      </c>
      <c r="B693" s="53" t="inlineStr">
        <is>
          <t>Tasche</t>
        </is>
      </c>
      <c r="C693" s="53" t="inlineStr">
        <is>
          <t>F</t>
        </is>
      </c>
      <c r="D693" s="53" t="inlineStr">
        <is>
          <t>KTL</t>
        </is>
      </c>
      <c r="E693" s="53" t="inlineStr">
        <is>
          <t>C</t>
        </is>
      </c>
      <c r="F693" s="54" t="n">
        <v>480</v>
      </c>
      <c r="G693" s="55">
        <f>MAX(0,IF(Parameter!$B$20="Jahresanfang 2025 + Export",BG693+BF693,BF693))</f>
        <v/>
      </c>
      <c r="H693" s="55">
        <f>G693*F693</f>
        <v/>
      </c>
      <c r="I693" s="55">
        <f>BI693*Parameter!$B$18</f>
        <v/>
      </c>
      <c r="J693" s="56" t="n">
        <v>2.5</v>
      </c>
      <c r="K693" s="57" t="n">
        <v>2</v>
      </c>
      <c r="L693" s="55" t="n">
        <v>0</v>
      </c>
      <c r="M693" s="55" t="n">
        <v>5</v>
      </c>
      <c r="N693" s="58" t="n">
        <v>35</v>
      </c>
      <c r="O693" s="53" t="inlineStr">
        <is>
          <t>S71</t>
        </is>
      </c>
      <c r="P693" s="55" t="n">
        <v>1</v>
      </c>
      <c r="Q693" s="59">
        <f>IF(BO693=1,0,IFERROR(VLOOKUP(BM693,'Gebinde-Kategorie'!$A$5:$G$45,6,0)+0,0))</f>
        <v/>
      </c>
      <c r="R693" s="60" t="n"/>
      <c r="S693" s="61" t="n"/>
      <c r="T693" s="61" t="n"/>
      <c r="U693" s="53">
        <f>IF(A693="","",IF(IFERROR(VLOOKUP(D693,Parameter!$A$35:$C$64,2,0),"Nein")="2+3",IF(ISNUMBER(SEARCH("grosser Artikel",BJ693)),2,IFERROR(VLOOKUP(BM693,Parameter!$F$35:$G$64,2,0),2)),IF(OR(IFERROR(VLOOKUP(D693,Parameter!$A$35:$C$64,2,0),"Nein")="Nein",IFERROR(VLOOKUP(D693,Parameter!$A$35:$C$64,2,0),"Nein")=""),"-",VLOOKUP(D693,Parameter!$A$35:$C$64,2,0))))</f>
        <v/>
      </c>
      <c r="V693" s="61" t="n"/>
      <c r="W693" s="62" t="n"/>
      <c r="X693" s="55">
        <f>AM693</f>
        <v/>
      </c>
      <c r="Y693" s="55">
        <f>MAX(AM693,G693)</f>
        <v/>
      </c>
      <c r="Z693" s="63" t="n"/>
      <c r="AA693" s="55">
        <f>IF(LEFT(Cockpit!$C$5,1)="A",G693,IF(BT693=1,BU693,IF(LEFT(Cockpit!$C$5,1)="B",AE693,MAX(AE693,G693))))</f>
        <v/>
      </c>
      <c r="AB693" s="55">
        <f>IF(BO693=1,0,ROUNDUP(AA693/BN693,0))</f>
        <v/>
      </c>
      <c r="AC693" s="64">
        <f>IF(BO693=1,IF(AA693&lt;=0,0,BP693*MAX(1,IF(G693&gt;0,AA693/G693,1))),AB693*Q693)</f>
        <v/>
      </c>
      <c r="AD693" s="55">
        <f>AA693*F693</f>
        <v/>
      </c>
      <c r="AE693" s="55">
        <f>ROUNDUP(MAX(I693/IF(BS693&gt;0,BS693,MAX(0.1,N(Cockpit!$C$6))),BV693)/BN693,0)*BN693</f>
        <v/>
      </c>
      <c r="AF693" s="56">
        <f>IF(AC693&gt;0,I693/AC693,-1)</f>
        <v/>
      </c>
      <c r="AG693" s="56">
        <f>IF(AND(OR(BR693="L1",BR693="L23"),AC693&gt;0),SUMIFS($AC$7:$AC$1570,$BR$7:$BR$1570,BR693,$AF$7:$AF$1570,"&gt;"&amp;AF693)+SUMIFS($AC$7:$AC$1570,$BR$7:$BR$1570,BR693,$AF$7:$AF$1570,AF693,$BL$7:$BL$1570,"&lt;="&amp;BL693),"")</f>
        <v/>
      </c>
      <c r="AH693" s="65">
        <f>IF(AG693="",0,MAX(0,MIN(1,(IF(BR693="L1",Parameter!$K$5,Parameter!$K$6+Parameter!$K$7)-(AG693-AC693))/AC693)))</f>
        <v/>
      </c>
      <c r="AI693" s="55">
        <f>IF(LEFT(Cockpit!$I$5,1)="A",G693,IF(BT693=1,BU693,IF(LEFT(Cockpit!$I$5,1)="B",AM693,MAX(AM693,G693))))</f>
        <v/>
      </c>
      <c r="AJ693" s="55">
        <f>IF(BO693=1,0,ROUNDUP(AI693/BN693,0))</f>
        <v/>
      </c>
      <c r="AK693" s="64">
        <f>IF(BO693=1,IF(AI693&lt;=0,0,BP693*MAX(1,IF(G693&gt;0,AI693/G693,1))),AJ693*Q693)</f>
        <v/>
      </c>
      <c r="AL693" s="55">
        <f>AI693*F693</f>
        <v/>
      </c>
      <c r="AM693" s="55">
        <f>ROUNDUP(MAX(I693/IF(BS693&gt;0,BS693,MAX(0.1,N(Cockpit!$I$6))),BV693)/BN693,0)*BN693</f>
        <v/>
      </c>
      <c r="AN693" s="56">
        <f>IF(AK693&gt;0,I693/AK693,-1)</f>
        <v/>
      </c>
      <c r="AO693" s="56">
        <f>IF(AND(OR(BR693="L1",BR693="L23"),AK693&gt;0),SUMIFS($AK$7:$AK$1570,$BR$7:$BR$1570,BR693,$AN$7:$AN$1570,"&gt;"&amp;AN693)+SUMIFS($AK$7:$AK$1570,$BR$7:$BR$1570,BR693,$AN$7:$AN$1570,AN693,$BL$7:$BL$1570,"&lt;="&amp;BL693),"")</f>
        <v/>
      </c>
      <c r="AP693" s="65">
        <f>IF(AO693="",0,MAX(0,MIN(1,(IF(BR693="L1",Parameter!$K$5,Parameter!$K$6+Parameter!$K$7)-(AO693-AK693))/AK693)))</f>
        <v/>
      </c>
      <c r="AQ693" s="55">
        <f>IF(LEFT(Cockpit!$O$5,1)="A",G693,IF(BT693=1,BU693,IF(LEFT(Cockpit!$O$5,1)="B",AU693,MAX(AU693,G693))))</f>
        <v/>
      </c>
      <c r="AR693" s="55">
        <f>IF(BO693=1,0,ROUNDUP(AQ693/BN693,0))</f>
        <v/>
      </c>
      <c r="AS693" s="64">
        <f>IF(BO693=1,IF(AQ693&lt;=0,0,BP693*MAX(1,IF(G693&gt;0,AQ693/G693,1))),AR693*Q693)</f>
        <v/>
      </c>
      <c r="AT693" s="55">
        <f>AQ693*F693</f>
        <v/>
      </c>
      <c r="AU693" s="55">
        <f>ROUNDUP(MAX(I693/IF(BS693&gt;0,BS693,MAX(0.1,N(Cockpit!$O$6))),BV693)/BN693,0)*BN693</f>
        <v/>
      </c>
      <c r="AV693" s="56">
        <f>IF(AS693&gt;0,I693/AS693,-1)</f>
        <v/>
      </c>
      <c r="AW693" s="56">
        <f>IF(AND(OR(BR693="L1",BR693="L23"),AS693&gt;0),SUMIFS($AS$7:$AS$1570,$BR$7:$BR$1570,BR693,$AV$7:$AV$1570,"&gt;"&amp;AV693)+SUMIFS($AS$7:$AS$1570,$BR$7:$BR$1570,BR693,$AV$7:$AV$1570,AV693,$BL$7:$BL$1570,"&lt;="&amp;BL693),"")</f>
        <v/>
      </c>
      <c r="AX693" s="65">
        <f>IF(AW693="",0,MAX(0,MIN(1,(IF(BR693="L1",Parameter!$K$5,Parameter!$K$6+Parameter!$K$7)-(AW693-AS693))/AS693)))</f>
        <v/>
      </c>
      <c r="AY693" s="53">
        <f>IF(AC693&lt;=0,"",IF(BR693="Aussen","Aussenlager",IF(BR693="-","Nicht im Lift",IF(AH693&gt;=1,"Lift",IF(AH693&lt;=0,"Aussenlager","teilweise")))))</f>
        <v/>
      </c>
      <c r="AZ693" s="53">
        <f>IF(AK693&lt;=0,"",IF(BR693="Aussen","Aussenlager",IF(BR693="-","Nicht im Lift",IF(AP693&gt;=1,"Lift",IF(AP693&lt;=0,"Aussenlager","teilweise")))))</f>
        <v/>
      </c>
      <c r="BA693" s="53">
        <f>IF(AS693&lt;=0,"",IF(BR693="Aussen","Aussenlager",IF(BR693="-","Nicht im Lift",IF(AX693&gt;=1,"Lift",IF(AX693&lt;=0,"Aussenlager","teilweise")))))</f>
        <v/>
      </c>
      <c r="BB693" s="53">
        <f>IF(A693="","",IF(BK693=1,"Neu; ","")&amp;IF(AND(BK693=0,BF693&lt;0),"negativer Bestand (Export "&amp;BF693&amp;"); ","")&amp;IF(I693&lt;=0,"Kein Verbrauch; ","")&amp;IF(BO693=1,"Lose – Fläche geschätzt; ","")&amp;IF(G693&gt;AM693,"Überbestand "&amp;ROUND(G693-AM693,0)&amp;" Stk / CHF "&amp;ROUND((G693-AM693)*F693,0)&amp;"; ","")&amp;IF(AND(BT693=1,BU693&lt;BV693),"MAX &lt; MB+LG; ","")&amp;IF(AND(BZ693&gt;0,BY693*10&gt;BZ693),"zu hoch für Tablar; ","")&amp;IF(AND(BK693=0,OR(BT693=1,V693&lt;&gt;"",S693&lt;&gt;"",T693&lt;&gt;"",W693&lt;&gt;"")),"manuell übersteuert; ","")&amp;IF(AND(BO693=0,Q693=0),"Gebinde unbekannt; ","")&amp;IF(AND(BO693=0,N(T693)&lt;=0,N(P693)&lt;=0),"Menge pro Gebinde fehlt (Ist = 1 Gebinde); ","")&amp;BJ693)</f>
        <v/>
      </c>
      <c r="BC693" s="53" t="n"/>
      <c r="BD693" s="53" t="n"/>
      <c r="BE693" s="61" t="n"/>
      <c r="BF693" s="55" t="n">
        <v>0</v>
      </c>
      <c r="BG693" s="55" t="n">
        <v>4</v>
      </c>
      <c r="BH693" s="54" t="n">
        <v>0</v>
      </c>
      <c r="BI693" s="55" t="n">
        <v>5</v>
      </c>
      <c r="BJ693" s="53" t="inlineStr">
        <is>
          <t>grosser Artikel &amp; nicht im KTL</t>
        </is>
      </c>
      <c r="BK693" s="58" t="n">
        <v>0</v>
      </c>
      <c r="BL693" s="58" t="n">
        <v>693</v>
      </c>
      <c r="BM693" s="53">
        <f>IF(S693&lt;&gt;"",UPPER(TRIM(S693)),IF(O693="","LOSE",O693))</f>
        <v/>
      </c>
      <c r="BN693" s="55">
        <f>IF(BM693="LOSE",1,IF(N(T693)&gt;0,T693,IF(N(P693)&gt;0,P693,MAX(1,G693))))</f>
        <v/>
      </c>
      <c r="BO693" s="58">
        <f>IF(BM693="LOSE",1,0)</f>
        <v/>
      </c>
      <c r="BP693" s="64">
        <f>IF(BO693=0,0,IF(N(R693)&gt;0,R693,IFERROR(VLOOKUP(D693,Parameter!$A$35:$C$64,3,0)+0,0)))</f>
        <v/>
      </c>
      <c r="BQ693" s="53">
        <f>IF(V693&lt;&gt;"",V693,U693)</f>
        <v/>
      </c>
      <c r="BR693" s="53">
        <f>IF(BQ693=1,"L1",IF(OR(BQ693=2,BQ693=3),"L23",IF(BQ693="Aussen","Aussen","-")))</f>
        <v/>
      </c>
      <c r="BS693" s="66">
        <f>IF(N(W693)&gt;0,W693,0)</f>
        <v/>
      </c>
      <c r="BT693" s="58">
        <f>IF(ISNUMBER(Z693),1,0)</f>
        <v/>
      </c>
      <c r="BU693" s="55">
        <f>N(Z693)</f>
        <v/>
      </c>
      <c r="BV693" s="55">
        <f>N(L693)+N(M693)</f>
        <v/>
      </c>
      <c r="BW693" s="55">
        <f>ROUNDUP(G693/BN693,0)</f>
        <v/>
      </c>
      <c r="BX693" s="55">
        <f>ROUNDUP(BU693/BN693,0)</f>
        <v/>
      </c>
      <c r="BY693" s="58">
        <f>IF(BO693=1,0,IFERROR(VLOOKUP(BM693,'Gebinde-Kategorie'!$A$5:$G$45,5,0)+0,0))</f>
        <v/>
      </c>
      <c r="BZ693" s="58">
        <f>IFERROR(IF(OR(BQ693=1,BQ693=2,BQ693=3),N(INDEX(Parameter!$I$5:$I$7,BQ693)),0),0)</f>
        <v/>
      </c>
    </row>
    <row r="694">
      <c r="A694" s="53" t="inlineStr">
        <is>
          <t>107984</t>
        </is>
      </c>
      <c r="B694" s="53" t="inlineStr">
        <is>
          <t>Spülluftmodul</t>
        </is>
      </c>
      <c r="C694" s="53" t="inlineStr">
        <is>
          <t>F</t>
        </is>
      </c>
      <c r="D694" s="53" t="inlineStr">
        <is>
          <t>(leer)</t>
        </is>
      </c>
      <c r="E694" s="53" t="inlineStr">
        <is>
          <t>C</t>
        </is>
      </c>
      <c r="F694" s="54" t="n">
        <v>930</v>
      </c>
      <c r="G694" s="55">
        <f>MAX(0,IF(Parameter!$B$20="Jahresanfang 2025 + Export",BG694+BF694,BF694))</f>
        <v/>
      </c>
      <c r="H694" s="55">
        <f>G694*F694</f>
        <v/>
      </c>
      <c r="I694" s="55">
        <f>BI694*Parameter!$B$18</f>
        <v/>
      </c>
      <c r="J694" s="56" t="n">
        <v>3</v>
      </c>
      <c r="K694" s="57" t="n">
        <v>1.333333333333333</v>
      </c>
      <c r="L694" s="55" t="n">
        <v>0</v>
      </c>
      <c r="M694" s="55" t="n">
        <v>1</v>
      </c>
      <c r="N694" s="58" t="n">
        <v>0</v>
      </c>
      <c r="O694" s="53" t="inlineStr">
        <is>
          <t>LOSE</t>
        </is>
      </c>
      <c r="P694" s="55" t="n"/>
      <c r="Q694" s="59">
        <f>IF(BO694=1,0,IFERROR(VLOOKUP(BM694,'Gebinde-Kategorie'!$A$5:$G$45,6,0)+0,0))</f>
        <v/>
      </c>
      <c r="R694" s="60" t="n"/>
      <c r="S694" s="61" t="n"/>
      <c r="T694" s="61" t="n"/>
      <c r="U694" s="53">
        <f>IF(A694="","",IF(IFERROR(VLOOKUP(D694,Parameter!$A$35:$C$64,2,0),"Nein")="2+3",IF(ISNUMBER(SEARCH("grosser Artikel",BJ694)),2,IFERROR(VLOOKUP(BM694,Parameter!$F$35:$G$64,2,0),2)),IF(OR(IFERROR(VLOOKUP(D694,Parameter!$A$35:$C$64,2,0),"Nein")="Nein",IFERROR(VLOOKUP(D694,Parameter!$A$35:$C$64,2,0),"Nein")=""),"-",VLOOKUP(D694,Parameter!$A$35:$C$64,2,0))))</f>
        <v/>
      </c>
      <c r="V694" s="61" t="n"/>
      <c r="W694" s="62" t="n"/>
      <c r="X694" s="55">
        <f>AM694</f>
        <v/>
      </c>
      <c r="Y694" s="55">
        <f>MAX(AM694,G694)</f>
        <v/>
      </c>
      <c r="Z694" s="63" t="n"/>
      <c r="AA694" s="55">
        <f>IF(LEFT(Cockpit!$C$5,1)="A",G694,IF(BT694=1,BU694,IF(LEFT(Cockpit!$C$5,1)="B",AE694,MAX(AE694,G694))))</f>
        <v/>
      </c>
      <c r="AB694" s="55">
        <f>IF(BO694=1,0,ROUNDUP(AA694/BN694,0))</f>
        <v/>
      </c>
      <c r="AC694" s="64">
        <f>IF(BO694=1,IF(AA694&lt;=0,0,BP694*MAX(1,IF(G694&gt;0,AA694/G694,1))),AB694*Q694)</f>
        <v/>
      </c>
      <c r="AD694" s="55">
        <f>AA694*F694</f>
        <v/>
      </c>
      <c r="AE694" s="55">
        <f>ROUNDUP(MAX(I694/IF(BS694&gt;0,BS694,MAX(0.1,N(Cockpit!$C$6))),BV694)/BN694,0)*BN694</f>
        <v/>
      </c>
      <c r="AF694" s="56">
        <f>IF(AC694&gt;0,I694/AC694,-1)</f>
        <v/>
      </c>
      <c r="AG694" s="56">
        <f>IF(AND(OR(BR694="L1",BR694="L23"),AC694&gt;0),SUMIFS($AC$7:$AC$1570,$BR$7:$BR$1570,BR694,$AF$7:$AF$1570,"&gt;"&amp;AF694)+SUMIFS($AC$7:$AC$1570,$BR$7:$BR$1570,BR694,$AF$7:$AF$1570,AF694,$BL$7:$BL$1570,"&lt;="&amp;BL694),"")</f>
        <v/>
      </c>
      <c r="AH694" s="65">
        <f>IF(AG694="",0,MAX(0,MIN(1,(IF(BR694="L1",Parameter!$K$5,Parameter!$K$6+Parameter!$K$7)-(AG694-AC694))/AC694)))</f>
        <v/>
      </c>
      <c r="AI694" s="55">
        <f>IF(LEFT(Cockpit!$I$5,1)="A",G694,IF(BT694=1,BU694,IF(LEFT(Cockpit!$I$5,1)="B",AM694,MAX(AM694,G694))))</f>
        <v/>
      </c>
      <c r="AJ694" s="55">
        <f>IF(BO694=1,0,ROUNDUP(AI694/BN694,0))</f>
        <v/>
      </c>
      <c r="AK694" s="64">
        <f>IF(BO694=1,IF(AI694&lt;=0,0,BP694*MAX(1,IF(G694&gt;0,AI694/G694,1))),AJ694*Q694)</f>
        <v/>
      </c>
      <c r="AL694" s="55">
        <f>AI694*F694</f>
        <v/>
      </c>
      <c r="AM694" s="55">
        <f>ROUNDUP(MAX(I694/IF(BS694&gt;0,BS694,MAX(0.1,N(Cockpit!$I$6))),BV694)/BN694,0)*BN694</f>
        <v/>
      </c>
      <c r="AN694" s="56">
        <f>IF(AK694&gt;0,I694/AK694,-1)</f>
        <v/>
      </c>
      <c r="AO694" s="56">
        <f>IF(AND(OR(BR694="L1",BR694="L23"),AK694&gt;0),SUMIFS($AK$7:$AK$1570,$BR$7:$BR$1570,BR694,$AN$7:$AN$1570,"&gt;"&amp;AN694)+SUMIFS($AK$7:$AK$1570,$BR$7:$BR$1570,BR694,$AN$7:$AN$1570,AN694,$BL$7:$BL$1570,"&lt;="&amp;BL694),"")</f>
        <v/>
      </c>
      <c r="AP694" s="65">
        <f>IF(AO694="",0,MAX(0,MIN(1,(IF(BR694="L1",Parameter!$K$5,Parameter!$K$6+Parameter!$K$7)-(AO694-AK694))/AK694)))</f>
        <v/>
      </c>
      <c r="AQ694" s="55">
        <f>IF(LEFT(Cockpit!$O$5,1)="A",G694,IF(BT694=1,BU694,IF(LEFT(Cockpit!$O$5,1)="B",AU694,MAX(AU694,G694))))</f>
        <v/>
      </c>
      <c r="AR694" s="55">
        <f>IF(BO694=1,0,ROUNDUP(AQ694/BN694,0))</f>
        <v/>
      </c>
      <c r="AS694" s="64">
        <f>IF(BO694=1,IF(AQ694&lt;=0,0,BP694*MAX(1,IF(G694&gt;0,AQ694/G694,1))),AR694*Q694)</f>
        <v/>
      </c>
      <c r="AT694" s="55">
        <f>AQ694*F694</f>
        <v/>
      </c>
      <c r="AU694" s="55">
        <f>ROUNDUP(MAX(I694/IF(BS694&gt;0,BS694,MAX(0.1,N(Cockpit!$O$6))),BV694)/BN694,0)*BN694</f>
        <v/>
      </c>
      <c r="AV694" s="56">
        <f>IF(AS694&gt;0,I694/AS694,-1)</f>
        <v/>
      </c>
      <c r="AW694" s="56">
        <f>IF(AND(OR(BR694="L1",BR694="L23"),AS694&gt;0),SUMIFS($AS$7:$AS$1570,$BR$7:$BR$1570,BR694,$AV$7:$AV$1570,"&gt;"&amp;AV694)+SUMIFS($AS$7:$AS$1570,$BR$7:$BR$1570,BR694,$AV$7:$AV$1570,AV694,$BL$7:$BL$1570,"&lt;="&amp;BL694),"")</f>
        <v/>
      </c>
      <c r="AX694" s="65">
        <f>IF(AW694="",0,MAX(0,MIN(1,(IF(BR694="L1",Parameter!$K$5,Parameter!$K$6+Parameter!$K$7)-(AW694-AS694))/AS694)))</f>
        <v/>
      </c>
      <c r="AY694" s="53">
        <f>IF(AC694&lt;=0,"",IF(BR694="Aussen","Aussenlager",IF(BR694="-","Nicht im Lift",IF(AH694&gt;=1,"Lift",IF(AH694&lt;=0,"Aussenlager","teilweise")))))</f>
        <v/>
      </c>
      <c r="AZ694" s="53">
        <f>IF(AK694&lt;=0,"",IF(BR694="Aussen","Aussenlager",IF(BR694="-","Nicht im Lift",IF(AP694&gt;=1,"Lift",IF(AP694&lt;=0,"Aussenlager","teilweise")))))</f>
        <v/>
      </c>
      <c r="BA694" s="53">
        <f>IF(AS694&lt;=0,"",IF(BR694="Aussen","Aussenlager",IF(BR694="-","Nicht im Lift",IF(AX694&gt;=1,"Lift",IF(AX694&lt;=0,"Aussenlager","teilweise")))))</f>
        <v/>
      </c>
      <c r="BB694" s="53">
        <f>IF(A694="","",IF(BK694=1,"Neu; ","")&amp;IF(AND(BK694=0,BF694&lt;0),"negativer Bestand (Export "&amp;BF694&amp;"); ","")&amp;IF(I694&lt;=0,"Kein Verbrauch; ","")&amp;IF(BO694=1,"Lose – Fläche geschätzt; ","")&amp;IF(G694&gt;AM694,"Überbestand "&amp;ROUND(G694-AM694,0)&amp;" Stk / CHF "&amp;ROUND((G694-AM694)*F694,0)&amp;"; ","")&amp;IF(AND(BT694=1,BU694&lt;BV694),"MAX &lt; MB+LG; ","")&amp;IF(AND(BZ694&gt;0,BY694*10&gt;BZ694),"zu hoch für Tablar; ","")&amp;IF(AND(BK694=0,OR(BT694=1,V694&lt;&gt;"",S694&lt;&gt;"",T694&lt;&gt;"",W694&lt;&gt;"")),"manuell übersteuert; ","")&amp;IF(AND(BO694=0,Q694=0),"Gebinde unbekannt; ","")&amp;IF(AND(BO694=0,N(T694)&lt;=0,N(P694)&lt;=0),"Menge pro Gebinde fehlt (Ist = 1 Gebinde); ","")&amp;BJ694)</f>
        <v/>
      </c>
      <c r="BC694" s="53" t="n"/>
      <c r="BD694" s="53" t="n"/>
      <c r="BE694" s="61" t="n"/>
      <c r="BF694" s="55" t="n">
        <v>0</v>
      </c>
      <c r="BG694" s="55" t="n">
        <v>0</v>
      </c>
      <c r="BH694" s="54" t="n">
        <v>0</v>
      </c>
      <c r="BI694" s="55" t="n">
        <v>4</v>
      </c>
      <c r="BJ694" s="53" t="inlineStr"/>
      <c r="BK694" s="58" t="n">
        <v>0</v>
      </c>
      <c r="BL694" s="58" t="n">
        <v>694</v>
      </c>
      <c r="BM694" s="53">
        <f>IF(S694&lt;&gt;"",UPPER(TRIM(S694)),IF(O694="","LOSE",O694))</f>
        <v/>
      </c>
      <c r="BN694" s="55">
        <f>IF(BM694="LOSE",1,IF(N(T694)&gt;0,T694,IF(N(P694)&gt;0,P694,MAX(1,G694))))</f>
        <v/>
      </c>
      <c r="BO694" s="58">
        <f>IF(BM694="LOSE",1,0)</f>
        <v/>
      </c>
      <c r="BP694" s="64">
        <f>IF(BO694=0,0,IF(N(R694)&gt;0,R694,IFERROR(VLOOKUP(D694,Parameter!$A$35:$C$64,3,0)+0,0)))</f>
        <v/>
      </c>
      <c r="BQ694" s="53">
        <f>IF(V694&lt;&gt;"",V694,U694)</f>
        <v/>
      </c>
      <c r="BR694" s="53">
        <f>IF(BQ694=1,"L1",IF(OR(BQ694=2,BQ694=3),"L23",IF(BQ694="Aussen","Aussen","-")))</f>
        <v/>
      </c>
      <c r="BS694" s="66">
        <f>IF(N(W694)&gt;0,W694,0)</f>
        <v/>
      </c>
      <c r="BT694" s="58">
        <f>IF(ISNUMBER(Z694),1,0)</f>
        <v/>
      </c>
      <c r="BU694" s="55">
        <f>N(Z694)</f>
        <v/>
      </c>
      <c r="BV694" s="55">
        <f>N(L694)+N(M694)</f>
        <v/>
      </c>
      <c r="BW694" s="55">
        <f>ROUNDUP(G694/BN694,0)</f>
        <v/>
      </c>
      <c r="BX694" s="55">
        <f>ROUNDUP(BU694/BN694,0)</f>
        <v/>
      </c>
      <c r="BY694" s="58">
        <f>IF(BO694=1,0,IFERROR(VLOOKUP(BM694,'Gebinde-Kategorie'!$A$5:$G$45,5,0)+0,0))</f>
        <v/>
      </c>
      <c r="BZ694" s="58">
        <f>IFERROR(IF(OR(BQ694=1,BQ694=2,BQ694=3),N(INDEX(Parameter!$I$5:$I$7,BQ694)),0),0)</f>
        <v/>
      </c>
    </row>
    <row r="695">
      <c r="A695" s="53" t="inlineStr">
        <is>
          <t>106293</t>
        </is>
      </c>
      <c r="B695" s="53" t="inlineStr">
        <is>
          <t>Typenschild</t>
        </is>
      </c>
      <c r="C695" s="53" t="inlineStr">
        <is>
          <t>F</t>
        </is>
      </c>
      <c r="D695" s="53" t="inlineStr">
        <is>
          <t>A-BEZ</t>
        </is>
      </c>
      <c r="E695" s="53" t="inlineStr">
        <is>
          <t>C</t>
        </is>
      </c>
      <c r="F695" s="54" t="n">
        <v>27.23</v>
      </c>
      <c r="G695" s="55">
        <f>MAX(0,IF(Parameter!$B$20="Jahresanfang 2025 + Export",BG695+BF695,BF695))</f>
        <v/>
      </c>
      <c r="H695" s="55">
        <f>G695*F695</f>
        <v/>
      </c>
      <c r="I695" s="55">
        <f>BI695*Parameter!$B$18</f>
        <v/>
      </c>
      <c r="J695" s="56" t="n">
        <v>3.5</v>
      </c>
      <c r="K695" s="57" t="n">
        <v>0</v>
      </c>
      <c r="L695" s="55" t="n">
        <v>0</v>
      </c>
      <c r="M695" s="55" t="n">
        <v>1</v>
      </c>
      <c r="N695" s="58" t="n">
        <v>21</v>
      </c>
      <c r="O695" s="53" t="inlineStr">
        <is>
          <t>LOSE</t>
        </is>
      </c>
      <c r="P695" s="55" t="n"/>
      <c r="Q695" s="59">
        <f>IF(BO695=1,0,IFERROR(VLOOKUP(BM695,'Gebinde-Kategorie'!$A$5:$G$45,6,0)+0,0))</f>
        <v/>
      </c>
      <c r="R695" s="60" t="n"/>
      <c r="S695" s="61" t="n"/>
      <c r="T695" s="61" t="n"/>
      <c r="U695" s="53">
        <f>IF(A695="","",IF(IFERROR(VLOOKUP(D695,Parameter!$A$35:$C$64,2,0),"Nein")="2+3",IF(ISNUMBER(SEARCH("grosser Artikel",BJ695)),2,IFERROR(VLOOKUP(BM695,Parameter!$F$35:$G$64,2,0),2)),IF(OR(IFERROR(VLOOKUP(D695,Parameter!$A$35:$C$64,2,0),"Nein")="Nein",IFERROR(VLOOKUP(D695,Parameter!$A$35:$C$64,2,0),"Nein")=""),"-",VLOOKUP(D695,Parameter!$A$35:$C$64,2,0))))</f>
        <v/>
      </c>
      <c r="V695" s="61" t="n"/>
      <c r="W695" s="62" t="n"/>
      <c r="X695" s="55">
        <f>AM695</f>
        <v/>
      </c>
      <c r="Y695" s="55">
        <f>MAX(AM695,G695)</f>
        <v/>
      </c>
      <c r="Z695" s="63" t="n"/>
      <c r="AA695" s="55">
        <f>IF(LEFT(Cockpit!$C$5,1)="A",G695,IF(BT695=1,BU695,IF(LEFT(Cockpit!$C$5,1)="B",AE695,MAX(AE695,G695))))</f>
        <v/>
      </c>
      <c r="AB695" s="55">
        <f>IF(BO695=1,0,ROUNDUP(AA695/BN695,0))</f>
        <v/>
      </c>
      <c r="AC695" s="64">
        <f>IF(BO695=1,IF(AA695&lt;=0,0,BP695*MAX(1,IF(G695&gt;0,AA695/G695,1))),AB695*Q695)</f>
        <v/>
      </c>
      <c r="AD695" s="55">
        <f>AA695*F695</f>
        <v/>
      </c>
      <c r="AE695" s="55">
        <f>ROUNDUP(MAX(I695/IF(BS695&gt;0,BS695,MAX(0.1,N(Cockpit!$C$6))),BV695)/BN695,0)*BN695</f>
        <v/>
      </c>
      <c r="AF695" s="56">
        <f>IF(AC695&gt;0,I695/AC695,-1)</f>
        <v/>
      </c>
      <c r="AG695" s="56">
        <f>IF(AND(OR(BR695="L1",BR695="L23"),AC695&gt;0),SUMIFS($AC$7:$AC$1570,$BR$7:$BR$1570,BR695,$AF$7:$AF$1570,"&gt;"&amp;AF695)+SUMIFS($AC$7:$AC$1570,$BR$7:$BR$1570,BR695,$AF$7:$AF$1570,AF695,$BL$7:$BL$1570,"&lt;="&amp;BL695),"")</f>
        <v/>
      </c>
      <c r="AH695" s="65">
        <f>IF(AG695="",0,MAX(0,MIN(1,(IF(BR695="L1",Parameter!$K$5,Parameter!$K$6+Parameter!$K$7)-(AG695-AC695))/AC695)))</f>
        <v/>
      </c>
      <c r="AI695" s="55">
        <f>IF(LEFT(Cockpit!$I$5,1)="A",G695,IF(BT695=1,BU695,IF(LEFT(Cockpit!$I$5,1)="B",AM695,MAX(AM695,G695))))</f>
        <v/>
      </c>
      <c r="AJ695" s="55">
        <f>IF(BO695=1,0,ROUNDUP(AI695/BN695,0))</f>
        <v/>
      </c>
      <c r="AK695" s="64">
        <f>IF(BO695=1,IF(AI695&lt;=0,0,BP695*MAX(1,IF(G695&gt;0,AI695/G695,1))),AJ695*Q695)</f>
        <v/>
      </c>
      <c r="AL695" s="55">
        <f>AI695*F695</f>
        <v/>
      </c>
      <c r="AM695" s="55">
        <f>ROUNDUP(MAX(I695/IF(BS695&gt;0,BS695,MAX(0.1,N(Cockpit!$I$6))),BV695)/BN695,0)*BN695</f>
        <v/>
      </c>
      <c r="AN695" s="56">
        <f>IF(AK695&gt;0,I695/AK695,-1)</f>
        <v/>
      </c>
      <c r="AO695" s="56">
        <f>IF(AND(OR(BR695="L1",BR695="L23"),AK695&gt;0),SUMIFS($AK$7:$AK$1570,$BR$7:$BR$1570,BR695,$AN$7:$AN$1570,"&gt;"&amp;AN695)+SUMIFS($AK$7:$AK$1570,$BR$7:$BR$1570,BR695,$AN$7:$AN$1570,AN695,$BL$7:$BL$1570,"&lt;="&amp;BL695),"")</f>
        <v/>
      </c>
      <c r="AP695" s="65">
        <f>IF(AO695="",0,MAX(0,MIN(1,(IF(BR695="L1",Parameter!$K$5,Parameter!$K$6+Parameter!$K$7)-(AO695-AK695))/AK695)))</f>
        <v/>
      </c>
      <c r="AQ695" s="55">
        <f>IF(LEFT(Cockpit!$O$5,1)="A",G695,IF(BT695=1,BU695,IF(LEFT(Cockpit!$O$5,1)="B",AU695,MAX(AU695,G695))))</f>
        <v/>
      </c>
      <c r="AR695" s="55">
        <f>IF(BO695=1,0,ROUNDUP(AQ695/BN695,0))</f>
        <v/>
      </c>
      <c r="AS695" s="64">
        <f>IF(BO695=1,IF(AQ695&lt;=0,0,BP695*MAX(1,IF(G695&gt;0,AQ695/G695,1))),AR695*Q695)</f>
        <v/>
      </c>
      <c r="AT695" s="55">
        <f>AQ695*F695</f>
        <v/>
      </c>
      <c r="AU695" s="55">
        <f>ROUNDUP(MAX(I695/IF(BS695&gt;0,BS695,MAX(0.1,N(Cockpit!$O$6))),BV695)/BN695,0)*BN695</f>
        <v/>
      </c>
      <c r="AV695" s="56">
        <f>IF(AS695&gt;0,I695/AS695,-1)</f>
        <v/>
      </c>
      <c r="AW695" s="56">
        <f>IF(AND(OR(BR695="L1",BR695="L23"),AS695&gt;0),SUMIFS($AS$7:$AS$1570,$BR$7:$BR$1570,BR695,$AV$7:$AV$1570,"&gt;"&amp;AV695)+SUMIFS($AS$7:$AS$1570,$BR$7:$BR$1570,BR695,$AV$7:$AV$1570,AV695,$BL$7:$BL$1570,"&lt;="&amp;BL695),"")</f>
        <v/>
      </c>
      <c r="AX695" s="65">
        <f>IF(AW695="",0,MAX(0,MIN(1,(IF(BR695="L1",Parameter!$K$5,Parameter!$K$6+Parameter!$K$7)-(AW695-AS695))/AS695)))</f>
        <v/>
      </c>
      <c r="AY695" s="53">
        <f>IF(AC695&lt;=0,"",IF(BR695="Aussen","Aussenlager",IF(BR695="-","Nicht im Lift",IF(AH695&gt;=1,"Lift",IF(AH695&lt;=0,"Aussenlager","teilweise")))))</f>
        <v/>
      </c>
      <c r="AZ695" s="53">
        <f>IF(AK695&lt;=0,"",IF(BR695="Aussen","Aussenlager",IF(BR695="-","Nicht im Lift",IF(AP695&gt;=1,"Lift",IF(AP695&lt;=0,"Aussenlager","teilweise")))))</f>
        <v/>
      </c>
      <c r="BA695" s="53">
        <f>IF(AS695&lt;=0,"",IF(BR695="Aussen","Aussenlager",IF(BR695="-","Nicht im Lift",IF(AX695&gt;=1,"Lift",IF(AX695&lt;=0,"Aussenlager","teilweise")))))</f>
        <v/>
      </c>
      <c r="BB695" s="53">
        <f>IF(A695="","",IF(BK695=1,"Neu; ","")&amp;IF(AND(BK695=0,BF695&lt;0),"negativer Bestand (Export "&amp;BF695&amp;"); ","")&amp;IF(I695&lt;=0,"Kein Verbrauch; ","")&amp;IF(BO695=1,"Lose – Fläche geschätzt; ","")&amp;IF(G695&gt;AM695,"Überbestand "&amp;ROUND(G695-AM695,0)&amp;" Stk / CHF "&amp;ROUND((G695-AM695)*F695,0)&amp;"; ","")&amp;IF(AND(BT695=1,BU695&lt;BV695),"MAX &lt; MB+LG; ","")&amp;IF(AND(BZ695&gt;0,BY695*10&gt;BZ695),"zu hoch für Tablar; ","")&amp;IF(AND(BK695=0,OR(BT695=1,V695&lt;&gt;"",S695&lt;&gt;"",T695&lt;&gt;"",W695&lt;&gt;"")),"manuell übersteuert; ","")&amp;IF(AND(BO695=0,Q695=0),"Gebinde unbekannt; ","")&amp;IF(AND(BO695=0,N(T695)&lt;=0,N(P695)&lt;=0),"Menge pro Gebinde fehlt (Ist = 1 Gebinde); ","")&amp;BJ695)</f>
        <v/>
      </c>
      <c r="BC695" s="53" t="n"/>
      <c r="BD695" s="53" t="n"/>
      <c r="BE695" s="61" t="n"/>
      <c r="BF695" s="55" t="n">
        <v>0</v>
      </c>
      <c r="BG695" s="55" t="n">
        <v>4</v>
      </c>
      <c r="BH695" s="54" t="n">
        <v>0</v>
      </c>
      <c r="BI695" s="55" t="n">
        <v>0</v>
      </c>
      <c r="BJ695" s="53" t="inlineStr"/>
      <c r="BK695" s="58" t="n">
        <v>0</v>
      </c>
      <c r="BL695" s="58" t="n">
        <v>695</v>
      </c>
      <c r="BM695" s="53">
        <f>IF(S695&lt;&gt;"",UPPER(TRIM(S695)),IF(O695="","LOSE",O695))</f>
        <v/>
      </c>
      <c r="BN695" s="55">
        <f>IF(BM695="LOSE",1,IF(N(T695)&gt;0,T695,IF(N(P695)&gt;0,P695,MAX(1,G695))))</f>
        <v/>
      </c>
      <c r="BO695" s="58">
        <f>IF(BM695="LOSE",1,0)</f>
        <v/>
      </c>
      <c r="BP695" s="64">
        <f>IF(BO695=0,0,IF(N(R695)&gt;0,R695,IFERROR(VLOOKUP(D695,Parameter!$A$35:$C$64,3,0)+0,0)))</f>
        <v/>
      </c>
      <c r="BQ695" s="53">
        <f>IF(V695&lt;&gt;"",V695,U695)</f>
        <v/>
      </c>
      <c r="BR695" s="53">
        <f>IF(BQ695=1,"L1",IF(OR(BQ695=2,BQ695=3),"L23",IF(BQ695="Aussen","Aussen","-")))</f>
        <v/>
      </c>
      <c r="BS695" s="66">
        <f>IF(N(W695)&gt;0,W695,0)</f>
        <v/>
      </c>
      <c r="BT695" s="58">
        <f>IF(ISNUMBER(Z695),1,0)</f>
        <v/>
      </c>
      <c r="BU695" s="55">
        <f>N(Z695)</f>
        <v/>
      </c>
      <c r="BV695" s="55">
        <f>N(L695)+N(M695)</f>
        <v/>
      </c>
      <c r="BW695" s="55">
        <f>ROUNDUP(G695/BN695,0)</f>
        <v/>
      </c>
      <c r="BX695" s="55">
        <f>ROUNDUP(BU695/BN695,0)</f>
        <v/>
      </c>
      <c r="BY695" s="58">
        <f>IF(BO695=1,0,IFERROR(VLOOKUP(BM695,'Gebinde-Kategorie'!$A$5:$G$45,5,0)+0,0))</f>
        <v/>
      </c>
      <c r="BZ695" s="58">
        <f>IFERROR(IF(OR(BQ695=1,BQ695=2,BQ695=3),N(INDEX(Parameter!$I$5:$I$7,BQ695)),0),0)</f>
        <v/>
      </c>
    </row>
    <row r="696">
      <c r="A696" s="53" t="inlineStr">
        <is>
          <t>106364</t>
        </is>
      </c>
      <c r="B696" s="53" t="inlineStr">
        <is>
          <t>Temperaturfühler PT100</t>
        </is>
      </c>
      <c r="C696" s="53" t="inlineStr">
        <is>
          <t>G</t>
        </is>
      </c>
      <c r="D696" s="53" t="inlineStr">
        <is>
          <t>KTL</t>
        </is>
      </c>
      <c r="E696" s="53" t="inlineStr">
        <is>
          <t>C</t>
        </is>
      </c>
      <c r="F696" s="54" t="n">
        <v>139.35</v>
      </c>
      <c r="G696" s="55">
        <f>MAX(0,IF(Parameter!$B$20="Jahresanfang 2025 + Export",BG696+BF696,BF696))</f>
        <v/>
      </c>
      <c r="H696" s="55">
        <f>G696*F696</f>
        <v/>
      </c>
      <c r="I696" s="55">
        <f>BI696*Parameter!$B$18</f>
        <v/>
      </c>
      <c r="J696" s="56" t="n">
        <v>0</v>
      </c>
      <c r="K696" s="57" t="n">
        <v>0</v>
      </c>
      <c r="L696" s="55" t="n">
        <v>0</v>
      </c>
      <c r="M696" s="55" t="n">
        <v>1</v>
      </c>
      <c r="N696" s="58" t="n">
        <v>56</v>
      </c>
      <c r="O696" s="53" t="inlineStr">
        <is>
          <t>S63</t>
        </is>
      </c>
      <c r="P696" s="55" t="n">
        <v>140</v>
      </c>
      <c r="Q696" s="59">
        <f>IF(BO696=1,0,IFERROR(VLOOKUP(BM696,'Gebinde-Kategorie'!$A$5:$G$45,6,0)+0,0))</f>
        <v/>
      </c>
      <c r="R696" s="60" t="n"/>
      <c r="S696" s="61" t="n"/>
      <c r="T696" s="61" t="n"/>
      <c r="U696" s="53">
        <f>IF(A696="","",IF(IFERROR(VLOOKUP(D696,Parameter!$A$35:$C$64,2,0),"Nein")="2+3",IF(ISNUMBER(SEARCH("grosser Artikel",BJ696)),2,IFERROR(VLOOKUP(BM696,Parameter!$F$35:$G$64,2,0),2)),IF(OR(IFERROR(VLOOKUP(D696,Parameter!$A$35:$C$64,2,0),"Nein")="Nein",IFERROR(VLOOKUP(D696,Parameter!$A$35:$C$64,2,0),"Nein")=""),"-",VLOOKUP(D696,Parameter!$A$35:$C$64,2,0))))</f>
        <v/>
      </c>
      <c r="V696" s="61" t="n"/>
      <c r="W696" s="62" t="n"/>
      <c r="X696" s="55">
        <f>AM696</f>
        <v/>
      </c>
      <c r="Y696" s="55">
        <f>MAX(AM696,G696)</f>
        <v/>
      </c>
      <c r="Z696" s="63" t="n"/>
      <c r="AA696" s="55">
        <f>IF(LEFT(Cockpit!$C$5,1)="A",G696,IF(BT696=1,BU696,IF(LEFT(Cockpit!$C$5,1)="B",AE696,MAX(AE696,G696))))</f>
        <v/>
      </c>
      <c r="AB696" s="55">
        <f>IF(BO696=1,0,ROUNDUP(AA696/BN696,0))</f>
        <v/>
      </c>
      <c r="AC696" s="64">
        <f>IF(BO696=1,IF(AA696&lt;=0,0,BP696*MAX(1,IF(G696&gt;0,AA696/G696,1))),AB696*Q696)</f>
        <v/>
      </c>
      <c r="AD696" s="55">
        <f>AA696*F696</f>
        <v/>
      </c>
      <c r="AE696" s="55">
        <f>ROUNDUP(MAX(I696/IF(BS696&gt;0,BS696,MAX(0.1,N(Cockpit!$C$6))),BV696)/BN696,0)*BN696</f>
        <v/>
      </c>
      <c r="AF696" s="56">
        <f>IF(AC696&gt;0,I696/AC696,-1)</f>
        <v/>
      </c>
      <c r="AG696" s="56">
        <f>IF(AND(OR(BR696="L1",BR696="L23"),AC696&gt;0),SUMIFS($AC$7:$AC$1570,$BR$7:$BR$1570,BR696,$AF$7:$AF$1570,"&gt;"&amp;AF696)+SUMIFS($AC$7:$AC$1570,$BR$7:$BR$1570,BR696,$AF$7:$AF$1570,AF696,$BL$7:$BL$1570,"&lt;="&amp;BL696),"")</f>
        <v/>
      </c>
      <c r="AH696" s="65">
        <f>IF(AG696="",0,MAX(0,MIN(1,(IF(BR696="L1",Parameter!$K$5,Parameter!$K$6+Parameter!$K$7)-(AG696-AC696))/AC696)))</f>
        <v/>
      </c>
      <c r="AI696" s="55">
        <f>IF(LEFT(Cockpit!$I$5,1)="A",G696,IF(BT696=1,BU696,IF(LEFT(Cockpit!$I$5,1)="B",AM696,MAX(AM696,G696))))</f>
        <v/>
      </c>
      <c r="AJ696" s="55">
        <f>IF(BO696=1,0,ROUNDUP(AI696/BN696,0))</f>
        <v/>
      </c>
      <c r="AK696" s="64">
        <f>IF(BO696=1,IF(AI696&lt;=0,0,BP696*MAX(1,IF(G696&gt;0,AI696/G696,1))),AJ696*Q696)</f>
        <v/>
      </c>
      <c r="AL696" s="55">
        <f>AI696*F696</f>
        <v/>
      </c>
      <c r="AM696" s="55">
        <f>ROUNDUP(MAX(I696/IF(BS696&gt;0,BS696,MAX(0.1,N(Cockpit!$I$6))),BV696)/BN696,0)*BN696</f>
        <v/>
      </c>
      <c r="AN696" s="56">
        <f>IF(AK696&gt;0,I696/AK696,-1)</f>
        <v/>
      </c>
      <c r="AO696" s="56">
        <f>IF(AND(OR(BR696="L1",BR696="L23"),AK696&gt;0),SUMIFS($AK$7:$AK$1570,$BR$7:$BR$1570,BR696,$AN$7:$AN$1570,"&gt;"&amp;AN696)+SUMIFS($AK$7:$AK$1570,$BR$7:$BR$1570,BR696,$AN$7:$AN$1570,AN696,$BL$7:$BL$1570,"&lt;="&amp;BL696),"")</f>
        <v/>
      </c>
      <c r="AP696" s="65">
        <f>IF(AO696="",0,MAX(0,MIN(1,(IF(BR696="L1",Parameter!$K$5,Parameter!$K$6+Parameter!$K$7)-(AO696-AK696))/AK696)))</f>
        <v/>
      </c>
      <c r="AQ696" s="55">
        <f>IF(LEFT(Cockpit!$O$5,1)="A",G696,IF(BT696=1,BU696,IF(LEFT(Cockpit!$O$5,1)="B",AU696,MAX(AU696,G696))))</f>
        <v/>
      </c>
      <c r="AR696" s="55">
        <f>IF(BO696=1,0,ROUNDUP(AQ696/BN696,0))</f>
        <v/>
      </c>
      <c r="AS696" s="64">
        <f>IF(BO696=1,IF(AQ696&lt;=0,0,BP696*MAX(1,IF(G696&gt;0,AQ696/G696,1))),AR696*Q696)</f>
        <v/>
      </c>
      <c r="AT696" s="55">
        <f>AQ696*F696</f>
        <v/>
      </c>
      <c r="AU696" s="55">
        <f>ROUNDUP(MAX(I696/IF(BS696&gt;0,BS696,MAX(0.1,N(Cockpit!$O$6))),BV696)/BN696,0)*BN696</f>
        <v/>
      </c>
      <c r="AV696" s="56">
        <f>IF(AS696&gt;0,I696/AS696,-1)</f>
        <v/>
      </c>
      <c r="AW696" s="56">
        <f>IF(AND(OR(BR696="L1",BR696="L23"),AS696&gt;0),SUMIFS($AS$7:$AS$1570,$BR$7:$BR$1570,BR696,$AV$7:$AV$1570,"&gt;"&amp;AV696)+SUMIFS($AS$7:$AS$1570,$BR$7:$BR$1570,BR696,$AV$7:$AV$1570,AV696,$BL$7:$BL$1570,"&lt;="&amp;BL696),"")</f>
        <v/>
      </c>
      <c r="AX696" s="65">
        <f>IF(AW696="",0,MAX(0,MIN(1,(IF(BR696="L1",Parameter!$K$5,Parameter!$K$6+Parameter!$K$7)-(AW696-AS696))/AS696)))</f>
        <v/>
      </c>
      <c r="AY696" s="53">
        <f>IF(AC696&lt;=0,"",IF(BR696="Aussen","Aussenlager",IF(BR696="-","Nicht im Lift",IF(AH696&gt;=1,"Lift",IF(AH696&lt;=0,"Aussenlager","teilweise")))))</f>
        <v/>
      </c>
      <c r="AZ696" s="53">
        <f>IF(AK696&lt;=0,"",IF(BR696="Aussen","Aussenlager",IF(BR696="-","Nicht im Lift",IF(AP696&gt;=1,"Lift",IF(AP696&lt;=0,"Aussenlager","teilweise")))))</f>
        <v/>
      </c>
      <c r="BA696" s="53">
        <f>IF(AS696&lt;=0,"",IF(BR696="Aussen","Aussenlager",IF(BR696="-","Nicht im Lift",IF(AX696&gt;=1,"Lift",IF(AX696&lt;=0,"Aussenlager","teilweise")))))</f>
        <v/>
      </c>
      <c r="BB696" s="53">
        <f>IF(A696="","",IF(BK696=1,"Neu; ","")&amp;IF(AND(BK696=0,BF696&lt;0),"negativer Bestand (Export "&amp;BF696&amp;"); ","")&amp;IF(I696&lt;=0,"Kein Verbrauch; ","")&amp;IF(BO696=1,"Lose – Fläche geschätzt; ","")&amp;IF(G696&gt;AM696,"Überbestand "&amp;ROUND(G696-AM696,0)&amp;" Stk / CHF "&amp;ROUND((G696-AM696)*F696,0)&amp;"; ","")&amp;IF(AND(BT696=1,BU696&lt;BV696),"MAX &lt; MB+LG; ","")&amp;IF(AND(BZ696&gt;0,BY696*10&gt;BZ696),"zu hoch für Tablar; ","")&amp;IF(AND(BK696=0,OR(BT696=1,V696&lt;&gt;"",S696&lt;&gt;"",T696&lt;&gt;"",W696&lt;&gt;"")),"manuell übersteuert; ","")&amp;IF(AND(BO696=0,Q696=0),"Gebinde unbekannt; ","")&amp;IF(AND(BO696=0,N(T696)&lt;=0,N(P696)&lt;=0),"Menge pro Gebinde fehlt (Ist = 1 Gebinde); ","")&amp;BJ696)</f>
        <v/>
      </c>
      <c r="BC696" s="53" t="n"/>
      <c r="BD696" s="53" t="n"/>
      <c r="BE696" s="61" t="n"/>
      <c r="BF696" s="55" t="n">
        <v>0</v>
      </c>
      <c r="BG696" s="55" t="n">
        <v>0</v>
      </c>
      <c r="BH696" s="54" t="n">
        <v>0</v>
      </c>
      <c r="BI696" s="55" t="n">
        <v>0</v>
      </c>
      <c r="BJ696" s="53" t="inlineStr"/>
      <c r="BK696" s="58" t="n">
        <v>0</v>
      </c>
      <c r="BL696" s="58" t="n">
        <v>696</v>
      </c>
      <c r="BM696" s="53">
        <f>IF(S696&lt;&gt;"",UPPER(TRIM(S696)),IF(O696="","LOSE",O696))</f>
        <v/>
      </c>
      <c r="BN696" s="55">
        <f>IF(BM696="LOSE",1,IF(N(T696)&gt;0,T696,IF(N(P696)&gt;0,P696,MAX(1,G696))))</f>
        <v/>
      </c>
      <c r="BO696" s="58">
        <f>IF(BM696="LOSE",1,0)</f>
        <v/>
      </c>
      <c r="BP696" s="64">
        <f>IF(BO696=0,0,IF(N(R696)&gt;0,R696,IFERROR(VLOOKUP(D696,Parameter!$A$35:$C$64,3,0)+0,0)))</f>
        <v/>
      </c>
      <c r="BQ696" s="53">
        <f>IF(V696&lt;&gt;"",V696,U696)</f>
        <v/>
      </c>
      <c r="BR696" s="53">
        <f>IF(BQ696=1,"L1",IF(OR(BQ696=2,BQ696=3),"L23",IF(BQ696="Aussen","Aussen","-")))</f>
        <v/>
      </c>
      <c r="BS696" s="66">
        <f>IF(N(W696)&gt;0,W696,0)</f>
        <v/>
      </c>
      <c r="BT696" s="58">
        <f>IF(ISNUMBER(Z696),1,0)</f>
        <v/>
      </c>
      <c r="BU696" s="55">
        <f>N(Z696)</f>
        <v/>
      </c>
      <c r="BV696" s="55">
        <f>N(L696)+N(M696)</f>
        <v/>
      </c>
      <c r="BW696" s="55">
        <f>ROUNDUP(G696/BN696,0)</f>
        <v/>
      </c>
      <c r="BX696" s="55">
        <f>ROUNDUP(BU696/BN696,0)</f>
        <v/>
      </c>
      <c r="BY696" s="58">
        <f>IF(BO696=1,0,IFERROR(VLOOKUP(BM696,'Gebinde-Kategorie'!$A$5:$G$45,5,0)+0,0))</f>
        <v/>
      </c>
      <c r="BZ696" s="58">
        <f>IFERROR(IF(OR(BQ696=1,BQ696=2,BQ696=3),N(INDEX(Parameter!$I$5:$I$7,BQ696)),0),0)</f>
        <v/>
      </c>
    </row>
    <row r="697">
      <c r="A697" s="53" t="inlineStr">
        <is>
          <t>106993</t>
        </is>
      </c>
      <c r="B697" s="53" t="inlineStr">
        <is>
          <t>Leitungsschutzschalter 4A</t>
        </is>
      </c>
      <c r="C697" s="53" t="inlineStr">
        <is>
          <t>F</t>
        </is>
      </c>
      <c r="D697" s="53" t="inlineStr">
        <is>
          <t>KTL</t>
        </is>
      </c>
      <c r="E697" s="53" t="inlineStr">
        <is>
          <t>C</t>
        </is>
      </c>
      <c r="F697" s="54" t="n">
        <v>51.81</v>
      </c>
      <c r="G697" s="55">
        <f>MAX(0,IF(Parameter!$B$20="Jahresanfang 2025 + Export",BG697+BF697,BF697))</f>
        <v/>
      </c>
      <c r="H697" s="55">
        <f>G697*F697</f>
        <v/>
      </c>
      <c r="I697" s="55">
        <f>BI697*Parameter!$B$18</f>
        <v/>
      </c>
      <c r="J697" s="56" t="n">
        <v>7</v>
      </c>
      <c r="K697" s="57" t="n">
        <v>0.1428571428571428</v>
      </c>
      <c r="L697" s="55" t="n">
        <v>0</v>
      </c>
      <c r="M697" s="55" t="n">
        <v>1</v>
      </c>
      <c r="N697" s="58" t="n">
        <v>42</v>
      </c>
      <c r="O697" s="53" t="inlineStr">
        <is>
          <t>S32</t>
        </is>
      </c>
      <c r="P697" s="55" t="n">
        <v>4</v>
      </c>
      <c r="Q697" s="59">
        <f>IF(BO697=1,0,IFERROR(VLOOKUP(BM697,'Gebinde-Kategorie'!$A$5:$G$45,6,0)+0,0))</f>
        <v/>
      </c>
      <c r="R697" s="60" t="n"/>
      <c r="S697" s="61" t="n"/>
      <c r="T697" s="61" t="n"/>
      <c r="U697" s="53">
        <f>IF(A697="","",IF(IFERROR(VLOOKUP(D697,Parameter!$A$35:$C$64,2,0),"Nein")="2+3",IF(ISNUMBER(SEARCH("grosser Artikel",BJ697)),2,IFERROR(VLOOKUP(BM697,Parameter!$F$35:$G$64,2,0),2)),IF(OR(IFERROR(VLOOKUP(D697,Parameter!$A$35:$C$64,2,0),"Nein")="Nein",IFERROR(VLOOKUP(D697,Parameter!$A$35:$C$64,2,0),"Nein")=""),"-",VLOOKUP(D697,Parameter!$A$35:$C$64,2,0))))</f>
        <v/>
      </c>
      <c r="V697" s="61" t="n"/>
      <c r="W697" s="62" t="n"/>
      <c r="X697" s="55">
        <f>AM697</f>
        <v/>
      </c>
      <c r="Y697" s="55">
        <f>MAX(AM697,G697)</f>
        <v/>
      </c>
      <c r="Z697" s="63" t="n"/>
      <c r="AA697" s="55">
        <f>IF(LEFT(Cockpit!$C$5,1)="A",G697,IF(BT697=1,BU697,IF(LEFT(Cockpit!$C$5,1)="B",AE697,MAX(AE697,G697))))</f>
        <v/>
      </c>
      <c r="AB697" s="55">
        <f>IF(BO697=1,0,ROUNDUP(AA697/BN697,0))</f>
        <v/>
      </c>
      <c r="AC697" s="64">
        <f>IF(BO697=1,IF(AA697&lt;=0,0,BP697*MAX(1,IF(G697&gt;0,AA697/G697,1))),AB697*Q697)</f>
        <v/>
      </c>
      <c r="AD697" s="55">
        <f>AA697*F697</f>
        <v/>
      </c>
      <c r="AE697" s="55">
        <f>ROUNDUP(MAX(I697/IF(BS697&gt;0,BS697,MAX(0.1,N(Cockpit!$C$6))),BV697)/BN697,0)*BN697</f>
        <v/>
      </c>
      <c r="AF697" s="56">
        <f>IF(AC697&gt;0,I697/AC697,-1)</f>
        <v/>
      </c>
      <c r="AG697" s="56">
        <f>IF(AND(OR(BR697="L1",BR697="L23"),AC697&gt;0),SUMIFS($AC$7:$AC$1570,$BR$7:$BR$1570,BR697,$AF$7:$AF$1570,"&gt;"&amp;AF697)+SUMIFS($AC$7:$AC$1570,$BR$7:$BR$1570,BR697,$AF$7:$AF$1570,AF697,$BL$7:$BL$1570,"&lt;="&amp;BL697),"")</f>
        <v/>
      </c>
      <c r="AH697" s="65">
        <f>IF(AG697="",0,MAX(0,MIN(1,(IF(BR697="L1",Parameter!$K$5,Parameter!$K$6+Parameter!$K$7)-(AG697-AC697))/AC697)))</f>
        <v/>
      </c>
      <c r="AI697" s="55">
        <f>IF(LEFT(Cockpit!$I$5,1)="A",G697,IF(BT697=1,BU697,IF(LEFT(Cockpit!$I$5,1)="B",AM697,MAX(AM697,G697))))</f>
        <v/>
      </c>
      <c r="AJ697" s="55">
        <f>IF(BO697=1,0,ROUNDUP(AI697/BN697,0))</f>
        <v/>
      </c>
      <c r="AK697" s="64">
        <f>IF(BO697=1,IF(AI697&lt;=0,0,BP697*MAX(1,IF(G697&gt;0,AI697/G697,1))),AJ697*Q697)</f>
        <v/>
      </c>
      <c r="AL697" s="55">
        <f>AI697*F697</f>
        <v/>
      </c>
      <c r="AM697" s="55">
        <f>ROUNDUP(MAX(I697/IF(BS697&gt;0,BS697,MAX(0.1,N(Cockpit!$I$6))),BV697)/BN697,0)*BN697</f>
        <v/>
      </c>
      <c r="AN697" s="56">
        <f>IF(AK697&gt;0,I697/AK697,-1)</f>
        <v/>
      </c>
      <c r="AO697" s="56">
        <f>IF(AND(OR(BR697="L1",BR697="L23"),AK697&gt;0),SUMIFS($AK$7:$AK$1570,$BR$7:$BR$1570,BR697,$AN$7:$AN$1570,"&gt;"&amp;AN697)+SUMIFS($AK$7:$AK$1570,$BR$7:$BR$1570,BR697,$AN$7:$AN$1570,AN697,$BL$7:$BL$1570,"&lt;="&amp;BL697),"")</f>
        <v/>
      </c>
      <c r="AP697" s="65">
        <f>IF(AO697="",0,MAX(0,MIN(1,(IF(BR697="L1",Parameter!$K$5,Parameter!$K$6+Parameter!$K$7)-(AO697-AK697))/AK697)))</f>
        <v/>
      </c>
      <c r="AQ697" s="55">
        <f>IF(LEFT(Cockpit!$O$5,1)="A",G697,IF(BT697=1,BU697,IF(LEFT(Cockpit!$O$5,1)="B",AU697,MAX(AU697,G697))))</f>
        <v/>
      </c>
      <c r="AR697" s="55">
        <f>IF(BO697=1,0,ROUNDUP(AQ697/BN697,0))</f>
        <v/>
      </c>
      <c r="AS697" s="64">
        <f>IF(BO697=1,IF(AQ697&lt;=0,0,BP697*MAX(1,IF(G697&gt;0,AQ697/G697,1))),AR697*Q697)</f>
        <v/>
      </c>
      <c r="AT697" s="55">
        <f>AQ697*F697</f>
        <v/>
      </c>
      <c r="AU697" s="55">
        <f>ROUNDUP(MAX(I697/IF(BS697&gt;0,BS697,MAX(0.1,N(Cockpit!$O$6))),BV697)/BN697,0)*BN697</f>
        <v/>
      </c>
      <c r="AV697" s="56">
        <f>IF(AS697&gt;0,I697/AS697,-1)</f>
        <v/>
      </c>
      <c r="AW697" s="56">
        <f>IF(AND(OR(BR697="L1",BR697="L23"),AS697&gt;0),SUMIFS($AS$7:$AS$1570,$BR$7:$BR$1570,BR697,$AV$7:$AV$1570,"&gt;"&amp;AV697)+SUMIFS($AS$7:$AS$1570,$BR$7:$BR$1570,BR697,$AV$7:$AV$1570,AV697,$BL$7:$BL$1570,"&lt;="&amp;BL697),"")</f>
        <v/>
      </c>
      <c r="AX697" s="65">
        <f>IF(AW697="",0,MAX(0,MIN(1,(IF(BR697="L1",Parameter!$K$5,Parameter!$K$6+Parameter!$K$7)-(AW697-AS697))/AS697)))</f>
        <v/>
      </c>
      <c r="AY697" s="53">
        <f>IF(AC697&lt;=0,"",IF(BR697="Aussen","Aussenlager",IF(BR697="-","Nicht im Lift",IF(AH697&gt;=1,"Lift",IF(AH697&lt;=0,"Aussenlager","teilweise")))))</f>
        <v/>
      </c>
      <c r="AZ697" s="53">
        <f>IF(AK697&lt;=0,"",IF(BR697="Aussen","Aussenlager",IF(BR697="-","Nicht im Lift",IF(AP697&gt;=1,"Lift",IF(AP697&lt;=0,"Aussenlager","teilweise")))))</f>
        <v/>
      </c>
      <c r="BA697" s="53">
        <f>IF(AS697&lt;=0,"",IF(BR697="Aussen","Aussenlager",IF(BR697="-","Nicht im Lift",IF(AX697&gt;=1,"Lift",IF(AX697&lt;=0,"Aussenlager","teilweise")))))</f>
        <v/>
      </c>
      <c r="BB697" s="53">
        <f>IF(A697="","",IF(BK697=1,"Neu; ","")&amp;IF(AND(BK697=0,BF697&lt;0),"negativer Bestand (Export "&amp;BF697&amp;"); ","")&amp;IF(I697&lt;=0,"Kein Verbrauch; ","")&amp;IF(BO697=1,"Lose – Fläche geschätzt; ","")&amp;IF(G697&gt;AM697,"Überbestand "&amp;ROUND(G697-AM697,0)&amp;" Stk / CHF "&amp;ROUND((G697-AM697)*F697,0)&amp;"; ","")&amp;IF(AND(BT697=1,BU697&lt;BV697),"MAX &lt; MB+LG; ","")&amp;IF(AND(BZ697&gt;0,BY697*10&gt;BZ697),"zu hoch für Tablar; ","")&amp;IF(AND(BK697=0,OR(BT697=1,V697&lt;&gt;"",S697&lt;&gt;"",T697&lt;&gt;"",W697&lt;&gt;"")),"manuell übersteuert; ","")&amp;IF(AND(BO697=0,Q697=0),"Gebinde unbekannt; ","")&amp;IF(AND(BO697=0,N(T697)&lt;=0,N(P697)&lt;=0),"Menge pro Gebinde fehlt (Ist = 1 Gebinde); ","")&amp;BJ697)</f>
        <v/>
      </c>
      <c r="BC697" s="53" t="n"/>
      <c r="BD697" s="53" t="n"/>
      <c r="BE697" s="61" t="n"/>
      <c r="BF697" s="55" t="n">
        <v>0</v>
      </c>
      <c r="BG697" s="55" t="n">
        <v>7</v>
      </c>
      <c r="BH697" s="54" t="n">
        <v>0</v>
      </c>
      <c r="BI697" s="55" t="n">
        <v>1</v>
      </c>
      <c r="BJ697" s="53" t="inlineStr"/>
      <c r="BK697" s="58" t="n">
        <v>0</v>
      </c>
      <c r="BL697" s="58" t="n">
        <v>697</v>
      </c>
      <c r="BM697" s="53">
        <f>IF(S697&lt;&gt;"",UPPER(TRIM(S697)),IF(O697="","LOSE",O697))</f>
        <v/>
      </c>
      <c r="BN697" s="55">
        <f>IF(BM697="LOSE",1,IF(N(T697)&gt;0,T697,IF(N(P697)&gt;0,P697,MAX(1,G697))))</f>
        <v/>
      </c>
      <c r="BO697" s="58">
        <f>IF(BM697="LOSE",1,0)</f>
        <v/>
      </c>
      <c r="BP697" s="64">
        <f>IF(BO697=0,0,IF(N(R697)&gt;0,R697,IFERROR(VLOOKUP(D697,Parameter!$A$35:$C$64,3,0)+0,0)))</f>
        <v/>
      </c>
      <c r="BQ697" s="53">
        <f>IF(V697&lt;&gt;"",V697,U697)</f>
        <v/>
      </c>
      <c r="BR697" s="53">
        <f>IF(BQ697=1,"L1",IF(OR(BQ697=2,BQ697=3),"L23",IF(BQ697="Aussen","Aussen","-")))</f>
        <v/>
      </c>
      <c r="BS697" s="66">
        <f>IF(N(W697)&gt;0,W697,0)</f>
        <v/>
      </c>
      <c r="BT697" s="58">
        <f>IF(ISNUMBER(Z697),1,0)</f>
        <v/>
      </c>
      <c r="BU697" s="55">
        <f>N(Z697)</f>
        <v/>
      </c>
      <c r="BV697" s="55">
        <f>N(L697)+N(M697)</f>
        <v/>
      </c>
      <c r="BW697" s="55">
        <f>ROUNDUP(G697/BN697,0)</f>
        <v/>
      </c>
      <c r="BX697" s="55">
        <f>ROUNDUP(BU697/BN697,0)</f>
        <v/>
      </c>
      <c r="BY697" s="58">
        <f>IF(BO697=1,0,IFERROR(VLOOKUP(BM697,'Gebinde-Kategorie'!$A$5:$G$45,5,0)+0,0))</f>
        <v/>
      </c>
      <c r="BZ697" s="58">
        <f>IFERROR(IF(OR(BQ697=1,BQ697=2,BQ697=3),N(INDEX(Parameter!$I$5:$I$7,BQ697)),0),0)</f>
        <v/>
      </c>
    </row>
    <row r="698">
      <c r="A698" s="53" t="inlineStr">
        <is>
          <t>105675</t>
        </is>
      </c>
      <c r="B698" s="53" t="inlineStr">
        <is>
          <t>Gestell mit Boden</t>
        </is>
      </c>
      <c r="C698" s="53" t="inlineStr">
        <is>
          <t>F</t>
        </is>
      </c>
      <c r="D698" s="53" t="inlineStr">
        <is>
          <t>PAL</t>
        </is>
      </c>
      <c r="E698" s="53" t="inlineStr">
        <is>
          <t>C</t>
        </is>
      </c>
      <c r="F698" s="54" t="n">
        <v>544.15</v>
      </c>
      <c r="G698" s="55">
        <f>MAX(0,IF(Parameter!$B$20="Jahresanfang 2025 + Export",BG698+BF698,BF698))</f>
        <v/>
      </c>
      <c r="H698" s="55">
        <f>G698*F698</f>
        <v/>
      </c>
      <c r="I698" s="55">
        <f>BI698*Parameter!$B$18</f>
        <v/>
      </c>
      <c r="J698" s="56" t="n">
        <v>0</v>
      </c>
      <c r="K698" s="57" t="n">
        <v>0</v>
      </c>
      <c r="L698" s="55" t="n">
        <v>0</v>
      </c>
      <c r="M698" s="55" t="n">
        <v>1</v>
      </c>
      <c r="N698" s="58" t="n">
        <v>21</v>
      </c>
      <c r="O698" s="53" t="inlineStr">
        <is>
          <t>LOSE</t>
        </is>
      </c>
      <c r="P698" s="55" t="n"/>
      <c r="Q698" s="59">
        <f>IF(BO698=1,0,IFERROR(VLOOKUP(BM698,'Gebinde-Kategorie'!$A$5:$G$45,6,0)+0,0))</f>
        <v/>
      </c>
      <c r="R698" s="60" t="n"/>
      <c r="S698" s="61" t="n"/>
      <c r="T698" s="61" t="n"/>
      <c r="U698" s="53">
        <f>IF(A698="","",IF(IFERROR(VLOOKUP(D698,Parameter!$A$35:$C$64,2,0),"Nein")="2+3",IF(ISNUMBER(SEARCH("grosser Artikel",BJ698)),2,IFERROR(VLOOKUP(BM698,Parameter!$F$35:$G$64,2,0),2)),IF(OR(IFERROR(VLOOKUP(D698,Parameter!$A$35:$C$64,2,0),"Nein")="Nein",IFERROR(VLOOKUP(D698,Parameter!$A$35:$C$64,2,0),"Nein")=""),"-",VLOOKUP(D698,Parameter!$A$35:$C$64,2,0))))</f>
        <v/>
      </c>
      <c r="V698" s="61" t="n"/>
      <c r="W698" s="62" t="n"/>
      <c r="X698" s="55">
        <f>AM698</f>
        <v/>
      </c>
      <c r="Y698" s="55">
        <f>MAX(AM698,G698)</f>
        <v/>
      </c>
      <c r="Z698" s="63" t="n"/>
      <c r="AA698" s="55">
        <f>IF(LEFT(Cockpit!$C$5,1)="A",G698,IF(BT698=1,BU698,IF(LEFT(Cockpit!$C$5,1)="B",AE698,MAX(AE698,G698))))</f>
        <v/>
      </c>
      <c r="AB698" s="55">
        <f>IF(BO698=1,0,ROUNDUP(AA698/BN698,0))</f>
        <v/>
      </c>
      <c r="AC698" s="64">
        <f>IF(BO698=1,IF(AA698&lt;=0,0,BP698*MAX(1,IF(G698&gt;0,AA698/G698,1))),AB698*Q698)</f>
        <v/>
      </c>
      <c r="AD698" s="55">
        <f>AA698*F698</f>
        <v/>
      </c>
      <c r="AE698" s="55">
        <f>ROUNDUP(MAX(I698/IF(BS698&gt;0,BS698,MAX(0.1,N(Cockpit!$C$6))),BV698)/BN698,0)*BN698</f>
        <v/>
      </c>
      <c r="AF698" s="56">
        <f>IF(AC698&gt;0,I698/AC698,-1)</f>
        <v/>
      </c>
      <c r="AG698" s="56">
        <f>IF(AND(OR(BR698="L1",BR698="L23"),AC698&gt;0),SUMIFS($AC$7:$AC$1570,$BR$7:$BR$1570,BR698,$AF$7:$AF$1570,"&gt;"&amp;AF698)+SUMIFS($AC$7:$AC$1570,$BR$7:$BR$1570,BR698,$AF$7:$AF$1570,AF698,$BL$7:$BL$1570,"&lt;="&amp;BL698),"")</f>
        <v/>
      </c>
      <c r="AH698" s="65">
        <f>IF(AG698="",0,MAX(0,MIN(1,(IF(BR698="L1",Parameter!$K$5,Parameter!$K$6+Parameter!$K$7)-(AG698-AC698))/AC698)))</f>
        <v/>
      </c>
      <c r="AI698" s="55">
        <f>IF(LEFT(Cockpit!$I$5,1)="A",G698,IF(BT698=1,BU698,IF(LEFT(Cockpit!$I$5,1)="B",AM698,MAX(AM698,G698))))</f>
        <v/>
      </c>
      <c r="AJ698" s="55">
        <f>IF(BO698=1,0,ROUNDUP(AI698/BN698,0))</f>
        <v/>
      </c>
      <c r="AK698" s="64">
        <f>IF(BO698=1,IF(AI698&lt;=0,0,BP698*MAX(1,IF(G698&gt;0,AI698/G698,1))),AJ698*Q698)</f>
        <v/>
      </c>
      <c r="AL698" s="55">
        <f>AI698*F698</f>
        <v/>
      </c>
      <c r="AM698" s="55">
        <f>ROUNDUP(MAX(I698/IF(BS698&gt;0,BS698,MAX(0.1,N(Cockpit!$I$6))),BV698)/BN698,0)*BN698</f>
        <v/>
      </c>
      <c r="AN698" s="56">
        <f>IF(AK698&gt;0,I698/AK698,-1)</f>
        <v/>
      </c>
      <c r="AO698" s="56">
        <f>IF(AND(OR(BR698="L1",BR698="L23"),AK698&gt;0),SUMIFS($AK$7:$AK$1570,$BR$7:$BR$1570,BR698,$AN$7:$AN$1570,"&gt;"&amp;AN698)+SUMIFS($AK$7:$AK$1570,$BR$7:$BR$1570,BR698,$AN$7:$AN$1570,AN698,$BL$7:$BL$1570,"&lt;="&amp;BL698),"")</f>
        <v/>
      </c>
      <c r="AP698" s="65">
        <f>IF(AO698="",0,MAX(0,MIN(1,(IF(BR698="L1",Parameter!$K$5,Parameter!$K$6+Parameter!$K$7)-(AO698-AK698))/AK698)))</f>
        <v/>
      </c>
      <c r="AQ698" s="55">
        <f>IF(LEFT(Cockpit!$O$5,1)="A",G698,IF(BT698=1,BU698,IF(LEFT(Cockpit!$O$5,1)="B",AU698,MAX(AU698,G698))))</f>
        <v/>
      </c>
      <c r="AR698" s="55">
        <f>IF(BO698=1,0,ROUNDUP(AQ698/BN698,0))</f>
        <v/>
      </c>
      <c r="AS698" s="64">
        <f>IF(BO698=1,IF(AQ698&lt;=0,0,BP698*MAX(1,IF(G698&gt;0,AQ698/G698,1))),AR698*Q698)</f>
        <v/>
      </c>
      <c r="AT698" s="55">
        <f>AQ698*F698</f>
        <v/>
      </c>
      <c r="AU698" s="55">
        <f>ROUNDUP(MAX(I698/IF(BS698&gt;0,BS698,MAX(0.1,N(Cockpit!$O$6))),BV698)/BN698,0)*BN698</f>
        <v/>
      </c>
      <c r="AV698" s="56">
        <f>IF(AS698&gt;0,I698/AS698,-1)</f>
        <v/>
      </c>
      <c r="AW698" s="56">
        <f>IF(AND(OR(BR698="L1",BR698="L23"),AS698&gt;0),SUMIFS($AS$7:$AS$1570,$BR$7:$BR$1570,BR698,$AV$7:$AV$1570,"&gt;"&amp;AV698)+SUMIFS($AS$7:$AS$1570,$BR$7:$BR$1570,BR698,$AV$7:$AV$1570,AV698,$BL$7:$BL$1570,"&lt;="&amp;BL698),"")</f>
        <v/>
      </c>
      <c r="AX698" s="65">
        <f>IF(AW698="",0,MAX(0,MIN(1,(IF(BR698="L1",Parameter!$K$5,Parameter!$K$6+Parameter!$K$7)-(AW698-AS698))/AS698)))</f>
        <v/>
      </c>
      <c r="AY698" s="53">
        <f>IF(AC698&lt;=0,"",IF(BR698="Aussen","Aussenlager",IF(BR698="-","Nicht im Lift",IF(AH698&gt;=1,"Lift",IF(AH698&lt;=0,"Aussenlager","teilweise")))))</f>
        <v/>
      </c>
      <c r="AZ698" s="53">
        <f>IF(AK698&lt;=0,"",IF(BR698="Aussen","Aussenlager",IF(BR698="-","Nicht im Lift",IF(AP698&gt;=1,"Lift",IF(AP698&lt;=0,"Aussenlager","teilweise")))))</f>
        <v/>
      </c>
      <c r="BA698" s="53">
        <f>IF(AS698&lt;=0,"",IF(BR698="Aussen","Aussenlager",IF(BR698="-","Nicht im Lift",IF(AX698&gt;=1,"Lift",IF(AX698&lt;=0,"Aussenlager","teilweise")))))</f>
        <v/>
      </c>
      <c r="BB698" s="53">
        <f>IF(A698="","",IF(BK698=1,"Neu; ","")&amp;IF(AND(BK698=0,BF698&lt;0),"negativer Bestand (Export "&amp;BF698&amp;"); ","")&amp;IF(I698&lt;=0,"Kein Verbrauch; ","")&amp;IF(BO698=1,"Lose – Fläche geschätzt; ","")&amp;IF(G698&gt;AM698,"Überbestand "&amp;ROUND(G698-AM698,0)&amp;" Stk / CHF "&amp;ROUND((G698-AM698)*F698,0)&amp;"; ","")&amp;IF(AND(BT698=1,BU698&lt;BV698),"MAX &lt; MB+LG; ","")&amp;IF(AND(BZ698&gt;0,BY698*10&gt;BZ698),"zu hoch für Tablar; ","")&amp;IF(AND(BK698=0,OR(BT698=1,V698&lt;&gt;"",S698&lt;&gt;"",T698&lt;&gt;"",W698&lt;&gt;"")),"manuell übersteuert; ","")&amp;IF(AND(BO698=0,Q698=0),"Gebinde unbekannt; ","")&amp;IF(AND(BO698=0,N(T698)&lt;=0,N(P698)&lt;=0),"Menge pro Gebinde fehlt (Ist = 1 Gebinde); ","")&amp;BJ698)</f>
        <v/>
      </c>
      <c r="BC698" s="53" t="n"/>
      <c r="BD698" s="53" t="n"/>
      <c r="BE698" s="61" t="n"/>
      <c r="BF698" s="55" t="n">
        <v>0</v>
      </c>
      <c r="BG698" s="55" t="n">
        <v>0</v>
      </c>
      <c r="BH698" s="54" t="n">
        <v>0</v>
      </c>
      <c r="BI698" s="55" t="n">
        <v>1</v>
      </c>
      <c r="BJ698" s="53" t="inlineStr"/>
      <c r="BK698" s="58" t="n">
        <v>0</v>
      </c>
      <c r="BL698" s="58" t="n">
        <v>698</v>
      </c>
      <c r="BM698" s="53">
        <f>IF(S698&lt;&gt;"",UPPER(TRIM(S698)),IF(O698="","LOSE",O698))</f>
        <v/>
      </c>
      <c r="BN698" s="55">
        <f>IF(BM698="LOSE",1,IF(N(T698)&gt;0,T698,IF(N(P698)&gt;0,P698,MAX(1,G698))))</f>
        <v/>
      </c>
      <c r="BO698" s="58">
        <f>IF(BM698="LOSE",1,0)</f>
        <v/>
      </c>
      <c r="BP698" s="64">
        <f>IF(BO698=0,0,IF(N(R698)&gt;0,R698,IFERROR(VLOOKUP(D698,Parameter!$A$35:$C$64,3,0)+0,0)))</f>
        <v/>
      </c>
      <c r="BQ698" s="53">
        <f>IF(V698&lt;&gt;"",V698,U698)</f>
        <v/>
      </c>
      <c r="BR698" s="53">
        <f>IF(BQ698=1,"L1",IF(OR(BQ698=2,BQ698=3),"L23",IF(BQ698="Aussen","Aussen","-")))</f>
        <v/>
      </c>
      <c r="BS698" s="66">
        <f>IF(N(W698)&gt;0,W698,0)</f>
        <v/>
      </c>
      <c r="BT698" s="58">
        <f>IF(ISNUMBER(Z698),1,0)</f>
        <v/>
      </c>
      <c r="BU698" s="55">
        <f>N(Z698)</f>
        <v/>
      </c>
      <c r="BV698" s="55">
        <f>N(L698)+N(M698)</f>
        <v/>
      </c>
      <c r="BW698" s="55">
        <f>ROUNDUP(G698/BN698,0)</f>
        <v/>
      </c>
      <c r="BX698" s="55">
        <f>ROUNDUP(BU698/BN698,0)</f>
        <v/>
      </c>
      <c r="BY698" s="58">
        <f>IF(BO698=1,0,IFERROR(VLOOKUP(BM698,'Gebinde-Kategorie'!$A$5:$G$45,5,0)+0,0))</f>
        <v/>
      </c>
      <c r="BZ698" s="58">
        <f>IFERROR(IF(OR(BQ698=1,BQ698=2,BQ698=3),N(INDEX(Parameter!$I$5:$I$7,BQ698)),0),0)</f>
        <v/>
      </c>
    </row>
    <row r="699">
      <c r="A699" s="53" t="inlineStr">
        <is>
          <t>107199</t>
        </is>
      </c>
      <c r="B699" s="53" t="inlineStr">
        <is>
          <t>Klemmkasten</t>
        </is>
      </c>
      <c r="C699" s="53" t="inlineStr">
        <is>
          <t>F</t>
        </is>
      </c>
      <c r="D699" s="53" t="inlineStr">
        <is>
          <t>A-BEZ</t>
        </is>
      </c>
      <c r="E699" s="53" t="inlineStr">
        <is>
          <t>C</t>
        </is>
      </c>
      <c r="F699" s="54" t="n">
        <v>1635.8</v>
      </c>
      <c r="G699" s="55">
        <f>MAX(0,IF(Parameter!$B$20="Jahresanfang 2025 + Export",BG699+BF699,BF699))</f>
        <v/>
      </c>
      <c r="H699" s="55">
        <f>G699*F699</f>
        <v/>
      </c>
      <c r="I699" s="55">
        <f>BI699*Parameter!$B$18</f>
        <v/>
      </c>
      <c r="J699" s="56" t="n">
        <v>0.5</v>
      </c>
      <c r="K699" s="57" t="n">
        <v>0</v>
      </c>
      <c r="L699" s="55" t="n">
        <v>0</v>
      </c>
      <c r="M699" s="55" t="n">
        <v>1</v>
      </c>
      <c r="N699" s="58" t="n">
        <v>7</v>
      </c>
      <c r="O699" s="53" t="inlineStr">
        <is>
          <t>LOSE</t>
        </is>
      </c>
      <c r="P699" s="55" t="n"/>
      <c r="Q699" s="59">
        <f>IF(BO699=1,0,IFERROR(VLOOKUP(BM699,'Gebinde-Kategorie'!$A$5:$G$45,6,0)+0,0))</f>
        <v/>
      </c>
      <c r="R699" s="60" t="n"/>
      <c r="S699" s="61" t="n"/>
      <c r="T699" s="61" t="n"/>
      <c r="U699" s="53">
        <f>IF(A699="","",IF(IFERROR(VLOOKUP(D699,Parameter!$A$35:$C$64,2,0),"Nein")="2+3",IF(ISNUMBER(SEARCH("grosser Artikel",BJ699)),2,IFERROR(VLOOKUP(BM699,Parameter!$F$35:$G$64,2,0),2)),IF(OR(IFERROR(VLOOKUP(D699,Parameter!$A$35:$C$64,2,0),"Nein")="Nein",IFERROR(VLOOKUP(D699,Parameter!$A$35:$C$64,2,0),"Nein")=""),"-",VLOOKUP(D699,Parameter!$A$35:$C$64,2,0))))</f>
        <v/>
      </c>
      <c r="V699" s="61" t="n"/>
      <c r="W699" s="62" t="n"/>
      <c r="X699" s="55">
        <f>AM699</f>
        <v/>
      </c>
      <c r="Y699" s="55">
        <f>MAX(AM699,G699)</f>
        <v/>
      </c>
      <c r="Z699" s="63" t="n"/>
      <c r="AA699" s="55">
        <f>IF(LEFT(Cockpit!$C$5,1)="A",G699,IF(BT699=1,BU699,IF(LEFT(Cockpit!$C$5,1)="B",AE699,MAX(AE699,G699))))</f>
        <v/>
      </c>
      <c r="AB699" s="55">
        <f>IF(BO699=1,0,ROUNDUP(AA699/BN699,0))</f>
        <v/>
      </c>
      <c r="AC699" s="64">
        <f>IF(BO699=1,IF(AA699&lt;=0,0,BP699*MAX(1,IF(G699&gt;0,AA699/G699,1))),AB699*Q699)</f>
        <v/>
      </c>
      <c r="AD699" s="55">
        <f>AA699*F699</f>
        <v/>
      </c>
      <c r="AE699" s="55">
        <f>ROUNDUP(MAX(I699/IF(BS699&gt;0,BS699,MAX(0.1,N(Cockpit!$C$6))),BV699)/BN699,0)*BN699</f>
        <v/>
      </c>
      <c r="AF699" s="56">
        <f>IF(AC699&gt;0,I699/AC699,-1)</f>
        <v/>
      </c>
      <c r="AG699" s="56">
        <f>IF(AND(OR(BR699="L1",BR699="L23"),AC699&gt;0),SUMIFS($AC$7:$AC$1570,$BR$7:$BR$1570,BR699,$AF$7:$AF$1570,"&gt;"&amp;AF699)+SUMIFS($AC$7:$AC$1570,$BR$7:$BR$1570,BR699,$AF$7:$AF$1570,AF699,$BL$7:$BL$1570,"&lt;="&amp;BL699),"")</f>
        <v/>
      </c>
      <c r="AH699" s="65">
        <f>IF(AG699="",0,MAX(0,MIN(1,(IF(BR699="L1",Parameter!$K$5,Parameter!$K$6+Parameter!$K$7)-(AG699-AC699))/AC699)))</f>
        <v/>
      </c>
      <c r="AI699" s="55">
        <f>IF(LEFT(Cockpit!$I$5,1)="A",G699,IF(BT699=1,BU699,IF(LEFT(Cockpit!$I$5,1)="B",AM699,MAX(AM699,G699))))</f>
        <v/>
      </c>
      <c r="AJ699" s="55">
        <f>IF(BO699=1,0,ROUNDUP(AI699/BN699,0))</f>
        <v/>
      </c>
      <c r="AK699" s="64">
        <f>IF(BO699=1,IF(AI699&lt;=0,0,BP699*MAX(1,IF(G699&gt;0,AI699/G699,1))),AJ699*Q699)</f>
        <v/>
      </c>
      <c r="AL699" s="55">
        <f>AI699*F699</f>
        <v/>
      </c>
      <c r="AM699" s="55">
        <f>ROUNDUP(MAX(I699/IF(BS699&gt;0,BS699,MAX(0.1,N(Cockpit!$I$6))),BV699)/BN699,0)*BN699</f>
        <v/>
      </c>
      <c r="AN699" s="56">
        <f>IF(AK699&gt;0,I699/AK699,-1)</f>
        <v/>
      </c>
      <c r="AO699" s="56">
        <f>IF(AND(OR(BR699="L1",BR699="L23"),AK699&gt;0),SUMIFS($AK$7:$AK$1570,$BR$7:$BR$1570,BR699,$AN$7:$AN$1570,"&gt;"&amp;AN699)+SUMIFS($AK$7:$AK$1570,$BR$7:$BR$1570,BR699,$AN$7:$AN$1570,AN699,$BL$7:$BL$1570,"&lt;="&amp;BL699),"")</f>
        <v/>
      </c>
      <c r="AP699" s="65">
        <f>IF(AO699="",0,MAX(0,MIN(1,(IF(BR699="L1",Parameter!$K$5,Parameter!$K$6+Parameter!$K$7)-(AO699-AK699))/AK699)))</f>
        <v/>
      </c>
      <c r="AQ699" s="55">
        <f>IF(LEFT(Cockpit!$O$5,1)="A",G699,IF(BT699=1,BU699,IF(LEFT(Cockpit!$O$5,1)="B",AU699,MAX(AU699,G699))))</f>
        <v/>
      </c>
      <c r="AR699" s="55">
        <f>IF(BO699=1,0,ROUNDUP(AQ699/BN699,0))</f>
        <v/>
      </c>
      <c r="AS699" s="64">
        <f>IF(BO699=1,IF(AQ699&lt;=0,0,BP699*MAX(1,IF(G699&gt;0,AQ699/G699,1))),AR699*Q699)</f>
        <v/>
      </c>
      <c r="AT699" s="55">
        <f>AQ699*F699</f>
        <v/>
      </c>
      <c r="AU699" s="55">
        <f>ROUNDUP(MAX(I699/IF(BS699&gt;0,BS699,MAX(0.1,N(Cockpit!$O$6))),BV699)/BN699,0)*BN699</f>
        <v/>
      </c>
      <c r="AV699" s="56">
        <f>IF(AS699&gt;0,I699/AS699,-1)</f>
        <v/>
      </c>
      <c r="AW699" s="56">
        <f>IF(AND(OR(BR699="L1",BR699="L23"),AS699&gt;0),SUMIFS($AS$7:$AS$1570,$BR$7:$BR$1570,BR699,$AV$7:$AV$1570,"&gt;"&amp;AV699)+SUMIFS($AS$7:$AS$1570,$BR$7:$BR$1570,BR699,$AV$7:$AV$1570,AV699,$BL$7:$BL$1570,"&lt;="&amp;BL699),"")</f>
        <v/>
      </c>
      <c r="AX699" s="65">
        <f>IF(AW699="",0,MAX(0,MIN(1,(IF(BR699="L1",Parameter!$K$5,Parameter!$K$6+Parameter!$K$7)-(AW699-AS699))/AS699)))</f>
        <v/>
      </c>
      <c r="AY699" s="53">
        <f>IF(AC699&lt;=0,"",IF(BR699="Aussen","Aussenlager",IF(BR699="-","Nicht im Lift",IF(AH699&gt;=1,"Lift",IF(AH699&lt;=0,"Aussenlager","teilweise")))))</f>
        <v/>
      </c>
      <c r="AZ699" s="53">
        <f>IF(AK699&lt;=0,"",IF(BR699="Aussen","Aussenlager",IF(BR699="-","Nicht im Lift",IF(AP699&gt;=1,"Lift",IF(AP699&lt;=0,"Aussenlager","teilweise")))))</f>
        <v/>
      </c>
      <c r="BA699" s="53">
        <f>IF(AS699&lt;=0,"",IF(BR699="Aussen","Aussenlager",IF(BR699="-","Nicht im Lift",IF(AX699&gt;=1,"Lift",IF(AX699&lt;=0,"Aussenlager","teilweise")))))</f>
        <v/>
      </c>
      <c r="BB699" s="53">
        <f>IF(A699="","",IF(BK699=1,"Neu; ","")&amp;IF(AND(BK699=0,BF699&lt;0),"negativer Bestand (Export "&amp;BF699&amp;"); ","")&amp;IF(I699&lt;=0,"Kein Verbrauch; ","")&amp;IF(BO699=1,"Lose – Fläche geschätzt; ","")&amp;IF(G699&gt;AM699,"Überbestand "&amp;ROUND(G699-AM699,0)&amp;" Stk / CHF "&amp;ROUND((G699-AM699)*F699,0)&amp;"; ","")&amp;IF(AND(BT699=1,BU699&lt;BV699),"MAX &lt; MB+LG; ","")&amp;IF(AND(BZ699&gt;0,BY699*10&gt;BZ699),"zu hoch für Tablar; ","")&amp;IF(AND(BK699=0,OR(BT699=1,V699&lt;&gt;"",S699&lt;&gt;"",T699&lt;&gt;"",W699&lt;&gt;"")),"manuell übersteuert; ","")&amp;IF(AND(BO699=0,Q699=0),"Gebinde unbekannt; ","")&amp;IF(AND(BO699=0,N(T699)&lt;=0,N(P699)&lt;=0),"Menge pro Gebinde fehlt (Ist = 1 Gebinde); ","")&amp;BJ699)</f>
        <v/>
      </c>
      <c r="BC699" s="53" t="n"/>
      <c r="BD699" s="53" t="n"/>
      <c r="BE699" s="61" t="n"/>
      <c r="BF699" s="55" t="n">
        <v>0</v>
      </c>
      <c r="BG699" s="55" t="n">
        <v>0</v>
      </c>
      <c r="BH699" s="54" t="n">
        <v>0</v>
      </c>
      <c r="BI699" s="55" t="n">
        <v>0</v>
      </c>
      <c r="BJ699" s="53" t="inlineStr"/>
      <c r="BK699" s="58" t="n">
        <v>0</v>
      </c>
      <c r="BL699" s="58" t="n">
        <v>699</v>
      </c>
      <c r="BM699" s="53">
        <f>IF(S699&lt;&gt;"",UPPER(TRIM(S699)),IF(O699="","LOSE",O699))</f>
        <v/>
      </c>
      <c r="BN699" s="55">
        <f>IF(BM699="LOSE",1,IF(N(T699)&gt;0,T699,IF(N(P699)&gt;0,P699,MAX(1,G699))))</f>
        <v/>
      </c>
      <c r="BO699" s="58">
        <f>IF(BM699="LOSE",1,0)</f>
        <v/>
      </c>
      <c r="BP699" s="64">
        <f>IF(BO699=0,0,IF(N(R699)&gt;0,R699,IFERROR(VLOOKUP(D699,Parameter!$A$35:$C$64,3,0)+0,0)))</f>
        <v/>
      </c>
      <c r="BQ699" s="53">
        <f>IF(V699&lt;&gt;"",V699,U699)</f>
        <v/>
      </c>
      <c r="BR699" s="53">
        <f>IF(BQ699=1,"L1",IF(OR(BQ699=2,BQ699=3),"L23",IF(BQ699="Aussen","Aussen","-")))</f>
        <v/>
      </c>
      <c r="BS699" s="66">
        <f>IF(N(W699)&gt;0,W699,0)</f>
        <v/>
      </c>
      <c r="BT699" s="58">
        <f>IF(ISNUMBER(Z699),1,0)</f>
        <v/>
      </c>
      <c r="BU699" s="55">
        <f>N(Z699)</f>
        <v/>
      </c>
      <c r="BV699" s="55">
        <f>N(L699)+N(M699)</f>
        <v/>
      </c>
      <c r="BW699" s="55">
        <f>ROUNDUP(G699/BN699,0)</f>
        <v/>
      </c>
      <c r="BX699" s="55">
        <f>ROUNDUP(BU699/BN699,0)</f>
        <v/>
      </c>
      <c r="BY699" s="58">
        <f>IF(BO699=1,0,IFERROR(VLOOKUP(BM699,'Gebinde-Kategorie'!$A$5:$G$45,5,0)+0,0))</f>
        <v/>
      </c>
      <c r="BZ699" s="58">
        <f>IFERROR(IF(OR(BQ699=1,BQ699=2,BQ699=3),N(INDEX(Parameter!$I$5:$I$7,BQ699)),0),0)</f>
        <v/>
      </c>
    </row>
    <row r="700">
      <c r="A700" s="53" t="inlineStr">
        <is>
          <t>106467</t>
        </is>
      </c>
      <c r="B700" s="53" t="inlineStr">
        <is>
          <t>Proportionalventil</t>
        </is>
      </c>
      <c r="C700" s="53" t="inlineStr">
        <is>
          <t>F</t>
        </is>
      </c>
      <c r="D700" s="53" t="inlineStr">
        <is>
          <t>KTL</t>
        </is>
      </c>
      <c r="E700" s="53" t="inlineStr">
        <is>
          <t>C</t>
        </is>
      </c>
      <c r="F700" s="54" t="n">
        <v>956</v>
      </c>
      <c r="G700" s="55">
        <f>MAX(0,IF(Parameter!$B$20="Jahresanfang 2025 + Export",BG700+BF700,BF700))</f>
        <v/>
      </c>
      <c r="H700" s="55">
        <f>G700*F700</f>
        <v/>
      </c>
      <c r="I700" s="55">
        <f>BI700*Parameter!$B$18</f>
        <v/>
      </c>
      <c r="J700" s="56" t="n">
        <v>0</v>
      </c>
      <c r="K700" s="57" t="n">
        <v>0</v>
      </c>
      <c r="L700" s="55" t="n">
        <v>0</v>
      </c>
      <c r="M700" s="55" t="n">
        <v>1</v>
      </c>
      <c r="N700" s="58" t="n">
        <v>100</v>
      </c>
      <c r="O700" s="53" t="inlineStr">
        <is>
          <t>LOSE</t>
        </is>
      </c>
      <c r="P700" s="55" t="n"/>
      <c r="Q700" s="59">
        <f>IF(BO700=1,0,IFERROR(VLOOKUP(BM700,'Gebinde-Kategorie'!$A$5:$G$45,6,0)+0,0))</f>
        <v/>
      </c>
      <c r="R700" s="60" t="n"/>
      <c r="S700" s="61" t="n"/>
      <c r="T700" s="61" t="n"/>
      <c r="U700" s="53">
        <f>IF(A700="","",IF(IFERROR(VLOOKUP(D700,Parameter!$A$35:$C$64,2,0),"Nein")="2+3",IF(ISNUMBER(SEARCH("grosser Artikel",BJ700)),2,IFERROR(VLOOKUP(BM700,Parameter!$F$35:$G$64,2,0),2)),IF(OR(IFERROR(VLOOKUP(D700,Parameter!$A$35:$C$64,2,0),"Nein")="Nein",IFERROR(VLOOKUP(D700,Parameter!$A$35:$C$64,2,0),"Nein")=""),"-",VLOOKUP(D700,Parameter!$A$35:$C$64,2,0))))</f>
        <v/>
      </c>
      <c r="V700" s="61" t="n"/>
      <c r="W700" s="62" t="n"/>
      <c r="X700" s="55">
        <f>AM700</f>
        <v/>
      </c>
      <c r="Y700" s="55">
        <f>MAX(AM700,G700)</f>
        <v/>
      </c>
      <c r="Z700" s="63" t="n"/>
      <c r="AA700" s="55">
        <f>IF(LEFT(Cockpit!$C$5,1)="A",G700,IF(BT700=1,BU700,IF(LEFT(Cockpit!$C$5,1)="B",AE700,MAX(AE700,G700))))</f>
        <v/>
      </c>
      <c r="AB700" s="55">
        <f>IF(BO700=1,0,ROUNDUP(AA700/BN700,0))</f>
        <v/>
      </c>
      <c r="AC700" s="64">
        <f>IF(BO700=1,IF(AA700&lt;=0,0,BP700*MAX(1,IF(G700&gt;0,AA700/G700,1))),AB700*Q700)</f>
        <v/>
      </c>
      <c r="AD700" s="55">
        <f>AA700*F700</f>
        <v/>
      </c>
      <c r="AE700" s="55">
        <f>ROUNDUP(MAX(I700/IF(BS700&gt;0,BS700,MAX(0.1,N(Cockpit!$C$6))),BV700)/BN700,0)*BN700</f>
        <v/>
      </c>
      <c r="AF700" s="56">
        <f>IF(AC700&gt;0,I700/AC700,-1)</f>
        <v/>
      </c>
      <c r="AG700" s="56">
        <f>IF(AND(OR(BR700="L1",BR700="L23"),AC700&gt;0),SUMIFS($AC$7:$AC$1570,$BR$7:$BR$1570,BR700,$AF$7:$AF$1570,"&gt;"&amp;AF700)+SUMIFS($AC$7:$AC$1570,$BR$7:$BR$1570,BR700,$AF$7:$AF$1570,AF700,$BL$7:$BL$1570,"&lt;="&amp;BL700),"")</f>
        <v/>
      </c>
      <c r="AH700" s="65">
        <f>IF(AG700="",0,MAX(0,MIN(1,(IF(BR700="L1",Parameter!$K$5,Parameter!$K$6+Parameter!$K$7)-(AG700-AC700))/AC700)))</f>
        <v/>
      </c>
      <c r="AI700" s="55">
        <f>IF(LEFT(Cockpit!$I$5,1)="A",G700,IF(BT700=1,BU700,IF(LEFT(Cockpit!$I$5,1)="B",AM700,MAX(AM700,G700))))</f>
        <v/>
      </c>
      <c r="AJ700" s="55">
        <f>IF(BO700=1,0,ROUNDUP(AI700/BN700,0))</f>
        <v/>
      </c>
      <c r="AK700" s="64">
        <f>IF(BO700=1,IF(AI700&lt;=0,0,BP700*MAX(1,IF(G700&gt;0,AI700/G700,1))),AJ700*Q700)</f>
        <v/>
      </c>
      <c r="AL700" s="55">
        <f>AI700*F700</f>
        <v/>
      </c>
      <c r="AM700" s="55">
        <f>ROUNDUP(MAX(I700/IF(BS700&gt;0,BS700,MAX(0.1,N(Cockpit!$I$6))),BV700)/BN700,0)*BN700</f>
        <v/>
      </c>
      <c r="AN700" s="56">
        <f>IF(AK700&gt;0,I700/AK700,-1)</f>
        <v/>
      </c>
      <c r="AO700" s="56">
        <f>IF(AND(OR(BR700="L1",BR700="L23"),AK700&gt;0),SUMIFS($AK$7:$AK$1570,$BR$7:$BR$1570,BR700,$AN$7:$AN$1570,"&gt;"&amp;AN700)+SUMIFS($AK$7:$AK$1570,$BR$7:$BR$1570,BR700,$AN$7:$AN$1570,AN700,$BL$7:$BL$1570,"&lt;="&amp;BL700),"")</f>
        <v/>
      </c>
      <c r="AP700" s="65">
        <f>IF(AO700="",0,MAX(0,MIN(1,(IF(BR700="L1",Parameter!$K$5,Parameter!$K$6+Parameter!$K$7)-(AO700-AK700))/AK700)))</f>
        <v/>
      </c>
      <c r="AQ700" s="55">
        <f>IF(LEFT(Cockpit!$O$5,1)="A",G700,IF(BT700=1,BU700,IF(LEFT(Cockpit!$O$5,1)="B",AU700,MAX(AU700,G700))))</f>
        <v/>
      </c>
      <c r="AR700" s="55">
        <f>IF(BO700=1,0,ROUNDUP(AQ700/BN700,0))</f>
        <v/>
      </c>
      <c r="AS700" s="64">
        <f>IF(BO700=1,IF(AQ700&lt;=0,0,BP700*MAX(1,IF(G700&gt;0,AQ700/G700,1))),AR700*Q700)</f>
        <v/>
      </c>
      <c r="AT700" s="55">
        <f>AQ700*F700</f>
        <v/>
      </c>
      <c r="AU700" s="55">
        <f>ROUNDUP(MAX(I700/IF(BS700&gt;0,BS700,MAX(0.1,N(Cockpit!$O$6))),BV700)/BN700,0)*BN700</f>
        <v/>
      </c>
      <c r="AV700" s="56">
        <f>IF(AS700&gt;0,I700/AS700,-1)</f>
        <v/>
      </c>
      <c r="AW700" s="56">
        <f>IF(AND(OR(BR700="L1",BR700="L23"),AS700&gt;0),SUMIFS($AS$7:$AS$1570,$BR$7:$BR$1570,BR700,$AV$7:$AV$1570,"&gt;"&amp;AV700)+SUMIFS($AS$7:$AS$1570,$BR$7:$BR$1570,BR700,$AV$7:$AV$1570,AV700,$BL$7:$BL$1570,"&lt;="&amp;BL700),"")</f>
        <v/>
      </c>
      <c r="AX700" s="65">
        <f>IF(AW700="",0,MAX(0,MIN(1,(IF(BR700="L1",Parameter!$K$5,Parameter!$K$6+Parameter!$K$7)-(AW700-AS700))/AS700)))</f>
        <v/>
      </c>
      <c r="AY700" s="53">
        <f>IF(AC700&lt;=0,"",IF(BR700="Aussen","Aussenlager",IF(BR700="-","Nicht im Lift",IF(AH700&gt;=1,"Lift",IF(AH700&lt;=0,"Aussenlager","teilweise")))))</f>
        <v/>
      </c>
      <c r="AZ700" s="53">
        <f>IF(AK700&lt;=0,"",IF(BR700="Aussen","Aussenlager",IF(BR700="-","Nicht im Lift",IF(AP700&gt;=1,"Lift",IF(AP700&lt;=0,"Aussenlager","teilweise")))))</f>
        <v/>
      </c>
      <c r="BA700" s="53">
        <f>IF(AS700&lt;=0,"",IF(BR700="Aussen","Aussenlager",IF(BR700="-","Nicht im Lift",IF(AX700&gt;=1,"Lift",IF(AX700&lt;=0,"Aussenlager","teilweise")))))</f>
        <v/>
      </c>
      <c r="BB700" s="53">
        <f>IF(A700="","",IF(BK700=1,"Neu; ","")&amp;IF(AND(BK700=0,BF700&lt;0),"negativer Bestand (Export "&amp;BF700&amp;"); ","")&amp;IF(I700&lt;=0,"Kein Verbrauch; ","")&amp;IF(BO700=1,"Lose – Fläche geschätzt; ","")&amp;IF(G700&gt;AM700,"Überbestand "&amp;ROUND(G700-AM700,0)&amp;" Stk / CHF "&amp;ROUND((G700-AM700)*F700,0)&amp;"; ","")&amp;IF(AND(BT700=1,BU700&lt;BV700),"MAX &lt; MB+LG; ","")&amp;IF(AND(BZ700&gt;0,BY700*10&gt;BZ700),"zu hoch für Tablar; ","")&amp;IF(AND(BK700=0,OR(BT700=1,V700&lt;&gt;"",S700&lt;&gt;"",T700&lt;&gt;"",W700&lt;&gt;"")),"manuell übersteuert; ","")&amp;IF(AND(BO700=0,Q700=0),"Gebinde unbekannt; ","")&amp;IF(AND(BO700=0,N(T700)&lt;=0,N(P700)&lt;=0),"Menge pro Gebinde fehlt (Ist = 1 Gebinde); ","")&amp;BJ700)</f>
        <v/>
      </c>
      <c r="BC700" s="53" t="n"/>
      <c r="BD700" s="53" t="n"/>
      <c r="BE700" s="61" t="n"/>
      <c r="BF700" s="55" t="n">
        <v>0</v>
      </c>
      <c r="BG700" s="55" t="n">
        <v>0</v>
      </c>
      <c r="BH700" s="54" t="n">
        <v>0</v>
      </c>
      <c r="BI700" s="55" t="n">
        <v>1</v>
      </c>
      <c r="BJ700" s="53" t="inlineStr"/>
      <c r="BK700" s="58" t="n">
        <v>0</v>
      </c>
      <c r="BL700" s="58" t="n">
        <v>700</v>
      </c>
      <c r="BM700" s="53">
        <f>IF(S700&lt;&gt;"",UPPER(TRIM(S700)),IF(O700="","LOSE",O700))</f>
        <v/>
      </c>
      <c r="BN700" s="55">
        <f>IF(BM700="LOSE",1,IF(N(T700)&gt;0,T700,IF(N(P700)&gt;0,P700,MAX(1,G700))))</f>
        <v/>
      </c>
      <c r="BO700" s="58">
        <f>IF(BM700="LOSE",1,0)</f>
        <v/>
      </c>
      <c r="BP700" s="64">
        <f>IF(BO700=0,0,IF(N(R700)&gt;0,R700,IFERROR(VLOOKUP(D700,Parameter!$A$35:$C$64,3,0)+0,0)))</f>
        <v/>
      </c>
      <c r="BQ700" s="53">
        <f>IF(V700&lt;&gt;"",V700,U700)</f>
        <v/>
      </c>
      <c r="BR700" s="53">
        <f>IF(BQ700=1,"L1",IF(OR(BQ700=2,BQ700=3),"L23",IF(BQ700="Aussen","Aussen","-")))</f>
        <v/>
      </c>
      <c r="BS700" s="66">
        <f>IF(N(W700)&gt;0,W700,0)</f>
        <v/>
      </c>
      <c r="BT700" s="58">
        <f>IF(ISNUMBER(Z700),1,0)</f>
        <v/>
      </c>
      <c r="BU700" s="55">
        <f>N(Z700)</f>
        <v/>
      </c>
      <c r="BV700" s="55">
        <f>N(L700)+N(M700)</f>
        <v/>
      </c>
      <c r="BW700" s="55">
        <f>ROUNDUP(G700/BN700,0)</f>
        <v/>
      </c>
      <c r="BX700" s="55">
        <f>ROUNDUP(BU700/BN700,0)</f>
        <v/>
      </c>
      <c r="BY700" s="58">
        <f>IF(BO700=1,0,IFERROR(VLOOKUP(BM700,'Gebinde-Kategorie'!$A$5:$G$45,5,0)+0,0))</f>
        <v/>
      </c>
      <c r="BZ700" s="58">
        <f>IFERROR(IF(OR(BQ700=1,BQ700=2,BQ700=3),N(INDEX(Parameter!$I$5:$I$7,BQ700)),0),0)</f>
        <v/>
      </c>
    </row>
    <row r="701">
      <c r="A701" s="53" t="inlineStr">
        <is>
          <t>107225</t>
        </is>
      </c>
      <c r="B701" s="53" t="inlineStr">
        <is>
          <t>Werkzeugkiste</t>
        </is>
      </c>
      <c r="C701" s="53" t="inlineStr">
        <is>
          <t>F</t>
        </is>
      </c>
      <c r="D701" s="53" t="inlineStr">
        <is>
          <t>PAL</t>
        </is>
      </c>
      <c r="E701" s="53" t="inlineStr">
        <is>
          <t>C</t>
        </is>
      </c>
      <c r="F701" s="54" t="n">
        <v>79.13</v>
      </c>
      <c r="G701" s="55">
        <f>MAX(0,IF(Parameter!$B$20="Jahresanfang 2025 + Export",BG701+BF701,BF701))</f>
        <v/>
      </c>
      <c r="H701" s="55">
        <f>G701*F701</f>
        <v/>
      </c>
      <c r="I701" s="55">
        <f>BI701*Parameter!$B$18</f>
        <v/>
      </c>
      <c r="J701" s="56" t="n">
        <v>12.5</v>
      </c>
      <c r="K701" s="57" t="n">
        <v>0.08</v>
      </c>
      <c r="L701" s="55" t="n">
        <v>0</v>
      </c>
      <c r="M701" s="55" t="n">
        <v>1</v>
      </c>
      <c r="N701" s="58" t="n">
        <v>14</v>
      </c>
      <c r="O701" s="53" t="inlineStr">
        <is>
          <t>S71</t>
        </is>
      </c>
      <c r="P701" s="55" t="n">
        <v>4</v>
      </c>
      <c r="Q701" s="59">
        <f>IF(BO701=1,0,IFERROR(VLOOKUP(BM701,'Gebinde-Kategorie'!$A$5:$G$45,6,0)+0,0))</f>
        <v/>
      </c>
      <c r="R701" s="60" t="n"/>
      <c r="S701" s="61" t="n"/>
      <c r="T701" s="61" t="n"/>
      <c r="U701" s="53">
        <f>IF(A701="","",IF(IFERROR(VLOOKUP(D701,Parameter!$A$35:$C$64,2,0),"Nein")="2+3",IF(ISNUMBER(SEARCH("grosser Artikel",BJ701)),2,IFERROR(VLOOKUP(BM701,Parameter!$F$35:$G$64,2,0),2)),IF(OR(IFERROR(VLOOKUP(D701,Parameter!$A$35:$C$64,2,0),"Nein")="Nein",IFERROR(VLOOKUP(D701,Parameter!$A$35:$C$64,2,0),"Nein")=""),"-",VLOOKUP(D701,Parameter!$A$35:$C$64,2,0))))</f>
        <v/>
      </c>
      <c r="V701" s="61" t="n"/>
      <c r="W701" s="62" t="n"/>
      <c r="X701" s="55">
        <f>AM701</f>
        <v/>
      </c>
      <c r="Y701" s="55">
        <f>MAX(AM701,G701)</f>
        <v/>
      </c>
      <c r="Z701" s="63" t="n"/>
      <c r="AA701" s="55">
        <f>IF(LEFT(Cockpit!$C$5,1)="A",G701,IF(BT701=1,BU701,IF(LEFT(Cockpit!$C$5,1)="B",AE701,MAX(AE701,G701))))</f>
        <v/>
      </c>
      <c r="AB701" s="55">
        <f>IF(BO701=1,0,ROUNDUP(AA701/BN701,0))</f>
        <v/>
      </c>
      <c r="AC701" s="64">
        <f>IF(BO701=1,IF(AA701&lt;=0,0,BP701*MAX(1,IF(G701&gt;0,AA701/G701,1))),AB701*Q701)</f>
        <v/>
      </c>
      <c r="AD701" s="55">
        <f>AA701*F701</f>
        <v/>
      </c>
      <c r="AE701" s="55">
        <f>ROUNDUP(MAX(I701/IF(BS701&gt;0,BS701,MAX(0.1,N(Cockpit!$C$6))),BV701)/BN701,0)*BN701</f>
        <v/>
      </c>
      <c r="AF701" s="56">
        <f>IF(AC701&gt;0,I701/AC701,-1)</f>
        <v/>
      </c>
      <c r="AG701" s="56">
        <f>IF(AND(OR(BR701="L1",BR701="L23"),AC701&gt;0),SUMIFS($AC$7:$AC$1570,$BR$7:$BR$1570,BR701,$AF$7:$AF$1570,"&gt;"&amp;AF701)+SUMIFS($AC$7:$AC$1570,$BR$7:$BR$1570,BR701,$AF$7:$AF$1570,AF701,$BL$7:$BL$1570,"&lt;="&amp;BL701),"")</f>
        <v/>
      </c>
      <c r="AH701" s="65">
        <f>IF(AG701="",0,MAX(0,MIN(1,(IF(BR701="L1",Parameter!$K$5,Parameter!$K$6+Parameter!$K$7)-(AG701-AC701))/AC701)))</f>
        <v/>
      </c>
      <c r="AI701" s="55">
        <f>IF(LEFT(Cockpit!$I$5,1)="A",G701,IF(BT701=1,BU701,IF(LEFT(Cockpit!$I$5,1)="B",AM701,MAX(AM701,G701))))</f>
        <v/>
      </c>
      <c r="AJ701" s="55">
        <f>IF(BO701=1,0,ROUNDUP(AI701/BN701,0))</f>
        <v/>
      </c>
      <c r="AK701" s="64">
        <f>IF(BO701=1,IF(AI701&lt;=0,0,BP701*MAX(1,IF(G701&gt;0,AI701/G701,1))),AJ701*Q701)</f>
        <v/>
      </c>
      <c r="AL701" s="55">
        <f>AI701*F701</f>
        <v/>
      </c>
      <c r="AM701" s="55">
        <f>ROUNDUP(MAX(I701/IF(BS701&gt;0,BS701,MAX(0.1,N(Cockpit!$I$6))),BV701)/BN701,0)*BN701</f>
        <v/>
      </c>
      <c r="AN701" s="56">
        <f>IF(AK701&gt;0,I701/AK701,-1)</f>
        <v/>
      </c>
      <c r="AO701" s="56">
        <f>IF(AND(OR(BR701="L1",BR701="L23"),AK701&gt;0),SUMIFS($AK$7:$AK$1570,$BR$7:$BR$1570,BR701,$AN$7:$AN$1570,"&gt;"&amp;AN701)+SUMIFS($AK$7:$AK$1570,$BR$7:$BR$1570,BR701,$AN$7:$AN$1570,AN701,$BL$7:$BL$1570,"&lt;="&amp;BL701),"")</f>
        <v/>
      </c>
      <c r="AP701" s="65">
        <f>IF(AO701="",0,MAX(0,MIN(1,(IF(BR701="L1",Parameter!$K$5,Parameter!$K$6+Parameter!$K$7)-(AO701-AK701))/AK701)))</f>
        <v/>
      </c>
      <c r="AQ701" s="55">
        <f>IF(LEFT(Cockpit!$O$5,1)="A",G701,IF(BT701=1,BU701,IF(LEFT(Cockpit!$O$5,1)="B",AU701,MAX(AU701,G701))))</f>
        <v/>
      </c>
      <c r="AR701" s="55">
        <f>IF(BO701=1,0,ROUNDUP(AQ701/BN701,0))</f>
        <v/>
      </c>
      <c r="AS701" s="64">
        <f>IF(BO701=1,IF(AQ701&lt;=0,0,BP701*MAX(1,IF(G701&gt;0,AQ701/G701,1))),AR701*Q701)</f>
        <v/>
      </c>
      <c r="AT701" s="55">
        <f>AQ701*F701</f>
        <v/>
      </c>
      <c r="AU701" s="55">
        <f>ROUNDUP(MAX(I701/IF(BS701&gt;0,BS701,MAX(0.1,N(Cockpit!$O$6))),BV701)/BN701,0)*BN701</f>
        <v/>
      </c>
      <c r="AV701" s="56">
        <f>IF(AS701&gt;0,I701/AS701,-1)</f>
        <v/>
      </c>
      <c r="AW701" s="56">
        <f>IF(AND(OR(BR701="L1",BR701="L23"),AS701&gt;0),SUMIFS($AS$7:$AS$1570,$BR$7:$BR$1570,BR701,$AV$7:$AV$1570,"&gt;"&amp;AV701)+SUMIFS($AS$7:$AS$1570,$BR$7:$BR$1570,BR701,$AV$7:$AV$1570,AV701,$BL$7:$BL$1570,"&lt;="&amp;BL701),"")</f>
        <v/>
      </c>
      <c r="AX701" s="65">
        <f>IF(AW701="",0,MAX(0,MIN(1,(IF(BR701="L1",Parameter!$K$5,Parameter!$K$6+Parameter!$K$7)-(AW701-AS701))/AS701)))</f>
        <v/>
      </c>
      <c r="AY701" s="53">
        <f>IF(AC701&lt;=0,"",IF(BR701="Aussen","Aussenlager",IF(BR701="-","Nicht im Lift",IF(AH701&gt;=1,"Lift",IF(AH701&lt;=0,"Aussenlager","teilweise")))))</f>
        <v/>
      </c>
      <c r="AZ701" s="53">
        <f>IF(AK701&lt;=0,"",IF(BR701="Aussen","Aussenlager",IF(BR701="-","Nicht im Lift",IF(AP701&gt;=1,"Lift",IF(AP701&lt;=0,"Aussenlager","teilweise")))))</f>
        <v/>
      </c>
      <c r="BA701" s="53">
        <f>IF(AS701&lt;=0,"",IF(BR701="Aussen","Aussenlager",IF(BR701="-","Nicht im Lift",IF(AX701&gt;=1,"Lift",IF(AX701&lt;=0,"Aussenlager","teilweise")))))</f>
        <v/>
      </c>
      <c r="BB701" s="53">
        <f>IF(A701="","",IF(BK701=1,"Neu; ","")&amp;IF(AND(BK701=0,BF701&lt;0),"negativer Bestand (Export "&amp;BF701&amp;"); ","")&amp;IF(I701&lt;=0,"Kein Verbrauch; ","")&amp;IF(BO701=1,"Lose – Fläche geschätzt; ","")&amp;IF(G701&gt;AM701,"Überbestand "&amp;ROUND(G701-AM701,0)&amp;" Stk / CHF "&amp;ROUND((G701-AM701)*F701,0)&amp;"; ","")&amp;IF(AND(BT701=1,BU701&lt;BV701),"MAX &lt; MB+LG; ","")&amp;IF(AND(BZ701&gt;0,BY701*10&gt;BZ701),"zu hoch für Tablar; ","")&amp;IF(AND(BK701=0,OR(BT701=1,V701&lt;&gt;"",S701&lt;&gt;"",T701&lt;&gt;"",W701&lt;&gt;"")),"manuell übersteuert; ","")&amp;IF(AND(BO701=0,Q701=0),"Gebinde unbekannt; ","")&amp;IF(AND(BO701=0,N(T701)&lt;=0,N(P701)&lt;=0),"Menge pro Gebinde fehlt (Ist = 1 Gebinde); ","")&amp;BJ701)</f>
        <v/>
      </c>
      <c r="BC701" s="53" t="n"/>
      <c r="BD701" s="53" t="n"/>
      <c r="BE701" s="61" t="n"/>
      <c r="BF701" s="55" t="n">
        <v>0</v>
      </c>
      <c r="BG701" s="55" t="n">
        <v>13</v>
      </c>
      <c r="BH701" s="54" t="n">
        <v>0</v>
      </c>
      <c r="BI701" s="55" t="n">
        <v>1</v>
      </c>
      <c r="BJ701" s="53" t="inlineStr">
        <is>
          <t>grosser Artikel &amp; nicht im KTL</t>
        </is>
      </c>
      <c r="BK701" s="58" t="n">
        <v>0</v>
      </c>
      <c r="BL701" s="58" t="n">
        <v>701</v>
      </c>
      <c r="BM701" s="53">
        <f>IF(S701&lt;&gt;"",UPPER(TRIM(S701)),IF(O701="","LOSE",O701))</f>
        <v/>
      </c>
      <c r="BN701" s="55">
        <f>IF(BM701="LOSE",1,IF(N(T701)&gt;0,T701,IF(N(P701)&gt;0,P701,MAX(1,G701))))</f>
        <v/>
      </c>
      <c r="BO701" s="58">
        <f>IF(BM701="LOSE",1,0)</f>
        <v/>
      </c>
      <c r="BP701" s="64">
        <f>IF(BO701=0,0,IF(N(R701)&gt;0,R701,IFERROR(VLOOKUP(D701,Parameter!$A$35:$C$64,3,0)+0,0)))</f>
        <v/>
      </c>
      <c r="BQ701" s="53">
        <f>IF(V701&lt;&gt;"",V701,U701)</f>
        <v/>
      </c>
      <c r="BR701" s="53">
        <f>IF(BQ701=1,"L1",IF(OR(BQ701=2,BQ701=3),"L23",IF(BQ701="Aussen","Aussen","-")))</f>
        <v/>
      </c>
      <c r="BS701" s="66">
        <f>IF(N(W701)&gt;0,W701,0)</f>
        <v/>
      </c>
      <c r="BT701" s="58">
        <f>IF(ISNUMBER(Z701),1,0)</f>
        <v/>
      </c>
      <c r="BU701" s="55">
        <f>N(Z701)</f>
        <v/>
      </c>
      <c r="BV701" s="55">
        <f>N(L701)+N(M701)</f>
        <v/>
      </c>
      <c r="BW701" s="55">
        <f>ROUNDUP(G701/BN701,0)</f>
        <v/>
      </c>
      <c r="BX701" s="55">
        <f>ROUNDUP(BU701/BN701,0)</f>
        <v/>
      </c>
      <c r="BY701" s="58">
        <f>IF(BO701=1,0,IFERROR(VLOOKUP(BM701,'Gebinde-Kategorie'!$A$5:$G$45,5,0)+0,0))</f>
        <v/>
      </c>
      <c r="BZ701" s="58">
        <f>IFERROR(IF(OR(BQ701=1,BQ701=2,BQ701=3),N(INDEX(Parameter!$I$5:$I$7,BQ701)),0),0)</f>
        <v/>
      </c>
    </row>
    <row r="702">
      <c r="A702" s="53" t="inlineStr">
        <is>
          <t>106472</t>
        </is>
      </c>
      <c r="B702" s="53" t="inlineStr">
        <is>
          <t>Kugelhahn</t>
        </is>
      </c>
      <c r="C702" s="53" t="inlineStr">
        <is>
          <t>F</t>
        </is>
      </c>
      <c r="D702" s="53" t="inlineStr">
        <is>
          <t>KTL</t>
        </is>
      </c>
      <c r="E702" s="53" t="inlineStr">
        <is>
          <t>C</t>
        </is>
      </c>
      <c r="F702" s="54" t="n">
        <v>293</v>
      </c>
      <c r="G702" s="55">
        <f>MAX(0,IF(Parameter!$B$20="Jahresanfang 2025 + Export",BG702+BF702,BF702))</f>
        <v/>
      </c>
      <c r="H702" s="55">
        <f>G702*F702</f>
        <v/>
      </c>
      <c r="I702" s="55">
        <f>BI702*Parameter!$B$18</f>
        <v/>
      </c>
      <c r="J702" s="56" t="n">
        <v>0</v>
      </c>
      <c r="K702" s="57" t="n">
        <v>0</v>
      </c>
      <c r="L702" s="55" t="n">
        <v>0</v>
      </c>
      <c r="M702" s="55" t="n">
        <v>5</v>
      </c>
      <c r="N702" s="58" t="n">
        <v>112</v>
      </c>
      <c r="O702" s="53" t="inlineStr">
        <is>
          <t>LOSE</t>
        </is>
      </c>
      <c r="P702" s="55" t="n"/>
      <c r="Q702" s="59">
        <f>IF(BO702=1,0,IFERROR(VLOOKUP(BM702,'Gebinde-Kategorie'!$A$5:$G$45,6,0)+0,0))</f>
        <v/>
      </c>
      <c r="R702" s="60" t="n"/>
      <c r="S702" s="61" t="n"/>
      <c r="T702" s="61" t="n"/>
      <c r="U702" s="53">
        <f>IF(A702="","",IF(IFERROR(VLOOKUP(D702,Parameter!$A$35:$C$64,2,0),"Nein")="2+3",IF(ISNUMBER(SEARCH("grosser Artikel",BJ702)),2,IFERROR(VLOOKUP(BM702,Parameter!$F$35:$G$64,2,0),2)),IF(OR(IFERROR(VLOOKUP(D702,Parameter!$A$35:$C$64,2,0),"Nein")="Nein",IFERROR(VLOOKUP(D702,Parameter!$A$35:$C$64,2,0),"Nein")=""),"-",VLOOKUP(D702,Parameter!$A$35:$C$64,2,0))))</f>
        <v/>
      </c>
      <c r="V702" s="61" t="n"/>
      <c r="W702" s="62" t="n"/>
      <c r="X702" s="55">
        <f>AM702</f>
        <v/>
      </c>
      <c r="Y702" s="55">
        <f>MAX(AM702,G702)</f>
        <v/>
      </c>
      <c r="Z702" s="63" t="n"/>
      <c r="AA702" s="55">
        <f>IF(LEFT(Cockpit!$C$5,1)="A",G702,IF(BT702=1,BU702,IF(LEFT(Cockpit!$C$5,1)="B",AE702,MAX(AE702,G702))))</f>
        <v/>
      </c>
      <c r="AB702" s="55">
        <f>IF(BO702=1,0,ROUNDUP(AA702/BN702,0))</f>
        <v/>
      </c>
      <c r="AC702" s="64">
        <f>IF(BO702=1,IF(AA702&lt;=0,0,BP702*MAX(1,IF(G702&gt;0,AA702/G702,1))),AB702*Q702)</f>
        <v/>
      </c>
      <c r="AD702" s="55">
        <f>AA702*F702</f>
        <v/>
      </c>
      <c r="AE702" s="55">
        <f>ROUNDUP(MAX(I702/IF(BS702&gt;0,BS702,MAX(0.1,N(Cockpit!$C$6))),BV702)/BN702,0)*BN702</f>
        <v/>
      </c>
      <c r="AF702" s="56">
        <f>IF(AC702&gt;0,I702/AC702,-1)</f>
        <v/>
      </c>
      <c r="AG702" s="56">
        <f>IF(AND(OR(BR702="L1",BR702="L23"),AC702&gt;0),SUMIFS($AC$7:$AC$1570,$BR$7:$BR$1570,BR702,$AF$7:$AF$1570,"&gt;"&amp;AF702)+SUMIFS($AC$7:$AC$1570,$BR$7:$BR$1570,BR702,$AF$7:$AF$1570,AF702,$BL$7:$BL$1570,"&lt;="&amp;BL702),"")</f>
        <v/>
      </c>
      <c r="AH702" s="65">
        <f>IF(AG702="",0,MAX(0,MIN(1,(IF(BR702="L1",Parameter!$K$5,Parameter!$K$6+Parameter!$K$7)-(AG702-AC702))/AC702)))</f>
        <v/>
      </c>
      <c r="AI702" s="55">
        <f>IF(LEFT(Cockpit!$I$5,1)="A",G702,IF(BT702=1,BU702,IF(LEFT(Cockpit!$I$5,1)="B",AM702,MAX(AM702,G702))))</f>
        <v/>
      </c>
      <c r="AJ702" s="55">
        <f>IF(BO702=1,0,ROUNDUP(AI702/BN702,0))</f>
        <v/>
      </c>
      <c r="AK702" s="64">
        <f>IF(BO702=1,IF(AI702&lt;=0,0,BP702*MAX(1,IF(G702&gt;0,AI702/G702,1))),AJ702*Q702)</f>
        <v/>
      </c>
      <c r="AL702" s="55">
        <f>AI702*F702</f>
        <v/>
      </c>
      <c r="AM702" s="55">
        <f>ROUNDUP(MAX(I702/IF(BS702&gt;0,BS702,MAX(0.1,N(Cockpit!$I$6))),BV702)/BN702,0)*BN702</f>
        <v/>
      </c>
      <c r="AN702" s="56">
        <f>IF(AK702&gt;0,I702/AK702,-1)</f>
        <v/>
      </c>
      <c r="AO702" s="56">
        <f>IF(AND(OR(BR702="L1",BR702="L23"),AK702&gt;0),SUMIFS($AK$7:$AK$1570,$BR$7:$BR$1570,BR702,$AN$7:$AN$1570,"&gt;"&amp;AN702)+SUMIFS($AK$7:$AK$1570,$BR$7:$BR$1570,BR702,$AN$7:$AN$1570,AN702,$BL$7:$BL$1570,"&lt;="&amp;BL702),"")</f>
        <v/>
      </c>
      <c r="AP702" s="65">
        <f>IF(AO702="",0,MAX(0,MIN(1,(IF(BR702="L1",Parameter!$K$5,Parameter!$K$6+Parameter!$K$7)-(AO702-AK702))/AK702)))</f>
        <v/>
      </c>
      <c r="AQ702" s="55">
        <f>IF(LEFT(Cockpit!$O$5,1)="A",G702,IF(BT702=1,BU702,IF(LEFT(Cockpit!$O$5,1)="B",AU702,MAX(AU702,G702))))</f>
        <v/>
      </c>
      <c r="AR702" s="55">
        <f>IF(BO702=1,0,ROUNDUP(AQ702/BN702,0))</f>
        <v/>
      </c>
      <c r="AS702" s="64">
        <f>IF(BO702=1,IF(AQ702&lt;=0,0,BP702*MAX(1,IF(G702&gt;0,AQ702/G702,1))),AR702*Q702)</f>
        <v/>
      </c>
      <c r="AT702" s="55">
        <f>AQ702*F702</f>
        <v/>
      </c>
      <c r="AU702" s="55">
        <f>ROUNDUP(MAX(I702/IF(BS702&gt;0,BS702,MAX(0.1,N(Cockpit!$O$6))),BV702)/BN702,0)*BN702</f>
        <v/>
      </c>
      <c r="AV702" s="56">
        <f>IF(AS702&gt;0,I702/AS702,-1)</f>
        <v/>
      </c>
      <c r="AW702" s="56">
        <f>IF(AND(OR(BR702="L1",BR702="L23"),AS702&gt;0),SUMIFS($AS$7:$AS$1570,$BR$7:$BR$1570,BR702,$AV$7:$AV$1570,"&gt;"&amp;AV702)+SUMIFS($AS$7:$AS$1570,$BR$7:$BR$1570,BR702,$AV$7:$AV$1570,AV702,$BL$7:$BL$1570,"&lt;="&amp;BL702),"")</f>
        <v/>
      </c>
      <c r="AX702" s="65">
        <f>IF(AW702="",0,MAX(0,MIN(1,(IF(BR702="L1",Parameter!$K$5,Parameter!$K$6+Parameter!$K$7)-(AW702-AS702))/AS702)))</f>
        <v/>
      </c>
      <c r="AY702" s="53">
        <f>IF(AC702&lt;=0,"",IF(BR702="Aussen","Aussenlager",IF(BR702="-","Nicht im Lift",IF(AH702&gt;=1,"Lift",IF(AH702&lt;=0,"Aussenlager","teilweise")))))</f>
        <v/>
      </c>
      <c r="AZ702" s="53">
        <f>IF(AK702&lt;=0,"",IF(BR702="Aussen","Aussenlager",IF(BR702="-","Nicht im Lift",IF(AP702&gt;=1,"Lift",IF(AP702&lt;=0,"Aussenlager","teilweise")))))</f>
        <v/>
      </c>
      <c r="BA702" s="53">
        <f>IF(AS702&lt;=0,"",IF(BR702="Aussen","Aussenlager",IF(BR702="-","Nicht im Lift",IF(AX702&gt;=1,"Lift",IF(AX702&lt;=0,"Aussenlager","teilweise")))))</f>
        <v/>
      </c>
      <c r="BB702" s="53">
        <f>IF(A702="","",IF(BK702=1,"Neu; ","")&amp;IF(AND(BK702=0,BF702&lt;0),"negativer Bestand (Export "&amp;BF702&amp;"); ","")&amp;IF(I702&lt;=0,"Kein Verbrauch; ","")&amp;IF(BO702=1,"Lose – Fläche geschätzt; ","")&amp;IF(G702&gt;AM702,"Überbestand "&amp;ROUND(G702-AM702,0)&amp;" Stk / CHF "&amp;ROUND((G702-AM702)*F702,0)&amp;"; ","")&amp;IF(AND(BT702=1,BU702&lt;BV702),"MAX &lt; MB+LG; ","")&amp;IF(AND(BZ702&gt;0,BY702*10&gt;BZ702),"zu hoch für Tablar; ","")&amp;IF(AND(BK702=0,OR(BT702=1,V702&lt;&gt;"",S702&lt;&gt;"",T702&lt;&gt;"",W702&lt;&gt;"")),"manuell übersteuert; ","")&amp;IF(AND(BO702=0,Q702=0),"Gebinde unbekannt; ","")&amp;IF(AND(BO702=0,N(T702)&lt;=0,N(P702)&lt;=0),"Menge pro Gebinde fehlt (Ist = 1 Gebinde); ","")&amp;BJ702)</f>
        <v/>
      </c>
      <c r="BC702" s="53" t="n"/>
      <c r="BD702" s="53" t="n"/>
      <c r="BE702" s="61" t="n"/>
      <c r="BF702" s="55" t="n">
        <v>0</v>
      </c>
      <c r="BG702" s="55" t="n">
        <v>0</v>
      </c>
      <c r="BH702" s="54" t="n">
        <v>0</v>
      </c>
      <c r="BI702" s="55" t="n">
        <v>3</v>
      </c>
      <c r="BJ702" s="53" t="inlineStr"/>
      <c r="BK702" s="58" t="n">
        <v>0</v>
      </c>
      <c r="BL702" s="58" t="n">
        <v>702</v>
      </c>
      <c r="BM702" s="53">
        <f>IF(S702&lt;&gt;"",UPPER(TRIM(S702)),IF(O702="","LOSE",O702))</f>
        <v/>
      </c>
      <c r="BN702" s="55">
        <f>IF(BM702="LOSE",1,IF(N(T702)&gt;0,T702,IF(N(P702)&gt;0,P702,MAX(1,G702))))</f>
        <v/>
      </c>
      <c r="BO702" s="58">
        <f>IF(BM702="LOSE",1,0)</f>
        <v/>
      </c>
      <c r="BP702" s="64">
        <f>IF(BO702=0,0,IF(N(R702)&gt;0,R702,IFERROR(VLOOKUP(D702,Parameter!$A$35:$C$64,3,0)+0,0)))</f>
        <v/>
      </c>
      <c r="BQ702" s="53">
        <f>IF(V702&lt;&gt;"",V702,U702)</f>
        <v/>
      </c>
      <c r="BR702" s="53">
        <f>IF(BQ702=1,"L1",IF(OR(BQ702=2,BQ702=3),"L23",IF(BQ702="Aussen","Aussen","-")))</f>
        <v/>
      </c>
      <c r="BS702" s="66">
        <f>IF(N(W702)&gt;0,W702,0)</f>
        <v/>
      </c>
      <c r="BT702" s="58">
        <f>IF(ISNUMBER(Z702),1,0)</f>
        <v/>
      </c>
      <c r="BU702" s="55">
        <f>N(Z702)</f>
        <v/>
      </c>
      <c r="BV702" s="55">
        <f>N(L702)+N(M702)</f>
        <v/>
      </c>
      <c r="BW702" s="55">
        <f>ROUNDUP(G702/BN702,0)</f>
        <v/>
      </c>
      <c r="BX702" s="55">
        <f>ROUNDUP(BU702/BN702,0)</f>
        <v/>
      </c>
      <c r="BY702" s="58">
        <f>IF(BO702=1,0,IFERROR(VLOOKUP(BM702,'Gebinde-Kategorie'!$A$5:$G$45,5,0)+0,0))</f>
        <v/>
      </c>
      <c r="BZ702" s="58">
        <f>IFERROR(IF(OR(BQ702=1,BQ702=2,BQ702=3),N(INDEX(Parameter!$I$5:$I$7,BQ702)),0),0)</f>
        <v/>
      </c>
    </row>
    <row r="703">
      <c r="A703" s="53" t="inlineStr">
        <is>
          <t>106260</t>
        </is>
      </c>
      <c r="B703" s="53" t="inlineStr">
        <is>
          <t>Typenschild</t>
        </is>
      </c>
      <c r="C703" s="53" t="inlineStr">
        <is>
          <t>F</t>
        </is>
      </c>
      <c r="D703" s="53" t="inlineStr">
        <is>
          <t>A-BEZ</t>
        </is>
      </c>
      <c r="E703" s="53" t="inlineStr">
        <is>
          <t>C</t>
        </is>
      </c>
      <c r="F703" s="54" t="n">
        <v>27.2</v>
      </c>
      <c r="G703" s="55">
        <f>MAX(0,IF(Parameter!$B$20="Jahresanfang 2025 + Export",BG703+BF703,BF703))</f>
        <v/>
      </c>
      <c r="H703" s="55">
        <f>G703*F703</f>
        <v/>
      </c>
      <c r="I703" s="55">
        <f>BI703*Parameter!$B$18</f>
        <v/>
      </c>
      <c r="J703" s="56" t="n">
        <v>17</v>
      </c>
      <c r="K703" s="57" t="n">
        <v>0</v>
      </c>
      <c r="L703" s="55" t="n">
        <v>0</v>
      </c>
      <c r="M703" s="55" t="n">
        <v>1</v>
      </c>
      <c r="N703" s="58" t="n">
        <v>21</v>
      </c>
      <c r="O703" s="53" t="inlineStr">
        <is>
          <t>LOSE</t>
        </is>
      </c>
      <c r="P703" s="55" t="n"/>
      <c r="Q703" s="59">
        <f>IF(BO703=1,0,IFERROR(VLOOKUP(BM703,'Gebinde-Kategorie'!$A$5:$G$45,6,0)+0,0))</f>
        <v/>
      </c>
      <c r="R703" s="60" t="n"/>
      <c r="S703" s="61" t="n"/>
      <c r="T703" s="61" t="n"/>
      <c r="U703" s="53">
        <f>IF(A703="","",IF(IFERROR(VLOOKUP(D703,Parameter!$A$35:$C$64,2,0),"Nein")="2+3",IF(ISNUMBER(SEARCH("grosser Artikel",BJ703)),2,IFERROR(VLOOKUP(BM703,Parameter!$F$35:$G$64,2,0),2)),IF(OR(IFERROR(VLOOKUP(D703,Parameter!$A$35:$C$64,2,0),"Nein")="Nein",IFERROR(VLOOKUP(D703,Parameter!$A$35:$C$64,2,0),"Nein")=""),"-",VLOOKUP(D703,Parameter!$A$35:$C$64,2,0))))</f>
        <v/>
      </c>
      <c r="V703" s="61" t="n"/>
      <c r="W703" s="62" t="n"/>
      <c r="X703" s="55">
        <f>AM703</f>
        <v/>
      </c>
      <c r="Y703" s="55">
        <f>MAX(AM703,G703)</f>
        <v/>
      </c>
      <c r="Z703" s="63" t="n"/>
      <c r="AA703" s="55">
        <f>IF(LEFT(Cockpit!$C$5,1)="A",G703,IF(BT703=1,BU703,IF(LEFT(Cockpit!$C$5,1)="B",AE703,MAX(AE703,G703))))</f>
        <v/>
      </c>
      <c r="AB703" s="55">
        <f>IF(BO703=1,0,ROUNDUP(AA703/BN703,0))</f>
        <v/>
      </c>
      <c r="AC703" s="64">
        <f>IF(BO703=1,IF(AA703&lt;=0,0,BP703*MAX(1,IF(G703&gt;0,AA703/G703,1))),AB703*Q703)</f>
        <v/>
      </c>
      <c r="AD703" s="55">
        <f>AA703*F703</f>
        <v/>
      </c>
      <c r="AE703" s="55">
        <f>ROUNDUP(MAX(I703/IF(BS703&gt;0,BS703,MAX(0.1,N(Cockpit!$C$6))),BV703)/BN703,0)*BN703</f>
        <v/>
      </c>
      <c r="AF703" s="56">
        <f>IF(AC703&gt;0,I703/AC703,-1)</f>
        <v/>
      </c>
      <c r="AG703" s="56">
        <f>IF(AND(OR(BR703="L1",BR703="L23"),AC703&gt;0),SUMIFS($AC$7:$AC$1570,$BR$7:$BR$1570,BR703,$AF$7:$AF$1570,"&gt;"&amp;AF703)+SUMIFS($AC$7:$AC$1570,$BR$7:$BR$1570,BR703,$AF$7:$AF$1570,AF703,$BL$7:$BL$1570,"&lt;="&amp;BL703),"")</f>
        <v/>
      </c>
      <c r="AH703" s="65">
        <f>IF(AG703="",0,MAX(0,MIN(1,(IF(BR703="L1",Parameter!$K$5,Parameter!$K$6+Parameter!$K$7)-(AG703-AC703))/AC703)))</f>
        <v/>
      </c>
      <c r="AI703" s="55">
        <f>IF(LEFT(Cockpit!$I$5,1)="A",G703,IF(BT703=1,BU703,IF(LEFT(Cockpit!$I$5,1)="B",AM703,MAX(AM703,G703))))</f>
        <v/>
      </c>
      <c r="AJ703" s="55">
        <f>IF(BO703=1,0,ROUNDUP(AI703/BN703,0))</f>
        <v/>
      </c>
      <c r="AK703" s="64">
        <f>IF(BO703=1,IF(AI703&lt;=0,0,BP703*MAX(1,IF(G703&gt;0,AI703/G703,1))),AJ703*Q703)</f>
        <v/>
      </c>
      <c r="AL703" s="55">
        <f>AI703*F703</f>
        <v/>
      </c>
      <c r="AM703" s="55">
        <f>ROUNDUP(MAX(I703/IF(BS703&gt;0,BS703,MAX(0.1,N(Cockpit!$I$6))),BV703)/BN703,0)*BN703</f>
        <v/>
      </c>
      <c r="AN703" s="56">
        <f>IF(AK703&gt;0,I703/AK703,-1)</f>
        <v/>
      </c>
      <c r="AO703" s="56">
        <f>IF(AND(OR(BR703="L1",BR703="L23"),AK703&gt;0),SUMIFS($AK$7:$AK$1570,$BR$7:$BR$1570,BR703,$AN$7:$AN$1570,"&gt;"&amp;AN703)+SUMIFS($AK$7:$AK$1570,$BR$7:$BR$1570,BR703,$AN$7:$AN$1570,AN703,$BL$7:$BL$1570,"&lt;="&amp;BL703),"")</f>
        <v/>
      </c>
      <c r="AP703" s="65">
        <f>IF(AO703="",0,MAX(0,MIN(1,(IF(BR703="L1",Parameter!$K$5,Parameter!$K$6+Parameter!$K$7)-(AO703-AK703))/AK703)))</f>
        <v/>
      </c>
      <c r="AQ703" s="55">
        <f>IF(LEFT(Cockpit!$O$5,1)="A",G703,IF(BT703=1,BU703,IF(LEFT(Cockpit!$O$5,1)="B",AU703,MAX(AU703,G703))))</f>
        <v/>
      </c>
      <c r="AR703" s="55">
        <f>IF(BO703=1,0,ROUNDUP(AQ703/BN703,0))</f>
        <v/>
      </c>
      <c r="AS703" s="64">
        <f>IF(BO703=1,IF(AQ703&lt;=0,0,BP703*MAX(1,IF(G703&gt;0,AQ703/G703,1))),AR703*Q703)</f>
        <v/>
      </c>
      <c r="AT703" s="55">
        <f>AQ703*F703</f>
        <v/>
      </c>
      <c r="AU703" s="55">
        <f>ROUNDUP(MAX(I703/IF(BS703&gt;0,BS703,MAX(0.1,N(Cockpit!$O$6))),BV703)/BN703,0)*BN703</f>
        <v/>
      </c>
      <c r="AV703" s="56">
        <f>IF(AS703&gt;0,I703/AS703,-1)</f>
        <v/>
      </c>
      <c r="AW703" s="56">
        <f>IF(AND(OR(BR703="L1",BR703="L23"),AS703&gt;0),SUMIFS($AS$7:$AS$1570,$BR$7:$BR$1570,BR703,$AV$7:$AV$1570,"&gt;"&amp;AV703)+SUMIFS($AS$7:$AS$1570,$BR$7:$BR$1570,BR703,$AV$7:$AV$1570,AV703,$BL$7:$BL$1570,"&lt;="&amp;BL703),"")</f>
        <v/>
      </c>
      <c r="AX703" s="65">
        <f>IF(AW703="",0,MAX(0,MIN(1,(IF(BR703="L1",Parameter!$K$5,Parameter!$K$6+Parameter!$K$7)-(AW703-AS703))/AS703)))</f>
        <v/>
      </c>
      <c r="AY703" s="53">
        <f>IF(AC703&lt;=0,"",IF(BR703="Aussen","Aussenlager",IF(BR703="-","Nicht im Lift",IF(AH703&gt;=1,"Lift",IF(AH703&lt;=0,"Aussenlager","teilweise")))))</f>
        <v/>
      </c>
      <c r="AZ703" s="53">
        <f>IF(AK703&lt;=0,"",IF(BR703="Aussen","Aussenlager",IF(BR703="-","Nicht im Lift",IF(AP703&gt;=1,"Lift",IF(AP703&lt;=0,"Aussenlager","teilweise")))))</f>
        <v/>
      </c>
      <c r="BA703" s="53">
        <f>IF(AS703&lt;=0,"",IF(BR703="Aussen","Aussenlager",IF(BR703="-","Nicht im Lift",IF(AX703&gt;=1,"Lift",IF(AX703&lt;=0,"Aussenlager","teilweise")))))</f>
        <v/>
      </c>
      <c r="BB703" s="53">
        <f>IF(A703="","",IF(BK703=1,"Neu; ","")&amp;IF(AND(BK703=0,BF703&lt;0),"negativer Bestand (Export "&amp;BF703&amp;"); ","")&amp;IF(I703&lt;=0,"Kein Verbrauch; ","")&amp;IF(BO703=1,"Lose – Fläche geschätzt; ","")&amp;IF(G703&gt;AM703,"Überbestand "&amp;ROUND(G703-AM703,0)&amp;" Stk / CHF "&amp;ROUND((G703-AM703)*F703,0)&amp;"; ","")&amp;IF(AND(BT703=1,BU703&lt;BV703),"MAX &lt; MB+LG; ","")&amp;IF(AND(BZ703&gt;0,BY703*10&gt;BZ703),"zu hoch für Tablar; ","")&amp;IF(AND(BK703=0,OR(BT703=1,V703&lt;&gt;"",S703&lt;&gt;"",T703&lt;&gt;"",W703&lt;&gt;"")),"manuell übersteuert; ","")&amp;IF(AND(BO703=0,Q703=0),"Gebinde unbekannt; ","")&amp;IF(AND(BO703=0,N(T703)&lt;=0,N(P703)&lt;=0),"Menge pro Gebinde fehlt (Ist = 1 Gebinde); ","")&amp;BJ703)</f>
        <v/>
      </c>
      <c r="BC703" s="53" t="n"/>
      <c r="BD703" s="53" t="n"/>
      <c r="BE703" s="61" t="n"/>
      <c r="BF703" s="55" t="n">
        <v>0</v>
      </c>
      <c r="BG703" s="55" t="n">
        <v>14</v>
      </c>
      <c r="BH703" s="54" t="n">
        <v>0</v>
      </c>
      <c r="BI703" s="55" t="n">
        <v>0</v>
      </c>
      <c r="BJ703" s="53" t="inlineStr">
        <is>
          <t>Neu; gehört nicht ins KTL</t>
        </is>
      </c>
      <c r="BK703" s="58" t="n">
        <v>0</v>
      </c>
      <c r="BL703" s="58" t="n">
        <v>703</v>
      </c>
      <c r="BM703" s="53">
        <f>IF(S703&lt;&gt;"",UPPER(TRIM(S703)),IF(O703="","LOSE",O703))</f>
        <v/>
      </c>
      <c r="BN703" s="55">
        <f>IF(BM703="LOSE",1,IF(N(T703)&gt;0,T703,IF(N(P703)&gt;0,P703,MAX(1,G703))))</f>
        <v/>
      </c>
      <c r="BO703" s="58">
        <f>IF(BM703="LOSE",1,0)</f>
        <v/>
      </c>
      <c r="BP703" s="64">
        <f>IF(BO703=0,0,IF(N(R703)&gt;0,R703,IFERROR(VLOOKUP(D703,Parameter!$A$35:$C$64,3,0)+0,0)))</f>
        <v/>
      </c>
      <c r="BQ703" s="53">
        <f>IF(V703&lt;&gt;"",V703,U703)</f>
        <v/>
      </c>
      <c r="BR703" s="53">
        <f>IF(BQ703=1,"L1",IF(OR(BQ703=2,BQ703=3),"L23",IF(BQ703="Aussen","Aussen","-")))</f>
        <v/>
      </c>
      <c r="BS703" s="66">
        <f>IF(N(W703)&gt;0,W703,0)</f>
        <v/>
      </c>
      <c r="BT703" s="58">
        <f>IF(ISNUMBER(Z703),1,0)</f>
        <v/>
      </c>
      <c r="BU703" s="55">
        <f>N(Z703)</f>
        <v/>
      </c>
      <c r="BV703" s="55">
        <f>N(L703)+N(M703)</f>
        <v/>
      </c>
      <c r="BW703" s="55">
        <f>ROUNDUP(G703/BN703,0)</f>
        <v/>
      </c>
      <c r="BX703" s="55">
        <f>ROUNDUP(BU703/BN703,0)</f>
        <v/>
      </c>
      <c r="BY703" s="58">
        <f>IF(BO703=1,0,IFERROR(VLOOKUP(BM703,'Gebinde-Kategorie'!$A$5:$G$45,5,0)+0,0))</f>
        <v/>
      </c>
      <c r="BZ703" s="58">
        <f>IFERROR(IF(OR(BQ703=1,BQ703=2,BQ703=3),N(INDEX(Parameter!$I$5:$I$7,BQ703)),0),0)</f>
        <v/>
      </c>
    </row>
    <row r="704">
      <c r="A704" s="53" t="inlineStr">
        <is>
          <t>106887</t>
        </is>
      </c>
      <c r="B704" s="53" t="inlineStr">
        <is>
          <t>Gestell ohne Fuss</t>
        </is>
      </c>
      <c r="C704" s="53" t="inlineStr">
        <is>
          <t>F</t>
        </is>
      </c>
      <c r="D704" s="53" t="inlineStr">
        <is>
          <t>PAL</t>
        </is>
      </c>
      <c r="E704" s="53" t="inlineStr">
        <is>
          <t>C</t>
        </is>
      </c>
      <c r="F704" s="54" t="n">
        <v>629.85</v>
      </c>
      <c r="G704" s="55">
        <f>MAX(0,IF(Parameter!$B$20="Jahresanfang 2025 + Export",BG704+BF704,BF704))</f>
        <v/>
      </c>
      <c r="H704" s="55">
        <f>G704*F704</f>
        <v/>
      </c>
      <c r="I704" s="55">
        <f>BI704*Parameter!$B$18</f>
        <v/>
      </c>
      <c r="J704" s="56" t="n">
        <v>0</v>
      </c>
      <c r="K704" s="57" t="n">
        <v>0</v>
      </c>
      <c r="L704" s="55" t="n">
        <v>0</v>
      </c>
      <c r="M704" s="55" t="n">
        <v>1</v>
      </c>
      <c r="N704" s="58" t="n">
        <v>14</v>
      </c>
      <c r="O704" s="53" t="inlineStr">
        <is>
          <t>LOSE</t>
        </is>
      </c>
      <c r="P704" s="55" t="n"/>
      <c r="Q704" s="59">
        <f>IF(BO704=1,0,IFERROR(VLOOKUP(BM704,'Gebinde-Kategorie'!$A$5:$G$45,6,0)+0,0))</f>
        <v/>
      </c>
      <c r="R704" s="60" t="n"/>
      <c r="S704" s="61" t="n"/>
      <c r="T704" s="61" t="n"/>
      <c r="U704" s="53">
        <f>IF(A704="","",IF(IFERROR(VLOOKUP(D704,Parameter!$A$35:$C$64,2,0),"Nein")="2+3",IF(ISNUMBER(SEARCH("grosser Artikel",BJ704)),2,IFERROR(VLOOKUP(BM704,Parameter!$F$35:$G$64,2,0),2)),IF(OR(IFERROR(VLOOKUP(D704,Parameter!$A$35:$C$64,2,0),"Nein")="Nein",IFERROR(VLOOKUP(D704,Parameter!$A$35:$C$64,2,0),"Nein")=""),"-",VLOOKUP(D704,Parameter!$A$35:$C$64,2,0))))</f>
        <v/>
      </c>
      <c r="V704" s="61" t="n"/>
      <c r="W704" s="62" t="n"/>
      <c r="X704" s="55">
        <f>AM704</f>
        <v/>
      </c>
      <c r="Y704" s="55">
        <f>MAX(AM704,G704)</f>
        <v/>
      </c>
      <c r="Z704" s="63" t="n"/>
      <c r="AA704" s="55">
        <f>IF(LEFT(Cockpit!$C$5,1)="A",G704,IF(BT704=1,BU704,IF(LEFT(Cockpit!$C$5,1)="B",AE704,MAX(AE704,G704))))</f>
        <v/>
      </c>
      <c r="AB704" s="55">
        <f>IF(BO704=1,0,ROUNDUP(AA704/BN704,0))</f>
        <v/>
      </c>
      <c r="AC704" s="64">
        <f>IF(BO704=1,IF(AA704&lt;=0,0,BP704*MAX(1,IF(G704&gt;0,AA704/G704,1))),AB704*Q704)</f>
        <v/>
      </c>
      <c r="AD704" s="55">
        <f>AA704*F704</f>
        <v/>
      </c>
      <c r="AE704" s="55">
        <f>ROUNDUP(MAX(I704/IF(BS704&gt;0,BS704,MAX(0.1,N(Cockpit!$C$6))),BV704)/BN704,0)*BN704</f>
        <v/>
      </c>
      <c r="AF704" s="56">
        <f>IF(AC704&gt;0,I704/AC704,-1)</f>
        <v/>
      </c>
      <c r="AG704" s="56">
        <f>IF(AND(OR(BR704="L1",BR704="L23"),AC704&gt;0),SUMIFS($AC$7:$AC$1570,$BR$7:$BR$1570,BR704,$AF$7:$AF$1570,"&gt;"&amp;AF704)+SUMIFS($AC$7:$AC$1570,$BR$7:$BR$1570,BR704,$AF$7:$AF$1570,AF704,$BL$7:$BL$1570,"&lt;="&amp;BL704),"")</f>
        <v/>
      </c>
      <c r="AH704" s="65">
        <f>IF(AG704="",0,MAX(0,MIN(1,(IF(BR704="L1",Parameter!$K$5,Parameter!$K$6+Parameter!$K$7)-(AG704-AC704))/AC704)))</f>
        <v/>
      </c>
      <c r="AI704" s="55">
        <f>IF(LEFT(Cockpit!$I$5,1)="A",G704,IF(BT704=1,BU704,IF(LEFT(Cockpit!$I$5,1)="B",AM704,MAX(AM704,G704))))</f>
        <v/>
      </c>
      <c r="AJ704" s="55">
        <f>IF(BO704=1,0,ROUNDUP(AI704/BN704,0))</f>
        <v/>
      </c>
      <c r="AK704" s="64">
        <f>IF(BO704=1,IF(AI704&lt;=0,0,BP704*MAX(1,IF(G704&gt;0,AI704/G704,1))),AJ704*Q704)</f>
        <v/>
      </c>
      <c r="AL704" s="55">
        <f>AI704*F704</f>
        <v/>
      </c>
      <c r="AM704" s="55">
        <f>ROUNDUP(MAX(I704/IF(BS704&gt;0,BS704,MAX(0.1,N(Cockpit!$I$6))),BV704)/BN704,0)*BN704</f>
        <v/>
      </c>
      <c r="AN704" s="56">
        <f>IF(AK704&gt;0,I704/AK704,-1)</f>
        <v/>
      </c>
      <c r="AO704" s="56">
        <f>IF(AND(OR(BR704="L1",BR704="L23"),AK704&gt;0),SUMIFS($AK$7:$AK$1570,$BR$7:$BR$1570,BR704,$AN$7:$AN$1570,"&gt;"&amp;AN704)+SUMIFS($AK$7:$AK$1570,$BR$7:$BR$1570,BR704,$AN$7:$AN$1570,AN704,$BL$7:$BL$1570,"&lt;="&amp;BL704),"")</f>
        <v/>
      </c>
      <c r="AP704" s="65">
        <f>IF(AO704="",0,MAX(0,MIN(1,(IF(BR704="L1",Parameter!$K$5,Parameter!$K$6+Parameter!$K$7)-(AO704-AK704))/AK704)))</f>
        <v/>
      </c>
      <c r="AQ704" s="55">
        <f>IF(LEFT(Cockpit!$O$5,1)="A",G704,IF(BT704=1,BU704,IF(LEFT(Cockpit!$O$5,1)="B",AU704,MAX(AU704,G704))))</f>
        <v/>
      </c>
      <c r="AR704" s="55">
        <f>IF(BO704=1,0,ROUNDUP(AQ704/BN704,0))</f>
        <v/>
      </c>
      <c r="AS704" s="64">
        <f>IF(BO704=1,IF(AQ704&lt;=0,0,BP704*MAX(1,IF(G704&gt;0,AQ704/G704,1))),AR704*Q704)</f>
        <v/>
      </c>
      <c r="AT704" s="55">
        <f>AQ704*F704</f>
        <v/>
      </c>
      <c r="AU704" s="55">
        <f>ROUNDUP(MAX(I704/IF(BS704&gt;0,BS704,MAX(0.1,N(Cockpit!$O$6))),BV704)/BN704,0)*BN704</f>
        <v/>
      </c>
      <c r="AV704" s="56">
        <f>IF(AS704&gt;0,I704/AS704,-1)</f>
        <v/>
      </c>
      <c r="AW704" s="56">
        <f>IF(AND(OR(BR704="L1",BR704="L23"),AS704&gt;0),SUMIFS($AS$7:$AS$1570,$BR$7:$BR$1570,BR704,$AV$7:$AV$1570,"&gt;"&amp;AV704)+SUMIFS($AS$7:$AS$1570,$BR$7:$BR$1570,BR704,$AV$7:$AV$1570,AV704,$BL$7:$BL$1570,"&lt;="&amp;BL704),"")</f>
        <v/>
      </c>
      <c r="AX704" s="65">
        <f>IF(AW704="",0,MAX(0,MIN(1,(IF(BR704="L1",Parameter!$K$5,Parameter!$K$6+Parameter!$K$7)-(AW704-AS704))/AS704)))</f>
        <v/>
      </c>
      <c r="AY704" s="53">
        <f>IF(AC704&lt;=0,"",IF(BR704="Aussen","Aussenlager",IF(BR704="-","Nicht im Lift",IF(AH704&gt;=1,"Lift",IF(AH704&lt;=0,"Aussenlager","teilweise")))))</f>
        <v/>
      </c>
      <c r="AZ704" s="53">
        <f>IF(AK704&lt;=0,"",IF(BR704="Aussen","Aussenlager",IF(BR704="-","Nicht im Lift",IF(AP704&gt;=1,"Lift",IF(AP704&lt;=0,"Aussenlager","teilweise")))))</f>
        <v/>
      </c>
      <c r="BA704" s="53">
        <f>IF(AS704&lt;=0,"",IF(BR704="Aussen","Aussenlager",IF(BR704="-","Nicht im Lift",IF(AX704&gt;=1,"Lift",IF(AX704&lt;=0,"Aussenlager","teilweise")))))</f>
        <v/>
      </c>
      <c r="BB704" s="53">
        <f>IF(A704="","",IF(BK704=1,"Neu; ","")&amp;IF(AND(BK704=0,BF704&lt;0),"negativer Bestand (Export "&amp;BF704&amp;"); ","")&amp;IF(I704&lt;=0,"Kein Verbrauch; ","")&amp;IF(BO704=1,"Lose – Fläche geschätzt; ","")&amp;IF(G704&gt;AM704,"Überbestand "&amp;ROUND(G704-AM704,0)&amp;" Stk / CHF "&amp;ROUND((G704-AM704)*F704,0)&amp;"; ","")&amp;IF(AND(BT704=1,BU704&lt;BV704),"MAX &lt; MB+LG; ","")&amp;IF(AND(BZ704&gt;0,BY704*10&gt;BZ704),"zu hoch für Tablar; ","")&amp;IF(AND(BK704=0,OR(BT704=1,V704&lt;&gt;"",S704&lt;&gt;"",T704&lt;&gt;"",W704&lt;&gt;"")),"manuell übersteuert; ","")&amp;IF(AND(BO704=0,Q704=0),"Gebinde unbekannt; ","")&amp;IF(AND(BO704=0,N(T704)&lt;=0,N(P704)&lt;=0),"Menge pro Gebinde fehlt (Ist = 1 Gebinde); ","")&amp;BJ704)</f>
        <v/>
      </c>
      <c r="BC704" s="53" t="n"/>
      <c r="BD704" s="53" t="n"/>
      <c r="BE704" s="61" t="n"/>
      <c r="BF704" s="55" t="n">
        <v>0</v>
      </c>
      <c r="BG704" s="55" t="n">
        <v>0</v>
      </c>
      <c r="BH704" s="54" t="n">
        <v>0</v>
      </c>
      <c r="BI704" s="55" t="n">
        <v>0</v>
      </c>
      <c r="BJ704" s="53" t="inlineStr"/>
      <c r="BK704" s="58" t="n">
        <v>0</v>
      </c>
      <c r="BL704" s="58" t="n">
        <v>704</v>
      </c>
      <c r="BM704" s="53">
        <f>IF(S704&lt;&gt;"",UPPER(TRIM(S704)),IF(O704="","LOSE",O704))</f>
        <v/>
      </c>
      <c r="BN704" s="55">
        <f>IF(BM704="LOSE",1,IF(N(T704)&gt;0,T704,IF(N(P704)&gt;0,P704,MAX(1,G704))))</f>
        <v/>
      </c>
      <c r="BO704" s="58">
        <f>IF(BM704="LOSE",1,0)</f>
        <v/>
      </c>
      <c r="BP704" s="64">
        <f>IF(BO704=0,0,IF(N(R704)&gt;0,R704,IFERROR(VLOOKUP(D704,Parameter!$A$35:$C$64,3,0)+0,0)))</f>
        <v/>
      </c>
      <c r="BQ704" s="53">
        <f>IF(V704&lt;&gt;"",V704,U704)</f>
        <v/>
      </c>
      <c r="BR704" s="53">
        <f>IF(BQ704=1,"L1",IF(OR(BQ704=2,BQ704=3),"L23",IF(BQ704="Aussen","Aussen","-")))</f>
        <v/>
      </c>
      <c r="BS704" s="66">
        <f>IF(N(W704)&gt;0,W704,0)</f>
        <v/>
      </c>
      <c r="BT704" s="58">
        <f>IF(ISNUMBER(Z704),1,0)</f>
        <v/>
      </c>
      <c r="BU704" s="55">
        <f>N(Z704)</f>
        <v/>
      </c>
      <c r="BV704" s="55">
        <f>N(L704)+N(M704)</f>
        <v/>
      </c>
      <c r="BW704" s="55">
        <f>ROUNDUP(G704/BN704,0)</f>
        <v/>
      </c>
      <c r="BX704" s="55">
        <f>ROUNDUP(BU704/BN704,0)</f>
        <v/>
      </c>
      <c r="BY704" s="58">
        <f>IF(BO704=1,0,IFERROR(VLOOKUP(BM704,'Gebinde-Kategorie'!$A$5:$G$45,5,0)+0,0))</f>
        <v/>
      </c>
      <c r="BZ704" s="58">
        <f>IFERROR(IF(OR(BQ704=1,BQ704=2,BQ704=3),N(INDEX(Parameter!$I$5:$I$7,BQ704)),0),0)</f>
        <v/>
      </c>
    </row>
    <row r="705">
      <c r="A705" s="53" t="inlineStr">
        <is>
          <t>105718</t>
        </is>
      </c>
      <c r="B705" s="53" t="inlineStr">
        <is>
          <t>Steuerschrank BASE</t>
        </is>
      </c>
      <c r="C705" s="53" t="inlineStr">
        <is>
          <t>F</t>
        </is>
      </c>
      <c r="D705" s="53" t="inlineStr">
        <is>
          <t>A-BEZ</t>
        </is>
      </c>
      <c r="E705" s="53" t="inlineStr">
        <is>
          <t>C</t>
        </is>
      </c>
      <c r="F705" s="54" t="n">
        <v>12657.45</v>
      </c>
      <c r="G705" s="55">
        <f>MAX(0,IF(Parameter!$B$20="Jahresanfang 2025 + Export",BG705+BF705,BF705))</f>
        <v/>
      </c>
      <c r="H705" s="55">
        <f>G705*F705</f>
        <v/>
      </c>
      <c r="I705" s="55">
        <f>BI705*Parameter!$B$18</f>
        <v/>
      </c>
      <c r="J705" s="56" t="n">
        <v>1</v>
      </c>
      <c r="K705" s="57" t="n">
        <v>0</v>
      </c>
      <c r="L705" s="55" t="n">
        <v>0</v>
      </c>
      <c r="M705" s="55" t="n">
        <v>1</v>
      </c>
      <c r="N705" s="58" t="n">
        <v>35</v>
      </c>
      <c r="O705" s="53" t="inlineStr">
        <is>
          <t>LOSE</t>
        </is>
      </c>
      <c r="P705" s="55" t="n"/>
      <c r="Q705" s="59">
        <f>IF(BO705=1,0,IFERROR(VLOOKUP(BM705,'Gebinde-Kategorie'!$A$5:$G$45,6,0)+0,0))</f>
        <v/>
      </c>
      <c r="R705" s="60" t="n"/>
      <c r="S705" s="61" t="n"/>
      <c r="T705" s="61" t="n"/>
      <c r="U705" s="53">
        <f>IF(A705="","",IF(IFERROR(VLOOKUP(D705,Parameter!$A$35:$C$64,2,0),"Nein")="2+3",IF(ISNUMBER(SEARCH("grosser Artikel",BJ705)),2,IFERROR(VLOOKUP(BM705,Parameter!$F$35:$G$64,2,0),2)),IF(OR(IFERROR(VLOOKUP(D705,Parameter!$A$35:$C$64,2,0),"Nein")="Nein",IFERROR(VLOOKUP(D705,Parameter!$A$35:$C$64,2,0),"Nein")=""),"-",VLOOKUP(D705,Parameter!$A$35:$C$64,2,0))))</f>
        <v/>
      </c>
      <c r="V705" s="61" t="n"/>
      <c r="W705" s="62" t="n"/>
      <c r="X705" s="55">
        <f>AM705</f>
        <v/>
      </c>
      <c r="Y705" s="55">
        <f>MAX(AM705,G705)</f>
        <v/>
      </c>
      <c r="Z705" s="63" t="n"/>
      <c r="AA705" s="55">
        <f>IF(LEFT(Cockpit!$C$5,1)="A",G705,IF(BT705=1,BU705,IF(LEFT(Cockpit!$C$5,1)="B",AE705,MAX(AE705,G705))))</f>
        <v/>
      </c>
      <c r="AB705" s="55">
        <f>IF(BO705=1,0,ROUNDUP(AA705/BN705,0))</f>
        <v/>
      </c>
      <c r="AC705" s="64">
        <f>IF(BO705=1,IF(AA705&lt;=0,0,BP705*MAX(1,IF(G705&gt;0,AA705/G705,1))),AB705*Q705)</f>
        <v/>
      </c>
      <c r="AD705" s="55">
        <f>AA705*F705</f>
        <v/>
      </c>
      <c r="AE705" s="55">
        <f>ROUNDUP(MAX(I705/IF(BS705&gt;0,BS705,MAX(0.1,N(Cockpit!$C$6))),BV705)/BN705,0)*BN705</f>
        <v/>
      </c>
      <c r="AF705" s="56">
        <f>IF(AC705&gt;0,I705/AC705,-1)</f>
        <v/>
      </c>
      <c r="AG705" s="56">
        <f>IF(AND(OR(BR705="L1",BR705="L23"),AC705&gt;0),SUMIFS($AC$7:$AC$1570,$BR$7:$BR$1570,BR705,$AF$7:$AF$1570,"&gt;"&amp;AF705)+SUMIFS($AC$7:$AC$1570,$BR$7:$BR$1570,BR705,$AF$7:$AF$1570,AF705,$BL$7:$BL$1570,"&lt;="&amp;BL705),"")</f>
        <v/>
      </c>
      <c r="AH705" s="65">
        <f>IF(AG705="",0,MAX(0,MIN(1,(IF(BR705="L1",Parameter!$K$5,Parameter!$K$6+Parameter!$K$7)-(AG705-AC705))/AC705)))</f>
        <v/>
      </c>
      <c r="AI705" s="55">
        <f>IF(LEFT(Cockpit!$I$5,1)="A",G705,IF(BT705=1,BU705,IF(LEFT(Cockpit!$I$5,1)="B",AM705,MAX(AM705,G705))))</f>
        <v/>
      </c>
      <c r="AJ705" s="55">
        <f>IF(BO705=1,0,ROUNDUP(AI705/BN705,0))</f>
        <v/>
      </c>
      <c r="AK705" s="64">
        <f>IF(BO705=1,IF(AI705&lt;=0,0,BP705*MAX(1,IF(G705&gt;0,AI705/G705,1))),AJ705*Q705)</f>
        <v/>
      </c>
      <c r="AL705" s="55">
        <f>AI705*F705</f>
        <v/>
      </c>
      <c r="AM705" s="55">
        <f>ROUNDUP(MAX(I705/IF(BS705&gt;0,BS705,MAX(0.1,N(Cockpit!$I$6))),BV705)/BN705,0)*BN705</f>
        <v/>
      </c>
      <c r="AN705" s="56">
        <f>IF(AK705&gt;0,I705/AK705,-1)</f>
        <v/>
      </c>
      <c r="AO705" s="56">
        <f>IF(AND(OR(BR705="L1",BR705="L23"),AK705&gt;0),SUMIFS($AK$7:$AK$1570,$BR$7:$BR$1570,BR705,$AN$7:$AN$1570,"&gt;"&amp;AN705)+SUMIFS($AK$7:$AK$1570,$BR$7:$BR$1570,BR705,$AN$7:$AN$1570,AN705,$BL$7:$BL$1570,"&lt;="&amp;BL705),"")</f>
        <v/>
      </c>
      <c r="AP705" s="65">
        <f>IF(AO705="",0,MAX(0,MIN(1,(IF(BR705="L1",Parameter!$K$5,Parameter!$K$6+Parameter!$K$7)-(AO705-AK705))/AK705)))</f>
        <v/>
      </c>
      <c r="AQ705" s="55">
        <f>IF(LEFT(Cockpit!$O$5,1)="A",G705,IF(BT705=1,BU705,IF(LEFT(Cockpit!$O$5,1)="B",AU705,MAX(AU705,G705))))</f>
        <v/>
      </c>
      <c r="AR705" s="55">
        <f>IF(BO705=1,0,ROUNDUP(AQ705/BN705,0))</f>
        <v/>
      </c>
      <c r="AS705" s="64">
        <f>IF(BO705=1,IF(AQ705&lt;=0,0,BP705*MAX(1,IF(G705&gt;0,AQ705/G705,1))),AR705*Q705)</f>
        <v/>
      </c>
      <c r="AT705" s="55">
        <f>AQ705*F705</f>
        <v/>
      </c>
      <c r="AU705" s="55">
        <f>ROUNDUP(MAX(I705/IF(BS705&gt;0,BS705,MAX(0.1,N(Cockpit!$O$6))),BV705)/BN705,0)*BN705</f>
        <v/>
      </c>
      <c r="AV705" s="56">
        <f>IF(AS705&gt;0,I705/AS705,-1)</f>
        <v/>
      </c>
      <c r="AW705" s="56">
        <f>IF(AND(OR(BR705="L1",BR705="L23"),AS705&gt;0),SUMIFS($AS$7:$AS$1570,$BR$7:$BR$1570,BR705,$AV$7:$AV$1570,"&gt;"&amp;AV705)+SUMIFS($AS$7:$AS$1570,$BR$7:$BR$1570,BR705,$AV$7:$AV$1570,AV705,$BL$7:$BL$1570,"&lt;="&amp;BL705),"")</f>
        <v/>
      </c>
      <c r="AX705" s="65">
        <f>IF(AW705="",0,MAX(0,MIN(1,(IF(BR705="L1",Parameter!$K$5,Parameter!$K$6+Parameter!$K$7)-(AW705-AS705))/AS705)))</f>
        <v/>
      </c>
      <c r="AY705" s="53">
        <f>IF(AC705&lt;=0,"",IF(BR705="Aussen","Aussenlager",IF(BR705="-","Nicht im Lift",IF(AH705&gt;=1,"Lift",IF(AH705&lt;=0,"Aussenlager","teilweise")))))</f>
        <v/>
      </c>
      <c r="AZ705" s="53">
        <f>IF(AK705&lt;=0,"",IF(BR705="Aussen","Aussenlager",IF(BR705="-","Nicht im Lift",IF(AP705&gt;=1,"Lift",IF(AP705&lt;=0,"Aussenlager","teilweise")))))</f>
        <v/>
      </c>
      <c r="BA705" s="53">
        <f>IF(AS705&lt;=0,"",IF(BR705="Aussen","Aussenlager",IF(BR705="-","Nicht im Lift",IF(AX705&gt;=1,"Lift",IF(AX705&lt;=0,"Aussenlager","teilweise")))))</f>
        <v/>
      </c>
      <c r="BB705" s="53">
        <f>IF(A705="","",IF(BK705=1,"Neu; ","")&amp;IF(AND(BK705=0,BF705&lt;0),"negativer Bestand (Export "&amp;BF705&amp;"); ","")&amp;IF(I705&lt;=0,"Kein Verbrauch; ","")&amp;IF(BO705=1,"Lose – Fläche geschätzt; ","")&amp;IF(G705&gt;AM705,"Überbestand "&amp;ROUND(G705-AM705,0)&amp;" Stk / CHF "&amp;ROUND((G705-AM705)*F705,0)&amp;"; ","")&amp;IF(AND(BT705=1,BU705&lt;BV705),"MAX &lt; MB+LG; ","")&amp;IF(AND(BZ705&gt;0,BY705*10&gt;BZ705),"zu hoch für Tablar; ","")&amp;IF(AND(BK705=0,OR(BT705=1,V705&lt;&gt;"",S705&lt;&gt;"",T705&lt;&gt;"",W705&lt;&gt;"")),"manuell übersteuert; ","")&amp;IF(AND(BO705=0,Q705=0),"Gebinde unbekannt; ","")&amp;IF(AND(BO705=0,N(T705)&lt;=0,N(P705)&lt;=0),"Menge pro Gebinde fehlt (Ist = 1 Gebinde); ","")&amp;BJ705)</f>
        <v/>
      </c>
      <c r="BC705" s="53" t="n"/>
      <c r="BD705" s="53" t="n"/>
      <c r="BE705" s="61" t="n"/>
      <c r="BF705" s="55" t="n">
        <v>0</v>
      </c>
      <c r="BG705" s="55" t="n">
        <v>0</v>
      </c>
      <c r="BH705" s="54" t="n">
        <v>0</v>
      </c>
      <c r="BI705" s="55" t="n">
        <v>0</v>
      </c>
      <c r="BJ705" s="53" t="inlineStr"/>
      <c r="BK705" s="58" t="n">
        <v>0</v>
      </c>
      <c r="BL705" s="58" t="n">
        <v>705</v>
      </c>
      <c r="BM705" s="53">
        <f>IF(S705&lt;&gt;"",UPPER(TRIM(S705)),IF(O705="","LOSE",O705))</f>
        <v/>
      </c>
      <c r="BN705" s="55">
        <f>IF(BM705="LOSE",1,IF(N(T705)&gt;0,T705,IF(N(P705)&gt;0,P705,MAX(1,G705))))</f>
        <v/>
      </c>
      <c r="BO705" s="58">
        <f>IF(BM705="LOSE",1,0)</f>
        <v/>
      </c>
      <c r="BP705" s="64">
        <f>IF(BO705=0,0,IF(N(R705)&gt;0,R705,IFERROR(VLOOKUP(D705,Parameter!$A$35:$C$64,3,0)+0,0)))</f>
        <v/>
      </c>
      <c r="BQ705" s="53">
        <f>IF(V705&lt;&gt;"",V705,U705)</f>
        <v/>
      </c>
      <c r="BR705" s="53">
        <f>IF(BQ705=1,"L1",IF(OR(BQ705=2,BQ705=3),"L23",IF(BQ705="Aussen","Aussen","-")))</f>
        <v/>
      </c>
      <c r="BS705" s="66">
        <f>IF(N(W705)&gt;0,W705,0)</f>
        <v/>
      </c>
      <c r="BT705" s="58">
        <f>IF(ISNUMBER(Z705),1,0)</f>
        <v/>
      </c>
      <c r="BU705" s="55">
        <f>N(Z705)</f>
        <v/>
      </c>
      <c r="BV705" s="55">
        <f>N(L705)+N(M705)</f>
        <v/>
      </c>
      <c r="BW705" s="55">
        <f>ROUNDUP(G705/BN705,0)</f>
        <v/>
      </c>
      <c r="BX705" s="55">
        <f>ROUNDUP(BU705/BN705,0)</f>
        <v/>
      </c>
      <c r="BY705" s="58">
        <f>IF(BO705=1,0,IFERROR(VLOOKUP(BM705,'Gebinde-Kategorie'!$A$5:$G$45,5,0)+0,0))</f>
        <v/>
      </c>
      <c r="BZ705" s="58">
        <f>IFERROR(IF(OR(BQ705=1,BQ705=2,BQ705=3),N(INDEX(Parameter!$I$5:$I$7,BQ705)),0),0)</f>
        <v/>
      </c>
    </row>
    <row r="706">
      <c r="A706" s="53" t="inlineStr">
        <is>
          <t>106886</t>
        </is>
      </c>
      <c r="B706" s="53" t="inlineStr">
        <is>
          <t>Gestell mit Fuss</t>
        </is>
      </c>
      <c r="C706" s="53" t="inlineStr">
        <is>
          <t>F</t>
        </is>
      </c>
      <c r="D706" s="53" t="inlineStr">
        <is>
          <t>PAL</t>
        </is>
      </c>
      <c r="E706" s="53" t="inlineStr">
        <is>
          <t>C</t>
        </is>
      </c>
      <c r="F706" s="54" t="n">
        <v>798.3</v>
      </c>
      <c r="G706" s="55">
        <f>MAX(0,IF(Parameter!$B$20="Jahresanfang 2025 + Export",BG706+BF706,BF706))</f>
        <v/>
      </c>
      <c r="H706" s="55">
        <f>G706*F706</f>
        <v/>
      </c>
      <c r="I706" s="55">
        <f>BI706*Parameter!$B$18</f>
        <v/>
      </c>
      <c r="J706" s="56" t="n">
        <v>5.5</v>
      </c>
      <c r="K706" s="57" t="n">
        <v>0.3636363636363636</v>
      </c>
      <c r="L706" s="55" t="n">
        <v>0</v>
      </c>
      <c r="M706" s="55" t="n">
        <v>1</v>
      </c>
      <c r="N706" s="58" t="n">
        <v>14</v>
      </c>
      <c r="O706" s="53" t="inlineStr">
        <is>
          <t>LOSE</t>
        </is>
      </c>
      <c r="P706" s="55" t="n"/>
      <c r="Q706" s="59">
        <f>IF(BO706=1,0,IFERROR(VLOOKUP(BM706,'Gebinde-Kategorie'!$A$5:$G$45,6,0)+0,0))</f>
        <v/>
      </c>
      <c r="R706" s="60" t="n"/>
      <c r="S706" s="61" t="n"/>
      <c r="T706" s="61" t="n"/>
      <c r="U706" s="53">
        <f>IF(A706="","",IF(IFERROR(VLOOKUP(D706,Parameter!$A$35:$C$64,2,0),"Nein")="2+3",IF(ISNUMBER(SEARCH("grosser Artikel",BJ706)),2,IFERROR(VLOOKUP(BM706,Parameter!$F$35:$G$64,2,0),2)),IF(OR(IFERROR(VLOOKUP(D706,Parameter!$A$35:$C$64,2,0),"Nein")="Nein",IFERROR(VLOOKUP(D706,Parameter!$A$35:$C$64,2,0),"Nein")=""),"-",VLOOKUP(D706,Parameter!$A$35:$C$64,2,0))))</f>
        <v/>
      </c>
      <c r="V706" s="61" t="n"/>
      <c r="W706" s="62" t="n"/>
      <c r="X706" s="55">
        <f>AM706</f>
        <v/>
      </c>
      <c r="Y706" s="55">
        <f>MAX(AM706,G706)</f>
        <v/>
      </c>
      <c r="Z706" s="63" t="n"/>
      <c r="AA706" s="55">
        <f>IF(LEFT(Cockpit!$C$5,1)="A",G706,IF(BT706=1,BU706,IF(LEFT(Cockpit!$C$5,1)="B",AE706,MAX(AE706,G706))))</f>
        <v/>
      </c>
      <c r="AB706" s="55">
        <f>IF(BO706=1,0,ROUNDUP(AA706/BN706,0))</f>
        <v/>
      </c>
      <c r="AC706" s="64">
        <f>IF(BO706=1,IF(AA706&lt;=0,0,BP706*MAX(1,IF(G706&gt;0,AA706/G706,1))),AB706*Q706)</f>
        <v/>
      </c>
      <c r="AD706" s="55">
        <f>AA706*F706</f>
        <v/>
      </c>
      <c r="AE706" s="55">
        <f>ROUNDUP(MAX(I706/IF(BS706&gt;0,BS706,MAX(0.1,N(Cockpit!$C$6))),BV706)/BN706,0)*BN706</f>
        <v/>
      </c>
      <c r="AF706" s="56">
        <f>IF(AC706&gt;0,I706/AC706,-1)</f>
        <v/>
      </c>
      <c r="AG706" s="56">
        <f>IF(AND(OR(BR706="L1",BR706="L23"),AC706&gt;0),SUMIFS($AC$7:$AC$1570,$BR$7:$BR$1570,BR706,$AF$7:$AF$1570,"&gt;"&amp;AF706)+SUMIFS($AC$7:$AC$1570,$BR$7:$BR$1570,BR706,$AF$7:$AF$1570,AF706,$BL$7:$BL$1570,"&lt;="&amp;BL706),"")</f>
        <v/>
      </c>
      <c r="AH706" s="65">
        <f>IF(AG706="",0,MAX(0,MIN(1,(IF(BR706="L1",Parameter!$K$5,Parameter!$K$6+Parameter!$K$7)-(AG706-AC706))/AC706)))</f>
        <v/>
      </c>
      <c r="AI706" s="55">
        <f>IF(LEFT(Cockpit!$I$5,1)="A",G706,IF(BT706=1,BU706,IF(LEFT(Cockpit!$I$5,1)="B",AM706,MAX(AM706,G706))))</f>
        <v/>
      </c>
      <c r="AJ706" s="55">
        <f>IF(BO706=1,0,ROUNDUP(AI706/BN706,0))</f>
        <v/>
      </c>
      <c r="AK706" s="64">
        <f>IF(BO706=1,IF(AI706&lt;=0,0,BP706*MAX(1,IF(G706&gt;0,AI706/G706,1))),AJ706*Q706)</f>
        <v/>
      </c>
      <c r="AL706" s="55">
        <f>AI706*F706</f>
        <v/>
      </c>
      <c r="AM706" s="55">
        <f>ROUNDUP(MAX(I706/IF(BS706&gt;0,BS706,MAX(0.1,N(Cockpit!$I$6))),BV706)/BN706,0)*BN706</f>
        <v/>
      </c>
      <c r="AN706" s="56">
        <f>IF(AK706&gt;0,I706/AK706,-1)</f>
        <v/>
      </c>
      <c r="AO706" s="56">
        <f>IF(AND(OR(BR706="L1",BR706="L23"),AK706&gt;0),SUMIFS($AK$7:$AK$1570,$BR$7:$BR$1570,BR706,$AN$7:$AN$1570,"&gt;"&amp;AN706)+SUMIFS($AK$7:$AK$1570,$BR$7:$BR$1570,BR706,$AN$7:$AN$1570,AN706,$BL$7:$BL$1570,"&lt;="&amp;BL706),"")</f>
        <v/>
      </c>
      <c r="AP706" s="65">
        <f>IF(AO706="",0,MAX(0,MIN(1,(IF(BR706="L1",Parameter!$K$5,Parameter!$K$6+Parameter!$K$7)-(AO706-AK706))/AK706)))</f>
        <v/>
      </c>
      <c r="AQ706" s="55">
        <f>IF(LEFT(Cockpit!$O$5,1)="A",G706,IF(BT706=1,BU706,IF(LEFT(Cockpit!$O$5,1)="B",AU706,MAX(AU706,G706))))</f>
        <v/>
      </c>
      <c r="AR706" s="55">
        <f>IF(BO706=1,0,ROUNDUP(AQ706/BN706,0))</f>
        <v/>
      </c>
      <c r="AS706" s="64">
        <f>IF(BO706=1,IF(AQ706&lt;=0,0,BP706*MAX(1,IF(G706&gt;0,AQ706/G706,1))),AR706*Q706)</f>
        <v/>
      </c>
      <c r="AT706" s="55">
        <f>AQ706*F706</f>
        <v/>
      </c>
      <c r="AU706" s="55">
        <f>ROUNDUP(MAX(I706/IF(BS706&gt;0,BS706,MAX(0.1,N(Cockpit!$O$6))),BV706)/BN706,0)*BN706</f>
        <v/>
      </c>
      <c r="AV706" s="56">
        <f>IF(AS706&gt;0,I706/AS706,-1)</f>
        <v/>
      </c>
      <c r="AW706" s="56">
        <f>IF(AND(OR(BR706="L1",BR706="L23"),AS706&gt;0),SUMIFS($AS$7:$AS$1570,$BR$7:$BR$1570,BR706,$AV$7:$AV$1570,"&gt;"&amp;AV706)+SUMIFS($AS$7:$AS$1570,$BR$7:$BR$1570,BR706,$AV$7:$AV$1570,AV706,$BL$7:$BL$1570,"&lt;="&amp;BL706),"")</f>
        <v/>
      </c>
      <c r="AX706" s="65">
        <f>IF(AW706="",0,MAX(0,MIN(1,(IF(BR706="L1",Parameter!$K$5,Parameter!$K$6+Parameter!$K$7)-(AW706-AS706))/AS706)))</f>
        <v/>
      </c>
      <c r="AY706" s="53">
        <f>IF(AC706&lt;=0,"",IF(BR706="Aussen","Aussenlager",IF(BR706="-","Nicht im Lift",IF(AH706&gt;=1,"Lift",IF(AH706&lt;=0,"Aussenlager","teilweise")))))</f>
        <v/>
      </c>
      <c r="AZ706" s="53">
        <f>IF(AK706&lt;=0,"",IF(BR706="Aussen","Aussenlager",IF(BR706="-","Nicht im Lift",IF(AP706&gt;=1,"Lift",IF(AP706&lt;=0,"Aussenlager","teilweise")))))</f>
        <v/>
      </c>
      <c r="BA706" s="53">
        <f>IF(AS706&lt;=0,"",IF(BR706="Aussen","Aussenlager",IF(BR706="-","Nicht im Lift",IF(AX706&gt;=1,"Lift",IF(AX706&lt;=0,"Aussenlager","teilweise")))))</f>
        <v/>
      </c>
      <c r="BB706" s="53">
        <f>IF(A706="","",IF(BK706=1,"Neu; ","")&amp;IF(AND(BK706=0,BF706&lt;0),"negativer Bestand (Export "&amp;BF706&amp;"); ","")&amp;IF(I706&lt;=0,"Kein Verbrauch; ","")&amp;IF(BO706=1,"Lose – Fläche geschätzt; ","")&amp;IF(G706&gt;AM706,"Überbestand "&amp;ROUND(G706-AM706,0)&amp;" Stk / CHF "&amp;ROUND((G706-AM706)*F706,0)&amp;"; ","")&amp;IF(AND(BT706=1,BU706&lt;BV706),"MAX &lt; MB+LG; ","")&amp;IF(AND(BZ706&gt;0,BY706*10&gt;BZ706),"zu hoch für Tablar; ","")&amp;IF(AND(BK706=0,OR(BT706=1,V706&lt;&gt;"",S706&lt;&gt;"",T706&lt;&gt;"",W706&lt;&gt;"")),"manuell übersteuert; ","")&amp;IF(AND(BO706=0,Q706=0),"Gebinde unbekannt; ","")&amp;IF(AND(BO706=0,N(T706)&lt;=0,N(P706)&lt;=0),"Menge pro Gebinde fehlt (Ist = 1 Gebinde); ","")&amp;BJ706)</f>
        <v/>
      </c>
      <c r="BC706" s="53" t="n"/>
      <c r="BD706" s="53" t="n"/>
      <c r="BE706" s="61" t="n"/>
      <c r="BF706" s="55" t="n">
        <v>0</v>
      </c>
      <c r="BG706" s="55" t="n">
        <v>0</v>
      </c>
      <c r="BH706" s="54" t="n">
        <v>0</v>
      </c>
      <c r="BI706" s="55" t="n">
        <v>2</v>
      </c>
      <c r="BJ706" s="53" t="inlineStr"/>
      <c r="BK706" s="58" t="n">
        <v>0</v>
      </c>
      <c r="BL706" s="58" t="n">
        <v>706</v>
      </c>
      <c r="BM706" s="53">
        <f>IF(S706&lt;&gt;"",UPPER(TRIM(S706)),IF(O706="","LOSE",O706))</f>
        <v/>
      </c>
      <c r="BN706" s="55">
        <f>IF(BM706="LOSE",1,IF(N(T706)&gt;0,T706,IF(N(P706)&gt;0,P706,MAX(1,G706))))</f>
        <v/>
      </c>
      <c r="BO706" s="58">
        <f>IF(BM706="LOSE",1,0)</f>
        <v/>
      </c>
      <c r="BP706" s="64">
        <f>IF(BO706=0,0,IF(N(R706)&gt;0,R706,IFERROR(VLOOKUP(D706,Parameter!$A$35:$C$64,3,0)+0,0)))</f>
        <v/>
      </c>
      <c r="BQ706" s="53">
        <f>IF(V706&lt;&gt;"",V706,U706)</f>
        <v/>
      </c>
      <c r="BR706" s="53">
        <f>IF(BQ706=1,"L1",IF(OR(BQ706=2,BQ706=3),"L23",IF(BQ706="Aussen","Aussen","-")))</f>
        <v/>
      </c>
      <c r="BS706" s="66">
        <f>IF(N(W706)&gt;0,W706,0)</f>
        <v/>
      </c>
      <c r="BT706" s="58">
        <f>IF(ISNUMBER(Z706),1,0)</f>
        <v/>
      </c>
      <c r="BU706" s="55">
        <f>N(Z706)</f>
        <v/>
      </c>
      <c r="BV706" s="55">
        <f>N(L706)+N(M706)</f>
        <v/>
      </c>
      <c r="BW706" s="55">
        <f>ROUNDUP(G706/BN706,0)</f>
        <v/>
      </c>
      <c r="BX706" s="55">
        <f>ROUNDUP(BU706/BN706,0)</f>
        <v/>
      </c>
      <c r="BY706" s="58">
        <f>IF(BO706=1,0,IFERROR(VLOOKUP(BM706,'Gebinde-Kategorie'!$A$5:$G$45,5,0)+0,0))</f>
        <v/>
      </c>
      <c r="BZ706" s="58">
        <f>IFERROR(IF(OR(BQ706=1,BQ706=2,BQ706=3),N(INDEX(Parameter!$I$5:$I$7,BQ706)),0),0)</f>
        <v/>
      </c>
    </row>
    <row r="707">
      <c r="A707" s="53" t="inlineStr">
        <is>
          <t>105719</t>
        </is>
      </c>
      <c r="B707" s="53" t="inlineStr">
        <is>
          <t>Steuerschrank SUB</t>
        </is>
      </c>
      <c r="C707" s="53" t="inlineStr">
        <is>
          <t>F</t>
        </is>
      </c>
      <c r="D707" s="53" t="inlineStr">
        <is>
          <t>A-BEZ</t>
        </is>
      </c>
      <c r="E707" s="53" t="inlineStr">
        <is>
          <t>C</t>
        </is>
      </c>
      <c r="F707" s="54" t="n">
        <v>4993.1</v>
      </c>
      <c r="G707" s="55">
        <f>MAX(0,IF(Parameter!$B$20="Jahresanfang 2025 + Export",BG707+BF707,BF707))</f>
        <v/>
      </c>
      <c r="H707" s="55">
        <f>G707*F707</f>
        <v/>
      </c>
      <c r="I707" s="55">
        <f>BI707*Parameter!$B$18</f>
        <v/>
      </c>
      <c r="J707" s="56" t="n">
        <v>1</v>
      </c>
      <c r="K707" s="57" t="n">
        <v>0</v>
      </c>
      <c r="L707" s="55" t="n">
        <v>0</v>
      </c>
      <c r="M707" s="55" t="n">
        <v>1</v>
      </c>
      <c r="N707" s="58" t="n">
        <v>35</v>
      </c>
      <c r="O707" s="53" t="inlineStr">
        <is>
          <t>LOSE</t>
        </is>
      </c>
      <c r="P707" s="55" t="n"/>
      <c r="Q707" s="59">
        <f>IF(BO707=1,0,IFERROR(VLOOKUP(BM707,'Gebinde-Kategorie'!$A$5:$G$45,6,0)+0,0))</f>
        <v/>
      </c>
      <c r="R707" s="60" t="n"/>
      <c r="S707" s="61" t="n"/>
      <c r="T707" s="61" t="n"/>
      <c r="U707" s="53">
        <f>IF(A707="","",IF(IFERROR(VLOOKUP(D707,Parameter!$A$35:$C$64,2,0),"Nein")="2+3",IF(ISNUMBER(SEARCH("grosser Artikel",BJ707)),2,IFERROR(VLOOKUP(BM707,Parameter!$F$35:$G$64,2,0),2)),IF(OR(IFERROR(VLOOKUP(D707,Parameter!$A$35:$C$64,2,0),"Nein")="Nein",IFERROR(VLOOKUP(D707,Parameter!$A$35:$C$64,2,0),"Nein")=""),"-",VLOOKUP(D707,Parameter!$A$35:$C$64,2,0))))</f>
        <v/>
      </c>
      <c r="V707" s="61" t="n"/>
      <c r="W707" s="62" t="n"/>
      <c r="X707" s="55">
        <f>AM707</f>
        <v/>
      </c>
      <c r="Y707" s="55">
        <f>MAX(AM707,G707)</f>
        <v/>
      </c>
      <c r="Z707" s="63" t="n"/>
      <c r="AA707" s="55">
        <f>IF(LEFT(Cockpit!$C$5,1)="A",G707,IF(BT707=1,BU707,IF(LEFT(Cockpit!$C$5,1)="B",AE707,MAX(AE707,G707))))</f>
        <v/>
      </c>
      <c r="AB707" s="55">
        <f>IF(BO707=1,0,ROUNDUP(AA707/BN707,0))</f>
        <v/>
      </c>
      <c r="AC707" s="64">
        <f>IF(BO707=1,IF(AA707&lt;=0,0,BP707*MAX(1,IF(G707&gt;0,AA707/G707,1))),AB707*Q707)</f>
        <v/>
      </c>
      <c r="AD707" s="55">
        <f>AA707*F707</f>
        <v/>
      </c>
      <c r="AE707" s="55">
        <f>ROUNDUP(MAX(I707/IF(BS707&gt;0,BS707,MAX(0.1,N(Cockpit!$C$6))),BV707)/BN707,0)*BN707</f>
        <v/>
      </c>
      <c r="AF707" s="56">
        <f>IF(AC707&gt;0,I707/AC707,-1)</f>
        <v/>
      </c>
      <c r="AG707" s="56">
        <f>IF(AND(OR(BR707="L1",BR707="L23"),AC707&gt;0),SUMIFS($AC$7:$AC$1570,$BR$7:$BR$1570,BR707,$AF$7:$AF$1570,"&gt;"&amp;AF707)+SUMIFS($AC$7:$AC$1570,$BR$7:$BR$1570,BR707,$AF$7:$AF$1570,AF707,$BL$7:$BL$1570,"&lt;="&amp;BL707),"")</f>
        <v/>
      </c>
      <c r="AH707" s="65">
        <f>IF(AG707="",0,MAX(0,MIN(1,(IF(BR707="L1",Parameter!$K$5,Parameter!$K$6+Parameter!$K$7)-(AG707-AC707))/AC707)))</f>
        <v/>
      </c>
      <c r="AI707" s="55">
        <f>IF(LEFT(Cockpit!$I$5,1)="A",G707,IF(BT707=1,BU707,IF(LEFT(Cockpit!$I$5,1)="B",AM707,MAX(AM707,G707))))</f>
        <v/>
      </c>
      <c r="AJ707" s="55">
        <f>IF(BO707=1,0,ROUNDUP(AI707/BN707,0))</f>
        <v/>
      </c>
      <c r="AK707" s="64">
        <f>IF(BO707=1,IF(AI707&lt;=0,0,BP707*MAX(1,IF(G707&gt;0,AI707/G707,1))),AJ707*Q707)</f>
        <v/>
      </c>
      <c r="AL707" s="55">
        <f>AI707*F707</f>
        <v/>
      </c>
      <c r="AM707" s="55">
        <f>ROUNDUP(MAX(I707/IF(BS707&gt;0,BS707,MAX(0.1,N(Cockpit!$I$6))),BV707)/BN707,0)*BN707</f>
        <v/>
      </c>
      <c r="AN707" s="56">
        <f>IF(AK707&gt;0,I707/AK707,-1)</f>
        <v/>
      </c>
      <c r="AO707" s="56">
        <f>IF(AND(OR(BR707="L1",BR707="L23"),AK707&gt;0),SUMIFS($AK$7:$AK$1570,$BR$7:$BR$1570,BR707,$AN$7:$AN$1570,"&gt;"&amp;AN707)+SUMIFS($AK$7:$AK$1570,$BR$7:$BR$1570,BR707,$AN$7:$AN$1570,AN707,$BL$7:$BL$1570,"&lt;="&amp;BL707),"")</f>
        <v/>
      </c>
      <c r="AP707" s="65">
        <f>IF(AO707="",0,MAX(0,MIN(1,(IF(BR707="L1",Parameter!$K$5,Parameter!$K$6+Parameter!$K$7)-(AO707-AK707))/AK707)))</f>
        <v/>
      </c>
      <c r="AQ707" s="55">
        <f>IF(LEFT(Cockpit!$O$5,1)="A",G707,IF(BT707=1,BU707,IF(LEFT(Cockpit!$O$5,1)="B",AU707,MAX(AU707,G707))))</f>
        <v/>
      </c>
      <c r="AR707" s="55">
        <f>IF(BO707=1,0,ROUNDUP(AQ707/BN707,0))</f>
        <v/>
      </c>
      <c r="AS707" s="64">
        <f>IF(BO707=1,IF(AQ707&lt;=0,0,BP707*MAX(1,IF(G707&gt;0,AQ707/G707,1))),AR707*Q707)</f>
        <v/>
      </c>
      <c r="AT707" s="55">
        <f>AQ707*F707</f>
        <v/>
      </c>
      <c r="AU707" s="55">
        <f>ROUNDUP(MAX(I707/IF(BS707&gt;0,BS707,MAX(0.1,N(Cockpit!$O$6))),BV707)/BN707,0)*BN707</f>
        <v/>
      </c>
      <c r="AV707" s="56">
        <f>IF(AS707&gt;0,I707/AS707,-1)</f>
        <v/>
      </c>
      <c r="AW707" s="56">
        <f>IF(AND(OR(BR707="L1",BR707="L23"),AS707&gt;0),SUMIFS($AS$7:$AS$1570,$BR$7:$BR$1570,BR707,$AV$7:$AV$1570,"&gt;"&amp;AV707)+SUMIFS($AS$7:$AS$1570,$BR$7:$BR$1570,BR707,$AV$7:$AV$1570,AV707,$BL$7:$BL$1570,"&lt;="&amp;BL707),"")</f>
        <v/>
      </c>
      <c r="AX707" s="65">
        <f>IF(AW707="",0,MAX(0,MIN(1,(IF(BR707="L1",Parameter!$K$5,Parameter!$K$6+Parameter!$K$7)-(AW707-AS707))/AS707)))</f>
        <v/>
      </c>
      <c r="AY707" s="53">
        <f>IF(AC707&lt;=0,"",IF(BR707="Aussen","Aussenlager",IF(BR707="-","Nicht im Lift",IF(AH707&gt;=1,"Lift",IF(AH707&lt;=0,"Aussenlager","teilweise")))))</f>
        <v/>
      </c>
      <c r="AZ707" s="53">
        <f>IF(AK707&lt;=0,"",IF(BR707="Aussen","Aussenlager",IF(BR707="-","Nicht im Lift",IF(AP707&gt;=1,"Lift",IF(AP707&lt;=0,"Aussenlager","teilweise")))))</f>
        <v/>
      </c>
      <c r="BA707" s="53">
        <f>IF(AS707&lt;=0,"",IF(BR707="Aussen","Aussenlager",IF(BR707="-","Nicht im Lift",IF(AX707&gt;=1,"Lift",IF(AX707&lt;=0,"Aussenlager","teilweise")))))</f>
        <v/>
      </c>
      <c r="BB707" s="53">
        <f>IF(A707="","",IF(BK707=1,"Neu; ","")&amp;IF(AND(BK707=0,BF707&lt;0),"negativer Bestand (Export "&amp;BF707&amp;"); ","")&amp;IF(I707&lt;=0,"Kein Verbrauch; ","")&amp;IF(BO707=1,"Lose – Fläche geschätzt; ","")&amp;IF(G707&gt;AM707,"Überbestand "&amp;ROUND(G707-AM707,0)&amp;" Stk / CHF "&amp;ROUND((G707-AM707)*F707,0)&amp;"; ","")&amp;IF(AND(BT707=1,BU707&lt;BV707),"MAX &lt; MB+LG; ","")&amp;IF(AND(BZ707&gt;0,BY707*10&gt;BZ707),"zu hoch für Tablar; ","")&amp;IF(AND(BK707=0,OR(BT707=1,V707&lt;&gt;"",S707&lt;&gt;"",T707&lt;&gt;"",W707&lt;&gt;"")),"manuell übersteuert; ","")&amp;IF(AND(BO707=0,Q707=0),"Gebinde unbekannt; ","")&amp;IF(AND(BO707=0,N(T707)&lt;=0,N(P707)&lt;=0),"Menge pro Gebinde fehlt (Ist = 1 Gebinde); ","")&amp;BJ707)</f>
        <v/>
      </c>
      <c r="BC707" s="53" t="n"/>
      <c r="BD707" s="53" t="n"/>
      <c r="BE707" s="61" t="n"/>
      <c r="BF707" s="55" t="n">
        <v>0</v>
      </c>
      <c r="BG707" s="55" t="n">
        <v>0</v>
      </c>
      <c r="BH707" s="54" t="n">
        <v>0</v>
      </c>
      <c r="BI707" s="55" t="n">
        <v>0</v>
      </c>
      <c r="BJ707" s="53" t="inlineStr"/>
      <c r="BK707" s="58" t="n">
        <v>0</v>
      </c>
      <c r="BL707" s="58" t="n">
        <v>707</v>
      </c>
      <c r="BM707" s="53">
        <f>IF(S707&lt;&gt;"",UPPER(TRIM(S707)),IF(O707="","LOSE",O707))</f>
        <v/>
      </c>
      <c r="BN707" s="55">
        <f>IF(BM707="LOSE",1,IF(N(T707)&gt;0,T707,IF(N(P707)&gt;0,P707,MAX(1,G707))))</f>
        <v/>
      </c>
      <c r="BO707" s="58">
        <f>IF(BM707="LOSE",1,0)</f>
        <v/>
      </c>
      <c r="BP707" s="64">
        <f>IF(BO707=0,0,IF(N(R707)&gt;0,R707,IFERROR(VLOOKUP(D707,Parameter!$A$35:$C$64,3,0)+0,0)))</f>
        <v/>
      </c>
      <c r="BQ707" s="53">
        <f>IF(V707&lt;&gt;"",V707,U707)</f>
        <v/>
      </c>
      <c r="BR707" s="53">
        <f>IF(BQ707=1,"L1",IF(OR(BQ707=2,BQ707=3),"L23",IF(BQ707="Aussen","Aussen","-")))</f>
        <v/>
      </c>
      <c r="BS707" s="66">
        <f>IF(N(W707)&gt;0,W707,0)</f>
        <v/>
      </c>
      <c r="BT707" s="58">
        <f>IF(ISNUMBER(Z707),1,0)</f>
        <v/>
      </c>
      <c r="BU707" s="55">
        <f>N(Z707)</f>
        <v/>
      </c>
      <c r="BV707" s="55">
        <f>N(L707)+N(M707)</f>
        <v/>
      </c>
      <c r="BW707" s="55">
        <f>ROUNDUP(G707/BN707,0)</f>
        <v/>
      </c>
      <c r="BX707" s="55">
        <f>ROUNDUP(BU707/BN707,0)</f>
        <v/>
      </c>
      <c r="BY707" s="58">
        <f>IF(BO707=1,0,IFERROR(VLOOKUP(BM707,'Gebinde-Kategorie'!$A$5:$G$45,5,0)+0,0))</f>
        <v/>
      </c>
      <c r="BZ707" s="58">
        <f>IFERROR(IF(OR(BQ707=1,BQ707=2,BQ707=3),N(INDEX(Parameter!$I$5:$I$7,BQ707)),0),0)</f>
        <v/>
      </c>
    </row>
    <row r="708">
      <c r="A708" s="53" t="inlineStr">
        <is>
          <t>101652</t>
        </is>
      </c>
      <c r="B708" s="53" t="inlineStr">
        <is>
          <t>Rohr</t>
        </is>
      </c>
      <c r="C708" s="53" t="inlineStr">
        <is>
          <t>F</t>
        </is>
      </c>
      <c r="D708" s="53" t="inlineStr">
        <is>
          <t>KTL</t>
        </is>
      </c>
      <c r="E708" s="53" t="inlineStr">
        <is>
          <t>C</t>
        </is>
      </c>
      <c r="F708" s="54" t="n">
        <v>5.85</v>
      </c>
      <c r="G708" s="55">
        <f>MAX(0,IF(Parameter!$B$20="Jahresanfang 2025 + Export",BG708+BF708,BF708))</f>
        <v/>
      </c>
      <c r="H708" s="55">
        <f>G708*F708</f>
        <v/>
      </c>
      <c r="I708" s="55">
        <f>BI708*Parameter!$B$18</f>
        <v/>
      </c>
      <c r="J708" s="56" t="n">
        <v>43.5</v>
      </c>
      <c r="K708" s="57" t="n">
        <v>0</v>
      </c>
      <c r="L708" s="55" t="n">
        <v>0</v>
      </c>
      <c r="M708" s="55" t="n">
        <v>1</v>
      </c>
      <c r="N708" s="58" t="n">
        <v>21</v>
      </c>
      <c r="O708" s="53" t="inlineStr">
        <is>
          <t>S21</t>
        </is>
      </c>
      <c r="P708" s="55" t="n">
        <v>50</v>
      </c>
      <c r="Q708" s="59">
        <f>IF(BO708=1,0,IFERROR(VLOOKUP(BM708,'Gebinde-Kategorie'!$A$5:$G$45,6,0)+0,0))</f>
        <v/>
      </c>
      <c r="R708" s="60" t="n"/>
      <c r="S708" s="61" t="n"/>
      <c r="T708" s="61" t="n"/>
      <c r="U708" s="53">
        <f>IF(A708="","",IF(IFERROR(VLOOKUP(D708,Parameter!$A$35:$C$64,2,0),"Nein")="2+3",IF(ISNUMBER(SEARCH("grosser Artikel",BJ708)),2,IFERROR(VLOOKUP(BM708,Parameter!$F$35:$G$64,2,0),2)),IF(OR(IFERROR(VLOOKUP(D708,Parameter!$A$35:$C$64,2,0),"Nein")="Nein",IFERROR(VLOOKUP(D708,Parameter!$A$35:$C$64,2,0),"Nein")=""),"-",VLOOKUP(D708,Parameter!$A$35:$C$64,2,0))))</f>
        <v/>
      </c>
      <c r="V708" s="61" t="n"/>
      <c r="W708" s="62" t="n"/>
      <c r="X708" s="55">
        <f>AM708</f>
        <v/>
      </c>
      <c r="Y708" s="55">
        <f>MAX(AM708,G708)</f>
        <v/>
      </c>
      <c r="Z708" s="63" t="n"/>
      <c r="AA708" s="55">
        <f>IF(LEFT(Cockpit!$C$5,1)="A",G708,IF(BT708=1,BU708,IF(LEFT(Cockpit!$C$5,1)="B",AE708,MAX(AE708,G708))))</f>
        <v/>
      </c>
      <c r="AB708" s="55">
        <f>IF(BO708=1,0,ROUNDUP(AA708/BN708,0))</f>
        <v/>
      </c>
      <c r="AC708" s="64">
        <f>IF(BO708=1,IF(AA708&lt;=0,0,BP708*MAX(1,IF(G708&gt;0,AA708/G708,1))),AB708*Q708)</f>
        <v/>
      </c>
      <c r="AD708" s="55">
        <f>AA708*F708</f>
        <v/>
      </c>
      <c r="AE708" s="55">
        <f>ROUNDUP(MAX(I708/IF(BS708&gt;0,BS708,MAX(0.1,N(Cockpit!$C$6))),BV708)/BN708,0)*BN708</f>
        <v/>
      </c>
      <c r="AF708" s="56">
        <f>IF(AC708&gt;0,I708/AC708,-1)</f>
        <v/>
      </c>
      <c r="AG708" s="56">
        <f>IF(AND(OR(BR708="L1",BR708="L23"),AC708&gt;0),SUMIFS($AC$7:$AC$1570,$BR$7:$BR$1570,BR708,$AF$7:$AF$1570,"&gt;"&amp;AF708)+SUMIFS($AC$7:$AC$1570,$BR$7:$BR$1570,BR708,$AF$7:$AF$1570,AF708,$BL$7:$BL$1570,"&lt;="&amp;BL708),"")</f>
        <v/>
      </c>
      <c r="AH708" s="65">
        <f>IF(AG708="",0,MAX(0,MIN(1,(IF(BR708="L1",Parameter!$K$5,Parameter!$K$6+Parameter!$K$7)-(AG708-AC708))/AC708)))</f>
        <v/>
      </c>
      <c r="AI708" s="55">
        <f>IF(LEFT(Cockpit!$I$5,1)="A",G708,IF(BT708=1,BU708,IF(LEFT(Cockpit!$I$5,1)="B",AM708,MAX(AM708,G708))))</f>
        <v/>
      </c>
      <c r="AJ708" s="55">
        <f>IF(BO708=1,0,ROUNDUP(AI708/BN708,0))</f>
        <v/>
      </c>
      <c r="AK708" s="64">
        <f>IF(BO708=1,IF(AI708&lt;=0,0,BP708*MAX(1,IF(G708&gt;0,AI708/G708,1))),AJ708*Q708)</f>
        <v/>
      </c>
      <c r="AL708" s="55">
        <f>AI708*F708</f>
        <v/>
      </c>
      <c r="AM708" s="55">
        <f>ROUNDUP(MAX(I708/IF(BS708&gt;0,BS708,MAX(0.1,N(Cockpit!$I$6))),BV708)/BN708,0)*BN708</f>
        <v/>
      </c>
      <c r="AN708" s="56">
        <f>IF(AK708&gt;0,I708/AK708,-1)</f>
        <v/>
      </c>
      <c r="AO708" s="56">
        <f>IF(AND(OR(BR708="L1",BR708="L23"),AK708&gt;0),SUMIFS($AK$7:$AK$1570,$BR$7:$BR$1570,BR708,$AN$7:$AN$1570,"&gt;"&amp;AN708)+SUMIFS($AK$7:$AK$1570,$BR$7:$BR$1570,BR708,$AN$7:$AN$1570,AN708,$BL$7:$BL$1570,"&lt;="&amp;BL708),"")</f>
        <v/>
      </c>
      <c r="AP708" s="65">
        <f>IF(AO708="",0,MAX(0,MIN(1,(IF(BR708="L1",Parameter!$K$5,Parameter!$K$6+Parameter!$K$7)-(AO708-AK708))/AK708)))</f>
        <v/>
      </c>
      <c r="AQ708" s="55">
        <f>IF(LEFT(Cockpit!$O$5,1)="A",G708,IF(BT708=1,BU708,IF(LEFT(Cockpit!$O$5,1)="B",AU708,MAX(AU708,G708))))</f>
        <v/>
      </c>
      <c r="AR708" s="55">
        <f>IF(BO708=1,0,ROUNDUP(AQ708/BN708,0))</f>
        <v/>
      </c>
      <c r="AS708" s="64">
        <f>IF(BO708=1,IF(AQ708&lt;=0,0,BP708*MAX(1,IF(G708&gt;0,AQ708/G708,1))),AR708*Q708)</f>
        <v/>
      </c>
      <c r="AT708" s="55">
        <f>AQ708*F708</f>
        <v/>
      </c>
      <c r="AU708" s="55">
        <f>ROUNDUP(MAX(I708/IF(BS708&gt;0,BS708,MAX(0.1,N(Cockpit!$O$6))),BV708)/BN708,0)*BN708</f>
        <v/>
      </c>
      <c r="AV708" s="56">
        <f>IF(AS708&gt;0,I708/AS708,-1)</f>
        <v/>
      </c>
      <c r="AW708" s="56">
        <f>IF(AND(OR(BR708="L1",BR708="L23"),AS708&gt;0),SUMIFS($AS$7:$AS$1570,$BR$7:$BR$1570,BR708,$AV$7:$AV$1570,"&gt;"&amp;AV708)+SUMIFS($AS$7:$AS$1570,$BR$7:$BR$1570,BR708,$AV$7:$AV$1570,AV708,$BL$7:$BL$1570,"&lt;="&amp;BL708),"")</f>
        <v/>
      </c>
      <c r="AX708" s="65">
        <f>IF(AW708="",0,MAX(0,MIN(1,(IF(BR708="L1",Parameter!$K$5,Parameter!$K$6+Parameter!$K$7)-(AW708-AS708))/AS708)))</f>
        <v/>
      </c>
      <c r="AY708" s="53">
        <f>IF(AC708&lt;=0,"",IF(BR708="Aussen","Aussenlager",IF(BR708="-","Nicht im Lift",IF(AH708&gt;=1,"Lift",IF(AH708&lt;=0,"Aussenlager","teilweise")))))</f>
        <v/>
      </c>
      <c r="AZ708" s="53">
        <f>IF(AK708&lt;=0,"",IF(BR708="Aussen","Aussenlager",IF(BR708="-","Nicht im Lift",IF(AP708&gt;=1,"Lift",IF(AP708&lt;=0,"Aussenlager","teilweise")))))</f>
        <v/>
      </c>
      <c r="BA708" s="53">
        <f>IF(AS708&lt;=0,"",IF(BR708="Aussen","Aussenlager",IF(BR708="-","Nicht im Lift",IF(AX708&gt;=1,"Lift",IF(AX708&lt;=0,"Aussenlager","teilweise")))))</f>
        <v/>
      </c>
      <c r="BB708" s="53">
        <f>IF(A708="","",IF(BK708=1,"Neu; ","")&amp;IF(AND(BK708=0,BF708&lt;0),"negativer Bestand (Export "&amp;BF708&amp;"); ","")&amp;IF(I708&lt;=0,"Kein Verbrauch; ","")&amp;IF(BO708=1,"Lose – Fläche geschätzt; ","")&amp;IF(G708&gt;AM708,"Überbestand "&amp;ROUND(G708-AM708,0)&amp;" Stk / CHF "&amp;ROUND((G708-AM708)*F708,0)&amp;"; ","")&amp;IF(AND(BT708=1,BU708&lt;BV708),"MAX &lt; MB+LG; ","")&amp;IF(AND(BZ708&gt;0,BY708*10&gt;BZ708),"zu hoch für Tablar; ","")&amp;IF(AND(BK708=0,OR(BT708=1,V708&lt;&gt;"",S708&lt;&gt;"",T708&lt;&gt;"",W708&lt;&gt;"")),"manuell übersteuert; ","")&amp;IF(AND(BO708=0,Q708=0),"Gebinde unbekannt; ","")&amp;IF(AND(BO708=0,N(T708)&lt;=0,N(P708)&lt;=0),"Menge pro Gebinde fehlt (Ist = 1 Gebinde); ","")&amp;BJ708)</f>
        <v/>
      </c>
      <c r="BC708" s="53" t="n"/>
      <c r="BD708" s="53" t="n"/>
      <c r="BE708" s="61" t="n"/>
      <c r="BF708" s="55" t="n">
        <v>0</v>
      </c>
      <c r="BG708" s="55" t="n">
        <v>43</v>
      </c>
      <c r="BH708" s="54" t="n">
        <v>0</v>
      </c>
      <c r="BI708" s="55" t="n">
        <v>0</v>
      </c>
      <c r="BJ708" s="53" t="inlineStr"/>
      <c r="BK708" s="58" t="n">
        <v>0</v>
      </c>
      <c r="BL708" s="58" t="n">
        <v>708</v>
      </c>
      <c r="BM708" s="53">
        <f>IF(S708&lt;&gt;"",UPPER(TRIM(S708)),IF(O708="","LOSE",O708))</f>
        <v/>
      </c>
      <c r="BN708" s="55">
        <f>IF(BM708="LOSE",1,IF(N(T708)&gt;0,T708,IF(N(P708)&gt;0,P708,MAX(1,G708))))</f>
        <v/>
      </c>
      <c r="BO708" s="58">
        <f>IF(BM708="LOSE",1,0)</f>
        <v/>
      </c>
      <c r="BP708" s="64">
        <f>IF(BO708=0,0,IF(N(R708)&gt;0,R708,IFERROR(VLOOKUP(D708,Parameter!$A$35:$C$64,3,0)+0,0)))</f>
        <v/>
      </c>
      <c r="BQ708" s="53">
        <f>IF(V708&lt;&gt;"",V708,U708)</f>
        <v/>
      </c>
      <c r="BR708" s="53">
        <f>IF(BQ708=1,"L1",IF(OR(BQ708=2,BQ708=3),"L23",IF(BQ708="Aussen","Aussen","-")))</f>
        <v/>
      </c>
      <c r="BS708" s="66">
        <f>IF(N(W708)&gt;0,W708,0)</f>
        <v/>
      </c>
      <c r="BT708" s="58">
        <f>IF(ISNUMBER(Z708),1,0)</f>
        <v/>
      </c>
      <c r="BU708" s="55">
        <f>N(Z708)</f>
        <v/>
      </c>
      <c r="BV708" s="55">
        <f>N(L708)+N(M708)</f>
        <v/>
      </c>
      <c r="BW708" s="55">
        <f>ROUNDUP(G708/BN708,0)</f>
        <v/>
      </c>
      <c r="BX708" s="55">
        <f>ROUNDUP(BU708/BN708,0)</f>
        <v/>
      </c>
      <c r="BY708" s="58">
        <f>IF(BO708=1,0,IFERROR(VLOOKUP(BM708,'Gebinde-Kategorie'!$A$5:$G$45,5,0)+0,0))</f>
        <v/>
      </c>
      <c r="BZ708" s="58">
        <f>IFERROR(IF(OR(BQ708=1,BQ708=2,BQ708=3),N(INDEX(Parameter!$I$5:$I$7,BQ708)),0),0)</f>
        <v/>
      </c>
    </row>
    <row r="709">
      <c r="A709" s="53" t="inlineStr">
        <is>
          <t>104473</t>
        </is>
      </c>
      <c r="B709" s="53" t="inlineStr">
        <is>
          <t>Gewindestange</t>
        </is>
      </c>
      <c r="C709" s="53" t="inlineStr">
        <is>
          <t>F</t>
        </is>
      </c>
      <c r="D709" s="53" t="inlineStr">
        <is>
          <t>KTL</t>
        </is>
      </c>
      <c r="E709" s="53" t="inlineStr">
        <is>
          <t>C</t>
        </is>
      </c>
      <c r="F709" s="54" t="n">
        <v>55.5</v>
      </c>
      <c r="G709" s="55">
        <f>MAX(0,IF(Parameter!$B$20="Jahresanfang 2025 + Export",BG709+BF709,BF709))</f>
        <v/>
      </c>
      <c r="H709" s="55">
        <f>G709*F709</f>
        <v/>
      </c>
      <c r="I709" s="55">
        <f>BI709*Parameter!$B$18</f>
        <v/>
      </c>
      <c r="J709" s="56" t="n">
        <v>3</v>
      </c>
      <c r="K709" s="57" t="n">
        <v>0.6666666666666666</v>
      </c>
      <c r="L709" s="55" t="n">
        <v>0</v>
      </c>
      <c r="M709" s="55" t="n">
        <v>1</v>
      </c>
      <c r="N709" s="58" t="n">
        <v>28</v>
      </c>
      <c r="O709" s="53" t="inlineStr">
        <is>
          <t>S51</t>
        </is>
      </c>
      <c r="P709" s="55" t="n">
        <v>6</v>
      </c>
      <c r="Q709" s="59">
        <f>IF(BO709=1,0,IFERROR(VLOOKUP(BM709,'Gebinde-Kategorie'!$A$5:$G$45,6,0)+0,0))</f>
        <v/>
      </c>
      <c r="R709" s="60" t="n"/>
      <c r="S709" s="61" t="n"/>
      <c r="T709" s="61" t="n"/>
      <c r="U709" s="53">
        <f>IF(A709="","",IF(IFERROR(VLOOKUP(D709,Parameter!$A$35:$C$64,2,0),"Nein")="2+3",IF(ISNUMBER(SEARCH("grosser Artikel",BJ709)),2,IFERROR(VLOOKUP(BM709,Parameter!$F$35:$G$64,2,0),2)),IF(OR(IFERROR(VLOOKUP(D709,Parameter!$A$35:$C$64,2,0),"Nein")="Nein",IFERROR(VLOOKUP(D709,Parameter!$A$35:$C$64,2,0),"Nein")=""),"-",VLOOKUP(D709,Parameter!$A$35:$C$64,2,0))))</f>
        <v/>
      </c>
      <c r="V709" s="61" t="n"/>
      <c r="W709" s="62" t="n"/>
      <c r="X709" s="55">
        <f>AM709</f>
        <v/>
      </c>
      <c r="Y709" s="55">
        <f>MAX(AM709,G709)</f>
        <v/>
      </c>
      <c r="Z709" s="63" t="n"/>
      <c r="AA709" s="55">
        <f>IF(LEFT(Cockpit!$C$5,1)="A",G709,IF(BT709=1,BU709,IF(LEFT(Cockpit!$C$5,1)="B",AE709,MAX(AE709,G709))))</f>
        <v/>
      </c>
      <c r="AB709" s="55">
        <f>IF(BO709=1,0,ROUNDUP(AA709/BN709,0))</f>
        <v/>
      </c>
      <c r="AC709" s="64">
        <f>IF(BO709=1,IF(AA709&lt;=0,0,BP709*MAX(1,IF(G709&gt;0,AA709/G709,1))),AB709*Q709)</f>
        <v/>
      </c>
      <c r="AD709" s="55">
        <f>AA709*F709</f>
        <v/>
      </c>
      <c r="AE709" s="55">
        <f>ROUNDUP(MAX(I709/IF(BS709&gt;0,BS709,MAX(0.1,N(Cockpit!$C$6))),BV709)/BN709,0)*BN709</f>
        <v/>
      </c>
      <c r="AF709" s="56">
        <f>IF(AC709&gt;0,I709/AC709,-1)</f>
        <v/>
      </c>
      <c r="AG709" s="56">
        <f>IF(AND(OR(BR709="L1",BR709="L23"),AC709&gt;0),SUMIFS($AC$7:$AC$1570,$BR$7:$BR$1570,BR709,$AF$7:$AF$1570,"&gt;"&amp;AF709)+SUMIFS($AC$7:$AC$1570,$BR$7:$BR$1570,BR709,$AF$7:$AF$1570,AF709,$BL$7:$BL$1570,"&lt;="&amp;BL709),"")</f>
        <v/>
      </c>
      <c r="AH709" s="65">
        <f>IF(AG709="",0,MAX(0,MIN(1,(IF(BR709="L1",Parameter!$K$5,Parameter!$K$6+Parameter!$K$7)-(AG709-AC709))/AC709)))</f>
        <v/>
      </c>
      <c r="AI709" s="55">
        <f>IF(LEFT(Cockpit!$I$5,1)="A",G709,IF(BT709=1,BU709,IF(LEFT(Cockpit!$I$5,1)="B",AM709,MAX(AM709,G709))))</f>
        <v/>
      </c>
      <c r="AJ709" s="55">
        <f>IF(BO709=1,0,ROUNDUP(AI709/BN709,0))</f>
        <v/>
      </c>
      <c r="AK709" s="64">
        <f>IF(BO709=1,IF(AI709&lt;=0,0,BP709*MAX(1,IF(G709&gt;0,AI709/G709,1))),AJ709*Q709)</f>
        <v/>
      </c>
      <c r="AL709" s="55">
        <f>AI709*F709</f>
        <v/>
      </c>
      <c r="AM709" s="55">
        <f>ROUNDUP(MAX(I709/IF(BS709&gt;0,BS709,MAX(0.1,N(Cockpit!$I$6))),BV709)/BN709,0)*BN709</f>
        <v/>
      </c>
      <c r="AN709" s="56">
        <f>IF(AK709&gt;0,I709/AK709,-1)</f>
        <v/>
      </c>
      <c r="AO709" s="56">
        <f>IF(AND(OR(BR709="L1",BR709="L23"),AK709&gt;0),SUMIFS($AK$7:$AK$1570,$BR$7:$BR$1570,BR709,$AN$7:$AN$1570,"&gt;"&amp;AN709)+SUMIFS($AK$7:$AK$1570,$BR$7:$BR$1570,BR709,$AN$7:$AN$1570,AN709,$BL$7:$BL$1570,"&lt;="&amp;BL709),"")</f>
        <v/>
      </c>
      <c r="AP709" s="65">
        <f>IF(AO709="",0,MAX(0,MIN(1,(IF(BR709="L1",Parameter!$K$5,Parameter!$K$6+Parameter!$K$7)-(AO709-AK709))/AK709)))</f>
        <v/>
      </c>
      <c r="AQ709" s="55">
        <f>IF(LEFT(Cockpit!$O$5,1)="A",G709,IF(BT709=1,BU709,IF(LEFT(Cockpit!$O$5,1)="B",AU709,MAX(AU709,G709))))</f>
        <v/>
      </c>
      <c r="AR709" s="55">
        <f>IF(BO709=1,0,ROUNDUP(AQ709/BN709,0))</f>
        <v/>
      </c>
      <c r="AS709" s="64">
        <f>IF(BO709=1,IF(AQ709&lt;=0,0,BP709*MAX(1,IF(G709&gt;0,AQ709/G709,1))),AR709*Q709)</f>
        <v/>
      </c>
      <c r="AT709" s="55">
        <f>AQ709*F709</f>
        <v/>
      </c>
      <c r="AU709" s="55">
        <f>ROUNDUP(MAX(I709/IF(BS709&gt;0,BS709,MAX(0.1,N(Cockpit!$O$6))),BV709)/BN709,0)*BN709</f>
        <v/>
      </c>
      <c r="AV709" s="56">
        <f>IF(AS709&gt;0,I709/AS709,-1)</f>
        <v/>
      </c>
      <c r="AW709" s="56">
        <f>IF(AND(OR(BR709="L1",BR709="L23"),AS709&gt;0),SUMIFS($AS$7:$AS$1570,$BR$7:$BR$1570,BR709,$AV$7:$AV$1570,"&gt;"&amp;AV709)+SUMIFS($AS$7:$AS$1570,$BR$7:$BR$1570,BR709,$AV$7:$AV$1570,AV709,$BL$7:$BL$1570,"&lt;="&amp;BL709),"")</f>
        <v/>
      </c>
      <c r="AX709" s="65">
        <f>IF(AW709="",0,MAX(0,MIN(1,(IF(BR709="L1",Parameter!$K$5,Parameter!$K$6+Parameter!$K$7)-(AW709-AS709))/AS709)))</f>
        <v/>
      </c>
      <c r="AY709" s="53">
        <f>IF(AC709&lt;=0,"",IF(BR709="Aussen","Aussenlager",IF(BR709="-","Nicht im Lift",IF(AH709&gt;=1,"Lift",IF(AH709&lt;=0,"Aussenlager","teilweise")))))</f>
        <v/>
      </c>
      <c r="AZ709" s="53">
        <f>IF(AK709&lt;=0,"",IF(BR709="Aussen","Aussenlager",IF(BR709="-","Nicht im Lift",IF(AP709&gt;=1,"Lift",IF(AP709&lt;=0,"Aussenlager","teilweise")))))</f>
        <v/>
      </c>
      <c r="BA709" s="53">
        <f>IF(AS709&lt;=0,"",IF(BR709="Aussen","Aussenlager",IF(BR709="-","Nicht im Lift",IF(AX709&gt;=1,"Lift",IF(AX709&lt;=0,"Aussenlager","teilweise")))))</f>
        <v/>
      </c>
      <c r="BB709" s="53">
        <f>IF(A709="","",IF(BK709=1,"Neu; ","")&amp;IF(AND(BK709=0,BF709&lt;0),"negativer Bestand (Export "&amp;BF709&amp;"); ","")&amp;IF(I709&lt;=0,"Kein Verbrauch; ","")&amp;IF(BO709=1,"Lose – Fläche geschätzt; ","")&amp;IF(G709&gt;AM709,"Überbestand "&amp;ROUND(G709-AM709,0)&amp;" Stk / CHF "&amp;ROUND((G709-AM709)*F709,0)&amp;"; ","")&amp;IF(AND(BT709=1,BU709&lt;BV709),"MAX &lt; MB+LG; ","")&amp;IF(AND(BZ709&gt;0,BY709*10&gt;BZ709),"zu hoch für Tablar; ","")&amp;IF(AND(BK709=0,OR(BT709=1,V709&lt;&gt;"",S709&lt;&gt;"",T709&lt;&gt;"",W709&lt;&gt;"")),"manuell übersteuert; ","")&amp;IF(AND(BO709=0,Q709=0),"Gebinde unbekannt; ","")&amp;IF(AND(BO709=0,N(T709)&lt;=0,N(P709)&lt;=0),"Menge pro Gebinde fehlt (Ist = 1 Gebinde); ","")&amp;BJ709)</f>
        <v/>
      </c>
      <c r="BC709" s="53" t="n"/>
      <c r="BD709" s="53" t="n"/>
      <c r="BE709" s="61" t="n"/>
      <c r="BF709" s="55" t="n">
        <v>0</v>
      </c>
      <c r="BG709" s="55" t="n">
        <v>4</v>
      </c>
      <c r="BH709" s="54" t="n">
        <v>0</v>
      </c>
      <c r="BI709" s="55" t="n">
        <v>2</v>
      </c>
      <c r="BJ709" s="53" t="inlineStr"/>
      <c r="BK709" s="58" t="n">
        <v>0</v>
      </c>
      <c r="BL709" s="58" t="n">
        <v>709</v>
      </c>
      <c r="BM709" s="53">
        <f>IF(S709&lt;&gt;"",UPPER(TRIM(S709)),IF(O709="","LOSE",O709))</f>
        <v/>
      </c>
      <c r="BN709" s="55">
        <f>IF(BM709="LOSE",1,IF(N(T709)&gt;0,T709,IF(N(P709)&gt;0,P709,MAX(1,G709))))</f>
        <v/>
      </c>
      <c r="BO709" s="58">
        <f>IF(BM709="LOSE",1,0)</f>
        <v/>
      </c>
      <c r="BP709" s="64">
        <f>IF(BO709=0,0,IF(N(R709)&gt;0,R709,IFERROR(VLOOKUP(D709,Parameter!$A$35:$C$64,3,0)+0,0)))</f>
        <v/>
      </c>
      <c r="BQ709" s="53">
        <f>IF(V709&lt;&gt;"",V709,U709)</f>
        <v/>
      </c>
      <c r="BR709" s="53">
        <f>IF(BQ709=1,"L1",IF(OR(BQ709=2,BQ709=3),"L23",IF(BQ709="Aussen","Aussen","-")))</f>
        <v/>
      </c>
      <c r="BS709" s="66">
        <f>IF(N(W709)&gt;0,W709,0)</f>
        <v/>
      </c>
      <c r="BT709" s="58">
        <f>IF(ISNUMBER(Z709),1,0)</f>
        <v/>
      </c>
      <c r="BU709" s="55">
        <f>N(Z709)</f>
        <v/>
      </c>
      <c r="BV709" s="55">
        <f>N(L709)+N(M709)</f>
        <v/>
      </c>
      <c r="BW709" s="55">
        <f>ROUNDUP(G709/BN709,0)</f>
        <v/>
      </c>
      <c r="BX709" s="55">
        <f>ROUNDUP(BU709/BN709,0)</f>
        <v/>
      </c>
      <c r="BY709" s="58">
        <f>IF(BO709=1,0,IFERROR(VLOOKUP(BM709,'Gebinde-Kategorie'!$A$5:$G$45,5,0)+0,0))</f>
        <v/>
      </c>
      <c r="BZ709" s="58">
        <f>IFERROR(IF(OR(BQ709=1,BQ709=2,BQ709=3),N(INDEX(Parameter!$I$5:$I$7,BQ709)),0),0)</f>
        <v/>
      </c>
    </row>
    <row r="710">
      <c r="A710" s="53" t="inlineStr">
        <is>
          <t>103269</t>
        </is>
      </c>
      <c r="B710" s="53" t="inlineStr">
        <is>
          <t>Aufhängung zu vertikaler Aufhängung</t>
        </is>
      </c>
      <c r="C710" s="53" t="inlineStr">
        <is>
          <t>F</t>
        </is>
      </c>
      <c r="D710" s="53" t="inlineStr">
        <is>
          <t>KTL</t>
        </is>
      </c>
      <c r="E710" s="53" t="inlineStr">
        <is>
          <t>C</t>
        </is>
      </c>
      <c r="F710" s="54" t="n">
        <v>268</v>
      </c>
      <c r="G710" s="55">
        <f>MAX(0,IF(Parameter!$B$20="Jahresanfang 2025 + Export",BG710+BF710,BF710))</f>
        <v/>
      </c>
      <c r="H710" s="55">
        <f>G710*F710</f>
        <v/>
      </c>
      <c r="I710" s="55">
        <f>BI710*Parameter!$B$18</f>
        <v/>
      </c>
      <c r="J710" s="56" t="n">
        <v>0</v>
      </c>
      <c r="K710" s="57" t="n">
        <v>0</v>
      </c>
      <c r="L710" s="55" t="n">
        <v>0</v>
      </c>
      <c r="M710" s="55" t="n">
        <v>1</v>
      </c>
      <c r="N710" s="58" t="n">
        <v>90</v>
      </c>
      <c r="O710" s="53" t="inlineStr">
        <is>
          <t>LOSE</t>
        </is>
      </c>
      <c r="P710" s="55" t="n"/>
      <c r="Q710" s="59">
        <f>IF(BO710=1,0,IFERROR(VLOOKUP(BM710,'Gebinde-Kategorie'!$A$5:$G$45,6,0)+0,0))</f>
        <v/>
      </c>
      <c r="R710" s="60" t="n"/>
      <c r="S710" s="61" t="n"/>
      <c r="T710" s="61" t="n"/>
      <c r="U710" s="53">
        <f>IF(A710="","",IF(IFERROR(VLOOKUP(D710,Parameter!$A$35:$C$64,2,0),"Nein")="2+3",IF(ISNUMBER(SEARCH("grosser Artikel",BJ710)),2,IFERROR(VLOOKUP(BM710,Parameter!$F$35:$G$64,2,0),2)),IF(OR(IFERROR(VLOOKUP(D710,Parameter!$A$35:$C$64,2,0),"Nein")="Nein",IFERROR(VLOOKUP(D710,Parameter!$A$35:$C$64,2,0),"Nein")=""),"-",VLOOKUP(D710,Parameter!$A$35:$C$64,2,0))))</f>
        <v/>
      </c>
      <c r="V710" s="61" t="n"/>
      <c r="W710" s="62" t="n"/>
      <c r="X710" s="55">
        <f>AM710</f>
        <v/>
      </c>
      <c r="Y710" s="55">
        <f>MAX(AM710,G710)</f>
        <v/>
      </c>
      <c r="Z710" s="63" t="n"/>
      <c r="AA710" s="55">
        <f>IF(LEFT(Cockpit!$C$5,1)="A",G710,IF(BT710=1,BU710,IF(LEFT(Cockpit!$C$5,1)="B",AE710,MAX(AE710,G710))))</f>
        <v/>
      </c>
      <c r="AB710" s="55">
        <f>IF(BO710=1,0,ROUNDUP(AA710/BN710,0))</f>
        <v/>
      </c>
      <c r="AC710" s="64">
        <f>IF(BO710=1,IF(AA710&lt;=0,0,BP710*MAX(1,IF(G710&gt;0,AA710/G710,1))),AB710*Q710)</f>
        <v/>
      </c>
      <c r="AD710" s="55">
        <f>AA710*F710</f>
        <v/>
      </c>
      <c r="AE710" s="55">
        <f>ROUNDUP(MAX(I710/IF(BS710&gt;0,BS710,MAX(0.1,N(Cockpit!$C$6))),BV710)/BN710,0)*BN710</f>
        <v/>
      </c>
      <c r="AF710" s="56">
        <f>IF(AC710&gt;0,I710/AC710,-1)</f>
        <v/>
      </c>
      <c r="AG710" s="56">
        <f>IF(AND(OR(BR710="L1",BR710="L23"),AC710&gt;0),SUMIFS($AC$7:$AC$1570,$BR$7:$BR$1570,BR710,$AF$7:$AF$1570,"&gt;"&amp;AF710)+SUMIFS($AC$7:$AC$1570,$BR$7:$BR$1570,BR710,$AF$7:$AF$1570,AF710,$BL$7:$BL$1570,"&lt;="&amp;BL710),"")</f>
        <v/>
      </c>
      <c r="AH710" s="65">
        <f>IF(AG710="",0,MAX(0,MIN(1,(IF(BR710="L1",Parameter!$K$5,Parameter!$K$6+Parameter!$K$7)-(AG710-AC710))/AC710)))</f>
        <v/>
      </c>
      <c r="AI710" s="55">
        <f>IF(LEFT(Cockpit!$I$5,1)="A",G710,IF(BT710=1,BU710,IF(LEFT(Cockpit!$I$5,1)="B",AM710,MAX(AM710,G710))))</f>
        <v/>
      </c>
      <c r="AJ710" s="55">
        <f>IF(BO710=1,0,ROUNDUP(AI710/BN710,0))</f>
        <v/>
      </c>
      <c r="AK710" s="64">
        <f>IF(BO710=1,IF(AI710&lt;=0,0,BP710*MAX(1,IF(G710&gt;0,AI710/G710,1))),AJ710*Q710)</f>
        <v/>
      </c>
      <c r="AL710" s="55">
        <f>AI710*F710</f>
        <v/>
      </c>
      <c r="AM710" s="55">
        <f>ROUNDUP(MAX(I710/IF(BS710&gt;0,BS710,MAX(0.1,N(Cockpit!$I$6))),BV710)/BN710,0)*BN710</f>
        <v/>
      </c>
      <c r="AN710" s="56">
        <f>IF(AK710&gt;0,I710/AK710,-1)</f>
        <v/>
      </c>
      <c r="AO710" s="56">
        <f>IF(AND(OR(BR710="L1",BR710="L23"),AK710&gt;0),SUMIFS($AK$7:$AK$1570,$BR$7:$BR$1570,BR710,$AN$7:$AN$1570,"&gt;"&amp;AN710)+SUMIFS($AK$7:$AK$1570,$BR$7:$BR$1570,BR710,$AN$7:$AN$1570,AN710,$BL$7:$BL$1570,"&lt;="&amp;BL710),"")</f>
        <v/>
      </c>
      <c r="AP710" s="65">
        <f>IF(AO710="",0,MAX(0,MIN(1,(IF(BR710="L1",Parameter!$K$5,Parameter!$K$6+Parameter!$K$7)-(AO710-AK710))/AK710)))</f>
        <v/>
      </c>
      <c r="AQ710" s="55">
        <f>IF(LEFT(Cockpit!$O$5,1)="A",G710,IF(BT710=1,BU710,IF(LEFT(Cockpit!$O$5,1)="B",AU710,MAX(AU710,G710))))</f>
        <v/>
      </c>
      <c r="AR710" s="55">
        <f>IF(BO710=1,0,ROUNDUP(AQ710/BN710,0))</f>
        <v/>
      </c>
      <c r="AS710" s="64">
        <f>IF(BO710=1,IF(AQ710&lt;=0,0,BP710*MAX(1,IF(G710&gt;0,AQ710/G710,1))),AR710*Q710)</f>
        <v/>
      </c>
      <c r="AT710" s="55">
        <f>AQ710*F710</f>
        <v/>
      </c>
      <c r="AU710" s="55">
        <f>ROUNDUP(MAX(I710/IF(BS710&gt;0,BS710,MAX(0.1,N(Cockpit!$O$6))),BV710)/BN710,0)*BN710</f>
        <v/>
      </c>
      <c r="AV710" s="56">
        <f>IF(AS710&gt;0,I710/AS710,-1)</f>
        <v/>
      </c>
      <c r="AW710" s="56">
        <f>IF(AND(OR(BR710="L1",BR710="L23"),AS710&gt;0),SUMIFS($AS$7:$AS$1570,$BR$7:$BR$1570,BR710,$AV$7:$AV$1570,"&gt;"&amp;AV710)+SUMIFS($AS$7:$AS$1570,$BR$7:$BR$1570,BR710,$AV$7:$AV$1570,AV710,$BL$7:$BL$1570,"&lt;="&amp;BL710),"")</f>
        <v/>
      </c>
      <c r="AX710" s="65">
        <f>IF(AW710="",0,MAX(0,MIN(1,(IF(BR710="L1",Parameter!$K$5,Parameter!$K$6+Parameter!$K$7)-(AW710-AS710))/AS710)))</f>
        <v/>
      </c>
      <c r="AY710" s="53">
        <f>IF(AC710&lt;=0,"",IF(BR710="Aussen","Aussenlager",IF(BR710="-","Nicht im Lift",IF(AH710&gt;=1,"Lift",IF(AH710&lt;=0,"Aussenlager","teilweise")))))</f>
        <v/>
      </c>
      <c r="AZ710" s="53">
        <f>IF(AK710&lt;=0,"",IF(BR710="Aussen","Aussenlager",IF(BR710="-","Nicht im Lift",IF(AP710&gt;=1,"Lift",IF(AP710&lt;=0,"Aussenlager","teilweise")))))</f>
        <v/>
      </c>
      <c r="BA710" s="53">
        <f>IF(AS710&lt;=0,"",IF(BR710="Aussen","Aussenlager",IF(BR710="-","Nicht im Lift",IF(AX710&gt;=1,"Lift",IF(AX710&lt;=0,"Aussenlager","teilweise")))))</f>
        <v/>
      </c>
      <c r="BB710" s="53">
        <f>IF(A710="","",IF(BK710=1,"Neu; ","")&amp;IF(AND(BK710=0,BF710&lt;0),"negativer Bestand (Export "&amp;BF710&amp;"); ","")&amp;IF(I710&lt;=0,"Kein Verbrauch; ","")&amp;IF(BO710=1,"Lose – Fläche geschätzt; ","")&amp;IF(G710&gt;AM710,"Überbestand "&amp;ROUND(G710-AM710,0)&amp;" Stk / CHF "&amp;ROUND((G710-AM710)*F710,0)&amp;"; ","")&amp;IF(AND(BT710=1,BU710&lt;BV710),"MAX &lt; MB+LG; ","")&amp;IF(AND(BZ710&gt;0,BY710*10&gt;BZ710),"zu hoch für Tablar; ","")&amp;IF(AND(BK710=0,OR(BT710=1,V710&lt;&gt;"",S710&lt;&gt;"",T710&lt;&gt;"",W710&lt;&gt;"")),"manuell übersteuert; ","")&amp;IF(AND(BO710=0,Q710=0),"Gebinde unbekannt; ","")&amp;IF(AND(BO710=0,N(T710)&lt;=0,N(P710)&lt;=0),"Menge pro Gebinde fehlt (Ist = 1 Gebinde); ","")&amp;BJ710)</f>
        <v/>
      </c>
      <c r="BC710" s="53" t="n"/>
      <c r="BD710" s="53" t="n"/>
      <c r="BE710" s="61" t="n"/>
      <c r="BF710" s="55" t="n">
        <v>0</v>
      </c>
      <c r="BG710" s="55" t="n">
        <v>0</v>
      </c>
      <c r="BH710" s="54" t="n">
        <v>0</v>
      </c>
      <c r="BI710" s="55" t="n">
        <v>0</v>
      </c>
      <c r="BJ710" s="53" t="inlineStr"/>
      <c r="BK710" s="58" t="n">
        <v>0</v>
      </c>
      <c r="BL710" s="58" t="n">
        <v>710</v>
      </c>
      <c r="BM710" s="53">
        <f>IF(S710&lt;&gt;"",UPPER(TRIM(S710)),IF(O710="","LOSE",O710))</f>
        <v/>
      </c>
      <c r="BN710" s="55">
        <f>IF(BM710="LOSE",1,IF(N(T710)&gt;0,T710,IF(N(P710)&gt;0,P710,MAX(1,G710))))</f>
        <v/>
      </c>
      <c r="BO710" s="58">
        <f>IF(BM710="LOSE",1,0)</f>
        <v/>
      </c>
      <c r="BP710" s="64">
        <f>IF(BO710=0,0,IF(N(R710)&gt;0,R710,IFERROR(VLOOKUP(D710,Parameter!$A$35:$C$64,3,0)+0,0)))</f>
        <v/>
      </c>
      <c r="BQ710" s="53">
        <f>IF(V710&lt;&gt;"",V710,U710)</f>
        <v/>
      </c>
      <c r="BR710" s="53">
        <f>IF(BQ710=1,"L1",IF(OR(BQ710=2,BQ710=3),"L23",IF(BQ710="Aussen","Aussen","-")))</f>
        <v/>
      </c>
      <c r="BS710" s="66">
        <f>IF(N(W710)&gt;0,W710,0)</f>
        <v/>
      </c>
      <c r="BT710" s="58">
        <f>IF(ISNUMBER(Z710),1,0)</f>
        <v/>
      </c>
      <c r="BU710" s="55">
        <f>N(Z710)</f>
        <v/>
      </c>
      <c r="BV710" s="55">
        <f>N(L710)+N(M710)</f>
        <v/>
      </c>
      <c r="BW710" s="55">
        <f>ROUNDUP(G710/BN710,0)</f>
        <v/>
      </c>
      <c r="BX710" s="55">
        <f>ROUNDUP(BU710/BN710,0)</f>
        <v/>
      </c>
      <c r="BY710" s="58">
        <f>IF(BO710=1,0,IFERROR(VLOOKUP(BM710,'Gebinde-Kategorie'!$A$5:$G$45,5,0)+0,0))</f>
        <v/>
      </c>
      <c r="BZ710" s="58">
        <f>IFERROR(IF(OR(BQ710=1,BQ710=2,BQ710=3),N(INDEX(Parameter!$I$5:$I$7,BQ710)),0),0)</f>
        <v/>
      </c>
    </row>
    <row r="711">
      <c r="A711" s="53" t="inlineStr">
        <is>
          <t>005791</t>
        </is>
      </c>
      <c r="B711" s="53" t="inlineStr">
        <is>
          <t>2/2 Wege Magnetventil NO</t>
        </is>
      </c>
      <c r="C711" s="53" t="inlineStr">
        <is>
          <t>F</t>
        </is>
      </c>
      <c r="D711" s="53" t="inlineStr">
        <is>
          <t>KTL</t>
        </is>
      </c>
      <c r="E711" s="53" t="inlineStr">
        <is>
          <t>C</t>
        </is>
      </c>
      <c r="F711" s="54" t="n">
        <v>644</v>
      </c>
      <c r="G711" s="55">
        <f>MAX(0,IF(Parameter!$B$20="Jahresanfang 2025 + Export",BG711+BF711,BF711))</f>
        <v/>
      </c>
      <c r="H711" s="55">
        <f>G711*F711</f>
        <v/>
      </c>
      <c r="I711" s="55">
        <f>BI711*Parameter!$B$18</f>
        <v/>
      </c>
      <c r="J711" s="56" t="n">
        <v>0</v>
      </c>
      <c r="K711" s="57" t="n">
        <v>0</v>
      </c>
      <c r="L711" s="55" t="n">
        <v>0</v>
      </c>
      <c r="M711" s="55" t="n">
        <v>1</v>
      </c>
      <c r="N711" s="58" t="n">
        <v>28</v>
      </c>
      <c r="O711" s="53" t="inlineStr">
        <is>
          <t>LOSE</t>
        </is>
      </c>
      <c r="P711" s="55" t="n"/>
      <c r="Q711" s="59">
        <f>IF(BO711=1,0,IFERROR(VLOOKUP(BM711,'Gebinde-Kategorie'!$A$5:$G$45,6,0)+0,0))</f>
        <v/>
      </c>
      <c r="R711" s="60" t="n"/>
      <c r="S711" s="61" t="n"/>
      <c r="T711" s="61" t="n"/>
      <c r="U711" s="53">
        <f>IF(A711="","",IF(IFERROR(VLOOKUP(D711,Parameter!$A$35:$C$64,2,0),"Nein")="2+3",IF(ISNUMBER(SEARCH("grosser Artikel",BJ711)),2,IFERROR(VLOOKUP(BM711,Parameter!$F$35:$G$64,2,0),2)),IF(OR(IFERROR(VLOOKUP(D711,Parameter!$A$35:$C$64,2,0),"Nein")="Nein",IFERROR(VLOOKUP(D711,Parameter!$A$35:$C$64,2,0),"Nein")=""),"-",VLOOKUP(D711,Parameter!$A$35:$C$64,2,0))))</f>
        <v/>
      </c>
      <c r="V711" s="61" t="n"/>
      <c r="W711" s="62" t="n"/>
      <c r="X711" s="55">
        <f>AM711</f>
        <v/>
      </c>
      <c r="Y711" s="55">
        <f>MAX(AM711,G711)</f>
        <v/>
      </c>
      <c r="Z711" s="63" t="n"/>
      <c r="AA711" s="55">
        <f>IF(LEFT(Cockpit!$C$5,1)="A",G711,IF(BT711=1,BU711,IF(LEFT(Cockpit!$C$5,1)="B",AE711,MAX(AE711,G711))))</f>
        <v/>
      </c>
      <c r="AB711" s="55">
        <f>IF(BO711=1,0,ROUNDUP(AA711/BN711,0))</f>
        <v/>
      </c>
      <c r="AC711" s="64">
        <f>IF(BO711=1,IF(AA711&lt;=0,0,BP711*MAX(1,IF(G711&gt;0,AA711/G711,1))),AB711*Q711)</f>
        <v/>
      </c>
      <c r="AD711" s="55">
        <f>AA711*F711</f>
        <v/>
      </c>
      <c r="AE711" s="55">
        <f>ROUNDUP(MAX(I711/IF(BS711&gt;0,BS711,MAX(0.1,N(Cockpit!$C$6))),BV711)/BN711,0)*BN711</f>
        <v/>
      </c>
      <c r="AF711" s="56">
        <f>IF(AC711&gt;0,I711/AC711,-1)</f>
        <v/>
      </c>
      <c r="AG711" s="56">
        <f>IF(AND(OR(BR711="L1",BR711="L23"),AC711&gt;0),SUMIFS($AC$7:$AC$1570,$BR$7:$BR$1570,BR711,$AF$7:$AF$1570,"&gt;"&amp;AF711)+SUMIFS($AC$7:$AC$1570,$BR$7:$BR$1570,BR711,$AF$7:$AF$1570,AF711,$BL$7:$BL$1570,"&lt;="&amp;BL711),"")</f>
        <v/>
      </c>
      <c r="AH711" s="65">
        <f>IF(AG711="",0,MAX(0,MIN(1,(IF(BR711="L1",Parameter!$K$5,Parameter!$K$6+Parameter!$K$7)-(AG711-AC711))/AC711)))</f>
        <v/>
      </c>
      <c r="AI711" s="55">
        <f>IF(LEFT(Cockpit!$I$5,1)="A",G711,IF(BT711=1,BU711,IF(LEFT(Cockpit!$I$5,1)="B",AM711,MAX(AM711,G711))))</f>
        <v/>
      </c>
      <c r="AJ711" s="55">
        <f>IF(BO711=1,0,ROUNDUP(AI711/BN711,0))</f>
        <v/>
      </c>
      <c r="AK711" s="64">
        <f>IF(BO711=1,IF(AI711&lt;=0,0,BP711*MAX(1,IF(G711&gt;0,AI711/G711,1))),AJ711*Q711)</f>
        <v/>
      </c>
      <c r="AL711" s="55">
        <f>AI711*F711</f>
        <v/>
      </c>
      <c r="AM711" s="55">
        <f>ROUNDUP(MAX(I711/IF(BS711&gt;0,BS711,MAX(0.1,N(Cockpit!$I$6))),BV711)/BN711,0)*BN711</f>
        <v/>
      </c>
      <c r="AN711" s="56">
        <f>IF(AK711&gt;0,I711/AK711,-1)</f>
        <v/>
      </c>
      <c r="AO711" s="56">
        <f>IF(AND(OR(BR711="L1",BR711="L23"),AK711&gt;0),SUMIFS($AK$7:$AK$1570,$BR$7:$BR$1570,BR711,$AN$7:$AN$1570,"&gt;"&amp;AN711)+SUMIFS($AK$7:$AK$1570,$BR$7:$BR$1570,BR711,$AN$7:$AN$1570,AN711,$BL$7:$BL$1570,"&lt;="&amp;BL711),"")</f>
        <v/>
      </c>
      <c r="AP711" s="65">
        <f>IF(AO711="",0,MAX(0,MIN(1,(IF(BR711="L1",Parameter!$K$5,Parameter!$K$6+Parameter!$K$7)-(AO711-AK711))/AK711)))</f>
        <v/>
      </c>
      <c r="AQ711" s="55">
        <f>IF(LEFT(Cockpit!$O$5,1)="A",G711,IF(BT711=1,BU711,IF(LEFT(Cockpit!$O$5,1)="B",AU711,MAX(AU711,G711))))</f>
        <v/>
      </c>
      <c r="AR711" s="55">
        <f>IF(BO711=1,0,ROUNDUP(AQ711/BN711,0))</f>
        <v/>
      </c>
      <c r="AS711" s="64">
        <f>IF(BO711=1,IF(AQ711&lt;=0,0,BP711*MAX(1,IF(G711&gt;0,AQ711/G711,1))),AR711*Q711)</f>
        <v/>
      </c>
      <c r="AT711" s="55">
        <f>AQ711*F711</f>
        <v/>
      </c>
      <c r="AU711" s="55">
        <f>ROUNDUP(MAX(I711/IF(BS711&gt;0,BS711,MAX(0.1,N(Cockpit!$O$6))),BV711)/BN711,0)*BN711</f>
        <v/>
      </c>
      <c r="AV711" s="56">
        <f>IF(AS711&gt;0,I711/AS711,-1)</f>
        <v/>
      </c>
      <c r="AW711" s="56">
        <f>IF(AND(OR(BR711="L1",BR711="L23"),AS711&gt;0),SUMIFS($AS$7:$AS$1570,$BR$7:$BR$1570,BR711,$AV$7:$AV$1570,"&gt;"&amp;AV711)+SUMIFS($AS$7:$AS$1570,$BR$7:$BR$1570,BR711,$AV$7:$AV$1570,AV711,$BL$7:$BL$1570,"&lt;="&amp;BL711),"")</f>
        <v/>
      </c>
      <c r="AX711" s="65">
        <f>IF(AW711="",0,MAX(0,MIN(1,(IF(BR711="L1",Parameter!$K$5,Parameter!$K$6+Parameter!$K$7)-(AW711-AS711))/AS711)))</f>
        <v/>
      </c>
      <c r="AY711" s="53">
        <f>IF(AC711&lt;=0,"",IF(BR711="Aussen","Aussenlager",IF(BR711="-","Nicht im Lift",IF(AH711&gt;=1,"Lift",IF(AH711&lt;=0,"Aussenlager","teilweise")))))</f>
        <v/>
      </c>
      <c r="AZ711" s="53">
        <f>IF(AK711&lt;=0,"",IF(BR711="Aussen","Aussenlager",IF(BR711="-","Nicht im Lift",IF(AP711&gt;=1,"Lift",IF(AP711&lt;=0,"Aussenlager","teilweise")))))</f>
        <v/>
      </c>
      <c r="BA711" s="53">
        <f>IF(AS711&lt;=0,"",IF(BR711="Aussen","Aussenlager",IF(BR711="-","Nicht im Lift",IF(AX711&gt;=1,"Lift",IF(AX711&lt;=0,"Aussenlager","teilweise")))))</f>
        <v/>
      </c>
      <c r="BB711" s="53">
        <f>IF(A711="","",IF(BK711=1,"Neu; ","")&amp;IF(AND(BK711=0,BF711&lt;0),"negativer Bestand (Export "&amp;BF711&amp;"); ","")&amp;IF(I711&lt;=0,"Kein Verbrauch; ","")&amp;IF(BO711=1,"Lose – Fläche geschätzt; ","")&amp;IF(G711&gt;AM711,"Überbestand "&amp;ROUND(G711-AM711,0)&amp;" Stk / CHF "&amp;ROUND((G711-AM711)*F711,0)&amp;"; ","")&amp;IF(AND(BT711=1,BU711&lt;BV711),"MAX &lt; MB+LG; ","")&amp;IF(AND(BZ711&gt;0,BY711*10&gt;BZ711),"zu hoch für Tablar; ","")&amp;IF(AND(BK711=0,OR(BT711=1,V711&lt;&gt;"",S711&lt;&gt;"",T711&lt;&gt;"",W711&lt;&gt;"")),"manuell übersteuert; ","")&amp;IF(AND(BO711=0,Q711=0),"Gebinde unbekannt; ","")&amp;IF(AND(BO711=0,N(T711)&lt;=0,N(P711)&lt;=0),"Menge pro Gebinde fehlt (Ist = 1 Gebinde); ","")&amp;BJ711)</f>
        <v/>
      </c>
      <c r="BC711" s="53" t="n"/>
      <c r="BD711" s="53" t="n"/>
      <c r="BE711" s="61" t="n"/>
      <c r="BF711" s="55" t="n">
        <v>0</v>
      </c>
      <c r="BG711" s="55" t="n">
        <v>0</v>
      </c>
      <c r="BH711" s="54" t="n">
        <v>0</v>
      </c>
      <c r="BI711" s="55" t="n">
        <v>1</v>
      </c>
      <c r="BJ711" s="53" t="inlineStr"/>
      <c r="BK711" s="58" t="n">
        <v>0</v>
      </c>
      <c r="BL711" s="58" t="n">
        <v>711</v>
      </c>
      <c r="BM711" s="53">
        <f>IF(S711&lt;&gt;"",UPPER(TRIM(S711)),IF(O711="","LOSE",O711))</f>
        <v/>
      </c>
      <c r="BN711" s="55">
        <f>IF(BM711="LOSE",1,IF(N(T711)&gt;0,T711,IF(N(P711)&gt;0,P711,MAX(1,G711))))</f>
        <v/>
      </c>
      <c r="BO711" s="58">
        <f>IF(BM711="LOSE",1,0)</f>
        <v/>
      </c>
      <c r="BP711" s="64">
        <f>IF(BO711=0,0,IF(N(R711)&gt;0,R711,IFERROR(VLOOKUP(D711,Parameter!$A$35:$C$64,3,0)+0,0)))</f>
        <v/>
      </c>
      <c r="BQ711" s="53">
        <f>IF(V711&lt;&gt;"",V711,U711)</f>
        <v/>
      </c>
      <c r="BR711" s="53">
        <f>IF(BQ711=1,"L1",IF(OR(BQ711=2,BQ711=3),"L23",IF(BQ711="Aussen","Aussen","-")))</f>
        <v/>
      </c>
      <c r="BS711" s="66">
        <f>IF(N(W711)&gt;0,W711,0)</f>
        <v/>
      </c>
      <c r="BT711" s="58">
        <f>IF(ISNUMBER(Z711),1,0)</f>
        <v/>
      </c>
      <c r="BU711" s="55">
        <f>N(Z711)</f>
        <v/>
      </c>
      <c r="BV711" s="55">
        <f>N(L711)+N(M711)</f>
        <v/>
      </c>
      <c r="BW711" s="55">
        <f>ROUNDUP(G711/BN711,0)</f>
        <v/>
      </c>
      <c r="BX711" s="55">
        <f>ROUNDUP(BU711/BN711,0)</f>
        <v/>
      </c>
      <c r="BY711" s="58">
        <f>IF(BO711=1,0,IFERROR(VLOOKUP(BM711,'Gebinde-Kategorie'!$A$5:$G$45,5,0)+0,0))</f>
        <v/>
      </c>
      <c r="BZ711" s="58">
        <f>IFERROR(IF(OR(BQ711=1,BQ711=2,BQ711=3),N(INDEX(Parameter!$I$5:$I$7,BQ711)),0),0)</f>
        <v/>
      </c>
    </row>
    <row r="712">
      <c r="A712" s="53" t="inlineStr">
        <is>
          <t>103730</t>
        </is>
      </c>
      <c r="B712" s="53" t="inlineStr">
        <is>
          <t>Kranbahnprofil</t>
        </is>
      </c>
      <c r="C712" s="53" t="inlineStr">
        <is>
          <t>F</t>
        </is>
      </c>
      <c r="D712" s="53" t="inlineStr">
        <is>
          <t>PAL</t>
        </is>
      </c>
      <c r="E712" s="53" t="inlineStr">
        <is>
          <t>C</t>
        </is>
      </c>
      <c r="F712" s="54" t="n">
        <v>531.26</v>
      </c>
      <c r="G712" s="55">
        <f>MAX(0,IF(Parameter!$B$20="Jahresanfang 2025 + Export",BG712+BF712,BF712))</f>
        <v/>
      </c>
      <c r="H712" s="55">
        <f>G712*F712</f>
        <v/>
      </c>
      <c r="I712" s="55">
        <f>BI712*Parameter!$B$18</f>
        <v/>
      </c>
      <c r="J712" s="56" t="n">
        <v>0</v>
      </c>
      <c r="K712" s="57" t="n">
        <v>0</v>
      </c>
      <c r="L712" s="55" t="n">
        <v>0</v>
      </c>
      <c r="M712" s="55" t="n">
        <v>1</v>
      </c>
      <c r="N712" s="58" t="n">
        <v>28</v>
      </c>
      <c r="O712" s="53" t="inlineStr">
        <is>
          <t>LOSE</t>
        </is>
      </c>
      <c r="P712" s="55" t="n"/>
      <c r="Q712" s="59">
        <f>IF(BO712=1,0,IFERROR(VLOOKUP(BM712,'Gebinde-Kategorie'!$A$5:$G$45,6,0)+0,0))</f>
        <v/>
      </c>
      <c r="R712" s="60" t="n"/>
      <c r="S712" s="61" t="n"/>
      <c r="T712" s="61" t="n"/>
      <c r="U712" s="53">
        <f>IF(A712="","",IF(IFERROR(VLOOKUP(D712,Parameter!$A$35:$C$64,2,0),"Nein")="2+3",IF(ISNUMBER(SEARCH("grosser Artikel",BJ712)),2,IFERROR(VLOOKUP(BM712,Parameter!$F$35:$G$64,2,0),2)),IF(OR(IFERROR(VLOOKUP(D712,Parameter!$A$35:$C$64,2,0),"Nein")="Nein",IFERROR(VLOOKUP(D712,Parameter!$A$35:$C$64,2,0),"Nein")=""),"-",VLOOKUP(D712,Parameter!$A$35:$C$64,2,0))))</f>
        <v/>
      </c>
      <c r="V712" s="61" t="n"/>
      <c r="W712" s="62" t="n"/>
      <c r="X712" s="55">
        <f>AM712</f>
        <v/>
      </c>
      <c r="Y712" s="55">
        <f>MAX(AM712,G712)</f>
        <v/>
      </c>
      <c r="Z712" s="63" t="n"/>
      <c r="AA712" s="55">
        <f>IF(LEFT(Cockpit!$C$5,1)="A",G712,IF(BT712=1,BU712,IF(LEFT(Cockpit!$C$5,1)="B",AE712,MAX(AE712,G712))))</f>
        <v/>
      </c>
      <c r="AB712" s="55">
        <f>IF(BO712=1,0,ROUNDUP(AA712/BN712,0))</f>
        <v/>
      </c>
      <c r="AC712" s="64">
        <f>IF(BO712=1,IF(AA712&lt;=0,0,BP712*MAX(1,IF(G712&gt;0,AA712/G712,1))),AB712*Q712)</f>
        <v/>
      </c>
      <c r="AD712" s="55">
        <f>AA712*F712</f>
        <v/>
      </c>
      <c r="AE712" s="55">
        <f>ROUNDUP(MAX(I712/IF(BS712&gt;0,BS712,MAX(0.1,N(Cockpit!$C$6))),BV712)/BN712,0)*BN712</f>
        <v/>
      </c>
      <c r="AF712" s="56">
        <f>IF(AC712&gt;0,I712/AC712,-1)</f>
        <v/>
      </c>
      <c r="AG712" s="56">
        <f>IF(AND(OR(BR712="L1",BR712="L23"),AC712&gt;0),SUMIFS($AC$7:$AC$1570,$BR$7:$BR$1570,BR712,$AF$7:$AF$1570,"&gt;"&amp;AF712)+SUMIFS($AC$7:$AC$1570,$BR$7:$BR$1570,BR712,$AF$7:$AF$1570,AF712,$BL$7:$BL$1570,"&lt;="&amp;BL712),"")</f>
        <v/>
      </c>
      <c r="AH712" s="65">
        <f>IF(AG712="",0,MAX(0,MIN(1,(IF(BR712="L1",Parameter!$K$5,Parameter!$K$6+Parameter!$K$7)-(AG712-AC712))/AC712)))</f>
        <v/>
      </c>
      <c r="AI712" s="55">
        <f>IF(LEFT(Cockpit!$I$5,1)="A",G712,IF(BT712=1,BU712,IF(LEFT(Cockpit!$I$5,1)="B",AM712,MAX(AM712,G712))))</f>
        <v/>
      </c>
      <c r="AJ712" s="55">
        <f>IF(BO712=1,0,ROUNDUP(AI712/BN712,0))</f>
        <v/>
      </c>
      <c r="AK712" s="64">
        <f>IF(BO712=1,IF(AI712&lt;=0,0,BP712*MAX(1,IF(G712&gt;0,AI712/G712,1))),AJ712*Q712)</f>
        <v/>
      </c>
      <c r="AL712" s="55">
        <f>AI712*F712</f>
        <v/>
      </c>
      <c r="AM712" s="55">
        <f>ROUNDUP(MAX(I712/IF(BS712&gt;0,BS712,MAX(0.1,N(Cockpit!$I$6))),BV712)/BN712,0)*BN712</f>
        <v/>
      </c>
      <c r="AN712" s="56">
        <f>IF(AK712&gt;0,I712/AK712,-1)</f>
        <v/>
      </c>
      <c r="AO712" s="56">
        <f>IF(AND(OR(BR712="L1",BR712="L23"),AK712&gt;0),SUMIFS($AK$7:$AK$1570,$BR$7:$BR$1570,BR712,$AN$7:$AN$1570,"&gt;"&amp;AN712)+SUMIFS($AK$7:$AK$1570,$BR$7:$BR$1570,BR712,$AN$7:$AN$1570,AN712,$BL$7:$BL$1570,"&lt;="&amp;BL712),"")</f>
        <v/>
      </c>
      <c r="AP712" s="65">
        <f>IF(AO712="",0,MAX(0,MIN(1,(IF(BR712="L1",Parameter!$K$5,Parameter!$K$6+Parameter!$K$7)-(AO712-AK712))/AK712)))</f>
        <v/>
      </c>
      <c r="AQ712" s="55">
        <f>IF(LEFT(Cockpit!$O$5,1)="A",G712,IF(BT712=1,BU712,IF(LEFT(Cockpit!$O$5,1)="B",AU712,MAX(AU712,G712))))</f>
        <v/>
      </c>
      <c r="AR712" s="55">
        <f>IF(BO712=1,0,ROUNDUP(AQ712/BN712,0))</f>
        <v/>
      </c>
      <c r="AS712" s="64">
        <f>IF(BO712=1,IF(AQ712&lt;=0,0,BP712*MAX(1,IF(G712&gt;0,AQ712/G712,1))),AR712*Q712)</f>
        <v/>
      </c>
      <c r="AT712" s="55">
        <f>AQ712*F712</f>
        <v/>
      </c>
      <c r="AU712" s="55">
        <f>ROUNDUP(MAX(I712/IF(BS712&gt;0,BS712,MAX(0.1,N(Cockpit!$O$6))),BV712)/BN712,0)*BN712</f>
        <v/>
      </c>
      <c r="AV712" s="56">
        <f>IF(AS712&gt;0,I712/AS712,-1)</f>
        <v/>
      </c>
      <c r="AW712" s="56">
        <f>IF(AND(OR(BR712="L1",BR712="L23"),AS712&gt;0),SUMIFS($AS$7:$AS$1570,$BR$7:$BR$1570,BR712,$AV$7:$AV$1570,"&gt;"&amp;AV712)+SUMIFS($AS$7:$AS$1570,$BR$7:$BR$1570,BR712,$AV$7:$AV$1570,AV712,$BL$7:$BL$1570,"&lt;="&amp;BL712),"")</f>
        <v/>
      </c>
      <c r="AX712" s="65">
        <f>IF(AW712="",0,MAX(0,MIN(1,(IF(BR712="L1",Parameter!$K$5,Parameter!$K$6+Parameter!$K$7)-(AW712-AS712))/AS712)))</f>
        <v/>
      </c>
      <c r="AY712" s="53">
        <f>IF(AC712&lt;=0,"",IF(BR712="Aussen","Aussenlager",IF(BR712="-","Nicht im Lift",IF(AH712&gt;=1,"Lift",IF(AH712&lt;=0,"Aussenlager","teilweise")))))</f>
        <v/>
      </c>
      <c r="AZ712" s="53">
        <f>IF(AK712&lt;=0,"",IF(BR712="Aussen","Aussenlager",IF(BR712="-","Nicht im Lift",IF(AP712&gt;=1,"Lift",IF(AP712&lt;=0,"Aussenlager","teilweise")))))</f>
        <v/>
      </c>
      <c r="BA712" s="53">
        <f>IF(AS712&lt;=0,"",IF(BR712="Aussen","Aussenlager",IF(BR712="-","Nicht im Lift",IF(AX712&gt;=1,"Lift",IF(AX712&lt;=0,"Aussenlager","teilweise")))))</f>
        <v/>
      </c>
      <c r="BB712" s="53">
        <f>IF(A712="","",IF(BK712=1,"Neu; ","")&amp;IF(AND(BK712=0,BF712&lt;0),"negativer Bestand (Export "&amp;BF712&amp;"); ","")&amp;IF(I712&lt;=0,"Kein Verbrauch; ","")&amp;IF(BO712=1,"Lose – Fläche geschätzt; ","")&amp;IF(G712&gt;AM712,"Überbestand "&amp;ROUND(G712-AM712,0)&amp;" Stk / CHF "&amp;ROUND((G712-AM712)*F712,0)&amp;"; ","")&amp;IF(AND(BT712=1,BU712&lt;BV712),"MAX &lt; MB+LG; ","")&amp;IF(AND(BZ712&gt;0,BY712*10&gt;BZ712),"zu hoch für Tablar; ","")&amp;IF(AND(BK712=0,OR(BT712=1,V712&lt;&gt;"",S712&lt;&gt;"",T712&lt;&gt;"",W712&lt;&gt;"")),"manuell übersteuert; ","")&amp;IF(AND(BO712=0,Q712=0),"Gebinde unbekannt; ","")&amp;IF(AND(BO712=0,N(T712)&lt;=0,N(P712)&lt;=0),"Menge pro Gebinde fehlt (Ist = 1 Gebinde); ","")&amp;BJ712)</f>
        <v/>
      </c>
      <c r="BC712" s="53" t="n"/>
      <c r="BD712" s="53" t="n"/>
      <c r="BE712" s="61" t="n"/>
      <c r="BF712" s="55" t="n">
        <v>0</v>
      </c>
      <c r="BG712" s="55" t="n">
        <v>0</v>
      </c>
      <c r="BH712" s="54" t="n">
        <v>0</v>
      </c>
      <c r="BI712" s="55" t="n">
        <v>0</v>
      </c>
      <c r="BJ712" s="53" t="inlineStr"/>
      <c r="BK712" s="58" t="n">
        <v>0</v>
      </c>
      <c r="BL712" s="58" t="n">
        <v>712</v>
      </c>
      <c r="BM712" s="53">
        <f>IF(S712&lt;&gt;"",UPPER(TRIM(S712)),IF(O712="","LOSE",O712))</f>
        <v/>
      </c>
      <c r="BN712" s="55">
        <f>IF(BM712="LOSE",1,IF(N(T712)&gt;0,T712,IF(N(P712)&gt;0,P712,MAX(1,G712))))</f>
        <v/>
      </c>
      <c r="BO712" s="58">
        <f>IF(BM712="LOSE",1,0)</f>
        <v/>
      </c>
      <c r="BP712" s="64">
        <f>IF(BO712=0,0,IF(N(R712)&gt;0,R712,IFERROR(VLOOKUP(D712,Parameter!$A$35:$C$64,3,0)+0,0)))</f>
        <v/>
      </c>
      <c r="BQ712" s="53">
        <f>IF(V712&lt;&gt;"",V712,U712)</f>
        <v/>
      </c>
      <c r="BR712" s="53">
        <f>IF(BQ712=1,"L1",IF(OR(BQ712=2,BQ712=3),"L23",IF(BQ712="Aussen","Aussen","-")))</f>
        <v/>
      </c>
      <c r="BS712" s="66">
        <f>IF(N(W712)&gt;0,W712,0)</f>
        <v/>
      </c>
      <c r="BT712" s="58">
        <f>IF(ISNUMBER(Z712),1,0)</f>
        <v/>
      </c>
      <c r="BU712" s="55">
        <f>N(Z712)</f>
        <v/>
      </c>
      <c r="BV712" s="55">
        <f>N(L712)+N(M712)</f>
        <v/>
      </c>
      <c r="BW712" s="55">
        <f>ROUNDUP(G712/BN712,0)</f>
        <v/>
      </c>
      <c r="BX712" s="55">
        <f>ROUNDUP(BU712/BN712,0)</f>
        <v/>
      </c>
      <c r="BY712" s="58">
        <f>IF(BO712=1,0,IFERROR(VLOOKUP(BM712,'Gebinde-Kategorie'!$A$5:$G$45,5,0)+0,0))</f>
        <v/>
      </c>
      <c r="BZ712" s="58">
        <f>IFERROR(IF(OR(BQ712=1,BQ712=2,BQ712=3),N(INDEX(Parameter!$I$5:$I$7,BQ712)),0),0)</f>
        <v/>
      </c>
    </row>
    <row r="713">
      <c r="A713" s="53" t="inlineStr">
        <is>
          <t>101750</t>
        </is>
      </c>
      <c r="B713" s="53" t="inlineStr">
        <is>
          <t>Rohr Anschweissstück DN125</t>
        </is>
      </c>
      <c r="C713" s="53" t="inlineStr">
        <is>
          <t>F</t>
        </is>
      </c>
      <c r="D713" s="53" t="inlineStr">
        <is>
          <t>PAL</t>
        </is>
      </c>
      <c r="E713" s="53" t="inlineStr">
        <is>
          <t>C</t>
        </is>
      </c>
      <c r="F713" s="54" t="n">
        <v>700</v>
      </c>
      <c r="G713" s="55">
        <f>MAX(0,IF(Parameter!$B$20="Jahresanfang 2025 + Export",BG713+BF713,BF713))</f>
        <v/>
      </c>
      <c r="H713" s="55">
        <f>G713*F713</f>
        <v/>
      </c>
      <c r="I713" s="55">
        <f>BI713*Parameter!$B$18</f>
        <v/>
      </c>
      <c r="J713" s="56" t="n">
        <v>0</v>
      </c>
      <c r="K713" s="57" t="n">
        <v>0</v>
      </c>
      <c r="L713" s="55" t="n">
        <v>0</v>
      </c>
      <c r="M713" s="55" t="n">
        <v>5</v>
      </c>
      <c r="N713" s="58" t="n">
        <v>21</v>
      </c>
      <c r="O713" s="53" t="inlineStr">
        <is>
          <t>LOSE</t>
        </is>
      </c>
      <c r="P713" s="55" t="n"/>
      <c r="Q713" s="59">
        <f>IF(BO713=1,0,IFERROR(VLOOKUP(BM713,'Gebinde-Kategorie'!$A$5:$G$45,6,0)+0,0))</f>
        <v/>
      </c>
      <c r="R713" s="60" t="n"/>
      <c r="S713" s="61" t="n"/>
      <c r="T713" s="61" t="n"/>
      <c r="U713" s="53">
        <f>IF(A713="","",IF(IFERROR(VLOOKUP(D713,Parameter!$A$35:$C$64,2,0),"Nein")="2+3",IF(ISNUMBER(SEARCH("grosser Artikel",BJ713)),2,IFERROR(VLOOKUP(BM713,Parameter!$F$35:$G$64,2,0),2)),IF(OR(IFERROR(VLOOKUP(D713,Parameter!$A$35:$C$64,2,0),"Nein")="Nein",IFERROR(VLOOKUP(D713,Parameter!$A$35:$C$64,2,0),"Nein")=""),"-",VLOOKUP(D713,Parameter!$A$35:$C$64,2,0))))</f>
        <v/>
      </c>
      <c r="V713" s="61" t="n"/>
      <c r="W713" s="62" t="n"/>
      <c r="X713" s="55">
        <f>AM713</f>
        <v/>
      </c>
      <c r="Y713" s="55">
        <f>MAX(AM713,G713)</f>
        <v/>
      </c>
      <c r="Z713" s="63" t="n"/>
      <c r="AA713" s="55">
        <f>IF(LEFT(Cockpit!$C$5,1)="A",G713,IF(BT713=1,BU713,IF(LEFT(Cockpit!$C$5,1)="B",AE713,MAX(AE713,G713))))</f>
        <v/>
      </c>
      <c r="AB713" s="55">
        <f>IF(BO713=1,0,ROUNDUP(AA713/BN713,0))</f>
        <v/>
      </c>
      <c r="AC713" s="64">
        <f>IF(BO713=1,IF(AA713&lt;=0,0,BP713*MAX(1,IF(G713&gt;0,AA713/G713,1))),AB713*Q713)</f>
        <v/>
      </c>
      <c r="AD713" s="55">
        <f>AA713*F713</f>
        <v/>
      </c>
      <c r="AE713" s="55">
        <f>ROUNDUP(MAX(I713/IF(BS713&gt;0,BS713,MAX(0.1,N(Cockpit!$C$6))),BV713)/BN713,0)*BN713</f>
        <v/>
      </c>
      <c r="AF713" s="56">
        <f>IF(AC713&gt;0,I713/AC713,-1)</f>
        <v/>
      </c>
      <c r="AG713" s="56">
        <f>IF(AND(OR(BR713="L1",BR713="L23"),AC713&gt;0),SUMIFS($AC$7:$AC$1570,$BR$7:$BR$1570,BR713,$AF$7:$AF$1570,"&gt;"&amp;AF713)+SUMIFS($AC$7:$AC$1570,$BR$7:$BR$1570,BR713,$AF$7:$AF$1570,AF713,$BL$7:$BL$1570,"&lt;="&amp;BL713),"")</f>
        <v/>
      </c>
      <c r="AH713" s="65">
        <f>IF(AG713="",0,MAX(0,MIN(1,(IF(BR713="L1",Parameter!$K$5,Parameter!$K$6+Parameter!$K$7)-(AG713-AC713))/AC713)))</f>
        <v/>
      </c>
      <c r="AI713" s="55">
        <f>IF(LEFT(Cockpit!$I$5,1)="A",G713,IF(BT713=1,BU713,IF(LEFT(Cockpit!$I$5,1)="B",AM713,MAX(AM713,G713))))</f>
        <v/>
      </c>
      <c r="AJ713" s="55">
        <f>IF(BO713=1,0,ROUNDUP(AI713/BN713,0))</f>
        <v/>
      </c>
      <c r="AK713" s="64">
        <f>IF(BO713=1,IF(AI713&lt;=0,0,BP713*MAX(1,IF(G713&gt;0,AI713/G713,1))),AJ713*Q713)</f>
        <v/>
      </c>
      <c r="AL713" s="55">
        <f>AI713*F713</f>
        <v/>
      </c>
      <c r="AM713" s="55">
        <f>ROUNDUP(MAX(I713/IF(BS713&gt;0,BS713,MAX(0.1,N(Cockpit!$I$6))),BV713)/BN713,0)*BN713</f>
        <v/>
      </c>
      <c r="AN713" s="56">
        <f>IF(AK713&gt;0,I713/AK713,-1)</f>
        <v/>
      </c>
      <c r="AO713" s="56">
        <f>IF(AND(OR(BR713="L1",BR713="L23"),AK713&gt;0),SUMIFS($AK$7:$AK$1570,$BR$7:$BR$1570,BR713,$AN$7:$AN$1570,"&gt;"&amp;AN713)+SUMIFS($AK$7:$AK$1570,$BR$7:$BR$1570,BR713,$AN$7:$AN$1570,AN713,$BL$7:$BL$1570,"&lt;="&amp;BL713),"")</f>
        <v/>
      </c>
      <c r="AP713" s="65">
        <f>IF(AO713="",0,MAX(0,MIN(1,(IF(BR713="L1",Parameter!$K$5,Parameter!$K$6+Parameter!$K$7)-(AO713-AK713))/AK713)))</f>
        <v/>
      </c>
      <c r="AQ713" s="55">
        <f>IF(LEFT(Cockpit!$O$5,1)="A",G713,IF(BT713=1,BU713,IF(LEFT(Cockpit!$O$5,1)="B",AU713,MAX(AU713,G713))))</f>
        <v/>
      </c>
      <c r="AR713" s="55">
        <f>IF(BO713=1,0,ROUNDUP(AQ713/BN713,0))</f>
        <v/>
      </c>
      <c r="AS713" s="64">
        <f>IF(BO713=1,IF(AQ713&lt;=0,0,BP713*MAX(1,IF(G713&gt;0,AQ713/G713,1))),AR713*Q713)</f>
        <v/>
      </c>
      <c r="AT713" s="55">
        <f>AQ713*F713</f>
        <v/>
      </c>
      <c r="AU713" s="55">
        <f>ROUNDUP(MAX(I713/IF(BS713&gt;0,BS713,MAX(0.1,N(Cockpit!$O$6))),BV713)/BN713,0)*BN713</f>
        <v/>
      </c>
      <c r="AV713" s="56">
        <f>IF(AS713&gt;0,I713/AS713,-1)</f>
        <v/>
      </c>
      <c r="AW713" s="56">
        <f>IF(AND(OR(BR713="L1",BR713="L23"),AS713&gt;0),SUMIFS($AS$7:$AS$1570,$BR$7:$BR$1570,BR713,$AV$7:$AV$1570,"&gt;"&amp;AV713)+SUMIFS($AS$7:$AS$1570,$BR$7:$BR$1570,BR713,$AV$7:$AV$1570,AV713,$BL$7:$BL$1570,"&lt;="&amp;BL713),"")</f>
        <v/>
      </c>
      <c r="AX713" s="65">
        <f>IF(AW713="",0,MAX(0,MIN(1,(IF(BR713="L1",Parameter!$K$5,Parameter!$K$6+Parameter!$K$7)-(AW713-AS713))/AS713)))</f>
        <v/>
      </c>
      <c r="AY713" s="53">
        <f>IF(AC713&lt;=0,"",IF(BR713="Aussen","Aussenlager",IF(BR713="-","Nicht im Lift",IF(AH713&gt;=1,"Lift",IF(AH713&lt;=0,"Aussenlager","teilweise")))))</f>
        <v/>
      </c>
      <c r="AZ713" s="53">
        <f>IF(AK713&lt;=0,"",IF(BR713="Aussen","Aussenlager",IF(BR713="-","Nicht im Lift",IF(AP713&gt;=1,"Lift",IF(AP713&lt;=0,"Aussenlager","teilweise")))))</f>
        <v/>
      </c>
      <c r="BA713" s="53">
        <f>IF(AS713&lt;=0,"",IF(BR713="Aussen","Aussenlager",IF(BR713="-","Nicht im Lift",IF(AX713&gt;=1,"Lift",IF(AX713&lt;=0,"Aussenlager","teilweise")))))</f>
        <v/>
      </c>
      <c r="BB713" s="53">
        <f>IF(A713="","",IF(BK713=1,"Neu; ","")&amp;IF(AND(BK713=0,BF713&lt;0),"negativer Bestand (Export "&amp;BF713&amp;"); ","")&amp;IF(I713&lt;=0,"Kein Verbrauch; ","")&amp;IF(BO713=1,"Lose – Fläche geschätzt; ","")&amp;IF(G713&gt;AM713,"Überbestand "&amp;ROUND(G713-AM713,0)&amp;" Stk / CHF "&amp;ROUND((G713-AM713)*F713,0)&amp;"; ","")&amp;IF(AND(BT713=1,BU713&lt;BV713),"MAX &lt; MB+LG; ","")&amp;IF(AND(BZ713&gt;0,BY713*10&gt;BZ713),"zu hoch für Tablar; ","")&amp;IF(AND(BK713=0,OR(BT713=1,V713&lt;&gt;"",S713&lt;&gt;"",T713&lt;&gt;"",W713&lt;&gt;"")),"manuell übersteuert; ","")&amp;IF(AND(BO713=0,Q713=0),"Gebinde unbekannt; ","")&amp;IF(AND(BO713=0,N(T713)&lt;=0,N(P713)&lt;=0),"Menge pro Gebinde fehlt (Ist = 1 Gebinde); ","")&amp;BJ713)</f>
        <v/>
      </c>
      <c r="BC713" s="53" t="n"/>
      <c r="BD713" s="53" t="n"/>
      <c r="BE713" s="61" t="n"/>
      <c r="BF713" s="55" t="n">
        <v>0</v>
      </c>
      <c r="BG713" s="55" t="n">
        <v>0</v>
      </c>
      <c r="BH713" s="54" t="n">
        <v>0</v>
      </c>
      <c r="BI713" s="55" t="n">
        <v>4</v>
      </c>
      <c r="BJ713" s="53" t="inlineStr"/>
      <c r="BK713" s="58" t="n">
        <v>0</v>
      </c>
      <c r="BL713" s="58" t="n">
        <v>713</v>
      </c>
      <c r="BM713" s="53">
        <f>IF(S713&lt;&gt;"",UPPER(TRIM(S713)),IF(O713="","LOSE",O713))</f>
        <v/>
      </c>
      <c r="BN713" s="55">
        <f>IF(BM713="LOSE",1,IF(N(T713)&gt;0,T713,IF(N(P713)&gt;0,P713,MAX(1,G713))))</f>
        <v/>
      </c>
      <c r="BO713" s="58">
        <f>IF(BM713="LOSE",1,0)</f>
        <v/>
      </c>
      <c r="BP713" s="64">
        <f>IF(BO713=0,0,IF(N(R713)&gt;0,R713,IFERROR(VLOOKUP(D713,Parameter!$A$35:$C$64,3,0)+0,0)))</f>
        <v/>
      </c>
      <c r="BQ713" s="53">
        <f>IF(V713&lt;&gt;"",V713,U713)</f>
        <v/>
      </c>
      <c r="BR713" s="53">
        <f>IF(BQ713=1,"L1",IF(OR(BQ713=2,BQ713=3),"L23",IF(BQ713="Aussen","Aussen","-")))</f>
        <v/>
      </c>
      <c r="BS713" s="66">
        <f>IF(N(W713)&gt;0,W713,0)</f>
        <v/>
      </c>
      <c r="BT713" s="58">
        <f>IF(ISNUMBER(Z713),1,0)</f>
        <v/>
      </c>
      <c r="BU713" s="55">
        <f>N(Z713)</f>
        <v/>
      </c>
      <c r="BV713" s="55">
        <f>N(L713)+N(M713)</f>
        <v/>
      </c>
      <c r="BW713" s="55">
        <f>ROUNDUP(G713/BN713,0)</f>
        <v/>
      </c>
      <c r="BX713" s="55">
        <f>ROUNDUP(BU713/BN713,0)</f>
        <v/>
      </c>
      <c r="BY713" s="58">
        <f>IF(BO713=1,0,IFERROR(VLOOKUP(BM713,'Gebinde-Kategorie'!$A$5:$G$45,5,0)+0,0))</f>
        <v/>
      </c>
      <c r="BZ713" s="58">
        <f>IFERROR(IF(OR(BQ713=1,BQ713=2,BQ713=3),N(INDEX(Parameter!$I$5:$I$7,BQ713)),0),0)</f>
        <v/>
      </c>
    </row>
    <row r="714">
      <c r="A714" s="53" t="inlineStr">
        <is>
          <t>104212</t>
        </is>
      </c>
      <c r="B714" s="53" t="inlineStr">
        <is>
          <t>Glühkerzenkabel inkl. Stecker zu VP</t>
        </is>
      </c>
      <c r="C714" s="53" t="inlineStr">
        <is>
          <t>F</t>
        </is>
      </c>
      <c r="D714" s="53" t="inlineStr">
        <is>
          <t>PAL</t>
        </is>
      </c>
      <c r="E714" s="53" t="inlineStr">
        <is>
          <t>C</t>
        </is>
      </c>
      <c r="F714" s="54" t="n">
        <v>144.5</v>
      </c>
      <c r="G714" s="55">
        <f>MAX(0,IF(Parameter!$B$20="Jahresanfang 2025 + Export",BG714+BF714,BF714))</f>
        <v/>
      </c>
      <c r="H714" s="55">
        <f>G714*F714</f>
        <v/>
      </c>
      <c r="I714" s="55">
        <f>BI714*Parameter!$B$18</f>
        <v/>
      </c>
      <c r="J714" s="56" t="n">
        <v>13.5</v>
      </c>
      <c r="K714" s="57" t="n">
        <v>0</v>
      </c>
      <c r="L714" s="55" t="n">
        <v>0</v>
      </c>
      <c r="M714" s="55" t="n">
        <v>1</v>
      </c>
      <c r="N714" s="58" t="n">
        <v>49</v>
      </c>
      <c r="O714" s="53" t="inlineStr">
        <is>
          <t>S71</t>
        </is>
      </c>
      <c r="P714" s="55" t="n">
        <v>15</v>
      </c>
      <c r="Q714" s="59">
        <f>IF(BO714=1,0,IFERROR(VLOOKUP(BM714,'Gebinde-Kategorie'!$A$5:$G$45,6,0)+0,0))</f>
        <v/>
      </c>
      <c r="R714" s="60" t="n"/>
      <c r="S714" s="61" t="n"/>
      <c r="T714" s="61" t="n"/>
      <c r="U714" s="53">
        <f>IF(A714="","",IF(IFERROR(VLOOKUP(D714,Parameter!$A$35:$C$64,2,0),"Nein")="2+3",IF(ISNUMBER(SEARCH("grosser Artikel",BJ714)),2,IFERROR(VLOOKUP(BM714,Parameter!$F$35:$G$64,2,0),2)),IF(OR(IFERROR(VLOOKUP(D714,Parameter!$A$35:$C$64,2,0),"Nein")="Nein",IFERROR(VLOOKUP(D714,Parameter!$A$35:$C$64,2,0),"Nein")=""),"-",VLOOKUP(D714,Parameter!$A$35:$C$64,2,0))))</f>
        <v/>
      </c>
      <c r="V714" s="61" t="n"/>
      <c r="W714" s="62" t="n"/>
      <c r="X714" s="55">
        <f>AM714</f>
        <v/>
      </c>
      <c r="Y714" s="55">
        <f>MAX(AM714,G714)</f>
        <v/>
      </c>
      <c r="Z714" s="63" t="n"/>
      <c r="AA714" s="55">
        <f>IF(LEFT(Cockpit!$C$5,1)="A",G714,IF(BT714=1,BU714,IF(LEFT(Cockpit!$C$5,1)="B",AE714,MAX(AE714,G714))))</f>
        <v/>
      </c>
      <c r="AB714" s="55">
        <f>IF(BO714=1,0,ROUNDUP(AA714/BN714,0))</f>
        <v/>
      </c>
      <c r="AC714" s="64">
        <f>IF(BO714=1,IF(AA714&lt;=0,0,BP714*MAX(1,IF(G714&gt;0,AA714/G714,1))),AB714*Q714)</f>
        <v/>
      </c>
      <c r="AD714" s="55">
        <f>AA714*F714</f>
        <v/>
      </c>
      <c r="AE714" s="55">
        <f>ROUNDUP(MAX(I714/IF(BS714&gt;0,BS714,MAX(0.1,N(Cockpit!$C$6))),BV714)/BN714,0)*BN714</f>
        <v/>
      </c>
      <c r="AF714" s="56">
        <f>IF(AC714&gt;0,I714/AC714,-1)</f>
        <v/>
      </c>
      <c r="AG714" s="56">
        <f>IF(AND(OR(BR714="L1",BR714="L23"),AC714&gt;0),SUMIFS($AC$7:$AC$1570,$BR$7:$BR$1570,BR714,$AF$7:$AF$1570,"&gt;"&amp;AF714)+SUMIFS($AC$7:$AC$1570,$BR$7:$BR$1570,BR714,$AF$7:$AF$1570,AF714,$BL$7:$BL$1570,"&lt;="&amp;BL714),"")</f>
        <v/>
      </c>
      <c r="AH714" s="65">
        <f>IF(AG714="",0,MAX(0,MIN(1,(IF(BR714="L1",Parameter!$K$5,Parameter!$K$6+Parameter!$K$7)-(AG714-AC714))/AC714)))</f>
        <v/>
      </c>
      <c r="AI714" s="55">
        <f>IF(LEFT(Cockpit!$I$5,1)="A",G714,IF(BT714=1,BU714,IF(LEFT(Cockpit!$I$5,1)="B",AM714,MAX(AM714,G714))))</f>
        <v/>
      </c>
      <c r="AJ714" s="55">
        <f>IF(BO714=1,0,ROUNDUP(AI714/BN714,0))</f>
        <v/>
      </c>
      <c r="AK714" s="64">
        <f>IF(BO714=1,IF(AI714&lt;=0,0,BP714*MAX(1,IF(G714&gt;0,AI714/G714,1))),AJ714*Q714)</f>
        <v/>
      </c>
      <c r="AL714" s="55">
        <f>AI714*F714</f>
        <v/>
      </c>
      <c r="AM714" s="55">
        <f>ROUNDUP(MAX(I714/IF(BS714&gt;0,BS714,MAX(0.1,N(Cockpit!$I$6))),BV714)/BN714,0)*BN714</f>
        <v/>
      </c>
      <c r="AN714" s="56">
        <f>IF(AK714&gt;0,I714/AK714,-1)</f>
        <v/>
      </c>
      <c r="AO714" s="56">
        <f>IF(AND(OR(BR714="L1",BR714="L23"),AK714&gt;0),SUMIFS($AK$7:$AK$1570,$BR$7:$BR$1570,BR714,$AN$7:$AN$1570,"&gt;"&amp;AN714)+SUMIFS($AK$7:$AK$1570,$BR$7:$BR$1570,BR714,$AN$7:$AN$1570,AN714,$BL$7:$BL$1570,"&lt;="&amp;BL714),"")</f>
        <v/>
      </c>
      <c r="AP714" s="65">
        <f>IF(AO714="",0,MAX(0,MIN(1,(IF(BR714="L1",Parameter!$K$5,Parameter!$K$6+Parameter!$K$7)-(AO714-AK714))/AK714)))</f>
        <v/>
      </c>
      <c r="AQ714" s="55">
        <f>IF(LEFT(Cockpit!$O$5,1)="A",G714,IF(BT714=1,BU714,IF(LEFT(Cockpit!$O$5,1)="B",AU714,MAX(AU714,G714))))</f>
        <v/>
      </c>
      <c r="AR714" s="55">
        <f>IF(BO714=1,0,ROUNDUP(AQ714/BN714,0))</f>
        <v/>
      </c>
      <c r="AS714" s="64">
        <f>IF(BO714=1,IF(AQ714&lt;=0,0,BP714*MAX(1,IF(G714&gt;0,AQ714/G714,1))),AR714*Q714)</f>
        <v/>
      </c>
      <c r="AT714" s="55">
        <f>AQ714*F714</f>
        <v/>
      </c>
      <c r="AU714" s="55">
        <f>ROUNDUP(MAX(I714/IF(BS714&gt;0,BS714,MAX(0.1,N(Cockpit!$O$6))),BV714)/BN714,0)*BN714</f>
        <v/>
      </c>
      <c r="AV714" s="56">
        <f>IF(AS714&gt;0,I714/AS714,-1)</f>
        <v/>
      </c>
      <c r="AW714" s="56">
        <f>IF(AND(OR(BR714="L1",BR714="L23"),AS714&gt;0),SUMIFS($AS$7:$AS$1570,$BR$7:$BR$1570,BR714,$AV$7:$AV$1570,"&gt;"&amp;AV714)+SUMIFS($AS$7:$AS$1570,$BR$7:$BR$1570,BR714,$AV$7:$AV$1570,AV714,$BL$7:$BL$1570,"&lt;="&amp;BL714),"")</f>
        <v/>
      </c>
      <c r="AX714" s="65">
        <f>IF(AW714="",0,MAX(0,MIN(1,(IF(BR714="L1",Parameter!$K$5,Parameter!$K$6+Parameter!$K$7)-(AW714-AS714))/AS714)))</f>
        <v/>
      </c>
      <c r="AY714" s="53">
        <f>IF(AC714&lt;=0,"",IF(BR714="Aussen","Aussenlager",IF(BR714="-","Nicht im Lift",IF(AH714&gt;=1,"Lift",IF(AH714&lt;=0,"Aussenlager","teilweise")))))</f>
        <v/>
      </c>
      <c r="AZ714" s="53">
        <f>IF(AK714&lt;=0,"",IF(BR714="Aussen","Aussenlager",IF(BR714="-","Nicht im Lift",IF(AP714&gt;=1,"Lift",IF(AP714&lt;=0,"Aussenlager","teilweise")))))</f>
        <v/>
      </c>
      <c r="BA714" s="53">
        <f>IF(AS714&lt;=0,"",IF(BR714="Aussen","Aussenlager",IF(BR714="-","Nicht im Lift",IF(AX714&gt;=1,"Lift",IF(AX714&lt;=0,"Aussenlager","teilweise")))))</f>
        <v/>
      </c>
      <c r="BB714" s="53">
        <f>IF(A714="","",IF(BK714=1,"Neu; ","")&amp;IF(AND(BK714=0,BF714&lt;0),"negativer Bestand (Export "&amp;BF714&amp;"); ","")&amp;IF(I714&lt;=0,"Kein Verbrauch; ","")&amp;IF(BO714=1,"Lose – Fläche geschätzt; ","")&amp;IF(G714&gt;AM714,"Überbestand "&amp;ROUND(G714-AM714,0)&amp;" Stk / CHF "&amp;ROUND((G714-AM714)*F714,0)&amp;"; ","")&amp;IF(AND(BT714=1,BU714&lt;BV714),"MAX &lt; MB+LG; ","")&amp;IF(AND(BZ714&gt;0,BY714*10&gt;BZ714),"zu hoch für Tablar; ","")&amp;IF(AND(BK714=0,OR(BT714=1,V714&lt;&gt;"",S714&lt;&gt;"",T714&lt;&gt;"",W714&lt;&gt;"")),"manuell übersteuert; ","")&amp;IF(AND(BO714=0,Q714=0),"Gebinde unbekannt; ","")&amp;IF(AND(BO714=0,N(T714)&lt;=0,N(P714)&lt;=0),"Menge pro Gebinde fehlt (Ist = 1 Gebinde); ","")&amp;BJ714)</f>
        <v/>
      </c>
      <c r="BC714" s="53" t="n"/>
      <c r="BD714" s="53" t="n"/>
      <c r="BE714" s="61" t="n"/>
      <c r="BF714" s="55" t="n">
        <v>0</v>
      </c>
      <c r="BG714" s="55" t="n">
        <v>13</v>
      </c>
      <c r="BH714" s="54" t="n">
        <v>0</v>
      </c>
      <c r="BI714" s="55" t="n">
        <v>0</v>
      </c>
      <c r="BJ714" s="53" t="inlineStr">
        <is>
          <t>Überbestand; grosser Artikel &amp; nicht im KTL</t>
        </is>
      </c>
      <c r="BK714" s="58" t="n">
        <v>0</v>
      </c>
      <c r="BL714" s="58" t="n">
        <v>714</v>
      </c>
      <c r="BM714" s="53">
        <f>IF(S714&lt;&gt;"",UPPER(TRIM(S714)),IF(O714="","LOSE",O714))</f>
        <v/>
      </c>
      <c r="BN714" s="55">
        <f>IF(BM714="LOSE",1,IF(N(T714)&gt;0,T714,IF(N(P714)&gt;0,P714,MAX(1,G714))))</f>
        <v/>
      </c>
      <c r="BO714" s="58">
        <f>IF(BM714="LOSE",1,0)</f>
        <v/>
      </c>
      <c r="BP714" s="64">
        <f>IF(BO714=0,0,IF(N(R714)&gt;0,R714,IFERROR(VLOOKUP(D714,Parameter!$A$35:$C$64,3,0)+0,0)))</f>
        <v/>
      </c>
      <c r="BQ714" s="53">
        <f>IF(V714&lt;&gt;"",V714,U714)</f>
        <v/>
      </c>
      <c r="BR714" s="53">
        <f>IF(BQ714=1,"L1",IF(OR(BQ714=2,BQ714=3),"L23",IF(BQ714="Aussen","Aussen","-")))</f>
        <v/>
      </c>
      <c r="BS714" s="66">
        <f>IF(N(W714)&gt;0,W714,0)</f>
        <v/>
      </c>
      <c r="BT714" s="58">
        <f>IF(ISNUMBER(Z714),1,0)</f>
        <v/>
      </c>
      <c r="BU714" s="55">
        <f>N(Z714)</f>
        <v/>
      </c>
      <c r="BV714" s="55">
        <f>N(L714)+N(M714)</f>
        <v/>
      </c>
      <c r="BW714" s="55">
        <f>ROUNDUP(G714/BN714,0)</f>
        <v/>
      </c>
      <c r="BX714" s="55">
        <f>ROUNDUP(BU714/BN714,0)</f>
        <v/>
      </c>
      <c r="BY714" s="58">
        <f>IF(BO714=1,0,IFERROR(VLOOKUP(BM714,'Gebinde-Kategorie'!$A$5:$G$45,5,0)+0,0))</f>
        <v/>
      </c>
      <c r="BZ714" s="58">
        <f>IFERROR(IF(OR(BQ714=1,BQ714=2,BQ714=3),N(INDEX(Parameter!$I$5:$I$7,BQ714)),0),0)</f>
        <v/>
      </c>
    </row>
    <row r="715">
      <c r="A715" s="53" t="inlineStr">
        <is>
          <t>104169</t>
        </is>
      </c>
      <c r="B715" s="53" t="inlineStr">
        <is>
          <t>Steuerschrank EG101-DF ADV</t>
        </is>
      </c>
      <c r="C715" s="53" t="inlineStr">
        <is>
          <t>F</t>
        </is>
      </c>
      <c r="D715" s="53" t="inlineStr">
        <is>
          <t>A-BEZ</t>
        </is>
      </c>
      <c r="E715" s="53" t="inlineStr">
        <is>
          <t>C</t>
        </is>
      </c>
      <c r="F715" s="54" t="n">
        <v>5572.64</v>
      </c>
      <c r="G715" s="55">
        <f>MAX(0,IF(Parameter!$B$20="Jahresanfang 2025 + Export",BG715+BF715,BF715))</f>
        <v/>
      </c>
      <c r="H715" s="55">
        <f>G715*F715</f>
        <v/>
      </c>
      <c r="I715" s="55">
        <f>BI715*Parameter!$B$18</f>
        <v/>
      </c>
      <c r="J715" s="56" t="n">
        <v>0.5</v>
      </c>
      <c r="K715" s="57" t="n">
        <v>0</v>
      </c>
      <c r="L715" s="55" t="n">
        <v>0</v>
      </c>
      <c r="M715" s="55" t="n">
        <v>1</v>
      </c>
      <c r="N715" s="58" t="n">
        <v>28</v>
      </c>
      <c r="O715" s="53" t="inlineStr">
        <is>
          <t>LOSE</t>
        </is>
      </c>
      <c r="P715" s="55" t="n"/>
      <c r="Q715" s="59">
        <f>IF(BO715=1,0,IFERROR(VLOOKUP(BM715,'Gebinde-Kategorie'!$A$5:$G$45,6,0)+0,0))</f>
        <v/>
      </c>
      <c r="R715" s="60" t="n"/>
      <c r="S715" s="61" t="n"/>
      <c r="T715" s="61" t="n"/>
      <c r="U715" s="53">
        <f>IF(A715="","",IF(IFERROR(VLOOKUP(D715,Parameter!$A$35:$C$64,2,0),"Nein")="2+3",IF(ISNUMBER(SEARCH("grosser Artikel",BJ715)),2,IFERROR(VLOOKUP(BM715,Parameter!$F$35:$G$64,2,0),2)),IF(OR(IFERROR(VLOOKUP(D715,Parameter!$A$35:$C$64,2,0),"Nein")="Nein",IFERROR(VLOOKUP(D715,Parameter!$A$35:$C$64,2,0),"Nein")=""),"-",VLOOKUP(D715,Parameter!$A$35:$C$64,2,0))))</f>
        <v/>
      </c>
      <c r="V715" s="61" t="n"/>
      <c r="W715" s="62" t="n"/>
      <c r="X715" s="55">
        <f>AM715</f>
        <v/>
      </c>
      <c r="Y715" s="55">
        <f>MAX(AM715,G715)</f>
        <v/>
      </c>
      <c r="Z715" s="63" t="n"/>
      <c r="AA715" s="55">
        <f>IF(LEFT(Cockpit!$C$5,1)="A",G715,IF(BT715=1,BU715,IF(LEFT(Cockpit!$C$5,1)="B",AE715,MAX(AE715,G715))))</f>
        <v/>
      </c>
      <c r="AB715" s="55">
        <f>IF(BO715=1,0,ROUNDUP(AA715/BN715,0))</f>
        <v/>
      </c>
      <c r="AC715" s="64">
        <f>IF(BO715=1,IF(AA715&lt;=0,0,BP715*MAX(1,IF(G715&gt;0,AA715/G715,1))),AB715*Q715)</f>
        <v/>
      </c>
      <c r="AD715" s="55">
        <f>AA715*F715</f>
        <v/>
      </c>
      <c r="AE715" s="55">
        <f>ROUNDUP(MAX(I715/IF(BS715&gt;0,BS715,MAX(0.1,N(Cockpit!$C$6))),BV715)/BN715,0)*BN715</f>
        <v/>
      </c>
      <c r="AF715" s="56">
        <f>IF(AC715&gt;0,I715/AC715,-1)</f>
        <v/>
      </c>
      <c r="AG715" s="56">
        <f>IF(AND(OR(BR715="L1",BR715="L23"),AC715&gt;0),SUMIFS($AC$7:$AC$1570,$BR$7:$BR$1570,BR715,$AF$7:$AF$1570,"&gt;"&amp;AF715)+SUMIFS($AC$7:$AC$1570,$BR$7:$BR$1570,BR715,$AF$7:$AF$1570,AF715,$BL$7:$BL$1570,"&lt;="&amp;BL715),"")</f>
        <v/>
      </c>
      <c r="AH715" s="65">
        <f>IF(AG715="",0,MAX(0,MIN(1,(IF(BR715="L1",Parameter!$K$5,Parameter!$K$6+Parameter!$K$7)-(AG715-AC715))/AC715)))</f>
        <v/>
      </c>
      <c r="AI715" s="55">
        <f>IF(LEFT(Cockpit!$I$5,1)="A",G715,IF(BT715=1,BU715,IF(LEFT(Cockpit!$I$5,1)="B",AM715,MAX(AM715,G715))))</f>
        <v/>
      </c>
      <c r="AJ715" s="55">
        <f>IF(BO715=1,0,ROUNDUP(AI715/BN715,0))</f>
        <v/>
      </c>
      <c r="AK715" s="64">
        <f>IF(BO715=1,IF(AI715&lt;=0,0,BP715*MAX(1,IF(G715&gt;0,AI715/G715,1))),AJ715*Q715)</f>
        <v/>
      </c>
      <c r="AL715" s="55">
        <f>AI715*F715</f>
        <v/>
      </c>
      <c r="AM715" s="55">
        <f>ROUNDUP(MAX(I715/IF(BS715&gt;0,BS715,MAX(0.1,N(Cockpit!$I$6))),BV715)/BN715,0)*BN715</f>
        <v/>
      </c>
      <c r="AN715" s="56">
        <f>IF(AK715&gt;0,I715/AK715,-1)</f>
        <v/>
      </c>
      <c r="AO715" s="56">
        <f>IF(AND(OR(BR715="L1",BR715="L23"),AK715&gt;0),SUMIFS($AK$7:$AK$1570,$BR$7:$BR$1570,BR715,$AN$7:$AN$1570,"&gt;"&amp;AN715)+SUMIFS($AK$7:$AK$1570,$BR$7:$BR$1570,BR715,$AN$7:$AN$1570,AN715,$BL$7:$BL$1570,"&lt;="&amp;BL715),"")</f>
        <v/>
      </c>
      <c r="AP715" s="65">
        <f>IF(AO715="",0,MAX(0,MIN(1,(IF(BR715="L1",Parameter!$K$5,Parameter!$K$6+Parameter!$K$7)-(AO715-AK715))/AK715)))</f>
        <v/>
      </c>
      <c r="AQ715" s="55">
        <f>IF(LEFT(Cockpit!$O$5,1)="A",G715,IF(BT715=1,BU715,IF(LEFT(Cockpit!$O$5,1)="B",AU715,MAX(AU715,G715))))</f>
        <v/>
      </c>
      <c r="AR715" s="55">
        <f>IF(BO715=1,0,ROUNDUP(AQ715/BN715,0))</f>
        <v/>
      </c>
      <c r="AS715" s="64">
        <f>IF(BO715=1,IF(AQ715&lt;=0,0,BP715*MAX(1,IF(G715&gt;0,AQ715/G715,1))),AR715*Q715)</f>
        <v/>
      </c>
      <c r="AT715" s="55">
        <f>AQ715*F715</f>
        <v/>
      </c>
      <c r="AU715" s="55">
        <f>ROUNDUP(MAX(I715/IF(BS715&gt;0,BS715,MAX(0.1,N(Cockpit!$O$6))),BV715)/BN715,0)*BN715</f>
        <v/>
      </c>
      <c r="AV715" s="56">
        <f>IF(AS715&gt;0,I715/AS715,-1)</f>
        <v/>
      </c>
      <c r="AW715" s="56">
        <f>IF(AND(OR(BR715="L1",BR715="L23"),AS715&gt;0),SUMIFS($AS$7:$AS$1570,$BR$7:$BR$1570,BR715,$AV$7:$AV$1570,"&gt;"&amp;AV715)+SUMIFS($AS$7:$AS$1570,$BR$7:$BR$1570,BR715,$AV$7:$AV$1570,AV715,$BL$7:$BL$1570,"&lt;="&amp;BL715),"")</f>
        <v/>
      </c>
      <c r="AX715" s="65">
        <f>IF(AW715="",0,MAX(0,MIN(1,(IF(BR715="L1",Parameter!$K$5,Parameter!$K$6+Parameter!$K$7)-(AW715-AS715))/AS715)))</f>
        <v/>
      </c>
      <c r="AY715" s="53">
        <f>IF(AC715&lt;=0,"",IF(BR715="Aussen","Aussenlager",IF(BR715="-","Nicht im Lift",IF(AH715&gt;=1,"Lift",IF(AH715&lt;=0,"Aussenlager","teilweise")))))</f>
        <v/>
      </c>
      <c r="AZ715" s="53">
        <f>IF(AK715&lt;=0,"",IF(BR715="Aussen","Aussenlager",IF(BR715="-","Nicht im Lift",IF(AP715&gt;=1,"Lift",IF(AP715&lt;=0,"Aussenlager","teilweise")))))</f>
        <v/>
      </c>
      <c r="BA715" s="53">
        <f>IF(AS715&lt;=0,"",IF(BR715="Aussen","Aussenlager",IF(BR715="-","Nicht im Lift",IF(AX715&gt;=1,"Lift",IF(AX715&lt;=0,"Aussenlager","teilweise")))))</f>
        <v/>
      </c>
      <c r="BB715" s="53">
        <f>IF(A715="","",IF(BK715=1,"Neu; ","")&amp;IF(AND(BK715=0,BF715&lt;0),"negativer Bestand (Export "&amp;BF715&amp;"); ","")&amp;IF(I715&lt;=0,"Kein Verbrauch; ","")&amp;IF(BO715=1,"Lose – Fläche geschätzt; ","")&amp;IF(G715&gt;AM715,"Überbestand "&amp;ROUND(G715-AM715,0)&amp;" Stk / CHF "&amp;ROUND((G715-AM715)*F715,0)&amp;"; ","")&amp;IF(AND(BT715=1,BU715&lt;BV715),"MAX &lt; MB+LG; ","")&amp;IF(AND(BZ715&gt;0,BY715*10&gt;BZ715),"zu hoch für Tablar; ","")&amp;IF(AND(BK715=0,OR(BT715=1,V715&lt;&gt;"",S715&lt;&gt;"",T715&lt;&gt;"",W715&lt;&gt;"")),"manuell übersteuert; ","")&amp;IF(AND(BO715=0,Q715=0),"Gebinde unbekannt; ","")&amp;IF(AND(BO715=0,N(T715)&lt;=0,N(P715)&lt;=0),"Menge pro Gebinde fehlt (Ist = 1 Gebinde); ","")&amp;BJ715)</f>
        <v/>
      </c>
      <c r="BC715" s="53" t="n"/>
      <c r="BD715" s="53" t="n"/>
      <c r="BE715" s="61" t="n"/>
      <c r="BF715" s="55" t="n">
        <v>5</v>
      </c>
      <c r="BG715" s="55" t="n">
        <v>0</v>
      </c>
      <c r="BH715" s="54" t="n">
        <v>0</v>
      </c>
      <c r="BI715" s="55" t="n">
        <v>0</v>
      </c>
      <c r="BJ715" s="53" t="inlineStr"/>
      <c r="BK715" s="58" t="n">
        <v>0</v>
      </c>
      <c r="BL715" s="58" t="n">
        <v>715</v>
      </c>
      <c r="BM715" s="53">
        <f>IF(S715&lt;&gt;"",UPPER(TRIM(S715)),IF(O715="","LOSE",O715))</f>
        <v/>
      </c>
      <c r="BN715" s="55">
        <f>IF(BM715="LOSE",1,IF(N(T715)&gt;0,T715,IF(N(P715)&gt;0,P715,MAX(1,G715))))</f>
        <v/>
      </c>
      <c r="BO715" s="58">
        <f>IF(BM715="LOSE",1,0)</f>
        <v/>
      </c>
      <c r="BP715" s="64">
        <f>IF(BO715=0,0,IF(N(R715)&gt;0,R715,IFERROR(VLOOKUP(D715,Parameter!$A$35:$C$64,3,0)+0,0)))</f>
        <v/>
      </c>
      <c r="BQ715" s="53">
        <f>IF(V715&lt;&gt;"",V715,U715)</f>
        <v/>
      </c>
      <c r="BR715" s="53">
        <f>IF(BQ715=1,"L1",IF(OR(BQ715=2,BQ715=3),"L23",IF(BQ715="Aussen","Aussen","-")))</f>
        <v/>
      </c>
      <c r="BS715" s="66">
        <f>IF(N(W715)&gt;0,W715,0)</f>
        <v/>
      </c>
      <c r="BT715" s="58">
        <f>IF(ISNUMBER(Z715),1,0)</f>
        <v/>
      </c>
      <c r="BU715" s="55">
        <f>N(Z715)</f>
        <v/>
      </c>
      <c r="BV715" s="55">
        <f>N(L715)+N(M715)</f>
        <v/>
      </c>
      <c r="BW715" s="55">
        <f>ROUNDUP(G715/BN715,0)</f>
        <v/>
      </c>
      <c r="BX715" s="55">
        <f>ROUNDUP(BU715/BN715,0)</f>
        <v/>
      </c>
      <c r="BY715" s="58">
        <f>IF(BO715=1,0,IFERROR(VLOOKUP(BM715,'Gebinde-Kategorie'!$A$5:$G$45,5,0)+0,0))</f>
        <v/>
      </c>
      <c r="BZ715" s="58">
        <f>IFERROR(IF(OR(BQ715=1,BQ715=2,BQ715=3),N(INDEX(Parameter!$I$5:$I$7,BQ715)),0),0)</f>
        <v/>
      </c>
    </row>
    <row r="716">
      <c r="A716" s="53" t="inlineStr">
        <is>
          <t>102520</t>
        </is>
      </c>
      <c r="B716" s="53" t="inlineStr">
        <is>
          <t>Typenschild</t>
        </is>
      </c>
      <c r="C716" s="53" t="inlineStr">
        <is>
          <t>F</t>
        </is>
      </c>
      <c r="D716" s="53" t="inlineStr">
        <is>
          <t>A-BEZ</t>
        </is>
      </c>
      <c r="E716" s="53" t="inlineStr">
        <is>
          <t>C</t>
        </is>
      </c>
      <c r="F716" s="54" t="n">
        <v>27.64</v>
      </c>
      <c r="G716" s="55">
        <f>MAX(0,IF(Parameter!$B$20="Jahresanfang 2025 + Export",BG716+BF716,BF716))</f>
        <v/>
      </c>
      <c r="H716" s="55">
        <f>G716*F716</f>
        <v/>
      </c>
      <c r="I716" s="55">
        <f>BI716*Parameter!$B$18</f>
        <v/>
      </c>
      <c r="J716" s="56" t="n">
        <v>0</v>
      </c>
      <c r="K716" s="57" t="n">
        <v>0</v>
      </c>
      <c r="L716" s="55" t="n">
        <v>0</v>
      </c>
      <c r="M716" s="55" t="n">
        <v>10</v>
      </c>
      <c r="N716" s="58" t="n">
        <v>28</v>
      </c>
      <c r="O716" s="53" t="inlineStr">
        <is>
          <t>LOSE</t>
        </is>
      </c>
      <c r="P716" s="55" t="n"/>
      <c r="Q716" s="59">
        <f>IF(BO716=1,0,IFERROR(VLOOKUP(BM716,'Gebinde-Kategorie'!$A$5:$G$45,6,0)+0,0))</f>
        <v/>
      </c>
      <c r="R716" s="60" t="n"/>
      <c r="S716" s="61" t="n"/>
      <c r="T716" s="61" t="n"/>
      <c r="U716" s="53">
        <f>IF(A716="","",IF(IFERROR(VLOOKUP(D716,Parameter!$A$35:$C$64,2,0),"Nein")="2+3",IF(ISNUMBER(SEARCH("grosser Artikel",BJ716)),2,IFERROR(VLOOKUP(BM716,Parameter!$F$35:$G$64,2,0),2)),IF(OR(IFERROR(VLOOKUP(D716,Parameter!$A$35:$C$64,2,0),"Nein")="Nein",IFERROR(VLOOKUP(D716,Parameter!$A$35:$C$64,2,0),"Nein")=""),"-",VLOOKUP(D716,Parameter!$A$35:$C$64,2,0))))</f>
        <v/>
      </c>
      <c r="V716" s="61" t="n"/>
      <c r="W716" s="62" t="n"/>
      <c r="X716" s="55">
        <f>AM716</f>
        <v/>
      </c>
      <c r="Y716" s="55">
        <f>MAX(AM716,G716)</f>
        <v/>
      </c>
      <c r="Z716" s="63" t="n"/>
      <c r="AA716" s="55">
        <f>IF(LEFT(Cockpit!$C$5,1)="A",G716,IF(BT716=1,BU716,IF(LEFT(Cockpit!$C$5,1)="B",AE716,MAX(AE716,G716))))</f>
        <v/>
      </c>
      <c r="AB716" s="55">
        <f>IF(BO716=1,0,ROUNDUP(AA716/BN716,0))</f>
        <v/>
      </c>
      <c r="AC716" s="64">
        <f>IF(BO716=1,IF(AA716&lt;=0,0,BP716*MAX(1,IF(G716&gt;0,AA716/G716,1))),AB716*Q716)</f>
        <v/>
      </c>
      <c r="AD716" s="55">
        <f>AA716*F716</f>
        <v/>
      </c>
      <c r="AE716" s="55">
        <f>ROUNDUP(MAX(I716/IF(BS716&gt;0,BS716,MAX(0.1,N(Cockpit!$C$6))),BV716)/BN716,0)*BN716</f>
        <v/>
      </c>
      <c r="AF716" s="56">
        <f>IF(AC716&gt;0,I716/AC716,-1)</f>
        <v/>
      </c>
      <c r="AG716" s="56">
        <f>IF(AND(OR(BR716="L1",BR716="L23"),AC716&gt;0),SUMIFS($AC$7:$AC$1570,$BR$7:$BR$1570,BR716,$AF$7:$AF$1570,"&gt;"&amp;AF716)+SUMIFS($AC$7:$AC$1570,$BR$7:$BR$1570,BR716,$AF$7:$AF$1570,AF716,$BL$7:$BL$1570,"&lt;="&amp;BL716),"")</f>
        <v/>
      </c>
      <c r="AH716" s="65">
        <f>IF(AG716="",0,MAX(0,MIN(1,(IF(BR716="L1",Parameter!$K$5,Parameter!$K$6+Parameter!$K$7)-(AG716-AC716))/AC716)))</f>
        <v/>
      </c>
      <c r="AI716" s="55">
        <f>IF(LEFT(Cockpit!$I$5,1)="A",G716,IF(BT716=1,BU716,IF(LEFT(Cockpit!$I$5,1)="B",AM716,MAX(AM716,G716))))</f>
        <v/>
      </c>
      <c r="AJ716" s="55">
        <f>IF(BO716=1,0,ROUNDUP(AI716/BN716,0))</f>
        <v/>
      </c>
      <c r="AK716" s="64">
        <f>IF(BO716=1,IF(AI716&lt;=0,0,BP716*MAX(1,IF(G716&gt;0,AI716/G716,1))),AJ716*Q716)</f>
        <v/>
      </c>
      <c r="AL716" s="55">
        <f>AI716*F716</f>
        <v/>
      </c>
      <c r="AM716" s="55">
        <f>ROUNDUP(MAX(I716/IF(BS716&gt;0,BS716,MAX(0.1,N(Cockpit!$I$6))),BV716)/BN716,0)*BN716</f>
        <v/>
      </c>
      <c r="AN716" s="56">
        <f>IF(AK716&gt;0,I716/AK716,-1)</f>
        <v/>
      </c>
      <c r="AO716" s="56">
        <f>IF(AND(OR(BR716="L1",BR716="L23"),AK716&gt;0),SUMIFS($AK$7:$AK$1570,$BR$7:$BR$1570,BR716,$AN$7:$AN$1570,"&gt;"&amp;AN716)+SUMIFS($AK$7:$AK$1570,$BR$7:$BR$1570,BR716,$AN$7:$AN$1570,AN716,$BL$7:$BL$1570,"&lt;="&amp;BL716),"")</f>
        <v/>
      </c>
      <c r="AP716" s="65">
        <f>IF(AO716="",0,MAX(0,MIN(1,(IF(BR716="L1",Parameter!$K$5,Parameter!$K$6+Parameter!$K$7)-(AO716-AK716))/AK716)))</f>
        <v/>
      </c>
      <c r="AQ716" s="55">
        <f>IF(LEFT(Cockpit!$O$5,1)="A",G716,IF(BT716=1,BU716,IF(LEFT(Cockpit!$O$5,1)="B",AU716,MAX(AU716,G716))))</f>
        <v/>
      </c>
      <c r="AR716" s="55">
        <f>IF(BO716=1,0,ROUNDUP(AQ716/BN716,0))</f>
        <v/>
      </c>
      <c r="AS716" s="64">
        <f>IF(BO716=1,IF(AQ716&lt;=0,0,BP716*MAX(1,IF(G716&gt;0,AQ716/G716,1))),AR716*Q716)</f>
        <v/>
      </c>
      <c r="AT716" s="55">
        <f>AQ716*F716</f>
        <v/>
      </c>
      <c r="AU716" s="55">
        <f>ROUNDUP(MAX(I716/IF(BS716&gt;0,BS716,MAX(0.1,N(Cockpit!$O$6))),BV716)/BN716,0)*BN716</f>
        <v/>
      </c>
      <c r="AV716" s="56">
        <f>IF(AS716&gt;0,I716/AS716,-1)</f>
        <v/>
      </c>
      <c r="AW716" s="56">
        <f>IF(AND(OR(BR716="L1",BR716="L23"),AS716&gt;0),SUMIFS($AS$7:$AS$1570,$BR$7:$BR$1570,BR716,$AV$7:$AV$1570,"&gt;"&amp;AV716)+SUMIFS($AS$7:$AS$1570,$BR$7:$BR$1570,BR716,$AV$7:$AV$1570,AV716,$BL$7:$BL$1570,"&lt;="&amp;BL716),"")</f>
        <v/>
      </c>
      <c r="AX716" s="65">
        <f>IF(AW716="",0,MAX(0,MIN(1,(IF(BR716="L1",Parameter!$K$5,Parameter!$K$6+Parameter!$K$7)-(AW716-AS716))/AS716)))</f>
        <v/>
      </c>
      <c r="AY716" s="53">
        <f>IF(AC716&lt;=0,"",IF(BR716="Aussen","Aussenlager",IF(BR716="-","Nicht im Lift",IF(AH716&gt;=1,"Lift",IF(AH716&lt;=0,"Aussenlager","teilweise")))))</f>
        <v/>
      </c>
      <c r="AZ716" s="53">
        <f>IF(AK716&lt;=0,"",IF(BR716="Aussen","Aussenlager",IF(BR716="-","Nicht im Lift",IF(AP716&gt;=1,"Lift",IF(AP716&lt;=0,"Aussenlager","teilweise")))))</f>
        <v/>
      </c>
      <c r="BA716" s="53">
        <f>IF(AS716&lt;=0,"",IF(BR716="Aussen","Aussenlager",IF(BR716="-","Nicht im Lift",IF(AX716&gt;=1,"Lift",IF(AX716&lt;=0,"Aussenlager","teilweise")))))</f>
        <v/>
      </c>
      <c r="BB716" s="53">
        <f>IF(A716="","",IF(BK716=1,"Neu; ","")&amp;IF(AND(BK716=0,BF716&lt;0),"negativer Bestand (Export "&amp;BF716&amp;"); ","")&amp;IF(I716&lt;=0,"Kein Verbrauch; ","")&amp;IF(BO716=1,"Lose – Fläche geschätzt; ","")&amp;IF(G716&gt;AM716,"Überbestand "&amp;ROUND(G716-AM716,0)&amp;" Stk / CHF "&amp;ROUND((G716-AM716)*F716,0)&amp;"; ","")&amp;IF(AND(BT716=1,BU716&lt;BV716),"MAX &lt; MB+LG; ","")&amp;IF(AND(BZ716&gt;0,BY716*10&gt;BZ716),"zu hoch für Tablar; ","")&amp;IF(AND(BK716=0,OR(BT716=1,V716&lt;&gt;"",S716&lt;&gt;"",T716&lt;&gt;"",W716&lt;&gt;"")),"manuell übersteuert; ","")&amp;IF(AND(BO716=0,Q716=0),"Gebinde unbekannt; ","")&amp;IF(AND(BO716=0,N(T716)&lt;=0,N(P716)&lt;=0),"Menge pro Gebinde fehlt (Ist = 1 Gebinde); ","")&amp;BJ716)</f>
        <v/>
      </c>
      <c r="BC716" s="53" t="n"/>
      <c r="BD716" s="53" t="n"/>
      <c r="BE716" s="61" t="n"/>
      <c r="BF716" s="55" t="n">
        <v>0</v>
      </c>
      <c r="BG716" s="55" t="n">
        <v>0</v>
      </c>
      <c r="BH716" s="54" t="n">
        <v>0</v>
      </c>
      <c r="BI716" s="55" t="n">
        <v>0</v>
      </c>
      <c r="BJ716" s="53" t="inlineStr"/>
      <c r="BK716" s="58" t="n">
        <v>0</v>
      </c>
      <c r="BL716" s="58" t="n">
        <v>716</v>
      </c>
      <c r="BM716" s="53">
        <f>IF(S716&lt;&gt;"",UPPER(TRIM(S716)),IF(O716="","LOSE",O716))</f>
        <v/>
      </c>
      <c r="BN716" s="55">
        <f>IF(BM716="LOSE",1,IF(N(T716)&gt;0,T716,IF(N(P716)&gt;0,P716,MAX(1,G716))))</f>
        <v/>
      </c>
      <c r="BO716" s="58">
        <f>IF(BM716="LOSE",1,0)</f>
        <v/>
      </c>
      <c r="BP716" s="64">
        <f>IF(BO716=0,0,IF(N(R716)&gt;0,R716,IFERROR(VLOOKUP(D716,Parameter!$A$35:$C$64,3,0)+0,0)))</f>
        <v/>
      </c>
      <c r="BQ716" s="53">
        <f>IF(V716&lt;&gt;"",V716,U716)</f>
        <v/>
      </c>
      <c r="BR716" s="53">
        <f>IF(BQ716=1,"L1",IF(OR(BQ716=2,BQ716=3),"L23",IF(BQ716="Aussen","Aussen","-")))</f>
        <v/>
      </c>
      <c r="BS716" s="66">
        <f>IF(N(W716)&gt;0,W716,0)</f>
        <v/>
      </c>
      <c r="BT716" s="58">
        <f>IF(ISNUMBER(Z716),1,0)</f>
        <v/>
      </c>
      <c r="BU716" s="55">
        <f>N(Z716)</f>
        <v/>
      </c>
      <c r="BV716" s="55">
        <f>N(L716)+N(M716)</f>
        <v/>
      </c>
      <c r="BW716" s="55">
        <f>ROUNDUP(G716/BN716,0)</f>
        <v/>
      </c>
      <c r="BX716" s="55">
        <f>ROUNDUP(BU716/BN716,0)</f>
        <v/>
      </c>
      <c r="BY716" s="58">
        <f>IF(BO716=1,0,IFERROR(VLOOKUP(BM716,'Gebinde-Kategorie'!$A$5:$G$45,5,0)+0,0))</f>
        <v/>
      </c>
      <c r="BZ716" s="58">
        <f>IFERROR(IF(OR(BQ716=1,BQ716=2,BQ716=3),N(INDEX(Parameter!$I$5:$I$7,BQ716)),0),0)</f>
        <v/>
      </c>
    </row>
    <row r="717">
      <c r="A717" s="53" t="inlineStr">
        <is>
          <t>104238</t>
        </is>
      </c>
      <c r="B717" s="53" t="inlineStr">
        <is>
          <t>Steckerset (Kabel Kundenseitig)</t>
        </is>
      </c>
      <c r="C717" s="53" t="inlineStr">
        <is>
          <t>F</t>
        </is>
      </c>
      <c r="D717" s="53" t="inlineStr">
        <is>
          <t>A-BEZ</t>
        </is>
      </c>
      <c r="E717" s="53" t="inlineStr">
        <is>
          <t>C</t>
        </is>
      </c>
      <c r="F717" s="54" t="n">
        <v>161.1</v>
      </c>
      <c r="G717" s="55">
        <f>MAX(0,IF(Parameter!$B$20="Jahresanfang 2025 + Export",BG717+BF717,BF717))</f>
        <v/>
      </c>
      <c r="H717" s="55">
        <f>G717*F717</f>
        <v/>
      </c>
      <c r="I717" s="55">
        <f>BI717*Parameter!$B$18</f>
        <v/>
      </c>
      <c r="J717" s="56" t="n">
        <v>0.5</v>
      </c>
      <c r="K717" s="57" t="n">
        <v>0</v>
      </c>
      <c r="L717" s="55" t="n">
        <v>0</v>
      </c>
      <c r="M717" s="55" t="n">
        <v>1</v>
      </c>
      <c r="N717" s="58" t="n">
        <v>7</v>
      </c>
      <c r="O717" s="53" t="inlineStr">
        <is>
          <t>LOSE</t>
        </is>
      </c>
      <c r="P717" s="55" t="n"/>
      <c r="Q717" s="59">
        <f>IF(BO717=1,0,IFERROR(VLOOKUP(BM717,'Gebinde-Kategorie'!$A$5:$G$45,6,0)+0,0))</f>
        <v/>
      </c>
      <c r="R717" s="60" t="n"/>
      <c r="S717" s="61" t="n"/>
      <c r="T717" s="61" t="n"/>
      <c r="U717" s="53">
        <f>IF(A717="","",IF(IFERROR(VLOOKUP(D717,Parameter!$A$35:$C$64,2,0),"Nein")="2+3",IF(ISNUMBER(SEARCH("grosser Artikel",BJ717)),2,IFERROR(VLOOKUP(BM717,Parameter!$F$35:$G$64,2,0),2)),IF(OR(IFERROR(VLOOKUP(D717,Parameter!$A$35:$C$64,2,0),"Nein")="Nein",IFERROR(VLOOKUP(D717,Parameter!$A$35:$C$64,2,0),"Nein")=""),"-",VLOOKUP(D717,Parameter!$A$35:$C$64,2,0))))</f>
        <v/>
      </c>
      <c r="V717" s="61" t="n"/>
      <c r="W717" s="62" t="n"/>
      <c r="X717" s="55">
        <f>AM717</f>
        <v/>
      </c>
      <c r="Y717" s="55">
        <f>MAX(AM717,G717)</f>
        <v/>
      </c>
      <c r="Z717" s="63" t="n"/>
      <c r="AA717" s="55">
        <f>IF(LEFT(Cockpit!$C$5,1)="A",G717,IF(BT717=1,BU717,IF(LEFT(Cockpit!$C$5,1)="B",AE717,MAX(AE717,G717))))</f>
        <v/>
      </c>
      <c r="AB717" s="55">
        <f>IF(BO717=1,0,ROUNDUP(AA717/BN717,0))</f>
        <v/>
      </c>
      <c r="AC717" s="64">
        <f>IF(BO717=1,IF(AA717&lt;=0,0,BP717*MAX(1,IF(G717&gt;0,AA717/G717,1))),AB717*Q717)</f>
        <v/>
      </c>
      <c r="AD717" s="55">
        <f>AA717*F717</f>
        <v/>
      </c>
      <c r="AE717" s="55">
        <f>ROUNDUP(MAX(I717/IF(BS717&gt;0,BS717,MAX(0.1,N(Cockpit!$C$6))),BV717)/BN717,0)*BN717</f>
        <v/>
      </c>
      <c r="AF717" s="56">
        <f>IF(AC717&gt;0,I717/AC717,-1)</f>
        <v/>
      </c>
      <c r="AG717" s="56">
        <f>IF(AND(OR(BR717="L1",BR717="L23"),AC717&gt;0),SUMIFS($AC$7:$AC$1570,$BR$7:$BR$1570,BR717,$AF$7:$AF$1570,"&gt;"&amp;AF717)+SUMIFS($AC$7:$AC$1570,$BR$7:$BR$1570,BR717,$AF$7:$AF$1570,AF717,$BL$7:$BL$1570,"&lt;="&amp;BL717),"")</f>
        <v/>
      </c>
      <c r="AH717" s="65">
        <f>IF(AG717="",0,MAX(0,MIN(1,(IF(BR717="L1",Parameter!$K$5,Parameter!$K$6+Parameter!$K$7)-(AG717-AC717))/AC717)))</f>
        <v/>
      </c>
      <c r="AI717" s="55">
        <f>IF(LEFT(Cockpit!$I$5,1)="A",G717,IF(BT717=1,BU717,IF(LEFT(Cockpit!$I$5,1)="B",AM717,MAX(AM717,G717))))</f>
        <v/>
      </c>
      <c r="AJ717" s="55">
        <f>IF(BO717=1,0,ROUNDUP(AI717/BN717,0))</f>
        <v/>
      </c>
      <c r="AK717" s="64">
        <f>IF(BO717=1,IF(AI717&lt;=0,0,BP717*MAX(1,IF(G717&gt;0,AI717/G717,1))),AJ717*Q717)</f>
        <v/>
      </c>
      <c r="AL717" s="55">
        <f>AI717*F717</f>
        <v/>
      </c>
      <c r="AM717" s="55">
        <f>ROUNDUP(MAX(I717/IF(BS717&gt;0,BS717,MAX(0.1,N(Cockpit!$I$6))),BV717)/BN717,0)*BN717</f>
        <v/>
      </c>
      <c r="AN717" s="56">
        <f>IF(AK717&gt;0,I717/AK717,-1)</f>
        <v/>
      </c>
      <c r="AO717" s="56">
        <f>IF(AND(OR(BR717="L1",BR717="L23"),AK717&gt;0),SUMIFS($AK$7:$AK$1570,$BR$7:$BR$1570,BR717,$AN$7:$AN$1570,"&gt;"&amp;AN717)+SUMIFS($AK$7:$AK$1570,$BR$7:$BR$1570,BR717,$AN$7:$AN$1570,AN717,$BL$7:$BL$1570,"&lt;="&amp;BL717),"")</f>
        <v/>
      </c>
      <c r="AP717" s="65">
        <f>IF(AO717="",0,MAX(0,MIN(1,(IF(BR717="L1",Parameter!$K$5,Parameter!$K$6+Parameter!$K$7)-(AO717-AK717))/AK717)))</f>
        <v/>
      </c>
      <c r="AQ717" s="55">
        <f>IF(LEFT(Cockpit!$O$5,1)="A",G717,IF(BT717=1,BU717,IF(LEFT(Cockpit!$O$5,1)="B",AU717,MAX(AU717,G717))))</f>
        <v/>
      </c>
      <c r="AR717" s="55">
        <f>IF(BO717=1,0,ROUNDUP(AQ717/BN717,0))</f>
        <v/>
      </c>
      <c r="AS717" s="64">
        <f>IF(BO717=1,IF(AQ717&lt;=0,0,BP717*MAX(1,IF(G717&gt;0,AQ717/G717,1))),AR717*Q717)</f>
        <v/>
      </c>
      <c r="AT717" s="55">
        <f>AQ717*F717</f>
        <v/>
      </c>
      <c r="AU717" s="55">
        <f>ROUNDUP(MAX(I717/IF(BS717&gt;0,BS717,MAX(0.1,N(Cockpit!$O$6))),BV717)/BN717,0)*BN717</f>
        <v/>
      </c>
      <c r="AV717" s="56">
        <f>IF(AS717&gt;0,I717/AS717,-1)</f>
        <v/>
      </c>
      <c r="AW717" s="56">
        <f>IF(AND(OR(BR717="L1",BR717="L23"),AS717&gt;0),SUMIFS($AS$7:$AS$1570,$BR$7:$BR$1570,BR717,$AV$7:$AV$1570,"&gt;"&amp;AV717)+SUMIFS($AS$7:$AS$1570,$BR$7:$BR$1570,BR717,$AV$7:$AV$1570,AV717,$BL$7:$BL$1570,"&lt;="&amp;BL717),"")</f>
        <v/>
      </c>
      <c r="AX717" s="65">
        <f>IF(AW717="",0,MAX(0,MIN(1,(IF(BR717="L1",Parameter!$K$5,Parameter!$K$6+Parameter!$K$7)-(AW717-AS717))/AS717)))</f>
        <v/>
      </c>
      <c r="AY717" s="53">
        <f>IF(AC717&lt;=0,"",IF(BR717="Aussen","Aussenlager",IF(BR717="-","Nicht im Lift",IF(AH717&gt;=1,"Lift",IF(AH717&lt;=0,"Aussenlager","teilweise")))))</f>
        <v/>
      </c>
      <c r="AZ717" s="53">
        <f>IF(AK717&lt;=0,"",IF(BR717="Aussen","Aussenlager",IF(BR717="-","Nicht im Lift",IF(AP717&gt;=1,"Lift",IF(AP717&lt;=0,"Aussenlager","teilweise")))))</f>
        <v/>
      </c>
      <c r="BA717" s="53">
        <f>IF(AS717&lt;=0,"",IF(BR717="Aussen","Aussenlager",IF(BR717="-","Nicht im Lift",IF(AX717&gt;=1,"Lift",IF(AX717&lt;=0,"Aussenlager","teilweise")))))</f>
        <v/>
      </c>
      <c r="BB717" s="53">
        <f>IF(A717="","",IF(BK717=1,"Neu; ","")&amp;IF(AND(BK717=0,BF717&lt;0),"negativer Bestand (Export "&amp;BF717&amp;"); ","")&amp;IF(I717&lt;=0,"Kein Verbrauch; ","")&amp;IF(BO717=1,"Lose – Fläche geschätzt; ","")&amp;IF(G717&gt;AM717,"Überbestand "&amp;ROUND(G717-AM717,0)&amp;" Stk / CHF "&amp;ROUND((G717-AM717)*F717,0)&amp;"; ","")&amp;IF(AND(BT717=1,BU717&lt;BV717),"MAX &lt; MB+LG; ","")&amp;IF(AND(BZ717&gt;0,BY717*10&gt;BZ717),"zu hoch für Tablar; ","")&amp;IF(AND(BK717=0,OR(BT717=1,V717&lt;&gt;"",S717&lt;&gt;"",T717&lt;&gt;"",W717&lt;&gt;"")),"manuell übersteuert; ","")&amp;IF(AND(BO717=0,Q717=0),"Gebinde unbekannt; ","")&amp;IF(AND(BO717=0,N(T717)&lt;=0,N(P717)&lt;=0),"Menge pro Gebinde fehlt (Ist = 1 Gebinde); ","")&amp;BJ717)</f>
        <v/>
      </c>
      <c r="BC717" s="53" t="n"/>
      <c r="BD717" s="53" t="n"/>
      <c r="BE717" s="61" t="n"/>
      <c r="BF717" s="55" t="n">
        <v>0</v>
      </c>
      <c r="BG717" s="55" t="n">
        <v>0</v>
      </c>
      <c r="BH717" s="54" t="n">
        <v>0</v>
      </c>
      <c r="BI717" s="55" t="n">
        <v>0</v>
      </c>
      <c r="BJ717" s="53" t="inlineStr"/>
      <c r="BK717" s="58" t="n">
        <v>0</v>
      </c>
      <c r="BL717" s="58" t="n">
        <v>717</v>
      </c>
      <c r="BM717" s="53">
        <f>IF(S717&lt;&gt;"",UPPER(TRIM(S717)),IF(O717="","LOSE",O717))</f>
        <v/>
      </c>
      <c r="BN717" s="55">
        <f>IF(BM717="LOSE",1,IF(N(T717)&gt;0,T717,IF(N(P717)&gt;0,P717,MAX(1,G717))))</f>
        <v/>
      </c>
      <c r="BO717" s="58">
        <f>IF(BM717="LOSE",1,0)</f>
        <v/>
      </c>
      <c r="BP717" s="64">
        <f>IF(BO717=0,0,IF(N(R717)&gt;0,R717,IFERROR(VLOOKUP(D717,Parameter!$A$35:$C$64,3,0)+0,0)))</f>
        <v/>
      </c>
      <c r="BQ717" s="53">
        <f>IF(V717&lt;&gt;"",V717,U717)</f>
        <v/>
      </c>
      <c r="BR717" s="53">
        <f>IF(BQ717=1,"L1",IF(OR(BQ717=2,BQ717=3),"L23",IF(BQ717="Aussen","Aussen","-")))</f>
        <v/>
      </c>
      <c r="BS717" s="66">
        <f>IF(N(W717)&gt;0,W717,0)</f>
        <v/>
      </c>
      <c r="BT717" s="58">
        <f>IF(ISNUMBER(Z717),1,0)</f>
        <v/>
      </c>
      <c r="BU717" s="55">
        <f>N(Z717)</f>
        <v/>
      </c>
      <c r="BV717" s="55">
        <f>N(L717)+N(M717)</f>
        <v/>
      </c>
      <c r="BW717" s="55">
        <f>ROUNDUP(G717/BN717,0)</f>
        <v/>
      </c>
      <c r="BX717" s="55">
        <f>ROUNDUP(BU717/BN717,0)</f>
        <v/>
      </c>
      <c r="BY717" s="58">
        <f>IF(BO717=1,0,IFERROR(VLOOKUP(BM717,'Gebinde-Kategorie'!$A$5:$G$45,5,0)+0,0))</f>
        <v/>
      </c>
      <c r="BZ717" s="58">
        <f>IFERROR(IF(OR(BQ717=1,BQ717=2,BQ717=3),N(INDEX(Parameter!$I$5:$I$7,BQ717)),0),0)</f>
        <v/>
      </c>
    </row>
    <row r="718">
      <c r="A718" s="53" t="inlineStr">
        <is>
          <t>100152</t>
        </is>
      </c>
      <c r="B718" s="53" t="inlineStr">
        <is>
          <t>Typenschild</t>
        </is>
      </c>
      <c r="C718" s="53" t="inlineStr">
        <is>
          <t>F</t>
        </is>
      </c>
      <c r="D718" s="53" t="inlineStr">
        <is>
          <t>A-BEZ</t>
        </is>
      </c>
      <c r="E718" s="53" t="inlineStr">
        <is>
          <t>C</t>
        </is>
      </c>
      <c r="F718" s="54" t="n">
        <v>27.2</v>
      </c>
      <c r="G718" s="55">
        <f>MAX(0,IF(Parameter!$B$20="Jahresanfang 2025 + Export",BG718+BF718,BF718))</f>
        <v/>
      </c>
      <c r="H718" s="55">
        <f>G718*F718</f>
        <v/>
      </c>
      <c r="I718" s="55">
        <f>BI718*Parameter!$B$18</f>
        <v/>
      </c>
      <c r="J718" s="56" t="n">
        <v>0.5</v>
      </c>
      <c r="K718" s="57" t="n">
        <v>0</v>
      </c>
      <c r="L718" s="55" t="n">
        <v>0</v>
      </c>
      <c r="M718" s="55" t="n">
        <v>10</v>
      </c>
      <c r="N718" s="58" t="n">
        <v>28</v>
      </c>
      <c r="O718" s="53" t="inlineStr">
        <is>
          <t>LOSE</t>
        </is>
      </c>
      <c r="P718" s="55" t="n"/>
      <c r="Q718" s="59">
        <f>IF(BO718=1,0,IFERROR(VLOOKUP(BM718,'Gebinde-Kategorie'!$A$5:$G$45,6,0)+0,0))</f>
        <v/>
      </c>
      <c r="R718" s="60" t="n"/>
      <c r="S718" s="61" t="n"/>
      <c r="T718" s="61" t="n"/>
      <c r="U718" s="53">
        <f>IF(A718="","",IF(IFERROR(VLOOKUP(D718,Parameter!$A$35:$C$64,2,0),"Nein")="2+3",IF(ISNUMBER(SEARCH("grosser Artikel",BJ718)),2,IFERROR(VLOOKUP(BM718,Parameter!$F$35:$G$64,2,0),2)),IF(OR(IFERROR(VLOOKUP(D718,Parameter!$A$35:$C$64,2,0),"Nein")="Nein",IFERROR(VLOOKUP(D718,Parameter!$A$35:$C$64,2,0),"Nein")=""),"-",VLOOKUP(D718,Parameter!$A$35:$C$64,2,0))))</f>
        <v/>
      </c>
      <c r="V718" s="61" t="n"/>
      <c r="W718" s="62" t="n"/>
      <c r="X718" s="55">
        <f>AM718</f>
        <v/>
      </c>
      <c r="Y718" s="55">
        <f>MAX(AM718,G718)</f>
        <v/>
      </c>
      <c r="Z718" s="63" t="n"/>
      <c r="AA718" s="55">
        <f>IF(LEFT(Cockpit!$C$5,1)="A",G718,IF(BT718=1,BU718,IF(LEFT(Cockpit!$C$5,1)="B",AE718,MAX(AE718,G718))))</f>
        <v/>
      </c>
      <c r="AB718" s="55">
        <f>IF(BO718=1,0,ROUNDUP(AA718/BN718,0))</f>
        <v/>
      </c>
      <c r="AC718" s="64">
        <f>IF(BO718=1,IF(AA718&lt;=0,0,BP718*MAX(1,IF(G718&gt;0,AA718/G718,1))),AB718*Q718)</f>
        <v/>
      </c>
      <c r="AD718" s="55">
        <f>AA718*F718</f>
        <v/>
      </c>
      <c r="AE718" s="55">
        <f>ROUNDUP(MAX(I718/IF(BS718&gt;0,BS718,MAX(0.1,N(Cockpit!$C$6))),BV718)/BN718,0)*BN718</f>
        <v/>
      </c>
      <c r="AF718" s="56">
        <f>IF(AC718&gt;0,I718/AC718,-1)</f>
        <v/>
      </c>
      <c r="AG718" s="56">
        <f>IF(AND(OR(BR718="L1",BR718="L23"),AC718&gt;0),SUMIFS($AC$7:$AC$1570,$BR$7:$BR$1570,BR718,$AF$7:$AF$1570,"&gt;"&amp;AF718)+SUMIFS($AC$7:$AC$1570,$BR$7:$BR$1570,BR718,$AF$7:$AF$1570,AF718,$BL$7:$BL$1570,"&lt;="&amp;BL718),"")</f>
        <v/>
      </c>
      <c r="AH718" s="65">
        <f>IF(AG718="",0,MAX(0,MIN(1,(IF(BR718="L1",Parameter!$K$5,Parameter!$K$6+Parameter!$K$7)-(AG718-AC718))/AC718)))</f>
        <v/>
      </c>
      <c r="AI718" s="55">
        <f>IF(LEFT(Cockpit!$I$5,1)="A",G718,IF(BT718=1,BU718,IF(LEFT(Cockpit!$I$5,1)="B",AM718,MAX(AM718,G718))))</f>
        <v/>
      </c>
      <c r="AJ718" s="55">
        <f>IF(BO718=1,0,ROUNDUP(AI718/BN718,0))</f>
        <v/>
      </c>
      <c r="AK718" s="64">
        <f>IF(BO718=1,IF(AI718&lt;=0,0,BP718*MAX(1,IF(G718&gt;0,AI718/G718,1))),AJ718*Q718)</f>
        <v/>
      </c>
      <c r="AL718" s="55">
        <f>AI718*F718</f>
        <v/>
      </c>
      <c r="AM718" s="55">
        <f>ROUNDUP(MAX(I718/IF(BS718&gt;0,BS718,MAX(0.1,N(Cockpit!$I$6))),BV718)/BN718,0)*BN718</f>
        <v/>
      </c>
      <c r="AN718" s="56">
        <f>IF(AK718&gt;0,I718/AK718,-1)</f>
        <v/>
      </c>
      <c r="AO718" s="56">
        <f>IF(AND(OR(BR718="L1",BR718="L23"),AK718&gt;0),SUMIFS($AK$7:$AK$1570,$BR$7:$BR$1570,BR718,$AN$7:$AN$1570,"&gt;"&amp;AN718)+SUMIFS($AK$7:$AK$1570,$BR$7:$BR$1570,BR718,$AN$7:$AN$1570,AN718,$BL$7:$BL$1570,"&lt;="&amp;BL718),"")</f>
        <v/>
      </c>
      <c r="AP718" s="65">
        <f>IF(AO718="",0,MAX(0,MIN(1,(IF(BR718="L1",Parameter!$K$5,Parameter!$K$6+Parameter!$K$7)-(AO718-AK718))/AK718)))</f>
        <v/>
      </c>
      <c r="AQ718" s="55">
        <f>IF(LEFT(Cockpit!$O$5,1)="A",G718,IF(BT718=1,BU718,IF(LEFT(Cockpit!$O$5,1)="B",AU718,MAX(AU718,G718))))</f>
        <v/>
      </c>
      <c r="AR718" s="55">
        <f>IF(BO718=1,0,ROUNDUP(AQ718/BN718,0))</f>
        <v/>
      </c>
      <c r="AS718" s="64">
        <f>IF(BO718=1,IF(AQ718&lt;=0,0,BP718*MAX(1,IF(G718&gt;0,AQ718/G718,1))),AR718*Q718)</f>
        <v/>
      </c>
      <c r="AT718" s="55">
        <f>AQ718*F718</f>
        <v/>
      </c>
      <c r="AU718" s="55">
        <f>ROUNDUP(MAX(I718/IF(BS718&gt;0,BS718,MAX(0.1,N(Cockpit!$O$6))),BV718)/BN718,0)*BN718</f>
        <v/>
      </c>
      <c r="AV718" s="56">
        <f>IF(AS718&gt;0,I718/AS718,-1)</f>
        <v/>
      </c>
      <c r="AW718" s="56">
        <f>IF(AND(OR(BR718="L1",BR718="L23"),AS718&gt;0),SUMIFS($AS$7:$AS$1570,$BR$7:$BR$1570,BR718,$AV$7:$AV$1570,"&gt;"&amp;AV718)+SUMIFS($AS$7:$AS$1570,$BR$7:$BR$1570,BR718,$AV$7:$AV$1570,AV718,$BL$7:$BL$1570,"&lt;="&amp;BL718),"")</f>
        <v/>
      </c>
      <c r="AX718" s="65">
        <f>IF(AW718="",0,MAX(0,MIN(1,(IF(BR718="L1",Parameter!$K$5,Parameter!$K$6+Parameter!$K$7)-(AW718-AS718))/AS718)))</f>
        <v/>
      </c>
      <c r="AY718" s="53">
        <f>IF(AC718&lt;=0,"",IF(BR718="Aussen","Aussenlager",IF(BR718="-","Nicht im Lift",IF(AH718&gt;=1,"Lift",IF(AH718&lt;=0,"Aussenlager","teilweise")))))</f>
        <v/>
      </c>
      <c r="AZ718" s="53">
        <f>IF(AK718&lt;=0,"",IF(BR718="Aussen","Aussenlager",IF(BR718="-","Nicht im Lift",IF(AP718&gt;=1,"Lift",IF(AP718&lt;=0,"Aussenlager","teilweise")))))</f>
        <v/>
      </c>
      <c r="BA718" s="53">
        <f>IF(AS718&lt;=0,"",IF(BR718="Aussen","Aussenlager",IF(BR718="-","Nicht im Lift",IF(AX718&gt;=1,"Lift",IF(AX718&lt;=0,"Aussenlager","teilweise")))))</f>
        <v/>
      </c>
      <c r="BB718" s="53">
        <f>IF(A718="","",IF(BK718=1,"Neu; ","")&amp;IF(AND(BK718=0,BF718&lt;0),"negativer Bestand (Export "&amp;BF718&amp;"); ","")&amp;IF(I718&lt;=0,"Kein Verbrauch; ","")&amp;IF(BO718=1,"Lose – Fläche geschätzt; ","")&amp;IF(G718&gt;AM718,"Überbestand "&amp;ROUND(G718-AM718,0)&amp;" Stk / CHF "&amp;ROUND((G718-AM718)*F718,0)&amp;"; ","")&amp;IF(AND(BT718=1,BU718&lt;BV718),"MAX &lt; MB+LG; ","")&amp;IF(AND(BZ718&gt;0,BY718*10&gt;BZ718),"zu hoch für Tablar; ","")&amp;IF(AND(BK718=0,OR(BT718=1,V718&lt;&gt;"",S718&lt;&gt;"",T718&lt;&gt;"",W718&lt;&gt;"")),"manuell übersteuert; ","")&amp;IF(AND(BO718=0,Q718=0),"Gebinde unbekannt; ","")&amp;IF(AND(BO718=0,N(T718)&lt;=0,N(P718)&lt;=0),"Menge pro Gebinde fehlt (Ist = 1 Gebinde); ","")&amp;BJ718)</f>
        <v/>
      </c>
      <c r="BC718" s="53" t="n"/>
      <c r="BD718" s="53" t="n"/>
      <c r="BE718" s="61" t="n"/>
      <c r="BF718" s="55" t="n">
        <v>1</v>
      </c>
      <c r="BG718" s="55" t="n">
        <v>0</v>
      </c>
      <c r="BH718" s="54" t="n">
        <v>0</v>
      </c>
      <c r="BI718" s="55" t="n">
        <v>0</v>
      </c>
      <c r="BJ718" s="53" t="inlineStr"/>
      <c r="BK718" s="58" t="n">
        <v>0</v>
      </c>
      <c r="BL718" s="58" t="n">
        <v>718</v>
      </c>
      <c r="BM718" s="53">
        <f>IF(S718&lt;&gt;"",UPPER(TRIM(S718)),IF(O718="","LOSE",O718))</f>
        <v/>
      </c>
      <c r="BN718" s="55">
        <f>IF(BM718="LOSE",1,IF(N(T718)&gt;0,T718,IF(N(P718)&gt;0,P718,MAX(1,G718))))</f>
        <v/>
      </c>
      <c r="BO718" s="58">
        <f>IF(BM718="LOSE",1,0)</f>
        <v/>
      </c>
      <c r="BP718" s="64">
        <f>IF(BO718=0,0,IF(N(R718)&gt;0,R718,IFERROR(VLOOKUP(D718,Parameter!$A$35:$C$64,3,0)+0,0)))</f>
        <v/>
      </c>
      <c r="BQ718" s="53">
        <f>IF(V718&lt;&gt;"",V718,U718)</f>
        <v/>
      </c>
      <c r="BR718" s="53">
        <f>IF(BQ718=1,"L1",IF(OR(BQ718=2,BQ718=3),"L23",IF(BQ718="Aussen","Aussen","-")))</f>
        <v/>
      </c>
      <c r="BS718" s="66">
        <f>IF(N(W718)&gt;0,W718,0)</f>
        <v/>
      </c>
      <c r="BT718" s="58">
        <f>IF(ISNUMBER(Z718),1,0)</f>
        <v/>
      </c>
      <c r="BU718" s="55">
        <f>N(Z718)</f>
        <v/>
      </c>
      <c r="BV718" s="55">
        <f>N(L718)+N(M718)</f>
        <v/>
      </c>
      <c r="BW718" s="55">
        <f>ROUNDUP(G718/BN718,0)</f>
        <v/>
      </c>
      <c r="BX718" s="55">
        <f>ROUNDUP(BU718/BN718,0)</f>
        <v/>
      </c>
      <c r="BY718" s="58">
        <f>IF(BO718=1,0,IFERROR(VLOOKUP(BM718,'Gebinde-Kategorie'!$A$5:$G$45,5,0)+0,0))</f>
        <v/>
      </c>
      <c r="BZ718" s="58">
        <f>IFERROR(IF(OR(BQ718=1,BQ718=2,BQ718=3),N(INDEX(Parameter!$I$5:$I$7,BQ718)),0),0)</f>
        <v/>
      </c>
    </row>
    <row r="719">
      <c r="A719" s="53" t="inlineStr">
        <is>
          <t>104474</t>
        </is>
      </c>
      <c r="B719" s="53" t="inlineStr">
        <is>
          <t>Sechskantmutter</t>
        </is>
      </c>
      <c r="C719" s="53" t="inlineStr">
        <is>
          <t>F</t>
        </is>
      </c>
      <c r="D719" s="53" t="inlineStr">
        <is>
          <t>KTL</t>
        </is>
      </c>
      <c r="E719" s="53" t="inlineStr">
        <is>
          <t>C</t>
        </is>
      </c>
      <c r="F719" s="54" t="n">
        <v>0.39</v>
      </c>
      <c r="G719" s="55">
        <f>MAX(0,IF(Parameter!$B$20="Jahresanfang 2025 + Export",BG719+BF719,BF719))</f>
        <v/>
      </c>
      <c r="H719" s="55">
        <f>G719*F719</f>
        <v/>
      </c>
      <c r="I719" s="55">
        <f>BI719*Parameter!$B$18</f>
        <v/>
      </c>
      <c r="J719" s="56" t="n">
        <v>21</v>
      </c>
      <c r="K719" s="57" t="n">
        <v>0.09523809523809523</v>
      </c>
      <c r="L719" s="55" t="n">
        <v>0</v>
      </c>
      <c r="M719" s="55" t="n">
        <v>1</v>
      </c>
      <c r="N719" s="58" t="n">
        <v>21</v>
      </c>
      <c r="O719" s="53" t="inlineStr">
        <is>
          <t>S21</t>
        </is>
      </c>
      <c r="P719" s="55" t="n">
        <v>36</v>
      </c>
      <c r="Q719" s="59">
        <f>IF(BO719=1,0,IFERROR(VLOOKUP(BM719,'Gebinde-Kategorie'!$A$5:$G$45,6,0)+0,0))</f>
        <v/>
      </c>
      <c r="R719" s="60" t="n"/>
      <c r="S719" s="61" t="n"/>
      <c r="T719" s="61" t="n"/>
      <c r="U719" s="53">
        <f>IF(A719="","",IF(IFERROR(VLOOKUP(D719,Parameter!$A$35:$C$64,2,0),"Nein")="2+3",IF(ISNUMBER(SEARCH("grosser Artikel",BJ719)),2,IFERROR(VLOOKUP(BM719,Parameter!$F$35:$G$64,2,0),2)),IF(OR(IFERROR(VLOOKUP(D719,Parameter!$A$35:$C$64,2,0),"Nein")="Nein",IFERROR(VLOOKUP(D719,Parameter!$A$35:$C$64,2,0),"Nein")=""),"-",VLOOKUP(D719,Parameter!$A$35:$C$64,2,0))))</f>
        <v/>
      </c>
      <c r="V719" s="61" t="n"/>
      <c r="W719" s="62" t="n"/>
      <c r="X719" s="55">
        <f>AM719</f>
        <v/>
      </c>
      <c r="Y719" s="55">
        <f>MAX(AM719,G719)</f>
        <v/>
      </c>
      <c r="Z719" s="63" t="n"/>
      <c r="AA719" s="55">
        <f>IF(LEFT(Cockpit!$C$5,1)="A",G719,IF(BT719=1,BU719,IF(LEFT(Cockpit!$C$5,1)="B",AE719,MAX(AE719,G719))))</f>
        <v/>
      </c>
      <c r="AB719" s="55">
        <f>IF(BO719=1,0,ROUNDUP(AA719/BN719,0))</f>
        <v/>
      </c>
      <c r="AC719" s="64">
        <f>IF(BO719=1,IF(AA719&lt;=0,0,BP719*MAX(1,IF(G719&gt;0,AA719/G719,1))),AB719*Q719)</f>
        <v/>
      </c>
      <c r="AD719" s="55">
        <f>AA719*F719</f>
        <v/>
      </c>
      <c r="AE719" s="55">
        <f>ROUNDUP(MAX(I719/IF(BS719&gt;0,BS719,MAX(0.1,N(Cockpit!$C$6))),BV719)/BN719,0)*BN719</f>
        <v/>
      </c>
      <c r="AF719" s="56">
        <f>IF(AC719&gt;0,I719/AC719,-1)</f>
        <v/>
      </c>
      <c r="AG719" s="56">
        <f>IF(AND(OR(BR719="L1",BR719="L23"),AC719&gt;0),SUMIFS($AC$7:$AC$1570,$BR$7:$BR$1570,BR719,$AF$7:$AF$1570,"&gt;"&amp;AF719)+SUMIFS($AC$7:$AC$1570,$BR$7:$BR$1570,BR719,$AF$7:$AF$1570,AF719,$BL$7:$BL$1570,"&lt;="&amp;BL719),"")</f>
        <v/>
      </c>
      <c r="AH719" s="65">
        <f>IF(AG719="",0,MAX(0,MIN(1,(IF(BR719="L1",Parameter!$K$5,Parameter!$K$6+Parameter!$K$7)-(AG719-AC719))/AC719)))</f>
        <v/>
      </c>
      <c r="AI719" s="55">
        <f>IF(LEFT(Cockpit!$I$5,1)="A",G719,IF(BT719=1,BU719,IF(LEFT(Cockpit!$I$5,1)="B",AM719,MAX(AM719,G719))))</f>
        <v/>
      </c>
      <c r="AJ719" s="55">
        <f>IF(BO719=1,0,ROUNDUP(AI719/BN719,0))</f>
        <v/>
      </c>
      <c r="AK719" s="64">
        <f>IF(BO719=1,IF(AI719&lt;=0,0,BP719*MAX(1,IF(G719&gt;0,AI719/G719,1))),AJ719*Q719)</f>
        <v/>
      </c>
      <c r="AL719" s="55">
        <f>AI719*F719</f>
        <v/>
      </c>
      <c r="AM719" s="55">
        <f>ROUNDUP(MAX(I719/IF(BS719&gt;0,BS719,MAX(0.1,N(Cockpit!$I$6))),BV719)/BN719,0)*BN719</f>
        <v/>
      </c>
      <c r="AN719" s="56">
        <f>IF(AK719&gt;0,I719/AK719,-1)</f>
        <v/>
      </c>
      <c r="AO719" s="56">
        <f>IF(AND(OR(BR719="L1",BR719="L23"),AK719&gt;0),SUMIFS($AK$7:$AK$1570,$BR$7:$BR$1570,BR719,$AN$7:$AN$1570,"&gt;"&amp;AN719)+SUMIFS($AK$7:$AK$1570,$BR$7:$BR$1570,BR719,$AN$7:$AN$1570,AN719,$BL$7:$BL$1570,"&lt;="&amp;BL719),"")</f>
        <v/>
      </c>
      <c r="AP719" s="65">
        <f>IF(AO719="",0,MAX(0,MIN(1,(IF(BR719="L1",Parameter!$K$5,Parameter!$K$6+Parameter!$K$7)-(AO719-AK719))/AK719)))</f>
        <v/>
      </c>
      <c r="AQ719" s="55">
        <f>IF(LEFT(Cockpit!$O$5,1)="A",G719,IF(BT719=1,BU719,IF(LEFT(Cockpit!$O$5,1)="B",AU719,MAX(AU719,G719))))</f>
        <v/>
      </c>
      <c r="AR719" s="55">
        <f>IF(BO719=1,0,ROUNDUP(AQ719/BN719,0))</f>
        <v/>
      </c>
      <c r="AS719" s="64">
        <f>IF(BO719=1,IF(AQ719&lt;=0,0,BP719*MAX(1,IF(G719&gt;0,AQ719/G719,1))),AR719*Q719)</f>
        <v/>
      </c>
      <c r="AT719" s="55">
        <f>AQ719*F719</f>
        <v/>
      </c>
      <c r="AU719" s="55">
        <f>ROUNDUP(MAX(I719/IF(BS719&gt;0,BS719,MAX(0.1,N(Cockpit!$O$6))),BV719)/BN719,0)*BN719</f>
        <v/>
      </c>
      <c r="AV719" s="56">
        <f>IF(AS719&gt;0,I719/AS719,-1)</f>
        <v/>
      </c>
      <c r="AW719" s="56">
        <f>IF(AND(OR(BR719="L1",BR719="L23"),AS719&gt;0),SUMIFS($AS$7:$AS$1570,$BR$7:$BR$1570,BR719,$AV$7:$AV$1570,"&gt;"&amp;AV719)+SUMIFS($AS$7:$AS$1570,$BR$7:$BR$1570,BR719,$AV$7:$AV$1570,AV719,$BL$7:$BL$1570,"&lt;="&amp;BL719),"")</f>
        <v/>
      </c>
      <c r="AX719" s="65">
        <f>IF(AW719="",0,MAX(0,MIN(1,(IF(BR719="L1",Parameter!$K$5,Parameter!$K$6+Parameter!$K$7)-(AW719-AS719))/AS719)))</f>
        <v/>
      </c>
      <c r="AY719" s="53">
        <f>IF(AC719&lt;=0,"",IF(BR719="Aussen","Aussenlager",IF(BR719="-","Nicht im Lift",IF(AH719&gt;=1,"Lift",IF(AH719&lt;=0,"Aussenlager","teilweise")))))</f>
        <v/>
      </c>
      <c r="AZ719" s="53">
        <f>IF(AK719&lt;=0,"",IF(BR719="Aussen","Aussenlager",IF(BR719="-","Nicht im Lift",IF(AP719&gt;=1,"Lift",IF(AP719&lt;=0,"Aussenlager","teilweise")))))</f>
        <v/>
      </c>
      <c r="BA719" s="53">
        <f>IF(AS719&lt;=0,"",IF(BR719="Aussen","Aussenlager",IF(BR719="-","Nicht im Lift",IF(AX719&gt;=1,"Lift",IF(AX719&lt;=0,"Aussenlager","teilweise")))))</f>
        <v/>
      </c>
      <c r="BB719" s="53">
        <f>IF(A719="","",IF(BK719=1,"Neu; ","")&amp;IF(AND(BK719=0,BF719&lt;0),"negativer Bestand (Export "&amp;BF719&amp;"); ","")&amp;IF(I719&lt;=0,"Kein Verbrauch; ","")&amp;IF(BO719=1,"Lose – Fläche geschätzt; ","")&amp;IF(G719&gt;AM719,"Überbestand "&amp;ROUND(G719-AM719,0)&amp;" Stk / CHF "&amp;ROUND((G719-AM719)*F719,0)&amp;"; ","")&amp;IF(AND(BT719=1,BU719&lt;BV719),"MAX &lt; MB+LG; ","")&amp;IF(AND(BZ719&gt;0,BY719*10&gt;BZ719),"zu hoch für Tablar; ","")&amp;IF(AND(BK719=0,OR(BT719=1,V719&lt;&gt;"",S719&lt;&gt;"",T719&lt;&gt;"",W719&lt;&gt;"")),"manuell übersteuert; ","")&amp;IF(AND(BO719=0,Q719=0),"Gebinde unbekannt; ","")&amp;IF(AND(BO719=0,N(T719)&lt;=0,N(P719)&lt;=0),"Menge pro Gebinde fehlt (Ist = 1 Gebinde); ","")&amp;BJ719)</f>
        <v/>
      </c>
      <c r="BC719" s="53" t="n"/>
      <c r="BD719" s="53" t="n"/>
      <c r="BE719" s="61" t="n"/>
      <c r="BF719" s="55" t="n">
        <v>0</v>
      </c>
      <c r="BG719" s="55" t="n">
        <v>22</v>
      </c>
      <c r="BH719" s="54" t="n">
        <v>0</v>
      </c>
      <c r="BI719" s="55" t="n">
        <v>2</v>
      </c>
      <c r="BJ719" s="53" t="inlineStr">
        <is>
          <t>Überbestand</t>
        </is>
      </c>
      <c r="BK719" s="58" t="n">
        <v>0</v>
      </c>
      <c r="BL719" s="58" t="n">
        <v>719</v>
      </c>
      <c r="BM719" s="53">
        <f>IF(S719&lt;&gt;"",UPPER(TRIM(S719)),IF(O719="","LOSE",O719))</f>
        <v/>
      </c>
      <c r="BN719" s="55">
        <f>IF(BM719="LOSE",1,IF(N(T719)&gt;0,T719,IF(N(P719)&gt;0,P719,MAX(1,G719))))</f>
        <v/>
      </c>
      <c r="BO719" s="58">
        <f>IF(BM719="LOSE",1,0)</f>
        <v/>
      </c>
      <c r="BP719" s="64">
        <f>IF(BO719=0,0,IF(N(R719)&gt;0,R719,IFERROR(VLOOKUP(D719,Parameter!$A$35:$C$64,3,0)+0,0)))</f>
        <v/>
      </c>
      <c r="BQ719" s="53">
        <f>IF(V719&lt;&gt;"",V719,U719)</f>
        <v/>
      </c>
      <c r="BR719" s="53">
        <f>IF(BQ719=1,"L1",IF(OR(BQ719=2,BQ719=3),"L23",IF(BQ719="Aussen","Aussen","-")))</f>
        <v/>
      </c>
      <c r="BS719" s="66">
        <f>IF(N(W719)&gt;0,W719,0)</f>
        <v/>
      </c>
      <c r="BT719" s="58">
        <f>IF(ISNUMBER(Z719),1,0)</f>
        <v/>
      </c>
      <c r="BU719" s="55">
        <f>N(Z719)</f>
        <v/>
      </c>
      <c r="BV719" s="55">
        <f>N(L719)+N(M719)</f>
        <v/>
      </c>
      <c r="BW719" s="55">
        <f>ROUNDUP(G719/BN719,0)</f>
        <v/>
      </c>
      <c r="BX719" s="55">
        <f>ROUNDUP(BU719/BN719,0)</f>
        <v/>
      </c>
      <c r="BY719" s="58">
        <f>IF(BO719=1,0,IFERROR(VLOOKUP(BM719,'Gebinde-Kategorie'!$A$5:$G$45,5,0)+0,0))</f>
        <v/>
      </c>
      <c r="BZ719" s="58">
        <f>IFERROR(IF(OR(BQ719=1,BQ719=2,BQ719=3),N(INDEX(Parameter!$I$5:$I$7,BQ719)),0),0)</f>
        <v/>
      </c>
    </row>
    <row r="720">
      <c r="A720" s="53" t="inlineStr">
        <is>
          <t>102835</t>
        </is>
      </c>
      <c r="B720" s="53" t="inlineStr">
        <is>
          <t>Typenschild</t>
        </is>
      </c>
      <c r="C720" s="53" t="inlineStr">
        <is>
          <t>F</t>
        </is>
      </c>
      <c r="D720" s="53" t="inlineStr">
        <is>
          <t>A-BEZ</t>
        </is>
      </c>
      <c r="E720" s="53" t="inlineStr">
        <is>
          <t>C</t>
        </is>
      </c>
      <c r="F720" s="54" t="n">
        <v>32.17</v>
      </c>
      <c r="G720" s="55">
        <f>MAX(0,IF(Parameter!$B$20="Jahresanfang 2025 + Export",BG720+BF720,BF720))</f>
        <v/>
      </c>
      <c r="H720" s="55">
        <f>G720*F720</f>
        <v/>
      </c>
      <c r="I720" s="55">
        <f>BI720*Parameter!$B$18</f>
        <v/>
      </c>
      <c r="J720" s="56" t="n">
        <v>2.5</v>
      </c>
      <c r="K720" s="57" t="n">
        <v>0</v>
      </c>
      <c r="L720" s="55" t="n">
        <v>0</v>
      </c>
      <c r="M720" s="55" t="n">
        <v>10</v>
      </c>
      <c r="N720" s="58" t="n">
        <v>28</v>
      </c>
      <c r="O720" s="53" t="inlineStr">
        <is>
          <t>LOSE</t>
        </is>
      </c>
      <c r="P720" s="55" t="n"/>
      <c r="Q720" s="59">
        <f>IF(BO720=1,0,IFERROR(VLOOKUP(BM720,'Gebinde-Kategorie'!$A$5:$G$45,6,0)+0,0))</f>
        <v/>
      </c>
      <c r="R720" s="60" t="n"/>
      <c r="S720" s="61" t="n"/>
      <c r="T720" s="61" t="n"/>
      <c r="U720" s="53">
        <f>IF(A720="","",IF(IFERROR(VLOOKUP(D720,Parameter!$A$35:$C$64,2,0),"Nein")="2+3",IF(ISNUMBER(SEARCH("grosser Artikel",BJ720)),2,IFERROR(VLOOKUP(BM720,Parameter!$F$35:$G$64,2,0),2)),IF(OR(IFERROR(VLOOKUP(D720,Parameter!$A$35:$C$64,2,0),"Nein")="Nein",IFERROR(VLOOKUP(D720,Parameter!$A$35:$C$64,2,0),"Nein")=""),"-",VLOOKUP(D720,Parameter!$A$35:$C$64,2,0))))</f>
        <v/>
      </c>
      <c r="V720" s="61" t="n"/>
      <c r="W720" s="62" t="n"/>
      <c r="X720" s="55">
        <f>AM720</f>
        <v/>
      </c>
      <c r="Y720" s="55">
        <f>MAX(AM720,G720)</f>
        <v/>
      </c>
      <c r="Z720" s="63" t="n"/>
      <c r="AA720" s="55">
        <f>IF(LEFT(Cockpit!$C$5,1)="A",G720,IF(BT720=1,BU720,IF(LEFT(Cockpit!$C$5,1)="B",AE720,MAX(AE720,G720))))</f>
        <v/>
      </c>
      <c r="AB720" s="55">
        <f>IF(BO720=1,0,ROUNDUP(AA720/BN720,0))</f>
        <v/>
      </c>
      <c r="AC720" s="64">
        <f>IF(BO720=1,IF(AA720&lt;=0,0,BP720*MAX(1,IF(G720&gt;0,AA720/G720,1))),AB720*Q720)</f>
        <v/>
      </c>
      <c r="AD720" s="55">
        <f>AA720*F720</f>
        <v/>
      </c>
      <c r="AE720" s="55">
        <f>ROUNDUP(MAX(I720/IF(BS720&gt;0,BS720,MAX(0.1,N(Cockpit!$C$6))),BV720)/BN720,0)*BN720</f>
        <v/>
      </c>
      <c r="AF720" s="56">
        <f>IF(AC720&gt;0,I720/AC720,-1)</f>
        <v/>
      </c>
      <c r="AG720" s="56">
        <f>IF(AND(OR(BR720="L1",BR720="L23"),AC720&gt;0),SUMIFS($AC$7:$AC$1570,$BR$7:$BR$1570,BR720,$AF$7:$AF$1570,"&gt;"&amp;AF720)+SUMIFS($AC$7:$AC$1570,$BR$7:$BR$1570,BR720,$AF$7:$AF$1570,AF720,$BL$7:$BL$1570,"&lt;="&amp;BL720),"")</f>
        <v/>
      </c>
      <c r="AH720" s="65">
        <f>IF(AG720="",0,MAX(0,MIN(1,(IF(BR720="L1",Parameter!$K$5,Parameter!$K$6+Parameter!$K$7)-(AG720-AC720))/AC720)))</f>
        <v/>
      </c>
      <c r="AI720" s="55">
        <f>IF(LEFT(Cockpit!$I$5,1)="A",G720,IF(BT720=1,BU720,IF(LEFT(Cockpit!$I$5,1)="B",AM720,MAX(AM720,G720))))</f>
        <v/>
      </c>
      <c r="AJ720" s="55">
        <f>IF(BO720=1,0,ROUNDUP(AI720/BN720,0))</f>
        <v/>
      </c>
      <c r="AK720" s="64">
        <f>IF(BO720=1,IF(AI720&lt;=0,0,BP720*MAX(1,IF(G720&gt;0,AI720/G720,1))),AJ720*Q720)</f>
        <v/>
      </c>
      <c r="AL720" s="55">
        <f>AI720*F720</f>
        <v/>
      </c>
      <c r="AM720" s="55">
        <f>ROUNDUP(MAX(I720/IF(BS720&gt;0,BS720,MAX(0.1,N(Cockpit!$I$6))),BV720)/BN720,0)*BN720</f>
        <v/>
      </c>
      <c r="AN720" s="56">
        <f>IF(AK720&gt;0,I720/AK720,-1)</f>
        <v/>
      </c>
      <c r="AO720" s="56">
        <f>IF(AND(OR(BR720="L1",BR720="L23"),AK720&gt;0),SUMIFS($AK$7:$AK$1570,$BR$7:$BR$1570,BR720,$AN$7:$AN$1570,"&gt;"&amp;AN720)+SUMIFS($AK$7:$AK$1570,$BR$7:$BR$1570,BR720,$AN$7:$AN$1570,AN720,$BL$7:$BL$1570,"&lt;="&amp;BL720),"")</f>
        <v/>
      </c>
      <c r="AP720" s="65">
        <f>IF(AO720="",0,MAX(0,MIN(1,(IF(BR720="L1",Parameter!$K$5,Parameter!$K$6+Parameter!$K$7)-(AO720-AK720))/AK720)))</f>
        <v/>
      </c>
      <c r="AQ720" s="55">
        <f>IF(LEFT(Cockpit!$O$5,1)="A",G720,IF(BT720=1,BU720,IF(LEFT(Cockpit!$O$5,1)="B",AU720,MAX(AU720,G720))))</f>
        <v/>
      </c>
      <c r="AR720" s="55">
        <f>IF(BO720=1,0,ROUNDUP(AQ720/BN720,0))</f>
        <v/>
      </c>
      <c r="AS720" s="64">
        <f>IF(BO720=1,IF(AQ720&lt;=0,0,BP720*MAX(1,IF(G720&gt;0,AQ720/G720,1))),AR720*Q720)</f>
        <v/>
      </c>
      <c r="AT720" s="55">
        <f>AQ720*F720</f>
        <v/>
      </c>
      <c r="AU720" s="55">
        <f>ROUNDUP(MAX(I720/IF(BS720&gt;0,BS720,MAX(0.1,N(Cockpit!$O$6))),BV720)/BN720,0)*BN720</f>
        <v/>
      </c>
      <c r="AV720" s="56">
        <f>IF(AS720&gt;0,I720/AS720,-1)</f>
        <v/>
      </c>
      <c r="AW720" s="56">
        <f>IF(AND(OR(BR720="L1",BR720="L23"),AS720&gt;0),SUMIFS($AS$7:$AS$1570,$BR$7:$BR$1570,BR720,$AV$7:$AV$1570,"&gt;"&amp;AV720)+SUMIFS($AS$7:$AS$1570,$BR$7:$BR$1570,BR720,$AV$7:$AV$1570,AV720,$BL$7:$BL$1570,"&lt;="&amp;BL720),"")</f>
        <v/>
      </c>
      <c r="AX720" s="65">
        <f>IF(AW720="",0,MAX(0,MIN(1,(IF(BR720="L1",Parameter!$K$5,Parameter!$K$6+Parameter!$K$7)-(AW720-AS720))/AS720)))</f>
        <v/>
      </c>
      <c r="AY720" s="53">
        <f>IF(AC720&lt;=0,"",IF(BR720="Aussen","Aussenlager",IF(BR720="-","Nicht im Lift",IF(AH720&gt;=1,"Lift",IF(AH720&lt;=0,"Aussenlager","teilweise")))))</f>
        <v/>
      </c>
      <c r="AZ720" s="53">
        <f>IF(AK720&lt;=0,"",IF(BR720="Aussen","Aussenlager",IF(BR720="-","Nicht im Lift",IF(AP720&gt;=1,"Lift",IF(AP720&lt;=0,"Aussenlager","teilweise")))))</f>
        <v/>
      </c>
      <c r="BA720" s="53">
        <f>IF(AS720&lt;=0,"",IF(BR720="Aussen","Aussenlager",IF(BR720="-","Nicht im Lift",IF(AX720&gt;=1,"Lift",IF(AX720&lt;=0,"Aussenlager","teilweise")))))</f>
        <v/>
      </c>
      <c r="BB720" s="53">
        <f>IF(A720="","",IF(BK720=1,"Neu; ","")&amp;IF(AND(BK720=0,BF720&lt;0),"negativer Bestand (Export "&amp;BF720&amp;"); ","")&amp;IF(I720&lt;=0,"Kein Verbrauch; ","")&amp;IF(BO720=1,"Lose – Fläche geschätzt; ","")&amp;IF(G720&gt;AM720,"Überbestand "&amp;ROUND(G720-AM720,0)&amp;" Stk / CHF "&amp;ROUND((G720-AM720)*F720,0)&amp;"; ","")&amp;IF(AND(BT720=1,BU720&lt;BV720),"MAX &lt; MB+LG; ","")&amp;IF(AND(BZ720&gt;0,BY720*10&gt;BZ720),"zu hoch für Tablar; ","")&amp;IF(AND(BK720=0,OR(BT720=1,V720&lt;&gt;"",S720&lt;&gt;"",T720&lt;&gt;"",W720&lt;&gt;"")),"manuell übersteuert; ","")&amp;IF(AND(BO720=0,Q720=0),"Gebinde unbekannt; ","")&amp;IF(AND(BO720=0,N(T720)&lt;=0,N(P720)&lt;=0),"Menge pro Gebinde fehlt (Ist = 1 Gebinde); ","")&amp;BJ720)</f>
        <v/>
      </c>
      <c r="BC720" s="53" t="n"/>
      <c r="BD720" s="53" t="n"/>
      <c r="BE720" s="61" t="n"/>
      <c r="BF720" s="55" t="n">
        <v>4</v>
      </c>
      <c r="BG720" s="55" t="n">
        <v>2</v>
      </c>
      <c r="BH720" s="54" t="n">
        <v>0</v>
      </c>
      <c r="BI720" s="55" t="n">
        <v>0</v>
      </c>
      <c r="BJ720" s="53" t="inlineStr"/>
      <c r="BK720" s="58" t="n">
        <v>0</v>
      </c>
      <c r="BL720" s="58" t="n">
        <v>720</v>
      </c>
      <c r="BM720" s="53">
        <f>IF(S720&lt;&gt;"",UPPER(TRIM(S720)),IF(O720="","LOSE",O720))</f>
        <v/>
      </c>
      <c r="BN720" s="55">
        <f>IF(BM720="LOSE",1,IF(N(T720)&gt;0,T720,IF(N(P720)&gt;0,P720,MAX(1,G720))))</f>
        <v/>
      </c>
      <c r="BO720" s="58">
        <f>IF(BM720="LOSE",1,0)</f>
        <v/>
      </c>
      <c r="BP720" s="64">
        <f>IF(BO720=0,0,IF(N(R720)&gt;0,R720,IFERROR(VLOOKUP(D720,Parameter!$A$35:$C$64,3,0)+0,0)))</f>
        <v/>
      </c>
      <c r="BQ720" s="53">
        <f>IF(V720&lt;&gt;"",V720,U720)</f>
        <v/>
      </c>
      <c r="BR720" s="53">
        <f>IF(BQ720=1,"L1",IF(OR(BQ720=2,BQ720=3),"L23",IF(BQ720="Aussen","Aussen","-")))</f>
        <v/>
      </c>
      <c r="BS720" s="66">
        <f>IF(N(W720)&gt;0,W720,0)</f>
        <v/>
      </c>
      <c r="BT720" s="58">
        <f>IF(ISNUMBER(Z720),1,0)</f>
        <v/>
      </c>
      <c r="BU720" s="55">
        <f>N(Z720)</f>
        <v/>
      </c>
      <c r="BV720" s="55">
        <f>N(L720)+N(M720)</f>
        <v/>
      </c>
      <c r="BW720" s="55">
        <f>ROUNDUP(G720/BN720,0)</f>
        <v/>
      </c>
      <c r="BX720" s="55">
        <f>ROUNDUP(BU720/BN720,0)</f>
        <v/>
      </c>
      <c r="BY720" s="58">
        <f>IF(BO720=1,0,IFERROR(VLOOKUP(BM720,'Gebinde-Kategorie'!$A$5:$G$45,5,0)+0,0))</f>
        <v/>
      </c>
      <c r="BZ720" s="58">
        <f>IFERROR(IF(OR(BQ720=1,BQ720=2,BQ720=3),N(INDEX(Parameter!$I$5:$I$7,BQ720)),0),0)</f>
        <v/>
      </c>
    </row>
    <row r="721">
      <c r="A721" s="53" t="inlineStr">
        <is>
          <t>103265</t>
        </is>
      </c>
      <c r="B721" s="53" t="inlineStr">
        <is>
          <t>Platte, vertikale Aufhängung EG10 Serie</t>
        </is>
      </c>
      <c r="C721" s="53" t="inlineStr">
        <is>
          <t>F</t>
        </is>
      </c>
      <c r="D721" s="53" t="inlineStr">
        <is>
          <t>PAL</t>
        </is>
      </c>
      <c r="E721" s="53" t="inlineStr">
        <is>
          <t>C</t>
        </is>
      </c>
      <c r="F721" s="54" t="n">
        <v>299</v>
      </c>
      <c r="G721" s="55">
        <f>MAX(0,IF(Parameter!$B$20="Jahresanfang 2025 + Export",BG721+BF721,BF721))</f>
        <v/>
      </c>
      <c r="H721" s="55">
        <f>G721*F721</f>
        <v/>
      </c>
      <c r="I721" s="55">
        <f>BI721*Parameter!$B$18</f>
        <v/>
      </c>
      <c r="J721" s="56" t="n">
        <v>0</v>
      </c>
      <c r="K721" s="57" t="n">
        <v>0</v>
      </c>
      <c r="L721" s="55" t="n">
        <v>0</v>
      </c>
      <c r="M721" s="55" t="n">
        <v>1</v>
      </c>
      <c r="N721" s="58" t="n">
        <v>28</v>
      </c>
      <c r="O721" s="53" t="inlineStr">
        <is>
          <t>S61</t>
        </is>
      </c>
      <c r="P721" s="55" t="n">
        <v>1</v>
      </c>
      <c r="Q721" s="59">
        <f>IF(BO721=1,0,IFERROR(VLOOKUP(BM721,'Gebinde-Kategorie'!$A$5:$G$45,6,0)+0,0))</f>
        <v/>
      </c>
      <c r="R721" s="60" t="n"/>
      <c r="S721" s="61" t="n"/>
      <c r="T721" s="61" t="n"/>
      <c r="U721" s="53">
        <f>IF(A721="","",IF(IFERROR(VLOOKUP(D721,Parameter!$A$35:$C$64,2,0),"Nein")="2+3",IF(ISNUMBER(SEARCH("grosser Artikel",BJ721)),2,IFERROR(VLOOKUP(BM721,Parameter!$F$35:$G$64,2,0),2)),IF(OR(IFERROR(VLOOKUP(D721,Parameter!$A$35:$C$64,2,0),"Nein")="Nein",IFERROR(VLOOKUP(D721,Parameter!$A$35:$C$64,2,0),"Nein")=""),"-",VLOOKUP(D721,Parameter!$A$35:$C$64,2,0))))</f>
        <v/>
      </c>
      <c r="V721" s="61" t="n"/>
      <c r="W721" s="62" t="n"/>
      <c r="X721" s="55">
        <f>AM721</f>
        <v/>
      </c>
      <c r="Y721" s="55">
        <f>MAX(AM721,G721)</f>
        <v/>
      </c>
      <c r="Z721" s="63" t="n"/>
      <c r="AA721" s="55">
        <f>IF(LEFT(Cockpit!$C$5,1)="A",G721,IF(BT721=1,BU721,IF(LEFT(Cockpit!$C$5,1)="B",AE721,MAX(AE721,G721))))</f>
        <v/>
      </c>
      <c r="AB721" s="55">
        <f>IF(BO721=1,0,ROUNDUP(AA721/BN721,0))</f>
        <v/>
      </c>
      <c r="AC721" s="64">
        <f>IF(BO721=1,IF(AA721&lt;=0,0,BP721*MAX(1,IF(G721&gt;0,AA721/G721,1))),AB721*Q721)</f>
        <v/>
      </c>
      <c r="AD721" s="55">
        <f>AA721*F721</f>
        <v/>
      </c>
      <c r="AE721" s="55">
        <f>ROUNDUP(MAX(I721/IF(BS721&gt;0,BS721,MAX(0.1,N(Cockpit!$C$6))),BV721)/BN721,0)*BN721</f>
        <v/>
      </c>
      <c r="AF721" s="56">
        <f>IF(AC721&gt;0,I721/AC721,-1)</f>
        <v/>
      </c>
      <c r="AG721" s="56">
        <f>IF(AND(OR(BR721="L1",BR721="L23"),AC721&gt;0),SUMIFS($AC$7:$AC$1570,$BR$7:$BR$1570,BR721,$AF$7:$AF$1570,"&gt;"&amp;AF721)+SUMIFS($AC$7:$AC$1570,$BR$7:$BR$1570,BR721,$AF$7:$AF$1570,AF721,$BL$7:$BL$1570,"&lt;="&amp;BL721),"")</f>
        <v/>
      </c>
      <c r="AH721" s="65">
        <f>IF(AG721="",0,MAX(0,MIN(1,(IF(BR721="L1",Parameter!$K$5,Parameter!$K$6+Parameter!$K$7)-(AG721-AC721))/AC721)))</f>
        <v/>
      </c>
      <c r="AI721" s="55">
        <f>IF(LEFT(Cockpit!$I$5,1)="A",G721,IF(BT721=1,BU721,IF(LEFT(Cockpit!$I$5,1)="B",AM721,MAX(AM721,G721))))</f>
        <v/>
      </c>
      <c r="AJ721" s="55">
        <f>IF(BO721=1,0,ROUNDUP(AI721/BN721,0))</f>
        <v/>
      </c>
      <c r="AK721" s="64">
        <f>IF(BO721=1,IF(AI721&lt;=0,0,BP721*MAX(1,IF(G721&gt;0,AI721/G721,1))),AJ721*Q721)</f>
        <v/>
      </c>
      <c r="AL721" s="55">
        <f>AI721*F721</f>
        <v/>
      </c>
      <c r="AM721" s="55">
        <f>ROUNDUP(MAX(I721/IF(BS721&gt;0,BS721,MAX(0.1,N(Cockpit!$I$6))),BV721)/BN721,0)*BN721</f>
        <v/>
      </c>
      <c r="AN721" s="56">
        <f>IF(AK721&gt;0,I721/AK721,-1)</f>
        <v/>
      </c>
      <c r="AO721" s="56">
        <f>IF(AND(OR(BR721="L1",BR721="L23"),AK721&gt;0),SUMIFS($AK$7:$AK$1570,$BR$7:$BR$1570,BR721,$AN$7:$AN$1570,"&gt;"&amp;AN721)+SUMIFS($AK$7:$AK$1570,$BR$7:$BR$1570,BR721,$AN$7:$AN$1570,AN721,$BL$7:$BL$1570,"&lt;="&amp;BL721),"")</f>
        <v/>
      </c>
      <c r="AP721" s="65">
        <f>IF(AO721="",0,MAX(0,MIN(1,(IF(BR721="L1",Parameter!$K$5,Parameter!$K$6+Parameter!$K$7)-(AO721-AK721))/AK721)))</f>
        <v/>
      </c>
      <c r="AQ721" s="55">
        <f>IF(LEFT(Cockpit!$O$5,1)="A",G721,IF(BT721=1,BU721,IF(LEFT(Cockpit!$O$5,1)="B",AU721,MAX(AU721,G721))))</f>
        <v/>
      </c>
      <c r="AR721" s="55">
        <f>IF(BO721=1,0,ROUNDUP(AQ721/BN721,0))</f>
        <v/>
      </c>
      <c r="AS721" s="64">
        <f>IF(BO721=1,IF(AQ721&lt;=0,0,BP721*MAX(1,IF(G721&gt;0,AQ721/G721,1))),AR721*Q721)</f>
        <v/>
      </c>
      <c r="AT721" s="55">
        <f>AQ721*F721</f>
        <v/>
      </c>
      <c r="AU721" s="55">
        <f>ROUNDUP(MAX(I721/IF(BS721&gt;0,BS721,MAX(0.1,N(Cockpit!$O$6))),BV721)/BN721,0)*BN721</f>
        <v/>
      </c>
      <c r="AV721" s="56">
        <f>IF(AS721&gt;0,I721/AS721,-1)</f>
        <v/>
      </c>
      <c r="AW721" s="56">
        <f>IF(AND(OR(BR721="L1",BR721="L23"),AS721&gt;0),SUMIFS($AS$7:$AS$1570,$BR$7:$BR$1570,BR721,$AV$7:$AV$1570,"&gt;"&amp;AV721)+SUMIFS($AS$7:$AS$1570,$BR$7:$BR$1570,BR721,$AV$7:$AV$1570,AV721,$BL$7:$BL$1570,"&lt;="&amp;BL721),"")</f>
        <v/>
      </c>
      <c r="AX721" s="65">
        <f>IF(AW721="",0,MAX(0,MIN(1,(IF(BR721="L1",Parameter!$K$5,Parameter!$K$6+Parameter!$K$7)-(AW721-AS721))/AS721)))</f>
        <v/>
      </c>
      <c r="AY721" s="53">
        <f>IF(AC721&lt;=0,"",IF(BR721="Aussen","Aussenlager",IF(BR721="-","Nicht im Lift",IF(AH721&gt;=1,"Lift",IF(AH721&lt;=0,"Aussenlager","teilweise")))))</f>
        <v/>
      </c>
      <c r="AZ721" s="53">
        <f>IF(AK721&lt;=0,"",IF(BR721="Aussen","Aussenlager",IF(BR721="-","Nicht im Lift",IF(AP721&gt;=1,"Lift",IF(AP721&lt;=0,"Aussenlager","teilweise")))))</f>
        <v/>
      </c>
      <c r="BA721" s="53">
        <f>IF(AS721&lt;=0,"",IF(BR721="Aussen","Aussenlager",IF(BR721="-","Nicht im Lift",IF(AX721&gt;=1,"Lift",IF(AX721&lt;=0,"Aussenlager","teilweise")))))</f>
        <v/>
      </c>
      <c r="BB721" s="53">
        <f>IF(A721="","",IF(BK721=1,"Neu; ","")&amp;IF(AND(BK721=0,BF721&lt;0),"negativer Bestand (Export "&amp;BF721&amp;"); ","")&amp;IF(I721&lt;=0,"Kein Verbrauch; ","")&amp;IF(BO721=1,"Lose – Fläche geschätzt; ","")&amp;IF(G721&gt;AM721,"Überbestand "&amp;ROUND(G721-AM721,0)&amp;" Stk / CHF "&amp;ROUND((G721-AM721)*F721,0)&amp;"; ","")&amp;IF(AND(BT721=1,BU721&lt;BV721),"MAX &lt; MB+LG; ","")&amp;IF(AND(BZ721&gt;0,BY721*10&gt;BZ721),"zu hoch für Tablar; ","")&amp;IF(AND(BK721=0,OR(BT721=1,V721&lt;&gt;"",S721&lt;&gt;"",T721&lt;&gt;"",W721&lt;&gt;"")),"manuell übersteuert; ","")&amp;IF(AND(BO721=0,Q721=0),"Gebinde unbekannt; ","")&amp;IF(AND(BO721=0,N(T721)&lt;=0,N(P721)&lt;=0),"Menge pro Gebinde fehlt (Ist = 1 Gebinde); ","")&amp;BJ721)</f>
        <v/>
      </c>
      <c r="BC721" s="53" t="n"/>
      <c r="BD721" s="53" t="n"/>
      <c r="BE721" s="61" t="n"/>
      <c r="BF721" s="55" t="n">
        <v>0</v>
      </c>
      <c r="BG721" s="55" t="n">
        <v>0</v>
      </c>
      <c r="BH721" s="54" t="n">
        <v>0</v>
      </c>
      <c r="BI721" s="55" t="n">
        <v>0</v>
      </c>
      <c r="BJ721" s="53" t="inlineStr"/>
      <c r="BK721" s="58" t="n">
        <v>0</v>
      </c>
      <c r="BL721" s="58" t="n">
        <v>721</v>
      </c>
      <c r="BM721" s="53">
        <f>IF(S721&lt;&gt;"",UPPER(TRIM(S721)),IF(O721="","LOSE",O721))</f>
        <v/>
      </c>
      <c r="BN721" s="55">
        <f>IF(BM721="LOSE",1,IF(N(T721)&gt;0,T721,IF(N(P721)&gt;0,P721,MAX(1,G721))))</f>
        <v/>
      </c>
      <c r="BO721" s="58">
        <f>IF(BM721="LOSE",1,0)</f>
        <v/>
      </c>
      <c r="BP721" s="64">
        <f>IF(BO721=0,0,IF(N(R721)&gt;0,R721,IFERROR(VLOOKUP(D721,Parameter!$A$35:$C$64,3,0)+0,0)))</f>
        <v/>
      </c>
      <c r="BQ721" s="53">
        <f>IF(V721&lt;&gt;"",V721,U721)</f>
        <v/>
      </c>
      <c r="BR721" s="53">
        <f>IF(BQ721=1,"L1",IF(OR(BQ721=2,BQ721=3),"L23",IF(BQ721="Aussen","Aussen","-")))</f>
        <v/>
      </c>
      <c r="BS721" s="66">
        <f>IF(N(W721)&gt;0,W721,0)</f>
        <v/>
      </c>
      <c r="BT721" s="58">
        <f>IF(ISNUMBER(Z721),1,0)</f>
        <v/>
      </c>
      <c r="BU721" s="55">
        <f>N(Z721)</f>
        <v/>
      </c>
      <c r="BV721" s="55">
        <f>N(L721)+N(M721)</f>
        <v/>
      </c>
      <c r="BW721" s="55">
        <f>ROUNDUP(G721/BN721,0)</f>
        <v/>
      </c>
      <c r="BX721" s="55">
        <f>ROUNDUP(BU721/BN721,0)</f>
        <v/>
      </c>
      <c r="BY721" s="58">
        <f>IF(BO721=1,0,IFERROR(VLOOKUP(BM721,'Gebinde-Kategorie'!$A$5:$G$45,5,0)+0,0))</f>
        <v/>
      </c>
      <c r="BZ721" s="58">
        <f>IFERROR(IF(OR(BQ721=1,BQ721=2,BQ721=3),N(INDEX(Parameter!$I$5:$I$7,BQ721)),0),0)</f>
        <v/>
      </c>
    </row>
    <row r="722">
      <c r="A722" s="53" t="inlineStr">
        <is>
          <t>102522</t>
        </is>
      </c>
      <c r="B722" s="53" t="inlineStr">
        <is>
          <t>Typenschild</t>
        </is>
      </c>
      <c r="C722" s="53" t="inlineStr">
        <is>
          <t>F</t>
        </is>
      </c>
      <c r="D722" s="53" t="inlineStr">
        <is>
          <t>A-BEZ</t>
        </is>
      </c>
      <c r="E722" s="53" t="inlineStr">
        <is>
          <t>C</t>
        </is>
      </c>
      <c r="F722" s="54" t="n">
        <v>28.69</v>
      </c>
      <c r="G722" s="55">
        <f>MAX(0,IF(Parameter!$B$20="Jahresanfang 2025 + Export",BG722+BF722,BF722))</f>
        <v/>
      </c>
      <c r="H722" s="55">
        <f>G722*F722</f>
        <v/>
      </c>
      <c r="I722" s="55">
        <f>BI722*Parameter!$B$18</f>
        <v/>
      </c>
      <c r="J722" s="56" t="n">
        <v>12</v>
      </c>
      <c r="K722" s="57" t="n">
        <v>0</v>
      </c>
      <c r="L722" s="55" t="n">
        <v>0</v>
      </c>
      <c r="M722" s="55" t="n">
        <v>10</v>
      </c>
      <c r="N722" s="58" t="n">
        <v>28</v>
      </c>
      <c r="O722" s="53" t="inlineStr">
        <is>
          <t>LOSE</t>
        </is>
      </c>
      <c r="P722" s="55" t="n"/>
      <c r="Q722" s="59">
        <f>IF(BO722=1,0,IFERROR(VLOOKUP(BM722,'Gebinde-Kategorie'!$A$5:$G$45,6,0)+0,0))</f>
        <v/>
      </c>
      <c r="R722" s="60" t="n"/>
      <c r="S722" s="61" t="n"/>
      <c r="T722" s="61" t="n"/>
      <c r="U722" s="53">
        <f>IF(A722="","",IF(IFERROR(VLOOKUP(D722,Parameter!$A$35:$C$64,2,0),"Nein")="2+3",IF(ISNUMBER(SEARCH("grosser Artikel",BJ722)),2,IFERROR(VLOOKUP(BM722,Parameter!$F$35:$G$64,2,0),2)),IF(OR(IFERROR(VLOOKUP(D722,Parameter!$A$35:$C$64,2,0),"Nein")="Nein",IFERROR(VLOOKUP(D722,Parameter!$A$35:$C$64,2,0),"Nein")=""),"-",VLOOKUP(D722,Parameter!$A$35:$C$64,2,0))))</f>
        <v/>
      </c>
      <c r="V722" s="61" t="n"/>
      <c r="W722" s="62" t="n"/>
      <c r="X722" s="55">
        <f>AM722</f>
        <v/>
      </c>
      <c r="Y722" s="55">
        <f>MAX(AM722,G722)</f>
        <v/>
      </c>
      <c r="Z722" s="63" t="n"/>
      <c r="AA722" s="55">
        <f>IF(LEFT(Cockpit!$C$5,1)="A",G722,IF(BT722=1,BU722,IF(LEFT(Cockpit!$C$5,1)="B",AE722,MAX(AE722,G722))))</f>
        <v/>
      </c>
      <c r="AB722" s="55">
        <f>IF(BO722=1,0,ROUNDUP(AA722/BN722,0))</f>
        <v/>
      </c>
      <c r="AC722" s="64">
        <f>IF(BO722=1,IF(AA722&lt;=0,0,BP722*MAX(1,IF(G722&gt;0,AA722/G722,1))),AB722*Q722)</f>
        <v/>
      </c>
      <c r="AD722" s="55">
        <f>AA722*F722</f>
        <v/>
      </c>
      <c r="AE722" s="55">
        <f>ROUNDUP(MAX(I722/IF(BS722&gt;0,BS722,MAX(0.1,N(Cockpit!$C$6))),BV722)/BN722,0)*BN722</f>
        <v/>
      </c>
      <c r="AF722" s="56">
        <f>IF(AC722&gt;0,I722/AC722,-1)</f>
        <v/>
      </c>
      <c r="AG722" s="56">
        <f>IF(AND(OR(BR722="L1",BR722="L23"),AC722&gt;0),SUMIFS($AC$7:$AC$1570,$BR$7:$BR$1570,BR722,$AF$7:$AF$1570,"&gt;"&amp;AF722)+SUMIFS($AC$7:$AC$1570,$BR$7:$BR$1570,BR722,$AF$7:$AF$1570,AF722,$BL$7:$BL$1570,"&lt;="&amp;BL722),"")</f>
        <v/>
      </c>
      <c r="AH722" s="65">
        <f>IF(AG722="",0,MAX(0,MIN(1,(IF(BR722="L1",Parameter!$K$5,Parameter!$K$6+Parameter!$K$7)-(AG722-AC722))/AC722)))</f>
        <v/>
      </c>
      <c r="AI722" s="55">
        <f>IF(LEFT(Cockpit!$I$5,1)="A",G722,IF(BT722=1,BU722,IF(LEFT(Cockpit!$I$5,1)="B",AM722,MAX(AM722,G722))))</f>
        <v/>
      </c>
      <c r="AJ722" s="55">
        <f>IF(BO722=1,0,ROUNDUP(AI722/BN722,0))</f>
        <v/>
      </c>
      <c r="AK722" s="64">
        <f>IF(BO722=1,IF(AI722&lt;=0,0,BP722*MAX(1,IF(G722&gt;0,AI722/G722,1))),AJ722*Q722)</f>
        <v/>
      </c>
      <c r="AL722" s="55">
        <f>AI722*F722</f>
        <v/>
      </c>
      <c r="AM722" s="55">
        <f>ROUNDUP(MAX(I722/IF(BS722&gt;0,BS722,MAX(0.1,N(Cockpit!$I$6))),BV722)/BN722,0)*BN722</f>
        <v/>
      </c>
      <c r="AN722" s="56">
        <f>IF(AK722&gt;0,I722/AK722,-1)</f>
        <v/>
      </c>
      <c r="AO722" s="56">
        <f>IF(AND(OR(BR722="L1",BR722="L23"),AK722&gt;0),SUMIFS($AK$7:$AK$1570,$BR$7:$BR$1570,BR722,$AN$7:$AN$1570,"&gt;"&amp;AN722)+SUMIFS($AK$7:$AK$1570,$BR$7:$BR$1570,BR722,$AN$7:$AN$1570,AN722,$BL$7:$BL$1570,"&lt;="&amp;BL722),"")</f>
        <v/>
      </c>
      <c r="AP722" s="65">
        <f>IF(AO722="",0,MAX(0,MIN(1,(IF(BR722="L1",Parameter!$K$5,Parameter!$K$6+Parameter!$K$7)-(AO722-AK722))/AK722)))</f>
        <v/>
      </c>
      <c r="AQ722" s="55">
        <f>IF(LEFT(Cockpit!$O$5,1)="A",G722,IF(BT722=1,BU722,IF(LEFT(Cockpit!$O$5,1)="B",AU722,MAX(AU722,G722))))</f>
        <v/>
      </c>
      <c r="AR722" s="55">
        <f>IF(BO722=1,0,ROUNDUP(AQ722/BN722,0))</f>
        <v/>
      </c>
      <c r="AS722" s="64">
        <f>IF(BO722=1,IF(AQ722&lt;=0,0,BP722*MAX(1,IF(G722&gt;0,AQ722/G722,1))),AR722*Q722)</f>
        <v/>
      </c>
      <c r="AT722" s="55">
        <f>AQ722*F722</f>
        <v/>
      </c>
      <c r="AU722" s="55">
        <f>ROUNDUP(MAX(I722/IF(BS722&gt;0,BS722,MAX(0.1,N(Cockpit!$O$6))),BV722)/BN722,0)*BN722</f>
        <v/>
      </c>
      <c r="AV722" s="56">
        <f>IF(AS722&gt;0,I722/AS722,-1)</f>
        <v/>
      </c>
      <c r="AW722" s="56">
        <f>IF(AND(OR(BR722="L1",BR722="L23"),AS722&gt;0),SUMIFS($AS$7:$AS$1570,$BR$7:$BR$1570,BR722,$AV$7:$AV$1570,"&gt;"&amp;AV722)+SUMIFS($AS$7:$AS$1570,$BR$7:$BR$1570,BR722,$AV$7:$AV$1570,AV722,$BL$7:$BL$1570,"&lt;="&amp;BL722),"")</f>
        <v/>
      </c>
      <c r="AX722" s="65">
        <f>IF(AW722="",0,MAX(0,MIN(1,(IF(BR722="L1",Parameter!$K$5,Parameter!$K$6+Parameter!$K$7)-(AW722-AS722))/AS722)))</f>
        <v/>
      </c>
      <c r="AY722" s="53">
        <f>IF(AC722&lt;=0,"",IF(BR722="Aussen","Aussenlager",IF(BR722="-","Nicht im Lift",IF(AH722&gt;=1,"Lift",IF(AH722&lt;=0,"Aussenlager","teilweise")))))</f>
        <v/>
      </c>
      <c r="AZ722" s="53">
        <f>IF(AK722&lt;=0,"",IF(BR722="Aussen","Aussenlager",IF(BR722="-","Nicht im Lift",IF(AP722&gt;=1,"Lift",IF(AP722&lt;=0,"Aussenlager","teilweise")))))</f>
        <v/>
      </c>
      <c r="BA722" s="53">
        <f>IF(AS722&lt;=0,"",IF(BR722="Aussen","Aussenlager",IF(BR722="-","Nicht im Lift",IF(AX722&gt;=1,"Lift",IF(AX722&lt;=0,"Aussenlager","teilweise")))))</f>
        <v/>
      </c>
      <c r="BB722" s="53">
        <f>IF(A722="","",IF(BK722=1,"Neu; ","")&amp;IF(AND(BK722=0,BF722&lt;0),"negativer Bestand (Export "&amp;BF722&amp;"); ","")&amp;IF(I722&lt;=0,"Kein Verbrauch; ","")&amp;IF(BO722=1,"Lose – Fläche geschätzt; ","")&amp;IF(G722&gt;AM722,"Überbestand "&amp;ROUND(G722-AM722,0)&amp;" Stk / CHF "&amp;ROUND((G722-AM722)*F722,0)&amp;"; ","")&amp;IF(AND(BT722=1,BU722&lt;BV722),"MAX &lt; MB+LG; ","")&amp;IF(AND(BZ722&gt;0,BY722*10&gt;BZ722),"zu hoch für Tablar; ","")&amp;IF(AND(BK722=0,OR(BT722=1,V722&lt;&gt;"",S722&lt;&gt;"",T722&lt;&gt;"",W722&lt;&gt;"")),"manuell übersteuert; ","")&amp;IF(AND(BO722=0,Q722=0),"Gebinde unbekannt; ","")&amp;IF(AND(BO722=0,N(T722)&lt;=0,N(P722)&lt;=0),"Menge pro Gebinde fehlt (Ist = 1 Gebinde); ","")&amp;BJ722)</f>
        <v/>
      </c>
      <c r="BC722" s="53" t="n"/>
      <c r="BD722" s="53" t="n"/>
      <c r="BE722" s="61" t="n"/>
      <c r="BF722" s="55" t="n">
        <v>3</v>
      </c>
      <c r="BG722" s="55" t="n">
        <v>12</v>
      </c>
      <c r="BH722" s="54" t="n">
        <v>0</v>
      </c>
      <c r="BI722" s="55" t="n">
        <v>0</v>
      </c>
      <c r="BJ722" s="53" t="inlineStr"/>
      <c r="BK722" s="58" t="n">
        <v>0</v>
      </c>
      <c r="BL722" s="58" t="n">
        <v>722</v>
      </c>
      <c r="BM722" s="53">
        <f>IF(S722&lt;&gt;"",UPPER(TRIM(S722)),IF(O722="","LOSE",O722))</f>
        <v/>
      </c>
      <c r="BN722" s="55">
        <f>IF(BM722="LOSE",1,IF(N(T722)&gt;0,T722,IF(N(P722)&gt;0,P722,MAX(1,G722))))</f>
        <v/>
      </c>
      <c r="BO722" s="58">
        <f>IF(BM722="LOSE",1,0)</f>
        <v/>
      </c>
      <c r="BP722" s="64">
        <f>IF(BO722=0,0,IF(N(R722)&gt;0,R722,IFERROR(VLOOKUP(D722,Parameter!$A$35:$C$64,3,0)+0,0)))</f>
        <v/>
      </c>
      <c r="BQ722" s="53">
        <f>IF(V722&lt;&gt;"",V722,U722)</f>
        <v/>
      </c>
      <c r="BR722" s="53">
        <f>IF(BQ722=1,"L1",IF(OR(BQ722=2,BQ722=3),"L23",IF(BQ722="Aussen","Aussen","-")))</f>
        <v/>
      </c>
      <c r="BS722" s="66">
        <f>IF(N(W722)&gt;0,W722,0)</f>
        <v/>
      </c>
      <c r="BT722" s="58">
        <f>IF(ISNUMBER(Z722),1,0)</f>
        <v/>
      </c>
      <c r="BU722" s="55">
        <f>N(Z722)</f>
        <v/>
      </c>
      <c r="BV722" s="55">
        <f>N(L722)+N(M722)</f>
        <v/>
      </c>
      <c r="BW722" s="55">
        <f>ROUNDUP(G722/BN722,0)</f>
        <v/>
      </c>
      <c r="BX722" s="55">
        <f>ROUNDUP(BU722/BN722,0)</f>
        <v/>
      </c>
      <c r="BY722" s="58">
        <f>IF(BO722=1,0,IFERROR(VLOOKUP(BM722,'Gebinde-Kategorie'!$A$5:$G$45,5,0)+0,0))</f>
        <v/>
      </c>
      <c r="BZ722" s="58">
        <f>IFERROR(IF(OR(BQ722=1,BQ722=2,BQ722=3),N(INDEX(Parameter!$I$5:$I$7,BQ722)),0),0)</f>
        <v/>
      </c>
    </row>
    <row r="723">
      <c r="A723" s="53" t="inlineStr">
        <is>
          <t>002073</t>
        </is>
      </c>
      <c r="B723" s="53" t="inlineStr">
        <is>
          <t>Nylon-Strickhandschuh</t>
        </is>
      </c>
      <c r="C723" s="53" t="inlineStr">
        <is>
          <t>F</t>
        </is>
      </c>
      <c r="D723" s="53" t="inlineStr">
        <is>
          <t>VERB-P</t>
        </is>
      </c>
      <c r="E723" s="53" t="inlineStr">
        <is>
          <t>C</t>
        </is>
      </c>
      <c r="F723" s="54" t="n">
        <v>4.4</v>
      </c>
      <c r="G723" s="55">
        <f>MAX(0,IF(Parameter!$B$20="Jahresanfang 2025 + Export",BG723+BF723,BF723))</f>
        <v/>
      </c>
      <c r="H723" s="55">
        <f>G723*F723</f>
        <v/>
      </c>
      <c r="I723" s="55">
        <f>BI723*Parameter!$B$18</f>
        <v/>
      </c>
      <c r="J723" s="56" t="n">
        <v>0</v>
      </c>
      <c r="K723" s="57" t="n">
        <v>0</v>
      </c>
      <c r="L723" s="55" t="n">
        <v>0</v>
      </c>
      <c r="M723" s="55" t="n">
        <v>12</v>
      </c>
      <c r="N723" s="58" t="n">
        <v>14</v>
      </c>
      <c r="O723" s="53" t="inlineStr">
        <is>
          <t>S51</t>
        </is>
      </c>
      <c r="P723" s="55" t="n">
        <v>50</v>
      </c>
      <c r="Q723" s="59">
        <f>IF(BO723=1,0,IFERROR(VLOOKUP(BM723,'Gebinde-Kategorie'!$A$5:$G$45,6,0)+0,0))</f>
        <v/>
      </c>
      <c r="R723" s="60" t="n"/>
      <c r="S723" s="61" t="n"/>
      <c r="T723" s="61" t="n"/>
      <c r="U723" s="53">
        <f>IF(A723="","",IF(IFERROR(VLOOKUP(D723,Parameter!$A$35:$C$64,2,0),"Nein")="2+3",IF(ISNUMBER(SEARCH("grosser Artikel",BJ723)),2,IFERROR(VLOOKUP(BM723,Parameter!$F$35:$G$64,2,0),2)),IF(OR(IFERROR(VLOOKUP(D723,Parameter!$A$35:$C$64,2,0),"Nein")="Nein",IFERROR(VLOOKUP(D723,Parameter!$A$35:$C$64,2,0),"Nein")=""),"-",VLOOKUP(D723,Parameter!$A$35:$C$64,2,0))))</f>
        <v/>
      </c>
      <c r="V723" s="61" t="n"/>
      <c r="W723" s="62" t="n"/>
      <c r="X723" s="55">
        <f>AM723</f>
        <v/>
      </c>
      <c r="Y723" s="55">
        <f>MAX(AM723,G723)</f>
        <v/>
      </c>
      <c r="Z723" s="63" t="n"/>
      <c r="AA723" s="55">
        <f>IF(LEFT(Cockpit!$C$5,1)="A",G723,IF(BT723=1,BU723,IF(LEFT(Cockpit!$C$5,1)="B",AE723,MAX(AE723,G723))))</f>
        <v/>
      </c>
      <c r="AB723" s="55">
        <f>IF(BO723=1,0,ROUNDUP(AA723/BN723,0))</f>
        <v/>
      </c>
      <c r="AC723" s="64">
        <f>IF(BO723=1,IF(AA723&lt;=0,0,BP723*MAX(1,IF(G723&gt;0,AA723/G723,1))),AB723*Q723)</f>
        <v/>
      </c>
      <c r="AD723" s="55">
        <f>AA723*F723</f>
        <v/>
      </c>
      <c r="AE723" s="55">
        <f>ROUNDUP(MAX(I723/IF(BS723&gt;0,BS723,MAX(0.1,N(Cockpit!$C$6))),BV723)/BN723,0)*BN723</f>
        <v/>
      </c>
      <c r="AF723" s="56">
        <f>IF(AC723&gt;0,I723/AC723,-1)</f>
        <v/>
      </c>
      <c r="AG723" s="56">
        <f>IF(AND(OR(BR723="L1",BR723="L23"),AC723&gt;0),SUMIFS($AC$7:$AC$1570,$BR$7:$BR$1570,BR723,$AF$7:$AF$1570,"&gt;"&amp;AF723)+SUMIFS($AC$7:$AC$1570,$BR$7:$BR$1570,BR723,$AF$7:$AF$1570,AF723,$BL$7:$BL$1570,"&lt;="&amp;BL723),"")</f>
        <v/>
      </c>
      <c r="AH723" s="65">
        <f>IF(AG723="",0,MAX(0,MIN(1,(IF(BR723="L1",Parameter!$K$5,Parameter!$K$6+Parameter!$K$7)-(AG723-AC723))/AC723)))</f>
        <v/>
      </c>
      <c r="AI723" s="55">
        <f>IF(LEFT(Cockpit!$I$5,1)="A",G723,IF(BT723=1,BU723,IF(LEFT(Cockpit!$I$5,1)="B",AM723,MAX(AM723,G723))))</f>
        <v/>
      </c>
      <c r="AJ723" s="55">
        <f>IF(BO723=1,0,ROUNDUP(AI723/BN723,0))</f>
        <v/>
      </c>
      <c r="AK723" s="64">
        <f>IF(BO723=1,IF(AI723&lt;=0,0,BP723*MAX(1,IF(G723&gt;0,AI723/G723,1))),AJ723*Q723)</f>
        <v/>
      </c>
      <c r="AL723" s="55">
        <f>AI723*F723</f>
        <v/>
      </c>
      <c r="AM723" s="55">
        <f>ROUNDUP(MAX(I723/IF(BS723&gt;0,BS723,MAX(0.1,N(Cockpit!$I$6))),BV723)/BN723,0)*BN723</f>
        <v/>
      </c>
      <c r="AN723" s="56">
        <f>IF(AK723&gt;0,I723/AK723,-1)</f>
        <v/>
      </c>
      <c r="AO723" s="56">
        <f>IF(AND(OR(BR723="L1",BR723="L23"),AK723&gt;0),SUMIFS($AK$7:$AK$1570,$BR$7:$BR$1570,BR723,$AN$7:$AN$1570,"&gt;"&amp;AN723)+SUMIFS($AK$7:$AK$1570,$BR$7:$BR$1570,BR723,$AN$7:$AN$1570,AN723,$BL$7:$BL$1570,"&lt;="&amp;BL723),"")</f>
        <v/>
      </c>
      <c r="AP723" s="65">
        <f>IF(AO723="",0,MAX(0,MIN(1,(IF(BR723="L1",Parameter!$K$5,Parameter!$K$6+Parameter!$K$7)-(AO723-AK723))/AK723)))</f>
        <v/>
      </c>
      <c r="AQ723" s="55">
        <f>IF(LEFT(Cockpit!$O$5,1)="A",G723,IF(BT723=1,BU723,IF(LEFT(Cockpit!$O$5,1)="B",AU723,MAX(AU723,G723))))</f>
        <v/>
      </c>
      <c r="AR723" s="55">
        <f>IF(BO723=1,0,ROUNDUP(AQ723/BN723,0))</f>
        <v/>
      </c>
      <c r="AS723" s="64">
        <f>IF(BO723=1,IF(AQ723&lt;=0,0,BP723*MAX(1,IF(G723&gt;0,AQ723/G723,1))),AR723*Q723)</f>
        <v/>
      </c>
      <c r="AT723" s="55">
        <f>AQ723*F723</f>
        <v/>
      </c>
      <c r="AU723" s="55">
        <f>ROUNDUP(MAX(I723/IF(BS723&gt;0,BS723,MAX(0.1,N(Cockpit!$O$6))),BV723)/BN723,0)*BN723</f>
        <v/>
      </c>
      <c r="AV723" s="56">
        <f>IF(AS723&gt;0,I723/AS723,-1)</f>
        <v/>
      </c>
      <c r="AW723" s="56">
        <f>IF(AND(OR(BR723="L1",BR723="L23"),AS723&gt;0),SUMIFS($AS$7:$AS$1570,$BR$7:$BR$1570,BR723,$AV$7:$AV$1570,"&gt;"&amp;AV723)+SUMIFS($AS$7:$AS$1570,$BR$7:$BR$1570,BR723,$AV$7:$AV$1570,AV723,$BL$7:$BL$1570,"&lt;="&amp;BL723),"")</f>
        <v/>
      </c>
      <c r="AX723" s="65">
        <f>IF(AW723="",0,MAX(0,MIN(1,(IF(BR723="L1",Parameter!$K$5,Parameter!$K$6+Parameter!$K$7)-(AW723-AS723))/AS723)))</f>
        <v/>
      </c>
      <c r="AY723" s="53">
        <f>IF(AC723&lt;=0,"",IF(BR723="Aussen","Aussenlager",IF(BR723="-","Nicht im Lift",IF(AH723&gt;=1,"Lift",IF(AH723&lt;=0,"Aussenlager","teilweise")))))</f>
        <v/>
      </c>
      <c r="AZ723" s="53">
        <f>IF(AK723&lt;=0,"",IF(BR723="Aussen","Aussenlager",IF(BR723="-","Nicht im Lift",IF(AP723&gt;=1,"Lift",IF(AP723&lt;=0,"Aussenlager","teilweise")))))</f>
        <v/>
      </c>
      <c r="BA723" s="53">
        <f>IF(AS723&lt;=0,"",IF(BR723="Aussen","Aussenlager",IF(BR723="-","Nicht im Lift",IF(AX723&gt;=1,"Lift",IF(AX723&lt;=0,"Aussenlager","teilweise")))))</f>
        <v/>
      </c>
      <c r="BB723" s="53">
        <f>IF(A723="","",IF(BK723=1,"Neu; ","")&amp;IF(AND(BK723=0,BF723&lt;0),"negativer Bestand (Export "&amp;BF723&amp;"); ","")&amp;IF(I723&lt;=0,"Kein Verbrauch; ","")&amp;IF(BO723=1,"Lose – Fläche geschätzt; ","")&amp;IF(G723&gt;AM723,"Überbestand "&amp;ROUND(G723-AM723,0)&amp;" Stk / CHF "&amp;ROUND((G723-AM723)*F723,0)&amp;"; ","")&amp;IF(AND(BT723=1,BU723&lt;BV723),"MAX &lt; MB+LG; ","")&amp;IF(AND(BZ723&gt;0,BY723*10&gt;BZ723),"zu hoch für Tablar; ","")&amp;IF(AND(BK723=0,OR(BT723=1,V723&lt;&gt;"",S723&lt;&gt;"",T723&lt;&gt;"",W723&lt;&gt;"")),"manuell übersteuert; ","")&amp;IF(AND(BO723=0,Q723=0),"Gebinde unbekannt; ","")&amp;IF(AND(BO723=0,N(T723)&lt;=0,N(P723)&lt;=0),"Menge pro Gebinde fehlt (Ist = 1 Gebinde); ","")&amp;BJ723)</f>
        <v/>
      </c>
      <c r="BC723" s="53" t="n"/>
      <c r="BD723" s="53" t="n"/>
      <c r="BE723" s="61" t="n"/>
      <c r="BF723" s="55" t="n">
        <v>0</v>
      </c>
      <c r="BG723" s="55" t="n">
        <v>0</v>
      </c>
      <c r="BH723" s="54" t="n">
        <v>0</v>
      </c>
      <c r="BI723" s="55" t="n">
        <v>24</v>
      </c>
      <c r="BJ723" s="53" t="inlineStr"/>
      <c r="BK723" s="58" t="n">
        <v>0</v>
      </c>
      <c r="BL723" s="58" t="n">
        <v>723</v>
      </c>
      <c r="BM723" s="53">
        <f>IF(S723&lt;&gt;"",UPPER(TRIM(S723)),IF(O723="","LOSE",O723))</f>
        <v/>
      </c>
      <c r="BN723" s="55">
        <f>IF(BM723="LOSE",1,IF(N(T723)&gt;0,T723,IF(N(P723)&gt;0,P723,MAX(1,G723))))</f>
        <v/>
      </c>
      <c r="BO723" s="58">
        <f>IF(BM723="LOSE",1,0)</f>
        <v/>
      </c>
      <c r="BP723" s="64">
        <f>IF(BO723=0,0,IF(N(R723)&gt;0,R723,IFERROR(VLOOKUP(D723,Parameter!$A$35:$C$64,3,0)+0,0)))</f>
        <v/>
      </c>
      <c r="BQ723" s="53">
        <f>IF(V723&lt;&gt;"",V723,U723)</f>
        <v/>
      </c>
      <c r="BR723" s="53">
        <f>IF(BQ723=1,"L1",IF(OR(BQ723=2,BQ723=3),"L23",IF(BQ723="Aussen","Aussen","-")))</f>
        <v/>
      </c>
      <c r="BS723" s="66">
        <f>IF(N(W723)&gt;0,W723,0)</f>
        <v/>
      </c>
      <c r="BT723" s="58">
        <f>IF(ISNUMBER(Z723),1,0)</f>
        <v/>
      </c>
      <c r="BU723" s="55">
        <f>N(Z723)</f>
        <v/>
      </c>
      <c r="BV723" s="55">
        <f>N(L723)+N(M723)</f>
        <v/>
      </c>
      <c r="BW723" s="55">
        <f>ROUNDUP(G723/BN723,0)</f>
        <v/>
      </c>
      <c r="BX723" s="55">
        <f>ROUNDUP(BU723/BN723,0)</f>
        <v/>
      </c>
      <c r="BY723" s="58">
        <f>IF(BO723=1,0,IFERROR(VLOOKUP(BM723,'Gebinde-Kategorie'!$A$5:$G$45,5,0)+0,0))</f>
        <v/>
      </c>
      <c r="BZ723" s="58">
        <f>IFERROR(IF(OR(BQ723=1,BQ723=2,BQ723=3),N(INDEX(Parameter!$I$5:$I$7,BQ723)),0),0)</f>
        <v/>
      </c>
    </row>
    <row r="724">
      <c r="A724" s="53" t="inlineStr">
        <is>
          <t>001203</t>
        </is>
      </c>
      <c r="B724" s="53" t="inlineStr">
        <is>
          <t>Holzkiste SPGr10 + SPC800 Luft &amp; See</t>
        </is>
      </c>
      <c r="C724" s="53" t="inlineStr">
        <is>
          <t>F</t>
        </is>
      </c>
      <c r="D724" s="53" t="inlineStr">
        <is>
          <t>PAL</t>
        </is>
      </c>
      <c r="E724" s="53" t="inlineStr">
        <is>
          <t>C</t>
        </is>
      </c>
      <c r="F724" s="54" t="n">
        <v>658.54</v>
      </c>
      <c r="G724" s="55">
        <f>MAX(0,IF(Parameter!$B$20="Jahresanfang 2025 + Export",BG724+BF724,BF724))</f>
        <v/>
      </c>
      <c r="H724" s="55">
        <f>G724*F724</f>
        <v/>
      </c>
      <c r="I724" s="55">
        <f>BI724*Parameter!$B$18</f>
        <v/>
      </c>
      <c r="J724" s="56" t="n">
        <v>4</v>
      </c>
      <c r="K724" s="57" t="n">
        <v>0.75</v>
      </c>
      <c r="L724" s="55" t="n">
        <v>0</v>
      </c>
      <c r="M724" s="55" t="n">
        <v>1</v>
      </c>
      <c r="N724" s="58" t="n">
        <v>14</v>
      </c>
      <c r="O724" s="53" t="inlineStr">
        <is>
          <t>LOSE</t>
        </is>
      </c>
      <c r="P724" s="55" t="n"/>
      <c r="Q724" s="59">
        <f>IF(BO724=1,0,IFERROR(VLOOKUP(BM724,'Gebinde-Kategorie'!$A$5:$G$45,6,0)+0,0))</f>
        <v/>
      </c>
      <c r="R724" s="60" t="n"/>
      <c r="S724" s="61" t="n"/>
      <c r="T724" s="61" t="n"/>
      <c r="U724" s="53">
        <f>IF(A724="","",IF(IFERROR(VLOOKUP(D724,Parameter!$A$35:$C$64,2,0),"Nein")="2+3",IF(ISNUMBER(SEARCH("grosser Artikel",BJ724)),2,IFERROR(VLOOKUP(BM724,Parameter!$F$35:$G$64,2,0),2)),IF(OR(IFERROR(VLOOKUP(D724,Parameter!$A$35:$C$64,2,0),"Nein")="Nein",IFERROR(VLOOKUP(D724,Parameter!$A$35:$C$64,2,0),"Nein")=""),"-",VLOOKUP(D724,Parameter!$A$35:$C$64,2,0))))</f>
        <v/>
      </c>
      <c r="V724" s="61" t="n"/>
      <c r="W724" s="62" t="n"/>
      <c r="X724" s="55">
        <f>AM724</f>
        <v/>
      </c>
      <c r="Y724" s="55">
        <f>MAX(AM724,G724)</f>
        <v/>
      </c>
      <c r="Z724" s="63" t="n"/>
      <c r="AA724" s="55">
        <f>IF(LEFT(Cockpit!$C$5,1)="A",G724,IF(BT724=1,BU724,IF(LEFT(Cockpit!$C$5,1)="B",AE724,MAX(AE724,G724))))</f>
        <v/>
      </c>
      <c r="AB724" s="55">
        <f>IF(BO724=1,0,ROUNDUP(AA724/BN724,0))</f>
        <v/>
      </c>
      <c r="AC724" s="64">
        <f>IF(BO724=1,IF(AA724&lt;=0,0,BP724*MAX(1,IF(G724&gt;0,AA724/G724,1))),AB724*Q724)</f>
        <v/>
      </c>
      <c r="AD724" s="55">
        <f>AA724*F724</f>
        <v/>
      </c>
      <c r="AE724" s="55">
        <f>ROUNDUP(MAX(I724/IF(BS724&gt;0,BS724,MAX(0.1,N(Cockpit!$C$6))),BV724)/BN724,0)*BN724</f>
        <v/>
      </c>
      <c r="AF724" s="56">
        <f>IF(AC724&gt;0,I724/AC724,-1)</f>
        <v/>
      </c>
      <c r="AG724" s="56">
        <f>IF(AND(OR(BR724="L1",BR724="L23"),AC724&gt;0),SUMIFS($AC$7:$AC$1570,$BR$7:$BR$1570,BR724,$AF$7:$AF$1570,"&gt;"&amp;AF724)+SUMIFS($AC$7:$AC$1570,$BR$7:$BR$1570,BR724,$AF$7:$AF$1570,AF724,$BL$7:$BL$1570,"&lt;="&amp;BL724),"")</f>
        <v/>
      </c>
      <c r="AH724" s="65">
        <f>IF(AG724="",0,MAX(0,MIN(1,(IF(BR724="L1",Parameter!$K$5,Parameter!$K$6+Parameter!$K$7)-(AG724-AC724))/AC724)))</f>
        <v/>
      </c>
      <c r="AI724" s="55">
        <f>IF(LEFT(Cockpit!$I$5,1)="A",G724,IF(BT724=1,BU724,IF(LEFT(Cockpit!$I$5,1)="B",AM724,MAX(AM724,G724))))</f>
        <v/>
      </c>
      <c r="AJ724" s="55">
        <f>IF(BO724=1,0,ROUNDUP(AI724/BN724,0))</f>
        <v/>
      </c>
      <c r="AK724" s="64">
        <f>IF(BO724=1,IF(AI724&lt;=0,0,BP724*MAX(1,IF(G724&gt;0,AI724/G724,1))),AJ724*Q724)</f>
        <v/>
      </c>
      <c r="AL724" s="55">
        <f>AI724*F724</f>
        <v/>
      </c>
      <c r="AM724" s="55">
        <f>ROUNDUP(MAX(I724/IF(BS724&gt;0,BS724,MAX(0.1,N(Cockpit!$I$6))),BV724)/BN724,0)*BN724</f>
        <v/>
      </c>
      <c r="AN724" s="56">
        <f>IF(AK724&gt;0,I724/AK724,-1)</f>
        <v/>
      </c>
      <c r="AO724" s="56">
        <f>IF(AND(OR(BR724="L1",BR724="L23"),AK724&gt;0),SUMIFS($AK$7:$AK$1570,$BR$7:$BR$1570,BR724,$AN$7:$AN$1570,"&gt;"&amp;AN724)+SUMIFS($AK$7:$AK$1570,$BR$7:$BR$1570,BR724,$AN$7:$AN$1570,AN724,$BL$7:$BL$1570,"&lt;="&amp;BL724),"")</f>
        <v/>
      </c>
      <c r="AP724" s="65">
        <f>IF(AO724="",0,MAX(0,MIN(1,(IF(BR724="L1",Parameter!$K$5,Parameter!$K$6+Parameter!$K$7)-(AO724-AK724))/AK724)))</f>
        <v/>
      </c>
      <c r="AQ724" s="55">
        <f>IF(LEFT(Cockpit!$O$5,1)="A",G724,IF(BT724=1,BU724,IF(LEFT(Cockpit!$O$5,1)="B",AU724,MAX(AU724,G724))))</f>
        <v/>
      </c>
      <c r="AR724" s="55">
        <f>IF(BO724=1,0,ROUNDUP(AQ724/BN724,0))</f>
        <v/>
      </c>
      <c r="AS724" s="64">
        <f>IF(BO724=1,IF(AQ724&lt;=0,0,BP724*MAX(1,IF(G724&gt;0,AQ724/G724,1))),AR724*Q724)</f>
        <v/>
      </c>
      <c r="AT724" s="55">
        <f>AQ724*F724</f>
        <v/>
      </c>
      <c r="AU724" s="55">
        <f>ROUNDUP(MAX(I724/IF(BS724&gt;0,BS724,MAX(0.1,N(Cockpit!$O$6))),BV724)/BN724,0)*BN724</f>
        <v/>
      </c>
      <c r="AV724" s="56">
        <f>IF(AS724&gt;0,I724/AS724,-1)</f>
        <v/>
      </c>
      <c r="AW724" s="56">
        <f>IF(AND(OR(BR724="L1",BR724="L23"),AS724&gt;0),SUMIFS($AS$7:$AS$1570,$BR$7:$BR$1570,BR724,$AV$7:$AV$1570,"&gt;"&amp;AV724)+SUMIFS($AS$7:$AS$1570,$BR$7:$BR$1570,BR724,$AV$7:$AV$1570,AV724,$BL$7:$BL$1570,"&lt;="&amp;BL724),"")</f>
        <v/>
      </c>
      <c r="AX724" s="65">
        <f>IF(AW724="",0,MAX(0,MIN(1,(IF(BR724="L1",Parameter!$K$5,Parameter!$K$6+Parameter!$K$7)-(AW724-AS724))/AS724)))</f>
        <v/>
      </c>
      <c r="AY724" s="53">
        <f>IF(AC724&lt;=0,"",IF(BR724="Aussen","Aussenlager",IF(BR724="-","Nicht im Lift",IF(AH724&gt;=1,"Lift",IF(AH724&lt;=0,"Aussenlager","teilweise")))))</f>
        <v/>
      </c>
      <c r="AZ724" s="53">
        <f>IF(AK724&lt;=0,"",IF(BR724="Aussen","Aussenlager",IF(BR724="-","Nicht im Lift",IF(AP724&gt;=1,"Lift",IF(AP724&lt;=0,"Aussenlager","teilweise")))))</f>
        <v/>
      </c>
      <c r="BA724" s="53">
        <f>IF(AS724&lt;=0,"",IF(BR724="Aussen","Aussenlager",IF(BR724="-","Nicht im Lift",IF(AX724&gt;=1,"Lift",IF(AX724&lt;=0,"Aussenlager","teilweise")))))</f>
        <v/>
      </c>
      <c r="BB724" s="53">
        <f>IF(A724="","",IF(BK724=1,"Neu; ","")&amp;IF(AND(BK724=0,BF724&lt;0),"negativer Bestand (Export "&amp;BF724&amp;"); ","")&amp;IF(I724&lt;=0,"Kein Verbrauch; ","")&amp;IF(BO724=1,"Lose – Fläche geschätzt; ","")&amp;IF(G724&gt;AM724,"Überbestand "&amp;ROUND(G724-AM724,0)&amp;" Stk / CHF "&amp;ROUND((G724-AM724)*F724,0)&amp;"; ","")&amp;IF(AND(BT724=1,BU724&lt;BV724),"MAX &lt; MB+LG; ","")&amp;IF(AND(BZ724&gt;0,BY724*10&gt;BZ724),"zu hoch für Tablar; ","")&amp;IF(AND(BK724=0,OR(BT724=1,V724&lt;&gt;"",S724&lt;&gt;"",T724&lt;&gt;"",W724&lt;&gt;"")),"manuell übersteuert; ","")&amp;IF(AND(BO724=0,Q724=0),"Gebinde unbekannt; ","")&amp;IF(AND(BO724=0,N(T724)&lt;=0,N(P724)&lt;=0),"Menge pro Gebinde fehlt (Ist = 1 Gebinde); ","")&amp;BJ724)</f>
        <v/>
      </c>
      <c r="BC724" s="53" t="n"/>
      <c r="BD724" s="53" t="n"/>
      <c r="BE724" s="61" t="n"/>
      <c r="BF724" s="55" t="n">
        <v>0</v>
      </c>
      <c r="BG724" s="55" t="n">
        <v>0</v>
      </c>
      <c r="BH724" s="54" t="n">
        <v>0</v>
      </c>
      <c r="BI724" s="55" t="n">
        <v>3</v>
      </c>
      <c r="BJ724" s="53" t="inlineStr"/>
      <c r="BK724" s="58" t="n">
        <v>0</v>
      </c>
      <c r="BL724" s="58" t="n">
        <v>724</v>
      </c>
      <c r="BM724" s="53">
        <f>IF(S724&lt;&gt;"",UPPER(TRIM(S724)),IF(O724="","LOSE",O724))</f>
        <v/>
      </c>
      <c r="BN724" s="55">
        <f>IF(BM724="LOSE",1,IF(N(T724)&gt;0,T724,IF(N(P724)&gt;0,P724,MAX(1,G724))))</f>
        <v/>
      </c>
      <c r="BO724" s="58">
        <f>IF(BM724="LOSE",1,0)</f>
        <v/>
      </c>
      <c r="BP724" s="64">
        <f>IF(BO724=0,0,IF(N(R724)&gt;0,R724,IFERROR(VLOOKUP(D724,Parameter!$A$35:$C$64,3,0)+0,0)))</f>
        <v/>
      </c>
      <c r="BQ724" s="53">
        <f>IF(V724&lt;&gt;"",V724,U724)</f>
        <v/>
      </c>
      <c r="BR724" s="53">
        <f>IF(BQ724=1,"L1",IF(OR(BQ724=2,BQ724=3),"L23",IF(BQ724="Aussen","Aussen","-")))</f>
        <v/>
      </c>
      <c r="BS724" s="66">
        <f>IF(N(W724)&gt;0,W724,0)</f>
        <v/>
      </c>
      <c r="BT724" s="58">
        <f>IF(ISNUMBER(Z724),1,0)</f>
        <v/>
      </c>
      <c r="BU724" s="55">
        <f>N(Z724)</f>
        <v/>
      </c>
      <c r="BV724" s="55">
        <f>N(L724)+N(M724)</f>
        <v/>
      </c>
      <c r="BW724" s="55">
        <f>ROUNDUP(G724/BN724,0)</f>
        <v/>
      </c>
      <c r="BX724" s="55">
        <f>ROUNDUP(BU724/BN724,0)</f>
        <v/>
      </c>
      <c r="BY724" s="58">
        <f>IF(BO724=1,0,IFERROR(VLOOKUP(BM724,'Gebinde-Kategorie'!$A$5:$G$45,5,0)+0,0))</f>
        <v/>
      </c>
      <c r="BZ724" s="58">
        <f>IFERROR(IF(OR(BQ724=1,BQ724=2,BQ724=3),N(INDEX(Parameter!$I$5:$I$7,BQ724)),0),0)</f>
        <v/>
      </c>
    </row>
    <row r="725">
      <c r="A725" s="53" t="inlineStr">
        <is>
          <t>005599</t>
        </is>
      </c>
      <c r="B725" s="53" t="inlineStr">
        <is>
          <t>Blitzleuchte (ohne Schallgeber)</t>
        </is>
      </c>
      <c r="C725" s="53" t="inlineStr">
        <is>
          <t>G</t>
        </is>
      </c>
      <c r="D725" s="53" t="inlineStr">
        <is>
          <t>PAL</t>
        </is>
      </c>
      <c r="E725" s="53" t="inlineStr">
        <is>
          <t>C</t>
        </is>
      </c>
      <c r="F725" s="54" t="n">
        <v>100.23</v>
      </c>
      <c r="G725" s="55">
        <f>MAX(0,IF(Parameter!$B$20="Jahresanfang 2025 + Export",BG725+BF725,BF725))</f>
        <v/>
      </c>
      <c r="H725" s="55">
        <f>G725*F725</f>
        <v/>
      </c>
      <c r="I725" s="55">
        <f>BI725*Parameter!$B$18</f>
        <v/>
      </c>
      <c r="J725" s="56" t="n">
        <v>0</v>
      </c>
      <c r="K725" s="57" t="n">
        <v>0</v>
      </c>
      <c r="L725" s="55" t="n">
        <v>0</v>
      </c>
      <c r="M725" s="55" t="n">
        <v>1</v>
      </c>
      <c r="N725" s="58" t="n">
        <v>21</v>
      </c>
      <c r="O725" s="53" t="inlineStr">
        <is>
          <t>LOSE</t>
        </is>
      </c>
      <c r="P725" s="55" t="n"/>
      <c r="Q725" s="59">
        <f>IF(BO725=1,0,IFERROR(VLOOKUP(BM725,'Gebinde-Kategorie'!$A$5:$G$45,6,0)+0,0))</f>
        <v/>
      </c>
      <c r="R725" s="60" t="n"/>
      <c r="S725" s="61" t="n"/>
      <c r="T725" s="61" t="n"/>
      <c r="U725" s="53">
        <f>IF(A725="","",IF(IFERROR(VLOOKUP(D725,Parameter!$A$35:$C$64,2,0),"Nein")="2+3",IF(ISNUMBER(SEARCH("grosser Artikel",BJ725)),2,IFERROR(VLOOKUP(BM725,Parameter!$F$35:$G$64,2,0),2)),IF(OR(IFERROR(VLOOKUP(D725,Parameter!$A$35:$C$64,2,0),"Nein")="Nein",IFERROR(VLOOKUP(D725,Parameter!$A$35:$C$64,2,0),"Nein")=""),"-",VLOOKUP(D725,Parameter!$A$35:$C$64,2,0))))</f>
        <v/>
      </c>
      <c r="V725" s="61" t="n"/>
      <c r="W725" s="62" t="n"/>
      <c r="X725" s="55">
        <f>AM725</f>
        <v/>
      </c>
      <c r="Y725" s="55">
        <f>MAX(AM725,G725)</f>
        <v/>
      </c>
      <c r="Z725" s="63" t="n"/>
      <c r="AA725" s="55">
        <f>IF(LEFT(Cockpit!$C$5,1)="A",G725,IF(BT725=1,BU725,IF(LEFT(Cockpit!$C$5,1)="B",AE725,MAX(AE725,G725))))</f>
        <v/>
      </c>
      <c r="AB725" s="55">
        <f>IF(BO725=1,0,ROUNDUP(AA725/BN725,0))</f>
        <v/>
      </c>
      <c r="AC725" s="64">
        <f>IF(BO725=1,IF(AA725&lt;=0,0,BP725*MAX(1,IF(G725&gt;0,AA725/G725,1))),AB725*Q725)</f>
        <v/>
      </c>
      <c r="AD725" s="55">
        <f>AA725*F725</f>
        <v/>
      </c>
      <c r="AE725" s="55">
        <f>ROUNDUP(MAX(I725/IF(BS725&gt;0,BS725,MAX(0.1,N(Cockpit!$C$6))),BV725)/BN725,0)*BN725</f>
        <v/>
      </c>
      <c r="AF725" s="56">
        <f>IF(AC725&gt;0,I725/AC725,-1)</f>
        <v/>
      </c>
      <c r="AG725" s="56">
        <f>IF(AND(OR(BR725="L1",BR725="L23"),AC725&gt;0),SUMIFS($AC$7:$AC$1570,$BR$7:$BR$1570,BR725,$AF$7:$AF$1570,"&gt;"&amp;AF725)+SUMIFS($AC$7:$AC$1570,$BR$7:$BR$1570,BR725,$AF$7:$AF$1570,AF725,$BL$7:$BL$1570,"&lt;="&amp;BL725),"")</f>
        <v/>
      </c>
      <c r="AH725" s="65">
        <f>IF(AG725="",0,MAX(0,MIN(1,(IF(BR725="L1",Parameter!$K$5,Parameter!$K$6+Parameter!$K$7)-(AG725-AC725))/AC725)))</f>
        <v/>
      </c>
      <c r="AI725" s="55">
        <f>IF(LEFT(Cockpit!$I$5,1)="A",G725,IF(BT725=1,BU725,IF(LEFT(Cockpit!$I$5,1)="B",AM725,MAX(AM725,G725))))</f>
        <v/>
      </c>
      <c r="AJ725" s="55">
        <f>IF(BO725=1,0,ROUNDUP(AI725/BN725,0))</f>
        <v/>
      </c>
      <c r="AK725" s="64">
        <f>IF(BO725=1,IF(AI725&lt;=0,0,BP725*MAX(1,IF(G725&gt;0,AI725/G725,1))),AJ725*Q725)</f>
        <v/>
      </c>
      <c r="AL725" s="55">
        <f>AI725*F725</f>
        <v/>
      </c>
      <c r="AM725" s="55">
        <f>ROUNDUP(MAX(I725/IF(BS725&gt;0,BS725,MAX(0.1,N(Cockpit!$I$6))),BV725)/BN725,0)*BN725</f>
        <v/>
      </c>
      <c r="AN725" s="56">
        <f>IF(AK725&gt;0,I725/AK725,-1)</f>
        <v/>
      </c>
      <c r="AO725" s="56">
        <f>IF(AND(OR(BR725="L1",BR725="L23"),AK725&gt;0),SUMIFS($AK$7:$AK$1570,$BR$7:$BR$1570,BR725,$AN$7:$AN$1570,"&gt;"&amp;AN725)+SUMIFS($AK$7:$AK$1570,$BR$7:$BR$1570,BR725,$AN$7:$AN$1570,AN725,$BL$7:$BL$1570,"&lt;="&amp;BL725),"")</f>
        <v/>
      </c>
      <c r="AP725" s="65">
        <f>IF(AO725="",0,MAX(0,MIN(1,(IF(BR725="L1",Parameter!$K$5,Parameter!$K$6+Parameter!$K$7)-(AO725-AK725))/AK725)))</f>
        <v/>
      </c>
      <c r="AQ725" s="55">
        <f>IF(LEFT(Cockpit!$O$5,1)="A",G725,IF(BT725=1,BU725,IF(LEFT(Cockpit!$O$5,1)="B",AU725,MAX(AU725,G725))))</f>
        <v/>
      </c>
      <c r="AR725" s="55">
        <f>IF(BO725=1,0,ROUNDUP(AQ725/BN725,0))</f>
        <v/>
      </c>
      <c r="AS725" s="64">
        <f>IF(BO725=1,IF(AQ725&lt;=0,0,BP725*MAX(1,IF(G725&gt;0,AQ725/G725,1))),AR725*Q725)</f>
        <v/>
      </c>
      <c r="AT725" s="55">
        <f>AQ725*F725</f>
        <v/>
      </c>
      <c r="AU725" s="55">
        <f>ROUNDUP(MAX(I725/IF(BS725&gt;0,BS725,MAX(0.1,N(Cockpit!$O$6))),BV725)/BN725,0)*BN725</f>
        <v/>
      </c>
      <c r="AV725" s="56">
        <f>IF(AS725&gt;0,I725/AS725,-1)</f>
        <v/>
      </c>
      <c r="AW725" s="56">
        <f>IF(AND(OR(BR725="L1",BR725="L23"),AS725&gt;0),SUMIFS($AS$7:$AS$1570,$BR$7:$BR$1570,BR725,$AV$7:$AV$1570,"&gt;"&amp;AV725)+SUMIFS($AS$7:$AS$1570,$BR$7:$BR$1570,BR725,$AV$7:$AV$1570,AV725,$BL$7:$BL$1570,"&lt;="&amp;BL725),"")</f>
        <v/>
      </c>
      <c r="AX725" s="65">
        <f>IF(AW725="",0,MAX(0,MIN(1,(IF(BR725="L1",Parameter!$K$5,Parameter!$K$6+Parameter!$K$7)-(AW725-AS725))/AS725)))</f>
        <v/>
      </c>
      <c r="AY725" s="53">
        <f>IF(AC725&lt;=0,"",IF(BR725="Aussen","Aussenlager",IF(BR725="-","Nicht im Lift",IF(AH725&gt;=1,"Lift",IF(AH725&lt;=0,"Aussenlager","teilweise")))))</f>
        <v/>
      </c>
      <c r="AZ725" s="53">
        <f>IF(AK725&lt;=0,"",IF(BR725="Aussen","Aussenlager",IF(BR725="-","Nicht im Lift",IF(AP725&gt;=1,"Lift",IF(AP725&lt;=0,"Aussenlager","teilweise")))))</f>
        <v/>
      </c>
      <c r="BA725" s="53">
        <f>IF(AS725&lt;=0,"",IF(BR725="Aussen","Aussenlager",IF(BR725="-","Nicht im Lift",IF(AX725&gt;=1,"Lift",IF(AX725&lt;=0,"Aussenlager","teilweise")))))</f>
        <v/>
      </c>
      <c r="BB725" s="53">
        <f>IF(A725="","",IF(BK725=1,"Neu; ","")&amp;IF(AND(BK725=0,BF725&lt;0),"negativer Bestand (Export "&amp;BF725&amp;"); ","")&amp;IF(I725&lt;=0,"Kein Verbrauch; ","")&amp;IF(BO725=1,"Lose – Fläche geschätzt; ","")&amp;IF(G725&gt;AM725,"Überbestand "&amp;ROUND(G725-AM725,0)&amp;" Stk / CHF "&amp;ROUND((G725-AM725)*F725,0)&amp;"; ","")&amp;IF(AND(BT725=1,BU725&lt;BV725),"MAX &lt; MB+LG; ","")&amp;IF(AND(BZ725&gt;0,BY725*10&gt;BZ725),"zu hoch für Tablar; ","")&amp;IF(AND(BK725=0,OR(BT725=1,V725&lt;&gt;"",S725&lt;&gt;"",T725&lt;&gt;"",W725&lt;&gt;"")),"manuell übersteuert; ","")&amp;IF(AND(BO725=0,Q725=0),"Gebinde unbekannt; ","")&amp;IF(AND(BO725=0,N(T725)&lt;=0,N(P725)&lt;=0),"Menge pro Gebinde fehlt (Ist = 1 Gebinde); ","")&amp;BJ725)</f>
        <v/>
      </c>
      <c r="BC725" s="53" t="n"/>
      <c r="BD725" s="53" t="n"/>
      <c r="BE725" s="61" t="n"/>
      <c r="BF725" s="55" t="n">
        <v>0</v>
      </c>
      <c r="BG725" s="55" t="n">
        <v>0</v>
      </c>
      <c r="BH725" s="54" t="n">
        <v>0</v>
      </c>
      <c r="BI725" s="55" t="n">
        <v>0</v>
      </c>
      <c r="BJ725" s="53" t="inlineStr"/>
      <c r="BK725" s="58" t="n">
        <v>0</v>
      </c>
      <c r="BL725" s="58" t="n">
        <v>725</v>
      </c>
      <c r="BM725" s="53">
        <f>IF(S725&lt;&gt;"",UPPER(TRIM(S725)),IF(O725="","LOSE",O725))</f>
        <v/>
      </c>
      <c r="BN725" s="55">
        <f>IF(BM725="LOSE",1,IF(N(T725)&gt;0,T725,IF(N(P725)&gt;0,P725,MAX(1,G725))))</f>
        <v/>
      </c>
      <c r="BO725" s="58">
        <f>IF(BM725="LOSE",1,0)</f>
        <v/>
      </c>
      <c r="BP725" s="64">
        <f>IF(BO725=0,0,IF(N(R725)&gt;0,R725,IFERROR(VLOOKUP(D725,Parameter!$A$35:$C$64,3,0)+0,0)))</f>
        <v/>
      </c>
      <c r="BQ725" s="53">
        <f>IF(V725&lt;&gt;"",V725,U725)</f>
        <v/>
      </c>
      <c r="BR725" s="53">
        <f>IF(BQ725=1,"L1",IF(OR(BQ725=2,BQ725=3),"L23",IF(BQ725="Aussen","Aussen","-")))</f>
        <v/>
      </c>
      <c r="BS725" s="66">
        <f>IF(N(W725)&gt;0,W725,0)</f>
        <v/>
      </c>
      <c r="BT725" s="58">
        <f>IF(ISNUMBER(Z725),1,0)</f>
        <v/>
      </c>
      <c r="BU725" s="55">
        <f>N(Z725)</f>
        <v/>
      </c>
      <c r="BV725" s="55">
        <f>N(L725)+N(M725)</f>
        <v/>
      </c>
      <c r="BW725" s="55">
        <f>ROUNDUP(G725/BN725,0)</f>
        <v/>
      </c>
      <c r="BX725" s="55">
        <f>ROUNDUP(BU725/BN725,0)</f>
        <v/>
      </c>
      <c r="BY725" s="58">
        <f>IF(BO725=1,0,IFERROR(VLOOKUP(BM725,'Gebinde-Kategorie'!$A$5:$G$45,5,0)+0,0))</f>
        <v/>
      </c>
      <c r="BZ725" s="58">
        <f>IFERROR(IF(OR(BQ725=1,BQ725=2,BQ725=3),N(INDEX(Parameter!$I$5:$I$7,BQ725)),0),0)</f>
        <v/>
      </c>
    </row>
    <row r="726">
      <c r="A726" s="53" t="inlineStr">
        <is>
          <t>005067</t>
        </is>
      </c>
      <c r="B726" s="53" t="inlineStr">
        <is>
          <t>Hochdruck-Ganzmetallschlauch O2</t>
        </is>
      </c>
      <c r="C726" s="53" t="inlineStr">
        <is>
          <t>F</t>
        </is>
      </c>
      <c r="D726" s="53" t="inlineStr">
        <is>
          <t>PAL</t>
        </is>
      </c>
      <c r="E726" s="53" t="inlineStr">
        <is>
          <t>C</t>
        </is>
      </c>
      <c r="F726" s="54" t="n">
        <v>467.1</v>
      </c>
      <c r="G726" s="55">
        <f>MAX(0,IF(Parameter!$B$20="Jahresanfang 2025 + Export",BG726+BF726,BF726))</f>
        <v/>
      </c>
      <c r="H726" s="55">
        <f>G726*F726</f>
        <v/>
      </c>
      <c r="I726" s="55">
        <f>BI726*Parameter!$B$18</f>
        <v/>
      </c>
      <c r="J726" s="56" t="n">
        <v>0</v>
      </c>
      <c r="K726" s="57" t="n">
        <v>0</v>
      </c>
      <c r="L726" s="55" t="n">
        <v>0</v>
      </c>
      <c r="M726" s="55" t="n">
        <v>1</v>
      </c>
      <c r="N726" s="58" t="n">
        <v>28</v>
      </c>
      <c r="O726" s="53" t="inlineStr">
        <is>
          <t>LOSE</t>
        </is>
      </c>
      <c r="P726" s="55" t="n"/>
      <c r="Q726" s="59">
        <f>IF(BO726=1,0,IFERROR(VLOOKUP(BM726,'Gebinde-Kategorie'!$A$5:$G$45,6,0)+0,0))</f>
        <v/>
      </c>
      <c r="R726" s="60" t="n"/>
      <c r="S726" s="61" t="n"/>
      <c r="T726" s="61" t="n"/>
      <c r="U726" s="53">
        <f>IF(A726="","",IF(IFERROR(VLOOKUP(D726,Parameter!$A$35:$C$64,2,0),"Nein")="2+3",IF(ISNUMBER(SEARCH("grosser Artikel",BJ726)),2,IFERROR(VLOOKUP(BM726,Parameter!$F$35:$G$64,2,0),2)),IF(OR(IFERROR(VLOOKUP(D726,Parameter!$A$35:$C$64,2,0),"Nein")="Nein",IFERROR(VLOOKUP(D726,Parameter!$A$35:$C$64,2,0),"Nein")=""),"-",VLOOKUP(D726,Parameter!$A$35:$C$64,2,0))))</f>
        <v/>
      </c>
      <c r="V726" s="61" t="n"/>
      <c r="W726" s="62" t="n"/>
      <c r="X726" s="55">
        <f>AM726</f>
        <v/>
      </c>
      <c r="Y726" s="55">
        <f>MAX(AM726,G726)</f>
        <v/>
      </c>
      <c r="Z726" s="63" t="n"/>
      <c r="AA726" s="55">
        <f>IF(LEFT(Cockpit!$C$5,1)="A",G726,IF(BT726=1,BU726,IF(LEFT(Cockpit!$C$5,1)="B",AE726,MAX(AE726,G726))))</f>
        <v/>
      </c>
      <c r="AB726" s="55">
        <f>IF(BO726=1,0,ROUNDUP(AA726/BN726,0))</f>
        <v/>
      </c>
      <c r="AC726" s="64">
        <f>IF(BO726=1,IF(AA726&lt;=0,0,BP726*MAX(1,IF(G726&gt;0,AA726/G726,1))),AB726*Q726)</f>
        <v/>
      </c>
      <c r="AD726" s="55">
        <f>AA726*F726</f>
        <v/>
      </c>
      <c r="AE726" s="55">
        <f>ROUNDUP(MAX(I726/IF(BS726&gt;0,BS726,MAX(0.1,N(Cockpit!$C$6))),BV726)/BN726,0)*BN726</f>
        <v/>
      </c>
      <c r="AF726" s="56">
        <f>IF(AC726&gt;0,I726/AC726,-1)</f>
        <v/>
      </c>
      <c r="AG726" s="56">
        <f>IF(AND(OR(BR726="L1",BR726="L23"),AC726&gt;0),SUMIFS($AC$7:$AC$1570,$BR$7:$BR$1570,BR726,$AF$7:$AF$1570,"&gt;"&amp;AF726)+SUMIFS($AC$7:$AC$1570,$BR$7:$BR$1570,BR726,$AF$7:$AF$1570,AF726,$BL$7:$BL$1570,"&lt;="&amp;BL726),"")</f>
        <v/>
      </c>
      <c r="AH726" s="65">
        <f>IF(AG726="",0,MAX(0,MIN(1,(IF(BR726="L1",Parameter!$K$5,Parameter!$K$6+Parameter!$K$7)-(AG726-AC726))/AC726)))</f>
        <v/>
      </c>
      <c r="AI726" s="55">
        <f>IF(LEFT(Cockpit!$I$5,1)="A",G726,IF(BT726=1,BU726,IF(LEFT(Cockpit!$I$5,1)="B",AM726,MAX(AM726,G726))))</f>
        <v/>
      </c>
      <c r="AJ726" s="55">
        <f>IF(BO726=1,0,ROUNDUP(AI726/BN726,0))</f>
        <v/>
      </c>
      <c r="AK726" s="64">
        <f>IF(BO726=1,IF(AI726&lt;=0,0,BP726*MAX(1,IF(G726&gt;0,AI726/G726,1))),AJ726*Q726)</f>
        <v/>
      </c>
      <c r="AL726" s="55">
        <f>AI726*F726</f>
        <v/>
      </c>
      <c r="AM726" s="55">
        <f>ROUNDUP(MAX(I726/IF(BS726&gt;0,BS726,MAX(0.1,N(Cockpit!$I$6))),BV726)/BN726,0)*BN726</f>
        <v/>
      </c>
      <c r="AN726" s="56">
        <f>IF(AK726&gt;0,I726/AK726,-1)</f>
        <v/>
      </c>
      <c r="AO726" s="56">
        <f>IF(AND(OR(BR726="L1",BR726="L23"),AK726&gt;0),SUMIFS($AK$7:$AK$1570,$BR$7:$BR$1570,BR726,$AN$7:$AN$1570,"&gt;"&amp;AN726)+SUMIFS($AK$7:$AK$1570,$BR$7:$BR$1570,BR726,$AN$7:$AN$1570,AN726,$BL$7:$BL$1570,"&lt;="&amp;BL726),"")</f>
        <v/>
      </c>
      <c r="AP726" s="65">
        <f>IF(AO726="",0,MAX(0,MIN(1,(IF(BR726="L1",Parameter!$K$5,Parameter!$K$6+Parameter!$K$7)-(AO726-AK726))/AK726)))</f>
        <v/>
      </c>
      <c r="AQ726" s="55">
        <f>IF(LEFT(Cockpit!$O$5,1)="A",G726,IF(BT726=1,BU726,IF(LEFT(Cockpit!$O$5,1)="B",AU726,MAX(AU726,G726))))</f>
        <v/>
      </c>
      <c r="AR726" s="55">
        <f>IF(BO726=1,0,ROUNDUP(AQ726/BN726,0))</f>
        <v/>
      </c>
      <c r="AS726" s="64">
        <f>IF(BO726=1,IF(AQ726&lt;=0,0,BP726*MAX(1,IF(G726&gt;0,AQ726/G726,1))),AR726*Q726)</f>
        <v/>
      </c>
      <c r="AT726" s="55">
        <f>AQ726*F726</f>
        <v/>
      </c>
      <c r="AU726" s="55">
        <f>ROUNDUP(MAX(I726/IF(BS726&gt;0,BS726,MAX(0.1,N(Cockpit!$O$6))),BV726)/BN726,0)*BN726</f>
        <v/>
      </c>
      <c r="AV726" s="56">
        <f>IF(AS726&gt;0,I726/AS726,-1)</f>
        <v/>
      </c>
      <c r="AW726" s="56">
        <f>IF(AND(OR(BR726="L1",BR726="L23"),AS726&gt;0),SUMIFS($AS$7:$AS$1570,$BR$7:$BR$1570,BR726,$AV$7:$AV$1570,"&gt;"&amp;AV726)+SUMIFS($AS$7:$AS$1570,$BR$7:$BR$1570,BR726,$AV$7:$AV$1570,AV726,$BL$7:$BL$1570,"&lt;="&amp;BL726),"")</f>
        <v/>
      </c>
      <c r="AX726" s="65">
        <f>IF(AW726="",0,MAX(0,MIN(1,(IF(BR726="L1",Parameter!$K$5,Parameter!$K$6+Parameter!$K$7)-(AW726-AS726))/AS726)))</f>
        <v/>
      </c>
      <c r="AY726" s="53">
        <f>IF(AC726&lt;=0,"",IF(BR726="Aussen","Aussenlager",IF(BR726="-","Nicht im Lift",IF(AH726&gt;=1,"Lift",IF(AH726&lt;=0,"Aussenlager","teilweise")))))</f>
        <v/>
      </c>
      <c r="AZ726" s="53">
        <f>IF(AK726&lt;=0,"",IF(BR726="Aussen","Aussenlager",IF(BR726="-","Nicht im Lift",IF(AP726&gt;=1,"Lift",IF(AP726&lt;=0,"Aussenlager","teilweise")))))</f>
        <v/>
      </c>
      <c r="BA726" s="53">
        <f>IF(AS726&lt;=0,"",IF(BR726="Aussen","Aussenlager",IF(BR726="-","Nicht im Lift",IF(AX726&gt;=1,"Lift",IF(AX726&lt;=0,"Aussenlager","teilweise")))))</f>
        <v/>
      </c>
      <c r="BB726" s="53">
        <f>IF(A726="","",IF(BK726=1,"Neu; ","")&amp;IF(AND(BK726=0,BF726&lt;0),"negativer Bestand (Export "&amp;BF726&amp;"); ","")&amp;IF(I726&lt;=0,"Kein Verbrauch; ","")&amp;IF(BO726=1,"Lose – Fläche geschätzt; ","")&amp;IF(G726&gt;AM726,"Überbestand "&amp;ROUND(G726-AM726,0)&amp;" Stk / CHF "&amp;ROUND((G726-AM726)*F726,0)&amp;"; ","")&amp;IF(AND(BT726=1,BU726&lt;BV726),"MAX &lt; MB+LG; ","")&amp;IF(AND(BZ726&gt;0,BY726*10&gt;BZ726),"zu hoch für Tablar; ","")&amp;IF(AND(BK726=0,OR(BT726=1,V726&lt;&gt;"",S726&lt;&gt;"",T726&lt;&gt;"",W726&lt;&gt;"")),"manuell übersteuert; ","")&amp;IF(AND(BO726=0,Q726=0),"Gebinde unbekannt; ","")&amp;IF(AND(BO726=0,N(T726)&lt;=0,N(P726)&lt;=0),"Menge pro Gebinde fehlt (Ist = 1 Gebinde); ","")&amp;BJ726)</f>
        <v/>
      </c>
      <c r="BC726" s="53" t="n"/>
      <c r="BD726" s="53" t="n"/>
      <c r="BE726" s="61" t="n"/>
      <c r="BF726" s="55" t="n">
        <v>0</v>
      </c>
      <c r="BG726" s="55" t="n">
        <v>0</v>
      </c>
      <c r="BH726" s="54" t="n">
        <v>0</v>
      </c>
      <c r="BI726" s="55" t="n">
        <v>1</v>
      </c>
      <c r="BJ726" s="53" t="inlineStr"/>
      <c r="BK726" s="58" t="n">
        <v>0</v>
      </c>
      <c r="BL726" s="58" t="n">
        <v>726</v>
      </c>
      <c r="BM726" s="53">
        <f>IF(S726&lt;&gt;"",UPPER(TRIM(S726)),IF(O726="","LOSE",O726))</f>
        <v/>
      </c>
      <c r="BN726" s="55">
        <f>IF(BM726="LOSE",1,IF(N(T726)&gt;0,T726,IF(N(P726)&gt;0,P726,MAX(1,G726))))</f>
        <v/>
      </c>
      <c r="BO726" s="58">
        <f>IF(BM726="LOSE",1,0)</f>
        <v/>
      </c>
      <c r="BP726" s="64">
        <f>IF(BO726=0,0,IF(N(R726)&gt;0,R726,IFERROR(VLOOKUP(D726,Parameter!$A$35:$C$64,3,0)+0,0)))</f>
        <v/>
      </c>
      <c r="BQ726" s="53">
        <f>IF(V726&lt;&gt;"",V726,U726)</f>
        <v/>
      </c>
      <c r="BR726" s="53">
        <f>IF(BQ726=1,"L1",IF(OR(BQ726=2,BQ726=3),"L23",IF(BQ726="Aussen","Aussen","-")))</f>
        <v/>
      </c>
      <c r="BS726" s="66">
        <f>IF(N(W726)&gt;0,W726,0)</f>
        <v/>
      </c>
      <c r="BT726" s="58">
        <f>IF(ISNUMBER(Z726),1,0)</f>
        <v/>
      </c>
      <c r="BU726" s="55">
        <f>N(Z726)</f>
        <v/>
      </c>
      <c r="BV726" s="55">
        <f>N(L726)+N(M726)</f>
        <v/>
      </c>
      <c r="BW726" s="55">
        <f>ROUNDUP(G726/BN726,0)</f>
        <v/>
      </c>
      <c r="BX726" s="55">
        <f>ROUNDUP(BU726/BN726,0)</f>
        <v/>
      </c>
      <c r="BY726" s="58">
        <f>IF(BO726=1,0,IFERROR(VLOOKUP(BM726,'Gebinde-Kategorie'!$A$5:$G$45,5,0)+0,0))</f>
        <v/>
      </c>
      <c r="BZ726" s="58">
        <f>IFERROR(IF(OR(BQ726=1,BQ726=2,BQ726=3),N(INDEX(Parameter!$I$5:$I$7,BQ726)),0),0)</f>
        <v/>
      </c>
    </row>
    <row r="727">
      <c r="A727" s="53" t="inlineStr">
        <is>
          <t>005661</t>
        </is>
      </c>
      <c r="B727" s="53" t="inlineStr">
        <is>
          <t>Drahtwirbelzange</t>
        </is>
      </c>
      <c r="C727" s="53" t="inlineStr">
        <is>
          <t>F</t>
        </is>
      </c>
      <c r="D727" s="53" t="inlineStr">
        <is>
          <t>KTL</t>
        </is>
      </c>
      <c r="E727" s="53" t="inlineStr">
        <is>
          <t>C</t>
        </is>
      </c>
      <c r="F727" s="54" t="n">
        <v>141.03</v>
      </c>
      <c r="G727" s="55">
        <f>MAX(0,IF(Parameter!$B$20="Jahresanfang 2025 + Export",BG727+BF727,BF727))</f>
        <v/>
      </c>
      <c r="H727" s="55">
        <f>G727*F727</f>
        <v/>
      </c>
      <c r="I727" s="55">
        <f>BI727*Parameter!$B$18</f>
        <v/>
      </c>
      <c r="J727" s="56" t="n">
        <v>11.5</v>
      </c>
      <c r="K727" s="57" t="n">
        <v>0.08695652173913043</v>
      </c>
      <c r="L727" s="55" t="n">
        <v>0</v>
      </c>
      <c r="M727" s="55" t="n">
        <v>1</v>
      </c>
      <c r="N727" s="58" t="n">
        <v>28</v>
      </c>
      <c r="O727" s="53" t="inlineStr">
        <is>
          <t>S51</t>
        </is>
      </c>
      <c r="P727" s="55" t="n">
        <v>15</v>
      </c>
      <c r="Q727" s="59">
        <f>IF(BO727=1,0,IFERROR(VLOOKUP(BM727,'Gebinde-Kategorie'!$A$5:$G$45,6,0)+0,0))</f>
        <v/>
      </c>
      <c r="R727" s="60" t="n"/>
      <c r="S727" s="61" t="n"/>
      <c r="T727" s="61" t="n"/>
      <c r="U727" s="53">
        <f>IF(A727="","",IF(IFERROR(VLOOKUP(D727,Parameter!$A$35:$C$64,2,0),"Nein")="2+3",IF(ISNUMBER(SEARCH("grosser Artikel",BJ727)),2,IFERROR(VLOOKUP(BM727,Parameter!$F$35:$G$64,2,0),2)),IF(OR(IFERROR(VLOOKUP(D727,Parameter!$A$35:$C$64,2,0),"Nein")="Nein",IFERROR(VLOOKUP(D727,Parameter!$A$35:$C$64,2,0),"Nein")=""),"-",VLOOKUP(D727,Parameter!$A$35:$C$64,2,0))))</f>
        <v/>
      </c>
      <c r="V727" s="61" t="n"/>
      <c r="W727" s="62" t="n"/>
      <c r="X727" s="55">
        <f>AM727</f>
        <v/>
      </c>
      <c r="Y727" s="55">
        <f>MAX(AM727,G727)</f>
        <v/>
      </c>
      <c r="Z727" s="63" t="n"/>
      <c r="AA727" s="55">
        <f>IF(LEFT(Cockpit!$C$5,1)="A",G727,IF(BT727=1,BU727,IF(LEFT(Cockpit!$C$5,1)="B",AE727,MAX(AE727,G727))))</f>
        <v/>
      </c>
      <c r="AB727" s="55">
        <f>IF(BO727=1,0,ROUNDUP(AA727/BN727,0))</f>
        <v/>
      </c>
      <c r="AC727" s="64">
        <f>IF(BO727=1,IF(AA727&lt;=0,0,BP727*MAX(1,IF(G727&gt;0,AA727/G727,1))),AB727*Q727)</f>
        <v/>
      </c>
      <c r="AD727" s="55">
        <f>AA727*F727</f>
        <v/>
      </c>
      <c r="AE727" s="55">
        <f>ROUNDUP(MAX(I727/IF(BS727&gt;0,BS727,MAX(0.1,N(Cockpit!$C$6))),BV727)/BN727,0)*BN727</f>
        <v/>
      </c>
      <c r="AF727" s="56">
        <f>IF(AC727&gt;0,I727/AC727,-1)</f>
        <v/>
      </c>
      <c r="AG727" s="56">
        <f>IF(AND(OR(BR727="L1",BR727="L23"),AC727&gt;0),SUMIFS($AC$7:$AC$1570,$BR$7:$BR$1570,BR727,$AF$7:$AF$1570,"&gt;"&amp;AF727)+SUMIFS($AC$7:$AC$1570,$BR$7:$BR$1570,BR727,$AF$7:$AF$1570,AF727,$BL$7:$BL$1570,"&lt;="&amp;BL727),"")</f>
        <v/>
      </c>
      <c r="AH727" s="65">
        <f>IF(AG727="",0,MAX(0,MIN(1,(IF(BR727="L1",Parameter!$K$5,Parameter!$K$6+Parameter!$K$7)-(AG727-AC727))/AC727)))</f>
        <v/>
      </c>
      <c r="AI727" s="55">
        <f>IF(LEFT(Cockpit!$I$5,1)="A",G727,IF(BT727=1,BU727,IF(LEFT(Cockpit!$I$5,1)="B",AM727,MAX(AM727,G727))))</f>
        <v/>
      </c>
      <c r="AJ727" s="55">
        <f>IF(BO727=1,0,ROUNDUP(AI727/BN727,0))</f>
        <v/>
      </c>
      <c r="AK727" s="64">
        <f>IF(BO727=1,IF(AI727&lt;=0,0,BP727*MAX(1,IF(G727&gt;0,AI727/G727,1))),AJ727*Q727)</f>
        <v/>
      </c>
      <c r="AL727" s="55">
        <f>AI727*F727</f>
        <v/>
      </c>
      <c r="AM727" s="55">
        <f>ROUNDUP(MAX(I727/IF(BS727&gt;0,BS727,MAX(0.1,N(Cockpit!$I$6))),BV727)/BN727,0)*BN727</f>
        <v/>
      </c>
      <c r="AN727" s="56">
        <f>IF(AK727&gt;0,I727/AK727,-1)</f>
        <v/>
      </c>
      <c r="AO727" s="56">
        <f>IF(AND(OR(BR727="L1",BR727="L23"),AK727&gt;0),SUMIFS($AK$7:$AK$1570,$BR$7:$BR$1570,BR727,$AN$7:$AN$1570,"&gt;"&amp;AN727)+SUMIFS($AK$7:$AK$1570,$BR$7:$BR$1570,BR727,$AN$7:$AN$1570,AN727,$BL$7:$BL$1570,"&lt;="&amp;BL727),"")</f>
        <v/>
      </c>
      <c r="AP727" s="65">
        <f>IF(AO727="",0,MAX(0,MIN(1,(IF(BR727="L1",Parameter!$K$5,Parameter!$K$6+Parameter!$K$7)-(AO727-AK727))/AK727)))</f>
        <v/>
      </c>
      <c r="AQ727" s="55">
        <f>IF(LEFT(Cockpit!$O$5,1)="A",G727,IF(BT727=1,BU727,IF(LEFT(Cockpit!$O$5,1)="B",AU727,MAX(AU727,G727))))</f>
        <v/>
      </c>
      <c r="AR727" s="55">
        <f>IF(BO727=1,0,ROUNDUP(AQ727/BN727,0))</f>
        <v/>
      </c>
      <c r="AS727" s="64">
        <f>IF(BO727=1,IF(AQ727&lt;=0,0,BP727*MAX(1,IF(G727&gt;0,AQ727/G727,1))),AR727*Q727)</f>
        <v/>
      </c>
      <c r="AT727" s="55">
        <f>AQ727*F727</f>
        <v/>
      </c>
      <c r="AU727" s="55">
        <f>ROUNDUP(MAX(I727/IF(BS727&gt;0,BS727,MAX(0.1,N(Cockpit!$O$6))),BV727)/BN727,0)*BN727</f>
        <v/>
      </c>
      <c r="AV727" s="56">
        <f>IF(AS727&gt;0,I727/AS727,-1)</f>
        <v/>
      </c>
      <c r="AW727" s="56">
        <f>IF(AND(OR(BR727="L1",BR727="L23"),AS727&gt;0),SUMIFS($AS$7:$AS$1570,$BR$7:$BR$1570,BR727,$AV$7:$AV$1570,"&gt;"&amp;AV727)+SUMIFS($AS$7:$AS$1570,$BR$7:$BR$1570,BR727,$AV$7:$AV$1570,AV727,$BL$7:$BL$1570,"&lt;="&amp;BL727),"")</f>
        <v/>
      </c>
      <c r="AX727" s="65">
        <f>IF(AW727="",0,MAX(0,MIN(1,(IF(BR727="L1",Parameter!$K$5,Parameter!$K$6+Parameter!$K$7)-(AW727-AS727))/AS727)))</f>
        <v/>
      </c>
      <c r="AY727" s="53">
        <f>IF(AC727&lt;=0,"",IF(BR727="Aussen","Aussenlager",IF(BR727="-","Nicht im Lift",IF(AH727&gt;=1,"Lift",IF(AH727&lt;=0,"Aussenlager","teilweise")))))</f>
        <v/>
      </c>
      <c r="AZ727" s="53">
        <f>IF(AK727&lt;=0,"",IF(BR727="Aussen","Aussenlager",IF(BR727="-","Nicht im Lift",IF(AP727&gt;=1,"Lift",IF(AP727&lt;=0,"Aussenlager","teilweise")))))</f>
        <v/>
      </c>
      <c r="BA727" s="53">
        <f>IF(AS727&lt;=0,"",IF(BR727="Aussen","Aussenlager",IF(BR727="-","Nicht im Lift",IF(AX727&gt;=1,"Lift",IF(AX727&lt;=0,"Aussenlager","teilweise")))))</f>
        <v/>
      </c>
      <c r="BB727" s="53">
        <f>IF(A727="","",IF(BK727=1,"Neu; ","")&amp;IF(AND(BK727=0,BF727&lt;0),"negativer Bestand (Export "&amp;BF727&amp;"); ","")&amp;IF(I727&lt;=0,"Kein Verbrauch; ","")&amp;IF(BO727=1,"Lose – Fläche geschätzt; ","")&amp;IF(G727&gt;AM727,"Überbestand "&amp;ROUND(G727-AM727,0)&amp;" Stk / CHF "&amp;ROUND((G727-AM727)*F727,0)&amp;"; ","")&amp;IF(AND(BT727=1,BU727&lt;BV727),"MAX &lt; MB+LG; ","")&amp;IF(AND(BZ727&gt;0,BY727*10&gt;BZ727),"zu hoch für Tablar; ","")&amp;IF(AND(BK727=0,OR(BT727=1,V727&lt;&gt;"",S727&lt;&gt;"",T727&lt;&gt;"",W727&lt;&gt;"")),"manuell übersteuert; ","")&amp;IF(AND(BO727=0,Q727=0),"Gebinde unbekannt; ","")&amp;IF(AND(BO727=0,N(T727)&lt;=0,N(P727)&lt;=0),"Menge pro Gebinde fehlt (Ist = 1 Gebinde); ","")&amp;BJ727)</f>
        <v/>
      </c>
      <c r="BC727" s="53" t="n"/>
      <c r="BD727" s="53" t="n"/>
      <c r="BE727" s="61" t="n"/>
      <c r="BF727" s="55" t="n">
        <v>0</v>
      </c>
      <c r="BG727" s="55" t="n">
        <v>12</v>
      </c>
      <c r="BH727" s="54" t="n">
        <v>0</v>
      </c>
      <c r="BI727" s="55" t="n">
        <v>1</v>
      </c>
      <c r="BJ727" s="53" t="inlineStr"/>
      <c r="BK727" s="58" t="n">
        <v>0</v>
      </c>
      <c r="BL727" s="58" t="n">
        <v>727</v>
      </c>
      <c r="BM727" s="53">
        <f>IF(S727&lt;&gt;"",UPPER(TRIM(S727)),IF(O727="","LOSE",O727))</f>
        <v/>
      </c>
      <c r="BN727" s="55">
        <f>IF(BM727="LOSE",1,IF(N(T727)&gt;0,T727,IF(N(P727)&gt;0,P727,MAX(1,G727))))</f>
        <v/>
      </c>
      <c r="BO727" s="58">
        <f>IF(BM727="LOSE",1,0)</f>
        <v/>
      </c>
      <c r="BP727" s="64">
        <f>IF(BO727=0,0,IF(N(R727)&gt;0,R727,IFERROR(VLOOKUP(D727,Parameter!$A$35:$C$64,3,0)+0,0)))</f>
        <v/>
      </c>
      <c r="BQ727" s="53">
        <f>IF(V727&lt;&gt;"",V727,U727)</f>
        <v/>
      </c>
      <c r="BR727" s="53">
        <f>IF(BQ727=1,"L1",IF(OR(BQ727=2,BQ727=3),"L23",IF(BQ727="Aussen","Aussen","-")))</f>
        <v/>
      </c>
      <c r="BS727" s="66">
        <f>IF(N(W727)&gt;0,W727,0)</f>
        <v/>
      </c>
      <c r="BT727" s="58">
        <f>IF(ISNUMBER(Z727),1,0)</f>
        <v/>
      </c>
      <c r="BU727" s="55">
        <f>N(Z727)</f>
        <v/>
      </c>
      <c r="BV727" s="55">
        <f>N(L727)+N(M727)</f>
        <v/>
      </c>
      <c r="BW727" s="55">
        <f>ROUNDUP(G727/BN727,0)</f>
        <v/>
      </c>
      <c r="BX727" s="55">
        <f>ROUNDUP(BU727/BN727,0)</f>
        <v/>
      </c>
      <c r="BY727" s="58">
        <f>IF(BO727=1,0,IFERROR(VLOOKUP(BM727,'Gebinde-Kategorie'!$A$5:$G$45,5,0)+0,0))</f>
        <v/>
      </c>
      <c r="BZ727" s="58">
        <f>IFERROR(IF(OR(BQ727=1,BQ727=2,BQ727=3),N(INDEX(Parameter!$I$5:$I$7,BQ727)),0),0)</f>
        <v/>
      </c>
    </row>
    <row r="728">
      <c r="A728" s="53" t="inlineStr">
        <is>
          <t>005567</t>
        </is>
      </c>
      <c r="B728" s="53" t="inlineStr">
        <is>
          <t>Adapter G-1/2"-a auf NPT 1/4"i</t>
        </is>
      </c>
      <c r="C728" s="53" t="inlineStr">
        <is>
          <t>F</t>
        </is>
      </c>
      <c r="D728" s="53" t="inlineStr">
        <is>
          <t>KTL</t>
        </is>
      </c>
      <c r="E728" s="53" t="inlineStr">
        <is>
          <t>C</t>
        </is>
      </c>
      <c r="F728" s="54" t="n">
        <v>0</v>
      </c>
      <c r="G728" s="55">
        <f>MAX(0,IF(Parameter!$B$20="Jahresanfang 2025 + Export",BG728+BF728,BF728))</f>
        <v/>
      </c>
      <c r="H728" s="55">
        <f>G728*F728</f>
        <v/>
      </c>
      <c r="I728" s="55">
        <f>BI728*Parameter!$B$18</f>
        <v/>
      </c>
      <c r="J728" s="56" t="n">
        <v>0.5</v>
      </c>
      <c r="K728" s="57" t="n">
        <v>0</v>
      </c>
      <c r="L728" s="55" t="n">
        <v>0</v>
      </c>
      <c r="M728" s="55" t="n">
        <v>1</v>
      </c>
      <c r="N728" s="58" t="n">
        <v>14</v>
      </c>
      <c r="O728" s="53" t="inlineStr">
        <is>
          <t>LOSE</t>
        </is>
      </c>
      <c r="P728" s="55" t="n"/>
      <c r="Q728" s="59">
        <f>IF(BO728=1,0,IFERROR(VLOOKUP(BM728,'Gebinde-Kategorie'!$A$5:$G$45,6,0)+0,0))</f>
        <v/>
      </c>
      <c r="R728" s="60" t="n"/>
      <c r="S728" s="61" t="n"/>
      <c r="T728" s="61" t="n"/>
      <c r="U728" s="53">
        <f>IF(A728="","",IF(IFERROR(VLOOKUP(D728,Parameter!$A$35:$C$64,2,0),"Nein")="2+3",IF(ISNUMBER(SEARCH("grosser Artikel",BJ728)),2,IFERROR(VLOOKUP(BM728,Parameter!$F$35:$G$64,2,0),2)),IF(OR(IFERROR(VLOOKUP(D728,Parameter!$A$35:$C$64,2,0),"Nein")="Nein",IFERROR(VLOOKUP(D728,Parameter!$A$35:$C$64,2,0),"Nein")=""),"-",VLOOKUP(D728,Parameter!$A$35:$C$64,2,0))))</f>
        <v/>
      </c>
      <c r="V728" s="61" t="n"/>
      <c r="W728" s="62" t="n"/>
      <c r="X728" s="55">
        <f>AM728</f>
        <v/>
      </c>
      <c r="Y728" s="55">
        <f>MAX(AM728,G728)</f>
        <v/>
      </c>
      <c r="Z728" s="63" t="n"/>
      <c r="AA728" s="55">
        <f>IF(LEFT(Cockpit!$C$5,1)="A",G728,IF(BT728=1,BU728,IF(LEFT(Cockpit!$C$5,1)="B",AE728,MAX(AE728,G728))))</f>
        <v/>
      </c>
      <c r="AB728" s="55">
        <f>IF(BO728=1,0,ROUNDUP(AA728/BN728,0))</f>
        <v/>
      </c>
      <c r="AC728" s="64">
        <f>IF(BO728=1,IF(AA728&lt;=0,0,BP728*MAX(1,IF(G728&gt;0,AA728/G728,1))),AB728*Q728)</f>
        <v/>
      </c>
      <c r="AD728" s="55">
        <f>AA728*F728</f>
        <v/>
      </c>
      <c r="AE728" s="55">
        <f>ROUNDUP(MAX(I728/IF(BS728&gt;0,BS728,MAX(0.1,N(Cockpit!$C$6))),BV728)/BN728,0)*BN728</f>
        <v/>
      </c>
      <c r="AF728" s="56">
        <f>IF(AC728&gt;0,I728/AC728,-1)</f>
        <v/>
      </c>
      <c r="AG728" s="56">
        <f>IF(AND(OR(BR728="L1",BR728="L23"),AC728&gt;0),SUMIFS($AC$7:$AC$1570,$BR$7:$BR$1570,BR728,$AF$7:$AF$1570,"&gt;"&amp;AF728)+SUMIFS($AC$7:$AC$1570,$BR$7:$BR$1570,BR728,$AF$7:$AF$1570,AF728,$BL$7:$BL$1570,"&lt;="&amp;BL728),"")</f>
        <v/>
      </c>
      <c r="AH728" s="65">
        <f>IF(AG728="",0,MAX(0,MIN(1,(IF(BR728="L1",Parameter!$K$5,Parameter!$K$6+Parameter!$K$7)-(AG728-AC728))/AC728)))</f>
        <v/>
      </c>
      <c r="AI728" s="55">
        <f>IF(LEFT(Cockpit!$I$5,1)="A",G728,IF(BT728=1,BU728,IF(LEFT(Cockpit!$I$5,1)="B",AM728,MAX(AM728,G728))))</f>
        <v/>
      </c>
      <c r="AJ728" s="55">
        <f>IF(BO728=1,0,ROUNDUP(AI728/BN728,0))</f>
        <v/>
      </c>
      <c r="AK728" s="64">
        <f>IF(BO728=1,IF(AI728&lt;=0,0,BP728*MAX(1,IF(G728&gt;0,AI728/G728,1))),AJ728*Q728)</f>
        <v/>
      </c>
      <c r="AL728" s="55">
        <f>AI728*F728</f>
        <v/>
      </c>
      <c r="AM728" s="55">
        <f>ROUNDUP(MAX(I728/IF(BS728&gt;0,BS728,MAX(0.1,N(Cockpit!$I$6))),BV728)/BN728,0)*BN728</f>
        <v/>
      </c>
      <c r="AN728" s="56">
        <f>IF(AK728&gt;0,I728/AK728,-1)</f>
        <v/>
      </c>
      <c r="AO728" s="56">
        <f>IF(AND(OR(BR728="L1",BR728="L23"),AK728&gt;0),SUMIFS($AK$7:$AK$1570,$BR$7:$BR$1570,BR728,$AN$7:$AN$1570,"&gt;"&amp;AN728)+SUMIFS($AK$7:$AK$1570,$BR$7:$BR$1570,BR728,$AN$7:$AN$1570,AN728,$BL$7:$BL$1570,"&lt;="&amp;BL728),"")</f>
        <v/>
      </c>
      <c r="AP728" s="65">
        <f>IF(AO728="",0,MAX(0,MIN(1,(IF(BR728="L1",Parameter!$K$5,Parameter!$K$6+Parameter!$K$7)-(AO728-AK728))/AK728)))</f>
        <v/>
      </c>
      <c r="AQ728" s="55">
        <f>IF(LEFT(Cockpit!$O$5,1)="A",G728,IF(BT728=1,BU728,IF(LEFT(Cockpit!$O$5,1)="B",AU728,MAX(AU728,G728))))</f>
        <v/>
      </c>
      <c r="AR728" s="55">
        <f>IF(BO728=1,0,ROUNDUP(AQ728/BN728,0))</f>
        <v/>
      </c>
      <c r="AS728" s="64">
        <f>IF(BO728=1,IF(AQ728&lt;=0,0,BP728*MAX(1,IF(G728&gt;0,AQ728/G728,1))),AR728*Q728)</f>
        <v/>
      </c>
      <c r="AT728" s="55">
        <f>AQ728*F728</f>
        <v/>
      </c>
      <c r="AU728" s="55">
        <f>ROUNDUP(MAX(I728/IF(BS728&gt;0,BS728,MAX(0.1,N(Cockpit!$O$6))),BV728)/BN728,0)*BN728</f>
        <v/>
      </c>
      <c r="AV728" s="56">
        <f>IF(AS728&gt;0,I728/AS728,-1)</f>
        <v/>
      </c>
      <c r="AW728" s="56">
        <f>IF(AND(OR(BR728="L1",BR728="L23"),AS728&gt;0),SUMIFS($AS$7:$AS$1570,$BR$7:$BR$1570,BR728,$AV$7:$AV$1570,"&gt;"&amp;AV728)+SUMIFS($AS$7:$AS$1570,$BR$7:$BR$1570,BR728,$AV$7:$AV$1570,AV728,$BL$7:$BL$1570,"&lt;="&amp;BL728),"")</f>
        <v/>
      </c>
      <c r="AX728" s="65">
        <f>IF(AW728="",0,MAX(0,MIN(1,(IF(BR728="L1",Parameter!$K$5,Parameter!$K$6+Parameter!$K$7)-(AW728-AS728))/AS728)))</f>
        <v/>
      </c>
      <c r="AY728" s="53">
        <f>IF(AC728&lt;=0,"",IF(BR728="Aussen","Aussenlager",IF(BR728="-","Nicht im Lift",IF(AH728&gt;=1,"Lift",IF(AH728&lt;=0,"Aussenlager","teilweise")))))</f>
        <v/>
      </c>
      <c r="AZ728" s="53">
        <f>IF(AK728&lt;=0,"",IF(BR728="Aussen","Aussenlager",IF(BR728="-","Nicht im Lift",IF(AP728&gt;=1,"Lift",IF(AP728&lt;=0,"Aussenlager","teilweise")))))</f>
        <v/>
      </c>
      <c r="BA728" s="53">
        <f>IF(AS728&lt;=0,"",IF(BR728="Aussen","Aussenlager",IF(BR728="-","Nicht im Lift",IF(AX728&gt;=1,"Lift",IF(AX728&lt;=0,"Aussenlager","teilweise")))))</f>
        <v/>
      </c>
      <c r="BB728" s="53">
        <f>IF(A728="","",IF(BK728=1,"Neu; ","")&amp;IF(AND(BK728=0,BF728&lt;0),"negativer Bestand (Export "&amp;BF728&amp;"); ","")&amp;IF(I728&lt;=0,"Kein Verbrauch; ","")&amp;IF(BO728=1,"Lose – Fläche geschätzt; ","")&amp;IF(G728&gt;AM728,"Überbestand "&amp;ROUND(G728-AM728,0)&amp;" Stk / CHF "&amp;ROUND((G728-AM728)*F728,0)&amp;"; ","")&amp;IF(AND(BT728=1,BU728&lt;BV728),"MAX &lt; MB+LG; ","")&amp;IF(AND(BZ728&gt;0,BY728*10&gt;BZ728),"zu hoch für Tablar; ","")&amp;IF(AND(BK728=0,OR(BT728=1,V728&lt;&gt;"",S728&lt;&gt;"",T728&lt;&gt;"",W728&lt;&gt;"")),"manuell übersteuert; ","")&amp;IF(AND(BO728=0,Q728=0),"Gebinde unbekannt; ","")&amp;IF(AND(BO728=0,N(T728)&lt;=0,N(P728)&lt;=0),"Menge pro Gebinde fehlt (Ist = 1 Gebinde); ","")&amp;BJ728)</f>
        <v/>
      </c>
      <c r="BC728" s="53" t="n"/>
      <c r="BD728" s="53" t="n"/>
      <c r="BE728" s="61" t="n"/>
      <c r="BF728" s="55" t="n">
        <v>-1</v>
      </c>
      <c r="BG728" s="55" t="n">
        <v>1</v>
      </c>
      <c r="BH728" s="54" t="n">
        <v>0</v>
      </c>
      <c r="BI728" s="55" t="n">
        <v>0</v>
      </c>
      <c r="BJ728" s="53" t="inlineStr"/>
      <c r="BK728" s="58" t="n">
        <v>0</v>
      </c>
      <c r="BL728" s="58" t="n">
        <v>728</v>
      </c>
      <c r="BM728" s="53">
        <f>IF(S728&lt;&gt;"",UPPER(TRIM(S728)),IF(O728="","LOSE",O728))</f>
        <v/>
      </c>
      <c r="BN728" s="55">
        <f>IF(BM728="LOSE",1,IF(N(T728)&gt;0,T728,IF(N(P728)&gt;0,P728,MAX(1,G728))))</f>
        <v/>
      </c>
      <c r="BO728" s="58">
        <f>IF(BM728="LOSE",1,0)</f>
        <v/>
      </c>
      <c r="BP728" s="64">
        <f>IF(BO728=0,0,IF(N(R728)&gt;0,R728,IFERROR(VLOOKUP(D728,Parameter!$A$35:$C$64,3,0)+0,0)))</f>
        <v/>
      </c>
      <c r="BQ728" s="53">
        <f>IF(V728&lt;&gt;"",V728,U728)</f>
        <v/>
      </c>
      <c r="BR728" s="53">
        <f>IF(BQ728=1,"L1",IF(OR(BQ728=2,BQ728=3),"L23",IF(BQ728="Aussen","Aussen","-")))</f>
        <v/>
      </c>
      <c r="BS728" s="66">
        <f>IF(N(W728)&gt;0,W728,0)</f>
        <v/>
      </c>
      <c r="BT728" s="58">
        <f>IF(ISNUMBER(Z728),1,0)</f>
        <v/>
      </c>
      <c r="BU728" s="55">
        <f>N(Z728)</f>
        <v/>
      </c>
      <c r="BV728" s="55">
        <f>N(L728)+N(M728)</f>
        <v/>
      </c>
      <c r="BW728" s="55">
        <f>ROUNDUP(G728/BN728,0)</f>
        <v/>
      </c>
      <c r="BX728" s="55">
        <f>ROUNDUP(BU728/BN728,0)</f>
        <v/>
      </c>
      <c r="BY728" s="58">
        <f>IF(BO728=1,0,IFERROR(VLOOKUP(BM728,'Gebinde-Kategorie'!$A$5:$G$45,5,0)+0,0))</f>
        <v/>
      </c>
      <c r="BZ728" s="58">
        <f>IFERROR(IF(OR(BQ728=1,BQ728=2,BQ728=3),N(INDEX(Parameter!$I$5:$I$7,BQ728)),0),0)</f>
        <v/>
      </c>
    </row>
    <row r="729">
      <c r="A729" s="53" t="inlineStr">
        <is>
          <t>002071</t>
        </is>
      </c>
      <c r="B729" s="53" t="inlineStr">
        <is>
          <t>Nylon-Strickhandschuh</t>
        </is>
      </c>
      <c r="C729" s="53" t="inlineStr">
        <is>
          <t>F</t>
        </is>
      </c>
      <c r="D729" s="53" t="inlineStr">
        <is>
          <t>VERB-P</t>
        </is>
      </c>
      <c r="E729" s="53" t="inlineStr">
        <is>
          <t>C</t>
        </is>
      </c>
      <c r="F729" s="54" t="n">
        <v>4.4</v>
      </c>
      <c r="G729" s="55">
        <f>MAX(0,IF(Parameter!$B$20="Jahresanfang 2025 + Export",BG729+BF729,BF729))</f>
        <v/>
      </c>
      <c r="H729" s="55">
        <f>G729*F729</f>
        <v/>
      </c>
      <c r="I729" s="55">
        <f>BI729*Parameter!$B$18</f>
        <v/>
      </c>
      <c r="J729" s="56" t="n">
        <v>0</v>
      </c>
      <c r="K729" s="57" t="n">
        <v>0</v>
      </c>
      <c r="L729" s="55" t="n">
        <v>0</v>
      </c>
      <c r="M729" s="55" t="n">
        <v>12</v>
      </c>
      <c r="N729" s="58" t="n">
        <v>14</v>
      </c>
      <c r="O729" s="53" t="inlineStr">
        <is>
          <t>S51</t>
        </is>
      </c>
      <c r="P729" s="55" t="n">
        <v>24</v>
      </c>
      <c r="Q729" s="59">
        <f>IF(BO729=1,0,IFERROR(VLOOKUP(BM729,'Gebinde-Kategorie'!$A$5:$G$45,6,0)+0,0))</f>
        <v/>
      </c>
      <c r="R729" s="60" t="n"/>
      <c r="S729" s="61" t="n"/>
      <c r="T729" s="61" t="n"/>
      <c r="U729" s="53">
        <f>IF(A729="","",IF(IFERROR(VLOOKUP(D729,Parameter!$A$35:$C$64,2,0),"Nein")="2+3",IF(ISNUMBER(SEARCH("grosser Artikel",BJ729)),2,IFERROR(VLOOKUP(BM729,Parameter!$F$35:$G$64,2,0),2)),IF(OR(IFERROR(VLOOKUP(D729,Parameter!$A$35:$C$64,2,0),"Nein")="Nein",IFERROR(VLOOKUP(D729,Parameter!$A$35:$C$64,2,0),"Nein")=""),"-",VLOOKUP(D729,Parameter!$A$35:$C$64,2,0))))</f>
        <v/>
      </c>
      <c r="V729" s="61" t="n"/>
      <c r="W729" s="62" t="n"/>
      <c r="X729" s="55">
        <f>AM729</f>
        <v/>
      </c>
      <c r="Y729" s="55">
        <f>MAX(AM729,G729)</f>
        <v/>
      </c>
      <c r="Z729" s="63" t="n"/>
      <c r="AA729" s="55">
        <f>IF(LEFT(Cockpit!$C$5,1)="A",G729,IF(BT729=1,BU729,IF(LEFT(Cockpit!$C$5,1)="B",AE729,MAX(AE729,G729))))</f>
        <v/>
      </c>
      <c r="AB729" s="55">
        <f>IF(BO729=1,0,ROUNDUP(AA729/BN729,0))</f>
        <v/>
      </c>
      <c r="AC729" s="64">
        <f>IF(BO729=1,IF(AA729&lt;=0,0,BP729*MAX(1,IF(G729&gt;0,AA729/G729,1))),AB729*Q729)</f>
        <v/>
      </c>
      <c r="AD729" s="55">
        <f>AA729*F729</f>
        <v/>
      </c>
      <c r="AE729" s="55">
        <f>ROUNDUP(MAX(I729/IF(BS729&gt;0,BS729,MAX(0.1,N(Cockpit!$C$6))),BV729)/BN729,0)*BN729</f>
        <v/>
      </c>
      <c r="AF729" s="56">
        <f>IF(AC729&gt;0,I729/AC729,-1)</f>
        <v/>
      </c>
      <c r="AG729" s="56">
        <f>IF(AND(OR(BR729="L1",BR729="L23"),AC729&gt;0),SUMIFS($AC$7:$AC$1570,$BR$7:$BR$1570,BR729,$AF$7:$AF$1570,"&gt;"&amp;AF729)+SUMIFS($AC$7:$AC$1570,$BR$7:$BR$1570,BR729,$AF$7:$AF$1570,AF729,$BL$7:$BL$1570,"&lt;="&amp;BL729),"")</f>
        <v/>
      </c>
      <c r="AH729" s="65">
        <f>IF(AG729="",0,MAX(0,MIN(1,(IF(BR729="L1",Parameter!$K$5,Parameter!$K$6+Parameter!$K$7)-(AG729-AC729))/AC729)))</f>
        <v/>
      </c>
      <c r="AI729" s="55">
        <f>IF(LEFT(Cockpit!$I$5,1)="A",G729,IF(BT729=1,BU729,IF(LEFT(Cockpit!$I$5,1)="B",AM729,MAX(AM729,G729))))</f>
        <v/>
      </c>
      <c r="AJ729" s="55">
        <f>IF(BO729=1,0,ROUNDUP(AI729/BN729,0))</f>
        <v/>
      </c>
      <c r="AK729" s="64">
        <f>IF(BO729=1,IF(AI729&lt;=0,0,BP729*MAX(1,IF(G729&gt;0,AI729/G729,1))),AJ729*Q729)</f>
        <v/>
      </c>
      <c r="AL729" s="55">
        <f>AI729*F729</f>
        <v/>
      </c>
      <c r="AM729" s="55">
        <f>ROUNDUP(MAX(I729/IF(BS729&gt;0,BS729,MAX(0.1,N(Cockpit!$I$6))),BV729)/BN729,0)*BN729</f>
        <v/>
      </c>
      <c r="AN729" s="56">
        <f>IF(AK729&gt;0,I729/AK729,-1)</f>
        <v/>
      </c>
      <c r="AO729" s="56">
        <f>IF(AND(OR(BR729="L1",BR729="L23"),AK729&gt;0),SUMIFS($AK$7:$AK$1570,$BR$7:$BR$1570,BR729,$AN$7:$AN$1570,"&gt;"&amp;AN729)+SUMIFS($AK$7:$AK$1570,$BR$7:$BR$1570,BR729,$AN$7:$AN$1570,AN729,$BL$7:$BL$1570,"&lt;="&amp;BL729),"")</f>
        <v/>
      </c>
      <c r="AP729" s="65">
        <f>IF(AO729="",0,MAX(0,MIN(1,(IF(BR729="L1",Parameter!$K$5,Parameter!$K$6+Parameter!$K$7)-(AO729-AK729))/AK729)))</f>
        <v/>
      </c>
      <c r="AQ729" s="55">
        <f>IF(LEFT(Cockpit!$O$5,1)="A",G729,IF(BT729=1,BU729,IF(LEFT(Cockpit!$O$5,1)="B",AU729,MAX(AU729,G729))))</f>
        <v/>
      </c>
      <c r="AR729" s="55">
        <f>IF(BO729=1,0,ROUNDUP(AQ729/BN729,0))</f>
        <v/>
      </c>
      <c r="AS729" s="64">
        <f>IF(BO729=1,IF(AQ729&lt;=0,0,BP729*MAX(1,IF(G729&gt;0,AQ729/G729,1))),AR729*Q729)</f>
        <v/>
      </c>
      <c r="AT729" s="55">
        <f>AQ729*F729</f>
        <v/>
      </c>
      <c r="AU729" s="55">
        <f>ROUNDUP(MAX(I729/IF(BS729&gt;0,BS729,MAX(0.1,N(Cockpit!$O$6))),BV729)/BN729,0)*BN729</f>
        <v/>
      </c>
      <c r="AV729" s="56">
        <f>IF(AS729&gt;0,I729/AS729,-1)</f>
        <v/>
      </c>
      <c r="AW729" s="56">
        <f>IF(AND(OR(BR729="L1",BR729="L23"),AS729&gt;0),SUMIFS($AS$7:$AS$1570,$BR$7:$BR$1570,BR729,$AV$7:$AV$1570,"&gt;"&amp;AV729)+SUMIFS($AS$7:$AS$1570,$BR$7:$BR$1570,BR729,$AV$7:$AV$1570,AV729,$BL$7:$BL$1570,"&lt;="&amp;BL729),"")</f>
        <v/>
      </c>
      <c r="AX729" s="65">
        <f>IF(AW729="",0,MAX(0,MIN(1,(IF(BR729="L1",Parameter!$K$5,Parameter!$K$6+Parameter!$K$7)-(AW729-AS729))/AS729)))</f>
        <v/>
      </c>
      <c r="AY729" s="53">
        <f>IF(AC729&lt;=0,"",IF(BR729="Aussen","Aussenlager",IF(BR729="-","Nicht im Lift",IF(AH729&gt;=1,"Lift",IF(AH729&lt;=0,"Aussenlager","teilweise")))))</f>
        <v/>
      </c>
      <c r="AZ729" s="53">
        <f>IF(AK729&lt;=0,"",IF(BR729="Aussen","Aussenlager",IF(BR729="-","Nicht im Lift",IF(AP729&gt;=1,"Lift",IF(AP729&lt;=0,"Aussenlager","teilweise")))))</f>
        <v/>
      </c>
      <c r="BA729" s="53">
        <f>IF(AS729&lt;=0,"",IF(BR729="Aussen","Aussenlager",IF(BR729="-","Nicht im Lift",IF(AX729&gt;=1,"Lift",IF(AX729&lt;=0,"Aussenlager","teilweise")))))</f>
        <v/>
      </c>
      <c r="BB729" s="53">
        <f>IF(A729="","",IF(BK729=1,"Neu; ","")&amp;IF(AND(BK729=0,BF729&lt;0),"negativer Bestand (Export "&amp;BF729&amp;"); ","")&amp;IF(I729&lt;=0,"Kein Verbrauch; ","")&amp;IF(BO729=1,"Lose – Fläche geschätzt; ","")&amp;IF(G729&gt;AM729,"Überbestand "&amp;ROUND(G729-AM729,0)&amp;" Stk / CHF "&amp;ROUND((G729-AM729)*F729,0)&amp;"; ","")&amp;IF(AND(BT729=1,BU729&lt;BV729),"MAX &lt; MB+LG; ","")&amp;IF(AND(BZ729&gt;0,BY729*10&gt;BZ729),"zu hoch für Tablar; ","")&amp;IF(AND(BK729=0,OR(BT729=1,V729&lt;&gt;"",S729&lt;&gt;"",T729&lt;&gt;"",W729&lt;&gt;"")),"manuell übersteuert; ","")&amp;IF(AND(BO729=0,Q729=0),"Gebinde unbekannt; ","")&amp;IF(AND(BO729=0,N(T729)&lt;=0,N(P729)&lt;=0),"Menge pro Gebinde fehlt (Ist = 1 Gebinde); ","")&amp;BJ729)</f>
        <v/>
      </c>
      <c r="BC729" s="53" t="n"/>
      <c r="BD729" s="53" t="n"/>
      <c r="BE729" s="61" t="n"/>
      <c r="BF729" s="55" t="n">
        <v>0</v>
      </c>
      <c r="BG729" s="55" t="n">
        <v>0</v>
      </c>
      <c r="BH729" s="54" t="n">
        <v>0</v>
      </c>
      <c r="BI729" s="55" t="n">
        <v>24</v>
      </c>
      <c r="BJ729" s="53" t="inlineStr"/>
      <c r="BK729" s="58" t="n">
        <v>0</v>
      </c>
      <c r="BL729" s="58" t="n">
        <v>729</v>
      </c>
      <c r="BM729" s="53">
        <f>IF(S729&lt;&gt;"",UPPER(TRIM(S729)),IF(O729="","LOSE",O729))</f>
        <v/>
      </c>
      <c r="BN729" s="55">
        <f>IF(BM729="LOSE",1,IF(N(T729)&gt;0,T729,IF(N(P729)&gt;0,P729,MAX(1,G729))))</f>
        <v/>
      </c>
      <c r="BO729" s="58">
        <f>IF(BM729="LOSE",1,0)</f>
        <v/>
      </c>
      <c r="BP729" s="64">
        <f>IF(BO729=0,0,IF(N(R729)&gt;0,R729,IFERROR(VLOOKUP(D729,Parameter!$A$35:$C$64,3,0)+0,0)))</f>
        <v/>
      </c>
      <c r="BQ729" s="53">
        <f>IF(V729&lt;&gt;"",V729,U729)</f>
        <v/>
      </c>
      <c r="BR729" s="53">
        <f>IF(BQ729=1,"L1",IF(OR(BQ729=2,BQ729=3),"L23",IF(BQ729="Aussen","Aussen","-")))</f>
        <v/>
      </c>
      <c r="BS729" s="66">
        <f>IF(N(W729)&gt;0,W729,0)</f>
        <v/>
      </c>
      <c r="BT729" s="58">
        <f>IF(ISNUMBER(Z729),1,0)</f>
        <v/>
      </c>
      <c r="BU729" s="55">
        <f>N(Z729)</f>
        <v/>
      </c>
      <c r="BV729" s="55">
        <f>N(L729)+N(M729)</f>
        <v/>
      </c>
      <c r="BW729" s="55">
        <f>ROUNDUP(G729/BN729,0)</f>
        <v/>
      </c>
      <c r="BX729" s="55">
        <f>ROUNDUP(BU729/BN729,0)</f>
        <v/>
      </c>
      <c r="BY729" s="58">
        <f>IF(BO729=1,0,IFERROR(VLOOKUP(BM729,'Gebinde-Kategorie'!$A$5:$G$45,5,0)+0,0))</f>
        <v/>
      </c>
      <c r="BZ729" s="58">
        <f>IFERROR(IF(OR(BQ729=1,BQ729=2,BQ729=3),N(INDEX(Parameter!$I$5:$I$7,BQ729)),0),0)</f>
        <v/>
      </c>
    </row>
    <row r="730">
      <c r="A730" s="53" t="inlineStr">
        <is>
          <t>005486</t>
        </is>
      </c>
      <c r="B730" s="53" t="inlineStr">
        <is>
          <t>Reduzierverschraubung</t>
        </is>
      </c>
      <c r="C730" s="53" t="inlineStr">
        <is>
          <t>F</t>
        </is>
      </c>
      <c r="D730" s="53" t="inlineStr">
        <is>
          <t>KTL</t>
        </is>
      </c>
      <c r="E730" s="53" t="inlineStr">
        <is>
          <t>C</t>
        </is>
      </c>
      <c r="F730" s="54" t="n">
        <v>70.7</v>
      </c>
      <c r="G730" s="55">
        <f>MAX(0,IF(Parameter!$B$20="Jahresanfang 2025 + Export",BG730+BF730,BF730))</f>
        <v/>
      </c>
      <c r="H730" s="55">
        <f>G730*F730</f>
        <v/>
      </c>
      <c r="I730" s="55">
        <f>BI730*Parameter!$B$18</f>
        <v/>
      </c>
      <c r="J730" s="56" t="n">
        <v>172</v>
      </c>
      <c r="K730" s="57" t="n">
        <v>0.005813953488372093</v>
      </c>
      <c r="L730" s="55" t="n">
        <v>0</v>
      </c>
      <c r="M730" s="55" t="n">
        <v>10</v>
      </c>
      <c r="N730" s="58" t="n">
        <v>105</v>
      </c>
      <c r="O730" s="53" t="inlineStr">
        <is>
          <t>S51</t>
        </is>
      </c>
      <c r="P730" s="55" t="n">
        <v>181</v>
      </c>
      <c r="Q730" s="59">
        <f>IF(BO730=1,0,IFERROR(VLOOKUP(BM730,'Gebinde-Kategorie'!$A$5:$G$45,6,0)+0,0))</f>
        <v/>
      </c>
      <c r="R730" s="60" t="n"/>
      <c r="S730" s="61" t="n"/>
      <c r="T730" s="61" t="n"/>
      <c r="U730" s="53">
        <f>IF(A730="","",IF(IFERROR(VLOOKUP(D730,Parameter!$A$35:$C$64,2,0),"Nein")="2+3",IF(ISNUMBER(SEARCH("grosser Artikel",BJ730)),2,IFERROR(VLOOKUP(BM730,Parameter!$F$35:$G$64,2,0),2)),IF(OR(IFERROR(VLOOKUP(D730,Parameter!$A$35:$C$64,2,0),"Nein")="Nein",IFERROR(VLOOKUP(D730,Parameter!$A$35:$C$64,2,0),"Nein")=""),"-",VLOOKUP(D730,Parameter!$A$35:$C$64,2,0))))</f>
        <v/>
      </c>
      <c r="V730" s="61" t="n"/>
      <c r="W730" s="62" t="n"/>
      <c r="X730" s="55">
        <f>AM730</f>
        <v/>
      </c>
      <c r="Y730" s="55">
        <f>MAX(AM730,G730)</f>
        <v/>
      </c>
      <c r="Z730" s="63" t="n"/>
      <c r="AA730" s="55">
        <f>IF(LEFT(Cockpit!$C$5,1)="A",G730,IF(BT730=1,BU730,IF(LEFT(Cockpit!$C$5,1)="B",AE730,MAX(AE730,G730))))</f>
        <v/>
      </c>
      <c r="AB730" s="55">
        <f>IF(BO730=1,0,ROUNDUP(AA730/BN730,0))</f>
        <v/>
      </c>
      <c r="AC730" s="64">
        <f>IF(BO730=1,IF(AA730&lt;=0,0,BP730*MAX(1,IF(G730&gt;0,AA730/G730,1))),AB730*Q730)</f>
        <v/>
      </c>
      <c r="AD730" s="55">
        <f>AA730*F730</f>
        <v/>
      </c>
      <c r="AE730" s="55">
        <f>ROUNDUP(MAX(I730/IF(BS730&gt;0,BS730,MAX(0.1,N(Cockpit!$C$6))),BV730)/BN730,0)*BN730</f>
        <v/>
      </c>
      <c r="AF730" s="56">
        <f>IF(AC730&gt;0,I730/AC730,-1)</f>
        <v/>
      </c>
      <c r="AG730" s="56">
        <f>IF(AND(OR(BR730="L1",BR730="L23"),AC730&gt;0),SUMIFS($AC$7:$AC$1570,$BR$7:$BR$1570,BR730,$AF$7:$AF$1570,"&gt;"&amp;AF730)+SUMIFS($AC$7:$AC$1570,$BR$7:$BR$1570,BR730,$AF$7:$AF$1570,AF730,$BL$7:$BL$1570,"&lt;="&amp;BL730),"")</f>
        <v/>
      </c>
      <c r="AH730" s="65">
        <f>IF(AG730="",0,MAX(0,MIN(1,(IF(BR730="L1",Parameter!$K$5,Parameter!$K$6+Parameter!$K$7)-(AG730-AC730))/AC730)))</f>
        <v/>
      </c>
      <c r="AI730" s="55">
        <f>IF(LEFT(Cockpit!$I$5,1)="A",G730,IF(BT730=1,BU730,IF(LEFT(Cockpit!$I$5,1)="B",AM730,MAX(AM730,G730))))</f>
        <v/>
      </c>
      <c r="AJ730" s="55">
        <f>IF(BO730=1,0,ROUNDUP(AI730/BN730,0))</f>
        <v/>
      </c>
      <c r="AK730" s="64">
        <f>IF(BO730=1,IF(AI730&lt;=0,0,BP730*MAX(1,IF(G730&gt;0,AI730/G730,1))),AJ730*Q730)</f>
        <v/>
      </c>
      <c r="AL730" s="55">
        <f>AI730*F730</f>
        <v/>
      </c>
      <c r="AM730" s="55">
        <f>ROUNDUP(MAX(I730/IF(BS730&gt;0,BS730,MAX(0.1,N(Cockpit!$I$6))),BV730)/BN730,0)*BN730</f>
        <v/>
      </c>
      <c r="AN730" s="56">
        <f>IF(AK730&gt;0,I730/AK730,-1)</f>
        <v/>
      </c>
      <c r="AO730" s="56">
        <f>IF(AND(OR(BR730="L1",BR730="L23"),AK730&gt;0),SUMIFS($AK$7:$AK$1570,$BR$7:$BR$1570,BR730,$AN$7:$AN$1570,"&gt;"&amp;AN730)+SUMIFS($AK$7:$AK$1570,$BR$7:$BR$1570,BR730,$AN$7:$AN$1570,AN730,$BL$7:$BL$1570,"&lt;="&amp;BL730),"")</f>
        <v/>
      </c>
      <c r="AP730" s="65">
        <f>IF(AO730="",0,MAX(0,MIN(1,(IF(BR730="L1",Parameter!$K$5,Parameter!$K$6+Parameter!$K$7)-(AO730-AK730))/AK730)))</f>
        <v/>
      </c>
      <c r="AQ730" s="55">
        <f>IF(LEFT(Cockpit!$O$5,1)="A",G730,IF(BT730=1,BU730,IF(LEFT(Cockpit!$O$5,1)="B",AU730,MAX(AU730,G730))))</f>
        <v/>
      </c>
      <c r="AR730" s="55">
        <f>IF(BO730=1,0,ROUNDUP(AQ730/BN730,0))</f>
        <v/>
      </c>
      <c r="AS730" s="64">
        <f>IF(BO730=1,IF(AQ730&lt;=0,0,BP730*MAX(1,IF(G730&gt;0,AQ730/G730,1))),AR730*Q730)</f>
        <v/>
      </c>
      <c r="AT730" s="55">
        <f>AQ730*F730</f>
        <v/>
      </c>
      <c r="AU730" s="55">
        <f>ROUNDUP(MAX(I730/IF(BS730&gt;0,BS730,MAX(0.1,N(Cockpit!$O$6))),BV730)/BN730,0)*BN730</f>
        <v/>
      </c>
      <c r="AV730" s="56">
        <f>IF(AS730&gt;0,I730/AS730,-1)</f>
        <v/>
      </c>
      <c r="AW730" s="56">
        <f>IF(AND(OR(BR730="L1",BR730="L23"),AS730&gt;0),SUMIFS($AS$7:$AS$1570,$BR$7:$BR$1570,BR730,$AV$7:$AV$1570,"&gt;"&amp;AV730)+SUMIFS($AS$7:$AS$1570,$BR$7:$BR$1570,BR730,$AV$7:$AV$1570,AV730,$BL$7:$BL$1570,"&lt;="&amp;BL730),"")</f>
        <v/>
      </c>
      <c r="AX730" s="65">
        <f>IF(AW730="",0,MAX(0,MIN(1,(IF(BR730="L1",Parameter!$K$5,Parameter!$K$6+Parameter!$K$7)-(AW730-AS730))/AS730)))</f>
        <v/>
      </c>
      <c r="AY730" s="53">
        <f>IF(AC730&lt;=0,"",IF(BR730="Aussen","Aussenlager",IF(BR730="-","Nicht im Lift",IF(AH730&gt;=1,"Lift",IF(AH730&lt;=0,"Aussenlager","teilweise")))))</f>
        <v/>
      </c>
      <c r="AZ730" s="53">
        <f>IF(AK730&lt;=0,"",IF(BR730="Aussen","Aussenlager",IF(BR730="-","Nicht im Lift",IF(AP730&gt;=1,"Lift",IF(AP730&lt;=0,"Aussenlager","teilweise")))))</f>
        <v/>
      </c>
      <c r="BA730" s="53">
        <f>IF(AS730&lt;=0,"",IF(BR730="Aussen","Aussenlager",IF(BR730="-","Nicht im Lift",IF(AX730&gt;=1,"Lift",IF(AX730&lt;=0,"Aussenlager","teilweise")))))</f>
        <v/>
      </c>
      <c r="BB730" s="53">
        <f>IF(A730="","",IF(BK730=1,"Neu; ","")&amp;IF(AND(BK730=0,BF730&lt;0),"negativer Bestand (Export "&amp;BF730&amp;"); ","")&amp;IF(I730&lt;=0,"Kein Verbrauch; ","")&amp;IF(BO730=1,"Lose – Fläche geschätzt; ","")&amp;IF(G730&gt;AM730,"Überbestand "&amp;ROUND(G730-AM730,0)&amp;" Stk / CHF "&amp;ROUND((G730-AM730)*F730,0)&amp;"; ","")&amp;IF(AND(BT730=1,BU730&lt;BV730),"MAX &lt; MB+LG; ","")&amp;IF(AND(BZ730&gt;0,BY730*10&gt;BZ730),"zu hoch für Tablar; ","")&amp;IF(AND(BK730=0,OR(BT730=1,V730&lt;&gt;"",S730&lt;&gt;"",T730&lt;&gt;"",W730&lt;&gt;"")),"manuell übersteuert; ","")&amp;IF(AND(BO730=0,Q730=0),"Gebinde unbekannt; ","")&amp;IF(AND(BO730=0,N(T730)&lt;=0,N(P730)&lt;=0),"Menge pro Gebinde fehlt (Ist = 1 Gebinde); ","")&amp;BJ730)</f>
        <v/>
      </c>
      <c r="BC730" s="53" t="n"/>
      <c r="BD730" s="53" t="n"/>
      <c r="BE730" s="61" t="n"/>
      <c r="BF730" s="55" t="n">
        <v>0</v>
      </c>
      <c r="BG730" s="55" t="n">
        <v>172</v>
      </c>
      <c r="BH730" s="54" t="n">
        <v>0</v>
      </c>
      <c r="BI730" s="55" t="n">
        <v>1</v>
      </c>
      <c r="BJ730" s="53" t="inlineStr">
        <is>
          <t>Überbestand</t>
        </is>
      </c>
      <c r="BK730" s="58" t="n">
        <v>0</v>
      </c>
      <c r="BL730" s="58" t="n">
        <v>730</v>
      </c>
      <c r="BM730" s="53">
        <f>IF(S730&lt;&gt;"",UPPER(TRIM(S730)),IF(O730="","LOSE",O730))</f>
        <v/>
      </c>
      <c r="BN730" s="55">
        <f>IF(BM730="LOSE",1,IF(N(T730)&gt;0,T730,IF(N(P730)&gt;0,P730,MAX(1,G730))))</f>
        <v/>
      </c>
      <c r="BO730" s="58">
        <f>IF(BM730="LOSE",1,0)</f>
        <v/>
      </c>
      <c r="BP730" s="64">
        <f>IF(BO730=0,0,IF(N(R730)&gt;0,R730,IFERROR(VLOOKUP(D730,Parameter!$A$35:$C$64,3,0)+0,0)))</f>
        <v/>
      </c>
      <c r="BQ730" s="53">
        <f>IF(V730&lt;&gt;"",V730,U730)</f>
        <v/>
      </c>
      <c r="BR730" s="53">
        <f>IF(BQ730=1,"L1",IF(OR(BQ730=2,BQ730=3),"L23",IF(BQ730="Aussen","Aussen","-")))</f>
        <v/>
      </c>
      <c r="BS730" s="66">
        <f>IF(N(W730)&gt;0,W730,0)</f>
        <v/>
      </c>
      <c r="BT730" s="58">
        <f>IF(ISNUMBER(Z730),1,0)</f>
        <v/>
      </c>
      <c r="BU730" s="55">
        <f>N(Z730)</f>
        <v/>
      </c>
      <c r="BV730" s="55">
        <f>N(L730)+N(M730)</f>
        <v/>
      </c>
      <c r="BW730" s="55">
        <f>ROUNDUP(G730/BN730,0)</f>
        <v/>
      </c>
      <c r="BX730" s="55">
        <f>ROUNDUP(BU730/BN730,0)</f>
        <v/>
      </c>
      <c r="BY730" s="58">
        <f>IF(BO730=1,0,IFERROR(VLOOKUP(BM730,'Gebinde-Kategorie'!$A$5:$G$45,5,0)+0,0))</f>
        <v/>
      </c>
      <c r="BZ730" s="58">
        <f>IFERROR(IF(OR(BQ730=1,BQ730=2,BQ730=3),N(INDEX(Parameter!$I$5:$I$7,BQ730)),0),0)</f>
        <v/>
      </c>
    </row>
    <row r="731">
      <c r="A731" s="53" t="inlineStr">
        <is>
          <t>001193</t>
        </is>
      </c>
      <c r="B731" s="53" t="inlineStr">
        <is>
          <t>Werkzeugkiste PM&amp;SV</t>
        </is>
      </c>
      <c r="C731" s="53" t="inlineStr">
        <is>
          <t>F</t>
        </is>
      </c>
      <c r="D731" s="53" t="inlineStr">
        <is>
          <t>PAL</t>
        </is>
      </c>
      <c r="E731" s="53" t="inlineStr">
        <is>
          <t>C</t>
        </is>
      </c>
      <c r="F731" s="54" t="n">
        <v>0</v>
      </c>
      <c r="G731" s="55">
        <f>MAX(0,IF(Parameter!$B$20="Jahresanfang 2025 + Export",BG731+BF731,BF731))</f>
        <v/>
      </c>
      <c r="H731" s="55">
        <f>G731*F731</f>
        <v/>
      </c>
      <c r="I731" s="55">
        <f>BI731*Parameter!$B$18</f>
        <v/>
      </c>
      <c r="J731" s="56" t="n">
        <v>0.5</v>
      </c>
      <c r="K731" s="57" t="n">
        <v>0</v>
      </c>
      <c r="L731" s="55" t="n">
        <v>0</v>
      </c>
      <c r="M731" s="55" t="n">
        <v>1</v>
      </c>
      <c r="N731" s="58" t="n">
        <v>90</v>
      </c>
      <c r="O731" s="53" t="inlineStr">
        <is>
          <t>LOSE</t>
        </is>
      </c>
      <c r="P731" s="55" t="n"/>
      <c r="Q731" s="59">
        <f>IF(BO731=1,0,IFERROR(VLOOKUP(BM731,'Gebinde-Kategorie'!$A$5:$G$45,6,0)+0,0))</f>
        <v/>
      </c>
      <c r="R731" s="60" t="n"/>
      <c r="S731" s="61" t="n"/>
      <c r="T731" s="61" t="n"/>
      <c r="U731" s="53">
        <f>IF(A731="","",IF(IFERROR(VLOOKUP(D731,Parameter!$A$35:$C$64,2,0),"Nein")="2+3",IF(ISNUMBER(SEARCH("grosser Artikel",BJ731)),2,IFERROR(VLOOKUP(BM731,Parameter!$F$35:$G$64,2,0),2)),IF(OR(IFERROR(VLOOKUP(D731,Parameter!$A$35:$C$64,2,0),"Nein")="Nein",IFERROR(VLOOKUP(D731,Parameter!$A$35:$C$64,2,0),"Nein")=""),"-",VLOOKUP(D731,Parameter!$A$35:$C$64,2,0))))</f>
        <v/>
      </c>
      <c r="V731" s="61" t="n"/>
      <c r="W731" s="62" t="n"/>
      <c r="X731" s="55">
        <f>AM731</f>
        <v/>
      </c>
      <c r="Y731" s="55">
        <f>MAX(AM731,G731)</f>
        <v/>
      </c>
      <c r="Z731" s="63" t="n"/>
      <c r="AA731" s="55">
        <f>IF(LEFT(Cockpit!$C$5,1)="A",G731,IF(BT731=1,BU731,IF(LEFT(Cockpit!$C$5,1)="B",AE731,MAX(AE731,G731))))</f>
        <v/>
      </c>
      <c r="AB731" s="55">
        <f>IF(BO731=1,0,ROUNDUP(AA731/BN731,0))</f>
        <v/>
      </c>
      <c r="AC731" s="64">
        <f>IF(BO731=1,IF(AA731&lt;=0,0,BP731*MAX(1,IF(G731&gt;0,AA731/G731,1))),AB731*Q731)</f>
        <v/>
      </c>
      <c r="AD731" s="55">
        <f>AA731*F731</f>
        <v/>
      </c>
      <c r="AE731" s="55">
        <f>ROUNDUP(MAX(I731/IF(BS731&gt;0,BS731,MAX(0.1,N(Cockpit!$C$6))),BV731)/BN731,0)*BN731</f>
        <v/>
      </c>
      <c r="AF731" s="56">
        <f>IF(AC731&gt;0,I731/AC731,-1)</f>
        <v/>
      </c>
      <c r="AG731" s="56">
        <f>IF(AND(OR(BR731="L1",BR731="L23"),AC731&gt;0),SUMIFS($AC$7:$AC$1570,$BR$7:$BR$1570,BR731,$AF$7:$AF$1570,"&gt;"&amp;AF731)+SUMIFS($AC$7:$AC$1570,$BR$7:$BR$1570,BR731,$AF$7:$AF$1570,AF731,$BL$7:$BL$1570,"&lt;="&amp;BL731),"")</f>
        <v/>
      </c>
      <c r="AH731" s="65">
        <f>IF(AG731="",0,MAX(0,MIN(1,(IF(BR731="L1",Parameter!$K$5,Parameter!$K$6+Parameter!$K$7)-(AG731-AC731))/AC731)))</f>
        <v/>
      </c>
      <c r="AI731" s="55">
        <f>IF(LEFT(Cockpit!$I$5,1)="A",G731,IF(BT731=1,BU731,IF(LEFT(Cockpit!$I$5,1)="B",AM731,MAX(AM731,G731))))</f>
        <v/>
      </c>
      <c r="AJ731" s="55">
        <f>IF(BO731=1,0,ROUNDUP(AI731/BN731,0))</f>
        <v/>
      </c>
      <c r="AK731" s="64">
        <f>IF(BO731=1,IF(AI731&lt;=0,0,BP731*MAX(1,IF(G731&gt;0,AI731/G731,1))),AJ731*Q731)</f>
        <v/>
      </c>
      <c r="AL731" s="55">
        <f>AI731*F731</f>
        <v/>
      </c>
      <c r="AM731" s="55">
        <f>ROUNDUP(MAX(I731/IF(BS731&gt;0,BS731,MAX(0.1,N(Cockpit!$I$6))),BV731)/BN731,0)*BN731</f>
        <v/>
      </c>
      <c r="AN731" s="56">
        <f>IF(AK731&gt;0,I731/AK731,-1)</f>
        <v/>
      </c>
      <c r="AO731" s="56">
        <f>IF(AND(OR(BR731="L1",BR731="L23"),AK731&gt;0),SUMIFS($AK$7:$AK$1570,$BR$7:$BR$1570,BR731,$AN$7:$AN$1570,"&gt;"&amp;AN731)+SUMIFS($AK$7:$AK$1570,$BR$7:$BR$1570,BR731,$AN$7:$AN$1570,AN731,$BL$7:$BL$1570,"&lt;="&amp;BL731),"")</f>
        <v/>
      </c>
      <c r="AP731" s="65">
        <f>IF(AO731="",0,MAX(0,MIN(1,(IF(BR731="L1",Parameter!$K$5,Parameter!$K$6+Parameter!$K$7)-(AO731-AK731))/AK731)))</f>
        <v/>
      </c>
      <c r="AQ731" s="55">
        <f>IF(LEFT(Cockpit!$O$5,1)="A",G731,IF(BT731=1,BU731,IF(LEFT(Cockpit!$O$5,1)="B",AU731,MAX(AU731,G731))))</f>
        <v/>
      </c>
      <c r="AR731" s="55">
        <f>IF(BO731=1,0,ROUNDUP(AQ731/BN731,0))</f>
        <v/>
      </c>
      <c r="AS731" s="64">
        <f>IF(BO731=1,IF(AQ731&lt;=0,0,BP731*MAX(1,IF(G731&gt;0,AQ731/G731,1))),AR731*Q731)</f>
        <v/>
      </c>
      <c r="AT731" s="55">
        <f>AQ731*F731</f>
        <v/>
      </c>
      <c r="AU731" s="55">
        <f>ROUNDUP(MAX(I731/IF(BS731&gt;0,BS731,MAX(0.1,N(Cockpit!$O$6))),BV731)/BN731,0)*BN731</f>
        <v/>
      </c>
      <c r="AV731" s="56">
        <f>IF(AS731&gt;0,I731/AS731,-1)</f>
        <v/>
      </c>
      <c r="AW731" s="56">
        <f>IF(AND(OR(BR731="L1",BR731="L23"),AS731&gt;0),SUMIFS($AS$7:$AS$1570,$BR$7:$BR$1570,BR731,$AV$7:$AV$1570,"&gt;"&amp;AV731)+SUMIFS($AS$7:$AS$1570,$BR$7:$BR$1570,BR731,$AV$7:$AV$1570,AV731,$BL$7:$BL$1570,"&lt;="&amp;BL731),"")</f>
        <v/>
      </c>
      <c r="AX731" s="65">
        <f>IF(AW731="",0,MAX(0,MIN(1,(IF(BR731="L1",Parameter!$K$5,Parameter!$K$6+Parameter!$K$7)-(AW731-AS731))/AS731)))</f>
        <v/>
      </c>
      <c r="AY731" s="53">
        <f>IF(AC731&lt;=0,"",IF(BR731="Aussen","Aussenlager",IF(BR731="-","Nicht im Lift",IF(AH731&gt;=1,"Lift",IF(AH731&lt;=0,"Aussenlager","teilweise")))))</f>
        <v/>
      </c>
      <c r="AZ731" s="53">
        <f>IF(AK731&lt;=0,"",IF(BR731="Aussen","Aussenlager",IF(BR731="-","Nicht im Lift",IF(AP731&gt;=1,"Lift",IF(AP731&lt;=0,"Aussenlager","teilweise")))))</f>
        <v/>
      </c>
      <c r="BA731" s="53">
        <f>IF(AS731&lt;=0,"",IF(BR731="Aussen","Aussenlager",IF(BR731="-","Nicht im Lift",IF(AX731&gt;=1,"Lift",IF(AX731&lt;=0,"Aussenlager","teilweise")))))</f>
        <v/>
      </c>
      <c r="BB731" s="53">
        <f>IF(A731="","",IF(BK731=1,"Neu; ","")&amp;IF(AND(BK731=0,BF731&lt;0),"negativer Bestand (Export "&amp;BF731&amp;"); ","")&amp;IF(I731&lt;=0,"Kein Verbrauch; ","")&amp;IF(BO731=1,"Lose – Fläche geschätzt; ","")&amp;IF(G731&gt;AM731,"Überbestand "&amp;ROUND(G731-AM731,0)&amp;" Stk / CHF "&amp;ROUND((G731-AM731)*F731,0)&amp;"; ","")&amp;IF(AND(BT731=1,BU731&lt;BV731),"MAX &lt; MB+LG; ","")&amp;IF(AND(BZ731&gt;0,BY731*10&gt;BZ731),"zu hoch für Tablar; ","")&amp;IF(AND(BK731=0,OR(BT731=1,V731&lt;&gt;"",S731&lt;&gt;"",T731&lt;&gt;"",W731&lt;&gt;"")),"manuell übersteuert; ","")&amp;IF(AND(BO731=0,Q731=0),"Gebinde unbekannt; ","")&amp;IF(AND(BO731=0,N(T731)&lt;=0,N(P731)&lt;=0),"Menge pro Gebinde fehlt (Ist = 1 Gebinde); ","")&amp;BJ731)</f>
        <v/>
      </c>
      <c r="BC731" s="53" t="n"/>
      <c r="BD731" s="53" t="n"/>
      <c r="BE731" s="61" t="n"/>
      <c r="BF731" s="55" t="n">
        <v>-1</v>
      </c>
      <c r="BG731" s="55" t="n">
        <v>1</v>
      </c>
      <c r="BH731" s="54" t="n">
        <v>0</v>
      </c>
      <c r="BI731" s="55" t="n">
        <v>0</v>
      </c>
      <c r="BJ731" s="53" t="inlineStr"/>
      <c r="BK731" s="58" t="n">
        <v>0</v>
      </c>
      <c r="BL731" s="58" t="n">
        <v>731</v>
      </c>
      <c r="BM731" s="53">
        <f>IF(S731&lt;&gt;"",UPPER(TRIM(S731)),IF(O731="","LOSE",O731))</f>
        <v/>
      </c>
      <c r="BN731" s="55">
        <f>IF(BM731="LOSE",1,IF(N(T731)&gt;0,T731,IF(N(P731)&gt;0,P731,MAX(1,G731))))</f>
        <v/>
      </c>
      <c r="BO731" s="58">
        <f>IF(BM731="LOSE",1,0)</f>
        <v/>
      </c>
      <c r="BP731" s="64">
        <f>IF(BO731=0,0,IF(N(R731)&gt;0,R731,IFERROR(VLOOKUP(D731,Parameter!$A$35:$C$64,3,0)+0,0)))</f>
        <v/>
      </c>
      <c r="BQ731" s="53">
        <f>IF(V731&lt;&gt;"",V731,U731)</f>
        <v/>
      </c>
      <c r="BR731" s="53">
        <f>IF(BQ731=1,"L1",IF(OR(BQ731=2,BQ731=3),"L23",IF(BQ731="Aussen","Aussen","-")))</f>
        <v/>
      </c>
      <c r="BS731" s="66">
        <f>IF(N(W731)&gt;0,W731,0)</f>
        <v/>
      </c>
      <c r="BT731" s="58">
        <f>IF(ISNUMBER(Z731),1,0)</f>
        <v/>
      </c>
      <c r="BU731" s="55">
        <f>N(Z731)</f>
        <v/>
      </c>
      <c r="BV731" s="55">
        <f>N(L731)+N(M731)</f>
        <v/>
      </c>
      <c r="BW731" s="55">
        <f>ROUNDUP(G731/BN731,0)</f>
        <v/>
      </c>
      <c r="BX731" s="55">
        <f>ROUNDUP(BU731/BN731,0)</f>
        <v/>
      </c>
      <c r="BY731" s="58">
        <f>IF(BO731=1,0,IFERROR(VLOOKUP(BM731,'Gebinde-Kategorie'!$A$5:$G$45,5,0)+0,0))</f>
        <v/>
      </c>
      <c r="BZ731" s="58">
        <f>IFERROR(IF(OR(BQ731=1,BQ731=2,BQ731=3),N(INDEX(Parameter!$I$5:$I$7,BQ731)),0),0)</f>
        <v/>
      </c>
    </row>
    <row r="732">
      <c r="A732" s="53" t="inlineStr">
        <is>
          <t>005391</t>
        </is>
      </c>
      <c r="B732" s="53" t="inlineStr">
        <is>
          <t>Steckschlüsseleinsatz</t>
        </is>
      </c>
      <c r="C732" s="53" t="inlineStr">
        <is>
          <t>F</t>
        </is>
      </c>
      <c r="D732" s="53" t="inlineStr">
        <is>
          <t>KTL</t>
        </is>
      </c>
      <c r="E732" s="53" t="inlineStr">
        <is>
          <t>C</t>
        </is>
      </c>
      <c r="F732" s="54" t="n">
        <v>22.27</v>
      </c>
      <c r="G732" s="55">
        <f>MAX(0,IF(Parameter!$B$20="Jahresanfang 2025 + Export",BG732+BF732,BF732))</f>
        <v/>
      </c>
      <c r="H732" s="55">
        <f>G732*F732</f>
        <v/>
      </c>
      <c r="I732" s="55">
        <f>BI732*Parameter!$B$18</f>
        <v/>
      </c>
      <c r="J732" s="56" t="n">
        <v>12.5</v>
      </c>
      <c r="K732" s="57" t="n">
        <v>0.08</v>
      </c>
      <c r="L732" s="55" t="n">
        <v>0</v>
      </c>
      <c r="M732" s="55" t="n">
        <v>1</v>
      </c>
      <c r="N732" s="58" t="n">
        <v>14</v>
      </c>
      <c r="O732" s="53" t="inlineStr">
        <is>
          <t>S33</t>
        </is>
      </c>
      <c r="P732" s="55" t="n">
        <v>16</v>
      </c>
      <c r="Q732" s="59">
        <f>IF(BO732=1,0,IFERROR(VLOOKUP(BM732,'Gebinde-Kategorie'!$A$5:$G$45,6,0)+0,0))</f>
        <v/>
      </c>
      <c r="R732" s="60" t="n"/>
      <c r="S732" s="61" t="n"/>
      <c r="T732" s="61" t="n"/>
      <c r="U732" s="53">
        <f>IF(A732="","",IF(IFERROR(VLOOKUP(D732,Parameter!$A$35:$C$64,2,0),"Nein")="2+3",IF(ISNUMBER(SEARCH("grosser Artikel",BJ732)),2,IFERROR(VLOOKUP(BM732,Parameter!$F$35:$G$64,2,0),2)),IF(OR(IFERROR(VLOOKUP(D732,Parameter!$A$35:$C$64,2,0),"Nein")="Nein",IFERROR(VLOOKUP(D732,Parameter!$A$35:$C$64,2,0),"Nein")=""),"-",VLOOKUP(D732,Parameter!$A$35:$C$64,2,0))))</f>
        <v/>
      </c>
      <c r="V732" s="61" t="n"/>
      <c r="W732" s="62" t="n"/>
      <c r="X732" s="55">
        <f>AM732</f>
        <v/>
      </c>
      <c r="Y732" s="55">
        <f>MAX(AM732,G732)</f>
        <v/>
      </c>
      <c r="Z732" s="63" t="n"/>
      <c r="AA732" s="55">
        <f>IF(LEFT(Cockpit!$C$5,1)="A",G732,IF(BT732=1,BU732,IF(LEFT(Cockpit!$C$5,1)="B",AE732,MAX(AE732,G732))))</f>
        <v/>
      </c>
      <c r="AB732" s="55">
        <f>IF(BO732=1,0,ROUNDUP(AA732/BN732,0))</f>
        <v/>
      </c>
      <c r="AC732" s="64">
        <f>IF(BO732=1,IF(AA732&lt;=0,0,BP732*MAX(1,IF(G732&gt;0,AA732/G732,1))),AB732*Q732)</f>
        <v/>
      </c>
      <c r="AD732" s="55">
        <f>AA732*F732</f>
        <v/>
      </c>
      <c r="AE732" s="55">
        <f>ROUNDUP(MAX(I732/IF(BS732&gt;0,BS732,MAX(0.1,N(Cockpit!$C$6))),BV732)/BN732,0)*BN732</f>
        <v/>
      </c>
      <c r="AF732" s="56">
        <f>IF(AC732&gt;0,I732/AC732,-1)</f>
        <v/>
      </c>
      <c r="AG732" s="56">
        <f>IF(AND(OR(BR732="L1",BR732="L23"),AC732&gt;0),SUMIFS($AC$7:$AC$1570,$BR$7:$BR$1570,BR732,$AF$7:$AF$1570,"&gt;"&amp;AF732)+SUMIFS($AC$7:$AC$1570,$BR$7:$BR$1570,BR732,$AF$7:$AF$1570,AF732,$BL$7:$BL$1570,"&lt;="&amp;BL732),"")</f>
        <v/>
      </c>
      <c r="AH732" s="65">
        <f>IF(AG732="",0,MAX(0,MIN(1,(IF(BR732="L1",Parameter!$K$5,Parameter!$K$6+Parameter!$K$7)-(AG732-AC732))/AC732)))</f>
        <v/>
      </c>
      <c r="AI732" s="55">
        <f>IF(LEFT(Cockpit!$I$5,1)="A",G732,IF(BT732=1,BU732,IF(LEFT(Cockpit!$I$5,1)="B",AM732,MAX(AM732,G732))))</f>
        <v/>
      </c>
      <c r="AJ732" s="55">
        <f>IF(BO732=1,0,ROUNDUP(AI732/BN732,0))</f>
        <v/>
      </c>
      <c r="AK732" s="64">
        <f>IF(BO732=1,IF(AI732&lt;=0,0,BP732*MAX(1,IF(G732&gt;0,AI732/G732,1))),AJ732*Q732)</f>
        <v/>
      </c>
      <c r="AL732" s="55">
        <f>AI732*F732</f>
        <v/>
      </c>
      <c r="AM732" s="55">
        <f>ROUNDUP(MAX(I732/IF(BS732&gt;0,BS732,MAX(0.1,N(Cockpit!$I$6))),BV732)/BN732,0)*BN732</f>
        <v/>
      </c>
      <c r="AN732" s="56">
        <f>IF(AK732&gt;0,I732/AK732,-1)</f>
        <v/>
      </c>
      <c r="AO732" s="56">
        <f>IF(AND(OR(BR732="L1",BR732="L23"),AK732&gt;0),SUMIFS($AK$7:$AK$1570,$BR$7:$BR$1570,BR732,$AN$7:$AN$1570,"&gt;"&amp;AN732)+SUMIFS($AK$7:$AK$1570,$BR$7:$BR$1570,BR732,$AN$7:$AN$1570,AN732,$BL$7:$BL$1570,"&lt;="&amp;BL732),"")</f>
        <v/>
      </c>
      <c r="AP732" s="65">
        <f>IF(AO732="",0,MAX(0,MIN(1,(IF(BR732="L1",Parameter!$K$5,Parameter!$K$6+Parameter!$K$7)-(AO732-AK732))/AK732)))</f>
        <v/>
      </c>
      <c r="AQ732" s="55">
        <f>IF(LEFT(Cockpit!$O$5,1)="A",G732,IF(BT732=1,BU732,IF(LEFT(Cockpit!$O$5,1)="B",AU732,MAX(AU732,G732))))</f>
        <v/>
      </c>
      <c r="AR732" s="55">
        <f>IF(BO732=1,0,ROUNDUP(AQ732/BN732,0))</f>
        <v/>
      </c>
      <c r="AS732" s="64">
        <f>IF(BO732=1,IF(AQ732&lt;=0,0,BP732*MAX(1,IF(G732&gt;0,AQ732/G732,1))),AR732*Q732)</f>
        <v/>
      </c>
      <c r="AT732" s="55">
        <f>AQ732*F732</f>
        <v/>
      </c>
      <c r="AU732" s="55">
        <f>ROUNDUP(MAX(I732/IF(BS732&gt;0,BS732,MAX(0.1,N(Cockpit!$O$6))),BV732)/BN732,0)*BN732</f>
        <v/>
      </c>
      <c r="AV732" s="56">
        <f>IF(AS732&gt;0,I732/AS732,-1)</f>
        <v/>
      </c>
      <c r="AW732" s="56">
        <f>IF(AND(OR(BR732="L1",BR732="L23"),AS732&gt;0),SUMIFS($AS$7:$AS$1570,$BR$7:$BR$1570,BR732,$AV$7:$AV$1570,"&gt;"&amp;AV732)+SUMIFS($AS$7:$AS$1570,$BR$7:$BR$1570,BR732,$AV$7:$AV$1570,AV732,$BL$7:$BL$1570,"&lt;="&amp;BL732),"")</f>
        <v/>
      </c>
      <c r="AX732" s="65">
        <f>IF(AW732="",0,MAX(0,MIN(1,(IF(BR732="L1",Parameter!$K$5,Parameter!$K$6+Parameter!$K$7)-(AW732-AS732))/AS732)))</f>
        <v/>
      </c>
      <c r="AY732" s="53">
        <f>IF(AC732&lt;=0,"",IF(BR732="Aussen","Aussenlager",IF(BR732="-","Nicht im Lift",IF(AH732&gt;=1,"Lift",IF(AH732&lt;=0,"Aussenlager","teilweise")))))</f>
        <v/>
      </c>
      <c r="AZ732" s="53">
        <f>IF(AK732&lt;=0,"",IF(BR732="Aussen","Aussenlager",IF(BR732="-","Nicht im Lift",IF(AP732&gt;=1,"Lift",IF(AP732&lt;=0,"Aussenlager","teilweise")))))</f>
        <v/>
      </c>
      <c r="BA732" s="53">
        <f>IF(AS732&lt;=0,"",IF(BR732="Aussen","Aussenlager",IF(BR732="-","Nicht im Lift",IF(AX732&gt;=1,"Lift",IF(AX732&lt;=0,"Aussenlager","teilweise")))))</f>
        <v/>
      </c>
      <c r="BB732" s="53">
        <f>IF(A732="","",IF(BK732=1,"Neu; ","")&amp;IF(AND(BK732=0,BF732&lt;0),"negativer Bestand (Export "&amp;BF732&amp;"); ","")&amp;IF(I732&lt;=0,"Kein Verbrauch; ","")&amp;IF(BO732=1,"Lose – Fläche geschätzt; ","")&amp;IF(G732&gt;AM732,"Überbestand "&amp;ROUND(G732-AM732,0)&amp;" Stk / CHF "&amp;ROUND((G732-AM732)*F732,0)&amp;"; ","")&amp;IF(AND(BT732=1,BU732&lt;BV732),"MAX &lt; MB+LG; ","")&amp;IF(AND(BZ732&gt;0,BY732*10&gt;BZ732),"zu hoch für Tablar; ","")&amp;IF(AND(BK732=0,OR(BT732=1,V732&lt;&gt;"",S732&lt;&gt;"",T732&lt;&gt;"",W732&lt;&gt;"")),"manuell übersteuert; ","")&amp;IF(AND(BO732=0,Q732=0),"Gebinde unbekannt; ","")&amp;IF(AND(BO732=0,N(T732)&lt;=0,N(P732)&lt;=0),"Menge pro Gebinde fehlt (Ist = 1 Gebinde); ","")&amp;BJ732)</f>
        <v/>
      </c>
      <c r="BC732" s="53" t="n"/>
      <c r="BD732" s="53" t="n"/>
      <c r="BE732" s="61" t="n"/>
      <c r="BF732" s="55" t="n">
        <v>0</v>
      </c>
      <c r="BG732" s="55" t="n">
        <v>13</v>
      </c>
      <c r="BH732" s="54" t="n">
        <v>0</v>
      </c>
      <c r="BI732" s="55" t="n">
        <v>1</v>
      </c>
      <c r="BJ732" s="53" t="inlineStr"/>
      <c r="BK732" s="58" t="n">
        <v>0</v>
      </c>
      <c r="BL732" s="58" t="n">
        <v>732</v>
      </c>
      <c r="BM732" s="53">
        <f>IF(S732&lt;&gt;"",UPPER(TRIM(S732)),IF(O732="","LOSE",O732))</f>
        <v/>
      </c>
      <c r="BN732" s="55">
        <f>IF(BM732="LOSE",1,IF(N(T732)&gt;0,T732,IF(N(P732)&gt;0,P732,MAX(1,G732))))</f>
        <v/>
      </c>
      <c r="BO732" s="58">
        <f>IF(BM732="LOSE",1,0)</f>
        <v/>
      </c>
      <c r="BP732" s="64">
        <f>IF(BO732=0,0,IF(N(R732)&gt;0,R732,IFERROR(VLOOKUP(D732,Parameter!$A$35:$C$64,3,0)+0,0)))</f>
        <v/>
      </c>
      <c r="BQ732" s="53">
        <f>IF(V732&lt;&gt;"",V732,U732)</f>
        <v/>
      </c>
      <c r="BR732" s="53">
        <f>IF(BQ732=1,"L1",IF(OR(BQ732=2,BQ732=3),"L23",IF(BQ732="Aussen","Aussen","-")))</f>
        <v/>
      </c>
      <c r="BS732" s="66">
        <f>IF(N(W732)&gt;0,W732,0)</f>
        <v/>
      </c>
      <c r="BT732" s="58">
        <f>IF(ISNUMBER(Z732),1,0)</f>
        <v/>
      </c>
      <c r="BU732" s="55">
        <f>N(Z732)</f>
        <v/>
      </c>
      <c r="BV732" s="55">
        <f>N(L732)+N(M732)</f>
        <v/>
      </c>
      <c r="BW732" s="55">
        <f>ROUNDUP(G732/BN732,0)</f>
        <v/>
      </c>
      <c r="BX732" s="55">
        <f>ROUNDUP(BU732/BN732,0)</f>
        <v/>
      </c>
      <c r="BY732" s="58">
        <f>IF(BO732=1,0,IFERROR(VLOOKUP(BM732,'Gebinde-Kategorie'!$A$5:$G$45,5,0)+0,0))</f>
        <v/>
      </c>
      <c r="BZ732" s="58">
        <f>IFERROR(IF(OR(BQ732=1,BQ732=2,BQ732=3),N(INDEX(Parameter!$I$5:$I$7,BQ732)),0),0)</f>
        <v/>
      </c>
    </row>
    <row r="733">
      <c r="A733" s="53" t="inlineStr">
        <is>
          <t>005106</t>
        </is>
      </c>
      <c r="B733" s="53" t="inlineStr">
        <is>
          <t>CF-Karte</t>
        </is>
      </c>
      <c r="C733" s="53" t="inlineStr">
        <is>
          <t>F</t>
        </is>
      </c>
      <c r="D733" s="53" t="inlineStr">
        <is>
          <t>KTL</t>
        </is>
      </c>
      <c r="E733" s="53" t="inlineStr">
        <is>
          <t>C</t>
        </is>
      </c>
      <c r="F733" s="54" t="n">
        <v>20.37</v>
      </c>
      <c r="G733" s="55">
        <f>MAX(0,IF(Parameter!$B$20="Jahresanfang 2025 + Export",BG733+BF733,BF733))</f>
        <v/>
      </c>
      <c r="H733" s="55">
        <f>G733*F733</f>
        <v/>
      </c>
      <c r="I733" s="55">
        <f>BI733*Parameter!$B$18</f>
        <v/>
      </c>
      <c r="J733" s="56" t="n">
        <v>17</v>
      </c>
      <c r="K733" s="57" t="n">
        <v>0</v>
      </c>
      <c r="L733" s="55" t="n">
        <v>0</v>
      </c>
      <c r="M733" s="55" t="n">
        <v>1</v>
      </c>
      <c r="N733" s="58" t="n">
        <v>28</v>
      </c>
      <c r="O733" s="53" t="inlineStr">
        <is>
          <t>S32</t>
        </is>
      </c>
      <c r="P733" s="55" t="n">
        <v>7</v>
      </c>
      <c r="Q733" s="59">
        <f>IF(BO733=1,0,IFERROR(VLOOKUP(BM733,'Gebinde-Kategorie'!$A$5:$G$45,6,0)+0,0))</f>
        <v/>
      </c>
      <c r="R733" s="60" t="n"/>
      <c r="S733" s="61" t="n"/>
      <c r="T733" s="61" t="n"/>
      <c r="U733" s="53">
        <f>IF(A733="","",IF(IFERROR(VLOOKUP(D733,Parameter!$A$35:$C$64,2,0),"Nein")="2+3",IF(ISNUMBER(SEARCH("grosser Artikel",BJ733)),2,IFERROR(VLOOKUP(BM733,Parameter!$F$35:$G$64,2,0),2)),IF(OR(IFERROR(VLOOKUP(D733,Parameter!$A$35:$C$64,2,0),"Nein")="Nein",IFERROR(VLOOKUP(D733,Parameter!$A$35:$C$64,2,0),"Nein")=""),"-",VLOOKUP(D733,Parameter!$A$35:$C$64,2,0))))</f>
        <v/>
      </c>
      <c r="V733" s="61" t="n"/>
      <c r="W733" s="62" t="n"/>
      <c r="X733" s="55">
        <f>AM733</f>
        <v/>
      </c>
      <c r="Y733" s="55">
        <f>MAX(AM733,G733)</f>
        <v/>
      </c>
      <c r="Z733" s="63" t="n"/>
      <c r="AA733" s="55">
        <f>IF(LEFT(Cockpit!$C$5,1)="A",G733,IF(BT733=1,BU733,IF(LEFT(Cockpit!$C$5,1)="B",AE733,MAX(AE733,G733))))</f>
        <v/>
      </c>
      <c r="AB733" s="55">
        <f>IF(BO733=1,0,ROUNDUP(AA733/BN733,0))</f>
        <v/>
      </c>
      <c r="AC733" s="64">
        <f>IF(BO733=1,IF(AA733&lt;=0,0,BP733*MAX(1,IF(G733&gt;0,AA733/G733,1))),AB733*Q733)</f>
        <v/>
      </c>
      <c r="AD733" s="55">
        <f>AA733*F733</f>
        <v/>
      </c>
      <c r="AE733" s="55">
        <f>ROUNDUP(MAX(I733/IF(BS733&gt;0,BS733,MAX(0.1,N(Cockpit!$C$6))),BV733)/BN733,0)*BN733</f>
        <v/>
      </c>
      <c r="AF733" s="56">
        <f>IF(AC733&gt;0,I733/AC733,-1)</f>
        <v/>
      </c>
      <c r="AG733" s="56">
        <f>IF(AND(OR(BR733="L1",BR733="L23"),AC733&gt;0),SUMIFS($AC$7:$AC$1570,$BR$7:$BR$1570,BR733,$AF$7:$AF$1570,"&gt;"&amp;AF733)+SUMIFS($AC$7:$AC$1570,$BR$7:$BR$1570,BR733,$AF$7:$AF$1570,AF733,$BL$7:$BL$1570,"&lt;="&amp;BL733),"")</f>
        <v/>
      </c>
      <c r="AH733" s="65">
        <f>IF(AG733="",0,MAX(0,MIN(1,(IF(BR733="L1",Parameter!$K$5,Parameter!$K$6+Parameter!$K$7)-(AG733-AC733))/AC733)))</f>
        <v/>
      </c>
      <c r="AI733" s="55">
        <f>IF(LEFT(Cockpit!$I$5,1)="A",G733,IF(BT733=1,BU733,IF(LEFT(Cockpit!$I$5,1)="B",AM733,MAX(AM733,G733))))</f>
        <v/>
      </c>
      <c r="AJ733" s="55">
        <f>IF(BO733=1,0,ROUNDUP(AI733/BN733,0))</f>
        <v/>
      </c>
      <c r="AK733" s="64">
        <f>IF(BO733=1,IF(AI733&lt;=0,0,BP733*MAX(1,IF(G733&gt;0,AI733/G733,1))),AJ733*Q733)</f>
        <v/>
      </c>
      <c r="AL733" s="55">
        <f>AI733*F733</f>
        <v/>
      </c>
      <c r="AM733" s="55">
        <f>ROUNDUP(MAX(I733/IF(BS733&gt;0,BS733,MAX(0.1,N(Cockpit!$I$6))),BV733)/BN733,0)*BN733</f>
        <v/>
      </c>
      <c r="AN733" s="56">
        <f>IF(AK733&gt;0,I733/AK733,-1)</f>
        <v/>
      </c>
      <c r="AO733" s="56">
        <f>IF(AND(OR(BR733="L1",BR733="L23"),AK733&gt;0),SUMIFS($AK$7:$AK$1570,$BR$7:$BR$1570,BR733,$AN$7:$AN$1570,"&gt;"&amp;AN733)+SUMIFS($AK$7:$AK$1570,$BR$7:$BR$1570,BR733,$AN$7:$AN$1570,AN733,$BL$7:$BL$1570,"&lt;="&amp;BL733),"")</f>
        <v/>
      </c>
      <c r="AP733" s="65">
        <f>IF(AO733="",0,MAX(0,MIN(1,(IF(BR733="L1",Parameter!$K$5,Parameter!$K$6+Parameter!$K$7)-(AO733-AK733))/AK733)))</f>
        <v/>
      </c>
      <c r="AQ733" s="55">
        <f>IF(LEFT(Cockpit!$O$5,1)="A",G733,IF(BT733=1,BU733,IF(LEFT(Cockpit!$O$5,1)="B",AU733,MAX(AU733,G733))))</f>
        <v/>
      </c>
      <c r="AR733" s="55">
        <f>IF(BO733=1,0,ROUNDUP(AQ733/BN733,0))</f>
        <v/>
      </c>
      <c r="AS733" s="64">
        <f>IF(BO733=1,IF(AQ733&lt;=0,0,BP733*MAX(1,IF(G733&gt;0,AQ733/G733,1))),AR733*Q733)</f>
        <v/>
      </c>
      <c r="AT733" s="55">
        <f>AQ733*F733</f>
        <v/>
      </c>
      <c r="AU733" s="55">
        <f>ROUNDUP(MAX(I733/IF(BS733&gt;0,BS733,MAX(0.1,N(Cockpit!$O$6))),BV733)/BN733,0)*BN733</f>
        <v/>
      </c>
      <c r="AV733" s="56">
        <f>IF(AS733&gt;0,I733/AS733,-1)</f>
        <v/>
      </c>
      <c r="AW733" s="56">
        <f>IF(AND(OR(BR733="L1",BR733="L23"),AS733&gt;0),SUMIFS($AS$7:$AS$1570,$BR$7:$BR$1570,BR733,$AV$7:$AV$1570,"&gt;"&amp;AV733)+SUMIFS($AS$7:$AS$1570,$BR$7:$BR$1570,BR733,$AV$7:$AV$1570,AV733,$BL$7:$BL$1570,"&lt;="&amp;BL733),"")</f>
        <v/>
      </c>
      <c r="AX733" s="65">
        <f>IF(AW733="",0,MAX(0,MIN(1,(IF(BR733="L1",Parameter!$K$5,Parameter!$K$6+Parameter!$K$7)-(AW733-AS733))/AS733)))</f>
        <v/>
      </c>
      <c r="AY733" s="53">
        <f>IF(AC733&lt;=0,"",IF(BR733="Aussen","Aussenlager",IF(BR733="-","Nicht im Lift",IF(AH733&gt;=1,"Lift",IF(AH733&lt;=0,"Aussenlager","teilweise")))))</f>
        <v/>
      </c>
      <c r="AZ733" s="53">
        <f>IF(AK733&lt;=0,"",IF(BR733="Aussen","Aussenlager",IF(BR733="-","Nicht im Lift",IF(AP733&gt;=1,"Lift",IF(AP733&lt;=0,"Aussenlager","teilweise")))))</f>
        <v/>
      </c>
      <c r="BA733" s="53">
        <f>IF(AS733&lt;=0,"",IF(BR733="Aussen","Aussenlager",IF(BR733="-","Nicht im Lift",IF(AX733&gt;=1,"Lift",IF(AX733&lt;=0,"Aussenlager","teilweise")))))</f>
        <v/>
      </c>
      <c r="BB733" s="53">
        <f>IF(A733="","",IF(BK733=1,"Neu; ","")&amp;IF(AND(BK733=0,BF733&lt;0),"negativer Bestand (Export "&amp;BF733&amp;"); ","")&amp;IF(I733&lt;=0,"Kein Verbrauch; ","")&amp;IF(BO733=1,"Lose – Fläche geschätzt; ","")&amp;IF(G733&gt;AM733,"Überbestand "&amp;ROUND(G733-AM733,0)&amp;" Stk / CHF "&amp;ROUND((G733-AM733)*F733,0)&amp;"; ","")&amp;IF(AND(BT733=1,BU733&lt;BV733),"MAX &lt; MB+LG; ","")&amp;IF(AND(BZ733&gt;0,BY733*10&gt;BZ733),"zu hoch für Tablar; ","")&amp;IF(AND(BK733=0,OR(BT733=1,V733&lt;&gt;"",S733&lt;&gt;"",T733&lt;&gt;"",W733&lt;&gt;"")),"manuell übersteuert; ","")&amp;IF(AND(BO733=0,Q733=0),"Gebinde unbekannt; ","")&amp;IF(AND(BO733=0,N(T733)&lt;=0,N(P733)&lt;=0),"Menge pro Gebinde fehlt (Ist = 1 Gebinde); ","")&amp;BJ733)</f>
        <v/>
      </c>
      <c r="BC733" s="53" t="n"/>
      <c r="BD733" s="53" t="n"/>
      <c r="BE733" s="61" t="n"/>
      <c r="BF733" s="55" t="n">
        <v>0</v>
      </c>
      <c r="BG733" s="55" t="n">
        <v>17</v>
      </c>
      <c r="BH733" s="54" t="n">
        <v>0</v>
      </c>
      <c r="BI733" s="55" t="n">
        <v>0</v>
      </c>
      <c r="BJ733" s="53" t="inlineStr">
        <is>
          <t>Überbestand</t>
        </is>
      </c>
      <c r="BK733" s="58" t="n">
        <v>0</v>
      </c>
      <c r="BL733" s="58" t="n">
        <v>733</v>
      </c>
      <c r="BM733" s="53">
        <f>IF(S733&lt;&gt;"",UPPER(TRIM(S733)),IF(O733="","LOSE",O733))</f>
        <v/>
      </c>
      <c r="BN733" s="55">
        <f>IF(BM733="LOSE",1,IF(N(T733)&gt;0,T733,IF(N(P733)&gt;0,P733,MAX(1,G733))))</f>
        <v/>
      </c>
      <c r="BO733" s="58">
        <f>IF(BM733="LOSE",1,0)</f>
        <v/>
      </c>
      <c r="BP733" s="64">
        <f>IF(BO733=0,0,IF(N(R733)&gt;0,R733,IFERROR(VLOOKUP(D733,Parameter!$A$35:$C$64,3,0)+0,0)))</f>
        <v/>
      </c>
      <c r="BQ733" s="53">
        <f>IF(V733&lt;&gt;"",V733,U733)</f>
        <v/>
      </c>
      <c r="BR733" s="53">
        <f>IF(BQ733=1,"L1",IF(OR(BQ733=2,BQ733=3),"L23",IF(BQ733="Aussen","Aussen","-")))</f>
        <v/>
      </c>
      <c r="BS733" s="66">
        <f>IF(N(W733)&gt;0,W733,0)</f>
        <v/>
      </c>
      <c r="BT733" s="58">
        <f>IF(ISNUMBER(Z733),1,0)</f>
        <v/>
      </c>
      <c r="BU733" s="55">
        <f>N(Z733)</f>
        <v/>
      </c>
      <c r="BV733" s="55">
        <f>N(L733)+N(M733)</f>
        <v/>
      </c>
      <c r="BW733" s="55">
        <f>ROUNDUP(G733/BN733,0)</f>
        <v/>
      </c>
      <c r="BX733" s="55">
        <f>ROUNDUP(BU733/BN733,0)</f>
        <v/>
      </c>
      <c r="BY733" s="58">
        <f>IF(BO733=1,0,IFERROR(VLOOKUP(BM733,'Gebinde-Kategorie'!$A$5:$G$45,5,0)+0,0))</f>
        <v/>
      </c>
      <c r="BZ733" s="58">
        <f>IFERROR(IF(OR(BQ733=1,BQ733=2,BQ733=3),N(INDEX(Parameter!$I$5:$I$7,BQ733)),0),0)</f>
        <v/>
      </c>
    </row>
    <row r="734">
      <c r="A734" s="53" t="inlineStr">
        <is>
          <t>005066</t>
        </is>
      </c>
      <c r="B734" s="53" t="inlineStr">
        <is>
          <t>Hochdruck-Ganzmetallschlauch O2</t>
        </is>
      </c>
      <c r="C734" s="53" t="inlineStr">
        <is>
          <t>F</t>
        </is>
      </c>
      <c r="D734" s="53" t="inlineStr">
        <is>
          <t>PAL</t>
        </is>
      </c>
      <c r="E734" s="53" t="inlineStr">
        <is>
          <t>C</t>
        </is>
      </c>
      <c r="F734" s="54" t="n">
        <v>490.5</v>
      </c>
      <c r="G734" s="55">
        <f>MAX(0,IF(Parameter!$B$20="Jahresanfang 2025 + Export",BG734+BF734,BF734))</f>
        <v/>
      </c>
      <c r="H734" s="55">
        <f>G734*F734</f>
        <v/>
      </c>
      <c r="I734" s="55">
        <f>BI734*Parameter!$B$18</f>
        <v/>
      </c>
      <c r="J734" s="56" t="n">
        <v>0</v>
      </c>
      <c r="K734" s="57" t="n">
        <v>0</v>
      </c>
      <c r="L734" s="55" t="n">
        <v>0</v>
      </c>
      <c r="M734" s="55" t="n">
        <v>1</v>
      </c>
      <c r="N734" s="58" t="n">
        <v>42</v>
      </c>
      <c r="O734" s="53" t="inlineStr">
        <is>
          <t>LOSE</t>
        </is>
      </c>
      <c r="P734" s="55" t="n"/>
      <c r="Q734" s="59">
        <f>IF(BO734=1,0,IFERROR(VLOOKUP(BM734,'Gebinde-Kategorie'!$A$5:$G$45,6,0)+0,0))</f>
        <v/>
      </c>
      <c r="R734" s="60" t="n"/>
      <c r="S734" s="61" t="n"/>
      <c r="T734" s="61" t="n"/>
      <c r="U734" s="53">
        <f>IF(A734="","",IF(IFERROR(VLOOKUP(D734,Parameter!$A$35:$C$64,2,0),"Nein")="2+3",IF(ISNUMBER(SEARCH("grosser Artikel",BJ734)),2,IFERROR(VLOOKUP(BM734,Parameter!$F$35:$G$64,2,0),2)),IF(OR(IFERROR(VLOOKUP(D734,Parameter!$A$35:$C$64,2,0),"Nein")="Nein",IFERROR(VLOOKUP(D734,Parameter!$A$35:$C$64,2,0),"Nein")=""),"-",VLOOKUP(D734,Parameter!$A$35:$C$64,2,0))))</f>
        <v/>
      </c>
      <c r="V734" s="61" t="n"/>
      <c r="W734" s="62" t="n"/>
      <c r="X734" s="55">
        <f>AM734</f>
        <v/>
      </c>
      <c r="Y734" s="55">
        <f>MAX(AM734,G734)</f>
        <v/>
      </c>
      <c r="Z734" s="63" t="n"/>
      <c r="AA734" s="55">
        <f>IF(LEFT(Cockpit!$C$5,1)="A",G734,IF(BT734=1,BU734,IF(LEFT(Cockpit!$C$5,1)="B",AE734,MAX(AE734,G734))))</f>
        <v/>
      </c>
      <c r="AB734" s="55">
        <f>IF(BO734=1,0,ROUNDUP(AA734/BN734,0))</f>
        <v/>
      </c>
      <c r="AC734" s="64">
        <f>IF(BO734=1,IF(AA734&lt;=0,0,BP734*MAX(1,IF(G734&gt;0,AA734/G734,1))),AB734*Q734)</f>
        <v/>
      </c>
      <c r="AD734" s="55">
        <f>AA734*F734</f>
        <v/>
      </c>
      <c r="AE734" s="55">
        <f>ROUNDUP(MAX(I734/IF(BS734&gt;0,BS734,MAX(0.1,N(Cockpit!$C$6))),BV734)/BN734,0)*BN734</f>
        <v/>
      </c>
      <c r="AF734" s="56">
        <f>IF(AC734&gt;0,I734/AC734,-1)</f>
        <v/>
      </c>
      <c r="AG734" s="56">
        <f>IF(AND(OR(BR734="L1",BR734="L23"),AC734&gt;0),SUMIFS($AC$7:$AC$1570,$BR$7:$BR$1570,BR734,$AF$7:$AF$1570,"&gt;"&amp;AF734)+SUMIFS($AC$7:$AC$1570,$BR$7:$BR$1570,BR734,$AF$7:$AF$1570,AF734,$BL$7:$BL$1570,"&lt;="&amp;BL734),"")</f>
        <v/>
      </c>
      <c r="AH734" s="65">
        <f>IF(AG734="",0,MAX(0,MIN(1,(IF(BR734="L1",Parameter!$K$5,Parameter!$K$6+Parameter!$K$7)-(AG734-AC734))/AC734)))</f>
        <v/>
      </c>
      <c r="AI734" s="55">
        <f>IF(LEFT(Cockpit!$I$5,1)="A",G734,IF(BT734=1,BU734,IF(LEFT(Cockpit!$I$5,1)="B",AM734,MAX(AM734,G734))))</f>
        <v/>
      </c>
      <c r="AJ734" s="55">
        <f>IF(BO734=1,0,ROUNDUP(AI734/BN734,0))</f>
        <v/>
      </c>
      <c r="AK734" s="64">
        <f>IF(BO734=1,IF(AI734&lt;=0,0,BP734*MAX(1,IF(G734&gt;0,AI734/G734,1))),AJ734*Q734)</f>
        <v/>
      </c>
      <c r="AL734" s="55">
        <f>AI734*F734</f>
        <v/>
      </c>
      <c r="AM734" s="55">
        <f>ROUNDUP(MAX(I734/IF(BS734&gt;0,BS734,MAX(0.1,N(Cockpit!$I$6))),BV734)/BN734,0)*BN734</f>
        <v/>
      </c>
      <c r="AN734" s="56">
        <f>IF(AK734&gt;0,I734/AK734,-1)</f>
        <v/>
      </c>
      <c r="AO734" s="56">
        <f>IF(AND(OR(BR734="L1",BR734="L23"),AK734&gt;0),SUMIFS($AK$7:$AK$1570,$BR$7:$BR$1570,BR734,$AN$7:$AN$1570,"&gt;"&amp;AN734)+SUMIFS($AK$7:$AK$1570,$BR$7:$BR$1570,BR734,$AN$7:$AN$1570,AN734,$BL$7:$BL$1570,"&lt;="&amp;BL734),"")</f>
        <v/>
      </c>
      <c r="AP734" s="65">
        <f>IF(AO734="",0,MAX(0,MIN(1,(IF(BR734="L1",Parameter!$K$5,Parameter!$K$6+Parameter!$K$7)-(AO734-AK734))/AK734)))</f>
        <v/>
      </c>
      <c r="AQ734" s="55">
        <f>IF(LEFT(Cockpit!$O$5,1)="A",G734,IF(BT734=1,BU734,IF(LEFT(Cockpit!$O$5,1)="B",AU734,MAX(AU734,G734))))</f>
        <v/>
      </c>
      <c r="AR734" s="55">
        <f>IF(BO734=1,0,ROUNDUP(AQ734/BN734,0))</f>
        <v/>
      </c>
      <c r="AS734" s="64">
        <f>IF(BO734=1,IF(AQ734&lt;=0,0,BP734*MAX(1,IF(G734&gt;0,AQ734/G734,1))),AR734*Q734)</f>
        <v/>
      </c>
      <c r="AT734" s="55">
        <f>AQ734*F734</f>
        <v/>
      </c>
      <c r="AU734" s="55">
        <f>ROUNDUP(MAX(I734/IF(BS734&gt;0,BS734,MAX(0.1,N(Cockpit!$O$6))),BV734)/BN734,0)*BN734</f>
        <v/>
      </c>
      <c r="AV734" s="56">
        <f>IF(AS734&gt;0,I734/AS734,-1)</f>
        <v/>
      </c>
      <c r="AW734" s="56">
        <f>IF(AND(OR(BR734="L1",BR734="L23"),AS734&gt;0),SUMIFS($AS$7:$AS$1570,$BR$7:$BR$1570,BR734,$AV$7:$AV$1570,"&gt;"&amp;AV734)+SUMIFS($AS$7:$AS$1570,$BR$7:$BR$1570,BR734,$AV$7:$AV$1570,AV734,$BL$7:$BL$1570,"&lt;="&amp;BL734),"")</f>
        <v/>
      </c>
      <c r="AX734" s="65">
        <f>IF(AW734="",0,MAX(0,MIN(1,(IF(BR734="L1",Parameter!$K$5,Parameter!$K$6+Parameter!$K$7)-(AW734-AS734))/AS734)))</f>
        <v/>
      </c>
      <c r="AY734" s="53">
        <f>IF(AC734&lt;=0,"",IF(BR734="Aussen","Aussenlager",IF(BR734="-","Nicht im Lift",IF(AH734&gt;=1,"Lift",IF(AH734&lt;=0,"Aussenlager","teilweise")))))</f>
        <v/>
      </c>
      <c r="AZ734" s="53">
        <f>IF(AK734&lt;=0,"",IF(BR734="Aussen","Aussenlager",IF(BR734="-","Nicht im Lift",IF(AP734&gt;=1,"Lift",IF(AP734&lt;=0,"Aussenlager","teilweise")))))</f>
        <v/>
      </c>
      <c r="BA734" s="53">
        <f>IF(AS734&lt;=0,"",IF(BR734="Aussen","Aussenlager",IF(BR734="-","Nicht im Lift",IF(AX734&gt;=1,"Lift",IF(AX734&lt;=0,"Aussenlager","teilweise")))))</f>
        <v/>
      </c>
      <c r="BB734" s="53">
        <f>IF(A734="","",IF(BK734=1,"Neu; ","")&amp;IF(AND(BK734=0,BF734&lt;0),"negativer Bestand (Export "&amp;BF734&amp;"); ","")&amp;IF(I734&lt;=0,"Kein Verbrauch; ","")&amp;IF(BO734=1,"Lose – Fläche geschätzt; ","")&amp;IF(G734&gt;AM734,"Überbestand "&amp;ROUND(G734-AM734,0)&amp;" Stk / CHF "&amp;ROUND((G734-AM734)*F734,0)&amp;"; ","")&amp;IF(AND(BT734=1,BU734&lt;BV734),"MAX &lt; MB+LG; ","")&amp;IF(AND(BZ734&gt;0,BY734*10&gt;BZ734),"zu hoch für Tablar; ","")&amp;IF(AND(BK734=0,OR(BT734=1,V734&lt;&gt;"",S734&lt;&gt;"",T734&lt;&gt;"",W734&lt;&gt;"")),"manuell übersteuert; ","")&amp;IF(AND(BO734=0,Q734=0),"Gebinde unbekannt; ","")&amp;IF(AND(BO734=0,N(T734)&lt;=0,N(P734)&lt;=0),"Menge pro Gebinde fehlt (Ist = 1 Gebinde); ","")&amp;BJ734)</f>
        <v/>
      </c>
      <c r="BC734" s="53" t="n"/>
      <c r="BD734" s="53" t="n"/>
      <c r="BE734" s="61" t="n"/>
      <c r="BF734" s="55" t="n">
        <v>0</v>
      </c>
      <c r="BG734" s="55" t="n">
        <v>0</v>
      </c>
      <c r="BH734" s="54" t="n">
        <v>0</v>
      </c>
      <c r="BI734" s="55" t="n">
        <v>2</v>
      </c>
      <c r="BJ734" s="53" t="inlineStr"/>
      <c r="BK734" s="58" t="n">
        <v>0</v>
      </c>
      <c r="BL734" s="58" t="n">
        <v>734</v>
      </c>
      <c r="BM734" s="53">
        <f>IF(S734&lt;&gt;"",UPPER(TRIM(S734)),IF(O734="","LOSE",O734))</f>
        <v/>
      </c>
      <c r="BN734" s="55">
        <f>IF(BM734="LOSE",1,IF(N(T734)&gt;0,T734,IF(N(P734)&gt;0,P734,MAX(1,G734))))</f>
        <v/>
      </c>
      <c r="BO734" s="58">
        <f>IF(BM734="LOSE",1,0)</f>
        <v/>
      </c>
      <c r="BP734" s="64">
        <f>IF(BO734=0,0,IF(N(R734)&gt;0,R734,IFERROR(VLOOKUP(D734,Parameter!$A$35:$C$64,3,0)+0,0)))</f>
        <v/>
      </c>
      <c r="BQ734" s="53">
        <f>IF(V734&lt;&gt;"",V734,U734)</f>
        <v/>
      </c>
      <c r="BR734" s="53">
        <f>IF(BQ734=1,"L1",IF(OR(BQ734=2,BQ734=3),"L23",IF(BQ734="Aussen","Aussen","-")))</f>
        <v/>
      </c>
      <c r="BS734" s="66">
        <f>IF(N(W734)&gt;0,W734,0)</f>
        <v/>
      </c>
      <c r="BT734" s="58">
        <f>IF(ISNUMBER(Z734),1,0)</f>
        <v/>
      </c>
      <c r="BU734" s="55">
        <f>N(Z734)</f>
        <v/>
      </c>
      <c r="BV734" s="55">
        <f>N(L734)+N(M734)</f>
        <v/>
      </c>
      <c r="BW734" s="55">
        <f>ROUNDUP(G734/BN734,0)</f>
        <v/>
      </c>
      <c r="BX734" s="55">
        <f>ROUNDUP(BU734/BN734,0)</f>
        <v/>
      </c>
      <c r="BY734" s="58">
        <f>IF(BO734=1,0,IFERROR(VLOOKUP(BM734,'Gebinde-Kategorie'!$A$5:$G$45,5,0)+0,0))</f>
        <v/>
      </c>
      <c r="BZ734" s="58">
        <f>IFERROR(IF(OR(BQ734=1,BQ734=2,BQ734=3),N(INDEX(Parameter!$I$5:$I$7,BQ734)),0),0)</f>
        <v/>
      </c>
    </row>
    <row r="735">
      <c r="A735" s="53" t="inlineStr">
        <is>
          <t>005568</t>
        </is>
      </c>
      <c r="B735" s="53" t="inlineStr">
        <is>
          <t>Eingangsadapter 1/4"NPT-a/G1/2"-a konus</t>
        </is>
      </c>
      <c r="C735" s="53" t="inlineStr">
        <is>
          <t>F</t>
        </is>
      </c>
      <c r="D735" s="53" t="inlineStr">
        <is>
          <t>KTL</t>
        </is>
      </c>
      <c r="E735" s="53" t="inlineStr">
        <is>
          <t>C</t>
        </is>
      </c>
      <c r="F735" s="54" t="n">
        <v>0</v>
      </c>
      <c r="G735" s="55">
        <f>MAX(0,IF(Parameter!$B$20="Jahresanfang 2025 + Export",BG735+BF735,BF735))</f>
        <v/>
      </c>
      <c r="H735" s="55">
        <f>G735*F735</f>
        <v/>
      </c>
      <c r="I735" s="55">
        <f>BI735*Parameter!$B$18</f>
        <v/>
      </c>
      <c r="J735" s="56" t="n">
        <v>0.5</v>
      </c>
      <c r="K735" s="57" t="n">
        <v>0</v>
      </c>
      <c r="L735" s="55" t="n">
        <v>0</v>
      </c>
      <c r="M735" s="55" t="n">
        <v>1</v>
      </c>
      <c r="N735" s="58" t="n">
        <v>14</v>
      </c>
      <c r="O735" s="53" t="inlineStr">
        <is>
          <t>LOSE</t>
        </is>
      </c>
      <c r="P735" s="55" t="n"/>
      <c r="Q735" s="59">
        <f>IF(BO735=1,0,IFERROR(VLOOKUP(BM735,'Gebinde-Kategorie'!$A$5:$G$45,6,0)+0,0))</f>
        <v/>
      </c>
      <c r="R735" s="60" t="n"/>
      <c r="S735" s="61" t="n"/>
      <c r="T735" s="61" t="n"/>
      <c r="U735" s="53">
        <f>IF(A735="","",IF(IFERROR(VLOOKUP(D735,Parameter!$A$35:$C$64,2,0),"Nein")="2+3",IF(ISNUMBER(SEARCH("grosser Artikel",BJ735)),2,IFERROR(VLOOKUP(BM735,Parameter!$F$35:$G$64,2,0),2)),IF(OR(IFERROR(VLOOKUP(D735,Parameter!$A$35:$C$64,2,0),"Nein")="Nein",IFERROR(VLOOKUP(D735,Parameter!$A$35:$C$64,2,0),"Nein")=""),"-",VLOOKUP(D735,Parameter!$A$35:$C$64,2,0))))</f>
        <v/>
      </c>
      <c r="V735" s="61" t="n"/>
      <c r="W735" s="62" t="n"/>
      <c r="X735" s="55">
        <f>AM735</f>
        <v/>
      </c>
      <c r="Y735" s="55">
        <f>MAX(AM735,G735)</f>
        <v/>
      </c>
      <c r="Z735" s="63" t="n"/>
      <c r="AA735" s="55">
        <f>IF(LEFT(Cockpit!$C$5,1)="A",G735,IF(BT735=1,BU735,IF(LEFT(Cockpit!$C$5,1)="B",AE735,MAX(AE735,G735))))</f>
        <v/>
      </c>
      <c r="AB735" s="55">
        <f>IF(BO735=1,0,ROUNDUP(AA735/BN735,0))</f>
        <v/>
      </c>
      <c r="AC735" s="64">
        <f>IF(BO735=1,IF(AA735&lt;=0,0,BP735*MAX(1,IF(G735&gt;0,AA735/G735,1))),AB735*Q735)</f>
        <v/>
      </c>
      <c r="AD735" s="55">
        <f>AA735*F735</f>
        <v/>
      </c>
      <c r="AE735" s="55">
        <f>ROUNDUP(MAX(I735/IF(BS735&gt;0,BS735,MAX(0.1,N(Cockpit!$C$6))),BV735)/BN735,0)*BN735</f>
        <v/>
      </c>
      <c r="AF735" s="56">
        <f>IF(AC735&gt;0,I735/AC735,-1)</f>
        <v/>
      </c>
      <c r="AG735" s="56">
        <f>IF(AND(OR(BR735="L1",BR735="L23"),AC735&gt;0),SUMIFS($AC$7:$AC$1570,$BR$7:$BR$1570,BR735,$AF$7:$AF$1570,"&gt;"&amp;AF735)+SUMIFS($AC$7:$AC$1570,$BR$7:$BR$1570,BR735,$AF$7:$AF$1570,AF735,$BL$7:$BL$1570,"&lt;="&amp;BL735),"")</f>
        <v/>
      </c>
      <c r="AH735" s="65">
        <f>IF(AG735="",0,MAX(0,MIN(1,(IF(BR735="L1",Parameter!$K$5,Parameter!$K$6+Parameter!$K$7)-(AG735-AC735))/AC735)))</f>
        <v/>
      </c>
      <c r="AI735" s="55">
        <f>IF(LEFT(Cockpit!$I$5,1)="A",G735,IF(BT735=1,BU735,IF(LEFT(Cockpit!$I$5,1)="B",AM735,MAX(AM735,G735))))</f>
        <v/>
      </c>
      <c r="AJ735" s="55">
        <f>IF(BO735=1,0,ROUNDUP(AI735/BN735,0))</f>
        <v/>
      </c>
      <c r="AK735" s="64">
        <f>IF(BO735=1,IF(AI735&lt;=0,0,BP735*MAX(1,IF(G735&gt;0,AI735/G735,1))),AJ735*Q735)</f>
        <v/>
      </c>
      <c r="AL735" s="55">
        <f>AI735*F735</f>
        <v/>
      </c>
      <c r="AM735" s="55">
        <f>ROUNDUP(MAX(I735/IF(BS735&gt;0,BS735,MAX(0.1,N(Cockpit!$I$6))),BV735)/BN735,0)*BN735</f>
        <v/>
      </c>
      <c r="AN735" s="56">
        <f>IF(AK735&gt;0,I735/AK735,-1)</f>
        <v/>
      </c>
      <c r="AO735" s="56">
        <f>IF(AND(OR(BR735="L1",BR735="L23"),AK735&gt;0),SUMIFS($AK$7:$AK$1570,$BR$7:$BR$1570,BR735,$AN$7:$AN$1570,"&gt;"&amp;AN735)+SUMIFS($AK$7:$AK$1570,$BR$7:$BR$1570,BR735,$AN$7:$AN$1570,AN735,$BL$7:$BL$1570,"&lt;="&amp;BL735),"")</f>
        <v/>
      </c>
      <c r="AP735" s="65">
        <f>IF(AO735="",0,MAX(0,MIN(1,(IF(BR735="L1",Parameter!$K$5,Parameter!$K$6+Parameter!$K$7)-(AO735-AK735))/AK735)))</f>
        <v/>
      </c>
      <c r="AQ735" s="55">
        <f>IF(LEFT(Cockpit!$O$5,1)="A",G735,IF(BT735=1,BU735,IF(LEFT(Cockpit!$O$5,1)="B",AU735,MAX(AU735,G735))))</f>
        <v/>
      </c>
      <c r="AR735" s="55">
        <f>IF(BO735=1,0,ROUNDUP(AQ735/BN735,0))</f>
        <v/>
      </c>
      <c r="AS735" s="64">
        <f>IF(BO735=1,IF(AQ735&lt;=0,0,BP735*MAX(1,IF(G735&gt;0,AQ735/G735,1))),AR735*Q735)</f>
        <v/>
      </c>
      <c r="AT735" s="55">
        <f>AQ735*F735</f>
        <v/>
      </c>
      <c r="AU735" s="55">
        <f>ROUNDUP(MAX(I735/IF(BS735&gt;0,BS735,MAX(0.1,N(Cockpit!$O$6))),BV735)/BN735,0)*BN735</f>
        <v/>
      </c>
      <c r="AV735" s="56">
        <f>IF(AS735&gt;0,I735/AS735,-1)</f>
        <v/>
      </c>
      <c r="AW735" s="56">
        <f>IF(AND(OR(BR735="L1",BR735="L23"),AS735&gt;0),SUMIFS($AS$7:$AS$1570,$BR$7:$BR$1570,BR735,$AV$7:$AV$1570,"&gt;"&amp;AV735)+SUMIFS($AS$7:$AS$1570,$BR$7:$BR$1570,BR735,$AV$7:$AV$1570,AV735,$BL$7:$BL$1570,"&lt;="&amp;BL735),"")</f>
        <v/>
      </c>
      <c r="AX735" s="65">
        <f>IF(AW735="",0,MAX(0,MIN(1,(IF(BR735="L1",Parameter!$K$5,Parameter!$K$6+Parameter!$K$7)-(AW735-AS735))/AS735)))</f>
        <v/>
      </c>
      <c r="AY735" s="53">
        <f>IF(AC735&lt;=0,"",IF(BR735="Aussen","Aussenlager",IF(BR735="-","Nicht im Lift",IF(AH735&gt;=1,"Lift",IF(AH735&lt;=0,"Aussenlager","teilweise")))))</f>
        <v/>
      </c>
      <c r="AZ735" s="53">
        <f>IF(AK735&lt;=0,"",IF(BR735="Aussen","Aussenlager",IF(BR735="-","Nicht im Lift",IF(AP735&gt;=1,"Lift",IF(AP735&lt;=0,"Aussenlager","teilweise")))))</f>
        <v/>
      </c>
      <c r="BA735" s="53">
        <f>IF(AS735&lt;=0,"",IF(BR735="Aussen","Aussenlager",IF(BR735="-","Nicht im Lift",IF(AX735&gt;=1,"Lift",IF(AX735&lt;=0,"Aussenlager","teilweise")))))</f>
        <v/>
      </c>
      <c r="BB735" s="53">
        <f>IF(A735="","",IF(BK735=1,"Neu; ","")&amp;IF(AND(BK735=0,BF735&lt;0),"negativer Bestand (Export "&amp;BF735&amp;"); ","")&amp;IF(I735&lt;=0,"Kein Verbrauch; ","")&amp;IF(BO735=1,"Lose – Fläche geschätzt; ","")&amp;IF(G735&gt;AM735,"Überbestand "&amp;ROUND(G735-AM735,0)&amp;" Stk / CHF "&amp;ROUND((G735-AM735)*F735,0)&amp;"; ","")&amp;IF(AND(BT735=1,BU735&lt;BV735),"MAX &lt; MB+LG; ","")&amp;IF(AND(BZ735&gt;0,BY735*10&gt;BZ735),"zu hoch für Tablar; ","")&amp;IF(AND(BK735=0,OR(BT735=1,V735&lt;&gt;"",S735&lt;&gt;"",T735&lt;&gt;"",W735&lt;&gt;"")),"manuell übersteuert; ","")&amp;IF(AND(BO735=0,Q735=0),"Gebinde unbekannt; ","")&amp;IF(AND(BO735=0,N(T735)&lt;=0,N(P735)&lt;=0),"Menge pro Gebinde fehlt (Ist = 1 Gebinde); ","")&amp;BJ735)</f>
        <v/>
      </c>
      <c r="BC735" s="53" t="n"/>
      <c r="BD735" s="53" t="n"/>
      <c r="BE735" s="61" t="n"/>
      <c r="BF735" s="55" t="n">
        <v>-1</v>
      </c>
      <c r="BG735" s="55" t="n">
        <v>1</v>
      </c>
      <c r="BH735" s="54" t="n">
        <v>0</v>
      </c>
      <c r="BI735" s="55" t="n">
        <v>0</v>
      </c>
      <c r="BJ735" s="53" t="inlineStr"/>
      <c r="BK735" s="58" t="n">
        <v>0</v>
      </c>
      <c r="BL735" s="58" t="n">
        <v>735</v>
      </c>
      <c r="BM735" s="53">
        <f>IF(S735&lt;&gt;"",UPPER(TRIM(S735)),IF(O735="","LOSE",O735))</f>
        <v/>
      </c>
      <c r="BN735" s="55">
        <f>IF(BM735="LOSE",1,IF(N(T735)&gt;0,T735,IF(N(P735)&gt;0,P735,MAX(1,G735))))</f>
        <v/>
      </c>
      <c r="BO735" s="58">
        <f>IF(BM735="LOSE",1,0)</f>
        <v/>
      </c>
      <c r="BP735" s="64">
        <f>IF(BO735=0,0,IF(N(R735)&gt;0,R735,IFERROR(VLOOKUP(D735,Parameter!$A$35:$C$64,3,0)+0,0)))</f>
        <v/>
      </c>
      <c r="BQ735" s="53">
        <f>IF(V735&lt;&gt;"",V735,U735)</f>
        <v/>
      </c>
      <c r="BR735" s="53">
        <f>IF(BQ735=1,"L1",IF(OR(BQ735=2,BQ735=3),"L23",IF(BQ735="Aussen","Aussen","-")))</f>
        <v/>
      </c>
      <c r="BS735" s="66">
        <f>IF(N(W735)&gt;0,W735,0)</f>
        <v/>
      </c>
      <c r="BT735" s="58">
        <f>IF(ISNUMBER(Z735),1,0)</f>
        <v/>
      </c>
      <c r="BU735" s="55">
        <f>N(Z735)</f>
        <v/>
      </c>
      <c r="BV735" s="55">
        <f>N(L735)+N(M735)</f>
        <v/>
      </c>
      <c r="BW735" s="55">
        <f>ROUNDUP(G735/BN735,0)</f>
        <v/>
      </c>
      <c r="BX735" s="55">
        <f>ROUNDUP(BU735/BN735,0)</f>
        <v/>
      </c>
      <c r="BY735" s="58">
        <f>IF(BO735=1,0,IFERROR(VLOOKUP(BM735,'Gebinde-Kategorie'!$A$5:$G$45,5,0)+0,0))</f>
        <v/>
      </c>
      <c r="BZ735" s="58">
        <f>IFERROR(IF(OR(BQ735=1,BQ735=2,BQ735=3),N(INDEX(Parameter!$I$5:$I$7,BQ735)),0),0)</f>
        <v/>
      </c>
    </row>
    <row r="736">
      <c r="A736" s="53" t="inlineStr">
        <is>
          <t>002064</t>
        </is>
      </c>
      <c r="B736" s="53" t="inlineStr">
        <is>
          <t>Sichtlagerkasten gross</t>
        </is>
      </c>
      <c r="C736" s="53" t="inlineStr">
        <is>
          <t>F</t>
        </is>
      </c>
      <c r="D736" s="53" t="inlineStr">
        <is>
          <t>KTL</t>
        </is>
      </c>
      <c r="E736" s="53" t="inlineStr">
        <is>
          <t>C</t>
        </is>
      </c>
      <c r="F736" s="54" t="n">
        <v>16.35</v>
      </c>
      <c r="G736" s="55">
        <f>MAX(0,IF(Parameter!$B$20="Jahresanfang 2025 + Export",BG736+BF736,BF736))</f>
        <v/>
      </c>
      <c r="H736" s="55">
        <f>G736*F736</f>
        <v/>
      </c>
      <c r="I736" s="55">
        <f>BI736*Parameter!$B$18</f>
        <v/>
      </c>
      <c r="J736" s="56" t="n">
        <v>0</v>
      </c>
      <c r="K736" s="57" t="n">
        <v>0</v>
      </c>
      <c r="L736" s="55" t="n">
        <v>0</v>
      </c>
      <c r="M736" s="55" t="n">
        <v>0</v>
      </c>
      <c r="N736" s="58" t="n">
        <v>21</v>
      </c>
      <c r="O736" s="53" t="inlineStr">
        <is>
          <t>LOSE</t>
        </is>
      </c>
      <c r="P736" s="55" t="n"/>
      <c r="Q736" s="59">
        <f>IF(BO736=1,0,IFERROR(VLOOKUP(BM736,'Gebinde-Kategorie'!$A$5:$G$45,6,0)+0,0))</f>
        <v/>
      </c>
      <c r="R736" s="60" t="n"/>
      <c r="S736" s="61" t="n"/>
      <c r="T736" s="61" t="n"/>
      <c r="U736" s="53">
        <f>IF(A736="","",IF(IFERROR(VLOOKUP(D736,Parameter!$A$35:$C$64,2,0),"Nein")="2+3",IF(ISNUMBER(SEARCH("grosser Artikel",BJ736)),2,IFERROR(VLOOKUP(BM736,Parameter!$F$35:$G$64,2,0),2)),IF(OR(IFERROR(VLOOKUP(D736,Parameter!$A$35:$C$64,2,0),"Nein")="Nein",IFERROR(VLOOKUP(D736,Parameter!$A$35:$C$64,2,0),"Nein")=""),"-",VLOOKUP(D736,Parameter!$A$35:$C$64,2,0))))</f>
        <v/>
      </c>
      <c r="V736" s="61" t="n"/>
      <c r="W736" s="62" t="n"/>
      <c r="X736" s="55">
        <f>AM736</f>
        <v/>
      </c>
      <c r="Y736" s="55">
        <f>MAX(AM736,G736)</f>
        <v/>
      </c>
      <c r="Z736" s="63" t="n"/>
      <c r="AA736" s="55">
        <f>IF(LEFT(Cockpit!$C$5,1)="A",G736,IF(BT736=1,BU736,IF(LEFT(Cockpit!$C$5,1)="B",AE736,MAX(AE736,G736))))</f>
        <v/>
      </c>
      <c r="AB736" s="55">
        <f>IF(BO736=1,0,ROUNDUP(AA736/BN736,0))</f>
        <v/>
      </c>
      <c r="AC736" s="64">
        <f>IF(BO736=1,IF(AA736&lt;=0,0,BP736*MAX(1,IF(G736&gt;0,AA736/G736,1))),AB736*Q736)</f>
        <v/>
      </c>
      <c r="AD736" s="55">
        <f>AA736*F736</f>
        <v/>
      </c>
      <c r="AE736" s="55">
        <f>ROUNDUP(MAX(I736/IF(BS736&gt;0,BS736,MAX(0.1,N(Cockpit!$C$6))),BV736)/BN736,0)*BN736</f>
        <v/>
      </c>
      <c r="AF736" s="56">
        <f>IF(AC736&gt;0,I736/AC736,-1)</f>
        <v/>
      </c>
      <c r="AG736" s="56">
        <f>IF(AND(OR(BR736="L1",BR736="L23"),AC736&gt;0),SUMIFS($AC$7:$AC$1570,$BR$7:$BR$1570,BR736,$AF$7:$AF$1570,"&gt;"&amp;AF736)+SUMIFS($AC$7:$AC$1570,$BR$7:$BR$1570,BR736,$AF$7:$AF$1570,AF736,$BL$7:$BL$1570,"&lt;="&amp;BL736),"")</f>
        <v/>
      </c>
      <c r="AH736" s="65">
        <f>IF(AG736="",0,MAX(0,MIN(1,(IF(BR736="L1",Parameter!$K$5,Parameter!$K$6+Parameter!$K$7)-(AG736-AC736))/AC736)))</f>
        <v/>
      </c>
      <c r="AI736" s="55">
        <f>IF(LEFT(Cockpit!$I$5,1)="A",G736,IF(BT736=1,BU736,IF(LEFT(Cockpit!$I$5,1)="B",AM736,MAX(AM736,G736))))</f>
        <v/>
      </c>
      <c r="AJ736" s="55">
        <f>IF(BO736=1,0,ROUNDUP(AI736/BN736,0))</f>
        <v/>
      </c>
      <c r="AK736" s="64">
        <f>IF(BO736=1,IF(AI736&lt;=0,0,BP736*MAX(1,IF(G736&gt;0,AI736/G736,1))),AJ736*Q736)</f>
        <v/>
      </c>
      <c r="AL736" s="55">
        <f>AI736*F736</f>
        <v/>
      </c>
      <c r="AM736" s="55">
        <f>ROUNDUP(MAX(I736/IF(BS736&gt;0,BS736,MAX(0.1,N(Cockpit!$I$6))),BV736)/BN736,0)*BN736</f>
        <v/>
      </c>
      <c r="AN736" s="56">
        <f>IF(AK736&gt;0,I736/AK736,-1)</f>
        <v/>
      </c>
      <c r="AO736" s="56">
        <f>IF(AND(OR(BR736="L1",BR736="L23"),AK736&gt;0),SUMIFS($AK$7:$AK$1570,$BR$7:$BR$1570,BR736,$AN$7:$AN$1570,"&gt;"&amp;AN736)+SUMIFS($AK$7:$AK$1570,$BR$7:$BR$1570,BR736,$AN$7:$AN$1570,AN736,$BL$7:$BL$1570,"&lt;="&amp;BL736),"")</f>
        <v/>
      </c>
      <c r="AP736" s="65">
        <f>IF(AO736="",0,MAX(0,MIN(1,(IF(BR736="L1",Parameter!$K$5,Parameter!$K$6+Parameter!$K$7)-(AO736-AK736))/AK736)))</f>
        <v/>
      </c>
      <c r="AQ736" s="55">
        <f>IF(LEFT(Cockpit!$O$5,1)="A",G736,IF(BT736=1,BU736,IF(LEFT(Cockpit!$O$5,1)="B",AU736,MAX(AU736,G736))))</f>
        <v/>
      </c>
      <c r="AR736" s="55">
        <f>IF(BO736=1,0,ROUNDUP(AQ736/BN736,0))</f>
        <v/>
      </c>
      <c r="AS736" s="64">
        <f>IF(BO736=1,IF(AQ736&lt;=0,0,BP736*MAX(1,IF(G736&gt;0,AQ736/G736,1))),AR736*Q736)</f>
        <v/>
      </c>
      <c r="AT736" s="55">
        <f>AQ736*F736</f>
        <v/>
      </c>
      <c r="AU736" s="55">
        <f>ROUNDUP(MAX(I736/IF(BS736&gt;0,BS736,MAX(0.1,N(Cockpit!$O$6))),BV736)/BN736,0)*BN736</f>
        <v/>
      </c>
      <c r="AV736" s="56">
        <f>IF(AS736&gt;0,I736/AS736,-1)</f>
        <v/>
      </c>
      <c r="AW736" s="56">
        <f>IF(AND(OR(BR736="L1",BR736="L23"),AS736&gt;0),SUMIFS($AS$7:$AS$1570,$BR$7:$BR$1570,BR736,$AV$7:$AV$1570,"&gt;"&amp;AV736)+SUMIFS($AS$7:$AS$1570,$BR$7:$BR$1570,BR736,$AV$7:$AV$1570,AV736,$BL$7:$BL$1570,"&lt;="&amp;BL736),"")</f>
        <v/>
      </c>
      <c r="AX736" s="65">
        <f>IF(AW736="",0,MAX(0,MIN(1,(IF(BR736="L1",Parameter!$K$5,Parameter!$K$6+Parameter!$K$7)-(AW736-AS736))/AS736)))</f>
        <v/>
      </c>
      <c r="AY736" s="53">
        <f>IF(AC736&lt;=0,"",IF(BR736="Aussen","Aussenlager",IF(BR736="-","Nicht im Lift",IF(AH736&gt;=1,"Lift",IF(AH736&lt;=0,"Aussenlager","teilweise")))))</f>
        <v/>
      </c>
      <c r="AZ736" s="53">
        <f>IF(AK736&lt;=0,"",IF(BR736="Aussen","Aussenlager",IF(BR736="-","Nicht im Lift",IF(AP736&gt;=1,"Lift",IF(AP736&lt;=0,"Aussenlager","teilweise")))))</f>
        <v/>
      </c>
      <c r="BA736" s="53">
        <f>IF(AS736&lt;=0,"",IF(BR736="Aussen","Aussenlager",IF(BR736="-","Nicht im Lift",IF(AX736&gt;=1,"Lift",IF(AX736&lt;=0,"Aussenlager","teilweise")))))</f>
        <v/>
      </c>
      <c r="BB736" s="53">
        <f>IF(A736="","",IF(BK736=1,"Neu; ","")&amp;IF(AND(BK736=0,BF736&lt;0),"negativer Bestand (Export "&amp;BF736&amp;"); ","")&amp;IF(I736&lt;=0,"Kein Verbrauch; ","")&amp;IF(BO736=1,"Lose – Fläche geschätzt; ","")&amp;IF(G736&gt;AM736,"Überbestand "&amp;ROUND(G736-AM736,0)&amp;" Stk / CHF "&amp;ROUND((G736-AM736)*F736,0)&amp;"; ","")&amp;IF(AND(BT736=1,BU736&lt;BV736),"MAX &lt; MB+LG; ","")&amp;IF(AND(BZ736&gt;0,BY736*10&gt;BZ736),"zu hoch für Tablar; ","")&amp;IF(AND(BK736=0,OR(BT736=1,V736&lt;&gt;"",S736&lt;&gt;"",T736&lt;&gt;"",W736&lt;&gt;"")),"manuell übersteuert; ","")&amp;IF(AND(BO736=0,Q736=0),"Gebinde unbekannt; ","")&amp;IF(AND(BO736=0,N(T736)&lt;=0,N(P736)&lt;=0),"Menge pro Gebinde fehlt (Ist = 1 Gebinde); ","")&amp;BJ736)</f>
        <v/>
      </c>
      <c r="BC736" s="53" t="n"/>
      <c r="BD736" s="53" t="n"/>
      <c r="BE736" s="61" t="n"/>
      <c r="BF736" s="55" t="n">
        <v>0</v>
      </c>
      <c r="BG736" s="55" t="n">
        <v>0</v>
      </c>
      <c r="BH736" s="54" t="n">
        <v>0</v>
      </c>
      <c r="BI736" s="55" t="n">
        <v>72</v>
      </c>
      <c r="BJ736" s="53" t="inlineStr"/>
      <c r="BK736" s="58" t="n">
        <v>0</v>
      </c>
      <c r="BL736" s="58" t="n">
        <v>736</v>
      </c>
      <c r="BM736" s="53">
        <f>IF(S736&lt;&gt;"",UPPER(TRIM(S736)),IF(O736="","LOSE",O736))</f>
        <v/>
      </c>
      <c r="BN736" s="55">
        <f>IF(BM736="LOSE",1,IF(N(T736)&gt;0,T736,IF(N(P736)&gt;0,P736,MAX(1,G736))))</f>
        <v/>
      </c>
      <c r="BO736" s="58">
        <f>IF(BM736="LOSE",1,0)</f>
        <v/>
      </c>
      <c r="BP736" s="64">
        <f>IF(BO736=0,0,IF(N(R736)&gt;0,R736,IFERROR(VLOOKUP(D736,Parameter!$A$35:$C$64,3,0)+0,0)))</f>
        <v/>
      </c>
      <c r="BQ736" s="53">
        <f>IF(V736&lt;&gt;"",V736,U736)</f>
        <v/>
      </c>
      <c r="BR736" s="53">
        <f>IF(BQ736=1,"L1",IF(OR(BQ736=2,BQ736=3),"L23",IF(BQ736="Aussen","Aussen","-")))</f>
        <v/>
      </c>
      <c r="BS736" s="66">
        <f>IF(N(W736)&gt;0,W736,0)</f>
        <v/>
      </c>
      <c r="BT736" s="58">
        <f>IF(ISNUMBER(Z736),1,0)</f>
        <v/>
      </c>
      <c r="BU736" s="55">
        <f>N(Z736)</f>
        <v/>
      </c>
      <c r="BV736" s="55">
        <f>N(L736)+N(M736)</f>
        <v/>
      </c>
      <c r="BW736" s="55">
        <f>ROUNDUP(G736/BN736,0)</f>
        <v/>
      </c>
      <c r="BX736" s="55">
        <f>ROUNDUP(BU736/BN736,0)</f>
        <v/>
      </c>
      <c r="BY736" s="58">
        <f>IF(BO736=1,0,IFERROR(VLOOKUP(BM736,'Gebinde-Kategorie'!$A$5:$G$45,5,0)+0,0))</f>
        <v/>
      </c>
      <c r="BZ736" s="58">
        <f>IFERROR(IF(OR(BQ736=1,BQ736=2,BQ736=3),N(INDEX(Parameter!$I$5:$I$7,BQ736)),0),0)</f>
        <v/>
      </c>
    </row>
    <row r="737">
      <c r="A737" s="53" t="inlineStr">
        <is>
          <t>005085</t>
        </is>
      </c>
      <c r="B737" s="53" t="inlineStr">
        <is>
          <t>SPS Grundgerät EG104/EG106</t>
        </is>
      </c>
      <c r="C737" s="53" t="inlineStr">
        <is>
          <t>F</t>
        </is>
      </c>
      <c r="D737" s="53" t="inlineStr">
        <is>
          <t>KTL</t>
        </is>
      </c>
      <c r="E737" s="53" t="inlineStr">
        <is>
          <t>C</t>
        </is>
      </c>
      <c r="F737" s="54" t="n">
        <v>914.73</v>
      </c>
      <c r="G737" s="55">
        <f>MAX(0,IF(Parameter!$B$20="Jahresanfang 2025 + Export",BG737+BF737,BF737))</f>
        <v/>
      </c>
      <c r="H737" s="55">
        <f>G737*F737</f>
        <v/>
      </c>
      <c r="I737" s="55">
        <f>BI737*Parameter!$B$18</f>
        <v/>
      </c>
      <c r="J737" s="56" t="n">
        <v>5</v>
      </c>
      <c r="K737" s="57" t="n">
        <v>0</v>
      </c>
      <c r="L737" s="55" t="n">
        <v>0</v>
      </c>
      <c r="M737" s="55" t="n">
        <v>1</v>
      </c>
      <c r="N737" s="58" t="n">
        <v>14</v>
      </c>
      <c r="O737" s="53" t="inlineStr">
        <is>
          <t>S61</t>
        </is>
      </c>
      <c r="P737" s="55" t="n">
        <v>3</v>
      </c>
      <c r="Q737" s="59">
        <f>IF(BO737=1,0,IFERROR(VLOOKUP(BM737,'Gebinde-Kategorie'!$A$5:$G$45,6,0)+0,0))</f>
        <v/>
      </c>
      <c r="R737" s="60" t="n"/>
      <c r="S737" s="61" t="n"/>
      <c r="T737" s="61" t="n"/>
      <c r="U737" s="53">
        <f>IF(A737="","",IF(IFERROR(VLOOKUP(D737,Parameter!$A$35:$C$64,2,0),"Nein")="2+3",IF(ISNUMBER(SEARCH("grosser Artikel",BJ737)),2,IFERROR(VLOOKUP(BM737,Parameter!$F$35:$G$64,2,0),2)),IF(OR(IFERROR(VLOOKUP(D737,Parameter!$A$35:$C$64,2,0),"Nein")="Nein",IFERROR(VLOOKUP(D737,Parameter!$A$35:$C$64,2,0),"Nein")=""),"-",VLOOKUP(D737,Parameter!$A$35:$C$64,2,0))))</f>
        <v/>
      </c>
      <c r="V737" s="61" t="n"/>
      <c r="W737" s="62" t="n"/>
      <c r="X737" s="55">
        <f>AM737</f>
        <v/>
      </c>
      <c r="Y737" s="55">
        <f>MAX(AM737,G737)</f>
        <v/>
      </c>
      <c r="Z737" s="63" t="n"/>
      <c r="AA737" s="55">
        <f>IF(LEFT(Cockpit!$C$5,1)="A",G737,IF(BT737=1,BU737,IF(LEFT(Cockpit!$C$5,1)="B",AE737,MAX(AE737,G737))))</f>
        <v/>
      </c>
      <c r="AB737" s="55">
        <f>IF(BO737=1,0,ROUNDUP(AA737/BN737,0))</f>
        <v/>
      </c>
      <c r="AC737" s="64">
        <f>IF(BO737=1,IF(AA737&lt;=0,0,BP737*MAX(1,IF(G737&gt;0,AA737/G737,1))),AB737*Q737)</f>
        <v/>
      </c>
      <c r="AD737" s="55">
        <f>AA737*F737</f>
        <v/>
      </c>
      <c r="AE737" s="55">
        <f>ROUNDUP(MAX(I737/IF(BS737&gt;0,BS737,MAX(0.1,N(Cockpit!$C$6))),BV737)/BN737,0)*BN737</f>
        <v/>
      </c>
      <c r="AF737" s="56">
        <f>IF(AC737&gt;0,I737/AC737,-1)</f>
        <v/>
      </c>
      <c r="AG737" s="56">
        <f>IF(AND(OR(BR737="L1",BR737="L23"),AC737&gt;0),SUMIFS($AC$7:$AC$1570,$BR$7:$BR$1570,BR737,$AF$7:$AF$1570,"&gt;"&amp;AF737)+SUMIFS($AC$7:$AC$1570,$BR$7:$BR$1570,BR737,$AF$7:$AF$1570,AF737,$BL$7:$BL$1570,"&lt;="&amp;BL737),"")</f>
        <v/>
      </c>
      <c r="AH737" s="65">
        <f>IF(AG737="",0,MAX(0,MIN(1,(IF(BR737="L1",Parameter!$K$5,Parameter!$K$6+Parameter!$K$7)-(AG737-AC737))/AC737)))</f>
        <v/>
      </c>
      <c r="AI737" s="55">
        <f>IF(LEFT(Cockpit!$I$5,1)="A",G737,IF(BT737=1,BU737,IF(LEFT(Cockpit!$I$5,1)="B",AM737,MAX(AM737,G737))))</f>
        <v/>
      </c>
      <c r="AJ737" s="55">
        <f>IF(BO737=1,0,ROUNDUP(AI737/BN737,0))</f>
        <v/>
      </c>
      <c r="AK737" s="64">
        <f>IF(BO737=1,IF(AI737&lt;=0,0,BP737*MAX(1,IF(G737&gt;0,AI737/G737,1))),AJ737*Q737)</f>
        <v/>
      </c>
      <c r="AL737" s="55">
        <f>AI737*F737</f>
        <v/>
      </c>
      <c r="AM737" s="55">
        <f>ROUNDUP(MAX(I737/IF(BS737&gt;0,BS737,MAX(0.1,N(Cockpit!$I$6))),BV737)/BN737,0)*BN737</f>
        <v/>
      </c>
      <c r="AN737" s="56">
        <f>IF(AK737&gt;0,I737/AK737,-1)</f>
        <v/>
      </c>
      <c r="AO737" s="56">
        <f>IF(AND(OR(BR737="L1",BR737="L23"),AK737&gt;0),SUMIFS($AK$7:$AK$1570,$BR$7:$BR$1570,BR737,$AN$7:$AN$1570,"&gt;"&amp;AN737)+SUMIFS($AK$7:$AK$1570,$BR$7:$BR$1570,BR737,$AN$7:$AN$1570,AN737,$BL$7:$BL$1570,"&lt;="&amp;BL737),"")</f>
        <v/>
      </c>
      <c r="AP737" s="65">
        <f>IF(AO737="",0,MAX(0,MIN(1,(IF(BR737="L1",Parameter!$K$5,Parameter!$K$6+Parameter!$K$7)-(AO737-AK737))/AK737)))</f>
        <v/>
      </c>
      <c r="AQ737" s="55">
        <f>IF(LEFT(Cockpit!$O$5,1)="A",G737,IF(BT737=1,BU737,IF(LEFT(Cockpit!$O$5,1)="B",AU737,MAX(AU737,G737))))</f>
        <v/>
      </c>
      <c r="AR737" s="55">
        <f>IF(BO737=1,0,ROUNDUP(AQ737/BN737,0))</f>
        <v/>
      </c>
      <c r="AS737" s="64">
        <f>IF(BO737=1,IF(AQ737&lt;=0,0,BP737*MAX(1,IF(G737&gt;0,AQ737/G737,1))),AR737*Q737)</f>
        <v/>
      </c>
      <c r="AT737" s="55">
        <f>AQ737*F737</f>
        <v/>
      </c>
      <c r="AU737" s="55">
        <f>ROUNDUP(MAX(I737/IF(BS737&gt;0,BS737,MAX(0.1,N(Cockpit!$O$6))),BV737)/BN737,0)*BN737</f>
        <v/>
      </c>
      <c r="AV737" s="56">
        <f>IF(AS737&gt;0,I737/AS737,-1)</f>
        <v/>
      </c>
      <c r="AW737" s="56">
        <f>IF(AND(OR(BR737="L1",BR737="L23"),AS737&gt;0),SUMIFS($AS$7:$AS$1570,$BR$7:$BR$1570,BR737,$AV$7:$AV$1570,"&gt;"&amp;AV737)+SUMIFS($AS$7:$AS$1570,$BR$7:$BR$1570,BR737,$AV$7:$AV$1570,AV737,$BL$7:$BL$1570,"&lt;="&amp;BL737),"")</f>
        <v/>
      </c>
      <c r="AX737" s="65">
        <f>IF(AW737="",0,MAX(0,MIN(1,(IF(BR737="L1",Parameter!$K$5,Parameter!$K$6+Parameter!$K$7)-(AW737-AS737))/AS737)))</f>
        <v/>
      </c>
      <c r="AY737" s="53">
        <f>IF(AC737&lt;=0,"",IF(BR737="Aussen","Aussenlager",IF(BR737="-","Nicht im Lift",IF(AH737&gt;=1,"Lift",IF(AH737&lt;=0,"Aussenlager","teilweise")))))</f>
        <v/>
      </c>
      <c r="AZ737" s="53">
        <f>IF(AK737&lt;=0,"",IF(BR737="Aussen","Aussenlager",IF(BR737="-","Nicht im Lift",IF(AP737&gt;=1,"Lift",IF(AP737&lt;=0,"Aussenlager","teilweise")))))</f>
        <v/>
      </c>
      <c r="BA737" s="53">
        <f>IF(AS737&lt;=0,"",IF(BR737="Aussen","Aussenlager",IF(BR737="-","Nicht im Lift",IF(AX737&gt;=1,"Lift",IF(AX737&lt;=0,"Aussenlager","teilweise")))))</f>
        <v/>
      </c>
      <c r="BB737" s="53">
        <f>IF(A737="","",IF(BK737=1,"Neu; ","")&amp;IF(AND(BK737=0,BF737&lt;0),"negativer Bestand (Export "&amp;BF737&amp;"); ","")&amp;IF(I737&lt;=0,"Kein Verbrauch; ","")&amp;IF(BO737=1,"Lose – Fläche geschätzt; ","")&amp;IF(G737&gt;AM737,"Überbestand "&amp;ROUND(G737-AM737,0)&amp;" Stk / CHF "&amp;ROUND((G737-AM737)*F737,0)&amp;"; ","")&amp;IF(AND(BT737=1,BU737&lt;BV737),"MAX &lt; MB+LG; ","")&amp;IF(AND(BZ737&gt;0,BY737*10&gt;BZ737),"zu hoch für Tablar; ","")&amp;IF(AND(BK737=0,OR(BT737=1,V737&lt;&gt;"",S737&lt;&gt;"",T737&lt;&gt;"",W737&lt;&gt;"")),"manuell übersteuert; ","")&amp;IF(AND(BO737=0,Q737=0),"Gebinde unbekannt; ","")&amp;IF(AND(BO737=0,N(T737)&lt;=0,N(P737)&lt;=0),"Menge pro Gebinde fehlt (Ist = 1 Gebinde); ","")&amp;BJ737)</f>
        <v/>
      </c>
      <c r="BC737" s="53" t="n"/>
      <c r="BD737" s="53" t="n"/>
      <c r="BE737" s="61" t="n"/>
      <c r="BF737" s="55" t="n">
        <v>0</v>
      </c>
      <c r="BG737" s="55" t="n">
        <v>5</v>
      </c>
      <c r="BH737" s="54" t="n">
        <v>0</v>
      </c>
      <c r="BI737" s="55" t="n">
        <v>0</v>
      </c>
      <c r="BJ737" s="53" t="inlineStr">
        <is>
          <t>Ohne Fuss</t>
        </is>
      </c>
      <c r="BK737" s="58" t="n">
        <v>0</v>
      </c>
      <c r="BL737" s="58" t="n">
        <v>737</v>
      </c>
      <c r="BM737" s="53">
        <f>IF(S737&lt;&gt;"",UPPER(TRIM(S737)),IF(O737="","LOSE",O737))</f>
        <v/>
      </c>
      <c r="BN737" s="55">
        <f>IF(BM737="LOSE",1,IF(N(T737)&gt;0,T737,IF(N(P737)&gt;0,P737,MAX(1,G737))))</f>
        <v/>
      </c>
      <c r="BO737" s="58">
        <f>IF(BM737="LOSE",1,0)</f>
        <v/>
      </c>
      <c r="BP737" s="64">
        <f>IF(BO737=0,0,IF(N(R737)&gt;0,R737,IFERROR(VLOOKUP(D737,Parameter!$A$35:$C$64,3,0)+0,0)))</f>
        <v/>
      </c>
      <c r="BQ737" s="53">
        <f>IF(V737&lt;&gt;"",V737,U737)</f>
        <v/>
      </c>
      <c r="BR737" s="53">
        <f>IF(BQ737=1,"L1",IF(OR(BQ737=2,BQ737=3),"L23",IF(BQ737="Aussen","Aussen","-")))</f>
        <v/>
      </c>
      <c r="BS737" s="66">
        <f>IF(N(W737)&gt;0,W737,0)</f>
        <v/>
      </c>
      <c r="BT737" s="58">
        <f>IF(ISNUMBER(Z737),1,0)</f>
        <v/>
      </c>
      <c r="BU737" s="55">
        <f>N(Z737)</f>
        <v/>
      </c>
      <c r="BV737" s="55">
        <f>N(L737)+N(M737)</f>
        <v/>
      </c>
      <c r="BW737" s="55">
        <f>ROUNDUP(G737/BN737,0)</f>
        <v/>
      </c>
      <c r="BX737" s="55">
        <f>ROUNDUP(BU737/BN737,0)</f>
        <v/>
      </c>
      <c r="BY737" s="58">
        <f>IF(BO737=1,0,IFERROR(VLOOKUP(BM737,'Gebinde-Kategorie'!$A$5:$G$45,5,0)+0,0))</f>
        <v/>
      </c>
      <c r="BZ737" s="58">
        <f>IFERROR(IF(OR(BQ737=1,BQ737=2,BQ737=3),N(INDEX(Parameter!$I$5:$I$7,BQ737)),0),0)</f>
        <v/>
      </c>
    </row>
    <row r="738">
      <c r="A738" s="53" t="inlineStr">
        <is>
          <t>005283</t>
        </is>
      </c>
      <c r="B738" s="53" t="inlineStr">
        <is>
          <t>Durchgangsventil</t>
        </is>
      </c>
      <c r="C738" s="53" t="inlineStr">
        <is>
          <t>F</t>
        </is>
      </c>
      <c r="D738" s="53" t="inlineStr">
        <is>
          <t>KTL</t>
        </is>
      </c>
      <c r="E738" s="53" t="inlineStr">
        <is>
          <t>C</t>
        </is>
      </c>
      <c r="F738" s="54" t="n">
        <v>170.05</v>
      </c>
      <c r="G738" s="55">
        <f>MAX(0,IF(Parameter!$B$20="Jahresanfang 2025 + Export",BG738+BF738,BF738))</f>
        <v/>
      </c>
      <c r="H738" s="55">
        <f>G738*F738</f>
        <v/>
      </c>
      <c r="I738" s="55">
        <f>BI738*Parameter!$B$18</f>
        <v/>
      </c>
      <c r="J738" s="56" t="n">
        <v>8</v>
      </c>
      <c r="K738" s="57" t="n">
        <v>0</v>
      </c>
      <c r="L738" s="55" t="n">
        <v>0</v>
      </c>
      <c r="M738" s="55" t="n">
        <v>1</v>
      </c>
      <c r="N738" s="58" t="n">
        <v>28</v>
      </c>
      <c r="O738" s="53" t="inlineStr">
        <is>
          <t>S41</t>
        </is>
      </c>
      <c r="P738" s="55" t="n">
        <v>15</v>
      </c>
      <c r="Q738" s="59">
        <f>IF(BO738=1,0,IFERROR(VLOOKUP(BM738,'Gebinde-Kategorie'!$A$5:$G$45,6,0)+0,0))</f>
        <v/>
      </c>
      <c r="R738" s="60" t="n"/>
      <c r="S738" s="61" t="n"/>
      <c r="T738" s="61" t="n"/>
      <c r="U738" s="53">
        <f>IF(A738="","",IF(IFERROR(VLOOKUP(D738,Parameter!$A$35:$C$64,2,0),"Nein")="2+3",IF(ISNUMBER(SEARCH("grosser Artikel",BJ738)),2,IFERROR(VLOOKUP(BM738,Parameter!$F$35:$G$64,2,0),2)),IF(OR(IFERROR(VLOOKUP(D738,Parameter!$A$35:$C$64,2,0),"Nein")="Nein",IFERROR(VLOOKUP(D738,Parameter!$A$35:$C$64,2,0),"Nein")=""),"-",VLOOKUP(D738,Parameter!$A$35:$C$64,2,0))))</f>
        <v/>
      </c>
      <c r="V738" s="61" t="n"/>
      <c r="W738" s="62" t="n"/>
      <c r="X738" s="55">
        <f>AM738</f>
        <v/>
      </c>
      <c r="Y738" s="55">
        <f>MAX(AM738,G738)</f>
        <v/>
      </c>
      <c r="Z738" s="63" t="n"/>
      <c r="AA738" s="55">
        <f>IF(LEFT(Cockpit!$C$5,1)="A",G738,IF(BT738=1,BU738,IF(LEFT(Cockpit!$C$5,1)="B",AE738,MAX(AE738,G738))))</f>
        <v/>
      </c>
      <c r="AB738" s="55">
        <f>IF(BO738=1,0,ROUNDUP(AA738/BN738,0))</f>
        <v/>
      </c>
      <c r="AC738" s="64">
        <f>IF(BO738=1,IF(AA738&lt;=0,0,BP738*MAX(1,IF(G738&gt;0,AA738/G738,1))),AB738*Q738)</f>
        <v/>
      </c>
      <c r="AD738" s="55">
        <f>AA738*F738</f>
        <v/>
      </c>
      <c r="AE738" s="55">
        <f>ROUNDUP(MAX(I738/IF(BS738&gt;0,BS738,MAX(0.1,N(Cockpit!$C$6))),BV738)/BN738,0)*BN738</f>
        <v/>
      </c>
      <c r="AF738" s="56">
        <f>IF(AC738&gt;0,I738/AC738,-1)</f>
        <v/>
      </c>
      <c r="AG738" s="56">
        <f>IF(AND(OR(BR738="L1",BR738="L23"),AC738&gt;0),SUMIFS($AC$7:$AC$1570,$BR$7:$BR$1570,BR738,$AF$7:$AF$1570,"&gt;"&amp;AF738)+SUMIFS($AC$7:$AC$1570,$BR$7:$BR$1570,BR738,$AF$7:$AF$1570,AF738,$BL$7:$BL$1570,"&lt;="&amp;BL738),"")</f>
        <v/>
      </c>
      <c r="AH738" s="65">
        <f>IF(AG738="",0,MAX(0,MIN(1,(IF(BR738="L1",Parameter!$K$5,Parameter!$K$6+Parameter!$K$7)-(AG738-AC738))/AC738)))</f>
        <v/>
      </c>
      <c r="AI738" s="55">
        <f>IF(LEFT(Cockpit!$I$5,1)="A",G738,IF(BT738=1,BU738,IF(LEFT(Cockpit!$I$5,1)="B",AM738,MAX(AM738,G738))))</f>
        <v/>
      </c>
      <c r="AJ738" s="55">
        <f>IF(BO738=1,0,ROUNDUP(AI738/BN738,0))</f>
        <v/>
      </c>
      <c r="AK738" s="64">
        <f>IF(BO738=1,IF(AI738&lt;=0,0,BP738*MAX(1,IF(G738&gt;0,AI738/G738,1))),AJ738*Q738)</f>
        <v/>
      </c>
      <c r="AL738" s="55">
        <f>AI738*F738</f>
        <v/>
      </c>
      <c r="AM738" s="55">
        <f>ROUNDUP(MAX(I738/IF(BS738&gt;0,BS738,MAX(0.1,N(Cockpit!$I$6))),BV738)/BN738,0)*BN738</f>
        <v/>
      </c>
      <c r="AN738" s="56">
        <f>IF(AK738&gt;0,I738/AK738,-1)</f>
        <v/>
      </c>
      <c r="AO738" s="56">
        <f>IF(AND(OR(BR738="L1",BR738="L23"),AK738&gt;0),SUMIFS($AK$7:$AK$1570,$BR$7:$BR$1570,BR738,$AN$7:$AN$1570,"&gt;"&amp;AN738)+SUMIFS($AK$7:$AK$1570,$BR$7:$BR$1570,BR738,$AN$7:$AN$1570,AN738,$BL$7:$BL$1570,"&lt;="&amp;BL738),"")</f>
        <v/>
      </c>
      <c r="AP738" s="65">
        <f>IF(AO738="",0,MAX(0,MIN(1,(IF(BR738="L1",Parameter!$K$5,Parameter!$K$6+Parameter!$K$7)-(AO738-AK738))/AK738)))</f>
        <v/>
      </c>
      <c r="AQ738" s="55">
        <f>IF(LEFT(Cockpit!$O$5,1)="A",G738,IF(BT738=1,BU738,IF(LEFT(Cockpit!$O$5,1)="B",AU738,MAX(AU738,G738))))</f>
        <v/>
      </c>
      <c r="AR738" s="55">
        <f>IF(BO738=1,0,ROUNDUP(AQ738/BN738,0))</f>
        <v/>
      </c>
      <c r="AS738" s="64">
        <f>IF(BO738=1,IF(AQ738&lt;=0,0,BP738*MAX(1,IF(G738&gt;0,AQ738/G738,1))),AR738*Q738)</f>
        <v/>
      </c>
      <c r="AT738" s="55">
        <f>AQ738*F738</f>
        <v/>
      </c>
      <c r="AU738" s="55">
        <f>ROUNDUP(MAX(I738/IF(BS738&gt;0,BS738,MAX(0.1,N(Cockpit!$O$6))),BV738)/BN738,0)*BN738</f>
        <v/>
      </c>
      <c r="AV738" s="56">
        <f>IF(AS738&gt;0,I738/AS738,-1)</f>
        <v/>
      </c>
      <c r="AW738" s="56">
        <f>IF(AND(OR(BR738="L1",BR738="L23"),AS738&gt;0),SUMIFS($AS$7:$AS$1570,$BR$7:$BR$1570,BR738,$AV$7:$AV$1570,"&gt;"&amp;AV738)+SUMIFS($AS$7:$AS$1570,$BR$7:$BR$1570,BR738,$AV$7:$AV$1570,AV738,$BL$7:$BL$1570,"&lt;="&amp;BL738),"")</f>
        <v/>
      </c>
      <c r="AX738" s="65">
        <f>IF(AW738="",0,MAX(0,MIN(1,(IF(BR738="L1",Parameter!$K$5,Parameter!$K$6+Parameter!$K$7)-(AW738-AS738))/AS738)))</f>
        <v/>
      </c>
      <c r="AY738" s="53">
        <f>IF(AC738&lt;=0,"",IF(BR738="Aussen","Aussenlager",IF(BR738="-","Nicht im Lift",IF(AH738&gt;=1,"Lift",IF(AH738&lt;=0,"Aussenlager","teilweise")))))</f>
        <v/>
      </c>
      <c r="AZ738" s="53">
        <f>IF(AK738&lt;=0,"",IF(BR738="Aussen","Aussenlager",IF(BR738="-","Nicht im Lift",IF(AP738&gt;=1,"Lift",IF(AP738&lt;=0,"Aussenlager","teilweise")))))</f>
        <v/>
      </c>
      <c r="BA738" s="53">
        <f>IF(AS738&lt;=0,"",IF(BR738="Aussen","Aussenlager",IF(BR738="-","Nicht im Lift",IF(AX738&gt;=1,"Lift",IF(AX738&lt;=0,"Aussenlager","teilweise")))))</f>
        <v/>
      </c>
      <c r="BB738" s="53">
        <f>IF(A738="","",IF(BK738=1,"Neu; ","")&amp;IF(AND(BK738=0,BF738&lt;0),"negativer Bestand (Export "&amp;BF738&amp;"); ","")&amp;IF(I738&lt;=0,"Kein Verbrauch; ","")&amp;IF(BO738=1,"Lose – Fläche geschätzt; ","")&amp;IF(G738&gt;AM738,"Überbestand "&amp;ROUND(G738-AM738,0)&amp;" Stk / CHF "&amp;ROUND((G738-AM738)*F738,0)&amp;"; ","")&amp;IF(AND(BT738=1,BU738&lt;BV738),"MAX &lt; MB+LG; ","")&amp;IF(AND(BZ738&gt;0,BY738*10&gt;BZ738),"zu hoch für Tablar; ","")&amp;IF(AND(BK738=0,OR(BT738=1,V738&lt;&gt;"",S738&lt;&gt;"",T738&lt;&gt;"",W738&lt;&gt;"")),"manuell übersteuert; ","")&amp;IF(AND(BO738=0,Q738=0),"Gebinde unbekannt; ","")&amp;IF(AND(BO738=0,N(T738)&lt;=0,N(P738)&lt;=0),"Menge pro Gebinde fehlt (Ist = 1 Gebinde); ","")&amp;BJ738)</f>
        <v/>
      </c>
      <c r="BC738" s="53" t="n"/>
      <c r="BD738" s="53" t="n"/>
      <c r="BE738" s="61" t="n"/>
      <c r="BF738" s="55" t="n">
        <v>0</v>
      </c>
      <c r="BG738" s="55" t="n">
        <v>8</v>
      </c>
      <c r="BH738" s="54" t="n">
        <v>0</v>
      </c>
      <c r="BI738" s="55" t="n">
        <v>0</v>
      </c>
      <c r="BJ738" s="53" t="inlineStr"/>
      <c r="BK738" s="58" t="n">
        <v>0</v>
      </c>
      <c r="BL738" s="58" t="n">
        <v>738</v>
      </c>
      <c r="BM738" s="53">
        <f>IF(S738&lt;&gt;"",UPPER(TRIM(S738)),IF(O738="","LOSE",O738))</f>
        <v/>
      </c>
      <c r="BN738" s="55">
        <f>IF(BM738="LOSE",1,IF(N(T738)&gt;0,T738,IF(N(P738)&gt;0,P738,MAX(1,G738))))</f>
        <v/>
      </c>
      <c r="BO738" s="58">
        <f>IF(BM738="LOSE",1,0)</f>
        <v/>
      </c>
      <c r="BP738" s="64">
        <f>IF(BO738=0,0,IF(N(R738)&gt;0,R738,IFERROR(VLOOKUP(D738,Parameter!$A$35:$C$64,3,0)+0,0)))</f>
        <v/>
      </c>
      <c r="BQ738" s="53">
        <f>IF(V738&lt;&gt;"",V738,U738)</f>
        <v/>
      </c>
      <c r="BR738" s="53">
        <f>IF(BQ738=1,"L1",IF(OR(BQ738=2,BQ738=3),"L23",IF(BQ738="Aussen","Aussen","-")))</f>
        <v/>
      </c>
      <c r="BS738" s="66">
        <f>IF(N(W738)&gt;0,W738,0)</f>
        <v/>
      </c>
      <c r="BT738" s="58">
        <f>IF(ISNUMBER(Z738),1,0)</f>
        <v/>
      </c>
      <c r="BU738" s="55">
        <f>N(Z738)</f>
        <v/>
      </c>
      <c r="BV738" s="55">
        <f>N(L738)+N(M738)</f>
        <v/>
      </c>
      <c r="BW738" s="55">
        <f>ROUNDUP(G738/BN738,0)</f>
        <v/>
      </c>
      <c r="BX738" s="55">
        <f>ROUNDUP(BU738/BN738,0)</f>
        <v/>
      </c>
      <c r="BY738" s="58">
        <f>IF(BO738=1,0,IFERROR(VLOOKUP(BM738,'Gebinde-Kategorie'!$A$5:$G$45,5,0)+0,0))</f>
        <v/>
      </c>
      <c r="BZ738" s="58">
        <f>IFERROR(IF(OR(BQ738=1,BQ738=2,BQ738=3),N(INDEX(Parameter!$I$5:$I$7,BQ738)),0),0)</f>
        <v/>
      </c>
    </row>
    <row r="739">
      <c r="A739" s="53" t="inlineStr">
        <is>
          <t>005183</t>
        </is>
      </c>
      <c r="B739" s="53" t="inlineStr">
        <is>
          <t>Ventilsteuerschrank</t>
        </is>
      </c>
      <c r="C739" s="53" t="inlineStr">
        <is>
          <t>F</t>
        </is>
      </c>
      <c r="D739" s="53" t="inlineStr">
        <is>
          <t>A-BEZ</t>
        </is>
      </c>
      <c r="E739" s="53" t="inlineStr">
        <is>
          <t>C</t>
        </is>
      </c>
      <c r="F739" s="54" t="n">
        <v>1088.02</v>
      </c>
      <c r="G739" s="55">
        <f>MAX(0,IF(Parameter!$B$20="Jahresanfang 2025 + Export",BG739+BF739,BF739))</f>
        <v/>
      </c>
      <c r="H739" s="55">
        <f>G739*F739</f>
        <v/>
      </c>
      <c r="I739" s="55">
        <f>BI739*Parameter!$B$18</f>
        <v/>
      </c>
      <c r="J739" s="56" t="n">
        <v>0</v>
      </c>
      <c r="K739" s="57" t="n">
        <v>0</v>
      </c>
      <c r="L739" s="55" t="n">
        <v>0</v>
      </c>
      <c r="M739" s="55" t="n">
        <v>1</v>
      </c>
      <c r="N739" s="58" t="n">
        <v>42</v>
      </c>
      <c r="O739" s="53" t="inlineStr">
        <is>
          <t>LOSE</t>
        </is>
      </c>
      <c r="P739" s="55" t="n"/>
      <c r="Q739" s="59">
        <f>IF(BO739=1,0,IFERROR(VLOOKUP(BM739,'Gebinde-Kategorie'!$A$5:$G$45,6,0)+0,0))</f>
        <v/>
      </c>
      <c r="R739" s="60" t="n"/>
      <c r="S739" s="61" t="n"/>
      <c r="T739" s="61" t="n"/>
      <c r="U739" s="53">
        <f>IF(A739="","",IF(IFERROR(VLOOKUP(D739,Parameter!$A$35:$C$64,2,0),"Nein")="2+3",IF(ISNUMBER(SEARCH("grosser Artikel",BJ739)),2,IFERROR(VLOOKUP(BM739,Parameter!$F$35:$G$64,2,0),2)),IF(OR(IFERROR(VLOOKUP(D739,Parameter!$A$35:$C$64,2,0),"Nein")="Nein",IFERROR(VLOOKUP(D739,Parameter!$A$35:$C$64,2,0),"Nein")=""),"-",VLOOKUP(D739,Parameter!$A$35:$C$64,2,0))))</f>
        <v/>
      </c>
      <c r="V739" s="61" t="n"/>
      <c r="W739" s="62" t="n"/>
      <c r="X739" s="55">
        <f>AM739</f>
        <v/>
      </c>
      <c r="Y739" s="55">
        <f>MAX(AM739,G739)</f>
        <v/>
      </c>
      <c r="Z739" s="63" t="n"/>
      <c r="AA739" s="55">
        <f>IF(LEFT(Cockpit!$C$5,1)="A",G739,IF(BT739=1,BU739,IF(LEFT(Cockpit!$C$5,1)="B",AE739,MAX(AE739,G739))))</f>
        <v/>
      </c>
      <c r="AB739" s="55">
        <f>IF(BO739=1,0,ROUNDUP(AA739/BN739,0))</f>
        <v/>
      </c>
      <c r="AC739" s="64">
        <f>IF(BO739=1,IF(AA739&lt;=0,0,BP739*MAX(1,IF(G739&gt;0,AA739/G739,1))),AB739*Q739)</f>
        <v/>
      </c>
      <c r="AD739" s="55">
        <f>AA739*F739</f>
        <v/>
      </c>
      <c r="AE739" s="55">
        <f>ROUNDUP(MAX(I739/IF(BS739&gt;0,BS739,MAX(0.1,N(Cockpit!$C$6))),BV739)/BN739,0)*BN739</f>
        <v/>
      </c>
      <c r="AF739" s="56">
        <f>IF(AC739&gt;0,I739/AC739,-1)</f>
        <v/>
      </c>
      <c r="AG739" s="56">
        <f>IF(AND(OR(BR739="L1",BR739="L23"),AC739&gt;0),SUMIFS($AC$7:$AC$1570,$BR$7:$BR$1570,BR739,$AF$7:$AF$1570,"&gt;"&amp;AF739)+SUMIFS($AC$7:$AC$1570,$BR$7:$BR$1570,BR739,$AF$7:$AF$1570,AF739,$BL$7:$BL$1570,"&lt;="&amp;BL739),"")</f>
        <v/>
      </c>
      <c r="AH739" s="65">
        <f>IF(AG739="",0,MAX(0,MIN(1,(IF(BR739="L1",Parameter!$K$5,Parameter!$K$6+Parameter!$K$7)-(AG739-AC739))/AC739)))</f>
        <v/>
      </c>
      <c r="AI739" s="55">
        <f>IF(LEFT(Cockpit!$I$5,1)="A",G739,IF(BT739=1,BU739,IF(LEFT(Cockpit!$I$5,1)="B",AM739,MAX(AM739,G739))))</f>
        <v/>
      </c>
      <c r="AJ739" s="55">
        <f>IF(BO739=1,0,ROUNDUP(AI739/BN739,0))</f>
        <v/>
      </c>
      <c r="AK739" s="64">
        <f>IF(BO739=1,IF(AI739&lt;=0,0,BP739*MAX(1,IF(G739&gt;0,AI739/G739,1))),AJ739*Q739)</f>
        <v/>
      </c>
      <c r="AL739" s="55">
        <f>AI739*F739</f>
        <v/>
      </c>
      <c r="AM739" s="55">
        <f>ROUNDUP(MAX(I739/IF(BS739&gt;0,BS739,MAX(0.1,N(Cockpit!$I$6))),BV739)/BN739,0)*BN739</f>
        <v/>
      </c>
      <c r="AN739" s="56">
        <f>IF(AK739&gt;0,I739/AK739,-1)</f>
        <v/>
      </c>
      <c r="AO739" s="56">
        <f>IF(AND(OR(BR739="L1",BR739="L23"),AK739&gt;0),SUMIFS($AK$7:$AK$1570,$BR$7:$BR$1570,BR739,$AN$7:$AN$1570,"&gt;"&amp;AN739)+SUMIFS($AK$7:$AK$1570,$BR$7:$BR$1570,BR739,$AN$7:$AN$1570,AN739,$BL$7:$BL$1570,"&lt;="&amp;BL739),"")</f>
        <v/>
      </c>
      <c r="AP739" s="65">
        <f>IF(AO739="",0,MAX(0,MIN(1,(IF(BR739="L1",Parameter!$K$5,Parameter!$K$6+Parameter!$K$7)-(AO739-AK739))/AK739)))</f>
        <v/>
      </c>
      <c r="AQ739" s="55">
        <f>IF(LEFT(Cockpit!$O$5,1)="A",G739,IF(BT739=1,BU739,IF(LEFT(Cockpit!$O$5,1)="B",AU739,MAX(AU739,G739))))</f>
        <v/>
      </c>
      <c r="AR739" s="55">
        <f>IF(BO739=1,0,ROUNDUP(AQ739/BN739,0))</f>
        <v/>
      </c>
      <c r="AS739" s="64">
        <f>IF(BO739=1,IF(AQ739&lt;=0,0,BP739*MAX(1,IF(G739&gt;0,AQ739/G739,1))),AR739*Q739)</f>
        <v/>
      </c>
      <c r="AT739" s="55">
        <f>AQ739*F739</f>
        <v/>
      </c>
      <c r="AU739" s="55">
        <f>ROUNDUP(MAX(I739/IF(BS739&gt;0,BS739,MAX(0.1,N(Cockpit!$O$6))),BV739)/BN739,0)*BN739</f>
        <v/>
      </c>
      <c r="AV739" s="56">
        <f>IF(AS739&gt;0,I739/AS739,-1)</f>
        <v/>
      </c>
      <c r="AW739" s="56">
        <f>IF(AND(OR(BR739="L1",BR739="L23"),AS739&gt;0),SUMIFS($AS$7:$AS$1570,$BR$7:$BR$1570,BR739,$AV$7:$AV$1570,"&gt;"&amp;AV739)+SUMIFS($AS$7:$AS$1570,$BR$7:$BR$1570,BR739,$AV$7:$AV$1570,AV739,$BL$7:$BL$1570,"&lt;="&amp;BL739),"")</f>
        <v/>
      </c>
      <c r="AX739" s="65">
        <f>IF(AW739="",0,MAX(0,MIN(1,(IF(BR739="L1",Parameter!$K$5,Parameter!$K$6+Parameter!$K$7)-(AW739-AS739))/AS739)))</f>
        <v/>
      </c>
      <c r="AY739" s="53">
        <f>IF(AC739&lt;=0,"",IF(BR739="Aussen","Aussenlager",IF(BR739="-","Nicht im Lift",IF(AH739&gt;=1,"Lift",IF(AH739&lt;=0,"Aussenlager","teilweise")))))</f>
        <v/>
      </c>
      <c r="AZ739" s="53">
        <f>IF(AK739&lt;=0,"",IF(BR739="Aussen","Aussenlager",IF(BR739="-","Nicht im Lift",IF(AP739&gt;=1,"Lift",IF(AP739&lt;=0,"Aussenlager","teilweise")))))</f>
        <v/>
      </c>
      <c r="BA739" s="53">
        <f>IF(AS739&lt;=0,"",IF(BR739="Aussen","Aussenlager",IF(BR739="-","Nicht im Lift",IF(AX739&gt;=1,"Lift",IF(AX739&lt;=0,"Aussenlager","teilweise")))))</f>
        <v/>
      </c>
      <c r="BB739" s="53">
        <f>IF(A739="","",IF(BK739=1,"Neu; ","")&amp;IF(AND(BK739=0,BF739&lt;0),"negativer Bestand (Export "&amp;BF739&amp;"); ","")&amp;IF(I739&lt;=0,"Kein Verbrauch; ","")&amp;IF(BO739=1,"Lose – Fläche geschätzt; ","")&amp;IF(G739&gt;AM739,"Überbestand "&amp;ROUND(G739-AM739,0)&amp;" Stk / CHF "&amp;ROUND((G739-AM739)*F739,0)&amp;"; ","")&amp;IF(AND(BT739=1,BU739&lt;BV739),"MAX &lt; MB+LG; ","")&amp;IF(AND(BZ739&gt;0,BY739*10&gt;BZ739),"zu hoch für Tablar; ","")&amp;IF(AND(BK739=0,OR(BT739=1,V739&lt;&gt;"",S739&lt;&gt;"",T739&lt;&gt;"",W739&lt;&gt;"")),"manuell übersteuert; ","")&amp;IF(AND(BO739=0,Q739=0),"Gebinde unbekannt; ","")&amp;IF(AND(BO739=0,N(T739)&lt;=0,N(P739)&lt;=0),"Menge pro Gebinde fehlt (Ist = 1 Gebinde); ","")&amp;BJ739)</f>
        <v/>
      </c>
      <c r="BC739" s="53" t="n"/>
      <c r="BD739" s="53" t="n"/>
      <c r="BE739" s="61" t="n"/>
      <c r="BF739" s="55" t="n">
        <v>0</v>
      </c>
      <c r="BG739" s="55" t="n">
        <v>0</v>
      </c>
      <c r="BH739" s="54" t="n">
        <v>0</v>
      </c>
      <c r="BI739" s="55" t="n">
        <v>0</v>
      </c>
      <c r="BJ739" s="53" t="inlineStr"/>
      <c r="BK739" s="58" t="n">
        <v>0</v>
      </c>
      <c r="BL739" s="58" t="n">
        <v>739</v>
      </c>
      <c r="BM739" s="53">
        <f>IF(S739&lt;&gt;"",UPPER(TRIM(S739)),IF(O739="","LOSE",O739))</f>
        <v/>
      </c>
      <c r="BN739" s="55">
        <f>IF(BM739="LOSE",1,IF(N(T739)&gt;0,T739,IF(N(P739)&gt;0,P739,MAX(1,G739))))</f>
        <v/>
      </c>
      <c r="BO739" s="58">
        <f>IF(BM739="LOSE",1,0)</f>
        <v/>
      </c>
      <c r="BP739" s="64">
        <f>IF(BO739=0,0,IF(N(R739)&gt;0,R739,IFERROR(VLOOKUP(D739,Parameter!$A$35:$C$64,3,0)+0,0)))</f>
        <v/>
      </c>
      <c r="BQ739" s="53">
        <f>IF(V739&lt;&gt;"",V739,U739)</f>
        <v/>
      </c>
      <c r="BR739" s="53">
        <f>IF(BQ739=1,"L1",IF(OR(BQ739=2,BQ739=3),"L23",IF(BQ739="Aussen","Aussen","-")))</f>
        <v/>
      </c>
      <c r="BS739" s="66">
        <f>IF(N(W739)&gt;0,W739,0)</f>
        <v/>
      </c>
      <c r="BT739" s="58">
        <f>IF(ISNUMBER(Z739),1,0)</f>
        <v/>
      </c>
      <c r="BU739" s="55">
        <f>N(Z739)</f>
        <v/>
      </c>
      <c r="BV739" s="55">
        <f>N(L739)+N(M739)</f>
        <v/>
      </c>
      <c r="BW739" s="55">
        <f>ROUNDUP(G739/BN739,0)</f>
        <v/>
      </c>
      <c r="BX739" s="55">
        <f>ROUNDUP(BU739/BN739,0)</f>
        <v/>
      </c>
      <c r="BY739" s="58">
        <f>IF(BO739=1,0,IFERROR(VLOOKUP(BM739,'Gebinde-Kategorie'!$A$5:$G$45,5,0)+0,0))</f>
        <v/>
      </c>
      <c r="BZ739" s="58">
        <f>IFERROR(IF(OR(BQ739=1,BQ739=2,BQ739=3),N(INDEX(Parameter!$I$5:$I$7,BQ739)),0),0)</f>
        <v/>
      </c>
    </row>
    <row r="740">
      <c r="A740" s="53" t="inlineStr">
        <is>
          <t>110030</t>
        </is>
      </c>
      <c r="B740" s="53" t="inlineStr">
        <is>
          <t>Service Checklist SPGr16 SVC2</t>
        </is>
      </c>
      <c r="C740" s="53" t="inlineStr">
        <is>
          <t>G</t>
        </is>
      </c>
      <c r="D740" s="53" t="inlineStr">
        <is>
          <t>PAL</t>
        </is>
      </c>
      <c r="E740" s="53" t="inlineStr">
        <is>
          <t>C</t>
        </is>
      </c>
      <c r="F740" s="54" t="n">
        <v>0.01</v>
      </c>
      <c r="G740" s="55">
        <f>MAX(0,IF(Parameter!$B$20="Jahresanfang 2025 + Export",BG740+BF740,BF740))</f>
        <v/>
      </c>
      <c r="H740" s="55">
        <f>G740*F740</f>
        <v/>
      </c>
      <c r="I740" s="55">
        <f>BI740*Parameter!$B$18</f>
        <v/>
      </c>
      <c r="J740" s="56" t="n">
        <v>49.5</v>
      </c>
      <c r="K740" s="57" t="n">
        <v>0</v>
      </c>
      <c r="L740" s="55" t="n">
        <v>0</v>
      </c>
      <c r="M740" s="55" t="n">
        <v>10</v>
      </c>
      <c r="N740" s="58" t="n">
        <v>90</v>
      </c>
      <c r="O740" s="53" t="inlineStr">
        <is>
          <t>LOSE</t>
        </is>
      </c>
      <c r="P740" s="55" t="n"/>
      <c r="Q740" s="59">
        <f>IF(BO740=1,0,IFERROR(VLOOKUP(BM740,'Gebinde-Kategorie'!$A$5:$G$45,6,0)+0,0))</f>
        <v/>
      </c>
      <c r="R740" s="60" t="n"/>
      <c r="S740" s="61" t="n"/>
      <c r="T740" s="61" t="n"/>
      <c r="U740" s="53">
        <f>IF(A740="","",IF(IFERROR(VLOOKUP(D740,Parameter!$A$35:$C$64,2,0),"Nein")="2+3",IF(ISNUMBER(SEARCH("grosser Artikel",BJ740)),2,IFERROR(VLOOKUP(BM740,Parameter!$F$35:$G$64,2,0),2)),IF(OR(IFERROR(VLOOKUP(D740,Parameter!$A$35:$C$64,2,0),"Nein")="Nein",IFERROR(VLOOKUP(D740,Parameter!$A$35:$C$64,2,0),"Nein")=""),"-",VLOOKUP(D740,Parameter!$A$35:$C$64,2,0))))</f>
        <v/>
      </c>
      <c r="V740" s="61" t="n"/>
      <c r="W740" s="62" t="n"/>
      <c r="X740" s="55">
        <f>AM740</f>
        <v/>
      </c>
      <c r="Y740" s="55">
        <f>MAX(AM740,G740)</f>
        <v/>
      </c>
      <c r="Z740" s="63" t="n"/>
      <c r="AA740" s="55">
        <f>IF(LEFT(Cockpit!$C$5,1)="A",G740,IF(BT740=1,BU740,IF(LEFT(Cockpit!$C$5,1)="B",AE740,MAX(AE740,G740))))</f>
        <v/>
      </c>
      <c r="AB740" s="55">
        <f>IF(BO740=1,0,ROUNDUP(AA740/BN740,0))</f>
        <v/>
      </c>
      <c r="AC740" s="64">
        <f>IF(BO740=1,IF(AA740&lt;=0,0,BP740*MAX(1,IF(G740&gt;0,AA740/G740,1))),AB740*Q740)</f>
        <v/>
      </c>
      <c r="AD740" s="55">
        <f>AA740*F740</f>
        <v/>
      </c>
      <c r="AE740" s="55">
        <f>ROUNDUP(MAX(I740/IF(BS740&gt;0,BS740,MAX(0.1,N(Cockpit!$C$6))),BV740)/BN740,0)*BN740</f>
        <v/>
      </c>
      <c r="AF740" s="56">
        <f>IF(AC740&gt;0,I740/AC740,-1)</f>
        <v/>
      </c>
      <c r="AG740" s="56">
        <f>IF(AND(OR(BR740="L1",BR740="L23"),AC740&gt;0),SUMIFS($AC$7:$AC$1570,$BR$7:$BR$1570,BR740,$AF$7:$AF$1570,"&gt;"&amp;AF740)+SUMIFS($AC$7:$AC$1570,$BR$7:$BR$1570,BR740,$AF$7:$AF$1570,AF740,$BL$7:$BL$1570,"&lt;="&amp;BL740),"")</f>
        <v/>
      </c>
      <c r="AH740" s="65">
        <f>IF(AG740="",0,MAX(0,MIN(1,(IF(BR740="L1",Parameter!$K$5,Parameter!$K$6+Parameter!$K$7)-(AG740-AC740))/AC740)))</f>
        <v/>
      </c>
      <c r="AI740" s="55">
        <f>IF(LEFT(Cockpit!$I$5,1)="A",G740,IF(BT740=1,BU740,IF(LEFT(Cockpit!$I$5,1)="B",AM740,MAX(AM740,G740))))</f>
        <v/>
      </c>
      <c r="AJ740" s="55">
        <f>IF(BO740=1,0,ROUNDUP(AI740/BN740,0))</f>
        <v/>
      </c>
      <c r="AK740" s="64">
        <f>IF(BO740=1,IF(AI740&lt;=0,0,BP740*MAX(1,IF(G740&gt;0,AI740/G740,1))),AJ740*Q740)</f>
        <v/>
      </c>
      <c r="AL740" s="55">
        <f>AI740*F740</f>
        <v/>
      </c>
      <c r="AM740" s="55">
        <f>ROUNDUP(MAX(I740/IF(BS740&gt;0,BS740,MAX(0.1,N(Cockpit!$I$6))),BV740)/BN740,0)*BN740</f>
        <v/>
      </c>
      <c r="AN740" s="56">
        <f>IF(AK740&gt;0,I740/AK740,-1)</f>
        <v/>
      </c>
      <c r="AO740" s="56">
        <f>IF(AND(OR(BR740="L1",BR740="L23"),AK740&gt;0),SUMIFS($AK$7:$AK$1570,$BR$7:$BR$1570,BR740,$AN$7:$AN$1570,"&gt;"&amp;AN740)+SUMIFS($AK$7:$AK$1570,$BR$7:$BR$1570,BR740,$AN$7:$AN$1570,AN740,$BL$7:$BL$1570,"&lt;="&amp;BL740),"")</f>
        <v/>
      </c>
      <c r="AP740" s="65">
        <f>IF(AO740="",0,MAX(0,MIN(1,(IF(BR740="L1",Parameter!$K$5,Parameter!$K$6+Parameter!$K$7)-(AO740-AK740))/AK740)))</f>
        <v/>
      </c>
      <c r="AQ740" s="55">
        <f>IF(LEFT(Cockpit!$O$5,1)="A",G740,IF(BT740=1,BU740,IF(LEFT(Cockpit!$O$5,1)="B",AU740,MAX(AU740,G740))))</f>
        <v/>
      </c>
      <c r="AR740" s="55">
        <f>IF(BO740=1,0,ROUNDUP(AQ740/BN740,0))</f>
        <v/>
      </c>
      <c r="AS740" s="64">
        <f>IF(BO740=1,IF(AQ740&lt;=0,0,BP740*MAX(1,IF(G740&gt;0,AQ740/G740,1))),AR740*Q740)</f>
        <v/>
      </c>
      <c r="AT740" s="55">
        <f>AQ740*F740</f>
        <v/>
      </c>
      <c r="AU740" s="55">
        <f>ROUNDUP(MAX(I740/IF(BS740&gt;0,BS740,MAX(0.1,N(Cockpit!$O$6))),BV740)/BN740,0)*BN740</f>
        <v/>
      </c>
      <c r="AV740" s="56">
        <f>IF(AS740&gt;0,I740/AS740,-1)</f>
        <v/>
      </c>
      <c r="AW740" s="56">
        <f>IF(AND(OR(BR740="L1",BR740="L23"),AS740&gt;0),SUMIFS($AS$7:$AS$1570,$BR$7:$BR$1570,BR740,$AV$7:$AV$1570,"&gt;"&amp;AV740)+SUMIFS($AS$7:$AS$1570,$BR$7:$BR$1570,BR740,$AV$7:$AV$1570,AV740,$BL$7:$BL$1570,"&lt;="&amp;BL740),"")</f>
        <v/>
      </c>
      <c r="AX740" s="65">
        <f>IF(AW740="",0,MAX(0,MIN(1,(IF(BR740="L1",Parameter!$K$5,Parameter!$K$6+Parameter!$K$7)-(AW740-AS740))/AS740)))</f>
        <v/>
      </c>
      <c r="AY740" s="53">
        <f>IF(AC740&lt;=0,"",IF(BR740="Aussen","Aussenlager",IF(BR740="-","Nicht im Lift",IF(AH740&gt;=1,"Lift",IF(AH740&lt;=0,"Aussenlager","teilweise")))))</f>
        <v/>
      </c>
      <c r="AZ740" s="53">
        <f>IF(AK740&lt;=0,"",IF(BR740="Aussen","Aussenlager",IF(BR740="-","Nicht im Lift",IF(AP740&gt;=1,"Lift",IF(AP740&lt;=0,"Aussenlager","teilweise")))))</f>
        <v/>
      </c>
      <c r="BA740" s="53">
        <f>IF(AS740&lt;=0,"",IF(BR740="Aussen","Aussenlager",IF(BR740="-","Nicht im Lift",IF(AX740&gt;=1,"Lift",IF(AX740&lt;=0,"Aussenlager","teilweise")))))</f>
        <v/>
      </c>
      <c r="BB740" s="53">
        <f>IF(A740="","",IF(BK740=1,"Neu; ","")&amp;IF(AND(BK740=0,BF740&lt;0),"negativer Bestand (Export "&amp;BF740&amp;"); ","")&amp;IF(I740&lt;=0,"Kein Verbrauch; ","")&amp;IF(BO740=1,"Lose – Fläche geschätzt; ","")&amp;IF(G740&gt;AM740,"Überbestand "&amp;ROUND(G740-AM740,0)&amp;" Stk / CHF "&amp;ROUND((G740-AM740)*F740,0)&amp;"; ","")&amp;IF(AND(BT740=1,BU740&lt;BV740),"MAX &lt; MB+LG; ","")&amp;IF(AND(BZ740&gt;0,BY740*10&gt;BZ740),"zu hoch für Tablar; ","")&amp;IF(AND(BK740=0,OR(BT740=1,V740&lt;&gt;"",S740&lt;&gt;"",T740&lt;&gt;"",W740&lt;&gt;"")),"manuell übersteuert; ","")&amp;IF(AND(BO740=0,Q740=0),"Gebinde unbekannt; ","")&amp;IF(AND(BO740=0,N(T740)&lt;=0,N(P740)&lt;=0),"Menge pro Gebinde fehlt (Ist = 1 Gebinde); ","")&amp;BJ740)</f>
        <v/>
      </c>
      <c r="BC740" s="53" t="n"/>
      <c r="BD740" s="53" t="n"/>
      <c r="BE740" s="61" t="n"/>
      <c r="BF740" s="55" t="n">
        <v>0</v>
      </c>
      <c r="BG740" s="55" t="n">
        <v>0</v>
      </c>
      <c r="BH740" s="54" t="n">
        <v>-1.110223024625157e-16</v>
      </c>
      <c r="BI740" s="55" t="n">
        <v>0</v>
      </c>
      <c r="BJ740" s="53" t="inlineStr"/>
      <c r="BK740" s="58" t="n">
        <v>0</v>
      </c>
      <c r="BL740" s="58" t="n">
        <v>740</v>
      </c>
      <c r="BM740" s="53">
        <f>IF(S740&lt;&gt;"",UPPER(TRIM(S740)),IF(O740="","LOSE",O740))</f>
        <v/>
      </c>
      <c r="BN740" s="55">
        <f>IF(BM740="LOSE",1,IF(N(T740)&gt;0,T740,IF(N(P740)&gt;0,P740,MAX(1,G740))))</f>
        <v/>
      </c>
      <c r="BO740" s="58">
        <f>IF(BM740="LOSE",1,0)</f>
        <v/>
      </c>
      <c r="BP740" s="64">
        <f>IF(BO740=0,0,IF(N(R740)&gt;0,R740,IFERROR(VLOOKUP(D740,Parameter!$A$35:$C$64,3,0)+0,0)))</f>
        <v/>
      </c>
      <c r="BQ740" s="53">
        <f>IF(V740&lt;&gt;"",V740,U740)</f>
        <v/>
      </c>
      <c r="BR740" s="53">
        <f>IF(BQ740=1,"L1",IF(OR(BQ740=2,BQ740=3),"L23",IF(BQ740="Aussen","Aussen","-")))</f>
        <v/>
      </c>
      <c r="BS740" s="66">
        <f>IF(N(W740)&gt;0,W740,0)</f>
        <v/>
      </c>
      <c r="BT740" s="58">
        <f>IF(ISNUMBER(Z740),1,0)</f>
        <v/>
      </c>
      <c r="BU740" s="55">
        <f>N(Z740)</f>
        <v/>
      </c>
      <c r="BV740" s="55">
        <f>N(L740)+N(M740)</f>
        <v/>
      </c>
      <c r="BW740" s="55">
        <f>ROUNDUP(G740/BN740,0)</f>
        <v/>
      </c>
      <c r="BX740" s="55">
        <f>ROUNDUP(BU740/BN740,0)</f>
        <v/>
      </c>
      <c r="BY740" s="58">
        <f>IF(BO740=1,0,IFERROR(VLOOKUP(BM740,'Gebinde-Kategorie'!$A$5:$G$45,5,0)+0,0))</f>
        <v/>
      </c>
      <c r="BZ740" s="58">
        <f>IFERROR(IF(OR(BQ740=1,BQ740=2,BQ740=3),N(INDEX(Parameter!$I$5:$I$7,BQ740)),0),0)</f>
        <v/>
      </c>
    </row>
    <row r="741">
      <c r="A741" s="53" t="inlineStr">
        <is>
          <t>106851</t>
        </is>
      </c>
      <c r="B741" s="53" t="inlineStr">
        <is>
          <t>Typenschild</t>
        </is>
      </c>
      <c r="C741" s="53" t="inlineStr">
        <is>
          <t>F</t>
        </is>
      </c>
      <c r="D741" s="53" t="inlineStr">
        <is>
          <t>A-BEZ</t>
        </is>
      </c>
      <c r="E741" s="53" t="inlineStr">
        <is>
          <t>C</t>
        </is>
      </c>
      <c r="F741" s="54" t="n">
        <v>32.3</v>
      </c>
      <c r="G741" s="55">
        <f>MAX(0,IF(Parameter!$B$20="Jahresanfang 2025 + Export",BG741+BF741,BF741))</f>
        <v/>
      </c>
      <c r="H741" s="55">
        <f>G741*F741</f>
        <v/>
      </c>
      <c r="I741" s="55">
        <f>BI741*Parameter!$B$18</f>
        <v/>
      </c>
      <c r="J741" s="56" t="n">
        <v>7.5</v>
      </c>
      <c r="K741" s="57" t="n">
        <v>0.4</v>
      </c>
      <c r="L741" s="55" t="n">
        <v>0</v>
      </c>
      <c r="M741" s="55" t="n">
        <v>0</v>
      </c>
      <c r="N741" s="58" t="n">
        <v>28</v>
      </c>
      <c r="O741" s="53" t="inlineStr">
        <is>
          <t>LOSE</t>
        </is>
      </c>
      <c r="P741" s="55" t="n"/>
      <c r="Q741" s="59">
        <f>IF(BO741=1,0,IFERROR(VLOOKUP(BM741,'Gebinde-Kategorie'!$A$5:$G$45,6,0)+0,0))</f>
        <v/>
      </c>
      <c r="R741" s="60" t="n"/>
      <c r="S741" s="61" t="n"/>
      <c r="T741" s="61" t="n"/>
      <c r="U741" s="53">
        <f>IF(A741="","",IF(IFERROR(VLOOKUP(D741,Parameter!$A$35:$C$64,2,0),"Nein")="2+3",IF(ISNUMBER(SEARCH("grosser Artikel",BJ741)),2,IFERROR(VLOOKUP(BM741,Parameter!$F$35:$G$64,2,0),2)),IF(OR(IFERROR(VLOOKUP(D741,Parameter!$A$35:$C$64,2,0),"Nein")="Nein",IFERROR(VLOOKUP(D741,Parameter!$A$35:$C$64,2,0),"Nein")=""),"-",VLOOKUP(D741,Parameter!$A$35:$C$64,2,0))))</f>
        <v/>
      </c>
      <c r="V741" s="61" t="n"/>
      <c r="W741" s="62" t="n"/>
      <c r="X741" s="55">
        <f>AM741</f>
        <v/>
      </c>
      <c r="Y741" s="55">
        <f>MAX(AM741,G741)</f>
        <v/>
      </c>
      <c r="Z741" s="63" t="n"/>
      <c r="AA741" s="55">
        <f>IF(LEFT(Cockpit!$C$5,1)="A",G741,IF(BT741=1,BU741,IF(LEFT(Cockpit!$C$5,1)="B",AE741,MAX(AE741,G741))))</f>
        <v/>
      </c>
      <c r="AB741" s="55">
        <f>IF(BO741=1,0,ROUNDUP(AA741/BN741,0))</f>
        <v/>
      </c>
      <c r="AC741" s="64">
        <f>IF(BO741=1,IF(AA741&lt;=0,0,BP741*MAX(1,IF(G741&gt;0,AA741/G741,1))),AB741*Q741)</f>
        <v/>
      </c>
      <c r="AD741" s="55">
        <f>AA741*F741</f>
        <v/>
      </c>
      <c r="AE741" s="55">
        <f>ROUNDUP(MAX(I741/IF(BS741&gt;0,BS741,MAX(0.1,N(Cockpit!$C$6))),BV741)/BN741,0)*BN741</f>
        <v/>
      </c>
      <c r="AF741" s="56">
        <f>IF(AC741&gt;0,I741/AC741,-1)</f>
        <v/>
      </c>
      <c r="AG741" s="56">
        <f>IF(AND(OR(BR741="L1",BR741="L23"),AC741&gt;0),SUMIFS($AC$7:$AC$1570,$BR$7:$BR$1570,BR741,$AF$7:$AF$1570,"&gt;"&amp;AF741)+SUMIFS($AC$7:$AC$1570,$BR$7:$BR$1570,BR741,$AF$7:$AF$1570,AF741,$BL$7:$BL$1570,"&lt;="&amp;BL741),"")</f>
        <v/>
      </c>
      <c r="AH741" s="65">
        <f>IF(AG741="",0,MAX(0,MIN(1,(IF(BR741="L1",Parameter!$K$5,Parameter!$K$6+Parameter!$K$7)-(AG741-AC741))/AC741)))</f>
        <v/>
      </c>
      <c r="AI741" s="55">
        <f>IF(LEFT(Cockpit!$I$5,1)="A",G741,IF(BT741=1,BU741,IF(LEFT(Cockpit!$I$5,1)="B",AM741,MAX(AM741,G741))))</f>
        <v/>
      </c>
      <c r="AJ741" s="55">
        <f>IF(BO741=1,0,ROUNDUP(AI741/BN741,0))</f>
        <v/>
      </c>
      <c r="AK741" s="64">
        <f>IF(BO741=1,IF(AI741&lt;=0,0,BP741*MAX(1,IF(G741&gt;0,AI741/G741,1))),AJ741*Q741)</f>
        <v/>
      </c>
      <c r="AL741" s="55">
        <f>AI741*F741</f>
        <v/>
      </c>
      <c r="AM741" s="55">
        <f>ROUNDUP(MAX(I741/IF(BS741&gt;0,BS741,MAX(0.1,N(Cockpit!$I$6))),BV741)/BN741,0)*BN741</f>
        <v/>
      </c>
      <c r="AN741" s="56">
        <f>IF(AK741&gt;0,I741/AK741,-1)</f>
        <v/>
      </c>
      <c r="AO741" s="56">
        <f>IF(AND(OR(BR741="L1",BR741="L23"),AK741&gt;0),SUMIFS($AK$7:$AK$1570,$BR$7:$BR$1570,BR741,$AN$7:$AN$1570,"&gt;"&amp;AN741)+SUMIFS($AK$7:$AK$1570,$BR$7:$BR$1570,BR741,$AN$7:$AN$1570,AN741,$BL$7:$BL$1570,"&lt;="&amp;BL741),"")</f>
        <v/>
      </c>
      <c r="AP741" s="65">
        <f>IF(AO741="",0,MAX(0,MIN(1,(IF(BR741="L1",Parameter!$K$5,Parameter!$K$6+Parameter!$K$7)-(AO741-AK741))/AK741)))</f>
        <v/>
      </c>
      <c r="AQ741" s="55">
        <f>IF(LEFT(Cockpit!$O$5,1)="A",G741,IF(BT741=1,BU741,IF(LEFT(Cockpit!$O$5,1)="B",AU741,MAX(AU741,G741))))</f>
        <v/>
      </c>
      <c r="AR741" s="55">
        <f>IF(BO741=1,0,ROUNDUP(AQ741/BN741,0))</f>
        <v/>
      </c>
      <c r="AS741" s="64">
        <f>IF(BO741=1,IF(AQ741&lt;=0,0,BP741*MAX(1,IF(G741&gt;0,AQ741/G741,1))),AR741*Q741)</f>
        <v/>
      </c>
      <c r="AT741" s="55">
        <f>AQ741*F741</f>
        <v/>
      </c>
      <c r="AU741" s="55">
        <f>ROUNDUP(MAX(I741/IF(BS741&gt;0,BS741,MAX(0.1,N(Cockpit!$O$6))),BV741)/BN741,0)*BN741</f>
        <v/>
      </c>
      <c r="AV741" s="56">
        <f>IF(AS741&gt;0,I741/AS741,-1)</f>
        <v/>
      </c>
      <c r="AW741" s="56">
        <f>IF(AND(OR(BR741="L1",BR741="L23"),AS741&gt;0),SUMIFS($AS$7:$AS$1570,$BR$7:$BR$1570,BR741,$AV$7:$AV$1570,"&gt;"&amp;AV741)+SUMIFS($AS$7:$AS$1570,$BR$7:$BR$1570,BR741,$AV$7:$AV$1570,AV741,$BL$7:$BL$1570,"&lt;="&amp;BL741),"")</f>
        <v/>
      </c>
      <c r="AX741" s="65">
        <f>IF(AW741="",0,MAX(0,MIN(1,(IF(BR741="L1",Parameter!$K$5,Parameter!$K$6+Parameter!$K$7)-(AW741-AS741))/AS741)))</f>
        <v/>
      </c>
      <c r="AY741" s="53">
        <f>IF(AC741&lt;=0,"",IF(BR741="Aussen","Aussenlager",IF(BR741="-","Nicht im Lift",IF(AH741&gt;=1,"Lift",IF(AH741&lt;=0,"Aussenlager","teilweise")))))</f>
        <v/>
      </c>
      <c r="AZ741" s="53">
        <f>IF(AK741&lt;=0,"",IF(BR741="Aussen","Aussenlager",IF(BR741="-","Nicht im Lift",IF(AP741&gt;=1,"Lift",IF(AP741&lt;=0,"Aussenlager","teilweise")))))</f>
        <v/>
      </c>
      <c r="BA741" s="53">
        <f>IF(AS741&lt;=0,"",IF(BR741="Aussen","Aussenlager",IF(BR741="-","Nicht im Lift",IF(AX741&gt;=1,"Lift",IF(AX741&lt;=0,"Aussenlager","teilweise")))))</f>
        <v/>
      </c>
      <c r="BB741" s="53">
        <f>IF(A741="","",IF(BK741=1,"Neu; ","")&amp;IF(AND(BK741=0,BF741&lt;0),"negativer Bestand (Export "&amp;BF741&amp;"); ","")&amp;IF(I741&lt;=0,"Kein Verbrauch; ","")&amp;IF(BO741=1,"Lose – Fläche geschätzt; ","")&amp;IF(G741&gt;AM741,"Überbestand "&amp;ROUND(G741-AM741,0)&amp;" Stk / CHF "&amp;ROUND((G741-AM741)*F741,0)&amp;"; ","")&amp;IF(AND(BT741=1,BU741&lt;BV741),"MAX &lt; MB+LG; ","")&amp;IF(AND(BZ741&gt;0,BY741*10&gt;BZ741),"zu hoch für Tablar; ","")&amp;IF(AND(BK741=0,OR(BT741=1,V741&lt;&gt;"",S741&lt;&gt;"",T741&lt;&gt;"",W741&lt;&gt;"")),"manuell übersteuert; ","")&amp;IF(AND(BO741=0,Q741=0),"Gebinde unbekannt; ","")&amp;IF(AND(BO741=0,N(T741)&lt;=0,N(P741)&lt;=0),"Menge pro Gebinde fehlt (Ist = 1 Gebinde); ","")&amp;BJ741)</f>
        <v/>
      </c>
      <c r="BC741" s="53" t="n"/>
      <c r="BD741" s="53" t="n"/>
      <c r="BE741" s="61" t="n"/>
      <c r="BF741" s="55" t="n">
        <v>0</v>
      </c>
      <c r="BG741" s="55" t="n">
        <v>7</v>
      </c>
      <c r="BH741" s="54" t="n">
        <v>-1.4210854715202e-14</v>
      </c>
      <c r="BI741" s="55" t="n">
        <v>3</v>
      </c>
      <c r="BJ741" s="53" t="inlineStr">
        <is>
          <t>gehört nicht ins KTL</t>
        </is>
      </c>
      <c r="BK741" s="58" t="n">
        <v>0</v>
      </c>
      <c r="BL741" s="58" t="n">
        <v>741</v>
      </c>
      <c r="BM741" s="53">
        <f>IF(S741&lt;&gt;"",UPPER(TRIM(S741)),IF(O741="","LOSE",O741))</f>
        <v/>
      </c>
      <c r="BN741" s="55">
        <f>IF(BM741="LOSE",1,IF(N(T741)&gt;0,T741,IF(N(P741)&gt;0,P741,MAX(1,G741))))</f>
        <v/>
      </c>
      <c r="BO741" s="58">
        <f>IF(BM741="LOSE",1,0)</f>
        <v/>
      </c>
      <c r="BP741" s="64">
        <f>IF(BO741=0,0,IF(N(R741)&gt;0,R741,IFERROR(VLOOKUP(D741,Parameter!$A$35:$C$64,3,0)+0,0)))</f>
        <v/>
      </c>
      <c r="BQ741" s="53">
        <f>IF(V741&lt;&gt;"",V741,U741)</f>
        <v/>
      </c>
      <c r="BR741" s="53">
        <f>IF(BQ741=1,"L1",IF(OR(BQ741=2,BQ741=3),"L23",IF(BQ741="Aussen","Aussen","-")))</f>
        <v/>
      </c>
      <c r="BS741" s="66">
        <f>IF(N(W741)&gt;0,W741,0)</f>
        <v/>
      </c>
      <c r="BT741" s="58">
        <f>IF(ISNUMBER(Z741),1,0)</f>
        <v/>
      </c>
      <c r="BU741" s="55">
        <f>N(Z741)</f>
        <v/>
      </c>
      <c r="BV741" s="55">
        <f>N(L741)+N(M741)</f>
        <v/>
      </c>
      <c r="BW741" s="55">
        <f>ROUNDUP(G741/BN741,0)</f>
        <v/>
      </c>
      <c r="BX741" s="55">
        <f>ROUNDUP(BU741/BN741,0)</f>
        <v/>
      </c>
      <c r="BY741" s="58">
        <f>IF(BO741=1,0,IFERROR(VLOOKUP(BM741,'Gebinde-Kategorie'!$A$5:$G$45,5,0)+0,0))</f>
        <v/>
      </c>
      <c r="BZ741" s="58">
        <f>IFERROR(IF(OR(BQ741=1,BQ741=2,BQ741=3),N(INDEX(Parameter!$I$5:$I$7,BQ741)),0),0)</f>
        <v/>
      </c>
    </row>
    <row r="742">
      <c r="A742" s="53" t="inlineStr">
        <is>
          <t>001018_0XL</t>
        </is>
      </c>
      <c r="B742" s="53" t="inlineStr">
        <is>
          <t>Kapuzen-Sweatshirt</t>
        </is>
      </c>
      <c r="C742" s="53" t="inlineStr">
        <is>
          <t>F</t>
        </is>
      </c>
      <c r="D742" s="53" t="inlineStr">
        <is>
          <t>BEKLEI</t>
        </is>
      </c>
      <c r="E742" s="53" t="inlineStr">
        <is>
          <t>C</t>
        </is>
      </c>
      <c r="F742" s="54" t="n">
        <v>79.34</v>
      </c>
      <c r="G742" s="55">
        <f>MAX(0,IF(Parameter!$B$20="Jahresanfang 2025 + Export",BG742+BF742,BF742))</f>
        <v/>
      </c>
      <c r="H742" s="55">
        <f>G742*F742</f>
        <v/>
      </c>
      <c r="I742" s="55">
        <f>BI742*Parameter!$B$18</f>
        <v/>
      </c>
      <c r="J742" s="56" t="n">
        <v>3</v>
      </c>
      <c r="K742" s="57" t="n">
        <v>0.6666666666666666</v>
      </c>
      <c r="L742" s="55" t="n">
        <v>0</v>
      </c>
      <c r="M742" s="55" t="n">
        <v>2</v>
      </c>
      <c r="N742" s="58" t="n">
        <v>21</v>
      </c>
      <c r="O742" s="53" t="inlineStr">
        <is>
          <t>LOSE</t>
        </is>
      </c>
      <c r="P742" s="55" t="n"/>
      <c r="Q742" s="59">
        <f>IF(BO742=1,0,IFERROR(VLOOKUP(BM742,'Gebinde-Kategorie'!$A$5:$G$45,6,0)+0,0))</f>
        <v/>
      </c>
      <c r="R742" s="60" t="n"/>
      <c r="S742" s="61" t="n"/>
      <c r="T742" s="61" t="n"/>
      <c r="U742" s="53">
        <f>IF(A742="","",IF(IFERROR(VLOOKUP(D742,Parameter!$A$35:$C$64,2,0),"Nein")="2+3",IF(ISNUMBER(SEARCH("grosser Artikel",BJ742)),2,IFERROR(VLOOKUP(BM742,Parameter!$F$35:$G$64,2,0),2)),IF(OR(IFERROR(VLOOKUP(D742,Parameter!$A$35:$C$64,2,0),"Nein")="Nein",IFERROR(VLOOKUP(D742,Parameter!$A$35:$C$64,2,0),"Nein")=""),"-",VLOOKUP(D742,Parameter!$A$35:$C$64,2,0))))</f>
        <v/>
      </c>
      <c r="V742" s="61" t="n"/>
      <c r="W742" s="62" t="n"/>
      <c r="X742" s="55">
        <f>AM742</f>
        <v/>
      </c>
      <c r="Y742" s="55">
        <f>MAX(AM742,G742)</f>
        <v/>
      </c>
      <c r="Z742" s="63" t="n"/>
      <c r="AA742" s="55">
        <f>IF(LEFT(Cockpit!$C$5,1)="A",G742,IF(BT742=1,BU742,IF(LEFT(Cockpit!$C$5,1)="B",AE742,MAX(AE742,G742))))</f>
        <v/>
      </c>
      <c r="AB742" s="55">
        <f>IF(BO742=1,0,ROUNDUP(AA742/BN742,0))</f>
        <v/>
      </c>
      <c r="AC742" s="64">
        <f>IF(BO742=1,IF(AA742&lt;=0,0,BP742*MAX(1,IF(G742&gt;0,AA742/G742,1))),AB742*Q742)</f>
        <v/>
      </c>
      <c r="AD742" s="55">
        <f>AA742*F742</f>
        <v/>
      </c>
      <c r="AE742" s="55">
        <f>ROUNDUP(MAX(I742/IF(BS742&gt;0,BS742,MAX(0.1,N(Cockpit!$C$6))),BV742)/BN742,0)*BN742</f>
        <v/>
      </c>
      <c r="AF742" s="56">
        <f>IF(AC742&gt;0,I742/AC742,-1)</f>
        <v/>
      </c>
      <c r="AG742" s="56">
        <f>IF(AND(OR(BR742="L1",BR742="L23"),AC742&gt;0),SUMIFS($AC$7:$AC$1570,$BR$7:$BR$1570,BR742,$AF$7:$AF$1570,"&gt;"&amp;AF742)+SUMIFS($AC$7:$AC$1570,$BR$7:$BR$1570,BR742,$AF$7:$AF$1570,AF742,$BL$7:$BL$1570,"&lt;="&amp;BL742),"")</f>
        <v/>
      </c>
      <c r="AH742" s="65">
        <f>IF(AG742="",0,MAX(0,MIN(1,(IF(BR742="L1",Parameter!$K$5,Parameter!$K$6+Parameter!$K$7)-(AG742-AC742))/AC742)))</f>
        <v/>
      </c>
      <c r="AI742" s="55">
        <f>IF(LEFT(Cockpit!$I$5,1)="A",G742,IF(BT742=1,BU742,IF(LEFT(Cockpit!$I$5,1)="B",AM742,MAX(AM742,G742))))</f>
        <v/>
      </c>
      <c r="AJ742" s="55">
        <f>IF(BO742=1,0,ROUNDUP(AI742/BN742,0))</f>
        <v/>
      </c>
      <c r="AK742" s="64">
        <f>IF(BO742=1,IF(AI742&lt;=0,0,BP742*MAX(1,IF(G742&gt;0,AI742/G742,1))),AJ742*Q742)</f>
        <v/>
      </c>
      <c r="AL742" s="55">
        <f>AI742*F742</f>
        <v/>
      </c>
      <c r="AM742" s="55">
        <f>ROUNDUP(MAX(I742/IF(BS742&gt;0,BS742,MAX(0.1,N(Cockpit!$I$6))),BV742)/BN742,0)*BN742</f>
        <v/>
      </c>
      <c r="AN742" s="56">
        <f>IF(AK742&gt;0,I742/AK742,-1)</f>
        <v/>
      </c>
      <c r="AO742" s="56">
        <f>IF(AND(OR(BR742="L1",BR742="L23"),AK742&gt;0),SUMIFS($AK$7:$AK$1570,$BR$7:$BR$1570,BR742,$AN$7:$AN$1570,"&gt;"&amp;AN742)+SUMIFS($AK$7:$AK$1570,$BR$7:$BR$1570,BR742,$AN$7:$AN$1570,AN742,$BL$7:$BL$1570,"&lt;="&amp;BL742),"")</f>
        <v/>
      </c>
      <c r="AP742" s="65">
        <f>IF(AO742="",0,MAX(0,MIN(1,(IF(BR742="L1",Parameter!$K$5,Parameter!$K$6+Parameter!$K$7)-(AO742-AK742))/AK742)))</f>
        <v/>
      </c>
      <c r="AQ742" s="55">
        <f>IF(LEFT(Cockpit!$O$5,1)="A",G742,IF(BT742=1,BU742,IF(LEFT(Cockpit!$O$5,1)="B",AU742,MAX(AU742,G742))))</f>
        <v/>
      </c>
      <c r="AR742" s="55">
        <f>IF(BO742=1,0,ROUNDUP(AQ742/BN742,0))</f>
        <v/>
      </c>
      <c r="AS742" s="64">
        <f>IF(BO742=1,IF(AQ742&lt;=0,0,BP742*MAX(1,IF(G742&gt;0,AQ742/G742,1))),AR742*Q742)</f>
        <v/>
      </c>
      <c r="AT742" s="55">
        <f>AQ742*F742</f>
        <v/>
      </c>
      <c r="AU742" s="55">
        <f>ROUNDUP(MAX(I742/IF(BS742&gt;0,BS742,MAX(0.1,N(Cockpit!$O$6))),BV742)/BN742,0)*BN742</f>
        <v/>
      </c>
      <c r="AV742" s="56">
        <f>IF(AS742&gt;0,I742/AS742,-1)</f>
        <v/>
      </c>
      <c r="AW742" s="56">
        <f>IF(AND(OR(BR742="L1",BR742="L23"),AS742&gt;0),SUMIFS($AS$7:$AS$1570,$BR$7:$BR$1570,BR742,$AV$7:$AV$1570,"&gt;"&amp;AV742)+SUMIFS($AS$7:$AS$1570,$BR$7:$BR$1570,BR742,$AV$7:$AV$1570,AV742,$BL$7:$BL$1570,"&lt;="&amp;BL742),"")</f>
        <v/>
      </c>
      <c r="AX742" s="65">
        <f>IF(AW742="",0,MAX(0,MIN(1,(IF(BR742="L1",Parameter!$K$5,Parameter!$K$6+Parameter!$K$7)-(AW742-AS742))/AS742)))</f>
        <v/>
      </c>
      <c r="AY742" s="53">
        <f>IF(AC742&lt;=0,"",IF(BR742="Aussen","Aussenlager",IF(BR742="-","Nicht im Lift",IF(AH742&gt;=1,"Lift",IF(AH742&lt;=0,"Aussenlager","teilweise")))))</f>
        <v/>
      </c>
      <c r="AZ742" s="53">
        <f>IF(AK742&lt;=0,"",IF(BR742="Aussen","Aussenlager",IF(BR742="-","Nicht im Lift",IF(AP742&gt;=1,"Lift",IF(AP742&lt;=0,"Aussenlager","teilweise")))))</f>
        <v/>
      </c>
      <c r="BA742" s="53">
        <f>IF(AS742&lt;=0,"",IF(BR742="Aussen","Aussenlager",IF(BR742="-","Nicht im Lift",IF(AX742&gt;=1,"Lift",IF(AX742&lt;=0,"Aussenlager","teilweise")))))</f>
        <v/>
      </c>
      <c r="BB742" s="53">
        <f>IF(A742="","",IF(BK742=1,"Neu; ","")&amp;IF(AND(BK742=0,BF742&lt;0),"negativer Bestand (Export "&amp;BF742&amp;"); ","")&amp;IF(I742&lt;=0,"Kein Verbrauch; ","")&amp;IF(BO742=1,"Lose – Fläche geschätzt; ","")&amp;IF(G742&gt;AM742,"Überbestand "&amp;ROUND(G742-AM742,0)&amp;" Stk / CHF "&amp;ROUND((G742-AM742)*F742,0)&amp;"; ","")&amp;IF(AND(BT742=1,BU742&lt;BV742),"MAX &lt; MB+LG; ","")&amp;IF(AND(BZ742&gt;0,BY742*10&gt;BZ742),"zu hoch für Tablar; ","")&amp;IF(AND(BK742=0,OR(BT742=1,V742&lt;&gt;"",S742&lt;&gt;"",T742&lt;&gt;"",W742&lt;&gt;"")),"manuell übersteuert; ","")&amp;IF(AND(BO742=0,Q742=0),"Gebinde unbekannt; ","")&amp;IF(AND(BO742=0,N(T742)&lt;=0,N(P742)&lt;=0),"Menge pro Gebinde fehlt (Ist = 1 Gebinde); ","")&amp;BJ742)</f>
        <v/>
      </c>
      <c r="BC742" s="53" t="n"/>
      <c r="BD742" s="53" t="n"/>
      <c r="BE742" s="61" t="n"/>
      <c r="BF742" s="55" t="n">
        <v>0</v>
      </c>
      <c r="BG742" s="55" t="n">
        <v>1</v>
      </c>
      <c r="BH742" s="54" t="n">
        <v>-1.4210854715202e-14</v>
      </c>
      <c r="BI742" s="55" t="n">
        <v>2</v>
      </c>
      <c r="BJ742" s="53" t="inlineStr">
        <is>
          <t>Kleidung</t>
        </is>
      </c>
      <c r="BK742" s="58" t="n">
        <v>0</v>
      </c>
      <c r="BL742" s="58" t="n">
        <v>742</v>
      </c>
      <c r="BM742" s="53">
        <f>IF(S742&lt;&gt;"",UPPER(TRIM(S742)),IF(O742="","LOSE",O742))</f>
        <v/>
      </c>
      <c r="BN742" s="55">
        <f>IF(BM742="LOSE",1,IF(N(T742)&gt;0,T742,IF(N(P742)&gt;0,P742,MAX(1,G742))))</f>
        <v/>
      </c>
      <c r="BO742" s="58">
        <f>IF(BM742="LOSE",1,0)</f>
        <v/>
      </c>
      <c r="BP742" s="64">
        <f>IF(BO742=0,0,IF(N(R742)&gt;0,R742,IFERROR(VLOOKUP(D742,Parameter!$A$35:$C$64,3,0)+0,0)))</f>
        <v/>
      </c>
      <c r="BQ742" s="53">
        <f>IF(V742&lt;&gt;"",V742,U742)</f>
        <v/>
      </c>
      <c r="BR742" s="53">
        <f>IF(BQ742=1,"L1",IF(OR(BQ742=2,BQ742=3),"L23",IF(BQ742="Aussen","Aussen","-")))</f>
        <v/>
      </c>
      <c r="BS742" s="66">
        <f>IF(N(W742)&gt;0,W742,0)</f>
        <v/>
      </c>
      <c r="BT742" s="58">
        <f>IF(ISNUMBER(Z742),1,0)</f>
        <v/>
      </c>
      <c r="BU742" s="55">
        <f>N(Z742)</f>
        <v/>
      </c>
      <c r="BV742" s="55">
        <f>N(L742)+N(M742)</f>
        <v/>
      </c>
      <c r="BW742" s="55">
        <f>ROUNDUP(G742/BN742,0)</f>
        <v/>
      </c>
      <c r="BX742" s="55">
        <f>ROUNDUP(BU742/BN742,0)</f>
        <v/>
      </c>
      <c r="BY742" s="58">
        <f>IF(BO742=1,0,IFERROR(VLOOKUP(BM742,'Gebinde-Kategorie'!$A$5:$G$45,5,0)+0,0))</f>
        <v/>
      </c>
      <c r="BZ742" s="58">
        <f>IFERROR(IF(OR(BQ742=1,BQ742=2,BQ742=3),N(INDEX(Parameter!$I$5:$I$7,BQ742)),0),0)</f>
        <v/>
      </c>
    </row>
    <row r="743">
      <c r="A743" s="53" t="inlineStr">
        <is>
          <t>110901</t>
        </is>
      </c>
      <c r="B743" s="53" t="inlineStr">
        <is>
          <t>Gewindestange</t>
        </is>
      </c>
      <c r="C743" s="53" t="inlineStr">
        <is>
          <t>F</t>
        </is>
      </c>
      <c r="D743" s="53" t="inlineStr">
        <is>
          <t>A-BEZ</t>
        </is>
      </c>
      <c r="E743" s="53" t="inlineStr">
        <is>
          <t>C</t>
        </is>
      </c>
      <c r="F743" s="54" t="n">
        <v>19.76</v>
      </c>
      <c r="G743" s="55">
        <f>MAX(0,IF(Parameter!$B$20="Jahresanfang 2025 + Export",BG743+BF743,BF743))</f>
        <v/>
      </c>
      <c r="H743" s="55">
        <f>G743*F743</f>
        <v/>
      </c>
      <c r="I743" s="55">
        <f>BI743*Parameter!$B$18</f>
        <v/>
      </c>
      <c r="J743" s="56" t="n">
        <v>0</v>
      </c>
      <c r="K743" s="57" t="n">
        <v>0</v>
      </c>
      <c r="L743" s="55" t="n">
        <v>0</v>
      </c>
      <c r="M743" s="55" t="n">
        <v>10</v>
      </c>
      <c r="N743" s="58" t="n">
        <v>28</v>
      </c>
      <c r="O743" s="53" t="inlineStr">
        <is>
          <t>LOSE</t>
        </is>
      </c>
      <c r="P743" s="55" t="n"/>
      <c r="Q743" s="59">
        <f>IF(BO743=1,0,IFERROR(VLOOKUP(BM743,'Gebinde-Kategorie'!$A$5:$G$45,6,0)+0,0))</f>
        <v/>
      </c>
      <c r="R743" s="60" t="n"/>
      <c r="S743" s="61" t="n"/>
      <c r="T743" s="61" t="n"/>
      <c r="U743" s="53">
        <f>IF(A743="","",IF(IFERROR(VLOOKUP(D743,Parameter!$A$35:$C$64,2,0),"Nein")="2+3",IF(ISNUMBER(SEARCH("grosser Artikel",BJ743)),2,IFERROR(VLOOKUP(BM743,Parameter!$F$35:$G$64,2,0),2)),IF(OR(IFERROR(VLOOKUP(D743,Parameter!$A$35:$C$64,2,0),"Nein")="Nein",IFERROR(VLOOKUP(D743,Parameter!$A$35:$C$64,2,0),"Nein")=""),"-",VLOOKUP(D743,Parameter!$A$35:$C$64,2,0))))</f>
        <v/>
      </c>
      <c r="V743" s="61" t="n"/>
      <c r="W743" s="62" t="n"/>
      <c r="X743" s="55">
        <f>AM743</f>
        <v/>
      </c>
      <c r="Y743" s="55">
        <f>MAX(AM743,G743)</f>
        <v/>
      </c>
      <c r="Z743" s="63" t="n"/>
      <c r="AA743" s="55">
        <f>IF(LEFT(Cockpit!$C$5,1)="A",G743,IF(BT743=1,BU743,IF(LEFT(Cockpit!$C$5,1)="B",AE743,MAX(AE743,G743))))</f>
        <v/>
      </c>
      <c r="AB743" s="55">
        <f>IF(BO743=1,0,ROUNDUP(AA743/BN743,0))</f>
        <v/>
      </c>
      <c r="AC743" s="64">
        <f>IF(BO743=1,IF(AA743&lt;=0,0,BP743*MAX(1,IF(G743&gt;0,AA743/G743,1))),AB743*Q743)</f>
        <v/>
      </c>
      <c r="AD743" s="55">
        <f>AA743*F743</f>
        <v/>
      </c>
      <c r="AE743" s="55">
        <f>ROUNDUP(MAX(I743/IF(BS743&gt;0,BS743,MAX(0.1,N(Cockpit!$C$6))),BV743)/BN743,0)*BN743</f>
        <v/>
      </c>
      <c r="AF743" s="56">
        <f>IF(AC743&gt;0,I743/AC743,-1)</f>
        <v/>
      </c>
      <c r="AG743" s="56">
        <f>IF(AND(OR(BR743="L1",BR743="L23"),AC743&gt;0),SUMIFS($AC$7:$AC$1570,$BR$7:$BR$1570,BR743,$AF$7:$AF$1570,"&gt;"&amp;AF743)+SUMIFS($AC$7:$AC$1570,$BR$7:$BR$1570,BR743,$AF$7:$AF$1570,AF743,$BL$7:$BL$1570,"&lt;="&amp;BL743),"")</f>
        <v/>
      </c>
      <c r="AH743" s="65">
        <f>IF(AG743="",0,MAX(0,MIN(1,(IF(BR743="L1",Parameter!$K$5,Parameter!$K$6+Parameter!$K$7)-(AG743-AC743))/AC743)))</f>
        <v/>
      </c>
      <c r="AI743" s="55">
        <f>IF(LEFT(Cockpit!$I$5,1)="A",G743,IF(BT743=1,BU743,IF(LEFT(Cockpit!$I$5,1)="B",AM743,MAX(AM743,G743))))</f>
        <v/>
      </c>
      <c r="AJ743" s="55">
        <f>IF(BO743=1,0,ROUNDUP(AI743/BN743,0))</f>
        <v/>
      </c>
      <c r="AK743" s="64">
        <f>IF(BO743=1,IF(AI743&lt;=0,0,BP743*MAX(1,IF(G743&gt;0,AI743/G743,1))),AJ743*Q743)</f>
        <v/>
      </c>
      <c r="AL743" s="55">
        <f>AI743*F743</f>
        <v/>
      </c>
      <c r="AM743" s="55">
        <f>ROUNDUP(MAX(I743/IF(BS743&gt;0,BS743,MAX(0.1,N(Cockpit!$I$6))),BV743)/BN743,0)*BN743</f>
        <v/>
      </c>
      <c r="AN743" s="56">
        <f>IF(AK743&gt;0,I743/AK743,-1)</f>
        <v/>
      </c>
      <c r="AO743" s="56">
        <f>IF(AND(OR(BR743="L1",BR743="L23"),AK743&gt;0),SUMIFS($AK$7:$AK$1570,$BR$7:$BR$1570,BR743,$AN$7:$AN$1570,"&gt;"&amp;AN743)+SUMIFS($AK$7:$AK$1570,$BR$7:$BR$1570,BR743,$AN$7:$AN$1570,AN743,$BL$7:$BL$1570,"&lt;="&amp;BL743),"")</f>
        <v/>
      </c>
      <c r="AP743" s="65">
        <f>IF(AO743="",0,MAX(0,MIN(1,(IF(BR743="L1",Parameter!$K$5,Parameter!$K$6+Parameter!$K$7)-(AO743-AK743))/AK743)))</f>
        <v/>
      </c>
      <c r="AQ743" s="55">
        <f>IF(LEFT(Cockpit!$O$5,1)="A",G743,IF(BT743=1,BU743,IF(LEFT(Cockpit!$O$5,1)="B",AU743,MAX(AU743,G743))))</f>
        <v/>
      </c>
      <c r="AR743" s="55">
        <f>IF(BO743=1,0,ROUNDUP(AQ743/BN743,0))</f>
        <v/>
      </c>
      <c r="AS743" s="64">
        <f>IF(BO743=1,IF(AQ743&lt;=0,0,BP743*MAX(1,IF(G743&gt;0,AQ743/G743,1))),AR743*Q743)</f>
        <v/>
      </c>
      <c r="AT743" s="55">
        <f>AQ743*F743</f>
        <v/>
      </c>
      <c r="AU743" s="55">
        <f>ROUNDUP(MAX(I743/IF(BS743&gt;0,BS743,MAX(0.1,N(Cockpit!$O$6))),BV743)/BN743,0)*BN743</f>
        <v/>
      </c>
      <c r="AV743" s="56">
        <f>IF(AS743&gt;0,I743/AS743,-1)</f>
        <v/>
      </c>
      <c r="AW743" s="56">
        <f>IF(AND(OR(BR743="L1",BR743="L23"),AS743&gt;0),SUMIFS($AS$7:$AS$1570,$BR$7:$BR$1570,BR743,$AV$7:$AV$1570,"&gt;"&amp;AV743)+SUMIFS($AS$7:$AS$1570,$BR$7:$BR$1570,BR743,$AV$7:$AV$1570,AV743,$BL$7:$BL$1570,"&lt;="&amp;BL743),"")</f>
        <v/>
      </c>
      <c r="AX743" s="65">
        <f>IF(AW743="",0,MAX(0,MIN(1,(IF(BR743="L1",Parameter!$K$5,Parameter!$K$6+Parameter!$K$7)-(AW743-AS743))/AS743)))</f>
        <v/>
      </c>
      <c r="AY743" s="53">
        <f>IF(AC743&lt;=0,"",IF(BR743="Aussen","Aussenlager",IF(BR743="-","Nicht im Lift",IF(AH743&gt;=1,"Lift",IF(AH743&lt;=0,"Aussenlager","teilweise")))))</f>
        <v/>
      </c>
      <c r="AZ743" s="53">
        <f>IF(AK743&lt;=0,"",IF(BR743="Aussen","Aussenlager",IF(BR743="-","Nicht im Lift",IF(AP743&gt;=1,"Lift",IF(AP743&lt;=0,"Aussenlager","teilweise")))))</f>
        <v/>
      </c>
      <c r="BA743" s="53">
        <f>IF(AS743&lt;=0,"",IF(BR743="Aussen","Aussenlager",IF(BR743="-","Nicht im Lift",IF(AX743&gt;=1,"Lift",IF(AX743&lt;=0,"Aussenlager","teilweise")))))</f>
        <v/>
      </c>
      <c r="BB743" s="53">
        <f>IF(A743="","",IF(BK743=1,"Neu; ","")&amp;IF(AND(BK743=0,BF743&lt;0),"negativer Bestand (Export "&amp;BF743&amp;"); ","")&amp;IF(I743&lt;=0,"Kein Verbrauch; ","")&amp;IF(BO743=1,"Lose – Fläche geschätzt; ","")&amp;IF(G743&gt;AM743,"Überbestand "&amp;ROUND(G743-AM743,0)&amp;" Stk / CHF "&amp;ROUND((G743-AM743)*F743,0)&amp;"; ","")&amp;IF(AND(BT743=1,BU743&lt;BV743),"MAX &lt; MB+LG; ","")&amp;IF(AND(BZ743&gt;0,BY743*10&gt;BZ743),"zu hoch für Tablar; ","")&amp;IF(AND(BK743=0,OR(BT743=1,V743&lt;&gt;"",S743&lt;&gt;"",T743&lt;&gt;"",W743&lt;&gt;"")),"manuell übersteuert; ","")&amp;IF(AND(BO743=0,Q743=0),"Gebinde unbekannt; ","")&amp;IF(AND(BO743=0,N(T743)&lt;=0,N(P743)&lt;=0),"Menge pro Gebinde fehlt (Ist = 1 Gebinde); ","")&amp;BJ743)</f>
        <v/>
      </c>
      <c r="BC743" s="53" t="n"/>
      <c r="BD743" s="53" t="n"/>
      <c r="BE743" s="61" t="n"/>
      <c r="BF743" s="55" t="n">
        <v>0</v>
      </c>
      <c r="BG743" s="55" t="n">
        <v>0</v>
      </c>
      <c r="BH743" s="54" t="n">
        <v>-2.131628207280301e-14</v>
      </c>
      <c r="BI743" s="55" t="n">
        <v>60</v>
      </c>
      <c r="BJ743" s="53" t="inlineStr"/>
      <c r="BK743" s="58" t="n">
        <v>0</v>
      </c>
      <c r="BL743" s="58" t="n">
        <v>743</v>
      </c>
      <c r="BM743" s="53">
        <f>IF(S743&lt;&gt;"",UPPER(TRIM(S743)),IF(O743="","LOSE",O743))</f>
        <v/>
      </c>
      <c r="BN743" s="55">
        <f>IF(BM743="LOSE",1,IF(N(T743)&gt;0,T743,IF(N(P743)&gt;0,P743,MAX(1,G743))))</f>
        <v/>
      </c>
      <c r="BO743" s="58">
        <f>IF(BM743="LOSE",1,0)</f>
        <v/>
      </c>
      <c r="BP743" s="64">
        <f>IF(BO743=0,0,IF(N(R743)&gt;0,R743,IFERROR(VLOOKUP(D743,Parameter!$A$35:$C$64,3,0)+0,0)))</f>
        <v/>
      </c>
      <c r="BQ743" s="53">
        <f>IF(V743&lt;&gt;"",V743,U743)</f>
        <v/>
      </c>
      <c r="BR743" s="53">
        <f>IF(BQ743=1,"L1",IF(OR(BQ743=2,BQ743=3),"L23",IF(BQ743="Aussen","Aussen","-")))</f>
        <v/>
      </c>
      <c r="BS743" s="66">
        <f>IF(N(W743)&gt;0,W743,0)</f>
        <v/>
      </c>
      <c r="BT743" s="58">
        <f>IF(ISNUMBER(Z743),1,0)</f>
        <v/>
      </c>
      <c r="BU743" s="55">
        <f>N(Z743)</f>
        <v/>
      </c>
      <c r="BV743" s="55">
        <f>N(L743)+N(M743)</f>
        <v/>
      </c>
      <c r="BW743" s="55">
        <f>ROUNDUP(G743/BN743,0)</f>
        <v/>
      </c>
      <c r="BX743" s="55">
        <f>ROUNDUP(BU743/BN743,0)</f>
        <v/>
      </c>
      <c r="BY743" s="58">
        <f>IF(BO743=1,0,IFERROR(VLOOKUP(BM743,'Gebinde-Kategorie'!$A$5:$G$45,5,0)+0,0))</f>
        <v/>
      </c>
      <c r="BZ743" s="58">
        <f>IFERROR(IF(OR(BQ743=1,BQ743=2,BQ743=3),N(INDEX(Parameter!$I$5:$I$7,BQ743)),0),0)</f>
        <v/>
      </c>
    </row>
    <row r="744">
      <c r="A744" s="53" t="inlineStr">
        <is>
          <t>107861</t>
        </is>
      </c>
      <c r="B744" s="53" t="inlineStr">
        <is>
          <t>Blende</t>
        </is>
      </c>
      <c r="C744" s="53" t="inlineStr">
        <is>
          <t>F</t>
        </is>
      </c>
      <c r="D744" s="53" t="inlineStr">
        <is>
          <t>KTL</t>
        </is>
      </c>
      <c r="E744" s="53" t="inlineStr">
        <is>
          <t>C</t>
        </is>
      </c>
      <c r="F744" s="54" t="n">
        <v>1.7</v>
      </c>
      <c r="G744" s="55">
        <f>MAX(0,IF(Parameter!$B$20="Jahresanfang 2025 + Export",BG744+BF744,BF744))</f>
        <v/>
      </c>
      <c r="H744" s="55">
        <f>G744*F744</f>
        <v/>
      </c>
      <c r="I744" s="55">
        <f>BI744*Parameter!$B$18</f>
        <v/>
      </c>
      <c r="J744" s="56" t="n">
        <v>74</v>
      </c>
      <c r="K744" s="57" t="n">
        <v>1.081081081081081</v>
      </c>
      <c r="L744" s="55" t="n">
        <v>4</v>
      </c>
      <c r="M744" s="55" t="n">
        <v>80</v>
      </c>
      <c r="N744" s="58" t="n">
        <v>21</v>
      </c>
      <c r="O744" s="53" t="inlineStr">
        <is>
          <t>S22</t>
        </is>
      </c>
      <c r="P744" s="55" t="n">
        <v>157</v>
      </c>
      <c r="Q744" s="59">
        <f>IF(BO744=1,0,IFERROR(VLOOKUP(BM744,'Gebinde-Kategorie'!$A$5:$G$45,6,0)+0,0))</f>
        <v/>
      </c>
      <c r="R744" s="60" t="n"/>
      <c r="S744" s="61" t="n"/>
      <c r="T744" s="61" t="n"/>
      <c r="U744" s="53">
        <f>IF(A744="","",IF(IFERROR(VLOOKUP(D744,Parameter!$A$35:$C$64,2,0),"Nein")="2+3",IF(ISNUMBER(SEARCH("grosser Artikel",BJ744)),2,IFERROR(VLOOKUP(BM744,Parameter!$F$35:$G$64,2,0),2)),IF(OR(IFERROR(VLOOKUP(D744,Parameter!$A$35:$C$64,2,0),"Nein")="Nein",IFERROR(VLOOKUP(D744,Parameter!$A$35:$C$64,2,0),"Nein")=""),"-",VLOOKUP(D744,Parameter!$A$35:$C$64,2,0))))</f>
        <v/>
      </c>
      <c r="V744" s="61" t="n"/>
      <c r="W744" s="62" t="n"/>
      <c r="X744" s="55">
        <f>AM744</f>
        <v/>
      </c>
      <c r="Y744" s="55">
        <f>MAX(AM744,G744)</f>
        <v/>
      </c>
      <c r="Z744" s="63" t="n"/>
      <c r="AA744" s="55">
        <f>IF(LEFT(Cockpit!$C$5,1)="A",G744,IF(BT744=1,BU744,IF(LEFT(Cockpit!$C$5,1)="B",AE744,MAX(AE744,G744))))</f>
        <v/>
      </c>
      <c r="AB744" s="55">
        <f>IF(BO744=1,0,ROUNDUP(AA744/BN744,0))</f>
        <v/>
      </c>
      <c r="AC744" s="64">
        <f>IF(BO744=1,IF(AA744&lt;=0,0,BP744*MAX(1,IF(G744&gt;0,AA744/G744,1))),AB744*Q744)</f>
        <v/>
      </c>
      <c r="AD744" s="55">
        <f>AA744*F744</f>
        <v/>
      </c>
      <c r="AE744" s="55">
        <f>ROUNDUP(MAX(I744/IF(BS744&gt;0,BS744,MAX(0.1,N(Cockpit!$C$6))),BV744)/BN744,0)*BN744</f>
        <v/>
      </c>
      <c r="AF744" s="56">
        <f>IF(AC744&gt;0,I744/AC744,-1)</f>
        <v/>
      </c>
      <c r="AG744" s="56">
        <f>IF(AND(OR(BR744="L1",BR744="L23"),AC744&gt;0),SUMIFS($AC$7:$AC$1570,$BR$7:$BR$1570,BR744,$AF$7:$AF$1570,"&gt;"&amp;AF744)+SUMIFS($AC$7:$AC$1570,$BR$7:$BR$1570,BR744,$AF$7:$AF$1570,AF744,$BL$7:$BL$1570,"&lt;="&amp;BL744),"")</f>
        <v/>
      </c>
      <c r="AH744" s="65">
        <f>IF(AG744="",0,MAX(0,MIN(1,(IF(BR744="L1",Parameter!$K$5,Parameter!$K$6+Parameter!$K$7)-(AG744-AC744))/AC744)))</f>
        <v/>
      </c>
      <c r="AI744" s="55">
        <f>IF(LEFT(Cockpit!$I$5,1)="A",G744,IF(BT744=1,BU744,IF(LEFT(Cockpit!$I$5,1)="B",AM744,MAX(AM744,G744))))</f>
        <v/>
      </c>
      <c r="AJ744" s="55">
        <f>IF(BO744=1,0,ROUNDUP(AI744/BN744,0))</f>
        <v/>
      </c>
      <c r="AK744" s="64">
        <f>IF(BO744=1,IF(AI744&lt;=0,0,BP744*MAX(1,IF(G744&gt;0,AI744/G744,1))),AJ744*Q744)</f>
        <v/>
      </c>
      <c r="AL744" s="55">
        <f>AI744*F744</f>
        <v/>
      </c>
      <c r="AM744" s="55">
        <f>ROUNDUP(MAX(I744/IF(BS744&gt;0,BS744,MAX(0.1,N(Cockpit!$I$6))),BV744)/BN744,0)*BN744</f>
        <v/>
      </c>
      <c r="AN744" s="56">
        <f>IF(AK744&gt;0,I744/AK744,-1)</f>
        <v/>
      </c>
      <c r="AO744" s="56">
        <f>IF(AND(OR(BR744="L1",BR744="L23"),AK744&gt;0),SUMIFS($AK$7:$AK$1570,$BR$7:$BR$1570,BR744,$AN$7:$AN$1570,"&gt;"&amp;AN744)+SUMIFS($AK$7:$AK$1570,$BR$7:$BR$1570,BR744,$AN$7:$AN$1570,AN744,$BL$7:$BL$1570,"&lt;="&amp;BL744),"")</f>
        <v/>
      </c>
      <c r="AP744" s="65">
        <f>IF(AO744="",0,MAX(0,MIN(1,(IF(BR744="L1",Parameter!$K$5,Parameter!$K$6+Parameter!$K$7)-(AO744-AK744))/AK744)))</f>
        <v/>
      </c>
      <c r="AQ744" s="55">
        <f>IF(LEFT(Cockpit!$O$5,1)="A",G744,IF(BT744=1,BU744,IF(LEFT(Cockpit!$O$5,1)="B",AU744,MAX(AU744,G744))))</f>
        <v/>
      </c>
      <c r="AR744" s="55">
        <f>IF(BO744=1,0,ROUNDUP(AQ744/BN744,0))</f>
        <v/>
      </c>
      <c r="AS744" s="64">
        <f>IF(BO744=1,IF(AQ744&lt;=0,0,BP744*MAX(1,IF(G744&gt;0,AQ744/G744,1))),AR744*Q744)</f>
        <v/>
      </c>
      <c r="AT744" s="55">
        <f>AQ744*F744</f>
        <v/>
      </c>
      <c r="AU744" s="55">
        <f>ROUNDUP(MAX(I744/IF(BS744&gt;0,BS744,MAX(0.1,N(Cockpit!$O$6))),BV744)/BN744,0)*BN744</f>
        <v/>
      </c>
      <c r="AV744" s="56">
        <f>IF(AS744&gt;0,I744/AS744,-1)</f>
        <v/>
      </c>
      <c r="AW744" s="56">
        <f>IF(AND(OR(BR744="L1",BR744="L23"),AS744&gt;0),SUMIFS($AS$7:$AS$1570,$BR$7:$BR$1570,BR744,$AV$7:$AV$1570,"&gt;"&amp;AV744)+SUMIFS($AS$7:$AS$1570,$BR$7:$BR$1570,BR744,$AV$7:$AV$1570,AV744,$BL$7:$BL$1570,"&lt;="&amp;BL744),"")</f>
        <v/>
      </c>
      <c r="AX744" s="65">
        <f>IF(AW744="",0,MAX(0,MIN(1,(IF(BR744="L1",Parameter!$K$5,Parameter!$K$6+Parameter!$K$7)-(AW744-AS744))/AS744)))</f>
        <v/>
      </c>
      <c r="AY744" s="53">
        <f>IF(AC744&lt;=0,"",IF(BR744="Aussen","Aussenlager",IF(BR744="-","Nicht im Lift",IF(AH744&gt;=1,"Lift",IF(AH744&lt;=0,"Aussenlager","teilweise")))))</f>
        <v/>
      </c>
      <c r="AZ744" s="53">
        <f>IF(AK744&lt;=0,"",IF(BR744="Aussen","Aussenlager",IF(BR744="-","Nicht im Lift",IF(AP744&gt;=1,"Lift",IF(AP744&lt;=0,"Aussenlager","teilweise")))))</f>
        <v/>
      </c>
      <c r="BA744" s="53">
        <f>IF(AS744&lt;=0,"",IF(BR744="Aussen","Aussenlager",IF(BR744="-","Nicht im Lift",IF(AX744&gt;=1,"Lift",IF(AX744&lt;=0,"Aussenlager","teilweise")))))</f>
        <v/>
      </c>
      <c r="BB744" s="53">
        <f>IF(A744="","",IF(BK744=1,"Neu; ","")&amp;IF(AND(BK744=0,BF744&lt;0),"negativer Bestand (Export "&amp;BF744&amp;"); ","")&amp;IF(I744&lt;=0,"Kein Verbrauch; ","")&amp;IF(BO744=1,"Lose – Fläche geschätzt; ","")&amp;IF(G744&gt;AM744,"Überbestand "&amp;ROUND(G744-AM744,0)&amp;" Stk / CHF "&amp;ROUND((G744-AM744)*F744,0)&amp;"; ","")&amp;IF(AND(BT744=1,BU744&lt;BV744),"MAX &lt; MB+LG; ","")&amp;IF(AND(BZ744&gt;0,BY744*10&gt;BZ744),"zu hoch für Tablar; ","")&amp;IF(AND(BK744=0,OR(BT744=1,V744&lt;&gt;"",S744&lt;&gt;"",T744&lt;&gt;"",W744&lt;&gt;"")),"manuell übersteuert; ","")&amp;IF(AND(BO744=0,Q744=0),"Gebinde unbekannt; ","")&amp;IF(AND(BO744=0,N(T744)&lt;=0,N(P744)&lt;=0),"Menge pro Gebinde fehlt (Ist = 1 Gebinde); ","")&amp;BJ744)</f>
        <v/>
      </c>
      <c r="BC744" s="53" t="n"/>
      <c r="BD744" s="53" t="n"/>
      <c r="BE744" s="61" t="n"/>
      <c r="BF744" s="55" t="n">
        <v>0</v>
      </c>
      <c r="BG744" s="55" t="n">
        <v>78</v>
      </c>
      <c r="BH744" s="54" t="n">
        <v>-2.131628207280301e-14</v>
      </c>
      <c r="BI744" s="55" t="n">
        <v>80</v>
      </c>
      <c r="BJ744" s="53" t="inlineStr"/>
      <c r="BK744" s="58" t="n">
        <v>0</v>
      </c>
      <c r="BL744" s="58" t="n">
        <v>744</v>
      </c>
      <c r="BM744" s="53">
        <f>IF(S744&lt;&gt;"",UPPER(TRIM(S744)),IF(O744="","LOSE",O744))</f>
        <v/>
      </c>
      <c r="BN744" s="55">
        <f>IF(BM744="LOSE",1,IF(N(T744)&gt;0,T744,IF(N(P744)&gt;0,P744,MAX(1,G744))))</f>
        <v/>
      </c>
      <c r="BO744" s="58">
        <f>IF(BM744="LOSE",1,0)</f>
        <v/>
      </c>
      <c r="BP744" s="64">
        <f>IF(BO744=0,0,IF(N(R744)&gt;0,R744,IFERROR(VLOOKUP(D744,Parameter!$A$35:$C$64,3,0)+0,0)))</f>
        <v/>
      </c>
      <c r="BQ744" s="53">
        <f>IF(V744&lt;&gt;"",V744,U744)</f>
        <v/>
      </c>
      <c r="BR744" s="53">
        <f>IF(BQ744=1,"L1",IF(OR(BQ744=2,BQ744=3),"L23",IF(BQ744="Aussen","Aussen","-")))</f>
        <v/>
      </c>
      <c r="BS744" s="66">
        <f>IF(N(W744)&gt;0,W744,0)</f>
        <v/>
      </c>
      <c r="BT744" s="58">
        <f>IF(ISNUMBER(Z744),1,0)</f>
        <v/>
      </c>
      <c r="BU744" s="55">
        <f>N(Z744)</f>
        <v/>
      </c>
      <c r="BV744" s="55">
        <f>N(L744)+N(M744)</f>
        <v/>
      </c>
      <c r="BW744" s="55">
        <f>ROUNDUP(G744/BN744,0)</f>
        <v/>
      </c>
      <c r="BX744" s="55">
        <f>ROUNDUP(BU744/BN744,0)</f>
        <v/>
      </c>
      <c r="BY744" s="58">
        <f>IF(BO744=1,0,IFERROR(VLOOKUP(BM744,'Gebinde-Kategorie'!$A$5:$G$45,5,0)+0,0))</f>
        <v/>
      </c>
      <c r="BZ744" s="58">
        <f>IFERROR(IF(OR(BQ744=1,BQ744=2,BQ744=3),N(INDEX(Parameter!$I$5:$I$7,BQ744)),0),0)</f>
        <v/>
      </c>
    </row>
    <row r="745">
      <c r="A745" s="53" t="inlineStr">
        <is>
          <t>109501</t>
        </is>
      </c>
      <c r="B745" s="53" t="inlineStr">
        <is>
          <t>Luftkompressor AC260</t>
        </is>
      </c>
      <c r="C745" s="53" t="inlineStr">
        <is>
          <t>F</t>
        </is>
      </c>
      <c r="D745" s="53" t="inlineStr">
        <is>
          <t>PAL</t>
        </is>
      </c>
      <c r="E745" s="53" t="inlineStr">
        <is>
          <t>C</t>
        </is>
      </c>
      <c r="F745" s="54" t="n">
        <v>11075.32</v>
      </c>
      <c r="G745" s="55">
        <f>MAX(0,IF(Parameter!$B$20="Jahresanfang 2025 + Export",BG745+BF745,BF745))</f>
        <v/>
      </c>
      <c r="H745" s="55">
        <f>G745*F745</f>
        <v/>
      </c>
      <c r="I745" s="55">
        <f>BI745*Parameter!$B$18</f>
        <v/>
      </c>
      <c r="J745" s="56" t="n">
        <v>0</v>
      </c>
      <c r="K745" s="57" t="n">
        <v>0</v>
      </c>
      <c r="L745" s="55" t="n">
        <v>0</v>
      </c>
      <c r="M745" s="55" t="n">
        <v>1</v>
      </c>
      <c r="N745" s="58" t="n">
        <v>170</v>
      </c>
      <c r="O745" s="53" t="inlineStr">
        <is>
          <t>LOSE</t>
        </is>
      </c>
      <c r="P745" s="55" t="n"/>
      <c r="Q745" s="59">
        <f>IF(BO745=1,0,IFERROR(VLOOKUP(BM745,'Gebinde-Kategorie'!$A$5:$G$45,6,0)+0,0))</f>
        <v/>
      </c>
      <c r="R745" s="60" t="n"/>
      <c r="S745" s="61" t="n"/>
      <c r="T745" s="61" t="n"/>
      <c r="U745" s="53">
        <f>IF(A745="","",IF(IFERROR(VLOOKUP(D745,Parameter!$A$35:$C$64,2,0),"Nein")="2+3",IF(ISNUMBER(SEARCH("grosser Artikel",BJ745)),2,IFERROR(VLOOKUP(BM745,Parameter!$F$35:$G$64,2,0),2)),IF(OR(IFERROR(VLOOKUP(D745,Parameter!$A$35:$C$64,2,0),"Nein")="Nein",IFERROR(VLOOKUP(D745,Parameter!$A$35:$C$64,2,0),"Nein")=""),"-",VLOOKUP(D745,Parameter!$A$35:$C$64,2,0))))</f>
        <v/>
      </c>
      <c r="V745" s="61" t="n"/>
      <c r="W745" s="62" t="n"/>
      <c r="X745" s="55">
        <f>AM745</f>
        <v/>
      </c>
      <c r="Y745" s="55">
        <f>MAX(AM745,G745)</f>
        <v/>
      </c>
      <c r="Z745" s="63" t="n"/>
      <c r="AA745" s="55">
        <f>IF(LEFT(Cockpit!$C$5,1)="A",G745,IF(BT745=1,BU745,IF(LEFT(Cockpit!$C$5,1)="B",AE745,MAX(AE745,G745))))</f>
        <v/>
      </c>
      <c r="AB745" s="55">
        <f>IF(BO745=1,0,ROUNDUP(AA745/BN745,0))</f>
        <v/>
      </c>
      <c r="AC745" s="64">
        <f>IF(BO745=1,IF(AA745&lt;=0,0,BP745*MAX(1,IF(G745&gt;0,AA745/G745,1))),AB745*Q745)</f>
        <v/>
      </c>
      <c r="AD745" s="55">
        <f>AA745*F745</f>
        <v/>
      </c>
      <c r="AE745" s="55">
        <f>ROUNDUP(MAX(I745/IF(BS745&gt;0,BS745,MAX(0.1,N(Cockpit!$C$6))),BV745)/BN745,0)*BN745</f>
        <v/>
      </c>
      <c r="AF745" s="56">
        <f>IF(AC745&gt;0,I745/AC745,-1)</f>
        <v/>
      </c>
      <c r="AG745" s="56">
        <f>IF(AND(OR(BR745="L1",BR745="L23"),AC745&gt;0),SUMIFS($AC$7:$AC$1570,$BR$7:$BR$1570,BR745,$AF$7:$AF$1570,"&gt;"&amp;AF745)+SUMIFS($AC$7:$AC$1570,$BR$7:$BR$1570,BR745,$AF$7:$AF$1570,AF745,$BL$7:$BL$1570,"&lt;="&amp;BL745),"")</f>
        <v/>
      </c>
      <c r="AH745" s="65">
        <f>IF(AG745="",0,MAX(0,MIN(1,(IF(BR745="L1",Parameter!$K$5,Parameter!$K$6+Parameter!$K$7)-(AG745-AC745))/AC745)))</f>
        <v/>
      </c>
      <c r="AI745" s="55">
        <f>IF(LEFT(Cockpit!$I$5,1)="A",G745,IF(BT745=1,BU745,IF(LEFT(Cockpit!$I$5,1)="B",AM745,MAX(AM745,G745))))</f>
        <v/>
      </c>
      <c r="AJ745" s="55">
        <f>IF(BO745=1,0,ROUNDUP(AI745/BN745,0))</f>
        <v/>
      </c>
      <c r="AK745" s="64">
        <f>IF(BO745=1,IF(AI745&lt;=0,0,BP745*MAX(1,IF(G745&gt;0,AI745/G745,1))),AJ745*Q745)</f>
        <v/>
      </c>
      <c r="AL745" s="55">
        <f>AI745*F745</f>
        <v/>
      </c>
      <c r="AM745" s="55">
        <f>ROUNDUP(MAX(I745/IF(BS745&gt;0,BS745,MAX(0.1,N(Cockpit!$I$6))),BV745)/BN745,0)*BN745</f>
        <v/>
      </c>
      <c r="AN745" s="56">
        <f>IF(AK745&gt;0,I745/AK745,-1)</f>
        <v/>
      </c>
      <c r="AO745" s="56">
        <f>IF(AND(OR(BR745="L1",BR745="L23"),AK745&gt;0),SUMIFS($AK$7:$AK$1570,$BR$7:$BR$1570,BR745,$AN$7:$AN$1570,"&gt;"&amp;AN745)+SUMIFS($AK$7:$AK$1570,$BR$7:$BR$1570,BR745,$AN$7:$AN$1570,AN745,$BL$7:$BL$1570,"&lt;="&amp;BL745),"")</f>
        <v/>
      </c>
      <c r="AP745" s="65">
        <f>IF(AO745="",0,MAX(0,MIN(1,(IF(BR745="L1",Parameter!$K$5,Parameter!$K$6+Parameter!$K$7)-(AO745-AK745))/AK745)))</f>
        <v/>
      </c>
      <c r="AQ745" s="55">
        <f>IF(LEFT(Cockpit!$O$5,1)="A",G745,IF(BT745=1,BU745,IF(LEFT(Cockpit!$O$5,1)="B",AU745,MAX(AU745,G745))))</f>
        <v/>
      </c>
      <c r="AR745" s="55">
        <f>IF(BO745=1,0,ROUNDUP(AQ745/BN745,0))</f>
        <v/>
      </c>
      <c r="AS745" s="64">
        <f>IF(BO745=1,IF(AQ745&lt;=0,0,BP745*MAX(1,IF(G745&gt;0,AQ745/G745,1))),AR745*Q745)</f>
        <v/>
      </c>
      <c r="AT745" s="55">
        <f>AQ745*F745</f>
        <v/>
      </c>
      <c r="AU745" s="55">
        <f>ROUNDUP(MAX(I745/IF(BS745&gt;0,BS745,MAX(0.1,N(Cockpit!$O$6))),BV745)/BN745,0)*BN745</f>
        <v/>
      </c>
      <c r="AV745" s="56">
        <f>IF(AS745&gt;0,I745/AS745,-1)</f>
        <v/>
      </c>
      <c r="AW745" s="56">
        <f>IF(AND(OR(BR745="L1",BR745="L23"),AS745&gt;0),SUMIFS($AS$7:$AS$1570,$BR$7:$BR$1570,BR745,$AV$7:$AV$1570,"&gt;"&amp;AV745)+SUMIFS($AS$7:$AS$1570,$BR$7:$BR$1570,BR745,$AV$7:$AV$1570,AV745,$BL$7:$BL$1570,"&lt;="&amp;BL745),"")</f>
        <v/>
      </c>
      <c r="AX745" s="65">
        <f>IF(AW745="",0,MAX(0,MIN(1,(IF(BR745="L1",Parameter!$K$5,Parameter!$K$6+Parameter!$K$7)-(AW745-AS745))/AS745)))</f>
        <v/>
      </c>
      <c r="AY745" s="53">
        <f>IF(AC745&lt;=0,"",IF(BR745="Aussen","Aussenlager",IF(BR745="-","Nicht im Lift",IF(AH745&gt;=1,"Lift",IF(AH745&lt;=0,"Aussenlager","teilweise")))))</f>
        <v/>
      </c>
      <c r="AZ745" s="53">
        <f>IF(AK745&lt;=0,"",IF(BR745="Aussen","Aussenlager",IF(BR745="-","Nicht im Lift",IF(AP745&gt;=1,"Lift",IF(AP745&lt;=0,"Aussenlager","teilweise")))))</f>
        <v/>
      </c>
      <c r="BA745" s="53">
        <f>IF(AS745&lt;=0,"",IF(BR745="Aussen","Aussenlager",IF(BR745="-","Nicht im Lift",IF(AX745&gt;=1,"Lift",IF(AX745&lt;=0,"Aussenlager","teilweise")))))</f>
        <v/>
      </c>
      <c r="BB745" s="53">
        <f>IF(A745="","",IF(BK745=1,"Neu; ","")&amp;IF(AND(BK745=0,BF745&lt;0),"negativer Bestand (Export "&amp;BF745&amp;"); ","")&amp;IF(I745&lt;=0,"Kein Verbrauch; ","")&amp;IF(BO745=1,"Lose – Fläche geschätzt; ","")&amp;IF(G745&gt;AM745,"Überbestand "&amp;ROUND(G745-AM745,0)&amp;" Stk / CHF "&amp;ROUND((G745-AM745)*F745,0)&amp;"; ","")&amp;IF(AND(BT745=1,BU745&lt;BV745),"MAX &lt; MB+LG; ","")&amp;IF(AND(BZ745&gt;0,BY745*10&gt;BZ745),"zu hoch für Tablar; ","")&amp;IF(AND(BK745=0,OR(BT745=1,V745&lt;&gt;"",S745&lt;&gt;"",T745&lt;&gt;"",W745&lt;&gt;"")),"manuell übersteuert; ","")&amp;IF(AND(BO745=0,Q745=0),"Gebinde unbekannt; ","")&amp;IF(AND(BO745=0,N(T745)&lt;=0,N(P745)&lt;=0),"Menge pro Gebinde fehlt (Ist = 1 Gebinde); ","")&amp;BJ745)</f>
        <v/>
      </c>
      <c r="BC745" s="53" t="n"/>
      <c r="BD745" s="53" t="n"/>
      <c r="BE745" s="61" t="n"/>
      <c r="BF745" s="55" t="n">
        <v>0</v>
      </c>
      <c r="BG745" s="55" t="n">
        <v>0</v>
      </c>
      <c r="BH745" s="54" t="n">
        <v>-1.70530256582424e-13</v>
      </c>
      <c r="BI745" s="55" t="n">
        <v>1</v>
      </c>
      <c r="BJ745" s="53" t="inlineStr"/>
      <c r="BK745" s="58" t="n">
        <v>0</v>
      </c>
      <c r="BL745" s="58" t="n">
        <v>745</v>
      </c>
      <c r="BM745" s="53">
        <f>IF(S745&lt;&gt;"",UPPER(TRIM(S745)),IF(O745="","LOSE",O745))</f>
        <v/>
      </c>
      <c r="BN745" s="55">
        <f>IF(BM745="LOSE",1,IF(N(T745)&gt;0,T745,IF(N(P745)&gt;0,P745,MAX(1,G745))))</f>
        <v/>
      </c>
      <c r="BO745" s="58">
        <f>IF(BM745="LOSE",1,0)</f>
        <v/>
      </c>
      <c r="BP745" s="64">
        <f>IF(BO745=0,0,IF(N(R745)&gt;0,R745,IFERROR(VLOOKUP(D745,Parameter!$A$35:$C$64,3,0)+0,0)))</f>
        <v/>
      </c>
      <c r="BQ745" s="53">
        <f>IF(V745&lt;&gt;"",V745,U745)</f>
        <v/>
      </c>
      <c r="BR745" s="53">
        <f>IF(BQ745=1,"L1",IF(OR(BQ745=2,BQ745=3),"L23",IF(BQ745="Aussen","Aussen","-")))</f>
        <v/>
      </c>
      <c r="BS745" s="66">
        <f>IF(N(W745)&gt;0,W745,0)</f>
        <v/>
      </c>
      <c r="BT745" s="58">
        <f>IF(ISNUMBER(Z745),1,0)</f>
        <v/>
      </c>
      <c r="BU745" s="55">
        <f>N(Z745)</f>
        <v/>
      </c>
      <c r="BV745" s="55">
        <f>N(L745)+N(M745)</f>
        <v/>
      </c>
      <c r="BW745" s="55">
        <f>ROUNDUP(G745/BN745,0)</f>
        <v/>
      </c>
      <c r="BX745" s="55">
        <f>ROUNDUP(BU745/BN745,0)</f>
        <v/>
      </c>
      <c r="BY745" s="58">
        <f>IF(BO745=1,0,IFERROR(VLOOKUP(BM745,'Gebinde-Kategorie'!$A$5:$G$45,5,0)+0,0))</f>
        <v/>
      </c>
      <c r="BZ745" s="58">
        <f>IFERROR(IF(OR(BQ745=1,BQ745=2,BQ745=3),N(INDEX(Parameter!$I$5:$I$7,BQ745)),0),0)</f>
        <v/>
      </c>
    </row>
    <row r="746">
      <c r="A746" s="53" t="inlineStr">
        <is>
          <t>107193</t>
        </is>
      </c>
      <c r="B746" s="53" t="inlineStr">
        <is>
          <t>Servicepaket SPGr16 SVC1</t>
        </is>
      </c>
      <c r="C746" s="53" t="inlineStr">
        <is>
          <t>A</t>
        </is>
      </c>
      <c r="D746" s="53" t="inlineStr">
        <is>
          <t>(leer)</t>
        </is>
      </c>
      <c r="E746" s="53" t="inlineStr">
        <is>
          <t>C</t>
        </is>
      </c>
      <c r="F746" s="54" t="n">
        <v>2567.23</v>
      </c>
      <c r="G746" s="55">
        <f>MAX(0,IF(Parameter!$B$20="Jahresanfang 2025 + Export",BG746+BF746,BF746))</f>
        <v/>
      </c>
      <c r="H746" s="55">
        <f>G746*F746</f>
        <v/>
      </c>
      <c r="I746" s="55">
        <f>BI746*Parameter!$B$18</f>
        <v/>
      </c>
      <c r="J746" s="56" t="n">
        <v>0</v>
      </c>
      <c r="K746" s="57" t="n">
        <v>0</v>
      </c>
      <c r="L746" s="55" t="n">
        <v>0</v>
      </c>
      <c r="M746" s="55" t="n">
        <v>1</v>
      </c>
      <c r="N746" s="58" t="n">
        <v>7</v>
      </c>
      <c r="O746" s="53" t="inlineStr">
        <is>
          <t>LOSE</t>
        </is>
      </c>
      <c r="P746" s="55" t="n"/>
      <c r="Q746" s="59">
        <f>IF(BO746=1,0,IFERROR(VLOOKUP(BM746,'Gebinde-Kategorie'!$A$5:$G$45,6,0)+0,0))</f>
        <v/>
      </c>
      <c r="R746" s="60" t="n"/>
      <c r="S746" s="61" t="n"/>
      <c r="T746" s="61" t="n"/>
      <c r="U746" s="53">
        <f>IF(A746="","",IF(IFERROR(VLOOKUP(D746,Parameter!$A$35:$C$64,2,0),"Nein")="2+3",IF(ISNUMBER(SEARCH("grosser Artikel",BJ746)),2,IFERROR(VLOOKUP(BM746,Parameter!$F$35:$G$64,2,0),2)),IF(OR(IFERROR(VLOOKUP(D746,Parameter!$A$35:$C$64,2,0),"Nein")="Nein",IFERROR(VLOOKUP(D746,Parameter!$A$35:$C$64,2,0),"Nein")=""),"-",VLOOKUP(D746,Parameter!$A$35:$C$64,2,0))))</f>
        <v/>
      </c>
      <c r="V746" s="61" t="n"/>
      <c r="W746" s="62" t="n"/>
      <c r="X746" s="55">
        <f>AM746</f>
        <v/>
      </c>
      <c r="Y746" s="55">
        <f>MAX(AM746,G746)</f>
        <v/>
      </c>
      <c r="Z746" s="63" t="n"/>
      <c r="AA746" s="55">
        <f>IF(LEFT(Cockpit!$C$5,1)="A",G746,IF(BT746=1,BU746,IF(LEFT(Cockpit!$C$5,1)="B",AE746,MAX(AE746,G746))))</f>
        <v/>
      </c>
      <c r="AB746" s="55">
        <f>IF(BO746=1,0,ROUNDUP(AA746/BN746,0))</f>
        <v/>
      </c>
      <c r="AC746" s="64">
        <f>IF(BO746=1,IF(AA746&lt;=0,0,BP746*MAX(1,IF(G746&gt;0,AA746/G746,1))),AB746*Q746)</f>
        <v/>
      </c>
      <c r="AD746" s="55">
        <f>AA746*F746</f>
        <v/>
      </c>
      <c r="AE746" s="55">
        <f>ROUNDUP(MAX(I746/IF(BS746&gt;0,BS746,MAX(0.1,N(Cockpit!$C$6))),BV746)/BN746,0)*BN746</f>
        <v/>
      </c>
      <c r="AF746" s="56">
        <f>IF(AC746&gt;0,I746/AC746,-1)</f>
        <v/>
      </c>
      <c r="AG746" s="56">
        <f>IF(AND(OR(BR746="L1",BR746="L23"),AC746&gt;0),SUMIFS($AC$7:$AC$1570,$BR$7:$BR$1570,BR746,$AF$7:$AF$1570,"&gt;"&amp;AF746)+SUMIFS($AC$7:$AC$1570,$BR$7:$BR$1570,BR746,$AF$7:$AF$1570,AF746,$BL$7:$BL$1570,"&lt;="&amp;BL746),"")</f>
        <v/>
      </c>
      <c r="AH746" s="65">
        <f>IF(AG746="",0,MAX(0,MIN(1,(IF(BR746="L1",Parameter!$K$5,Parameter!$K$6+Parameter!$K$7)-(AG746-AC746))/AC746)))</f>
        <v/>
      </c>
      <c r="AI746" s="55">
        <f>IF(LEFT(Cockpit!$I$5,1)="A",G746,IF(BT746=1,BU746,IF(LEFT(Cockpit!$I$5,1)="B",AM746,MAX(AM746,G746))))</f>
        <v/>
      </c>
      <c r="AJ746" s="55">
        <f>IF(BO746=1,0,ROUNDUP(AI746/BN746,0))</f>
        <v/>
      </c>
      <c r="AK746" s="64">
        <f>IF(BO746=1,IF(AI746&lt;=0,0,BP746*MAX(1,IF(G746&gt;0,AI746/G746,1))),AJ746*Q746)</f>
        <v/>
      </c>
      <c r="AL746" s="55">
        <f>AI746*F746</f>
        <v/>
      </c>
      <c r="AM746" s="55">
        <f>ROUNDUP(MAX(I746/IF(BS746&gt;0,BS746,MAX(0.1,N(Cockpit!$I$6))),BV746)/BN746,0)*BN746</f>
        <v/>
      </c>
      <c r="AN746" s="56">
        <f>IF(AK746&gt;0,I746/AK746,-1)</f>
        <v/>
      </c>
      <c r="AO746" s="56">
        <f>IF(AND(OR(BR746="L1",BR746="L23"),AK746&gt;0),SUMIFS($AK$7:$AK$1570,$BR$7:$BR$1570,BR746,$AN$7:$AN$1570,"&gt;"&amp;AN746)+SUMIFS($AK$7:$AK$1570,$BR$7:$BR$1570,BR746,$AN$7:$AN$1570,AN746,$BL$7:$BL$1570,"&lt;="&amp;BL746),"")</f>
        <v/>
      </c>
      <c r="AP746" s="65">
        <f>IF(AO746="",0,MAX(0,MIN(1,(IF(BR746="L1",Parameter!$K$5,Parameter!$K$6+Parameter!$K$7)-(AO746-AK746))/AK746)))</f>
        <v/>
      </c>
      <c r="AQ746" s="55">
        <f>IF(LEFT(Cockpit!$O$5,1)="A",G746,IF(BT746=1,BU746,IF(LEFT(Cockpit!$O$5,1)="B",AU746,MAX(AU746,G746))))</f>
        <v/>
      </c>
      <c r="AR746" s="55">
        <f>IF(BO746=1,0,ROUNDUP(AQ746/BN746,0))</f>
        <v/>
      </c>
      <c r="AS746" s="64">
        <f>IF(BO746=1,IF(AQ746&lt;=0,0,BP746*MAX(1,IF(G746&gt;0,AQ746/G746,1))),AR746*Q746)</f>
        <v/>
      </c>
      <c r="AT746" s="55">
        <f>AQ746*F746</f>
        <v/>
      </c>
      <c r="AU746" s="55">
        <f>ROUNDUP(MAX(I746/IF(BS746&gt;0,BS746,MAX(0.1,N(Cockpit!$O$6))),BV746)/BN746,0)*BN746</f>
        <v/>
      </c>
      <c r="AV746" s="56">
        <f>IF(AS746&gt;0,I746/AS746,-1)</f>
        <v/>
      </c>
      <c r="AW746" s="56">
        <f>IF(AND(OR(BR746="L1",BR746="L23"),AS746&gt;0),SUMIFS($AS$7:$AS$1570,$BR$7:$BR$1570,BR746,$AV$7:$AV$1570,"&gt;"&amp;AV746)+SUMIFS($AS$7:$AS$1570,$BR$7:$BR$1570,BR746,$AV$7:$AV$1570,AV746,$BL$7:$BL$1570,"&lt;="&amp;BL746),"")</f>
        <v/>
      </c>
      <c r="AX746" s="65">
        <f>IF(AW746="",0,MAX(0,MIN(1,(IF(BR746="L1",Parameter!$K$5,Parameter!$K$6+Parameter!$K$7)-(AW746-AS746))/AS746)))</f>
        <v/>
      </c>
      <c r="AY746" s="53">
        <f>IF(AC746&lt;=0,"",IF(BR746="Aussen","Aussenlager",IF(BR746="-","Nicht im Lift",IF(AH746&gt;=1,"Lift",IF(AH746&lt;=0,"Aussenlager","teilweise")))))</f>
        <v/>
      </c>
      <c r="AZ746" s="53">
        <f>IF(AK746&lt;=0,"",IF(BR746="Aussen","Aussenlager",IF(BR746="-","Nicht im Lift",IF(AP746&gt;=1,"Lift",IF(AP746&lt;=0,"Aussenlager","teilweise")))))</f>
        <v/>
      </c>
      <c r="BA746" s="53">
        <f>IF(AS746&lt;=0,"",IF(BR746="Aussen","Aussenlager",IF(BR746="-","Nicht im Lift",IF(AX746&gt;=1,"Lift",IF(AX746&lt;=0,"Aussenlager","teilweise")))))</f>
        <v/>
      </c>
      <c r="BB746" s="53">
        <f>IF(A746="","",IF(BK746=1,"Neu; ","")&amp;IF(AND(BK746=0,BF746&lt;0),"negativer Bestand (Export "&amp;BF746&amp;"); ","")&amp;IF(I746&lt;=0,"Kein Verbrauch; ","")&amp;IF(BO746=1,"Lose – Fläche geschätzt; ","")&amp;IF(G746&gt;AM746,"Überbestand "&amp;ROUND(G746-AM746,0)&amp;" Stk / CHF "&amp;ROUND((G746-AM746)*F746,0)&amp;"; ","")&amp;IF(AND(BT746=1,BU746&lt;BV746),"MAX &lt; MB+LG; ","")&amp;IF(AND(BZ746&gt;0,BY746*10&gt;BZ746),"zu hoch für Tablar; ","")&amp;IF(AND(BK746=0,OR(BT746=1,V746&lt;&gt;"",S746&lt;&gt;"",T746&lt;&gt;"",W746&lt;&gt;"")),"manuell übersteuert; ","")&amp;IF(AND(BO746=0,Q746=0),"Gebinde unbekannt; ","")&amp;IF(AND(BO746=0,N(T746)&lt;=0,N(P746)&lt;=0),"Menge pro Gebinde fehlt (Ist = 1 Gebinde); ","")&amp;BJ746)</f>
        <v/>
      </c>
      <c r="BC746" s="53" t="n"/>
      <c r="BD746" s="53" t="n"/>
      <c r="BE746" s="61" t="n"/>
      <c r="BF746" s="55" t="n">
        <v>0</v>
      </c>
      <c r="BG746" s="55" t="n">
        <v>0</v>
      </c>
      <c r="BH746" s="54" t="n">
        <v>-7.275957614183426e-12</v>
      </c>
      <c r="BI746" s="55" t="n">
        <v>44</v>
      </c>
      <c r="BJ746" s="53" t="inlineStr"/>
      <c r="BK746" s="58" t="n">
        <v>0</v>
      </c>
      <c r="BL746" s="58" t="n">
        <v>746</v>
      </c>
      <c r="BM746" s="53">
        <f>IF(S746&lt;&gt;"",UPPER(TRIM(S746)),IF(O746="","LOSE",O746))</f>
        <v/>
      </c>
      <c r="BN746" s="55">
        <f>IF(BM746="LOSE",1,IF(N(T746)&gt;0,T746,IF(N(P746)&gt;0,P746,MAX(1,G746))))</f>
        <v/>
      </c>
      <c r="BO746" s="58">
        <f>IF(BM746="LOSE",1,0)</f>
        <v/>
      </c>
      <c r="BP746" s="64">
        <f>IF(BO746=0,0,IF(N(R746)&gt;0,R746,IFERROR(VLOOKUP(D746,Parameter!$A$35:$C$64,3,0)+0,0)))</f>
        <v/>
      </c>
      <c r="BQ746" s="53">
        <f>IF(V746&lt;&gt;"",V746,U746)</f>
        <v/>
      </c>
      <c r="BR746" s="53">
        <f>IF(BQ746=1,"L1",IF(OR(BQ746=2,BQ746=3),"L23",IF(BQ746="Aussen","Aussen","-")))</f>
        <v/>
      </c>
      <c r="BS746" s="66">
        <f>IF(N(W746)&gt;0,W746,0)</f>
        <v/>
      </c>
      <c r="BT746" s="58">
        <f>IF(ISNUMBER(Z746),1,0)</f>
        <v/>
      </c>
      <c r="BU746" s="55">
        <f>N(Z746)</f>
        <v/>
      </c>
      <c r="BV746" s="55">
        <f>N(L746)+N(M746)</f>
        <v/>
      </c>
      <c r="BW746" s="55">
        <f>ROUNDUP(G746/BN746,0)</f>
        <v/>
      </c>
      <c r="BX746" s="55">
        <f>ROUNDUP(BU746/BN746,0)</f>
        <v/>
      </c>
      <c r="BY746" s="58">
        <f>IF(BO746=1,0,IFERROR(VLOOKUP(BM746,'Gebinde-Kategorie'!$A$5:$G$45,5,0)+0,0))</f>
        <v/>
      </c>
      <c r="BZ746" s="58">
        <f>IFERROR(IF(OR(BQ746=1,BQ746=2,BQ746=3),N(INDEX(Parameter!$I$5:$I$7,BQ746)),0),0)</f>
        <v/>
      </c>
    </row>
    <row r="747">
      <c r="A747" s="53" t="inlineStr">
        <is>
          <t>107191</t>
        </is>
      </c>
      <c r="B747" s="53" t="inlineStr">
        <is>
          <t>Servicepaket SPGr10 SVC1</t>
        </is>
      </c>
      <c r="C747" s="53" t="inlineStr">
        <is>
          <t>A</t>
        </is>
      </c>
      <c r="D747" s="53" t="inlineStr">
        <is>
          <t>(leer)</t>
        </is>
      </c>
      <c r="E747" s="53" t="inlineStr">
        <is>
          <t>C</t>
        </is>
      </c>
      <c r="F747" s="54" t="n">
        <v>2080.97</v>
      </c>
      <c r="G747" s="55">
        <f>MAX(0,IF(Parameter!$B$20="Jahresanfang 2025 + Export",BG747+BF747,BF747))</f>
        <v/>
      </c>
      <c r="H747" s="55">
        <f>G747*F747</f>
        <v/>
      </c>
      <c r="I747" s="55">
        <f>BI747*Parameter!$B$18</f>
        <v/>
      </c>
      <c r="J747" s="56" t="n">
        <v>0</v>
      </c>
      <c r="K747" s="57" t="n">
        <v>0</v>
      </c>
      <c r="L747" s="55" t="n">
        <v>0</v>
      </c>
      <c r="M747" s="55" t="n">
        <v>1</v>
      </c>
      <c r="N747" s="58" t="n">
        <v>7</v>
      </c>
      <c r="O747" s="53" t="inlineStr">
        <is>
          <t>LOSE</t>
        </is>
      </c>
      <c r="P747" s="55" t="n"/>
      <c r="Q747" s="59">
        <f>IF(BO747=1,0,IFERROR(VLOOKUP(BM747,'Gebinde-Kategorie'!$A$5:$G$45,6,0)+0,0))</f>
        <v/>
      </c>
      <c r="R747" s="60" t="n"/>
      <c r="S747" s="61" t="n"/>
      <c r="T747" s="61" t="n"/>
      <c r="U747" s="53">
        <f>IF(A747="","",IF(IFERROR(VLOOKUP(D747,Parameter!$A$35:$C$64,2,0),"Nein")="2+3",IF(ISNUMBER(SEARCH("grosser Artikel",BJ747)),2,IFERROR(VLOOKUP(BM747,Parameter!$F$35:$G$64,2,0),2)),IF(OR(IFERROR(VLOOKUP(D747,Parameter!$A$35:$C$64,2,0),"Nein")="Nein",IFERROR(VLOOKUP(D747,Parameter!$A$35:$C$64,2,0),"Nein")=""),"-",VLOOKUP(D747,Parameter!$A$35:$C$64,2,0))))</f>
        <v/>
      </c>
      <c r="V747" s="61" t="n"/>
      <c r="W747" s="62" t="n"/>
      <c r="X747" s="55">
        <f>AM747</f>
        <v/>
      </c>
      <c r="Y747" s="55">
        <f>MAX(AM747,G747)</f>
        <v/>
      </c>
      <c r="Z747" s="63" t="n"/>
      <c r="AA747" s="55">
        <f>IF(LEFT(Cockpit!$C$5,1)="A",G747,IF(BT747=1,BU747,IF(LEFT(Cockpit!$C$5,1)="B",AE747,MAX(AE747,G747))))</f>
        <v/>
      </c>
      <c r="AB747" s="55">
        <f>IF(BO747=1,0,ROUNDUP(AA747/BN747,0))</f>
        <v/>
      </c>
      <c r="AC747" s="64">
        <f>IF(BO747=1,IF(AA747&lt;=0,0,BP747*MAX(1,IF(G747&gt;0,AA747/G747,1))),AB747*Q747)</f>
        <v/>
      </c>
      <c r="AD747" s="55">
        <f>AA747*F747</f>
        <v/>
      </c>
      <c r="AE747" s="55">
        <f>ROUNDUP(MAX(I747/IF(BS747&gt;0,BS747,MAX(0.1,N(Cockpit!$C$6))),BV747)/BN747,0)*BN747</f>
        <v/>
      </c>
      <c r="AF747" s="56">
        <f>IF(AC747&gt;0,I747/AC747,-1)</f>
        <v/>
      </c>
      <c r="AG747" s="56">
        <f>IF(AND(OR(BR747="L1",BR747="L23"),AC747&gt;0),SUMIFS($AC$7:$AC$1570,$BR$7:$BR$1570,BR747,$AF$7:$AF$1570,"&gt;"&amp;AF747)+SUMIFS($AC$7:$AC$1570,$BR$7:$BR$1570,BR747,$AF$7:$AF$1570,AF747,$BL$7:$BL$1570,"&lt;="&amp;BL747),"")</f>
        <v/>
      </c>
      <c r="AH747" s="65">
        <f>IF(AG747="",0,MAX(0,MIN(1,(IF(BR747="L1",Parameter!$K$5,Parameter!$K$6+Parameter!$K$7)-(AG747-AC747))/AC747)))</f>
        <v/>
      </c>
      <c r="AI747" s="55">
        <f>IF(LEFT(Cockpit!$I$5,1)="A",G747,IF(BT747=1,BU747,IF(LEFT(Cockpit!$I$5,1)="B",AM747,MAX(AM747,G747))))</f>
        <v/>
      </c>
      <c r="AJ747" s="55">
        <f>IF(BO747=1,0,ROUNDUP(AI747/BN747,0))</f>
        <v/>
      </c>
      <c r="AK747" s="64">
        <f>IF(BO747=1,IF(AI747&lt;=0,0,BP747*MAX(1,IF(G747&gt;0,AI747/G747,1))),AJ747*Q747)</f>
        <v/>
      </c>
      <c r="AL747" s="55">
        <f>AI747*F747</f>
        <v/>
      </c>
      <c r="AM747" s="55">
        <f>ROUNDUP(MAX(I747/IF(BS747&gt;0,BS747,MAX(0.1,N(Cockpit!$I$6))),BV747)/BN747,0)*BN747</f>
        <v/>
      </c>
      <c r="AN747" s="56">
        <f>IF(AK747&gt;0,I747/AK747,-1)</f>
        <v/>
      </c>
      <c r="AO747" s="56">
        <f>IF(AND(OR(BR747="L1",BR747="L23"),AK747&gt;0),SUMIFS($AK$7:$AK$1570,$BR$7:$BR$1570,BR747,$AN$7:$AN$1570,"&gt;"&amp;AN747)+SUMIFS($AK$7:$AK$1570,$BR$7:$BR$1570,BR747,$AN$7:$AN$1570,AN747,$BL$7:$BL$1570,"&lt;="&amp;BL747),"")</f>
        <v/>
      </c>
      <c r="AP747" s="65">
        <f>IF(AO747="",0,MAX(0,MIN(1,(IF(BR747="L1",Parameter!$K$5,Parameter!$K$6+Parameter!$K$7)-(AO747-AK747))/AK747)))</f>
        <v/>
      </c>
      <c r="AQ747" s="55">
        <f>IF(LEFT(Cockpit!$O$5,1)="A",G747,IF(BT747=1,BU747,IF(LEFT(Cockpit!$O$5,1)="B",AU747,MAX(AU747,G747))))</f>
        <v/>
      </c>
      <c r="AR747" s="55">
        <f>IF(BO747=1,0,ROUNDUP(AQ747/BN747,0))</f>
        <v/>
      </c>
      <c r="AS747" s="64">
        <f>IF(BO747=1,IF(AQ747&lt;=0,0,BP747*MAX(1,IF(G747&gt;0,AQ747/G747,1))),AR747*Q747)</f>
        <v/>
      </c>
      <c r="AT747" s="55">
        <f>AQ747*F747</f>
        <v/>
      </c>
      <c r="AU747" s="55">
        <f>ROUNDUP(MAX(I747/IF(BS747&gt;0,BS747,MAX(0.1,N(Cockpit!$O$6))),BV747)/BN747,0)*BN747</f>
        <v/>
      </c>
      <c r="AV747" s="56">
        <f>IF(AS747&gt;0,I747/AS747,-1)</f>
        <v/>
      </c>
      <c r="AW747" s="56">
        <f>IF(AND(OR(BR747="L1",BR747="L23"),AS747&gt;0),SUMIFS($AS$7:$AS$1570,$BR$7:$BR$1570,BR747,$AV$7:$AV$1570,"&gt;"&amp;AV747)+SUMIFS($AS$7:$AS$1570,$BR$7:$BR$1570,BR747,$AV$7:$AV$1570,AV747,$BL$7:$BL$1570,"&lt;="&amp;BL747),"")</f>
        <v/>
      </c>
      <c r="AX747" s="65">
        <f>IF(AW747="",0,MAX(0,MIN(1,(IF(BR747="L1",Parameter!$K$5,Parameter!$K$6+Parameter!$K$7)-(AW747-AS747))/AS747)))</f>
        <v/>
      </c>
      <c r="AY747" s="53">
        <f>IF(AC747&lt;=0,"",IF(BR747="Aussen","Aussenlager",IF(BR747="-","Nicht im Lift",IF(AH747&gt;=1,"Lift",IF(AH747&lt;=0,"Aussenlager","teilweise")))))</f>
        <v/>
      </c>
      <c r="AZ747" s="53">
        <f>IF(AK747&lt;=0,"",IF(BR747="Aussen","Aussenlager",IF(BR747="-","Nicht im Lift",IF(AP747&gt;=1,"Lift",IF(AP747&lt;=0,"Aussenlager","teilweise")))))</f>
        <v/>
      </c>
      <c r="BA747" s="53">
        <f>IF(AS747&lt;=0,"",IF(BR747="Aussen","Aussenlager",IF(BR747="-","Nicht im Lift",IF(AX747&gt;=1,"Lift",IF(AX747&lt;=0,"Aussenlager","teilweise")))))</f>
        <v/>
      </c>
      <c r="BB747" s="53">
        <f>IF(A747="","",IF(BK747=1,"Neu; ","")&amp;IF(AND(BK747=0,BF747&lt;0),"negativer Bestand (Export "&amp;BF747&amp;"); ","")&amp;IF(I747&lt;=0,"Kein Verbrauch; ","")&amp;IF(BO747=1,"Lose – Fläche geschätzt; ","")&amp;IF(G747&gt;AM747,"Überbestand "&amp;ROUND(G747-AM747,0)&amp;" Stk / CHF "&amp;ROUND((G747-AM747)*F747,0)&amp;"; ","")&amp;IF(AND(BT747=1,BU747&lt;BV747),"MAX &lt; MB+LG; ","")&amp;IF(AND(BZ747&gt;0,BY747*10&gt;BZ747),"zu hoch für Tablar; ","")&amp;IF(AND(BK747=0,OR(BT747=1,V747&lt;&gt;"",S747&lt;&gt;"",T747&lt;&gt;"",W747&lt;&gt;"")),"manuell übersteuert; ","")&amp;IF(AND(BO747=0,Q747=0),"Gebinde unbekannt; ","")&amp;IF(AND(BO747=0,N(T747)&lt;=0,N(P747)&lt;=0),"Menge pro Gebinde fehlt (Ist = 1 Gebinde); ","")&amp;BJ747)</f>
        <v/>
      </c>
      <c r="BC747" s="53" t="n"/>
      <c r="BD747" s="53" t="n"/>
      <c r="BE747" s="61" t="n"/>
      <c r="BF747" s="55" t="n">
        <v>0</v>
      </c>
      <c r="BG747" s="55" t="n">
        <v>0</v>
      </c>
      <c r="BH747" s="54" t="n">
        <v>-1.455191522836685e-11</v>
      </c>
      <c r="BI747" s="55" t="n">
        <v>115</v>
      </c>
      <c r="BJ747" s="53" t="inlineStr"/>
      <c r="BK747" s="58" t="n">
        <v>0</v>
      </c>
      <c r="BL747" s="58" t="n">
        <v>747</v>
      </c>
      <c r="BM747" s="53">
        <f>IF(S747&lt;&gt;"",UPPER(TRIM(S747)),IF(O747="","LOSE",O747))</f>
        <v/>
      </c>
      <c r="BN747" s="55">
        <f>IF(BM747="LOSE",1,IF(N(T747)&gt;0,T747,IF(N(P747)&gt;0,P747,MAX(1,G747))))</f>
        <v/>
      </c>
      <c r="BO747" s="58">
        <f>IF(BM747="LOSE",1,0)</f>
        <v/>
      </c>
      <c r="BP747" s="64">
        <f>IF(BO747=0,0,IF(N(R747)&gt;0,R747,IFERROR(VLOOKUP(D747,Parameter!$A$35:$C$64,3,0)+0,0)))</f>
        <v/>
      </c>
      <c r="BQ747" s="53">
        <f>IF(V747&lt;&gt;"",V747,U747)</f>
        <v/>
      </c>
      <c r="BR747" s="53">
        <f>IF(BQ747=1,"L1",IF(OR(BQ747=2,BQ747=3),"L23",IF(BQ747="Aussen","Aussen","-")))</f>
        <v/>
      </c>
      <c r="BS747" s="66">
        <f>IF(N(W747)&gt;0,W747,0)</f>
        <v/>
      </c>
      <c r="BT747" s="58">
        <f>IF(ISNUMBER(Z747),1,0)</f>
        <v/>
      </c>
      <c r="BU747" s="55">
        <f>N(Z747)</f>
        <v/>
      </c>
      <c r="BV747" s="55">
        <f>N(L747)+N(M747)</f>
        <v/>
      </c>
      <c r="BW747" s="55">
        <f>ROUNDUP(G747/BN747,0)</f>
        <v/>
      </c>
      <c r="BX747" s="55">
        <f>ROUNDUP(BU747/BN747,0)</f>
        <v/>
      </c>
      <c r="BY747" s="58">
        <f>IF(BO747=1,0,IFERROR(VLOOKUP(BM747,'Gebinde-Kategorie'!$A$5:$G$45,5,0)+0,0))</f>
        <v/>
      </c>
      <c r="BZ747" s="58">
        <f>IFERROR(IF(OR(BQ747=1,BQ747=2,BQ747=3),N(INDEX(Parameter!$I$5:$I$7,BQ747)),0),0)</f>
        <v/>
      </c>
    </row>
    <row r="748">
      <c r="A748" s="53" t="inlineStr">
        <is>
          <t>104049</t>
        </is>
      </c>
      <c r="B748" s="53" t="inlineStr">
        <is>
          <t>Unterlagsscheibe</t>
        </is>
      </c>
      <c r="C748" s="53" t="inlineStr">
        <is>
          <t>F</t>
        </is>
      </c>
      <c r="D748" s="53" t="inlineStr">
        <is>
          <t>KTL</t>
        </is>
      </c>
      <c r="E748" s="53" t="inlineStr">
        <is>
          <t>C</t>
        </is>
      </c>
      <c r="F748" s="54" t="n">
        <v>0.02</v>
      </c>
      <c r="G748" s="55">
        <f>MAX(0,IF(Parameter!$B$20="Jahresanfang 2025 + Export",BG748+BF748,BF748))</f>
        <v/>
      </c>
      <c r="H748" s="55">
        <f>G748*F748</f>
        <v/>
      </c>
      <c r="I748" s="55">
        <f>BI748*Parameter!$B$18</f>
        <v/>
      </c>
      <c r="J748" s="56" t="n">
        <v>94.5</v>
      </c>
      <c r="K748" s="57" t="n">
        <v>0</v>
      </c>
      <c r="L748" s="55" t="n">
        <v>0</v>
      </c>
      <c r="M748" s="55" t="n">
        <v>1</v>
      </c>
      <c r="N748" s="58" t="n">
        <v>14</v>
      </c>
      <c r="O748" s="53" t="inlineStr">
        <is>
          <t>LOSE</t>
        </is>
      </c>
      <c r="P748" s="55" t="n"/>
      <c r="Q748" s="59">
        <f>IF(BO748=1,0,IFERROR(VLOOKUP(BM748,'Gebinde-Kategorie'!$A$5:$G$45,6,0)+0,0))</f>
        <v/>
      </c>
      <c r="R748" s="60" t="n"/>
      <c r="S748" s="61" t="n"/>
      <c r="T748" s="61" t="n"/>
      <c r="U748" s="53">
        <f>IF(A748="","",IF(IFERROR(VLOOKUP(D748,Parameter!$A$35:$C$64,2,0),"Nein")="2+3",IF(ISNUMBER(SEARCH("grosser Artikel",BJ748)),2,IFERROR(VLOOKUP(BM748,Parameter!$F$35:$G$64,2,0),2)),IF(OR(IFERROR(VLOOKUP(D748,Parameter!$A$35:$C$64,2,0),"Nein")="Nein",IFERROR(VLOOKUP(D748,Parameter!$A$35:$C$64,2,0),"Nein")=""),"-",VLOOKUP(D748,Parameter!$A$35:$C$64,2,0))))</f>
        <v/>
      </c>
      <c r="V748" s="61" t="n"/>
      <c r="W748" s="62" t="n"/>
      <c r="X748" s="55">
        <f>AM748</f>
        <v/>
      </c>
      <c r="Y748" s="55">
        <f>MAX(AM748,G748)</f>
        <v/>
      </c>
      <c r="Z748" s="63" t="n"/>
      <c r="AA748" s="55">
        <f>IF(LEFT(Cockpit!$C$5,1)="A",G748,IF(BT748=1,BU748,IF(LEFT(Cockpit!$C$5,1)="B",AE748,MAX(AE748,G748))))</f>
        <v/>
      </c>
      <c r="AB748" s="55">
        <f>IF(BO748=1,0,ROUNDUP(AA748/BN748,0))</f>
        <v/>
      </c>
      <c r="AC748" s="64">
        <f>IF(BO748=1,IF(AA748&lt;=0,0,BP748*MAX(1,IF(G748&gt;0,AA748/G748,1))),AB748*Q748)</f>
        <v/>
      </c>
      <c r="AD748" s="55">
        <f>AA748*F748</f>
        <v/>
      </c>
      <c r="AE748" s="55">
        <f>ROUNDUP(MAX(I748/IF(BS748&gt;0,BS748,MAX(0.1,N(Cockpit!$C$6))),BV748)/BN748,0)*BN748</f>
        <v/>
      </c>
      <c r="AF748" s="56">
        <f>IF(AC748&gt;0,I748/AC748,-1)</f>
        <v/>
      </c>
      <c r="AG748" s="56">
        <f>IF(AND(OR(BR748="L1",BR748="L23"),AC748&gt;0),SUMIFS($AC$7:$AC$1570,$BR$7:$BR$1570,BR748,$AF$7:$AF$1570,"&gt;"&amp;AF748)+SUMIFS($AC$7:$AC$1570,$BR$7:$BR$1570,BR748,$AF$7:$AF$1570,AF748,$BL$7:$BL$1570,"&lt;="&amp;BL748),"")</f>
        <v/>
      </c>
      <c r="AH748" s="65">
        <f>IF(AG748="",0,MAX(0,MIN(1,(IF(BR748="L1",Parameter!$K$5,Parameter!$K$6+Parameter!$K$7)-(AG748-AC748))/AC748)))</f>
        <v/>
      </c>
      <c r="AI748" s="55">
        <f>IF(LEFT(Cockpit!$I$5,1)="A",G748,IF(BT748=1,BU748,IF(LEFT(Cockpit!$I$5,1)="B",AM748,MAX(AM748,G748))))</f>
        <v/>
      </c>
      <c r="AJ748" s="55">
        <f>IF(BO748=1,0,ROUNDUP(AI748/BN748,0))</f>
        <v/>
      </c>
      <c r="AK748" s="64">
        <f>IF(BO748=1,IF(AI748&lt;=0,0,BP748*MAX(1,IF(G748&gt;0,AI748/G748,1))),AJ748*Q748)</f>
        <v/>
      </c>
      <c r="AL748" s="55">
        <f>AI748*F748</f>
        <v/>
      </c>
      <c r="AM748" s="55">
        <f>ROUNDUP(MAX(I748/IF(BS748&gt;0,BS748,MAX(0.1,N(Cockpit!$I$6))),BV748)/BN748,0)*BN748</f>
        <v/>
      </c>
      <c r="AN748" s="56">
        <f>IF(AK748&gt;0,I748/AK748,-1)</f>
        <v/>
      </c>
      <c r="AO748" s="56">
        <f>IF(AND(OR(BR748="L1",BR748="L23"),AK748&gt;0),SUMIFS($AK$7:$AK$1570,$BR$7:$BR$1570,BR748,$AN$7:$AN$1570,"&gt;"&amp;AN748)+SUMIFS($AK$7:$AK$1570,$BR$7:$BR$1570,BR748,$AN$7:$AN$1570,AN748,$BL$7:$BL$1570,"&lt;="&amp;BL748),"")</f>
        <v/>
      </c>
      <c r="AP748" s="65">
        <f>IF(AO748="",0,MAX(0,MIN(1,(IF(BR748="L1",Parameter!$K$5,Parameter!$K$6+Parameter!$K$7)-(AO748-AK748))/AK748)))</f>
        <v/>
      </c>
      <c r="AQ748" s="55">
        <f>IF(LEFT(Cockpit!$O$5,1)="A",G748,IF(BT748=1,BU748,IF(LEFT(Cockpit!$O$5,1)="B",AU748,MAX(AU748,G748))))</f>
        <v/>
      </c>
      <c r="AR748" s="55">
        <f>IF(BO748=1,0,ROUNDUP(AQ748/BN748,0))</f>
        <v/>
      </c>
      <c r="AS748" s="64">
        <f>IF(BO748=1,IF(AQ748&lt;=0,0,BP748*MAX(1,IF(G748&gt;0,AQ748/G748,1))),AR748*Q748)</f>
        <v/>
      </c>
      <c r="AT748" s="55">
        <f>AQ748*F748</f>
        <v/>
      </c>
      <c r="AU748" s="55">
        <f>ROUNDUP(MAX(I748/IF(BS748&gt;0,BS748,MAX(0.1,N(Cockpit!$O$6))),BV748)/BN748,0)*BN748</f>
        <v/>
      </c>
      <c r="AV748" s="56">
        <f>IF(AS748&gt;0,I748/AS748,-1)</f>
        <v/>
      </c>
      <c r="AW748" s="56">
        <f>IF(AND(OR(BR748="L1",BR748="L23"),AS748&gt;0),SUMIFS($AS$7:$AS$1570,$BR$7:$BR$1570,BR748,$AV$7:$AV$1570,"&gt;"&amp;AV748)+SUMIFS($AS$7:$AS$1570,$BR$7:$BR$1570,BR748,$AV$7:$AV$1570,AV748,$BL$7:$BL$1570,"&lt;="&amp;BL748),"")</f>
        <v/>
      </c>
      <c r="AX748" s="65">
        <f>IF(AW748="",0,MAX(0,MIN(1,(IF(BR748="L1",Parameter!$K$5,Parameter!$K$6+Parameter!$K$7)-(AW748-AS748))/AS748)))</f>
        <v/>
      </c>
      <c r="AY748" s="53">
        <f>IF(AC748&lt;=0,"",IF(BR748="Aussen","Aussenlager",IF(BR748="-","Nicht im Lift",IF(AH748&gt;=1,"Lift",IF(AH748&lt;=0,"Aussenlager","teilweise")))))</f>
        <v/>
      </c>
      <c r="AZ748" s="53">
        <f>IF(AK748&lt;=0,"",IF(BR748="Aussen","Aussenlager",IF(BR748="-","Nicht im Lift",IF(AP748&gt;=1,"Lift",IF(AP748&lt;=0,"Aussenlager","teilweise")))))</f>
        <v/>
      </c>
      <c r="BA748" s="53">
        <f>IF(AS748&lt;=0,"",IF(BR748="Aussen","Aussenlager",IF(BR748="-","Nicht im Lift",IF(AX748&gt;=1,"Lift",IF(AX748&lt;=0,"Aussenlager","teilweise")))))</f>
        <v/>
      </c>
      <c r="BB748" s="53">
        <f>IF(A748="","",IF(BK748=1,"Neu; ","")&amp;IF(AND(BK748=0,BF748&lt;0),"negativer Bestand (Export "&amp;BF748&amp;"); ","")&amp;IF(I748&lt;=0,"Kein Verbrauch; ","")&amp;IF(BO748=1,"Lose – Fläche geschätzt; ","")&amp;IF(G748&gt;AM748,"Überbestand "&amp;ROUND(G748-AM748,0)&amp;" Stk / CHF "&amp;ROUND((G748-AM748)*F748,0)&amp;"; ","")&amp;IF(AND(BT748=1,BU748&lt;BV748),"MAX &lt; MB+LG; ","")&amp;IF(AND(BZ748&gt;0,BY748*10&gt;BZ748),"zu hoch für Tablar; ","")&amp;IF(AND(BK748=0,OR(BT748=1,V748&lt;&gt;"",S748&lt;&gt;"",T748&lt;&gt;"",W748&lt;&gt;"")),"manuell übersteuert; ","")&amp;IF(AND(BO748=0,Q748=0),"Gebinde unbekannt; ","")&amp;IF(AND(BO748=0,N(T748)&lt;=0,N(P748)&lt;=0),"Menge pro Gebinde fehlt (Ist = 1 Gebinde); ","")&amp;BJ748)</f>
        <v/>
      </c>
      <c r="BC748" s="53" t="n"/>
      <c r="BD748" s="53" t="n"/>
      <c r="BE748" s="61" t="n"/>
      <c r="BF748" s="55" t="n">
        <v>-1</v>
      </c>
      <c r="BG748" s="55" t="n">
        <v>95</v>
      </c>
      <c r="BH748" s="54" t="n">
        <v>-0.02</v>
      </c>
      <c r="BI748" s="55" t="n">
        <v>0</v>
      </c>
      <c r="BJ748" s="53" t="inlineStr"/>
      <c r="BK748" s="58" t="n">
        <v>0</v>
      </c>
      <c r="BL748" s="58" t="n">
        <v>748</v>
      </c>
      <c r="BM748" s="53">
        <f>IF(S748&lt;&gt;"",UPPER(TRIM(S748)),IF(O748="","LOSE",O748))</f>
        <v/>
      </c>
      <c r="BN748" s="55">
        <f>IF(BM748="LOSE",1,IF(N(T748)&gt;0,T748,IF(N(P748)&gt;0,P748,MAX(1,G748))))</f>
        <v/>
      </c>
      <c r="BO748" s="58">
        <f>IF(BM748="LOSE",1,0)</f>
        <v/>
      </c>
      <c r="BP748" s="64">
        <f>IF(BO748=0,0,IF(N(R748)&gt;0,R748,IFERROR(VLOOKUP(D748,Parameter!$A$35:$C$64,3,0)+0,0)))</f>
        <v/>
      </c>
      <c r="BQ748" s="53">
        <f>IF(V748&lt;&gt;"",V748,U748)</f>
        <v/>
      </c>
      <c r="BR748" s="53">
        <f>IF(BQ748=1,"L1",IF(OR(BQ748=2,BQ748=3),"L23",IF(BQ748="Aussen","Aussen","-")))</f>
        <v/>
      </c>
      <c r="BS748" s="66">
        <f>IF(N(W748)&gt;0,W748,0)</f>
        <v/>
      </c>
      <c r="BT748" s="58">
        <f>IF(ISNUMBER(Z748),1,0)</f>
        <v/>
      </c>
      <c r="BU748" s="55">
        <f>N(Z748)</f>
        <v/>
      </c>
      <c r="BV748" s="55">
        <f>N(L748)+N(M748)</f>
        <v/>
      </c>
      <c r="BW748" s="55">
        <f>ROUNDUP(G748/BN748,0)</f>
        <v/>
      </c>
      <c r="BX748" s="55">
        <f>ROUNDUP(BU748/BN748,0)</f>
        <v/>
      </c>
      <c r="BY748" s="58">
        <f>IF(BO748=1,0,IFERROR(VLOOKUP(BM748,'Gebinde-Kategorie'!$A$5:$G$45,5,0)+0,0))</f>
        <v/>
      </c>
      <c r="BZ748" s="58">
        <f>IFERROR(IF(OR(BQ748=1,BQ748=2,BQ748=3),N(INDEX(Parameter!$I$5:$I$7,BQ748)),0),0)</f>
        <v/>
      </c>
    </row>
    <row r="749">
      <c r="A749" s="53" t="inlineStr">
        <is>
          <t>109966</t>
        </is>
      </c>
      <c r="B749" s="53" t="inlineStr">
        <is>
          <t>Handbuch Luftkompressor AC260 DE</t>
        </is>
      </c>
      <c r="C749" s="53" t="inlineStr">
        <is>
          <t>G</t>
        </is>
      </c>
      <c r="D749" s="53" t="inlineStr">
        <is>
          <t>PAL</t>
        </is>
      </c>
      <c r="E749" s="53" t="inlineStr">
        <is>
          <t>C</t>
        </is>
      </c>
      <c r="F749" s="54" t="n">
        <v>0.01</v>
      </c>
      <c r="G749" s="55">
        <f>MAX(0,IF(Parameter!$B$20="Jahresanfang 2025 + Export",BG749+BF749,BF749))</f>
        <v/>
      </c>
      <c r="H749" s="55">
        <f>G749*F749</f>
        <v/>
      </c>
      <c r="I749" s="55">
        <f>BI749*Parameter!$B$18</f>
        <v/>
      </c>
      <c r="J749" s="56" t="n">
        <v>7</v>
      </c>
      <c r="K749" s="57" t="n">
        <v>1</v>
      </c>
      <c r="L749" s="55" t="n">
        <v>0</v>
      </c>
      <c r="M749" s="55" t="n">
        <v>5</v>
      </c>
      <c r="N749" s="58" t="n">
        <v>90</v>
      </c>
      <c r="O749" s="53" t="inlineStr">
        <is>
          <t>LOSE</t>
        </is>
      </c>
      <c r="P749" s="55" t="n"/>
      <c r="Q749" s="59">
        <f>IF(BO749=1,0,IFERROR(VLOOKUP(BM749,'Gebinde-Kategorie'!$A$5:$G$45,6,0)+0,0))</f>
        <v/>
      </c>
      <c r="R749" s="60" t="n"/>
      <c r="S749" s="61" t="n"/>
      <c r="T749" s="61" t="n"/>
      <c r="U749" s="53">
        <f>IF(A749="","",IF(IFERROR(VLOOKUP(D749,Parameter!$A$35:$C$64,2,0),"Nein")="2+3",IF(ISNUMBER(SEARCH("grosser Artikel",BJ749)),2,IFERROR(VLOOKUP(BM749,Parameter!$F$35:$G$64,2,0),2)),IF(OR(IFERROR(VLOOKUP(D749,Parameter!$A$35:$C$64,2,0),"Nein")="Nein",IFERROR(VLOOKUP(D749,Parameter!$A$35:$C$64,2,0),"Nein")=""),"-",VLOOKUP(D749,Parameter!$A$35:$C$64,2,0))))</f>
        <v/>
      </c>
      <c r="V749" s="61" t="n"/>
      <c r="W749" s="62" t="n"/>
      <c r="X749" s="55">
        <f>AM749</f>
        <v/>
      </c>
      <c r="Y749" s="55">
        <f>MAX(AM749,G749)</f>
        <v/>
      </c>
      <c r="Z749" s="63" t="n"/>
      <c r="AA749" s="55">
        <f>IF(LEFT(Cockpit!$C$5,1)="A",G749,IF(BT749=1,BU749,IF(LEFT(Cockpit!$C$5,1)="B",AE749,MAX(AE749,G749))))</f>
        <v/>
      </c>
      <c r="AB749" s="55">
        <f>IF(BO749=1,0,ROUNDUP(AA749/BN749,0))</f>
        <v/>
      </c>
      <c r="AC749" s="64">
        <f>IF(BO749=1,IF(AA749&lt;=0,0,BP749*MAX(1,IF(G749&gt;0,AA749/G749,1))),AB749*Q749)</f>
        <v/>
      </c>
      <c r="AD749" s="55">
        <f>AA749*F749</f>
        <v/>
      </c>
      <c r="AE749" s="55">
        <f>ROUNDUP(MAX(I749/IF(BS749&gt;0,BS749,MAX(0.1,N(Cockpit!$C$6))),BV749)/BN749,0)*BN749</f>
        <v/>
      </c>
      <c r="AF749" s="56">
        <f>IF(AC749&gt;0,I749/AC749,-1)</f>
        <v/>
      </c>
      <c r="AG749" s="56">
        <f>IF(AND(OR(BR749="L1",BR749="L23"),AC749&gt;0),SUMIFS($AC$7:$AC$1570,$BR$7:$BR$1570,BR749,$AF$7:$AF$1570,"&gt;"&amp;AF749)+SUMIFS($AC$7:$AC$1570,$BR$7:$BR$1570,BR749,$AF$7:$AF$1570,AF749,$BL$7:$BL$1570,"&lt;="&amp;BL749),"")</f>
        <v/>
      </c>
      <c r="AH749" s="65">
        <f>IF(AG749="",0,MAX(0,MIN(1,(IF(BR749="L1",Parameter!$K$5,Parameter!$K$6+Parameter!$K$7)-(AG749-AC749))/AC749)))</f>
        <v/>
      </c>
      <c r="AI749" s="55">
        <f>IF(LEFT(Cockpit!$I$5,1)="A",G749,IF(BT749=1,BU749,IF(LEFT(Cockpit!$I$5,1)="B",AM749,MAX(AM749,G749))))</f>
        <v/>
      </c>
      <c r="AJ749" s="55">
        <f>IF(BO749=1,0,ROUNDUP(AI749/BN749,0))</f>
        <v/>
      </c>
      <c r="AK749" s="64">
        <f>IF(BO749=1,IF(AI749&lt;=0,0,BP749*MAX(1,IF(G749&gt;0,AI749/G749,1))),AJ749*Q749)</f>
        <v/>
      </c>
      <c r="AL749" s="55">
        <f>AI749*F749</f>
        <v/>
      </c>
      <c r="AM749" s="55">
        <f>ROUNDUP(MAX(I749/IF(BS749&gt;0,BS749,MAX(0.1,N(Cockpit!$I$6))),BV749)/BN749,0)*BN749</f>
        <v/>
      </c>
      <c r="AN749" s="56">
        <f>IF(AK749&gt;0,I749/AK749,-1)</f>
        <v/>
      </c>
      <c r="AO749" s="56">
        <f>IF(AND(OR(BR749="L1",BR749="L23"),AK749&gt;0),SUMIFS($AK$7:$AK$1570,$BR$7:$BR$1570,BR749,$AN$7:$AN$1570,"&gt;"&amp;AN749)+SUMIFS($AK$7:$AK$1570,$BR$7:$BR$1570,BR749,$AN$7:$AN$1570,AN749,$BL$7:$BL$1570,"&lt;="&amp;BL749),"")</f>
        <v/>
      </c>
      <c r="AP749" s="65">
        <f>IF(AO749="",0,MAX(0,MIN(1,(IF(BR749="L1",Parameter!$K$5,Parameter!$K$6+Parameter!$K$7)-(AO749-AK749))/AK749)))</f>
        <v/>
      </c>
      <c r="AQ749" s="55">
        <f>IF(LEFT(Cockpit!$O$5,1)="A",G749,IF(BT749=1,BU749,IF(LEFT(Cockpit!$O$5,1)="B",AU749,MAX(AU749,G749))))</f>
        <v/>
      </c>
      <c r="AR749" s="55">
        <f>IF(BO749=1,0,ROUNDUP(AQ749/BN749,0))</f>
        <v/>
      </c>
      <c r="AS749" s="64">
        <f>IF(BO749=1,IF(AQ749&lt;=0,0,BP749*MAX(1,IF(G749&gt;0,AQ749/G749,1))),AR749*Q749)</f>
        <v/>
      </c>
      <c r="AT749" s="55">
        <f>AQ749*F749</f>
        <v/>
      </c>
      <c r="AU749" s="55">
        <f>ROUNDUP(MAX(I749/IF(BS749&gt;0,BS749,MAX(0.1,N(Cockpit!$O$6))),BV749)/BN749,0)*BN749</f>
        <v/>
      </c>
      <c r="AV749" s="56">
        <f>IF(AS749&gt;0,I749/AS749,-1)</f>
        <v/>
      </c>
      <c r="AW749" s="56">
        <f>IF(AND(OR(BR749="L1",BR749="L23"),AS749&gt;0),SUMIFS($AS$7:$AS$1570,$BR$7:$BR$1570,BR749,$AV$7:$AV$1570,"&gt;"&amp;AV749)+SUMIFS($AS$7:$AS$1570,$BR$7:$BR$1570,BR749,$AV$7:$AV$1570,AV749,$BL$7:$BL$1570,"&lt;="&amp;BL749),"")</f>
        <v/>
      </c>
      <c r="AX749" s="65">
        <f>IF(AW749="",0,MAX(0,MIN(1,(IF(BR749="L1",Parameter!$K$5,Parameter!$K$6+Parameter!$K$7)-(AW749-AS749))/AS749)))</f>
        <v/>
      </c>
      <c r="AY749" s="53">
        <f>IF(AC749&lt;=0,"",IF(BR749="Aussen","Aussenlager",IF(BR749="-","Nicht im Lift",IF(AH749&gt;=1,"Lift",IF(AH749&lt;=0,"Aussenlager","teilweise")))))</f>
        <v/>
      </c>
      <c r="AZ749" s="53">
        <f>IF(AK749&lt;=0,"",IF(BR749="Aussen","Aussenlager",IF(BR749="-","Nicht im Lift",IF(AP749&gt;=1,"Lift",IF(AP749&lt;=0,"Aussenlager","teilweise")))))</f>
        <v/>
      </c>
      <c r="BA749" s="53">
        <f>IF(AS749&lt;=0,"",IF(BR749="Aussen","Aussenlager",IF(BR749="-","Nicht im Lift",IF(AX749&gt;=1,"Lift",IF(AX749&lt;=0,"Aussenlager","teilweise")))))</f>
        <v/>
      </c>
      <c r="BB749" s="53">
        <f>IF(A749="","",IF(BK749=1,"Neu; ","")&amp;IF(AND(BK749=0,BF749&lt;0),"negativer Bestand (Export "&amp;BF749&amp;"); ","")&amp;IF(I749&lt;=0,"Kein Verbrauch; ","")&amp;IF(BO749=1,"Lose – Fläche geschätzt; ","")&amp;IF(G749&gt;AM749,"Überbestand "&amp;ROUND(G749-AM749,0)&amp;" Stk / CHF "&amp;ROUND((G749-AM749)*F749,0)&amp;"; ","")&amp;IF(AND(BT749=1,BU749&lt;BV749),"MAX &lt; MB+LG; ","")&amp;IF(AND(BZ749&gt;0,BY749*10&gt;BZ749),"zu hoch für Tablar; ","")&amp;IF(AND(BK749=0,OR(BT749=1,V749&lt;&gt;"",S749&lt;&gt;"",T749&lt;&gt;"",W749&lt;&gt;"")),"manuell übersteuert; ","")&amp;IF(AND(BO749=0,Q749=0),"Gebinde unbekannt; ","")&amp;IF(AND(BO749=0,N(T749)&lt;=0,N(P749)&lt;=0),"Menge pro Gebinde fehlt (Ist = 1 Gebinde); ","")&amp;BJ749)</f>
        <v/>
      </c>
      <c r="BC749" s="53" t="n"/>
      <c r="BD749" s="53" t="n"/>
      <c r="BE749" s="61" t="n"/>
      <c r="BF749" s="55" t="n">
        <v>-7</v>
      </c>
      <c r="BG749" s="55" t="n">
        <v>14</v>
      </c>
      <c r="BH749" s="54" t="n">
        <v>-0.07000000000000001</v>
      </c>
      <c r="BI749" s="55" t="n">
        <v>7</v>
      </c>
      <c r="BJ749" s="53" t="inlineStr"/>
      <c r="BK749" s="58" t="n">
        <v>0</v>
      </c>
      <c r="BL749" s="58" t="n">
        <v>749</v>
      </c>
      <c r="BM749" s="53">
        <f>IF(S749&lt;&gt;"",UPPER(TRIM(S749)),IF(O749="","LOSE",O749))</f>
        <v/>
      </c>
      <c r="BN749" s="55">
        <f>IF(BM749="LOSE",1,IF(N(T749)&gt;0,T749,IF(N(P749)&gt;0,P749,MAX(1,G749))))</f>
        <v/>
      </c>
      <c r="BO749" s="58">
        <f>IF(BM749="LOSE",1,0)</f>
        <v/>
      </c>
      <c r="BP749" s="64">
        <f>IF(BO749=0,0,IF(N(R749)&gt;0,R749,IFERROR(VLOOKUP(D749,Parameter!$A$35:$C$64,3,0)+0,0)))</f>
        <v/>
      </c>
      <c r="BQ749" s="53">
        <f>IF(V749&lt;&gt;"",V749,U749)</f>
        <v/>
      </c>
      <c r="BR749" s="53">
        <f>IF(BQ749=1,"L1",IF(OR(BQ749=2,BQ749=3),"L23",IF(BQ749="Aussen","Aussen","-")))</f>
        <v/>
      </c>
      <c r="BS749" s="66">
        <f>IF(N(W749)&gt;0,W749,0)</f>
        <v/>
      </c>
      <c r="BT749" s="58">
        <f>IF(ISNUMBER(Z749),1,0)</f>
        <v/>
      </c>
      <c r="BU749" s="55">
        <f>N(Z749)</f>
        <v/>
      </c>
      <c r="BV749" s="55">
        <f>N(L749)+N(M749)</f>
        <v/>
      </c>
      <c r="BW749" s="55">
        <f>ROUNDUP(G749/BN749,0)</f>
        <v/>
      </c>
      <c r="BX749" s="55">
        <f>ROUNDUP(BU749/BN749,0)</f>
        <v/>
      </c>
      <c r="BY749" s="58">
        <f>IF(BO749=1,0,IFERROR(VLOOKUP(BM749,'Gebinde-Kategorie'!$A$5:$G$45,5,0)+0,0))</f>
        <v/>
      </c>
      <c r="BZ749" s="58">
        <f>IFERROR(IF(OR(BQ749=1,BQ749=2,BQ749=3),N(INDEX(Parameter!$I$5:$I$7,BQ749)),0),0)</f>
        <v/>
      </c>
    </row>
    <row r="750">
      <c r="A750" s="53" t="inlineStr">
        <is>
          <t>110028</t>
        </is>
      </c>
      <c r="B750" s="53" t="inlineStr">
        <is>
          <t>Service Checklist SPGr10 SVC2</t>
        </is>
      </c>
      <c r="C750" s="53" t="inlineStr">
        <is>
          <t>G</t>
        </is>
      </c>
      <c r="D750" s="53" t="inlineStr">
        <is>
          <t>PAL</t>
        </is>
      </c>
      <c r="E750" s="53" t="inlineStr">
        <is>
          <t>C</t>
        </is>
      </c>
      <c r="F750" s="54" t="n">
        <v>0.01</v>
      </c>
      <c r="G750" s="55">
        <f>MAX(0,IF(Parameter!$B$20="Jahresanfang 2025 + Export",BG750+BF750,BF750))</f>
        <v/>
      </c>
      <c r="H750" s="55">
        <f>G750*F750</f>
        <v/>
      </c>
      <c r="I750" s="55">
        <f>BI750*Parameter!$B$18</f>
        <v/>
      </c>
      <c r="J750" s="56" t="n">
        <v>53.5</v>
      </c>
      <c r="K750" s="57" t="n">
        <v>0</v>
      </c>
      <c r="L750" s="55" t="n">
        <v>0</v>
      </c>
      <c r="M750" s="55" t="n">
        <v>20</v>
      </c>
      <c r="N750" s="58" t="n">
        <v>90</v>
      </c>
      <c r="O750" s="53" t="inlineStr">
        <is>
          <t>LOSE</t>
        </is>
      </c>
      <c r="P750" s="55" t="n"/>
      <c r="Q750" s="59">
        <f>IF(BO750=1,0,IFERROR(VLOOKUP(BM750,'Gebinde-Kategorie'!$A$5:$G$45,6,0)+0,0))</f>
        <v/>
      </c>
      <c r="R750" s="60" t="n"/>
      <c r="S750" s="61" t="n"/>
      <c r="T750" s="61" t="n"/>
      <c r="U750" s="53">
        <f>IF(A750="","",IF(IFERROR(VLOOKUP(D750,Parameter!$A$35:$C$64,2,0),"Nein")="2+3",IF(ISNUMBER(SEARCH("grosser Artikel",BJ750)),2,IFERROR(VLOOKUP(BM750,Parameter!$F$35:$G$64,2,0),2)),IF(OR(IFERROR(VLOOKUP(D750,Parameter!$A$35:$C$64,2,0),"Nein")="Nein",IFERROR(VLOOKUP(D750,Parameter!$A$35:$C$64,2,0),"Nein")=""),"-",VLOOKUP(D750,Parameter!$A$35:$C$64,2,0))))</f>
        <v/>
      </c>
      <c r="V750" s="61" t="n"/>
      <c r="W750" s="62" t="n"/>
      <c r="X750" s="55">
        <f>AM750</f>
        <v/>
      </c>
      <c r="Y750" s="55">
        <f>MAX(AM750,G750)</f>
        <v/>
      </c>
      <c r="Z750" s="63" t="n"/>
      <c r="AA750" s="55">
        <f>IF(LEFT(Cockpit!$C$5,1)="A",G750,IF(BT750=1,BU750,IF(LEFT(Cockpit!$C$5,1)="B",AE750,MAX(AE750,G750))))</f>
        <v/>
      </c>
      <c r="AB750" s="55">
        <f>IF(BO750=1,0,ROUNDUP(AA750/BN750,0))</f>
        <v/>
      </c>
      <c r="AC750" s="64">
        <f>IF(BO750=1,IF(AA750&lt;=0,0,BP750*MAX(1,IF(G750&gt;0,AA750/G750,1))),AB750*Q750)</f>
        <v/>
      </c>
      <c r="AD750" s="55">
        <f>AA750*F750</f>
        <v/>
      </c>
      <c r="AE750" s="55">
        <f>ROUNDUP(MAX(I750/IF(BS750&gt;0,BS750,MAX(0.1,N(Cockpit!$C$6))),BV750)/BN750,0)*BN750</f>
        <v/>
      </c>
      <c r="AF750" s="56">
        <f>IF(AC750&gt;0,I750/AC750,-1)</f>
        <v/>
      </c>
      <c r="AG750" s="56">
        <f>IF(AND(OR(BR750="L1",BR750="L23"),AC750&gt;0),SUMIFS($AC$7:$AC$1570,$BR$7:$BR$1570,BR750,$AF$7:$AF$1570,"&gt;"&amp;AF750)+SUMIFS($AC$7:$AC$1570,$BR$7:$BR$1570,BR750,$AF$7:$AF$1570,AF750,$BL$7:$BL$1570,"&lt;="&amp;BL750),"")</f>
        <v/>
      </c>
      <c r="AH750" s="65">
        <f>IF(AG750="",0,MAX(0,MIN(1,(IF(BR750="L1",Parameter!$K$5,Parameter!$K$6+Parameter!$K$7)-(AG750-AC750))/AC750)))</f>
        <v/>
      </c>
      <c r="AI750" s="55">
        <f>IF(LEFT(Cockpit!$I$5,1)="A",G750,IF(BT750=1,BU750,IF(LEFT(Cockpit!$I$5,1)="B",AM750,MAX(AM750,G750))))</f>
        <v/>
      </c>
      <c r="AJ750" s="55">
        <f>IF(BO750=1,0,ROUNDUP(AI750/BN750,0))</f>
        <v/>
      </c>
      <c r="AK750" s="64">
        <f>IF(BO750=1,IF(AI750&lt;=0,0,BP750*MAX(1,IF(G750&gt;0,AI750/G750,1))),AJ750*Q750)</f>
        <v/>
      </c>
      <c r="AL750" s="55">
        <f>AI750*F750</f>
        <v/>
      </c>
      <c r="AM750" s="55">
        <f>ROUNDUP(MAX(I750/IF(BS750&gt;0,BS750,MAX(0.1,N(Cockpit!$I$6))),BV750)/BN750,0)*BN750</f>
        <v/>
      </c>
      <c r="AN750" s="56">
        <f>IF(AK750&gt;0,I750/AK750,-1)</f>
        <v/>
      </c>
      <c r="AO750" s="56">
        <f>IF(AND(OR(BR750="L1",BR750="L23"),AK750&gt;0),SUMIFS($AK$7:$AK$1570,$BR$7:$BR$1570,BR750,$AN$7:$AN$1570,"&gt;"&amp;AN750)+SUMIFS($AK$7:$AK$1570,$BR$7:$BR$1570,BR750,$AN$7:$AN$1570,AN750,$BL$7:$BL$1570,"&lt;="&amp;BL750),"")</f>
        <v/>
      </c>
      <c r="AP750" s="65">
        <f>IF(AO750="",0,MAX(0,MIN(1,(IF(BR750="L1",Parameter!$K$5,Parameter!$K$6+Parameter!$K$7)-(AO750-AK750))/AK750)))</f>
        <v/>
      </c>
      <c r="AQ750" s="55">
        <f>IF(LEFT(Cockpit!$O$5,1)="A",G750,IF(BT750=1,BU750,IF(LEFT(Cockpit!$O$5,1)="B",AU750,MAX(AU750,G750))))</f>
        <v/>
      </c>
      <c r="AR750" s="55">
        <f>IF(BO750=1,0,ROUNDUP(AQ750/BN750,0))</f>
        <v/>
      </c>
      <c r="AS750" s="64">
        <f>IF(BO750=1,IF(AQ750&lt;=0,0,BP750*MAX(1,IF(G750&gt;0,AQ750/G750,1))),AR750*Q750)</f>
        <v/>
      </c>
      <c r="AT750" s="55">
        <f>AQ750*F750</f>
        <v/>
      </c>
      <c r="AU750" s="55">
        <f>ROUNDUP(MAX(I750/IF(BS750&gt;0,BS750,MAX(0.1,N(Cockpit!$O$6))),BV750)/BN750,0)*BN750</f>
        <v/>
      </c>
      <c r="AV750" s="56">
        <f>IF(AS750&gt;0,I750/AS750,-1)</f>
        <v/>
      </c>
      <c r="AW750" s="56">
        <f>IF(AND(OR(BR750="L1",BR750="L23"),AS750&gt;0),SUMIFS($AS$7:$AS$1570,$BR$7:$BR$1570,BR750,$AV$7:$AV$1570,"&gt;"&amp;AV750)+SUMIFS($AS$7:$AS$1570,$BR$7:$BR$1570,BR750,$AV$7:$AV$1570,AV750,$BL$7:$BL$1570,"&lt;="&amp;BL750),"")</f>
        <v/>
      </c>
      <c r="AX750" s="65">
        <f>IF(AW750="",0,MAX(0,MIN(1,(IF(BR750="L1",Parameter!$K$5,Parameter!$K$6+Parameter!$K$7)-(AW750-AS750))/AS750)))</f>
        <v/>
      </c>
      <c r="AY750" s="53">
        <f>IF(AC750&lt;=0,"",IF(BR750="Aussen","Aussenlager",IF(BR750="-","Nicht im Lift",IF(AH750&gt;=1,"Lift",IF(AH750&lt;=0,"Aussenlager","teilweise")))))</f>
        <v/>
      </c>
      <c r="AZ750" s="53">
        <f>IF(AK750&lt;=0,"",IF(BR750="Aussen","Aussenlager",IF(BR750="-","Nicht im Lift",IF(AP750&gt;=1,"Lift",IF(AP750&lt;=0,"Aussenlager","teilweise")))))</f>
        <v/>
      </c>
      <c r="BA750" s="53">
        <f>IF(AS750&lt;=0,"",IF(BR750="Aussen","Aussenlager",IF(BR750="-","Nicht im Lift",IF(AX750&gt;=1,"Lift",IF(AX750&lt;=0,"Aussenlager","teilweise")))))</f>
        <v/>
      </c>
      <c r="BB750" s="53">
        <f>IF(A750="","",IF(BK750=1,"Neu; ","")&amp;IF(AND(BK750=0,BF750&lt;0),"negativer Bestand (Export "&amp;BF750&amp;"); ","")&amp;IF(I750&lt;=0,"Kein Verbrauch; ","")&amp;IF(BO750=1,"Lose – Fläche geschätzt; ","")&amp;IF(G750&gt;AM750,"Überbestand "&amp;ROUND(G750-AM750,0)&amp;" Stk / CHF "&amp;ROUND((G750-AM750)*F750,0)&amp;"; ","")&amp;IF(AND(BT750=1,BU750&lt;BV750),"MAX &lt; MB+LG; ","")&amp;IF(AND(BZ750&gt;0,BY750*10&gt;BZ750),"zu hoch für Tablar; ","")&amp;IF(AND(BK750=0,OR(BT750=1,V750&lt;&gt;"",S750&lt;&gt;"",T750&lt;&gt;"",W750&lt;&gt;"")),"manuell übersteuert; ","")&amp;IF(AND(BO750=0,Q750=0),"Gebinde unbekannt; ","")&amp;IF(AND(BO750=0,N(T750)&lt;=0,N(P750)&lt;=0),"Menge pro Gebinde fehlt (Ist = 1 Gebinde); ","")&amp;BJ750)</f>
        <v/>
      </c>
      <c r="BC750" s="53" t="n"/>
      <c r="BD750" s="53" t="n"/>
      <c r="BE750" s="61" t="n"/>
      <c r="BF750" s="55" t="n">
        <v>-7</v>
      </c>
      <c r="BG750" s="55" t="n">
        <v>7</v>
      </c>
      <c r="BH750" s="54" t="n">
        <v>-0.07000000000000006</v>
      </c>
      <c r="BI750" s="55" t="n">
        <v>0</v>
      </c>
      <c r="BJ750" s="53" t="inlineStr"/>
      <c r="BK750" s="58" t="n">
        <v>0</v>
      </c>
      <c r="BL750" s="58" t="n">
        <v>750</v>
      </c>
      <c r="BM750" s="53">
        <f>IF(S750&lt;&gt;"",UPPER(TRIM(S750)),IF(O750="","LOSE",O750))</f>
        <v/>
      </c>
      <c r="BN750" s="55">
        <f>IF(BM750="LOSE",1,IF(N(T750)&gt;0,T750,IF(N(P750)&gt;0,P750,MAX(1,G750))))</f>
        <v/>
      </c>
      <c r="BO750" s="58">
        <f>IF(BM750="LOSE",1,0)</f>
        <v/>
      </c>
      <c r="BP750" s="64">
        <f>IF(BO750=0,0,IF(N(R750)&gt;0,R750,IFERROR(VLOOKUP(D750,Parameter!$A$35:$C$64,3,0)+0,0)))</f>
        <v/>
      </c>
      <c r="BQ750" s="53">
        <f>IF(V750&lt;&gt;"",V750,U750)</f>
        <v/>
      </c>
      <c r="BR750" s="53">
        <f>IF(BQ750=1,"L1",IF(OR(BQ750=2,BQ750=3),"L23",IF(BQ750="Aussen","Aussen","-")))</f>
        <v/>
      </c>
      <c r="BS750" s="66">
        <f>IF(N(W750)&gt;0,W750,0)</f>
        <v/>
      </c>
      <c r="BT750" s="58">
        <f>IF(ISNUMBER(Z750),1,0)</f>
        <v/>
      </c>
      <c r="BU750" s="55">
        <f>N(Z750)</f>
        <v/>
      </c>
      <c r="BV750" s="55">
        <f>N(L750)+N(M750)</f>
        <v/>
      </c>
      <c r="BW750" s="55">
        <f>ROUNDUP(G750/BN750,0)</f>
        <v/>
      </c>
      <c r="BX750" s="55">
        <f>ROUNDUP(BU750/BN750,0)</f>
        <v/>
      </c>
      <c r="BY750" s="58">
        <f>IF(BO750=1,0,IFERROR(VLOOKUP(BM750,'Gebinde-Kategorie'!$A$5:$G$45,5,0)+0,0))</f>
        <v/>
      </c>
      <c r="BZ750" s="58">
        <f>IFERROR(IF(OR(BQ750=1,BQ750=2,BQ750=3),N(INDEX(Parameter!$I$5:$I$7,BQ750)),0),0)</f>
        <v/>
      </c>
    </row>
    <row r="751">
      <c r="A751" s="53" t="inlineStr">
        <is>
          <t>109967</t>
        </is>
      </c>
      <c r="B751" s="53" t="inlineStr">
        <is>
          <t>Handbuch Luftkompressor AC260 IT</t>
        </is>
      </c>
      <c r="C751" s="53" t="inlineStr">
        <is>
          <t>G</t>
        </is>
      </c>
      <c r="D751" s="53" t="inlineStr">
        <is>
          <t>PAL</t>
        </is>
      </c>
      <c r="E751" s="53" t="inlineStr">
        <is>
          <t>C</t>
        </is>
      </c>
      <c r="F751" s="54" t="n">
        <v>0.01</v>
      </c>
      <c r="G751" s="55">
        <f>MAX(0,IF(Parameter!$B$20="Jahresanfang 2025 + Export",BG751+BF751,BF751))</f>
        <v/>
      </c>
      <c r="H751" s="55">
        <f>G751*F751</f>
        <v/>
      </c>
      <c r="I751" s="55">
        <f>BI751*Parameter!$B$18</f>
        <v/>
      </c>
      <c r="J751" s="56" t="n">
        <v>9</v>
      </c>
      <c r="K751" s="57" t="n">
        <v>1</v>
      </c>
      <c r="L751" s="55" t="n">
        <v>0</v>
      </c>
      <c r="M751" s="55" t="n">
        <v>10</v>
      </c>
      <c r="N751" s="58" t="n">
        <v>90</v>
      </c>
      <c r="O751" s="53" t="inlineStr">
        <is>
          <t>LOSE</t>
        </is>
      </c>
      <c r="P751" s="55" t="n"/>
      <c r="Q751" s="59">
        <f>IF(BO751=1,0,IFERROR(VLOOKUP(BM751,'Gebinde-Kategorie'!$A$5:$G$45,6,0)+0,0))</f>
        <v/>
      </c>
      <c r="R751" s="60" t="n"/>
      <c r="S751" s="61" t="n"/>
      <c r="T751" s="61" t="n"/>
      <c r="U751" s="53">
        <f>IF(A751="","",IF(IFERROR(VLOOKUP(D751,Parameter!$A$35:$C$64,2,0),"Nein")="2+3",IF(ISNUMBER(SEARCH("grosser Artikel",BJ751)),2,IFERROR(VLOOKUP(BM751,Parameter!$F$35:$G$64,2,0),2)),IF(OR(IFERROR(VLOOKUP(D751,Parameter!$A$35:$C$64,2,0),"Nein")="Nein",IFERROR(VLOOKUP(D751,Parameter!$A$35:$C$64,2,0),"Nein")=""),"-",VLOOKUP(D751,Parameter!$A$35:$C$64,2,0))))</f>
        <v/>
      </c>
      <c r="V751" s="61" t="n"/>
      <c r="W751" s="62" t="n"/>
      <c r="X751" s="55">
        <f>AM751</f>
        <v/>
      </c>
      <c r="Y751" s="55">
        <f>MAX(AM751,G751)</f>
        <v/>
      </c>
      <c r="Z751" s="63" t="n"/>
      <c r="AA751" s="55">
        <f>IF(LEFT(Cockpit!$C$5,1)="A",G751,IF(BT751=1,BU751,IF(LEFT(Cockpit!$C$5,1)="B",AE751,MAX(AE751,G751))))</f>
        <v/>
      </c>
      <c r="AB751" s="55">
        <f>IF(BO751=1,0,ROUNDUP(AA751/BN751,0))</f>
        <v/>
      </c>
      <c r="AC751" s="64">
        <f>IF(BO751=1,IF(AA751&lt;=0,0,BP751*MAX(1,IF(G751&gt;0,AA751/G751,1))),AB751*Q751)</f>
        <v/>
      </c>
      <c r="AD751" s="55">
        <f>AA751*F751</f>
        <v/>
      </c>
      <c r="AE751" s="55">
        <f>ROUNDUP(MAX(I751/IF(BS751&gt;0,BS751,MAX(0.1,N(Cockpit!$C$6))),BV751)/BN751,0)*BN751</f>
        <v/>
      </c>
      <c r="AF751" s="56">
        <f>IF(AC751&gt;0,I751/AC751,-1)</f>
        <v/>
      </c>
      <c r="AG751" s="56">
        <f>IF(AND(OR(BR751="L1",BR751="L23"),AC751&gt;0),SUMIFS($AC$7:$AC$1570,$BR$7:$BR$1570,BR751,$AF$7:$AF$1570,"&gt;"&amp;AF751)+SUMIFS($AC$7:$AC$1570,$BR$7:$BR$1570,BR751,$AF$7:$AF$1570,AF751,$BL$7:$BL$1570,"&lt;="&amp;BL751),"")</f>
        <v/>
      </c>
      <c r="AH751" s="65">
        <f>IF(AG751="",0,MAX(0,MIN(1,(IF(BR751="L1",Parameter!$K$5,Parameter!$K$6+Parameter!$K$7)-(AG751-AC751))/AC751)))</f>
        <v/>
      </c>
      <c r="AI751" s="55">
        <f>IF(LEFT(Cockpit!$I$5,1)="A",G751,IF(BT751=1,BU751,IF(LEFT(Cockpit!$I$5,1)="B",AM751,MAX(AM751,G751))))</f>
        <v/>
      </c>
      <c r="AJ751" s="55">
        <f>IF(BO751=1,0,ROUNDUP(AI751/BN751,0))</f>
        <v/>
      </c>
      <c r="AK751" s="64">
        <f>IF(BO751=1,IF(AI751&lt;=0,0,BP751*MAX(1,IF(G751&gt;0,AI751/G751,1))),AJ751*Q751)</f>
        <v/>
      </c>
      <c r="AL751" s="55">
        <f>AI751*F751</f>
        <v/>
      </c>
      <c r="AM751" s="55">
        <f>ROUNDUP(MAX(I751/IF(BS751&gt;0,BS751,MAX(0.1,N(Cockpit!$I$6))),BV751)/BN751,0)*BN751</f>
        <v/>
      </c>
      <c r="AN751" s="56">
        <f>IF(AK751&gt;0,I751/AK751,-1)</f>
        <v/>
      </c>
      <c r="AO751" s="56">
        <f>IF(AND(OR(BR751="L1",BR751="L23"),AK751&gt;0),SUMIFS($AK$7:$AK$1570,$BR$7:$BR$1570,BR751,$AN$7:$AN$1570,"&gt;"&amp;AN751)+SUMIFS($AK$7:$AK$1570,$BR$7:$BR$1570,BR751,$AN$7:$AN$1570,AN751,$BL$7:$BL$1570,"&lt;="&amp;BL751),"")</f>
        <v/>
      </c>
      <c r="AP751" s="65">
        <f>IF(AO751="",0,MAX(0,MIN(1,(IF(BR751="L1",Parameter!$K$5,Parameter!$K$6+Parameter!$K$7)-(AO751-AK751))/AK751)))</f>
        <v/>
      </c>
      <c r="AQ751" s="55">
        <f>IF(LEFT(Cockpit!$O$5,1)="A",G751,IF(BT751=1,BU751,IF(LEFT(Cockpit!$O$5,1)="B",AU751,MAX(AU751,G751))))</f>
        <v/>
      </c>
      <c r="AR751" s="55">
        <f>IF(BO751=1,0,ROUNDUP(AQ751/BN751,0))</f>
        <v/>
      </c>
      <c r="AS751" s="64">
        <f>IF(BO751=1,IF(AQ751&lt;=0,0,BP751*MAX(1,IF(G751&gt;0,AQ751/G751,1))),AR751*Q751)</f>
        <v/>
      </c>
      <c r="AT751" s="55">
        <f>AQ751*F751</f>
        <v/>
      </c>
      <c r="AU751" s="55">
        <f>ROUNDUP(MAX(I751/IF(BS751&gt;0,BS751,MAX(0.1,N(Cockpit!$O$6))),BV751)/BN751,0)*BN751</f>
        <v/>
      </c>
      <c r="AV751" s="56">
        <f>IF(AS751&gt;0,I751/AS751,-1)</f>
        <v/>
      </c>
      <c r="AW751" s="56">
        <f>IF(AND(OR(BR751="L1",BR751="L23"),AS751&gt;0),SUMIFS($AS$7:$AS$1570,$BR$7:$BR$1570,BR751,$AV$7:$AV$1570,"&gt;"&amp;AV751)+SUMIFS($AS$7:$AS$1570,$BR$7:$BR$1570,BR751,$AV$7:$AV$1570,AV751,$BL$7:$BL$1570,"&lt;="&amp;BL751),"")</f>
        <v/>
      </c>
      <c r="AX751" s="65">
        <f>IF(AW751="",0,MAX(0,MIN(1,(IF(BR751="L1",Parameter!$K$5,Parameter!$K$6+Parameter!$K$7)-(AW751-AS751))/AS751)))</f>
        <v/>
      </c>
      <c r="AY751" s="53">
        <f>IF(AC751&lt;=0,"",IF(BR751="Aussen","Aussenlager",IF(BR751="-","Nicht im Lift",IF(AH751&gt;=1,"Lift",IF(AH751&lt;=0,"Aussenlager","teilweise")))))</f>
        <v/>
      </c>
      <c r="AZ751" s="53">
        <f>IF(AK751&lt;=0,"",IF(BR751="Aussen","Aussenlager",IF(BR751="-","Nicht im Lift",IF(AP751&gt;=1,"Lift",IF(AP751&lt;=0,"Aussenlager","teilweise")))))</f>
        <v/>
      </c>
      <c r="BA751" s="53">
        <f>IF(AS751&lt;=0,"",IF(BR751="Aussen","Aussenlager",IF(BR751="-","Nicht im Lift",IF(AX751&gt;=1,"Lift",IF(AX751&lt;=0,"Aussenlager","teilweise")))))</f>
        <v/>
      </c>
      <c r="BB751" s="53">
        <f>IF(A751="","",IF(BK751=1,"Neu; ","")&amp;IF(AND(BK751=0,BF751&lt;0),"negativer Bestand (Export "&amp;BF751&amp;"); ","")&amp;IF(I751&lt;=0,"Kein Verbrauch; ","")&amp;IF(BO751=1,"Lose – Fläche geschätzt; ","")&amp;IF(G751&gt;AM751,"Überbestand "&amp;ROUND(G751-AM751,0)&amp;" Stk / CHF "&amp;ROUND((G751-AM751)*F751,0)&amp;"; ","")&amp;IF(AND(BT751=1,BU751&lt;BV751),"MAX &lt; MB+LG; ","")&amp;IF(AND(BZ751&gt;0,BY751*10&gt;BZ751),"zu hoch für Tablar; ","")&amp;IF(AND(BK751=0,OR(BT751=1,V751&lt;&gt;"",S751&lt;&gt;"",T751&lt;&gt;"",W751&lt;&gt;"")),"manuell übersteuert; ","")&amp;IF(AND(BO751=0,Q751=0),"Gebinde unbekannt; ","")&amp;IF(AND(BO751=0,N(T751)&lt;=0,N(P751)&lt;=0),"Menge pro Gebinde fehlt (Ist = 1 Gebinde); ","")&amp;BJ751)</f>
        <v/>
      </c>
      <c r="BC751" s="53" t="n"/>
      <c r="BD751" s="53" t="n"/>
      <c r="BE751" s="61" t="n"/>
      <c r="BF751" s="55" t="n">
        <v>-9</v>
      </c>
      <c r="BG751" s="55" t="n">
        <v>18</v>
      </c>
      <c r="BH751" s="54" t="n">
        <v>-0.09</v>
      </c>
      <c r="BI751" s="55" t="n">
        <v>9</v>
      </c>
      <c r="BJ751" s="53" t="inlineStr"/>
      <c r="BK751" s="58" t="n">
        <v>0</v>
      </c>
      <c r="BL751" s="58" t="n">
        <v>751</v>
      </c>
      <c r="BM751" s="53">
        <f>IF(S751&lt;&gt;"",UPPER(TRIM(S751)),IF(O751="","LOSE",O751))</f>
        <v/>
      </c>
      <c r="BN751" s="55">
        <f>IF(BM751="LOSE",1,IF(N(T751)&gt;0,T751,IF(N(P751)&gt;0,P751,MAX(1,G751))))</f>
        <v/>
      </c>
      <c r="BO751" s="58">
        <f>IF(BM751="LOSE",1,0)</f>
        <v/>
      </c>
      <c r="BP751" s="64">
        <f>IF(BO751=0,0,IF(N(R751)&gt;0,R751,IFERROR(VLOOKUP(D751,Parameter!$A$35:$C$64,3,0)+0,0)))</f>
        <v/>
      </c>
      <c r="BQ751" s="53">
        <f>IF(V751&lt;&gt;"",V751,U751)</f>
        <v/>
      </c>
      <c r="BR751" s="53">
        <f>IF(BQ751=1,"L1",IF(OR(BQ751=2,BQ751=3),"L23",IF(BQ751="Aussen","Aussen","-")))</f>
        <v/>
      </c>
      <c r="BS751" s="66">
        <f>IF(N(W751)&gt;0,W751,0)</f>
        <v/>
      </c>
      <c r="BT751" s="58">
        <f>IF(ISNUMBER(Z751),1,0)</f>
        <v/>
      </c>
      <c r="BU751" s="55">
        <f>N(Z751)</f>
        <v/>
      </c>
      <c r="BV751" s="55">
        <f>N(L751)+N(M751)</f>
        <v/>
      </c>
      <c r="BW751" s="55">
        <f>ROUNDUP(G751/BN751,0)</f>
        <v/>
      </c>
      <c r="BX751" s="55">
        <f>ROUNDUP(BU751/BN751,0)</f>
        <v/>
      </c>
      <c r="BY751" s="58">
        <f>IF(BO751=1,0,IFERROR(VLOOKUP(BM751,'Gebinde-Kategorie'!$A$5:$G$45,5,0)+0,0))</f>
        <v/>
      </c>
      <c r="BZ751" s="58">
        <f>IFERROR(IF(OR(BQ751=1,BQ751=2,BQ751=3),N(INDEX(Parameter!$I$5:$I$7,BQ751)),0),0)</f>
        <v/>
      </c>
    </row>
    <row r="752">
      <c r="A752" s="53" t="inlineStr">
        <is>
          <t>109970</t>
        </is>
      </c>
      <c r="B752" s="53" t="inlineStr">
        <is>
          <t>Handbuch Luftkompressor AC260 EN</t>
        </is>
      </c>
      <c r="C752" s="53" t="inlineStr">
        <is>
          <t>G</t>
        </is>
      </c>
      <c r="D752" s="53" t="inlineStr">
        <is>
          <t>PAL</t>
        </is>
      </c>
      <c r="E752" s="53" t="inlineStr">
        <is>
          <t>C</t>
        </is>
      </c>
      <c r="F752" s="54" t="n">
        <v>0.01</v>
      </c>
      <c r="G752" s="55">
        <f>MAX(0,IF(Parameter!$B$20="Jahresanfang 2025 + Export",BG752+BF752,BF752))</f>
        <v/>
      </c>
      <c r="H752" s="55">
        <f>G752*F752</f>
        <v/>
      </c>
      <c r="I752" s="55">
        <f>BI752*Parameter!$B$18</f>
        <v/>
      </c>
      <c r="J752" s="56" t="n">
        <v>8</v>
      </c>
      <c r="K752" s="57" t="n">
        <v>1</v>
      </c>
      <c r="L752" s="55" t="n">
        <v>0</v>
      </c>
      <c r="M752" s="55" t="n">
        <v>10</v>
      </c>
      <c r="N752" s="58" t="n">
        <v>90</v>
      </c>
      <c r="O752" s="53" t="inlineStr">
        <is>
          <t>LOSE</t>
        </is>
      </c>
      <c r="P752" s="55" t="n"/>
      <c r="Q752" s="59">
        <f>IF(BO752=1,0,IFERROR(VLOOKUP(BM752,'Gebinde-Kategorie'!$A$5:$G$45,6,0)+0,0))</f>
        <v/>
      </c>
      <c r="R752" s="60" t="n"/>
      <c r="S752" s="61" t="n"/>
      <c r="T752" s="61" t="n"/>
      <c r="U752" s="53">
        <f>IF(A752="","",IF(IFERROR(VLOOKUP(D752,Parameter!$A$35:$C$64,2,0),"Nein")="2+3",IF(ISNUMBER(SEARCH("grosser Artikel",BJ752)),2,IFERROR(VLOOKUP(BM752,Parameter!$F$35:$G$64,2,0),2)),IF(OR(IFERROR(VLOOKUP(D752,Parameter!$A$35:$C$64,2,0),"Nein")="Nein",IFERROR(VLOOKUP(D752,Parameter!$A$35:$C$64,2,0),"Nein")=""),"-",VLOOKUP(D752,Parameter!$A$35:$C$64,2,0))))</f>
        <v/>
      </c>
      <c r="V752" s="61" t="n"/>
      <c r="W752" s="62" t="n"/>
      <c r="X752" s="55">
        <f>AM752</f>
        <v/>
      </c>
      <c r="Y752" s="55">
        <f>MAX(AM752,G752)</f>
        <v/>
      </c>
      <c r="Z752" s="63" t="n"/>
      <c r="AA752" s="55">
        <f>IF(LEFT(Cockpit!$C$5,1)="A",G752,IF(BT752=1,BU752,IF(LEFT(Cockpit!$C$5,1)="B",AE752,MAX(AE752,G752))))</f>
        <v/>
      </c>
      <c r="AB752" s="55">
        <f>IF(BO752=1,0,ROUNDUP(AA752/BN752,0))</f>
        <v/>
      </c>
      <c r="AC752" s="64">
        <f>IF(BO752=1,IF(AA752&lt;=0,0,BP752*MAX(1,IF(G752&gt;0,AA752/G752,1))),AB752*Q752)</f>
        <v/>
      </c>
      <c r="AD752" s="55">
        <f>AA752*F752</f>
        <v/>
      </c>
      <c r="AE752" s="55">
        <f>ROUNDUP(MAX(I752/IF(BS752&gt;0,BS752,MAX(0.1,N(Cockpit!$C$6))),BV752)/BN752,0)*BN752</f>
        <v/>
      </c>
      <c r="AF752" s="56">
        <f>IF(AC752&gt;0,I752/AC752,-1)</f>
        <v/>
      </c>
      <c r="AG752" s="56">
        <f>IF(AND(OR(BR752="L1",BR752="L23"),AC752&gt;0),SUMIFS($AC$7:$AC$1570,$BR$7:$BR$1570,BR752,$AF$7:$AF$1570,"&gt;"&amp;AF752)+SUMIFS($AC$7:$AC$1570,$BR$7:$BR$1570,BR752,$AF$7:$AF$1570,AF752,$BL$7:$BL$1570,"&lt;="&amp;BL752),"")</f>
        <v/>
      </c>
      <c r="AH752" s="65">
        <f>IF(AG752="",0,MAX(0,MIN(1,(IF(BR752="L1",Parameter!$K$5,Parameter!$K$6+Parameter!$K$7)-(AG752-AC752))/AC752)))</f>
        <v/>
      </c>
      <c r="AI752" s="55">
        <f>IF(LEFT(Cockpit!$I$5,1)="A",G752,IF(BT752=1,BU752,IF(LEFT(Cockpit!$I$5,1)="B",AM752,MAX(AM752,G752))))</f>
        <v/>
      </c>
      <c r="AJ752" s="55">
        <f>IF(BO752=1,0,ROUNDUP(AI752/BN752,0))</f>
        <v/>
      </c>
      <c r="AK752" s="64">
        <f>IF(BO752=1,IF(AI752&lt;=0,0,BP752*MAX(1,IF(G752&gt;0,AI752/G752,1))),AJ752*Q752)</f>
        <v/>
      </c>
      <c r="AL752" s="55">
        <f>AI752*F752</f>
        <v/>
      </c>
      <c r="AM752" s="55">
        <f>ROUNDUP(MAX(I752/IF(BS752&gt;0,BS752,MAX(0.1,N(Cockpit!$I$6))),BV752)/BN752,0)*BN752</f>
        <v/>
      </c>
      <c r="AN752" s="56">
        <f>IF(AK752&gt;0,I752/AK752,-1)</f>
        <v/>
      </c>
      <c r="AO752" s="56">
        <f>IF(AND(OR(BR752="L1",BR752="L23"),AK752&gt;0),SUMIFS($AK$7:$AK$1570,$BR$7:$BR$1570,BR752,$AN$7:$AN$1570,"&gt;"&amp;AN752)+SUMIFS($AK$7:$AK$1570,$BR$7:$BR$1570,BR752,$AN$7:$AN$1570,AN752,$BL$7:$BL$1570,"&lt;="&amp;BL752),"")</f>
        <v/>
      </c>
      <c r="AP752" s="65">
        <f>IF(AO752="",0,MAX(0,MIN(1,(IF(BR752="L1",Parameter!$K$5,Parameter!$K$6+Parameter!$K$7)-(AO752-AK752))/AK752)))</f>
        <v/>
      </c>
      <c r="AQ752" s="55">
        <f>IF(LEFT(Cockpit!$O$5,1)="A",G752,IF(BT752=1,BU752,IF(LEFT(Cockpit!$O$5,1)="B",AU752,MAX(AU752,G752))))</f>
        <v/>
      </c>
      <c r="AR752" s="55">
        <f>IF(BO752=1,0,ROUNDUP(AQ752/BN752,0))</f>
        <v/>
      </c>
      <c r="AS752" s="64">
        <f>IF(BO752=1,IF(AQ752&lt;=0,0,BP752*MAX(1,IF(G752&gt;0,AQ752/G752,1))),AR752*Q752)</f>
        <v/>
      </c>
      <c r="AT752" s="55">
        <f>AQ752*F752</f>
        <v/>
      </c>
      <c r="AU752" s="55">
        <f>ROUNDUP(MAX(I752/IF(BS752&gt;0,BS752,MAX(0.1,N(Cockpit!$O$6))),BV752)/BN752,0)*BN752</f>
        <v/>
      </c>
      <c r="AV752" s="56">
        <f>IF(AS752&gt;0,I752/AS752,-1)</f>
        <v/>
      </c>
      <c r="AW752" s="56">
        <f>IF(AND(OR(BR752="L1",BR752="L23"),AS752&gt;0),SUMIFS($AS$7:$AS$1570,$BR$7:$BR$1570,BR752,$AV$7:$AV$1570,"&gt;"&amp;AV752)+SUMIFS($AS$7:$AS$1570,$BR$7:$BR$1570,BR752,$AV$7:$AV$1570,AV752,$BL$7:$BL$1570,"&lt;="&amp;BL752),"")</f>
        <v/>
      </c>
      <c r="AX752" s="65">
        <f>IF(AW752="",0,MAX(0,MIN(1,(IF(BR752="L1",Parameter!$K$5,Parameter!$K$6+Parameter!$K$7)-(AW752-AS752))/AS752)))</f>
        <v/>
      </c>
      <c r="AY752" s="53">
        <f>IF(AC752&lt;=0,"",IF(BR752="Aussen","Aussenlager",IF(BR752="-","Nicht im Lift",IF(AH752&gt;=1,"Lift",IF(AH752&lt;=0,"Aussenlager","teilweise")))))</f>
        <v/>
      </c>
      <c r="AZ752" s="53">
        <f>IF(AK752&lt;=0,"",IF(BR752="Aussen","Aussenlager",IF(BR752="-","Nicht im Lift",IF(AP752&gt;=1,"Lift",IF(AP752&lt;=0,"Aussenlager","teilweise")))))</f>
        <v/>
      </c>
      <c r="BA752" s="53">
        <f>IF(AS752&lt;=0,"",IF(BR752="Aussen","Aussenlager",IF(BR752="-","Nicht im Lift",IF(AX752&gt;=1,"Lift",IF(AX752&lt;=0,"Aussenlager","teilweise")))))</f>
        <v/>
      </c>
      <c r="BB752" s="53">
        <f>IF(A752="","",IF(BK752=1,"Neu; ","")&amp;IF(AND(BK752=0,BF752&lt;0),"negativer Bestand (Export "&amp;BF752&amp;"); ","")&amp;IF(I752&lt;=0,"Kein Verbrauch; ","")&amp;IF(BO752=1,"Lose – Fläche geschätzt; ","")&amp;IF(G752&gt;AM752,"Überbestand "&amp;ROUND(G752-AM752,0)&amp;" Stk / CHF "&amp;ROUND((G752-AM752)*F752,0)&amp;"; ","")&amp;IF(AND(BT752=1,BU752&lt;BV752),"MAX &lt; MB+LG; ","")&amp;IF(AND(BZ752&gt;0,BY752*10&gt;BZ752),"zu hoch für Tablar; ","")&amp;IF(AND(BK752=0,OR(BT752=1,V752&lt;&gt;"",S752&lt;&gt;"",T752&lt;&gt;"",W752&lt;&gt;"")),"manuell übersteuert; ","")&amp;IF(AND(BO752=0,Q752=0),"Gebinde unbekannt; ","")&amp;IF(AND(BO752=0,N(T752)&lt;=0,N(P752)&lt;=0),"Menge pro Gebinde fehlt (Ist = 1 Gebinde); ","")&amp;BJ752)</f>
        <v/>
      </c>
      <c r="BC752" s="53" t="n"/>
      <c r="BD752" s="53" t="n"/>
      <c r="BE752" s="61" t="n"/>
      <c r="BF752" s="55" t="n">
        <v>-16</v>
      </c>
      <c r="BG752" s="55" t="n">
        <v>16</v>
      </c>
      <c r="BH752" s="54" t="n">
        <v>-0.16</v>
      </c>
      <c r="BI752" s="55" t="n">
        <v>8</v>
      </c>
      <c r="BJ752" s="53" t="inlineStr"/>
      <c r="BK752" s="58" t="n">
        <v>0</v>
      </c>
      <c r="BL752" s="58" t="n">
        <v>752</v>
      </c>
      <c r="BM752" s="53">
        <f>IF(S752&lt;&gt;"",UPPER(TRIM(S752)),IF(O752="","LOSE",O752))</f>
        <v/>
      </c>
      <c r="BN752" s="55">
        <f>IF(BM752="LOSE",1,IF(N(T752)&gt;0,T752,IF(N(P752)&gt;0,P752,MAX(1,G752))))</f>
        <v/>
      </c>
      <c r="BO752" s="58">
        <f>IF(BM752="LOSE",1,0)</f>
        <v/>
      </c>
      <c r="BP752" s="64">
        <f>IF(BO752=0,0,IF(N(R752)&gt;0,R752,IFERROR(VLOOKUP(D752,Parameter!$A$35:$C$64,3,0)+0,0)))</f>
        <v/>
      </c>
      <c r="BQ752" s="53">
        <f>IF(V752&lt;&gt;"",V752,U752)</f>
        <v/>
      </c>
      <c r="BR752" s="53">
        <f>IF(BQ752=1,"L1",IF(OR(BQ752=2,BQ752=3),"L23",IF(BQ752="Aussen","Aussen","-")))</f>
        <v/>
      </c>
      <c r="BS752" s="66">
        <f>IF(N(W752)&gt;0,W752,0)</f>
        <v/>
      </c>
      <c r="BT752" s="58">
        <f>IF(ISNUMBER(Z752),1,0)</f>
        <v/>
      </c>
      <c r="BU752" s="55">
        <f>N(Z752)</f>
        <v/>
      </c>
      <c r="BV752" s="55">
        <f>N(L752)+N(M752)</f>
        <v/>
      </c>
      <c r="BW752" s="55">
        <f>ROUNDUP(G752/BN752,0)</f>
        <v/>
      </c>
      <c r="BX752" s="55">
        <f>ROUNDUP(BU752/BN752,0)</f>
        <v/>
      </c>
      <c r="BY752" s="58">
        <f>IF(BO752=1,0,IFERROR(VLOOKUP(BM752,'Gebinde-Kategorie'!$A$5:$G$45,5,0)+0,0))</f>
        <v/>
      </c>
      <c r="BZ752" s="58">
        <f>IFERROR(IF(OR(BQ752=1,BQ752=2,BQ752=3),N(INDEX(Parameter!$I$5:$I$7,BQ752)),0),0)</f>
        <v/>
      </c>
    </row>
    <row r="753">
      <c r="A753" s="53" t="inlineStr">
        <is>
          <t>106485</t>
        </is>
      </c>
      <c r="B753" s="53" t="inlineStr">
        <is>
          <t>O-Ring</t>
        </is>
      </c>
      <c r="C753" s="53" t="inlineStr">
        <is>
          <t>F</t>
        </is>
      </c>
      <c r="D753" s="53" t="inlineStr">
        <is>
          <t>KTL</t>
        </is>
      </c>
      <c r="E753" s="53" t="inlineStr">
        <is>
          <t>C</t>
        </is>
      </c>
      <c r="F753" s="54" t="n">
        <v>0.2</v>
      </c>
      <c r="G753" s="55">
        <f>MAX(0,IF(Parameter!$B$20="Jahresanfang 2025 + Export",BG753+BF753,BF753))</f>
        <v/>
      </c>
      <c r="H753" s="55">
        <f>G753*F753</f>
        <v/>
      </c>
      <c r="I753" s="55">
        <f>BI753*Parameter!$B$18</f>
        <v/>
      </c>
      <c r="J753" s="56" t="n">
        <v>20.5</v>
      </c>
      <c r="K753" s="57" t="n">
        <v>0</v>
      </c>
      <c r="L753" s="55" t="n">
        <v>0</v>
      </c>
      <c r="M753" s="55" t="n">
        <v>1</v>
      </c>
      <c r="N753" s="58" t="n">
        <v>28</v>
      </c>
      <c r="O753" s="53" t="inlineStr">
        <is>
          <t>S21</t>
        </is>
      </c>
      <c r="P753" s="55" t="n">
        <v>39</v>
      </c>
      <c r="Q753" s="59">
        <f>IF(BO753=1,0,IFERROR(VLOOKUP(BM753,'Gebinde-Kategorie'!$A$5:$G$45,6,0)+0,0))</f>
        <v/>
      </c>
      <c r="R753" s="60" t="n"/>
      <c r="S753" s="61" t="n"/>
      <c r="T753" s="61" t="n"/>
      <c r="U753" s="53">
        <f>IF(A753="","",IF(IFERROR(VLOOKUP(D753,Parameter!$A$35:$C$64,2,0),"Nein")="2+3",IF(ISNUMBER(SEARCH("grosser Artikel",BJ753)),2,IFERROR(VLOOKUP(BM753,Parameter!$F$35:$G$64,2,0),2)),IF(OR(IFERROR(VLOOKUP(D753,Parameter!$A$35:$C$64,2,0),"Nein")="Nein",IFERROR(VLOOKUP(D753,Parameter!$A$35:$C$64,2,0),"Nein")=""),"-",VLOOKUP(D753,Parameter!$A$35:$C$64,2,0))))</f>
        <v/>
      </c>
      <c r="V753" s="61" t="n"/>
      <c r="W753" s="62" t="n"/>
      <c r="X753" s="55">
        <f>AM753</f>
        <v/>
      </c>
      <c r="Y753" s="55">
        <f>MAX(AM753,G753)</f>
        <v/>
      </c>
      <c r="Z753" s="63" t="n"/>
      <c r="AA753" s="55">
        <f>IF(LEFT(Cockpit!$C$5,1)="A",G753,IF(BT753=1,BU753,IF(LEFT(Cockpit!$C$5,1)="B",AE753,MAX(AE753,G753))))</f>
        <v/>
      </c>
      <c r="AB753" s="55">
        <f>IF(BO753=1,0,ROUNDUP(AA753/BN753,0))</f>
        <v/>
      </c>
      <c r="AC753" s="64">
        <f>IF(BO753=1,IF(AA753&lt;=0,0,BP753*MAX(1,IF(G753&gt;0,AA753/G753,1))),AB753*Q753)</f>
        <v/>
      </c>
      <c r="AD753" s="55">
        <f>AA753*F753</f>
        <v/>
      </c>
      <c r="AE753" s="55">
        <f>ROUNDUP(MAX(I753/IF(BS753&gt;0,BS753,MAX(0.1,N(Cockpit!$C$6))),BV753)/BN753,0)*BN753</f>
        <v/>
      </c>
      <c r="AF753" s="56">
        <f>IF(AC753&gt;0,I753/AC753,-1)</f>
        <v/>
      </c>
      <c r="AG753" s="56">
        <f>IF(AND(OR(BR753="L1",BR753="L23"),AC753&gt;0),SUMIFS($AC$7:$AC$1570,$BR$7:$BR$1570,BR753,$AF$7:$AF$1570,"&gt;"&amp;AF753)+SUMIFS($AC$7:$AC$1570,$BR$7:$BR$1570,BR753,$AF$7:$AF$1570,AF753,$BL$7:$BL$1570,"&lt;="&amp;BL753),"")</f>
        <v/>
      </c>
      <c r="AH753" s="65">
        <f>IF(AG753="",0,MAX(0,MIN(1,(IF(BR753="L1",Parameter!$K$5,Parameter!$K$6+Parameter!$K$7)-(AG753-AC753))/AC753)))</f>
        <v/>
      </c>
      <c r="AI753" s="55">
        <f>IF(LEFT(Cockpit!$I$5,1)="A",G753,IF(BT753=1,BU753,IF(LEFT(Cockpit!$I$5,1)="B",AM753,MAX(AM753,G753))))</f>
        <v/>
      </c>
      <c r="AJ753" s="55">
        <f>IF(BO753=1,0,ROUNDUP(AI753/BN753,0))</f>
        <v/>
      </c>
      <c r="AK753" s="64">
        <f>IF(BO753=1,IF(AI753&lt;=0,0,BP753*MAX(1,IF(G753&gt;0,AI753/G753,1))),AJ753*Q753)</f>
        <v/>
      </c>
      <c r="AL753" s="55">
        <f>AI753*F753</f>
        <v/>
      </c>
      <c r="AM753" s="55">
        <f>ROUNDUP(MAX(I753/IF(BS753&gt;0,BS753,MAX(0.1,N(Cockpit!$I$6))),BV753)/BN753,0)*BN753</f>
        <v/>
      </c>
      <c r="AN753" s="56">
        <f>IF(AK753&gt;0,I753/AK753,-1)</f>
        <v/>
      </c>
      <c r="AO753" s="56">
        <f>IF(AND(OR(BR753="L1",BR753="L23"),AK753&gt;0),SUMIFS($AK$7:$AK$1570,$BR$7:$BR$1570,BR753,$AN$7:$AN$1570,"&gt;"&amp;AN753)+SUMIFS($AK$7:$AK$1570,$BR$7:$BR$1570,BR753,$AN$7:$AN$1570,AN753,$BL$7:$BL$1570,"&lt;="&amp;BL753),"")</f>
        <v/>
      </c>
      <c r="AP753" s="65">
        <f>IF(AO753="",0,MAX(0,MIN(1,(IF(BR753="L1",Parameter!$K$5,Parameter!$K$6+Parameter!$K$7)-(AO753-AK753))/AK753)))</f>
        <v/>
      </c>
      <c r="AQ753" s="55">
        <f>IF(LEFT(Cockpit!$O$5,1)="A",G753,IF(BT753=1,BU753,IF(LEFT(Cockpit!$O$5,1)="B",AU753,MAX(AU753,G753))))</f>
        <v/>
      </c>
      <c r="AR753" s="55">
        <f>IF(BO753=1,0,ROUNDUP(AQ753/BN753,0))</f>
        <v/>
      </c>
      <c r="AS753" s="64">
        <f>IF(BO753=1,IF(AQ753&lt;=0,0,BP753*MAX(1,IF(G753&gt;0,AQ753/G753,1))),AR753*Q753)</f>
        <v/>
      </c>
      <c r="AT753" s="55">
        <f>AQ753*F753</f>
        <v/>
      </c>
      <c r="AU753" s="55">
        <f>ROUNDUP(MAX(I753/IF(BS753&gt;0,BS753,MAX(0.1,N(Cockpit!$O$6))),BV753)/BN753,0)*BN753</f>
        <v/>
      </c>
      <c r="AV753" s="56">
        <f>IF(AS753&gt;0,I753/AS753,-1)</f>
        <v/>
      </c>
      <c r="AW753" s="56">
        <f>IF(AND(OR(BR753="L1",BR753="L23"),AS753&gt;0),SUMIFS($AS$7:$AS$1570,$BR$7:$BR$1570,BR753,$AV$7:$AV$1570,"&gt;"&amp;AV753)+SUMIFS($AS$7:$AS$1570,$BR$7:$BR$1570,BR753,$AV$7:$AV$1570,AV753,$BL$7:$BL$1570,"&lt;="&amp;BL753),"")</f>
        <v/>
      </c>
      <c r="AX753" s="65">
        <f>IF(AW753="",0,MAX(0,MIN(1,(IF(BR753="L1",Parameter!$K$5,Parameter!$K$6+Parameter!$K$7)-(AW753-AS753))/AS753)))</f>
        <v/>
      </c>
      <c r="AY753" s="53">
        <f>IF(AC753&lt;=0,"",IF(BR753="Aussen","Aussenlager",IF(BR753="-","Nicht im Lift",IF(AH753&gt;=1,"Lift",IF(AH753&lt;=0,"Aussenlager","teilweise")))))</f>
        <v/>
      </c>
      <c r="AZ753" s="53">
        <f>IF(AK753&lt;=0,"",IF(BR753="Aussen","Aussenlager",IF(BR753="-","Nicht im Lift",IF(AP753&gt;=1,"Lift",IF(AP753&lt;=0,"Aussenlager","teilweise")))))</f>
        <v/>
      </c>
      <c r="BA753" s="53">
        <f>IF(AS753&lt;=0,"",IF(BR753="Aussen","Aussenlager",IF(BR753="-","Nicht im Lift",IF(AX753&gt;=1,"Lift",IF(AX753&lt;=0,"Aussenlager","teilweise")))))</f>
        <v/>
      </c>
      <c r="BB753" s="53">
        <f>IF(A753="","",IF(BK753=1,"Neu; ","")&amp;IF(AND(BK753=0,BF753&lt;0),"negativer Bestand (Export "&amp;BF753&amp;"); ","")&amp;IF(I753&lt;=0,"Kein Verbrauch; ","")&amp;IF(BO753=1,"Lose – Fläche geschätzt; ","")&amp;IF(G753&gt;AM753,"Überbestand "&amp;ROUND(G753-AM753,0)&amp;" Stk / CHF "&amp;ROUND((G753-AM753)*F753,0)&amp;"; ","")&amp;IF(AND(BT753=1,BU753&lt;BV753),"MAX &lt; MB+LG; ","")&amp;IF(AND(BZ753&gt;0,BY753*10&gt;BZ753),"zu hoch für Tablar; ","")&amp;IF(AND(BK753=0,OR(BT753=1,V753&lt;&gt;"",S753&lt;&gt;"",T753&lt;&gt;"",W753&lt;&gt;"")),"manuell übersteuert; ","")&amp;IF(AND(BO753=0,Q753=0),"Gebinde unbekannt; ","")&amp;IF(AND(BO753=0,N(T753)&lt;=0,N(P753)&lt;=0),"Menge pro Gebinde fehlt (Ist = 1 Gebinde); ","")&amp;BJ753)</f>
        <v/>
      </c>
      <c r="BC753" s="53" t="n"/>
      <c r="BD753" s="53" t="n"/>
      <c r="BE753" s="61" t="n"/>
      <c r="BF753" s="55" t="n">
        <v>-1</v>
      </c>
      <c r="BG753" s="55" t="n">
        <v>21</v>
      </c>
      <c r="BH753" s="54" t="n">
        <v>-0.2</v>
      </c>
      <c r="BI753" s="55" t="n">
        <v>0</v>
      </c>
      <c r="BJ753" s="53" t="inlineStr">
        <is>
          <t>Überbestand</t>
        </is>
      </c>
      <c r="BK753" s="58" t="n">
        <v>0</v>
      </c>
      <c r="BL753" s="58" t="n">
        <v>753</v>
      </c>
      <c r="BM753" s="53">
        <f>IF(S753&lt;&gt;"",UPPER(TRIM(S753)),IF(O753="","LOSE",O753))</f>
        <v/>
      </c>
      <c r="BN753" s="55">
        <f>IF(BM753="LOSE",1,IF(N(T753)&gt;0,T753,IF(N(P753)&gt;0,P753,MAX(1,G753))))</f>
        <v/>
      </c>
      <c r="BO753" s="58">
        <f>IF(BM753="LOSE",1,0)</f>
        <v/>
      </c>
      <c r="BP753" s="64">
        <f>IF(BO753=0,0,IF(N(R753)&gt;0,R753,IFERROR(VLOOKUP(D753,Parameter!$A$35:$C$64,3,0)+0,0)))</f>
        <v/>
      </c>
      <c r="BQ753" s="53">
        <f>IF(V753&lt;&gt;"",V753,U753)</f>
        <v/>
      </c>
      <c r="BR753" s="53">
        <f>IF(BQ753=1,"L1",IF(OR(BQ753=2,BQ753=3),"L23",IF(BQ753="Aussen","Aussen","-")))</f>
        <v/>
      </c>
      <c r="BS753" s="66">
        <f>IF(N(W753)&gt;0,W753,0)</f>
        <v/>
      </c>
      <c r="BT753" s="58">
        <f>IF(ISNUMBER(Z753),1,0)</f>
        <v/>
      </c>
      <c r="BU753" s="55">
        <f>N(Z753)</f>
        <v/>
      </c>
      <c r="BV753" s="55">
        <f>N(L753)+N(M753)</f>
        <v/>
      </c>
      <c r="BW753" s="55">
        <f>ROUNDUP(G753/BN753,0)</f>
        <v/>
      </c>
      <c r="BX753" s="55">
        <f>ROUNDUP(BU753/BN753,0)</f>
        <v/>
      </c>
      <c r="BY753" s="58">
        <f>IF(BO753=1,0,IFERROR(VLOOKUP(BM753,'Gebinde-Kategorie'!$A$5:$G$45,5,0)+0,0))</f>
        <v/>
      </c>
      <c r="BZ753" s="58">
        <f>IFERROR(IF(OR(BQ753=1,BQ753=2,BQ753=3),N(INDEX(Parameter!$I$5:$I$7,BQ753)),0),0)</f>
        <v/>
      </c>
    </row>
    <row r="754">
      <c r="A754" s="53" t="inlineStr">
        <is>
          <t>102377</t>
        </is>
      </c>
      <c r="B754" s="53" t="inlineStr">
        <is>
          <t>Senkschraube mit Innensechskant</t>
        </is>
      </c>
      <c r="C754" s="53" t="inlineStr">
        <is>
          <t>F</t>
        </is>
      </c>
      <c r="D754" s="53" t="inlineStr">
        <is>
          <t>KTL</t>
        </is>
      </c>
      <c r="E754" s="53" t="inlineStr">
        <is>
          <t>C</t>
        </is>
      </c>
      <c r="F754" s="54" t="n">
        <v>0.04</v>
      </c>
      <c r="G754" s="55">
        <f>MAX(0,IF(Parameter!$B$20="Jahresanfang 2025 + Export",BG754+BF754,BF754))</f>
        <v/>
      </c>
      <c r="H754" s="55">
        <f>G754*F754</f>
        <v/>
      </c>
      <c r="I754" s="55">
        <f>BI754*Parameter!$B$18</f>
        <v/>
      </c>
      <c r="J754" s="56" t="n">
        <v>352</v>
      </c>
      <c r="K754" s="57" t="n">
        <v>0</v>
      </c>
      <c r="L754" s="55" t="n">
        <v>0</v>
      </c>
      <c r="M754" s="55" t="n">
        <v>1</v>
      </c>
      <c r="N754" s="58" t="n">
        <v>21</v>
      </c>
      <c r="O754" s="53" t="inlineStr">
        <is>
          <t>LOSE</t>
        </is>
      </c>
      <c r="P754" s="55" t="n"/>
      <c r="Q754" s="59">
        <f>IF(BO754=1,0,IFERROR(VLOOKUP(BM754,'Gebinde-Kategorie'!$A$5:$G$45,6,0)+0,0))</f>
        <v/>
      </c>
      <c r="R754" s="60" t="n"/>
      <c r="S754" s="61" t="n"/>
      <c r="T754" s="61" t="n"/>
      <c r="U754" s="53">
        <f>IF(A754="","",IF(IFERROR(VLOOKUP(D754,Parameter!$A$35:$C$64,2,0),"Nein")="2+3",IF(ISNUMBER(SEARCH("grosser Artikel",BJ754)),2,IFERROR(VLOOKUP(BM754,Parameter!$F$35:$G$64,2,0),2)),IF(OR(IFERROR(VLOOKUP(D754,Parameter!$A$35:$C$64,2,0),"Nein")="Nein",IFERROR(VLOOKUP(D754,Parameter!$A$35:$C$64,2,0),"Nein")=""),"-",VLOOKUP(D754,Parameter!$A$35:$C$64,2,0))))</f>
        <v/>
      </c>
      <c r="V754" s="61" t="n"/>
      <c r="W754" s="62" t="n"/>
      <c r="X754" s="55">
        <f>AM754</f>
        <v/>
      </c>
      <c r="Y754" s="55">
        <f>MAX(AM754,G754)</f>
        <v/>
      </c>
      <c r="Z754" s="63" t="n"/>
      <c r="AA754" s="55">
        <f>IF(LEFT(Cockpit!$C$5,1)="A",G754,IF(BT754=1,BU754,IF(LEFT(Cockpit!$C$5,1)="B",AE754,MAX(AE754,G754))))</f>
        <v/>
      </c>
      <c r="AB754" s="55">
        <f>IF(BO754=1,0,ROUNDUP(AA754/BN754,0))</f>
        <v/>
      </c>
      <c r="AC754" s="64">
        <f>IF(BO754=1,IF(AA754&lt;=0,0,BP754*MAX(1,IF(G754&gt;0,AA754/G754,1))),AB754*Q754)</f>
        <v/>
      </c>
      <c r="AD754" s="55">
        <f>AA754*F754</f>
        <v/>
      </c>
      <c r="AE754" s="55">
        <f>ROUNDUP(MAX(I754/IF(BS754&gt;0,BS754,MAX(0.1,N(Cockpit!$C$6))),BV754)/BN754,0)*BN754</f>
        <v/>
      </c>
      <c r="AF754" s="56">
        <f>IF(AC754&gt;0,I754/AC754,-1)</f>
        <v/>
      </c>
      <c r="AG754" s="56">
        <f>IF(AND(OR(BR754="L1",BR754="L23"),AC754&gt;0),SUMIFS($AC$7:$AC$1570,$BR$7:$BR$1570,BR754,$AF$7:$AF$1570,"&gt;"&amp;AF754)+SUMIFS($AC$7:$AC$1570,$BR$7:$BR$1570,BR754,$AF$7:$AF$1570,AF754,$BL$7:$BL$1570,"&lt;="&amp;BL754),"")</f>
        <v/>
      </c>
      <c r="AH754" s="65">
        <f>IF(AG754="",0,MAX(0,MIN(1,(IF(BR754="L1",Parameter!$K$5,Parameter!$K$6+Parameter!$K$7)-(AG754-AC754))/AC754)))</f>
        <v/>
      </c>
      <c r="AI754" s="55">
        <f>IF(LEFT(Cockpit!$I$5,1)="A",G754,IF(BT754=1,BU754,IF(LEFT(Cockpit!$I$5,1)="B",AM754,MAX(AM754,G754))))</f>
        <v/>
      </c>
      <c r="AJ754" s="55">
        <f>IF(BO754=1,0,ROUNDUP(AI754/BN754,0))</f>
        <v/>
      </c>
      <c r="AK754" s="64">
        <f>IF(BO754=1,IF(AI754&lt;=0,0,BP754*MAX(1,IF(G754&gt;0,AI754/G754,1))),AJ754*Q754)</f>
        <v/>
      </c>
      <c r="AL754" s="55">
        <f>AI754*F754</f>
        <v/>
      </c>
      <c r="AM754" s="55">
        <f>ROUNDUP(MAX(I754/IF(BS754&gt;0,BS754,MAX(0.1,N(Cockpit!$I$6))),BV754)/BN754,0)*BN754</f>
        <v/>
      </c>
      <c r="AN754" s="56">
        <f>IF(AK754&gt;0,I754/AK754,-1)</f>
        <v/>
      </c>
      <c r="AO754" s="56">
        <f>IF(AND(OR(BR754="L1",BR754="L23"),AK754&gt;0),SUMIFS($AK$7:$AK$1570,$BR$7:$BR$1570,BR754,$AN$7:$AN$1570,"&gt;"&amp;AN754)+SUMIFS($AK$7:$AK$1570,$BR$7:$BR$1570,BR754,$AN$7:$AN$1570,AN754,$BL$7:$BL$1570,"&lt;="&amp;BL754),"")</f>
        <v/>
      </c>
      <c r="AP754" s="65">
        <f>IF(AO754="",0,MAX(0,MIN(1,(IF(BR754="L1",Parameter!$K$5,Parameter!$K$6+Parameter!$K$7)-(AO754-AK754))/AK754)))</f>
        <v/>
      </c>
      <c r="AQ754" s="55">
        <f>IF(LEFT(Cockpit!$O$5,1)="A",G754,IF(BT754=1,BU754,IF(LEFT(Cockpit!$O$5,1)="B",AU754,MAX(AU754,G754))))</f>
        <v/>
      </c>
      <c r="AR754" s="55">
        <f>IF(BO754=1,0,ROUNDUP(AQ754/BN754,0))</f>
        <v/>
      </c>
      <c r="AS754" s="64">
        <f>IF(BO754=1,IF(AQ754&lt;=0,0,BP754*MAX(1,IF(G754&gt;0,AQ754/G754,1))),AR754*Q754)</f>
        <v/>
      </c>
      <c r="AT754" s="55">
        <f>AQ754*F754</f>
        <v/>
      </c>
      <c r="AU754" s="55">
        <f>ROUNDUP(MAX(I754/IF(BS754&gt;0,BS754,MAX(0.1,N(Cockpit!$O$6))),BV754)/BN754,0)*BN754</f>
        <v/>
      </c>
      <c r="AV754" s="56">
        <f>IF(AS754&gt;0,I754/AS754,-1)</f>
        <v/>
      </c>
      <c r="AW754" s="56">
        <f>IF(AND(OR(BR754="L1",BR754="L23"),AS754&gt;0),SUMIFS($AS$7:$AS$1570,$BR$7:$BR$1570,BR754,$AV$7:$AV$1570,"&gt;"&amp;AV754)+SUMIFS($AS$7:$AS$1570,$BR$7:$BR$1570,BR754,$AV$7:$AV$1570,AV754,$BL$7:$BL$1570,"&lt;="&amp;BL754),"")</f>
        <v/>
      </c>
      <c r="AX754" s="65">
        <f>IF(AW754="",0,MAX(0,MIN(1,(IF(BR754="L1",Parameter!$K$5,Parameter!$K$6+Parameter!$K$7)-(AW754-AS754))/AS754)))</f>
        <v/>
      </c>
      <c r="AY754" s="53">
        <f>IF(AC754&lt;=0,"",IF(BR754="Aussen","Aussenlager",IF(BR754="-","Nicht im Lift",IF(AH754&gt;=1,"Lift",IF(AH754&lt;=0,"Aussenlager","teilweise")))))</f>
        <v/>
      </c>
      <c r="AZ754" s="53">
        <f>IF(AK754&lt;=0,"",IF(BR754="Aussen","Aussenlager",IF(BR754="-","Nicht im Lift",IF(AP754&gt;=1,"Lift",IF(AP754&lt;=0,"Aussenlager","teilweise")))))</f>
        <v/>
      </c>
      <c r="BA754" s="53">
        <f>IF(AS754&lt;=0,"",IF(BR754="Aussen","Aussenlager",IF(BR754="-","Nicht im Lift",IF(AX754&gt;=1,"Lift",IF(AX754&lt;=0,"Aussenlager","teilweise")))))</f>
        <v/>
      </c>
      <c r="BB754" s="53">
        <f>IF(A754="","",IF(BK754=1,"Neu; ","")&amp;IF(AND(BK754=0,BF754&lt;0),"negativer Bestand (Export "&amp;BF754&amp;"); ","")&amp;IF(I754&lt;=0,"Kein Verbrauch; ","")&amp;IF(BO754=1,"Lose – Fläche geschätzt; ","")&amp;IF(G754&gt;AM754,"Überbestand "&amp;ROUND(G754-AM754,0)&amp;" Stk / CHF "&amp;ROUND((G754-AM754)*F754,0)&amp;"; ","")&amp;IF(AND(BT754=1,BU754&lt;BV754),"MAX &lt; MB+LG; ","")&amp;IF(AND(BZ754&gt;0,BY754*10&gt;BZ754),"zu hoch für Tablar; ","")&amp;IF(AND(BK754=0,OR(BT754=1,V754&lt;&gt;"",S754&lt;&gt;"",T754&lt;&gt;"",W754&lt;&gt;"")),"manuell übersteuert; ","")&amp;IF(AND(BO754=0,Q754=0),"Gebinde unbekannt; ","")&amp;IF(AND(BO754=0,N(T754)&lt;=0,N(P754)&lt;=0),"Menge pro Gebinde fehlt (Ist = 1 Gebinde); ","")&amp;BJ754)</f>
        <v/>
      </c>
      <c r="BC754" s="53" t="n"/>
      <c r="BD754" s="53" t="n"/>
      <c r="BE754" s="61" t="n"/>
      <c r="BF754" s="55" t="n">
        <v>-6</v>
      </c>
      <c r="BG754" s="55" t="n">
        <v>355</v>
      </c>
      <c r="BH754" s="54" t="n">
        <v>-0.24</v>
      </c>
      <c r="BI754" s="55" t="n">
        <v>0</v>
      </c>
      <c r="BJ754" s="53" t="inlineStr"/>
      <c r="BK754" s="58" t="n">
        <v>0</v>
      </c>
      <c r="BL754" s="58" t="n">
        <v>754</v>
      </c>
      <c r="BM754" s="53">
        <f>IF(S754&lt;&gt;"",UPPER(TRIM(S754)),IF(O754="","LOSE",O754))</f>
        <v/>
      </c>
      <c r="BN754" s="55">
        <f>IF(BM754="LOSE",1,IF(N(T754)&gt;0,T754,IF(N(P754)&gt;0,P754,MAX(1,G754))))</f>
        <v/>
      </c>
      <c r="BO754" s="58">
        <f>IF(BM754="LOSE",1,0)</f>
        <v/>
      </c>
      <c r="BP754" s="64">
        <f>IF(BO754=0,0,IF(N(R754)&gt;0,R754,IFERROR(VLOOKUP(D754,Parameter!$A$35:$C$64,3,0)+0,0)))</f>
        <v/>
      </c>
      <c r="BQ754" s="53">
        <f>IF(V754&lt;&gt;"",V754,U754)</f>
        <v/>
      </c>
      <c r="BR754" s="53">
        <f>IF(BQ754=1,"L1",IF(OR(BQ754=2,BQ754=3),"L23",IF(BQ754="Aussen","Aussen","-")))</f>
        <v/>
      </c>
      <c r="BS754" s="66">
        <f>IF(N(W754)&gt;0,W754,0)</f>
        <v/>
      </c>
      <c r="BT754" s="58">
        <f>IF(ISNUMBER(Z754),1,0)</f>
        <v/>
      </c>
      <c r="BU754" s="55">
        <f>N(Z754)</f>
        <v/>
      </c>
      <c r="BV754" s="55">
        <f>N(L754)+N(M754)</f>
        <v/>
      </c>
      <c r="BW754" s="55">
        <f>ROUNDUP(G754/BN754,0)</f>
        <v/>
      </c>
      <c r="BX754" s="55">
        <f>ROUNDUP(BU754/BN754,0)</f>
        <v/>
      </c>
      <c r="BY754" s="58">
        <f>IF(BO754=1,0,IFERROR(VLOOKUP(BM754,'Gebinde-Kategorie'!$A$5:$G$45,5,0)+0,0))</f>
        <v/>
      </c>
      <c r="BZ754" s="58">
        <f>IFERROR(IF(OR(BQ754=1,BQ754=2,BQ754=3),N(INDEX(Parameter!$I$5:$I$7,BQ754)),0),0)</f>
        <v/>
      </c>
    </row>
    <row r="755">
      <c r="A755" s="53" t="inlineStr">
        <is>
          <t>101632</t>
        </is>
      </c>
      <c r="B755" s="53" t="inlineStr">
        <is>
          <t>Sechskantschraube</t>
        </is>
      </c>
      <c r="C755" s="53" t="inlineStr">
        <is>
          <t>G</t>
        </is>
      </c>
      <c r="D755" s="53" t="inlineStr">
        <is>
          <t>KTL</t>
        </is>
      </c>
      <c r="E755" s="53" t="inlineStr">
        <is>
          <t>C</t>
        </is>
      </c>
      <c r="F755" s="54" t="n">
        <v>0.06</v>
      </c>
      <c r="G755" s="55">
        <f>MAX(0,IF(Parameter!$B$20="Jahresanfang 2025 + Export",BG755+BF755,BF755))</f>
        <v/>
      </c>
      <c r="H755" s="55">
        <f>G755*F755</f>
        <v/>
      </c>
      <c r="I755" s="55">
        <f>BI755*Parameter!$B$18</f>
        <v/>
      </c>
      <c r="J755" s="56" t="n">
        <v>7</v>
      </c>
      <c r="K755" s="57" t="n">
        <v>0</v>
      </c>
      <c r="L755" s="55" t="n">
        <v>0</v>
      </c>
      <c r="M755" s="55" t="n">
        <v>1</v>
      </c>
      <c r="N755" s="58" t="n">
        <v>14</v>
      </c>
      <c r="O755" s="53" t="inlineStr">
        <is>
          <t>LOSE</t>
        </is>
      </c>
      <c r="P755" s="55" t="n"/>
      <c r="Q755" s="59">
        <f>IF(BO755=1,0,IFERROR(VLOOKUP(BM755,'Gebinde-Kategorie'!$A$5:$G$45,6,0)+0,0))</f>
        <v/>
      </c>
      <c r="R755" s="60" t="n"/>
      <c r="S755" s="61" t="n"/>
      <c r="T755" s="61" t="n"/>
      <c r="U755" s="53">
        <f>IF(A755="","",IF(IFERROR(VLOOKUP(D755,Parameter!$A$35:$C$64,2,0),"Nein")="2+3",IF(ISNUMBER(SEARCH("grosser Artikel",BJ755)),2,IFERROR(VLOOKUP(BM755,Parameter!$F$35:$G$64,2,0),2)),IF(OR(IFERROR(VLOOKUP(D755,Parameter!$A$35:$C$64,2,0),"Nein")="Nein",IFERROR(VLOOKUP(D755,Parameter!$A$35:$C$64,2,0),"Nein")=""),"-",VLOOKUP(D755,Parameter!$A$35:$C$64,2,0))))</f>
        <v/>
      </c>
      <c r="V755" s="61" t="n"/>
      <c r="W755" s="62" t="n"/>
      <c r="X755" s="55">
        <f>AM755</f>
        <v/>
      </c>
      <c r="Y755" s="55">
        <f>MAX(AM755,G755)</f>
        <v/>
      </c>
      <c r="Z755" s="63" t="n"/>
      <c r="AA755" s="55">
        <f>IF(LEFT(Cockpit!$C$5,1)="A",G755,IF(BT755=1,BU755,IF(LEFT(Cockpit!$C$5,1)="B",AE755,MAX(AE755,G755))))</f>
        <v/>
      </c>
      <c r="AB755" s="55">
        <f>IF(BO755=1,0,ROUNDUP(AA755/BN755,0))</f>
        <v/>
      </c>
      <c r="AC755" s="64">
        <f>IF(BO755=1,IF(AA755&lt;=0,0,BP755*MAX(1,IF(G755&gt;0,AA755/G755,1))),AB755*Q755)</f>
        <v/>
      </c>
      <c r="AD755" s="55">
        <f>AA755*F755</f>
        <v/>
      </c>
      <c r="AE755" s="55">
        <f>ROUNDUP(MAX(I755/IF(BS755&gt;0,BS755,MAX(0.1,N(Cockpit!$C$6))),BV755)/BN755,0)*BN755</f>
        <v/>
      </c>
      <c r="AF755" s="56">
        <f>IF(AC755&gt;0,I755/AC755,-1)</f>
        <v/>
      </c>
      <c r="AG755" s="56">
        <f>IF(AND(OR(BR755="L1",BR755="L23"),AC755&gt;0),SUMIFS($AC$7:$AC$1570,$BR$7:$BR$1570,BR755,$AF$7:$AF$1570,"&gt;"&amp;AF755)+SUMIFS($AC$7:$AC$1570,$BR$7:$BR$1570,BR755,$AF$7:$AF$1570,AF755,$BL$7:$BL$1570,"&lt;="&amp;BL755),"")</f>
        <v/>
      </c>
      <c r="AH755" s="65">
        <f>IF(AG755="",0,MAX(0,MIN(1,(IF(BR755="L1",Parameter!$K$5,Parameter!$K$6+Parameter!$K$7)-(AG755-AC755))/AC755)))</f>
        <v/>
      </c>
      <c r="AI755" s="55">
        <f>IF(LEFT(Cockpit!$I$5,1)="A",G755,IF(BT755=1,BU755,IF(LEFT(Cockpit!$I$5,1)="B",AM755,MAX(AM755,G755))))</f>
        <v/>
      </c>
      <c r="AJ755" s="55">
        <f>IF(BO755=1,0,ROUNDUP(AI755/BN755,0))</f>
        <v/>
      </c>
      <c r="AK755" s="64">
        <f>IF(BO755=1,IF(AI755&lt;=0,0,BP755*MAX(1,IF(G755&gt;0,AI755/G755,1))),AJ755*Q755)</f>
        <v/>
      </c>
      <c r="AL755" s="55">
        <f>AI755*F755</f>
        <v/>
      </c>
      <c r="AM755" s="55">
        <f>ROUNDUP(MAX(I755/IF(BS755&gt;0,BS755,MAX(0.1,N(Cockpit!$I$6))),BV755)/BN755,0)*BN755</f>
        <v/>
      </c>
      <c r="AN755" s="56">
        <f>IF(AK755&gt;0,I755/AK755,-1)</f>
        <v/>
      </c>
      <c r="AO755" s="56">
        <f>IF(AND(OR(BR755="L1",BR755="L23"),AK755&gt;0),SUMIFS($AK$7:$AK$1570,$BR$7:$BR$1570,BR755,$AN$7:$AN$1570,"&gt;"&amp;AN755)+SUMIFS($AK$7:$AK$1570,$BR$7:$BR$1570,BR755,$AN$7:$AN$1570,AN755,$BL$7:$BL$1570,"&lt;="&amp;BL755),"")</f>
        <v/>
      </c>
      <c r="AP755" s="65">
        <f>IF(AO755="",0,MAX(0,MIN(1,(IF(BR755="L1",Parameter!$K$5,Parameter!$K$6+Parameter!$K$7)-(AO755-AK755))/AK755)))</f>
        <v/>
      </c>
      <c r="AQ755" s="55">
        <f>IF(LEFT(Cockpit!$O$5,1)="A",G755,IF(BT755=1,BU755,IF(LEFT(Cockpit!$O$5,1)="B",AU755,MAX(AU755,G755))))</f>
        <v/>
      </c>
      <c r="AR755" s="55">
        <f>IF(BO755=1,0,ROUNDUP(AQ755/BN755,0))</f>
        <v/>
      </c>
      <c r="AS755" s="64">
        <f>IF(BO755=1,IF(AQ755&lt;=0,0,BP755*MAX(1,IF(G755&gt;0,AQ755/G755,1))),AR755*Q755)</f>
        <v/>
      </c>
      <c r="AT755" s="55">
        <f>AQ755*F755</f>
        <v/>
      </c>
      <c r="AU755" s="55">
        <f>ROUNDUP(MAX(I755/IF(BS755&gt;0,BS755,MAX(0.1,N(Cockpit!$O$6))),BV755)/BN755,0)*BN755</f>
        <v/>
      </c>
      <c r="AV755" s="56">
        <f>IF(AS755&gt;0,I755/AS755,-1)</f>
        <v/>
      </c>
      <c r="AW755" s="56">
        <f>IF(AND(OR(BR755="L1",BR755="L23"),AS755&gt;0),SUMIFS($AS$7:$AS$1570,$BR$7:$BR$1570,BR755,$AV$7:$AV$1570,"&gt;"&amp;AV755)+SUMIFS($AS$7:$AS$1570,$BR$7:$BR$1570,BR755,$AV$7:$AV$1570,AV755,$BL$7:$BL$1570,"&lt;="&amp;BL755),"")</f>
        <v/>
      </c>
      <c r="AX755" s="65">
        <f>IF(AW755="",0,MAX(0,MIN(1,(IF(BR755="L1",Parameter!$K$5,Parameter!$K$6+Parameter!$K$7)-(AW755-AS755))/AS755)))</f>
        <v/>
      </c>
      <c r="AY755" s="53">
        <f>IF(AC755&lt;=0,"",IF(BR755="Aussen","Aussenlager",IF(BR755="-","Nicht im Lift",IF(AH755&gt;=1,"Lift",IF(AH755&lt;=0,"Aussenlager","teilweise")))))</f>
        <v/>
      </c>
      <c r="AZ755" s="53">
        <f>IF(AK755&lt;=0,"",IF(BR755="Aussen","Aussenlager",IF(BR755="-","Nicht im Lift",IF(AP755&gt;=1,"Lift",IF(AP755&lt;=0,"Aussenlager","teilweise")))))</f>
        <v/>
      </c>
      <c r="BA755" s="53">
        <f>IF(AS755&lt;=0,"",IF(BR755="Aussen","Aussenlager",IF(BR755="-","Nicht im Lift",IF(AX755&gt;=1,"Lift",IF(AX755&lt;=0,"Aussenlager","teilweise")))))</f>
        <v/>
      </c>
      <c r="BB755" s="53">
        <f>IF(A755="","",IF(BK755=1,"Neu; ","")&amp;IF(AND(BK755=0,BF755&lt;0),"negativer Bestand (Export "&amp;BF755&amp;"); ","")&amp;IF(I755&lt;=0,"Kein Verbrauch; ","")&amp;IF(BO755=1,"Lose – Fläche geschätzt; ","")&amp;IF(G755&gt;AM755,"Überbestand "&amp;ROUND(G755-AM755,0)&amp;" Stk / CHF "&amp;ROUND((G755-AM755)*F755,0)&amp;"; ","")&amp;IF(AND(BT755=1,BU755&lt;BV755),"MAX &lt; MB+LG; ","")&amp;IF(AND(BZ755&gt;0,BY755*10&gt;BZ755),"zu hoch für Tablar; ","")&amp;IF(AND(BK755=0,OR(BT755=1,V755&lt;&gt;"",S755&lt;&gt;"",T755&lt;&gt;"",W755&lt;&gt;"")),"manuell übersteuert; ","")&amp;IF(AND(BO755=0,Q755=0),"Gebinde unbekannt; ","")&amp;IF(AND(BO755=0,N(T755)&lt;=0,N(P755)&lt;=0),"Menge pro Gebinde fehlt (Ist = 1 Gebinde); ","")&amp;BJ755)</f>
        <v/>
      </c>
      <c r="BC755" s="53" t="n"/>
      <c r="BD755" s="53" t="n"/>
      <c r="BE755" s="61" t="n"/>
      <c r="BF755" s="55" t="n">
        <v>-4</v>
      </c>
      <c r="BG755" s="55" t="n">
        <v>9</v>
      </c>
      <c r="BH755" s="54" t="n">
        <v>-0.24</v>
      </c>
      <c r="BI755" s="55" t="n">
        <v>0</v>
      </c>
      <c r="BJ755" s="53" t="inlineStr"/>
      <c r="BK755" s="58" t="n">
        <v>0</v>
      </c>
      <c r="BL755" s="58" t="n">
        <v>755</v>
      </c>
      <c r="BM755" s="53">
        <f>IF(S755&lt;&gt;"",UPPER(TRIM(S755)),IF(O755="","LOSE",O755))</f>
        <v/>
      </c>
      <c r="BN755" s="55">
        <f>IF(BM755="LOSE",1,IF(N(T755)&gt;0,T755,IF(N(P755)&gt;0,P755,MAX(1,G755))))</f>
        <v/>
      </c>
      <c r="BO755" s="58">
        <f>IF(BM755="LOSE",1,0)</f>
        <v/>
      </c>
      <c r="BP755" s="64">
        <f>IF(BO755=0,0,IF(N(R755)&gt;0,R755,IFERROR(VLOOKUP(D755,Parameter!$A$35:$C$64,3,0)+0,0)))</f>
        <v/>
      </c>
      <c r="BQ755" s="53">
        <f>IF(V755&lt;&gt;"",V755,U755)</f>
        <v/>
      </c>
      <c r="BR755" s="53">
        <f>IF(BQ755=1,"L1",IF(OR(BQ755=2,BQ755=3),"L23",IF(BQ755="Aussen","Aussen","-")))</f>
        <v/>
      </c>
      <c r="BS755" s="66">
        <f>IF(N(W755)&gt;0,W755,0)</f>
        <v/>
      </c>
      <c r="BT755" s="58">
        <f>IF(ISNUMBER(Z755),1,0)</f>
        <v/>
      </c>
      <c r="BU755" s="55">
        <f>N(Z755)</f>
        <v/>
      </c>
      <c r="BV755" s="55">
        <f>N(L755)+N(M755)</f>
        <v/>
      </c>
      <c r="BW755" s="55">
        <f>ROUNDUP(G755/BN755,0)</f>
        <v/>
      </c>
      <c r="BX755" s="55">
        <f>ROUNDUP(BU755/BN755,0)</f>
        <v/>
      </c>
      <c r="BY755" s="58">
        <f>IF(BO755=1,0,IFERROR(VLOOKUP(BM755,'Gebinde-Kategorie'!$A$5:$G$45,5,0)+0,0))</f>
        <v/>
      </c>
      <c r="BZ755" s="58">
        <f>IFERROR(IF(OR(BQ755=1,BQ755=2,BQ755=3),N(INDEX(Parameter!$I$5:$I$7,BQ755)),0),0)</f>
        <v/>
      </c>
    </row>
    <row r="756">
      <c r="A756" s="53" t="inlineStr">
        <is>
          <t>100899</t>
        </is>
      </c>
      <c r="B756" s="53" t="inlineStr">
        <is>
          <t>Federring</t>
        </is>
      </c>
      <c r="C756" s="53" t="inlineStr">
        <is>
          <t>F</t>
        </is>
      </c>
      <c r="D756" s="53" t="inlineStr">
        <is>
          <t>KTL</t>
        </is>
      </c>
      <c r="E756" s="53" t="inlineStr">
        <is>
          <t>C</t>
        </is>
      </c>
      <c r="F756" s="54" t="n">
        <v>0.06</v>
      </c>
      <c r="G756" s="55">
        <f>MAX(0,IF(Parameter!$B$20="Jahresanfang 2025 + Export",BG756+BF756,BF756))</f>
        <v/>
      </c>
      <c r="H756" s="55">
        <f>G756*F756</f>
        <v/>
      </c>
      <c r="I756" s="55">
        <f>BI756*Parameter!$B$18</f>
        <v/>
      </c>
      <c r="J756" s="56" t="n">
        <v>178</v>
      </c>
      <c r="K756" s="57" t="n">
        <v>2.207865168539326</v>
      </c>
      <c r="L756" s="55" t="n">
        <v>22</v>
      </c>
      <c r="M756" s="55" t="n">
        <v>500</v>
      </c>
      <c r="N756" s="58" t="n">
        <v>21</v>
      </c>
      <c r="O756" s="53" t="inlineStr">
        <is>
          <t>S41</t>
        </is>
      </c>
      <c r="P756" s="55" t="n">
        <v>675</v>
      </c>
      <c r="Q756" s="59">
        <f>IF(BO756=1,0,IFERROR(VLOOKUP(BM756,'Gebinde-Kategorie'!$A$5:$G$45,6,0)+0,0))</f>
        <v/>
      </c>
      <c r="R756" s="60" t="n"/>
      <c r="S756" s="61" t="n"/>
      <c r="T756" s="61" t="n"/>
      <c r="U756" s="53">
        <f>IF(A756="","",IF(IFERROR(VLOOKUP(D756,Parameter!$A$35:$C$64,2,0),"Nein")="2+3",IF(ISNUMBER(SEARCH("grosser Artikel",BJ756)),2,IFERROR(VLOOKUP(BM756,Parameter!$F$35:$G$64,2,0),2)),IF(OR(IFERROR(VLOOKUP(D756,Parameter!$A$35:$C$64,2,0),"Nein")="Nein",IFERROR(VLOOKUP(D756,Parameter!$A$35:$C$64,2,0),"Nein")=""),"-",VLOOKUP(D756,Parameter!$A$35:$C$64,2,0))))</f>
        <v/>
      </c>
      <c r="V756" s="61" t="n"/>
      <c r="W756" s="62" t="n"/>
      <c r="X756" s="55">
        <f>AM756</f>
        <v/>
      </c>
      <c r="Y756" s="55">
        <f>MAX(AM756,G756)</f>
        <v/>
      </c>
      <c r="Z756" s="63" t="n"/>
      <c r="AA756" s="55">
        <f>IF(LEFT(Cockpit!$C$5,1)="A",G756,IF(BT756=1,BU756,IF(LEFT(Cockpit!$C$5,1)="B",AE756,MAX(AE756,G756))))</f>
        <v/>
      </c>
      <c r="AB756" s="55">
        <f>IF(BO756=1,0,ROUNDUP(AA756/BN756,0))</f>
        <v/>
      </c>
      <c r="AC756" s="64">
        <f>IF(BO756=1,IF(AA756&lt;=0,0,BP756*MAX(1,IF(G756&gt;0,AA756/G756,1))),AB756*Q756)</f>
        <v/>
      </c>
      <c r="AD756" s="55">
        <f>AA756*F756</f>
        <v/>
      </c>
      <c r="AE756" s="55">
        <f>ROUNDUP(MAX(I756/IF(BS756&gt;0,BS756,MAX(0.1,N(Cockpit!$C$6))),BV756)/BN756,0)*BN756</f>
        <v/>
      </c>
      <c r="AF756" s="56">
        <f>IF(AC756&gt;0,I756/AC756,-1)</f>
        <v/>
      </c>
      <c r="AG756" s="56">
        <f>IF(AND(OR(BR756="L1",BR756="L23"),AC756&gt;0),SUMIFS($AC$7:$AC$1570,$BR$7:$BR$1570,BR756,$AF$7:$AF$1570,"&gt;"&amp;AF756)+SUMIFS($AC$7:$AC$1570,$BR$7:$BR$1570,BR756,$AF$7:$AF$1570,AF756,$BL$7:$BL$1570,"&lt;="&amp;BL756),"")</f>
        <v/>
      </c>
      <c r="AH756" s="65">
        <f>IF(AG756="",0,MAX(0,MIN(1,(IF(BR756="L1",Parameter!$K$5,Parameter!$K$6+Parameter!$K$7)-(AG756-AC756))/AC756)))</f>
        <v/>
      </c>
      <c r="AI756" s="55">
        <f>IF(LEFT(Cockpit!$I$5,1)="A",G756,IF(BT756=1,BU756,IF(LEFT(Cockpit!$I$5,1)="B",AM756,MAX(AM756,G756))))</f>
        <v/>
      </c>
      <c r="AJ756" s="55">
        <f>IF(BO756=1,0,ROUNDUP(AI756/BN756,0))</f>
        <v/>
      </c>
      <c r="AK756" s="64">
        <f>IF(BO756=1,IF(AI756&lt;=0,0,BP756*MAX(1,IF(G756&gt;0,AI756/G756,1))),AJ756*Q756)</f>
        <v/>
      </c>
      <c r="AL756" s="55">
        <f>AI756*F756</f>
        <v/>
      </c>
      <c r="AM756" s="55">
        <f>ROUNDUP(MAX(I756/IF(BS756&gt;0,BS756,MAX(0.1,N(Cockpit!$I$6))),BV756)/BN756,0)*BN756</f>
        <v/>
      </c>
      <c r="AN756" s="56">
        <f>IF(AK756&gt;0,I756/AK756,-1)</f>
        <v/>
      </c>
      <c r="AO756" s="56">
        <f>IF(AND(OR(BR756="L1",BR756="L23"),AK756&gt;0),SUMIFS($AK$7:$AK$1570,$BR$7:$BR$1570,BR756,$AN$7:$AN$1570,"&gt;"&amp;AN756)+SUMIFS($AK$7:$AK$1570,$BR$7:$BR$1570,BR756,$AN$7:$AN$1570,AN756,$BL$7:$BL$1570,"&lt;="&amp;BL756),"")</f>
        <v/>
      </c>
      <c r="AP756" s="65">
        <f>IF(AO756="",0,MAX(0,MIN(1,(IF(BR756="L1",Parameter!$K$5,Parameter!$K$6+Parameter!$K$7)-(AO756-AK756))/AK756)))</f>
        <v/>
      </c>
      <c r="AQ756" s="55">
        <f>IF(LEFT(Cockpit!$O$5,1)="A",G756,IF(BT756=1,BU756,IF(LEFT(Cockpit!$O$5,1)="B",AU756,MAX(AU756,G756))))</f>
        <v/>
      </c>
      <c r="AR756" s="55">
        <f>IF(BO756=1,0,ROUNDUP(AQ756/BN756,0))</f>
        <v/>
      </c>
      <c r="AS756" s="64">
        <f>IF(BO756=1,IF(AQ756&lt;=0,0,BP756*MAX(1,IF(G756&gt;0,AQ756/G756,1))),AR756*Q756)</f>
        <v/>
      </c>
      <c r="AT756" s="55">
        <f>AQ756*F756</f>
        <v/>
      </c>
      <c r="AU756" s="55">
        <f>ROUNDUP(MAX(I756/IF(BS756&gt;0,BS756,MAX(0.1,N(Cockpit!$O$6))),BV756)/BN756,0)*BN756</f>
        <v/>
      </c>
      <c r="AV756" s="56">
        <f>IF(AS756&gt;0,I756/AS756,-1)</f>
        <v/>
      </c>
      <c r="AW756" s="56">
        <f>IF(AND(OR(BR756="L1",BR756="L23"),AS756&gt;0),SUMIFS($AS$7:$AS$1570,$BR$7:$BR$1570,BR756,$AV$7:$AV$1570,"&gt;"&amp;AV756)+SUMIFS($AS$7:$AS$1570,$BR$7:$BR$1570,BR756,$AV$7:$AV$1570,AV756,$BL$7:$BL$1570,"&lt;="&amp;BL756),"")</f>
        <v/>
      </c>
      <c r="AX756" s="65">
        <f>IF(AW756="",0,MAX(0,MIN(1,(IF(BR756="L1",Parameter!$K$5,Parameter!$K$6+Parameter!$K$7)-(AW756-AS756))/AS756)))</f>
        <v/>
      </c>
      <c r="AY756" s="53">
        <f>IF(AC756&lt;=0,"",IF(BR756="Aussen","Aussenlager",IF(BR756="-","Nicht im Lift",IF(AH756&gt;=1,"Lift",IF(AH756&lt;=0,"Aussenlager","teilweise")))))</f>
        <v/>
      </c>
      <c r="AZ756" s="53">
        <f>IF(AK756&lt;=0,"",IF(BR756="Aussen","Aussenlager",IF(BR756="-","Nicht im Lift",IF(AP756&gt;=1,"Lift",IF(AP756&lt;=0,"Aussenlager","teilweise")))))</f>
        <v/>
      </c>
      <c r="BA756" s="53">
        <f>IF(AS756&lt;=0,"",IF(BR756="Aussen","Aussenlager",IF(BR756="-","Nicht im Lift",IF(AX756&gt;=1,"Lift",IF(AX756&lt;=0,"Aussenlager","teilweise")))))</f>
        <v/>
      </c>
      <c r="BB756" s="53">
        <f>IF(A756="","",IF(BK756=1,"Neu; ","")&amp;IF(AND(BK756=0,BF756&lt;0),"negativer Bestand (Export "&amp;BF756&amp;"); ","")&amp;IF(I756&lt;=0,"Kein Verbrauch; ","")&amp;IF(BO756=1,"Lose – Fläche geschätzt; ","")&amp;IF(G756&gt;AM756,"Überbestand "&amp;ROUND(G756-AM756,0)&amp;" Stk / CHF "&amp;ROUND((G756-AM756)*F756,0)&amp;"; ","")&amp;IF(AND(BT756=1,BU756&lt;BV756),"MAX &lt; MB+LG; ","")&amp;IF(AND(BZ756&gt;0,BY756*10&gt;BZ756),"zu hoch für Tablar; ","")&amp;IF(AND(BK756=0,OR(BT756=1,V756&lt;&gt;"",S756&lt;&gt;"",T756&lt;&gt;"",W756&lt;&gt;"")),"manuell übersteuert; ","")&amp;IF(AND(BO756=0,Q756=0),"Gebinde unbekannt; ","")&amp;IF(AND(BO756=0,N(T756)&lt;=0,N(P756)&lt;=0),"Menge pro Gebinde fehlt (Ist = 1 Gebinde); ","")&amp;BJ756)</f>
        <v/>
      </c>
      <c r="BC756" s="53" t="n"/>
      <c r="BD756" s="53" t="n"/>
      <c r="BE756" s="61" t="n"/>
      <c r="BF756" s="55" t="n">
        <v>7</v>
      </c>
      <c r="BG756" s="55" t="n">
        <v>74</v>
      </c>
      <c r="BH756" s="54" t="n">
        <v>-0.2699999999999463</v>
      </c>
      <c r="BI756" s="55" t="n">
        <v>393</v>
      </c>
      <c r="BJ756" s="53" t="inlineStr"/>
      <c r="BK756" s="58" t="n">
        <v>0</v>
      </c>
      <c r="BL756" s="58" t="n">
        <v>756</v>
      </c>
      <c r="BM756" s="53">
        <f>IF(S756&lt;&gt;"",UPPER(TRIM(S756)),IF(O756="","LOSE",O756))</f>
        <v/>
      </c>
      <c r="BN756" s="55">
        <f>IF(BM756="LOSE",1,IF(N(T756)&gt;0,T756,IF(N(P756)&gt;0,P756,MAX(1,G756))))</f>
        <v/>
      </c>
      <c r="BO756" s="58">
        <f>IF(BM756="LOSE",1,0)</f>
        <v/>
      </c>
      <c r="BP756" s="64">
        <f>IF(BO756=0,0,IF(N(R756)&gt;0,R756,IFERROR(VLOOKUP(D756,Parameter!$A$35:$C$64,3,0)+0,0)))</f>
        <v/>
      </c>
      <c r="BQ756" s="53">
        <f>IF(V756&lt;&gt;"",V756,U756)</f>
        <v/>
      </c>
      <c r="BR756" s="53">
        <f>IF(BQ756=1,"L1",IF(OR(BQ756=2,BQ756=3),"L23",IF(BQ756="Aussen","Aussen","-")))</f>
        <v/>
      </c>
      <c r="BS756" s="66">
        <f>IF(N(W756)&gt;0,W756,0)</f>
        <v/>
      </c>
      <c r="BT756" s="58">
        <f>IF(ISNUMBER(Z756),1,0)</f>
        <v/>
      </c>
      <c r="BU756" s="55">
        <f>N(Z756)</f>
        <v/>
      </c>
      <c r="BV756" s="55">
        <f>N(L756)+N(M756)</f>
        <v/>
      </c>
      <c r="BW756" s="55">
        <f>ROUNDUP(G756/BN756,0)</f>
        <v/>
      </c>
      <c r="BX756" s="55">
        <f>ROUNDUP(BU756/BN756,0)</f>
        <v/>
      </c>
      <c r="BY756" s="58">
        <f>IF(BO756=1,0,IFERROR(VLOOKUP(BM756,'Gebinde-Kategorie'!$A$5:$G$45,5,0)+0,0))</f>
        <v/>
      </c>
      <c r="BZ756" s="58">
        <f>IFERROR(IF(OR(BQ756=1,BQ756=2,BQ756=3),N(INDEX(Parameter!$I$5:$I$7,BQ756)),0),0)</f>
        <v/>
      </c>
    </row>
    <row r="757">
      <c r="A757" s="53" t="inlineStr">
        <is>
          <t>106344</t>
        </is>
      </c>
      <c r="B757" s="53" t="inlineStr">
        <is>
          <t>Zylinderschraube mit Innensechskant</t>
        </is>
      </c>
      <c r="C757" s="53" t="inlineStr">
        <is>
          <t>F</t>
        </is>
      </c>
      <c r="D757" s="53" t="inlineStr">
        <is>
          <t>KTL</t>
        </is>
      </c>
      <c r="E757" s="53" t="inlineStr">
        <is>
          <t>C</t>
        </is>
      </c>
      <c r="F757" s="54" t="n">
        <v>0.1</v>
      </c>
      <c r="G757" s="55">
        <f>MAX(0,IF(Parameter!$B$20="Jahresanfang 2025 + Export",BG757+BF757,BF757))</f>
        <v/>
      </c>
      <c r="H757" s="55">
        <f>G757*F757</f>
        <v/>
      </c>
      <c r="I757" s="55">
        <f>BI757*Parameter!$B$18</f>
        <v/>
      </c>
      <c r="J757" s="56" t="n">
        <v>366.5</v>
      </c>
      <c r="K757" s="57" t="n">
        <v>0.002728512960436562</v>
      </c>
      <c r="L757" s="55" t="n">
        <v>0</v>
      </c>
      <c r="M757" s="55" t="n">
        <v>1</v>
      </c>
      <c r="N757" s="58" t="n">
        <v>21</v>
      </c>
      <c r="O757" s="53" t="inlineStr">
        <is>
          <t>S41</t>
        </is>
      </c>
      <c r="P757" s="55" t="n">
        <v>381</v>
      </c>
      <c r="Q757" s="59">
        <f>IF(BO757=1,0,IFERROR(VLOOKUP(BM757,'Gebinde-Kategorie'!$A$5:$G$45,6,0)+0,0))</f>
        <v/>
      </c>
      <c r="R757" s="60" t="n"/>
      <c r="S757" s="61" t="n"/>
      <c r="T757" s="61" t="n"/>
      <c r="U757" s="53">
        <f>IF(A757="","",IF(IFERROR(VLOOKUP(D757,Parameter!$A$35:$C$64,2,0),"Nein")="2+3",IF(ISNUMBER(SEARCH("grosser Artikel",BJ757)),2,IFERROR(VLOOKUP(BM757,Parameter!$F$35:$G$64,2,0),2)),IF(OR(IFERROR(VLOOKUP(D757,Parameter!$A$35:$C$64,2,0),"Nein")="Nein",IFERROR(VLOOKUP(D757,Parameter!$A$35:$C$64,2,0),"Nein")=""),"-",VLOOKUP(D757,Parameter!$A$35:$C$64,2,0))))</f>
        <v/>
      </c>
      <c r="V757" s="61" t="n"/>
      <c r="W757" s="62" t="n"/>
      <c r="X757" s="55">
        <f>AM757</f>
        <v/>
      </c>
      <c r="Y757" s="55">
        <f>MAX(AM757,G757)</f>
        <v/>
      </c>
      <c r="Z757" s="63" t="n"/>
      <c r="AA757" s="55">
        <f>IF(LEFT(Cockpit!$C$5,1)="A",G757,IF(BT757=1,BU757,IF(LEFT(Cockpit!$C$5,1)="B",AE757,MAX(AE757,G757))))</f>
        <v/>
      </c>
      <c r="AB757" s="55">
        <f>IF(BO757=1,0,ROUNDUP(AA757/BN757,0))</f>
        <v/>
      </c>
      <c r="AC757" s="64">
        <f>IF(BO757=1,IF(AA757&lt;=0,0,BP757*MAX(1,IF(G757&gt;0,AA757/G757,1))),AB757*Q757)</f>
        <v/>
      </c>
      <c r="AD757" s="55">
        <f>AA757*F757</f>
        <v/>
      </c>
      <c r="AE757" s="55">
        <f>ROUNDUP(MAX(I757/IF(BS757&gt;0,BS757,MAX(0.1,N(Cockpit!$C$6))),BV757)/BN757,0)*BN757</f>
        <v/>
      </c>
      <c r="AF757" s="56">
        <f>IF(AC757&gt;0,I757/AC757,-1)</f>
        <v/>
      </c>
      <c r="AG757" s="56">
        <f>IF(AND(OR(BR757="L1",BR757="L23"),AC757&gt;0),SUMIFS($AC$7:$AC$1570,$BR$7:$BR$1570,BR757,$AF$7:$AF$1570,"&gt;"&amp;AF757)+SUMIFS($AC$7:$AC$1570,$BR$7:$BR$1570,BR757,$AF$7:$AF$1570,AF757,$BL$7:$BL$1570,"&lt;="&amp;BL757),"")</f>
        <v/>
      </c>
      <c r="AH757" s="65">
        <f>IF(AG757="",0,MAX(0,MIN(1,(IF(BR757="L1",Parameter!$K$5,Parameter!$K$6+Parameter!$K$7)-(AG757-AC757))/AC757)))</f>
        <v/>
      </c>
      <c r="AI757" s="55">
        <f>IF(LEFT(Cockpit!$I$5,1)="A",G757,IF(BT757=1,BU757,IF(LEFT(Cockpit!$I$5,1)="B",AM757,MAX(AM757,G757))))</f>
        <v/>
      </c>
      <c r="AJ757" s="55">
        <f>IF(BO757=1,0,ROUNDUP(AI757/BN757,0))</f>
        <v/>
      </c>
      <c r="AK757" s="64">
        <f>IF(BO757=1,IF(AI757&lt;=0,0,BP757*MAX(1,IF(G757&gt;0,AI757/G757,1))),AJ757*Q757)</f>
        <v/>
      </c>
      <c r="AL757" s="55">
        <f>AI757*F757</f>
        <v/>
      </c>
      <c r="AM757" s="55">
        <f>ROUNDUP(MAX(I757/IF(BS757&gt;0,BS757,MAX(0.1,N(Cockpit!$I$6))),BV757)/BN757,0)*BN757</f>
        <v/>
      </c>
      <c r="AN757" s="56">
        <f>IF(AK757&gt;0,I757/AK757,-1)</f>
        <v/>
      </c>
      <c r="AO757" s="56">
        <f>IF(AND(OR(BR757="L1",BR757="L23"),AK757&gt;0),SUMIFS($AK$7:$AK$1570,$BR$7:$BR$1570,BR757,$AN$7:$AN$1570,"&gt;"&amp;AN757)+SUMIFS($AK$7:$AK$1570,$BR$7:$BR$1570,BR757,$AN$7:$AN$1570,AN757,$BL$7:$BL$1570,"&lt;="&amp;BL757),"")</f>
        <v/>
      </c>
      <c r="AP757" s="65">
        <f>IF(AO757="",0,MAX(0,MIN(1,(IF(BR757="L1",Parameter!$K$5,Parameter!$K$6+Parameter!$K$7)-(AO757-AK757))/AK757)))</f>
        <v/>
      </c>
      <c r="AQ757" s="55">
        <f>IF(LEFT(Cockpit!$O$5,1)="A",G757,IF(BT757=1,BU757,IF(LEFT(Cockpit!$O$5,1)="B",AU757,MAX(AU757,G757))))</f>
        <v/>
      </c>
      <c r="AR757" s="55">
        <f>IF(BO757=1,0,ROUNDUP(AQ757/BN757,0))</f>
        <v/>
      </c>
      <c r="AS757" s="64">
        <f>IF(BO757=1,IF(AQ757&lt;=0,0,BP757*MAX(1,IF(G757&gt;0,AQ757/G757,1))),AR757*Q757)</f>
        <v/>
      </c>
      <c r="AT757" s="55">
        <f>AQ757*F757</f>
        <v/>
      </c>
      <c r="AU757" s="55">
        <f>ROUNDUP(MAX(I757/IF(BS757&gt;0,BS757,MAX(0.1,N(Cockpit!$O$6))),BV757)/BN757,0)*BN757</f>
        <v/>
      </c>
      <c r="AV757" s="56">
        <f>IF(AS757&gt;0,I757/AS757,-1)</f>
        <v/>
      </c>
      <c r="AW757" s="56">
        <f>IF(AND(OR(BR757="L1",BR757="L23"),AS757&gt;0),SUMIFS($AS$7:$AS$1570,$BR$7:$BR$1570,BR757,$AV$7:$AV$1570,"&gt;"&amp;AV757)+SUMIFS($AS$7:$AS$1570,$BR$7:$BR$1570,BR757,$AV$7:$AV$1570,AV757,$BL$7:$BL$1570,"&lt;="&amp;BL757),"")</f>
        <v/>
      </c>
      <c r="AX757" s="65">
        <f>IF(AW757="",0,MAX(0,MIN(1,(IF(BR757="L1",Parameter!$K$5,Parameter!$K$6+Parameter!$K$7)-(AW757-AS757))/AS757)))</f>
        <v/>
      </c>
      <c r="AY757" s="53">
        <f>IF(AC757&lt;=0,"",IF(BR757="Aussen","Aussenlager",IF(BR757="-","Nicht im Lift",IF(AH757&gt;=1,"Lift",IF(AH757&lt;=0,"Aussenlager","teilweise")))))</f>
        <v/>
      </c>
      <c r="AZ757" s="53">
        <f>IF(AK757&lt;=0,"",IF(BR757="Aussen","Aussenlager",IF(BR757="-","Nicht im Lift",IF(AP757&gt;=1,"Lift",IF(AP757&lt;=0,"Aussenlager","teilweise")))))</f>
        <v/>
      </c>
      <c r="BA757" s="53">
        <f>IF(AS757&lt;=0,"",IF(BR757="Aussen","Aussenlager",IF(BR757="-","Nicht im Lift",IF(AX757&gt;=1,"Lift",IF(AX757&lt;=0,"Aussenlager","teilweise")))))</f>
        <v/>
      </c>
      <c r="BB757" s="53">
        <f>IF(A757="","",IF(BK757=1,"Neu; ","")&amp;IF(AND(BK757=0,BF757&lt;0),"negativer Bestand (Export "&amp;BF757&amp;"); ","")&amp;IF(I757&lt;=0,"Kein Verbrauch; ","")&amp;IF(BO757=1,"Lose – Fläche geschätzt; ","")&amp;IF(G757&gt;AM757,"Überbestand "&amp;ROUND(G757-AM757,0)&amp;" Stk / CHF "&amp;ROUND((G757-AM757)*F757,0)&amp;"; ","")&amp;IF(AND(BT757=1,BU757&lt;BV757),"MAX &lt; MB+LG; ","")&amp;IF(AND(BZ757&gt;0,BY757*10&gt;BZ757),"zu hoch für Tablar; ","")&amp;IF(AND(BK757=0,OR(BT757=1,V757&lt;&gt;"",S757&lt;&gt;"",T757&lt;&gt;"",W757&lt;&gt;"")),"manuell übersteuert; ","")&amp;IF(AND(BO757=0,Q757=0),"Gebinde unbekannt; ","")&amp;IF(AND(BO757=0,N(T757)&lt;=0,N(P757)&lt;=0),"Menge pro Gebinde fehlt (Ist = 1 Gebinde); ","")&amp;BJ757)</f>
        <v/>
      </c>
      <c r="BC757" s="53" t="n"/>
      <c r="BD757" s="53" t="n"/>
      <c r="BE757" s="61" t="n"/>
      <c r="BF757" s="55" t="n">
        <v>-3</v>
      </c>
      <c r="BG757" s="55" t="n">
        <v>368</v>
      </c>
      <c r="BH757" s="54" t="n">
        <v>-0.3</v>
      </c>
      <c r="BI757" s="55" t="n">
        <v>1</v>
      </c>
      <c r="BJ757" s="53" t="inlineStr">
        <is>
          <t>Überbestand</t>
        </is>
      </c>
      <c r="BK757" s="58" t="n">
        <v>0</v>
      </c>
      <c r="BL757" s="58" t="n">
        <v>757</v>
      </c>
      <c r="BM757" s="53">
        <f>IF(S757&lt;&gt;"",UPPER(TRIM(S757)),IF(O757="","LOSE",O757))</f>
        <v/>
      </c>
      <c r="BN757" s="55">
        <f>IF(BM757="LOSE",1,IF(N(T757)&gt;0,T757,IF(N(P757)&gt;0,P757,MAX(1,G757))))</f>
        <v/>
      </c>
      <c r="BO757" s="58">
        <f>IF(BM757="LOSE",1,0)</f>
        <v/>
      </c>
      <c r="BP757" s="64">
        <f>IF(BO757=0,0,IF(N(R757)&gt;0,R757,IFERROR(VLOOKUP(D757,Parameter!$A$35:$C$64,3,0)+0,0)))</f>
        <v/>
      </c>
      <c r="BQ757" s="53">
        <f>IF(V757&lt;&gt;"",V757,U757)</f>
        <v/>
      </c>
      <c r="BR757" s="53">
        <f>IF(BQ757=1,"L1",IF(OR(BQ757=2,BQ757=3),"L23",IF(BQ757="Aussen","Aussen","-")))</f>
        <v/>
      </c>
      <c r="BS757" s="66">
        <f>IF(N(W757)&gt;0,W757,0)</f>
        <v/>
      </c>
      <c r="BT757" s="58">
        <f>IF(ISNUMBER(Z757),1,0)</f>
        <v/>
      </c>
      <c r="BU757" s="55">
        <f>N(Z757)</f>
        <v/>
      </c>
      <c r="BV757" s="55">
        <f>N(L757)+N(M757)</f>
        <v/>
      </c>
      <c r="BW757" s="55">
        <f>ROUNDUP(G757/BN757,0)</f>
        <v/>
      </c>
      <c r="BX757" s="55">
        <f>ROUNDUP(BU757/BN757,0)</f>
        <v/>
      </c>
      <c r="BY757" s="58">
        <f>IF(BO757=1,0,IFERROR(VLOOKUP(BM757,'Gebinde-Kategorie'!$A$5:$G$45,5,0)+0,0))</f>
        <v/>
      </c>
      <c r="BZ757" s="58">
        <f>IFERROR(IF(OR(BQ757=1,BQ757=2,BQ757=3),N(INDEX(Parameter!$I$5:$I$7,BQ757)),0),0)</f>
        <v/>
      </c>
    </row>
    <row r="758">
      <c r="A758" s="53" t="inlineStr">
        <is>
          <t>107852</t>
        </is>
      </c>
      <c r="B758" s="53" t="inlineStr">
        <is>
          <t>Zylinderschraube mit Innensechskant</t>
        </is>
      </c>
      <c r="C758" s="53" t="inlineStr">
        <is>
          <t>F</t>
        </is>
      </c>
      <c r="D758" s="53" t="inlineStr">
        <is>
          <t>KTL</t>
        </is>
      </c>
      <c r="E758" s="53" t="inlineStr">
        <is>
          <t>C</t>
        </is>
      </c>
      <c r="F758" s="54" t="n">
        <v>0.02</v>
      </c>
      <c r="G758" s="55">
        <f>MAX(0,IF(Parameter!$B$20="Jahresanfang 2025 + Export",BG758+BF758,BF758))</f>
        <v/>
      </c>
      <c r="H758" s="55">
        <f>G758*F758</f>
        <v/>
      </c>
      <c r="I758" s="55">
        <f>BI758*Parameter!$B$18</f>
        <v/>
      </c>
      <c r="J758" s="56" t="n">
        <v>236.5</v>
      </c>
      <c r="K758" s="57" t="n">
        <v>0.0507399577167019</v>
      </c>
      <c r="L758" s="55" t="n">
        <v>0</v>
      </c>
      <c r="M758" s="55" t="n">
        <v>10</v>
      </c>
      <c r="N758" s="58" t="n">
        <v>14</v>
      </c>
      <c r="O758" s="53" t="inlineStr">
        <is>
          <t>S33</t>
        </is>
      </c>
      <c r="P758" s="55" t="n">
        <v>500</v>
      </c>
      <c r="Q758" s="59">
        <f>IF(BO758=1,0,IFERROR(VLOOKUP(BM758,'Gebinde-Kategorie'!$A$5:$G$45,6,0)+0,0))</f>
        <v/>
      </c>
      <c r="R758" s="60" t="n"/>
      <c r="S758" s="61" t="n"/>
      <c r="T758" s="61" t="n"/>
      <c r="U758" s="53">
        <f>IF(A758="","",IF(IFERROR(VLOOKUP(D758,Parameter!$A$35:$C$64,2,0),"Nein")="2+3",IF(ISNUMBER(SEARCH("grosser Artikel",BJ758)),2,IFERROR(VLOOKUP(BM758,Parameter!$F$35:$G$64,2,0),2)),IF(OR(IFERROR(VLOOKUP(D758,Parameter!$A$35:$C$64,2,0),"Nein")="Nein",IFERROR(VLOOKUP(D758,Parameter!$A$35:$C$64,2,0),"Nein")=""),"-",VLOOKUP(D758,Parameter!$A$35:$C$64,2,0))))</f>
        <v/>
      </c>
      <c r="V758" s="61" t="n"/>
      <c r="W758" s="62" t="n"/>
      <c r="X758" s="55">
        <f>AM758</f>
        <v/>
      </c>
      <c r="Y758" s="55">
        <f>MAX(AM758,G758)</f>
        <v/>
      </c>
      <c r="Z758" s="63" t="n"/>
      <c r="AA758" s="55">
        <f>IF(LEFT(Cockpit!$C$5,1)="A",G758,IF(BT758=1,BU758,IF(LEFT(Cockpit!$C$5,1)="B",AE758,MAX(AE758,G758))))</f>
        <v/>
      </c>
      <c r="AB758" s="55">
        <f>IF(BO758=1,0,ROUNDUP(AA758/BN758,0))</f>
        <v/>
      </c>
      <c r="AC758" s="64">
        <f>IF(BO758=1,IF(AA758&lt;=0,0,BP758*MAX(1,IF(G758&gt;0,AA758/G758,1))),AB758*Q758)</f>
        <v/>
      </c>
      <c r="AD758" s="55">
        <f>AA758*F758</f>
        <v/>
      </c>
      <c r="AE758" s="55">
        <f>ROUNDUP(MAX(I758/IF(BS758&gt;0,BS758,MAX(0.1,N(Cockpit!$C$6))),BV758)/BN758,0)*BN758</f>
        <v/>
      </c>
      <c r="AF758" s="56">
        <f>IF(AC758&gt;0,I758/AC758,-1)</f>
        <v/>
      </c>
      <c r="AG758" s="56">
        <f>IF(AND(OR(BR758="L1",BR758="L23"),AC758&gt;0),SUMIFS($AC$7:$AC$1570,$BR$7:$BR$1570,BR758,$AF$7:$AF$1570,"&gt;"&amp;AF758)+SUMIFS($AC$7:$AC$1570,$BR$7:$BR$1570,BR758,$AF$7:$AF$1570,AF758,$BL$7:$BL$1570,"&lt;="&amp;BL758),"")</f>
        <v/>
      </c>
      <c r="AH758" s="65">
        <f>IF(AG758="",0,MAX(0,MIN(1,(IF(BR758="L1",Parameter!$K$5,Parameter!$K$6+Parameter!$K$7)-(AG758-AC758))/AC758)))</f>
        <v/>
      </c>
      <c r="AI758" s="55">
        <f>IF(LEFT(Cockpit!$I$5,1)="A",G758,IF(BT758=1,BU758,IF(LEFT(Cockpit!$I$5,1)="B",AM758,MAX(AM758,G758))))</f>
        <v/>
      </c>
      <c r="AJ758" s="55">
        <f>IF(BO758=1,0,ROUNDUP(AI758/BN758,0))</f>
        <v/>
      </c>
      <c r="AK758" s="64">
        <f>IF(BO758=1,IF(AI758&lt;=0,0,BP758*MAX(1,IF(G758&gt;0,AI758/G758,1))),AJ758*Q758)</f>
        <v/>
      </c>
      <c r="AL758" s="55">
        <f>AI758*F758</f>
        <v/>
      </c>
      <c r="AM758" s="55">
        <f>ROUNDUP(MAX(I758/IF(BS758&gt;0,BS758,MAX(0.1,N(Cockpit!$I$6))),BV758)/BN758,0)*BN758</f>
        <v/>
      </c>
      <c r="AN758" s="56">
        <f>IF(AK758&gt;0,I758/AK758,-1)</f>
        <v/>
      </c>
      <c r="AO758" s="56">
        <f>IF(AND(OR(BR758="L1",BR758="L23"),AK758&gt;0),SUMIFS($AK$7:$AK$1570,$BR$7:$BR$1570,BR758,$AN$7:$AN$1570,"&gt;"&amp;AN758)+SUMIFS($AK$7:$AK$1570,$BR$7:$BR$1570,BR758,$AN$7:$AN$1570,AN758,$BL$7:$BL$1570,"&lt;="&amp;BL758),"")</f>
        <v/>
      </c>
      <c r="AP758" s="65">
        <f>IF(AO758="",0,MAX(0,MIN(1,(IF(BR758="L1",Parameter!$K$5,Parameter!$K$6+Parameter!$K$7)-(AO758-AK758))/AK758)))</f>
        <v/>
      </c>
      <c r="AQ758" s="55">
        <f>IF(LEFT(Cockpit!$O$5,1)="A",G758,IF(BT758=1,BU758,IF(LEFT(Cockpit!$O$5,1)="B",AU758,MAX(AU758,G758))))</f>
        <v/>
      </c>
      <c r="AR758" s="55">
        <f>IF(BO758=1,0,ROUNDUP(AQ758/BN758,0))</f>
        <v/>
      </c>
      <c r="AS758" s="64">
        <f>IF(BO758=1,IF(AQ758&lt;=0,0,BP758*MAX(1,IF(G758&gt;0,AQ758/G758,1))),AR758*Q758)</f>
        <v/>
      </c>
      <c r="AT758" s="55">
        <f>AQ758*F758</f>
        <v/>
      </c>
      <c r="AU758" s="55">
        <f>ROUNDUP(MAX(I758/IF(BS758&gt;0,BS758,MAX(0.1,N(Cockpit!$O$6))),BV758)/BN758,0)*BN758</f>
        <v/>
      </c>
      <c r="AV758" s="56">
        <f>IF(AS758&gt;0,I758/AS758,-1)</f>
        <v/>
      </c>
      <c r="AW758" s="56">
        <f>IF(AND(OR(BR758="L1",BR758="L23"),AS758&gt;0),SUMIFS($AS$7:$AS$1570,$BR$7:$BR$1570,BR758,$AV$7:$AV$1570,"&gt;"&amp;AV758)+SUMIFS($AS$7:$AS$1570,$BR$7:$BR$1570,BR758,$AV$7:$AV$1570,AV758,$BL$7:$BL$1570,"&lt;="&amp;BL758),"")</f>
        <v/>
      </c>
      <c r="AX758" s="65">
        <f>IF(AW758="",0,MAX(0,MIN(1,(IF(BR758="L1",Parameter!$K$5,Parameter!$K$6+Parameter!$K$7)-(AW758-AS758))/AS758)))</f>
        <v/>
      </c>
      <c r="AY758" s="53">
        <f>IF(AC758&lt;=0,"",IF(BR758="Aussen","Aussenlager",IF(BR758="-","Nicht im Lift",IF(AH758&gt;=1,"Lift",IF(AH758&lt;=0,"Aussenlager","teilweise")))))</f>
        <v/>
      </c>
      <c r="AZ758" s="53">
        <f>IF(AK758&lt;=0,"",IF(BR758="Aussen","Aussenlager",IF(BR758="-","Nicht im Lift",IF(AP758&gt;=1,"Lift",IF(AP758&lt;=0,"Aussenlager","teilweise")))))</f>
        <v/>
      </c>
      <c r="BA758" s="53">
        <f>IF(AS758&lt;=0,"",IF(BR758="Aussen","Aussenlager",IF(BR758="-","Nicht im Lift",IF(AX758&gt;=1,"Lift",IF(AX758&lt;=0,"Aussenlager","teilweise")))))</f>
        <v/>
      </c>
      <c r="BB758" s="53">
        <f>IF(A758="","",IF(BK758=1,"Neu; ","")&amp;IF(AND(BK758=0,BF758&lt;0),"negativer Bestand (Export "&amp;BF758&amp;"); ","")&amp;IF(I758&lt;=0,"Kein Verbrauch; ","")&amp;IF(BO758=1,"Lose – Fläche geschätzt; ","")&amp;IF(G758&gt;AM758,"Überbestand "&amp;ROUND(G758-AM758,0)&amp;" Stk / CHF "&amp;ROUND((G758-AM758)*F758,0)&amp;"; ","")&amp;IF(AND(BT758=1,BU758&lt;BV758),"MAX &lt; MB+LG; ","")&amp;IF(AND(BZ758&gt;0,BY758*10&gt;BZ758),"zu hoch für Tablar; ","")&amp;IF(AND(BK758=0,OR(BT758=1,V758&lt;&gt;"",S758&lt;&gt;"",T758&lt;&gt;"",W758&lt;&gt;"")),"manuell übersteuert; ","")&amp;IF(AND(BO758=0,Q758=0),"Gebinde unbekannt; ","")&amp;IF(AND(BO758=0,N(T758)&lt;=0,N(P758)&lt;=0),"Menge pro Gebinde fehlt (Ist = 1 Gebinde); ","")&amp;BJ758)</f>
        <v/>
      </c>
      <c r="BC758" s="53" t="n"/>
      <c r="BD758" s="53" t="n"/>
      <c r="BE758" s="61" t="n"/>
      <c r="BF758" s="55" t="n">
        <v>-19</v>
      </c>
      <c r="BG758" s="55" t="n">
        <v>246</v>
      </c>
      <c r="BH758" s="54" t="n">
        <v>-0.38</v>
      </c>
      <c r="BI758" s="55" t="n">
        <v>12</v>
      </c>
      <c r="BJ758" s="53" t="inlineStr">
        <is>
          <t>Neu</t>
        </is>
      </c>
      <c r="BK758" s="58" t="n">
        <v>0</v>
      </c>
      <c r="BL758" s="58" t="n">
        <v>758</v>
      </c>
      <c r="BM758" s="53">
        <f>IF(S758&lt;&gt;"",UPPER(TRIM(S758)),IF(O758="","LOSE",O758))</f>
        <v/>
      </c>
      <c r="BN758" s="55">
        <f>IF(BM758="LOSE",1,IF(N(T758)&gt;0,T758,IF(N(P758)&gt;0,P758,MAX(1,G758))))</f>
        <v/>
      </c>
      <c r="BO758" s="58">
        <f>IF(BM758="LOSE",1,0)</f>
        <v/>
      </c>
      <c r="BP758" s="64">
        <f>IF(BO758=0,0,IF(N(R758)&gt;0,R758,IFERROR(VLOOKUP(D758,Parameter!$A$35:$C$64,3,0)+0,0)))</f>
        <v/>
      </c>
      <c r="BQ758" s="53">
        <f>IF(V758&lt;&gt;"",V758,U758)</f>
        <v/>
      </c>
      <c r="BR758" s="53">
        <f>IF(BQ758=1,"L1",IF(OR(BQ758=2,BQ758=3),"L23",IF(BQ758="Aussen","Aussen","-")))</f>
        <v/>
      </c>
      <c r="BS758" s="66">
        <f>IF(N(W758)&gt;0,W758,0)</f>
        <v/>
      </c>
      <c r="BT758" s="58">
        <f>IF(ISNUMBER(Z758),1,0)</f>
        <v/>
      </c>
      <c r="BU758" s="55">
        <f>N(Z758)</f>
        <v/>
      </c>
      <c r="BV758" s="55">
        <f>N(L758)+N(M758)</f>
        <v/>
      </c>
      <c r="BW758" s="55">
        <f>ROUNDUP(G758/BN758,0)</f>
        <v/>
      </c>
      <c r="BX758" s="55">
        <f>ROUNDUP(BU758/BN758,0)</f>
        <v/>
      </c>
      <c r="BY758" s="58">
        <f>IF(BO758=1,0,IFERROR(VLOOKUP(BM758,'Gebinde-Kategorie'!$A$5:$G$45,5,0)+0,0))</f>
        <v/>
      </c>
      <c r="BZ758" s="58">
        <f>IFERROR(IF(OR(BQ758=1,BQ758=2,BQ758=3),N(INDEX(Parameter!$I$5:$I$7,BQ758)),0),0)</f>
        <v/>
      </c>
    </row>
    <row r="759">
      <c r="A759" s="53" t="inlineStr">
        <is>
          <t>102093</t>
        </is>
      </c>
      <c r="B759" s="53" t="inlineStr">
        <is>
          <t>Zylinderschraube mit Innensechskant</t>
        </is>
      </c>
      <c r="C759" s="53" t="inlineStr">
        <is>
          <t>F</t>
        </is>
      </c>
      <c r="D759" s="53" t="inlineStr">
        <is>
          <t>KTL</t>
        </is>
      </c>
      <c r="E759" s="53" t="inlineStr">
        <is>
          <t>C</t>
        </is>
      </c>
      <c r="F759" s="54" t="n">
        <v>0.03</v>
      </c>
      <c r="G759" s="55">
        <f>MAX(0,IF(Parameter!$B$20="Jahresanfang 2025 + Export",BG759+BF759,BF759))</f>
        <v/>
      </c>
      <c r="H759" s="55">
        <f>G759*F759</f>
        <v/>
      </c>
      <c r="I759" s="55">
        <f>BI759*Parameter!$B$18</f>
        <v/>
      </c>
      <c r="J759" s="56" t="n">
        <v>220</v>
      </c>
      <c r="K759" s="57" t="n">
        <v>0</v>
      </c>
      <c r="L759" s="55" t="n">
        <v>0</v>
      </c>
      <c r="M759" s="55" t="n">
        <v>1</v>
      </c>
      <c r="N759" s="58" t="n">
        <v>14</v>
      </c>
      <c r="O759" s="53" t="inlineStr">
        <is>
          <t>S22</t>
        </is>
      </c>
      <c r="P759" s="55" t="n">
        <v>259</v>
      </c>
      <c r="Q759" s="59">
        <f>IF(BO759=1,0,IFERROR(VLOOKUP(BM759,'Gebinde-Kategorie'!$A$5:$G$45,6,0)+0,0))</f>
        <v/>
      </c>
      <c r="R759" s="60" t="n"/>
      <c r="S759" s="61" t="n"/>
      <c r="T759" s="61" t="n"/>
      <c r="U759" s="53">
        <f>IF(A759="","",IF(IFERROR(VLOOKUP(D759,Parameter!$A$35:$C$64,2,0),"Nein")="2+3",IF(ISNUMBER(SEARCH("grosser Artikel",BJ759)),2,IFERROR(VLOOKUP(BM759,Parameter!$F$35:$G$64,2,0),2)),IF(OR(IFERROR(VLOOKUP(D759,Parameter!$A$35:$C$64,2,0),"Nein")="Nein",IFERROR(VLOOKUP(D759,Parameter!$A$35:$C$64,2,0),"Nein")=""),"-",VLOOKUP(D759,Parameter!$A$35:$C$64,2,0))))</f>
        <v/>
      </c>
      <c r="V759" s="61" t="n"/>
      <c r="W759" s="62" t="n"/>
      <c r="X759" s="55">
        <f>AM759</f>
        <v/>
      </c>
      <c r="Y759" s="55">
        <f>MAX(AM759,G759)</f>
        <v/>
      </c>
      <c r="Z759" s="63" t="n"/>
      <c r="AA759" s="55">
        <f>IF(LEFT(Cockpit!$C$5,1)="A",G759,IF(BT759=1,BU759,IF(LEFT(Cockpit!$C$5,1)="B",AE759,MAX(AE759,G759))))</f>
        <v/>
      </c>
      <c r="AB759" s="55">
        <f>IF(BO759=1,0,ROUNDUP(AA759/BN759,0))</f>
        <v/>
      </c>
      <c r="AC759" s="64">
        <f>IF(BO759=1,IF(AA759&lt;=0,0,BP759*MAX(1,IF(G759&gt;0,AA759/G759,1))),AB759*Q759)</f>
        <v/>
      </c>
      <c r="AD759" s="55">
        <f>AA759*F759</f>
        <v/>
      </c>
      <c r="AE759" s="55">
        <f>ROUNDUP(MAX(I759/IF(BS759&gt;0,BS759,MAX(0.1,N(Cockpit!$C$6))),BV759)/BN759,0)*BN759</f>
        <v/>
      </c>
      <c r="AF759" s="56">
        <f>IF(AC759&gt;0,I759/AC759,-1)</f>
        <v/>
      </c>
      <c r="AG759" s="56">
        <f>IF(AND(OR(BR759="L1",BR759="L23"),AC759&gt;0),SUMIFS($AC$7:$AC$1570,$BR$7:$BR$1570,BR759,$AF$7:$AF$1570,"&gt;"&amp;AF759)+SUMIFS($AC$7:$AC$1570,$BR$7:$BR$1570,BR759,$AF$7:$AF$1570,AF759,$BL$7:$BL$1570,"&lt;="&amp;BL759),"")</f>
        <v/>
      </c>
      <c r="AH759" s="65">
        <f>IF(AG759="",0,MAX(0,MIN(1,(IF(BR759="L1",Parameter!$K$5,Parameter!$K$6+Parameter!$K$7)-(AG759-AC759))/AC759)))</f>
        <v/>
      </c>
      <c r="AI759" s="55">
        <f>IF(LEFT(Cockpit!$I$5,1)="A",G759,IF(BT759=1,BU759,IF(LEFT(Cockpit!$I$5,1)="B",AM759,MAX(AM759,G759))))</f>
        <v/>
      </c>
      <c r="AJ759" s="55">
        <f>IF(BO759=1,0,ROUNDUP(AI759/BN759,0))</f>
        <v/>
      </c>
      <c r="AK759" s="64">
        <f>IF(BO759=1,IF(AI759&lt;=0,0,BP759*MAX(1,IF(G759&gt;0,AI759/G759,1))),AJ759*Q759)</f>
        <v/>
      </c>
      <c r="AL759" s="55">
        <f>AI759*F759</f>
        <v/>
      </c>
      <c r="AM759" s="55">
        <f>ROUNDUP(MAX(I759/IF(BS759&gt;0,BS759,MAX(0.1,N(Cockpit!$I$6))),BV759)/BN759,0)*BN759</f>
        <v/>
      </c>
      <c r="AN759" s="56">
        <f>IF(AK759&gt;0,I759/AK759,-1)</f>
        <v/>
      </c>
      <c r="AO759" s="56">
        <f>IF(AND(OR(BR759="L1",BR759="L23"),AK759&gt;0),SUMIFS($AK$7:$AK$1570,$BR$7:$BR$1570,BR759,$AN$7:$AN$1570,"&gt;"&amp;AN759)+SUMIFS($AK$7:$AK$1570,$BR$7:$BR$1570,BR759,$AN$7:$AN$1570,AN759,$BL$7:$BL$1570,"&lt;="&amp;BL759),"")</f>
        <v/>
      </c>
      <c r="AP759" s="65">
        <f>IF(AO759="",0,MAX(0,MIN(1,(IF(BR759="L1",Parameter!$K$5,Parameter!$K$6+Parameter!$K$7)-(AO759-AK759))/AK759)))</f>
        <v/>
      </c>
      <c r="AQ759" s="55">
        <f>IF(LEFT(Cockpit!$O$5,1)="A",G759,IF(BT759=1,BU759,IF(LEFT(Cockpit!$O$5,1)="B",AU759,MAX(AU759,G759))))</f>
        <v/>
      </c>
      <c r="AR759" s="55">
        <f>IF(BO759=1,0,ROUNDUP(AQ759/BN759,0))</f>
        <v/>
      </c>
      <c r="AS759" s="64">
        <f>IF(BO759=1,IF(AQ759&lt;=0,0,BP759*MAX(1,IF(G759&gt;0,AQ759/G759,1))),AR759*Q759)</f>
        <v/>
      </c>
      <c r="AT759" s="55">
        <f>AQ759*F759</f>
        <v/>
      </c>
      <c r="AU759" s="55">
        <f>ROUNDUP(MAX(I759/IF(BS759&gt;0,BS759,MAX(0.1,N(Cockpit!$O$6))),BV759)/BN759,0)*BN759</f>
        <v/>
      </c>
      <c r="AV759" s="56">
        <f>IF(AS759&gt;0,I759/AS759,-1)</f>
        <v/>
      </c>
      <c r="AW759" s="56">
        <f>IF(AND(OR(BR759="L1",BR759="L23"),AS759&gt;0),SUMIFS($AS$7:$AS$1570,$BR$7:$BR$1570,BR759,$AV$7:$AV$1570,"&gt;"&amp;AV759)+SUMIFS($AS$7:$AS$1570,$BR$7:$BR$1570,BR759,$AV$7:$AV$1570,AV759,$BL$7:$BL$1570,"&lt;="&amp;BL759),"")</f>
        <v/>
      </c>
      <c r="AX759" s="65">
        <f>IF(AW759="",0,MAX(0,MIN(1,(IF(BR759="L1",Parameter!$K$5,Parameter!$K$6+Parameter!$K$7)-(AW759-AS759))/AS759)))</f>
        <v/>
      </c>
      <c r="AY759" s="53">
        <f>IF(AC759&lt;=0,"",IF(BR759="Aussen","Aussenlager",IF(BR759="-","Nicht im Lift",IF(AH759&gt;=1,"Lift",IF(AH759&lt;=0,"Aussenlager","teilweise")))))</f>
        <v/>
      </c>
      <c r="AZ759" s="53">
        <f>IF(AK759&lt;=0,"",IF(BR759="Aussen","Aussenlager",IF(BR759="-","Nicht im Lift",IF(AP759&gt;=1,"Lift",IF(AP759&lt;=0,"Aussenlager","teilweise")))))</f>
        <v/>
      </c>
      <c r="BA759" s="53">
        <f>IF(AS759&lt;=0,"",IF(BR759="Aussen","Aussenlager",IF(BR759="-","Nicht im Lift",IF(AX759&gt;=1,"Lift",IF(AX759&lt;=0,"Aussenlager","teilweise")))))</f>
        <v/>
      </c>
      <c r="BB759" s="53">
        <f>IF(A759="","",IF(BK759=1,"Neu; ","")&amp;IF(AND(BK759=0,BF759&lt;0),"negativer Bestand (Export "&amp;BF759&amp;"); ","")&amp;IF(I759&lt;=0,"Kein Verbrauch; ","")&amp;IF(BO759=1,"Lose – Fläche geschätzt; ","")&amp;IF(G759&gt;AM759,"Überbestand "&amp;ROUND(G759-AM759,0)&amp;" Stk / CHF "&amp;ROUND((G759-AM759)*F759,0)&amp;"; ","")&amp;IF(AND(BT759=1,BU759&lt;BV759),"MAX &lt; MB+LG; ","")&amp;IF(AND(BZ759&gt;0,BY759*10&gt;BZ759),"zu hoch für Tablar; ","")&amp;IF(AND(BK759=0,OR(BT759=1,V759&lt;&gt;"",S759&lt;&gt;"",T759&lt;&gt;"",W759&lt;&gt;"")),"manuell übersteuert; ","")&amp;IF(AND(BO759=0,Q759=0),"Gebinde unbekannt; ","")&amp;IF(AND(BO759=0,N(T759)&lt;=0,N(P759)&lt;=0),"Menge pro Gebinde fehlt (Ist = 1 Gebinde); ","")&amp;BJ759)</f>
        <v/>
      </c>
      <c r="BC759" s="53" t="n"/>
      <c r="BD759" s="53" t="n"/>
      <c r="BE759" s="61" t="n"/>
      <c r="BF759" s="55" t="n">
        <v>-20</v>
      </c>
      <c r="BG759" s="55" t="n">
        <v>225</v>
      </c>
      <c r="BH759" s="54" t="n">
        <v>-0.6</v>
      </c>
      <c r="BI759" s="55" t="n">
        <v>0</v>
      </c>
      <c r="BJ759" s="53" t="inlineStr">
        <is>
          <t>Überbestand</t>
        </is>
      </c>
      <c r="BK759" s="58" t="n">
        <v>0</v>
      </c>
      <c r="BL759" s="58" t="n">
        <v>759</v>
      </c>
      <c r="BM759" s="53">
        <f>IF(S759&lt;&gt;"",UPPER(TRIM(S759)),IF(O759="","LOSE",O759))</f>
        <v/>
      </c>
      <c r="BN759" s="55">
        <f>IF(BM759="LOSE",1,IF(N(T759)&gt;0,T759,IF(N(P759)&gt;0,P759,MAX(1,G759))))</f>
        <v/>
      </c>
      <c r="BO759" s="58">
        <f>IF(BM759="LOSE",1,0)</f>
        <v/>
      </c>
      <c r="BP759" s="64">
        <f>IF(BO759=0,0,IF(N(R759)&gt;0,R759,IFERROR(VLOOKUP(D759,Parameter!$A$35:$C$64,3,0)+0,0)))</f>
        <v/>
      </c>
      <c r="BQ759" s="53">
        <f>IF(V759&lt;&gt;"",V759,U759)</f>
        <v/>
      </c>
      <c r="BR759" s="53">
        <f>IF(BQ759=1,"L1",IF(OR(BQ759=2,BQ759=3),"L23",IF(BQ759="Aussen","Aussen","-")))</f>
        <v/>
      </c>
      <c r="BS759" s="66">
        <f>IF(N(W759)&gt;0,W759,0)</f>
        <v/>
      </c>
      <c r="BT759" s="58">
        <f>IF(ISNUMBER(Z759),1,0)</f>
        <v/>
      </c>
      <c r="BU759" s="55">
        <f>N(Z759)</f>
        <v/>
      </c>
      <c r="BV759" s="55">
        <f>N(L759)+N(M759)</f>
        <v/>
      </c>
      <c r="BW759" s="55">
        <f>ROUNDUP(G759/BN759,0)</f>
        <v/>
      </c>
      <c r="BX759" s="55">
        <f>ROUNDUP(BU759/BN759,0)</f>
        <v/>
      </c>
      <c r="BY759" s="58">
        <f>IF(BO759=1,0,IFERROR(VLOOKUP(BM759,'Gebinde-Kategorie'!$A$5:$G$45,5,0)+0,0))</f>
        <v/>
      </c>
      <c r="BZ759" s="58">
        <f>IFERROR(IF(OR(BQ759=1,BQ759=2,BQ759=3),N(INDEX(Parameter!$I$5:$I$7,BQ759)),0),0)</f>
        <v/>
      </c>
    </row>
    <row r="760">
      <c r="A760" s="53" t="inlineStr">
        <is>
          <t>102439</t>
        </is>
      </c>
      <c r="B760" s="53" t="inlineStr">
        <is>
          <t>Senkschraube mit Innensechskant</t>
        </is>
      </c>
      <c r="C760" s="53" t="inlineStr">
        <is>
          <t>F</t>
        </is>
      </c>
      <c r="D760" s="53" t="inlineStr">
        <is>
          <t>KTL</t>
        </is>
      </c>
      <c r="E760" s="53" t="inlineStr">
        <is>
          <t>C</t>
        </is>
      </c>
      <c r="F760" s="54" t="n">
        <v>0.09</v>
      </c>
      <c r="G760" s="55">
        <f>MAX(0,IF(Parameter!$B$20="Jahresanfang 2025 + Export",BG760+BF760,BF760))</f>
        <v/>
      </c>
      <c r="H760" s="55">
        <f>G760*F760</f>
        <v/>
      </c>
      <c r="I760" s="55">
        <f>BI760*Parameter!$B$18</f>
        <v/>
      </c>
      <c r="J760" s="56" t="n">
        <v>301.5</v>
      </c>
      <c r="K760" s="57" t="n">
        <v>0.01326699834162521</v>
      </c>
      <c r="L760" s="55" t="n">
        <v>0</v>
      </c>
      <c r="M760" s="55" t="n">
        <v>5</v>
      </c>
      <c r="N760" s="58" t="n">
        <v>21</v>
      </c>
      <c r="O760" s="53" t="inlineStr">
        <is>
          <t>S22</t>
        </is>
      </c>
      <c r="P760" s="55" t="n">
        <v>300</v>
      </c>
      <c r="Q760" s="59">
        <f>IF(BO760=1,0,IFERROR(VLOOKUP(BM760,'Gebinde-Kategorie'!$A$5:$G$45,6,0)+0,0))</f>
        <v/>
      </c>
      <c r="R760" s="60" t="n"/>
      <c r="S760" s="61" t="n"/>
      <c r="T760" s="61" t="n"/>
      <c r="U760" s="53">
        <f>IF(A760="","",IF(IFERROR(VLOOKUP(D760,Parameter!$A$35:$C$64,2,0),"Nein")="2+3",IF(ISNUMBER(SEARCH("grosser Artikel",BJ760)),2,IFERROR(VLOOKUP(BM760,Parameter!$F$35:$G$64,2,0),2)),IF(OR(IFERROR(VLOOKUP(D760,Parameter!$A$35:$C$64,2,0),"Nein")="Nein",IFERROR(VLOOKUP(D760,Parameter!$A$35:$C$64,2,0),"Nein")=""),"-",VLOOKUP(D760,Parameter!$A$35:$C$64,2,0))))</f>
        <v/>
      </c>
      <c r="V760" s="61" t="n"/>
      <c r="W760" s="62" t="n"/>
      <c r="X760" s="55">
        <f>AM760</f>
        <v/>
      </c>
      <c r="Y760" s="55">
        <f>MAX(AM760,G760)</f>
        <v/>
      </c>
      <c r="Z760" s="63" t="n"/>
      <c r="AA760" s="55">
        <f>IF(LEFT(Cockpit!$C$5,1)="A",G760,IF(BT760=1,BU760,IF(LEFT(Cockpit!$C$5,1)="B",AE760,MAX(AE760,G760))))</f>
        <v/>
      </c>
      <c r="AB760" s="55">
        <f>IF(BO760=1,0,ROUNDUP(AA760/BN760,0))</f>
        <v/>
      </c>
      <c r="AC760" s="64">
        <f>IF(BO760=1,IF(AA760&lt;=0,0,BP760*MAX(1,IF(G760&gt;0,AA760/G760,1))),AB760*Q760)</f>
        <v/>
      </c>
      <c r="AD760" s="55">
        <f>AA760*F760</f>
        <v/>
      </c>
      <c r="AE760" s="55">
        <f>ROUNDUP(MAX(I760/IF(BS760&gt;0,BS760,MAX(0.1,N(Cockpit!$C$6))),BV760)/BN760,0)*BN760</f>
        <v/>
      </c>
      <c r="AF760" s="56">
        <f>IF(AC760&gt;0,I760/AC760,-1)</f>
        <v/>
      </c>
      <c r="AG760" s="56">
        <f>IF(AND(OR(BR760="L1",BR760="L23"),AC760&gt;0),SUMIFS($AC$7:$AC$1570,$BR$7:$BR$1570,BR760,$AF$7:$AF$1570,"&gt;"&amp;AF760)+SUMIFS($AC$7:$AC$1570,$BR$7:$BR$1570,BR760,$AF$7:$AF$1570,AF760,$BL$7:$BL$1570,"&lt;="&amp;BL760),"")</f>
        <v/>
      </c>
      <c r="AH760" s="65">
        <f>IF(AG760="",0,MAX(0,MIN(1,(IF(BR760="L1",Parameter!$K$5,Parameter!$K$6+Parameter!$K$7)-(AG760-AC760))/AC760)))</f>
        <v/>
      </c>
      <c r="AI760" s="55">
        <f>IF(LEFT(Cockpit!$I$5,1)="A",G760,IF(BT760=1,BU760,IF(LEFT(Cockpit!$I$5,1)="B",AM760,MAX(AM760,G760))))</f>
        <v/>
      </c>
      <c r="AJ760" s="55">
        <f>IF(BO760=1,0,ROUNDUP(AI760/BN760,0))</f>
        <v/>
      </c>
      <c r="AK760" s="64">
        <f>IF(BO760=1,IF(AI760&lt;=0,0,BP760*MAX(1,IF(G760&gt;0,AI760/G760,1))),AJ760*Q760)</f>
        <v/>
      </c>
      <c r="AL760" s="55">
        <f>AI760*F760</f>
        <v/>
      </c>
      <c r="AM760" s="55">
        <f>ROUNDUP(MAX(I760/IF(BS760&gt;0,BS760,MAX(0.1,N(Cockpit!$I$6))),BV760)/BN760,0)*BN760</f>
        <v/>
      </c>
      <c r="AN760" s="56">
        <f>IF(AK760&gt;0,I760/AK760,-1)</f>
        <v/>
      </c>
      <c r="AO760" s="56">
        <f>IF(AND(OR(BR760="L1",BR760="L23"),AK760&gt;0),SUMIFS($AK$7:$AK$1570,$BR$7:$BR$1570,BR760,$AN$7:$AN$1570,"&gt;"&amp;AN760)+SUMIFS($AK$7:$AK$1570,$BR$7:$BR$1570,BR760,$AN$7:$AN$1570,AN760,$BL$7:$BL$1570,"&lt;="&amp;BL760),"")</f>
        <v/>
      </c>
      <c r="AP760" s="65">
        <f>IF(AO760="",0,MAX(0,MIN(1,(IF(BR760="L1",Parameter!$K$5,Parameter!$K$6+Parameter!$K$7)-(AO760-AK760))/AK760)))</f>
        <v/>
      </c>
      <c r="AQ760" s="55">
        <f>IF(LEFT(Cockpit!$O$5,1)="A",G760,IF(BT760=1,BU760,IF(LEFT(Cockpit!$O$5,1)="B",AU760,MAX(AU760,G760))))</f>
        <v/>
      </c>
      <c r="AR760" s="55">
        <f>IF(BO760=1,0,ROUNDUP(AQ760/BN760,0))</f>
        <v/>
      </c>
      <c r="AS760" s="64">
        <f>IF(BO760=1,IF(AQ760&lt;=0,0,BP760*MAX(1,IF(G760&gt;0,AQ760/G760,1))),AR760*Q760)</f>
        <v/>
      </c>
      <c r="AT760" s="55">
        <f>AQ760*F760</f>
        <v/>
      </c>
      <c r="AU760" s="55">
        <f>ROUNDUP(MAX(I760/IF(BS760&gt;0,BS760,MAX(0.1,N(Cockpit!$O$6))),BV760)/BN760,0)*BN760</f>
        <v/>
      </c>
      <c r="AV760" s="56">
        <f>IF(AS760&gt;0,I760/AS760,-1)</f>
        <v/>
      </c>
      <c r="AW760" s="56">
        <f>IF(AND(OR(BR760="L1",BR760="L23"),AS760&gt;0),SUMIFS($AS$7:$AS$1570,$BR$7:$BR$1570,BR760,$AV$7:$AV$1570,"&gt;"&amp;AV760)+SUMIFS($AS$7:$AS$1570,$BR$7:$BR$1570,BR760,$AV$7:$AV$1570,AV760,$BL$7:$BL$1570,"&lt;="&amp;BL760),"")</f>
        <v/>
      </c>
      <c r="AX760" s="65">
        <f>IF(AW760="",0,MAX(0,MIN(1,(IF(BR760="L1",Parameter!$K$5,Parameter!$K$6+Parameter!$K$7)-(AW760-AS760))/AS760)))</f>
        <v/>
      </c>
      <c r="AY760" s="53">
        <f>IF(AC760&lt;=0,"",IF(BR760="Aussen","Aussenlager",IF(BR760="-","Nicht im Lift",IF(AH760&gt;=1,"Lift",IF(AH760&lt;=0,"Aussenlager","teilweise")))))</f>
        <v/>
      </c>
      <c r="AZ760" s="53">
        <f>IF(AK760&lt;=0,"",IF(BR760="Aussen","Aussenlager",IF(BR760="-","Nicht im Lift",IF(AP760&gt;=1,"Lift",IF(AP760&lt;=0,"Aussenlager","teilweise")))))</f>
        <v/>
      </c>
      <c r="BA760" s="53">
        <f>IF(AS760&lt;=0,"",IF(BR760="Aussen","Aussenlager",IF(BR760="-","Nicht im Lift",IF(AX760&gt;=1,"Lift",IF(AX760&lt;=0,"Aussenlager","teilweise")))))</f>
        <v/>
      </c>
      <c r="BB760" s="53">
        <f>IF(A760="","",IF(BK760=1,"Neu; ","")&amp;IF(AND(BK760=0,BF760&lt;0),"negativer Bestand (Export "&amp;BF760&amp;"); ","")&amp;IF(I760&lt;=0,"Kein Verbrauch; ","")&amp;IF(BO760=1,"Lose – Fläche geschätzt; ","")&amp;IF(G760&gt;AM760,"Überbestand "&amp;ROUND(G760-AM760,0)&amp;" Stk / CHF "&amp;ROUND((G760-AM760)*F760,0)&amp;"; ","")&amp;IF(AND(BT760=1,BU760&lt;BV760),"MAX &lt; MB+LG; ","")&amp;IF(AND(BZ760&gt;0,BY760*10&gt;BZ760),"zu hoch für Tablar; ","")&amp;IF(AND(BK760=0,OR(BT760=1,V760&lt;&gt;"",S760&lt;&gt;"",T760&lt;&gt;"",W760&lt;&gt;"")),"manuell übersteuert; ","")&amp;IF(AND(BO760=0,Q760=0),"Gebinde unbekannt; ","")&amp;IF(AND(BO760=0,N(T760)&lt;=0,N(P760)&lt;=0),"Menge pro Gebinde fehlt (Ist = 1 Gebinde); ","")&amp;BJ760)</f>
        <v/>
      </c>
      <c r="BC760" s="53" t="n"/>
      <c r="BD760" s="53" t="n"/>
      <c r="BE760" s="61" t="n"/>
      <c r="BF760" s="55" t="n">
        <v>-7</v>
      </c>
      <c r="BG760" s="55" t="n">
        <v>305</v>
      </c>
      <c r="BH760" s="54" t="n">
        <v>-0.63</v>
      </c>
      <c r="BI760" s="55" t="n">
        <v>4</v>
      </c>
      <c r="BJ760" s="53" t="inlineStr"/>
      <c r="BK760" s="58" t="n">
        <v>0</v>
      </c>
      <c r="BL760" s="58" t="n">
        <v>760</v>
      </c>
      <c r="BM760" s="53">
        <f>IF(S760&lt;&gt;"",UPPER(TRIM(S760)),IF(O760="","LOSE",O760))</f>
        <v/>
      </c>
      <c r="BN760" s="55">
        <f>IF(BM760="LOSE",1,IF(N(T760)&gt;0,T760,IF(N(P760)&gt;0,P760,MAX(1,G760))))</f>
        <v/>
      </c>
      <c r="BO760" s="58">
        <f>IF(BM760="LOSE",1,0)</f>
        <v/>
      </c>
      <c r="BP760" s="64">
        <f>IF(BO760=0,0,IF(N(R760)&gt;0,R760,IFERROR(VLOOKUP(D760,Parameter!$A$35:$C$64,3,0)+0,0)))</f>
        <v/>
      </c>
      <c r="BQ760" s="53">
        <f>IF(V760&lt;&gt;"",V760,U760)</f>
        <v/>
      </c>
      <c r="BR760" s="53">
        <f>IF(BQ760=1,"L1",IF(OR(BQ760=2,BQ760=3),"L23",IF(BQ760="Aussen","Aussen","-")))</f>
        <v/>
      </c>
      <c r="BS760" s="66">
        <f>IF(N(W760)&gt;0,W760,0)</f>
        <v/>
      </c>
      <c r="BT760" s="58">
        <f>IF(ISNUMBER(Z760),1,0)</f>
        <v/>
      </c>
      <c r="BU760" s="55">
        <f>N(Z760)</f>
        <v/>
      </c>
      <c r="BV760" s="55">
        <f>N(L760)+N(M760)</f>
        <v/>
      </c>
      <c r="BW760" s="55">
        <f>ROUNDUP(G760/BN760,0)</f>
        <v/>
      </c>
      <c r="BX760" s="55">
        <f>ROUNDUP(BU760/BN760,0)</f>
        <v/>
      </c>
      <c r="BY760" s="58">
        <f>IF(BO760=1,0,IFERROR(VLOOKUP(BM760,'Gebinde-Kategorie'!$A$5:$G$45,5,0)+0,0))</f>
        <v/>
      </c>
      <c r="BZ760" s="58">
        <f>IFERROR(IF(OR(BQ760=1,BQ760=2,BQ760=3),N(INDEX(Parameter!$I$5:$I$7,BQ760)),0),0)</f>
        <v/>
      </c>
    </row>
    <row r="761">
      <c r="A761" s="53" t="inlineStr">
        <is>
          <t>110027</t>
        </is>
      </c>
      <c r="B761" s="53" t="inlineStr">
        <is>
          <t>Service Checklist SPGr10 SVC1</t>
        </is>
      </c>
      <c r="C761" s="53" t="inlineStr">
        <is>
          <t>G</t>
        </is>
      </c>
      <c r="D761" s="53" t="inlineStr">
        <is>
          <t>PAL</t>
        </is>
      </c>
      <c r="E761" s="53" t="inlineStr">
        <is>
          <t>C</t>
        </is>
      </c>
      <c r="F761" s="54" t="n">
        <v>0.01</v>
      </c>
      <c r="G761" s="55">
        <f>MAX(0,IF(Parameter!$B$20="Jahresanfang 2025 + Export",BG761+BF761,BF761))</f>
        <v/>
      </c>
      <c r="H761" s="55">
        <f>G761*F761</f>
        <v/>
      </c>
      <c r="I761" s="55">
        <f>BI761*Parameter!$B$18</f>
        <v/>
      </c>
      <c r="J761" s="56" t="n">
        <v>79.5</v>
      </c>
      <c r="K761" s="57" t="n">
        <v>0.440251572327044</v>
      </c>
      <c r="L761" s="55" t="n">
        <v>0</v>
      </c>
      <c r="M761" s="55" t="n">
        <v>105</v>
      </c>
      <c r="N761" s="58" t="n">
        <v>14</v>
      </c>
      <c r="O761" s="53" t="inlineStr">
        <is>
          <t>LOSE</t>
        </is>
      </c>
      <c r="P761" s="55" t="n"/>
      <c r="Q761" s="59">
        <f>IF(BO761=1,0,IFERROR(VLOOKUP(BM761,'Gebinde-Kategorie'!$A$5:$G$45,6,0)+0,0))</f>
        <v/>
      </c>
      <c r="R761" s="60" t="n"/>
      <c r="S761" s="61" t="n"/>
      <c r="T761" s="61" t="n"/>
      <c r="U761" s="53">
        <f>IF(A761="","",IF(IFERROR(VLOOKUP(D761,Parameter!$A$35:$C$64,2,0),"Nein")="2+3",IF(ISNUMBER(SEARCH("grosser Artikel",BJ761)),2,IFERROR(VLOOKUP(BM761,Parameter!$F$35:$G$64,2,0),2)),IF(OR(IFERROR(VLOOKUP(D761,Parameter!$A$35:$C$64,2,0),"Nein")="Nein",IFERROR(VLOOKUP(D761,Parameter!$A$35:$C$64,2,0),"Nein")=""),"-",VLOOKUP(D761,Parameter!$A$35:$C$64,2,0))))</f>
        <v/>
      </c>
      <c r="V761" s="61" t="n"/>
      <c r="W761" s="62" t="n"/>
      <c r="X761" s="55">
        <f>AM761</f>
        <v/>
      </c>
      <c r="Y761" s="55">
        <f>MAX(AM761,G761)</f>
        <v/>
      </c>
      <c r="Z761" s="63" t="n"/>
      <c r="AA761" s="55">
        <f>IF(LEFT(Cockpit!$C$5,1)="A",G761,IF(BT761=1,BU761,IF(LEFT(Cockpit!$C$5,1)="B",AE761,MAX(AE761,G761))))</f>
        <v/>
      </c>
      <c r="AB761" s="55">
        <f>IF(BO761=1,0,ROUNDUP(AA761/BN761,0))</f>
        <v/>
      </c>
      <c r="AC761" s="64">
        <f>IF(BO761=1,IF(AA761&lt;=0,0,BP761*MAX(1,IF(G761&gt;0,AA761/G761,1))),AB761*Q761)</f>
        <v/>
      </c>
      <c r="AD761" s="55">
        <f>AA761*F761</f>
        <v/>
      </c>
      <c r="AE761" s="55">
        <f>ROUNDUP(MAX(I761/IF(BS761&gt;0,BS761,MAX(0.1,N(Cockpit!$C$6))),BV761)/BN761,0)*BN761</f>
        <v/>
      </c>
      <c r="AF761" s="56">
        <f>IF(AC761&gt;0,I761/AC761,-1)</f>
        <v/>
      </c>
      <c r="AG761" s="56">
        <f>IF(AND(OR(BR761="L1",BR761="L23"),AC761&gt;0),SUMIFS($AC$7:$AC$1570,$BR$7:$BR$1570,BR761,$AF$7:$AF$1570,"&gt;"&amp;AF761)+SUMIFS($AC$7:$AC$1570,$BR$7:$BR$1570,BR761,$AF$7:$AF$1570,AF761,$BL$7:$BL$1570,"&lt;="&amp;BL761),"")</f>
        <v/>
      </c>
      <c r="AH761" s="65">
        <f>IF(AG761="",0,MAX(0,MIN(1,(IF(BR761="L1",Parameter!$K$5,Parameter!$K$6+Parameter!$K$7)-(AG761-AC761))/AC761)))</f>
        <v/>
      </c>
      <c r="AI761" s="55">
        <f>IF(LEFT(Cockpit!$I$5,1)="A",G761,IF(BT761=1,BU761,IF(LEFT(Cockpit!$I$5,1)="B",AM761,MAX(AM761,G761))))</f>
        <v/>
      </c>
      <c r="AJ761" s="55">
        <f>IF(BO761=1,0,ROUNDUP(AI761/BN761,0))</f>
        <v/>
      </c>
      <c r="AK761" s="64">
        <f>IF(BO761=1,IF(AI761&lt;=0,0,BP761*MAX(1,IF(G761&gt;0,AI761/G761,1))),AJ761*Q761)</f>
        <v/>
      </c>
      <c r="AL761" s="55">
        <f>AI761*F761</f>
        <v/>
      </c>
      <c r="AM761" s="55">
        <f>ROUNDUP(MAX(I761/IF(BS761&gt;0,BS761,MAX(0.1,N(Cockpit!$I$6))),BV761)/BN761,0)*BN761</f>
        <v/>
      </c>
      <c r="AN761" s="56">
        <f>IF(AK761&gt;0,I761/AK761,-1)</f>
        <v/>
      </c>
      <c r="AO761" s="56">
        <f>IF(AND(OR(BR761="L1",BR761="L23"),AK761&gt;0),SUMIFS($AK$7:$AK$1570,$BR$7:$BR$1570,BR761,$AN$7:$AN$1570,"&gt;"&amp;AN761)+SUMIFS($AK$7:$AK$1570,$BR$7:$BR$1570,BR761,$AN$7:$AN$1570,AN761,$BL$7:$BL$1570,"&lt;="&amp;BL761),"")</f>
        <v/>
      </c>
      <c r="AP761" s="65">
        <f>IF(AO761="",0,MAX(0,MIN(1,(IF(BR761="L1",Parameter!$K$5,Parameter!$K$6+Parameter!$K$7)-(AO761-AK761))/AK761)))</f>
        <v/>
      </c>
      <c r="AQ761" s="55">
        <f>IF(LEFT(Cockpit!$O$5,1)="A",G761,IF(BT761=1,BU761,IF(LEFT(Cockpit!$O$5,1)="B",AU761,MAX(AU761,G761))))</f>
        <v/>
      </c>
      <c r="AR761" s="55">
        <f>IF(BO761=1,0,ROUNDUP(AQ761/BN761,0))</f>
        <v/>
      </c>
      <c r="AS761" s="64">
        <f>IF(BO761=1,IF(AQ761&lt;=0,0,BP761*MAX(1,IF(G761&gt;0,AQ761/G761,1))),AR761*Q761)</f>
        <v/>
      </c>
      <c r="AT761" s="55">
        <f>AQ761*F761</f>
        <v/>
      </c>
      <c r="AU761" s="55">
        <f>ROUNDUP(MAX(I761/IF(BS761&gt;0,BS761,MAX(0.1,N(Cockpit!$O$6))),BV761)/BN761,0)*BN761</f>
        <v/>
      </c>
      <c r="AV761" s="56">
        <f>IF(AS761&gt;0,I761/AS761,-1)</f>
        <v/>
      </c>
      <c r="AW761" s="56">
        <f>IF(AND(OR(BR761="L1",BR761="L23"),AS761&gt;0),SUMIFS($AS$7:$AS$1570,$BR$7:$BR$1570,BR761,$AV$7:$AV$1570,"&gt;"&amp;AV761)+SUMIFS($AS$7:$AS$1570,$BR$7:$BR$1570,BR761,$AV$7:$AV$1570,AV761,$BL$7:$BL$1570,"&lt;="&amp;BL761),"")</f>
        <v/>
      </c>
      <c r="AX761" s="65">
        <f>IF(AW761="",0,MAX(0,MIN(1,(IF(BR761="L1",Parameter!$K$5,Parameter!$K$6+Parameter!$K$7)-(AW761-AS761))/AS761)))</f>
        <v/>
      </c>
      <c r="AY761" s="53">
        <f>IF(AC761&lt;=0,"",IF(BR761="Aussen","Aussenlager",IF(BR761="-","Nicht im Lift",IF(AH761&gt;=1,"Lift",IF(AH761&lt;=0,"Aussenlager","teilweise")))))</f>
        <v/>
      </c>
      <c r="AZ761" s="53">
        <f>IF(AK761&lt;=0,"",IF(BR761="Aussen","Aussenlager",IF(BR761="-","Nicht im Lift",IF(AP761&gt;=1,"Lift",IF(AP761&lt;=0,"Aussenlager","teilweise")))))</f>
        <v/>
      </c>
      <c r="BA761" s="53">
        <f>IF(AS761&lt;=0,"",IF(BR761="Aussen","Aussenlager",IF(BR761="-","Nicht im Lift",IF(AX761&gt;=1,"Lift",IF(AX761&lt;=0,"Aussenlager","teilweise")))))</f>
        <v/>
      </c>
      <c r="BB761" s="53">
        <f>IF(A761="","",IF(BK761=1,"Neu; ","")&amp;IF(AND(BK761=0,BF761&lt;0),"negativer Bestand (Export "&amp;BF761&amp;"); ","")&amp;IF(I761&lt;=0,"Kein Verbrauch; ","")&amp;IF(BO761=1,"Lose – Fläche geschätzt; ","")&amp;IF(G761&gt;AM761,"Überbestand "&amp;ROUND(G761-AM761,0)&amp;" Stk / CHF "&amp;ROUND((G761-AM761)*F761,0)&amp;"; ","")&amp;IF(AND(BT761=1,BU761&lt;BV761),"MAX &lt; MB+LG; ","")&amp;IF(AND(BZ761&gt;0,BY761*10&gt;BZ761),"zu hoch für Tablar; ","")&amp;IF(AND(BK761=0,OR(BT761=1,V761&lt;&gt;"",S761&lt;&gt;"",T761&lt;&gt;"",W761&lt;&gt;"")),"manuell übersteuert; ","")&amp;IF(AND(BO761=0,Q761=0),"Gebinde unbekannt; ","")&amp;IF(AND(BO761=0,N(T761)&lt;=0,N(P761)&lt;=0),"Menge pro Gebinde fehlt (Ist = 1 Gebinde); ","")&amp;BJ761)</f>
        <v/>
      </c>
      <c r="BC761" s="53" t="n"/>
      <c r="BD761" s="53" t="n"/>
      <c r="BE761" s="61" t="n"/>
      <c r="BF761" s="55" t="n">
        <v>-67</v>
      </c>
      <c r="BG761" s="55" t="n">
        <v>67</v>
      </c>
      <c r="BH761" s="54" t="n">
        <v>-0.67</v>
      </c>
      <c r="BI761" s="55" t="n">
        <v>35</v>
      </c>
      <c r="BJ761" s="53" t="inlineStr"/>
      <c r="BK761" s="58" t="n">
        <v>0</v>
      </c>
      <c r="BL761" s="58" t="n">
        <v>761</v>
      </c>
      <c r="BM761" s="53">
        <f>IF(S761&lt;&gt;"",UPPER(TRIM(S761)),IF(O761="","LOSE",O761))</f>
        <v/>
      </c>
      <c r="BN761" s="55">
        <f>IF(BM761="LOSE",1,IF(N(T761)&gt;0,T761,IF(N(P761)&gt;0,P761,MAX(1,G761))))</f>
        <v/>
      </c>
      <c r="BO761" s="58">
        <f>IF(BM761="LOSE",1,0)</f>
        <v/>
      </c>
      <c r="BP761" s="64">
        <f>IF(BO761=0,0,IF(N(R761)&gt;0,R761,IFERROR(VLOOKUP(D761,Parameter!$A$35:$C$64,3,0)+0,0)))</f>
        <v/>
      </c>
      <c r="BQ761" s="53">
        <f>IF(V761&lt;&gt;"",V761,U761)</f>
        <v/>
      </c>
      <c r="BR761" s="53">
        <f>IF(BQ761=1,"L1",IF(OR(BQ761=2,BQ761=3),"L23",IF(BQ761="Aussen","Aussen","-")))</f>
        <v/>
      </c>
      <c r="BS761" s="66">
        <f>IF(N(W761)&gt;0,W761,0)</f>
        <v/>
      </c>
      <c r="BT761" s="58">
        <f>IF(ISNUMBER(Z761),1,0)</f>
        <v/>
      </c>
      <c r="BU761" s="55">
        <f>N(Z761)</f>
        <v/>
      </c>
      <c r="BV761" s="55">
        <f>N(L761)+N(M761)</f>
        <v/>
      </c>
      <c r="BW761" s="55">
        <f>ROUNDUP(G761/BN761,0)</f>
        <v/>
      </c>
      <c r="BX761" s="55">
        <f>ROUNDUP(BU761/BN761,0)</f>
        <v/>
      </c>
      <c r="BY761" s="58">
        <f>IF(BO761=1,0,IFERROR(VLOOKUP(BM761,'Gebinde-Kategorie'!$A$5:$G$45,5,0)+0,0))</f>
        <v/>
      </c>
      <c r="BZ761" s="58">
        <f>IFERROR(IF(OR(BQ761=1,BQ761=2,BQ761=3),N(INDEX(Parameter!$I$5:$I$7,BQ761)),0),0)</f>
        <v/>
      </c>
    </row>
    <row r="762">
      <c r="A762" s="53" t="inlineStr">
        <is>
          <t>101631</t>
        </is>
      </c>
      <c r="B762" s="53" t="inlineStr">
        <is>
          <t>Zylinderschraube mit Innensechskant</t>
        </is>
      </c>
      <c r="C762" s="53" t="inlineStr">
        <is>
          <t>F</t>
        </is>
      </c>
      <c r="D762" s="53" t="inlineStr">
        <is>
          <t>KTL</t>
        </is>
      </c>
      <c r="E762" s="53" t="inlineStr">
        <is>
          <t>C</t>
        </is>
      </c>
      <c r="F762" s="54" t="n">
        <v>0.02</v>
      </c>
      <c r="G762" s="55">
        <f>MAX(0,IF(Parameter!$B$20="Jahresanfang 2025 + Export",BG762+BF762,BF762))</f>
        <v/>
      </c>
      <c r="H762" s="55">
        <f>G762*F762</f>
        <v/>
      </c>
      <c r="I762" s="55">
        <f>BI762*Parameter!$B$18</f>
        <v/>
      </c>
      <c r="J762" s="56" t="n">
        <v>695</v>
      </c>
      <c r="K762" s="57" t="n">
        <v>0.02302158273381295</v>
      </c>
      <c r="L762" s="55" t="n">
        <v>0</v>
      </c>
      <c r="M762" s="55" t="n">
        <v>15</v>
      </c>
      <c r="N762" s="58" t="n">
        <v>14</v>
      </c>
      <c r="O762" s="53" t="inlineStr">
        <is>
          <t>S33</t>
        </is>
      </c>
      <c r="P762" s="55" t="n">
        <v>752</v>
      </c>
      <c r="Q762" s="59">
        <f>IF(BO762=1,0,IFERROR(VLOOKUP(BM762,'Gebinde-Kategorie'!$A$5:$G$45,6,0)+0,0))</f>
        <v/>
      </c>
      <c r="R762" s="60" t="n"/>
      <c r="S762" s="61" t="n"/>
      <c r="T762" s="61" t="n"/>
      <c r="U762" s="53">
        <f>IF(A762="","",IF(IFERROR(VLOOKUP(D762,Parameter!$A$35:$C$64,2,0),"Nein")="2+3",IF(ISNUMBER(SEARCH("grosser Artikel",BJ762)),2,IFERROR(VLOOKUP(BM762,Parameter!$F$35:$G$64,2,0),2)),IF(OR(IFERROR(VLOOKUP(D762,Parameter!$A$35:$C$64,2,0),"Nein")="Nein",IFERROR(VLOOKUP(D762,Parameter!$A$35:$C$64,2,0),"Nein")=""),"-",VLOOKUP(D762,Parameter!$A$35:$C$64,2,0))))</f>
        <v/>
      </c>
      <c r="V762" s="61" t="n"/>
      <c r="W762" s="62" t="n"/>
      <c r="X762" s="55">
        <f>AM762</f>
        <v/>
      </c>
      <c r="Y762" s="55">
        <f>MAX(AM762,G762)</f>
        <v/>
      </c>
      <c r="Z762" s="63" t="n"/>
      <c r="AA762" s="55">
        <f>IF(LEFT(Cockpit!$C$5,1)="A",G762,IF(BT762=1,BU762,IF(LEFT(Cockpit!$C$5,1)="B",AE762,MAX(AE762,G762))))</f>
        <v/>
      </c>
      <c r="AB762" s="55">
        <f>IF(BO762=1,0,ROUNDUP(AA762/BN762,0))</f>
        <v/>
      </c>
      <c r="AC762" s="64">
        <f>IF(BO762=1,IF(AA762&lt;=0,0,BP762*MAX(1,IF(G762&gt;0,AA762/G762,1))),AB762*Q762)</f>
        <v/>
      </c>
      <c r="AD762" s="55">
        <f>AA762*F762</f>
        <v/>
      </c>
      <c r="AE762" s="55">
        <f>ROUNDUP(MAX(I762/IF(BS762&gt;0,BS762,MAX(0.1,N(Cockpit!$C$6))),BV762)/BN762,0)*BN762</f>
        <v/>
      </c>
      <c r="AF762" s="56">
        <f>IF(AC762&gt;0,I762/AC762,-1)</f>
        <v/>
      </c>
      <c r="AG762" s="56">
        <f>IF(AND(OR(BR762="L1",BR762="L23"),AC762&gt;0),SUMIFS($AC$7:$AC$1570,$BR$7:$BR$1570,BR762,$AF$7:$AF$1570,"&gt;"&amp;AF762)+SUMIFS($AC$7:$AC$1570,$BR$7:$BR$1570,BR762,$AF$7:$AF$1570,AF762,$BL$7:$BL$1570,"&lt;="&amp;BL762),"")</f>
        <v/>
      </c>
      <c r="AH762" s="65">
        <f>IF(AG762="",0,MAX(0,MIN(1,(IF(BR762="L1",Parameter!$K$5,Parameter!$K$6+Parameter!$K$7)-(AG762-AC762))/AC762)))</f>
        <v/>
      </c>
      <c r="AI762" s="55">
        <f>IF(LEFT(Cockpit!$I$5,1)="A",G762,IF(BT762=1,BU762,IF(LEFT(Cockpit!$I$5,1)="B",AM762,MAX(AM762,G762))))</f>
        <v/>
      </c>
      <c r="AJ762" s="55">
        <f>IF(BO762=1,0,ROUNDUP(AI762/BN762,0))</f>
        <v/>
      </c>
      <c r="AK762" s="64">
        <f>IF(BO762=1,IF(AI762&lt;=0,0,BP762*MAX(1,IF(G762&gt;0,AI762/G762,1))),AJ762*Q762)</f>
        <v/>
      </c>
      <c r="AL762" s="55">
        <f>AI762*F762</f>
        <v/>
      </c>
      <c r="AM762" s="55">
        <f>ROUNDUP(MAX(I762/IF(BS762&gt;0,BS762,MAX(0.1,N(Cockpit!$I$6))),BV762)/BN762,0)*BN762</f>
        <v/>
      </c>
      <c r="AN762" s="56">
        <f>IF(AK762&gt;0,I762/AK762,-1)</f>
        <v/>
      </c>
      <c r="AO762" s="56">
        <f>IF(AND(OR(BR762="L1",BR762="L23"),AK762&gt;0),SUMIFS($AK$7:$AK$1570,$BR$7:$BR$1570,BR762,$AN$7:$AN$1570,"&gt;"&amp;AN762)+SUMIFS($AK$7:$AK$1570,$BR$7:$BR$1570,BR762,$AN$7:$AN$1570,AN762,$BL$7:$BL$1570,"&lt;="&amp;BL762),"")</f>
        <v/>
      </c>
      <c r="AP762" s="65">
        <f>IF(AO762="",0,MAX(0,MIN(1,(IF(BR762="L1",Parameter!$K$5,Parameter!$K$6+Parameter!$K$7)-(AO762-AK762))/AK762)))</f>
        <v/>
      </c>
      <c r="AQ762" s="55">
        <f>IF(LEFT(Cockpit!$O$5,1)="A",G762,IF(BT762=1,BU762,IF(LEFT(Cockpit!$O$5,1)="B",AU762,MAX(AU762,G762))))</f>
        <v/>
      </c>
      <c r="AR762" s="55">
        <f>IF(BO762=1,0,ROUNDUP(AQ762/BN762,0))</f>
        <v/>
      </c>
      <c r="AS762" s="64">
        <f>IF(BO762=1,IF(AQ762&lt;=0,0,BP762*MAX(1,IF(G762&gt;0,AQ762/G762,1))),AR762*Q762)</f>
        <v/>
      </c>
      <c r="AT762" s="55">
        <f>AQ762*F762</f>
        <v/>
      </c>
      <c r="AU762" s="55">
        <f>ROUNDUP(MAX(I762/IF(BS762&gt;0,BS762,MAX(0.1,N(Cockpit!$O$6))),BV762)/BN762,0)*BN762</f>
        <v/>
      </c>
      <c r="AV762" s="56">
        <f>IF(AS762&gt;0,I762/AS762,-1)</f>
        <v/>
      </c>
      <c r="AW762" s="56">
        <f>IF(AND(OR(BR762="L1",BR762="L23"),AS762&gt;0),SUMIFS($AS$7:$AS$1570,$BR$7:$BR$1570,BR762,$AV$7:$AV$1570,"&gt;"&amp;AV762)+SUMIFS($AS$7:$AS$1570,$BR$7:$BR$1570,BR762,$AV$7:$AV$1570,AV762,$BL$7:$BL$1570,"&lt;="&amp;BL762),"")</f>
        <v/>
      </c>
      <c r="AX762" s="65">
        <f>IF(AW762="",0,MAX(0,MIN(1,(IF(BR762="L1",Parameter!$K$5,Parameter!$K$6+Parameter!$K$7)-(AW762-AS762))/AS762)))</f>
        <v/>
      </c>
      <c r="AY762" s="53">
        <f>IF(AC762&lt;=0,"",IF(BR762="Aussen","Aussenlager",IF(BR762="-","Nicht im Lift",IF(AH762&gt;=1,"Lift",IF(AH762&lt;=0,"Aussenlager","teilweise")))))</f>
        <v/>
      </c>
      <c r="AZ762" s="53">
        <f>IF(AK762&lt;=0,"",IF(BR762="Aussen","Aussenlager",IF(BR762="-","Nicht im Lift",IF(AP762&gt;=1,"Lift",IF(AP762&lt;=0,"Aussenlager","teilweise")))))</f>
        <v/>
      </c>
      <c r="BA762" s="53">
        <f>IF(AS762&lt;=0,"",IF(BR762="Aussen","Aussenlager",IF(BR762="-","Nicht im Lift",IF(AX762&gt;=1,"Lift",IF(AX762&lt;=0,"Aussenlager","teilweise")))))</f>
        <v/>
      </c>
      <c r="BB762" s="53">
        <f>IF(A762="","",IF(BK762=1,"Neu; ","")&amp;IF(AND(BK762=0,BF762&lt;0),"negativer Bestand (Export "&amp;BF762&amp;"); ","")&amp;IF(I762&lt;=0,"Kein Verbrauch; ","")&amp;IF(BO762=1,"Lose – Fläche geschätzt; ","")&amp;IF(G762&gt;AM762,"Überbestand "&amp;ROUND(G762-AM762,0)&amp;" Stk / CHF "&amp;ROUND((G762-AM762)*F762,0)&amp;"; ","")&amp;IF(AND(BT762=1,BU762&lt;BV762),"MAX &lt; MB+LG; ","")&amp;IF(AND(BZ762&gt;0,BY762*10&gt;BZ762),"zu hoch für Tablar; ","")&amp;IF(AND(BK762=0,OR(BT762=1,V762&lt;&gt;"",S762&lt;&gt;"",T762&lt;&gt;"",W762&lt;&gt;"")),"manuell übersteuert; ","")&amp;IF(AND(BO762=0,Q762=0),"Gebinde unbekannt; ","")&amp;IF(AND(BO762=0,N(T762)&lt;=0,N(P762)&lt;=0),"Menge pro Gebinde fehlt (Ist = 1 Gebinde); ","")&amp;BJ762)</f>
        <v/>
      </c>
      <c r="BC762" s="53" t="n"/>
      <c r="BD762" s="53" t="n"/>
      <c r="BE762" s="61" t="n"/>
      <c r="BF762" s="55" t="n">
        <v>-34</v>
      </c>
      <c r="BG762" s="55" t="n">
        <v>704</v>
      </c>
      <c r="BH762" s="54" t="n">
        <v>-0.6799999999999999</v>
      </c>
      <c r="BI762" s="55" t="n">
        <v>16</v>
      </c>
      <c r="BJ762" s="53" t="inlineStr">
        <is>
          <t>Überbestand</t>
        </is>
      </c>
      <c r="BK762" s="58" t="n">
        <v>0</v>
      </c>
      <c r="BL762" s="58" t="n">
        <v>762</v>
      </c>
      <c r="BM762" s="53">
        <f>IF(S762&lt;&gt;"",UPPER(TRIM(S762)),IF(O762="","LOSE",O762))</f>
        <v/>
      </c>
      <c r="BN762" s="55">
        <f>IF(BM762="LOSE",1,IF(N(T762)&gt;0,T762,IF(N(P762)&gt;0,P762,MAX(1,G762))))</f>
        <v/>
      </c>
      <c r="BO762" s="58">
        <f>IF(BM762="LOSE",1,0)</f>
        <v/>
      </c>
      <c r="BP762" s="64">
        <f>IF(BO762=0,0,IF(N(R762)&gt;0,R762,IFERROR(VLOOKUP(D762,Parameter!$A$35:$C$64,3,0)+0,0)))</f>
        <v/>
      </c>
      <c r="BQ762" s="53">
        <f>IF(V762&lt;&gt;"",V762,U762)</f>
        <v/>
      </c>
      <c r="BR762" s="53">
        <f>IF(BQ762=1,"L1",IF(OR(BQ762=2,BQ762=3),"L23",IF(BQ762="Aussen","Aussen","-")))</f>
        <v/>
      </c>
      <c r="BS762" s="66">
        <f>IF(N(W762)&gt;0,W762,0)</f>
        <v/>
      </c>
      <c r="BT762" s="58">
        <f>IF(ISNUMBER(Z762),1,0)</f>
        <v/>
      </c>
      <c r="BU762" s="55">
        <f>N(Z762)</f>
        <v/>
      </c>
      <c r="BV762" s="55">
        <f>N(L762)+N(M762)</f>
        <v/>
      </c>
      <c r="BW762" s="55">
        <f>ROUNDUP(G762/BN762,0)</f>
        <v/>
      </c>
      <c r="BX762" s="55">
        <f>ROUNDUP(BU762/BN762,0)</f>
        <v/>
      </c>
      <c r="BY762" s="58">
        <f>IF(BO762=1,0,IFERROR(VLOOKUP(BM762,'Gebinde-Kategorie'!$A$5:$G$45,5,0)+0,0))</f>
        <v/>
      </c>
      <c r="BZ762" s="58">
        <f>IFERROR(IF(OR(BQ762=1,BQ762=2,BQ762=3),N(INDEX(Parameter!$I$5:$I$7,BQ762)),0),0)</f>
        <v/>
      </c>
    </row>
    <row r="763">
      <c r="A763" s="53" t="inlineStr">
        <is>
          <t>106606</t>
        </is>
      </c>
      <c r="B763" s="53" t="inlineStr">
        <is>
          <t>Zylinderschraube mit Innensechskant</t>
        </is>
      </c>
      <c r="C763" s="53" t="inlineStr">
        <is>
          <t>F</t>
        </is>
      </c>
      <c r="D763" s="53" t="inlineStr">
        <is>
          <t>KTL</t>
        </is>
      </c>
      <c r="E763" s="53" t="inlineStr">
        <is>
          <t>C</t>
        </is>
      </c>
      <c r="F763" s="54" t="n">
        <v>0.03</v>
      </c>
      <c r="G763" s="55">
        <f>MAX(0,IF(Parameter!$B$20="Jahresanfang 2025 + Export",BG763+BF763,BF763))</f>
        <v/>
      </c>
      <c r="H763" s="55">
        <f>G763*F763</f>
        <v/>
      </c>
      <c r="I763" s="55">
        <f>BI763*Parameter!$B$18</f>
        <v/>
      </c>
      <c r="J763" s="56" t="n">
        <v>213.5</v>
      </c>
      <c r="K763" s="57" t="n">
        <v>0.1311475409836066</v>
      </c>
      <c r="L763" s="55" t="n">
        <v>1</v>
      </c>
      <c r="M763" s="55" t="n">
        <v>30</v>
      </c>
      <c r="N763" s="58" t="n">
        <v>14</v>
      </c>
      <c r="O763" s="53" t="inlineStr">
        <is>
          <t>S32</t>
        </is>
      </c>
      <c r="P763" s="55" t="n">
        <v>261</v>
      </c>
      <c r="Q763" s="59">
        <f>IF(BO763=1,0,IFERROR(VLOOKUP(BM763,'Gebinde-Kategorie'!$A$5:$G$45,6,0)+0,0))</f>
        <v/>
      </c>
      <c r="R763" s="60" t="n"/>
      <c r="S763" s="61" t="n"/>
      <c r="T763" s="61" t="n"/>
      <c r="U763" s="53">
        <f>IF(A763="","",IF(IFERROR(VLOOKUP(D763,Parameter!$A$35:$C$64,2,0),"Nein")="2+3",IF(ISNUMBER(SEARCH("grosser Artikel",BJ763)),2,IFERROR(VLOOKUP(BM763,Parameter!$F$35:$G$64,2,0),2)),IF(OR(IFERROR(VLOOKUP(D763,Parameter!$A$35:$C$64,2,0),"Nein")="Nein",IFERROR(VLOOKUP(D763,Parameter!$A$35:$C$64,2,0),"Nein")=""),"-",VLOOKUP(D763,Parameter!$A$35:$C$64,2,0))))</f>
        <v/>
      </c>
      <c r="V763" s="61" t="n"/>
      <c r="W763" s="62" t="n"/>
      <c r="X763" s="55">
        <f>AM763</f>
        <v/>
      </c>
      <c r="Y763" s="55">
        <f>MAX(AM763,G763)</f>
        <v/>
      </c>
      <c r="Z763" s="63" t="n"/>
      <c r="AA763" s="55">
        <f>IF(LEFT(Cockpit!$C$5,1)="A",G763,IF(BT763=1,BU763,IF(LEFT(Cockpit!$C$5,1)="B",AE763,MAX(AE763,G763))))</f>
        <v/>
      </c>
      <c r="AB763" s="55">
        <f>IF(BO763=1,0,ROUNDUP(AA763/BN763,0))</f>
        <v/>
      </c>
      <c r="AC763" s="64">
        <f>IF(BO763=1,IF(AA763&lt;=0,0,BP763*MAX(1,IF(G763&gt;0,AA763/G763,1))),AB763*Q763)</f>
        <v/>
      </c>
      <c r="AD763" s="55">
        <f>AA763*F763</f>
        <v/>
      </c>
      <c r="AE763" s="55">
        <f>ROUNDUP(MAX(I763/IF(BS763&gt;0,BS763,MAX(0.1,N(Cockpit!$C$6))),BV763)/BN763,0)*BN763</f>
        <v/>
      </c>
      <c r="AF763" s="56">
        <f>IF(AC763&gt;0,I763/AC763,-1)</f>
        <v/>
      </c>
      <c r="AG763" s="56">
        <f>IF(AND(OR(BR763="L1",BR763="L23"),AC763&gt;0),SUMIFS($AC$7:$AC$1570,$BR$7:$BR$1570,BR763,$AF$7:$AF$1570,"&gt;"&amp;AF763)+SUMIFS($AC$7:$AC$1570,$BR$7:$BR$1570,BR763,$AF$7:$AF$1570,AF763,$BL$7:$BL$1570,"&lt;="&amp;BL763),"")</f>
        <v/>
      </c>
      <c r="AH763" s="65">
        <f>IF(AG763="",0,MAX(0,MIN(1,(IF(BR763="L1",Parameter!$K$5,Parameter!$K$6+Parameter!$K$7)-(AG763-AC763))/AC763)))</f>
        <v/>
      </c>
      <c r="AI763" s="55">
        <f>IF(LEFT(Cockpit!$I$5,1)="A",G763,IF(BT763=1,BU763,IF(LEFT(Cockpit!$I$5,1)="B",AM763,MAX(AM763,G763))))</f>
        <v/>
      </c>
      <c r="AJ763" s="55">
        <f>IF(BO763=1,0,ROUNDUP(AI763/BN763,0))</f>
        <v/>
      </c>
      <c r="AK763" s="64">
        <f>IF(BO763=1,IF(AI763&lt;=0,0,BP763*MAX(1,IF(G763&gt;0,AI763/G763,1))),AJ763*Q763)</f>
        <v/>
      </c>
      <c r="AL763" s="55">
        <f>AI763*F763</f>
        <v/>
      </c>
      <c r="AM763" s="55">
        <f>ROUNDUP(MAX(I763/IF(BS763&gt;0,BS763,MAX(0.1,N(Cockpit!$I$6))),BV763)/BN763,0)*BN763</f>
        <v/>
      </c>
      <c r="AN763" s="56">
        <f>IF(AK763&gt;0,I763/AK763,-1)</f>
        <v/>
      </c>
      <c r="AO763" s="56">
        <f>IF(AND(OR(BR763="L1",BR763="L23"),AK763&gt;0),SUMIFS($AK$7:$AK$1570,$BR$7:$BR$1570,BR763,$AN$7:$AN$1570,"&gt;"&amp;AN763)+SUMIFS($AK$7:$AK$1570,$BR$7:$BR$1570,BR763,$AN$7:$AN$1570,AN763,$BL$7:$BL$1570,"&lt;="&amp;BL763),"")</f>
        <v/>
      </c>
      <c r="AP763" s="65">
        <f>IF(AO763="",0,MAX(0,MIN(1,(IF(BR763="L1",Parameter!$K$5,Parameter!$K$6+Parameter!$K$7)-(AO763-AK763))/AK763)))</f>
        <v/>
      </c>
      <c r="AQ763" s="55">
        <f>IF(LEFT(Cockpit!$O$5,1)="A",G763,IF(BT763=1,BU763,IF(LEFT(Cockpit!$O$5,1)="B",AU763,MAX(AU763,G763))))</f>
        <v/>
      </c>
      <c r="AR763" s="55">
        <f>IF(BO763=1,0,ROUNDUP(AQ763/BN763,0))</f>
        <v/>
      </c>
      <c r="AS763" s="64">
        <f>IF(BO763=1,IF(AQ763&lt;=0,0,BP763*MAX(1,IF(G763&gt;0,AQ763/G763,1))),AR763*Q763)</f>
        <v/>
      </c>
      <c r="AT763" s="55">
        <f>AQ763*F763</f>
        <v/>
      </c>
      <c r="AU763" s="55">
        <f>ROUNDUP(MAX(I763/IF(BS763&gt;0,BS763,MAX(0.1,N(Cockpit!$O$6))),BV763)/BN763,0)*BN763</f>
        <v/>
      </c>
      <c r="AV763" s="56">
        <f>IF(AS763&gt;0,I763/AS763,-1)</f>
        <v/>
      </c>
      <c r="AW763" s="56">
        <f>IF(AND(OR(BR763="L1",BR763="L23"),AS763&gt;0),SUMIFS($AS$7:$AS$1570,$BR$7:$BR$1570,BR763,$AV$7:$AV$1570,"&gt;"&amp;AV763)+SUMIFS($AS$7:$AS$1570,$BR$7:$BR$1570,BR763,$AV$7:$AV$1570,AV763,$BL$7:$BL$1570,"&lt;="&amp;BL763),"")</f>
        <v/>
      </c>
      <c r="AX763" s="65">
        <f>IF(AW763="",0,MAX(0,MIN(1,(IF(BR763="L1",Parameter!$K$5,Parameter!$K$6+Parameter!$K$7)-(AW763-AS763))/AS763)))</f>
        <v/>
      </c>
      <c r="AY763" s="53">
        <f>IF(AC763&lt;=0,"",IF(BR763="Aussen","Aussenlager",IF(BR763="-","Nicht im Lift",IF(AH763&gt;=1,"Lift",IF(AH763&lt;=0,"Aussenlager","teilweise")))))</f>
        <v/>
      </c>
      <c r="AZ763" s="53">
        <f>IF(AK763&lt;=0,"",IF(BR763="Aussen","Aussenlager",IF(BR763="-","Nicht im Lift",IF(AP763&gt;=1,"Lift",IF(AP763&lt;=0,"Aussenlager","teilweise")))))</f>
        <v/>
      </c>
      <c r="BA763" s="53">
        <f>IF(AS763&lt;=0,"",IF(BR763="Aussen","Aussenlager",IF(BR763="-","Nicht im Lift",IF(AX763&gt;=1,"Lift",IF(AX763&lt;=0,"Aussenlager","teilweise")))))</f>
        <v/>
      </c>
      <c r="BB763" s="53">
        <f>IF(A763="","",IF(BK763=1,"Neu; ","")&amp;IF(AND(BK763=0,BF763&lt;0),"negativer Bestand (Export "&amp;BF763&amp;"); ","")&amp;IF(I763&lt;=0,"Kein Verbrauch; ","")&amp;IF(BO763=1,"Lose – Fläche geschätzt; ","")&amp;IF(G763&gt;AM763,"Überbestand "&amp;ROUND(G763-AM763,0)&amp;" Stk / CHF "&amp;ROUND((G763-AM763)*F763,0)&amp;"; ","")&amp;IF(AND(BT763=1,BU763&lt;BV763),"MAX &lt; MB+LG; ","")&amp;IF(AND(BZ763&gt;0,BY763*10&gt;BZ763),"zu hoch für Tablar; ","")&amp;IF(AND(BK763=0,OR(BT763=1,V763&lt;&gt;"",S763&lt;&gt;"",T763&lt;&gt;"",W763&lt;&gt;"")),"manuell übersteuert; ","")&amp;IF(AND(BO763=0,Q763=0),"Gebinde unbekannt; ","")&amp;IF(AND(BO763=0,N(T763)&lt;=0,N(P763)&lt;=0),"Menge pro Gebinde fehlt (Ist = 1 Gebinde); ","")&amp;BJ763)</f>
        <v/>
      </c>
      <c r="BC763" s="53" t="n"/>
      <c r="BD763" s="53" t="n"/>
      <c r="BE763" s="61" t="n"/>
      <c r="BF763" s="55" t="n">
        <v>-25</v>
      </c>
      <c r="BG763" s="55" t="n">
        <v>226</v>
      </c>
      <c r="BH763" s="54" t="n">
        <v>-0.75</v>
      </c>
      <c r="BI763" s="55" t="n">
        <v>28</v>
      </c>
      <c r="BJ763" s="53" t="inlineStr">
        <is>
          <t>Überbestand</t>
        </is>
      </c>
      <c r="BK763" s="58" t="n">
        <v>0</v>
      </c>
      <c r="BL763" s="58" t="n">
        <v>763</v>
      </c>
      <c r="BM763" s="53">
        <f>IF(S763&lt;&gt;"",UPPER(TRIM(S763)),IF(O763="","LOSE",O763))</f>
        <v/>
      </c>
      <c r="BN763" s="55">
        <f>IF(BM763="LOSE",1,IF(N(T763)&gt;0,T763,IF(N(P763)&gt;0,P763,MAX(1,G763))))</f>
        <v/>
      </c>
      <c r="BO763" s="58">
        <f>IF(BM763="LOSE",1,0)</f>
        <v/>
      </c>
      <c r="BP763" s="64">
        <f>IF(BO763=0,0,IF(N(R763)&gt;0,R763,IFERROR(VLOOKUP(D763,Parameter!$A$35:$C$64,3,0)+0,0)))</f>
        <v/>
      </c>
      <c r="BQ763" s="53">
        <f>IF(V763&lt;&gt;"",V763,U763)</f>
        <v/>
      </c>
      <c r="BR763" s="53">
        <f>IF(BQ763=1,"L1",IF(OR(BQ763=2,BQ763=3),"L23",IF(BQ763="Aussen","Aussen","-")))</f>
        <v/>
      </c>
      <c r="BS763" s="66">
        <f>IF(N(W763)&gt;0,W763,0)</f>
        <v/>
      </c>
      <c r="BT763" s="58">
        <f>IF(ISNUMBER(Z763),1,0)</f>
        <v/>
      </c>
      <c r="BU763" s="55">
        <f>N(Z763)</f>
        <v/>
      </c>
      <c r="BV763" s="55">
        <f>N(L763)+N(M763)</f>
        <v/>
      </c>
      <c r="BW763" s="55">
        <f>ROUNDUP(G763/BN763,0)</f>
        <v/>
      </c>
      <c r="BX763" s="55">
        <f>ROUNDUP(BU763/BN763,0)</f>
        <v/>
      </c>
      <c r="BY763" s="58">
        <f>IF(BO763=1,0,IFERROR(VLOOKUP(BM763,'Gebinde-Kategorie'!$A$5:$G$45,5,0)+0,0))</f>
        <v/>
      </c>
      <c r="BZ763" s="58">
        <f>IFERROR(IF(OR(BQ763=1,BQ763=2,BQ763=3),N(INDEX(Parameter!$I$5:$I$7,BQ763)),0),0)</f>
        <v/>
      </c>
    </row>
    <row r="764">
      <c r="A764" s="53" t="inlineStr">
        <is>
          <t>005226</t>
        </is>
      </c>
      <c r="B764" s="53" t="inlineStr">
        <is>
          <t>Zündkabel schwarz</t>
        </is>
      </c>
      <c r="C764" s="53" t="inlineStr">
        <is>
          <t>F</t>
        </is>
      </c>
      <c r="D764" s="53" t="inlineStr">
        <is>
          <t>PAL</t>
        </is>
      </c>
      <c r="E764" s="53" t="inlineStr">
        <is>
          <t>C</t>
        </is>
      </c>
      <c r="F764" s="54" t="n">
        <v>1.03</v>
      </c>
      <c r="G764" s="55">
        <f>MAX(0,IF(Parameter!$B$20="Jahresanfang 2025 + Export",BG764+BF764,BF764))</f>
        <v/>
      </c>
      <c r="H764" s="55">
        <f>G764*F764</f>
        <v/>
      </c>
      <c r="I764" s="55">
        <f>BI764*Parameter!$B$18</f>
        <v/>
      </c>
      <c r="J764" s="56" t="n">
        <v>103.7999999999999</v>
      </c>
      <c r="K764" s="57" t="n">
        <v>0.007707129094412337</v>
      </c>
      <c r="L764" s="55" t="n">
        <v>0</v>
      </c>
      <c r="M764" s="55" t="n">
        <v>1</v>
      </c>
      <c r="N764" s="58" t="n">
        <v>21</v>
      </c>
      <c r="O764" s="53" t="inlineStr">
        <is>
          <t>S52</t>
        </is>
      </c>
      <c r="P764" s="55" t="n">
        <v>30</v>
      </c>
      <c r="Q764" s="59">
        <f>IF(BO764=1,0,IFERROR(VLOOKUP(BM764,'Gebinde-Kategorie'!$A$5:$G$45,6,0)+0,0))</f>
        <v/>
      </c>
      <c r="R764" s="60" t="n"/>
      <c r="S764" s="61" t="n"/>
      <c r="T764" s="61" t="n"/>
      <c r="U764" s="53">
        <f>IF(A764="","",IF(IFERROR(VLOOKUP(D764,Parameter!$A$35:$C$64,2,0),"Nein")="2+3",IF(ISNUMBER(SEARCH("grosser Artikel",BJ764)),2,IFERROR(VLOOKUP(BM764,Parameter!$F$35:$G$64,2,0),2)),IF(OR(IFERROR(VLOOKUP(D764,Parameter!$A$35:$C$64,2,0),"Nein")="Nein",IFERROR(VLOOKUP(D764,Parameter!$A$35:$C$64,2,0),"Nein")=""),"-",VLOOKUP(D764,Parameter!$A$35:$C$64,2,0))))</f>
        <v/>
      </c>
      <c r="V764" s="61" t="n"/>
      <c r="W764" s="62" t="n"/>
      <c r="X764" s="55">
        <f>AM764</f>
        <v/>
      </c>
      <c r="Y764" s="55">
        <f>MAX(AM764,G764)</f>
        <v/>
      </c>
      <c r="Z764" s="63" t="n"/>
      <c r="AA764" s="55">
        <f>IF(LEFT(Cockpit!$C$5,1)="A",G764,IF(BT764=1,BU764,IF(LEFT(Cockpit!$C$5,1)="B",AE764,MAX(AE764,G764))))</f>
        <v/>
      </c>
      <c r="AB764" s="55">
        <f>IF(BO764=1,0,ROUNDUP(AA764/BN764,0))</f>
        <v/>
      </c>
      <c r="AC764" s="64">
        <f>IF(BO764=1,IF(AA764&lt;=0,0,BP764*MAX(1,IF(G764&gt;0,AA764/G764,1))),AB764*Q764)</f>
        <v/>
      </c>
      <c r="AD764" s="55">
        <f>AA764*F764</f>
        <v/>
      </c>
      <c r="AE764" s="55">
        <f>ROUNDUP(MAX(I764/IF(BS764&gt;0,BS764,MAX(0.1,N(Cockpit!$C$6))),BV764)/BN764,0)*BN764</f>
        <v/>
      </c>
      <c r="AF764" s="56">
        <f>IF(AC764&gt;0,I764/AC764,-1)</f>
        <v/>
      </c>
      <c r="AG764" s="56">
        <f>IF(AND(OR(BR764="L1",BR764="L23"),AC764&gt;0),SUMIFS($AC$7:$AC$1570,$BR$7:$BR$1570,BR764,$AF$7:$AF$1570,"&gt;"&amp;AF764)+SUMIFS($AC$7:$AC$1570,$BR$7:$BR$1570,BR764,$AF$7:$AF$1570,AF764,$BL$7:$BL$1570,"&lt;="&amp;BL764),"")</f>
        <v/>
      </c>
      <c r="AH764" s="65">
        <f>IF(AG764="",0,MAX(0,MIN(1,(IF(BR764="L1",Parameter!$K$5,Parameter!$K$6+Parameter!$K$7)-(AG764-AC764))/AC764)))</f>
        <v/>
      </c>
      <c r="AI764" s="55">
        <f>IF(LEFT(Cockpit!$I$5,1)="A",G764,IF(BT764=1,BU764,IF(LEFT(Cockpit!$I$5,1)="B",AM764,MAX(AM764,G764))))</f>
        <v/>
      </c>
      <c r="AJ764" s="55">
        <f>IF(BO764=1,0,ROUNDUP(AI764/BN764,0))</f>
        <v/>
      </c>
      <c r="AK764" s="64">
        <f>IF(BO764=1,IF(AI764&lt;=0,0,BP764*MAX(1,IF(G764&gt;0,AI764/G764,1))),AJ764*Q764)</f>
        <v/>
      </c>
      <c r="AL764" s="55">
        <f>AI764*F764</f>
        <v/>
      </c>
      <c r="AM764" s="55">
        <f>ROUNDUP(MAX(I764/IF(BS764&gt;0,BS764,MAX(0.1,N(Cockpit!$I$6))),BV764)/BN764,0)*BN764</f>
        <v/>
      </c>
      <c r="AN764" s="56">
        <f>IF(AK764&gt;0,I764/AK764,-1)</f>
        <v/>
      </c>
      <c r="AO764" s="56">
        <f>IF(AND(OR(BR764="L1",BR764="L23"),AK764&gt;0),SUMIFS($AK$7:$AK$1570,$BR$7:$BR$1570,BR764,$AN$7:$AN$1570,"&gt;"&amp;AN764)+SUMIFS($AK$7:$AK$1570,$BR$7:$BR$1570,BR764,$AN$7:$AN$1570,AN764,$BL$7:$BL$1570,"&lt;="&amp;BL764),"")</f>
        <v/>
      </c>
      <c r="AP764" s="65">
        <f>IF(AO764="",0,MAX(0,MIN(1,(IF(BR764="L1",Parameter!$K$5,Parameter!$K$6+Parameter!$K$7)-(AO764-AK764))/AK764)))</f>
        <v/>
      </c>
      <c r="AQ764" s="55">
        <f>IF(LEFT(Cockpit!$O$5,1)="A",G764,IF(BT764=1,BU764,IF(LEFT(Cockpit!$O$5,1)="B",AU764,MAX(AU764,G764))))</f>
        <v/>
      </c>
      <c r="AR764" s="55">
        <f>IF(BO764=1,0,ROUNDUP(AQ764/BN764,0))</f>
        <v/>
      </c>
      <c r="AS764" s="64">
        <f>IF(BO764=1,IF(AQ764&lt;=0,0,BP764*MAX(1,IF(G764&gt;0,AQ764/G764,1))),AR764*Q764)</f>
        <v/>
      </c>
      <c r="AT764" s="55">
        <f>AQ764*F764</f>
        <v/>
      </c>
      <c r="AU764" s="55">
        <f>ROUNDUP(MAX(I764/IF(BS764&gt;0,BS764,MAX(0.1,N(Cockpit!$O$6))),BV764)/BN764,0)*BN764</f>
        <v/>
      </c>
      <c r="AV764" s="56">
        <f>IF(AS764&gt;0,I764/AS764,-1)</f>
        <v/>
      </c>
      <c r="AW764" s="56">
        <f>IF(AND(OR(BR764="L1",BR764="L23"),AS764&gt;0),SUMIFS($AS$7:$AS$1570,$BR$7:$BR$1570,BR764,$AV$7:$AV$1570,"&gt;"&amp;AV764)+SUMIFS($AS$7:$AS$1570,$BR$7:$BR$1570,BR764,$AV$7:$AV$1570,AV764,$BL$7:$BL$1570,"&lt;="&amp;BL764),"")</f>
        <v/>
      </c>
      <c r="AX764" s="65">
        <f>IF(AW764="",0,MAX(0,MIN(1,(IF(BR764="L1",Parameter!$K$5,Parameter!$K$6+Parameter!$K$7)-(AW764-AS764))/AS764)))</f>
        <v/>
      </c>
      <c r="AY764" s="53">
        <f>IF(AC764&lt;=0,"",IF(BR764="Aussen","Aussenlager",IF(BR764="-","Nicht im Lift",IF(AH764&gt;=1,"Lift",IF(AH764&lt;=0,"Aussenlager","teilweise")))))</f>
        <v/>
      </c>
      <c r="AZ764" s="53">
        <f>IF(AK764&lt;=0,"",IF(BR764="Aussen","Aussenlager",IF(BR764="-","Nicht im Lift",IF(AP764&gt;=1,"Lift",IF(AP764&lt;=0,"Aussenlager","teilweise")))))</f>
        <v/>
      </c>
      <c r="BA764" s="53">
        <f>IF(AS764&lt;=0,"",IF(BR764="Aussen","Aussenlager",IF(BR764="-","Nicht im Lift",IF(AX764&gt;=1,"Lift",IF(AX764&lt;=0,"Aussenlager","teilweise")))))</f>
        <v/>
      </c>
      <c r="BB764" s="53">
        <f>IF(A764="","",IF(BK764=1,"Neu; ","")&amp;IF(AND(BK764=0,BF764&lt;0),"negativer Bestand (Export "&amp;BF764&amp;"); ","")&amp;IF(I764&lt;=0,"Kein Verbrauch; ","")&amp;IF(BO764=1,"Lose – Fläche geschätzt; ","")&amp;IF(G764&gt;AM764,"Überbestand "&amp;ROUND(G764-AM764,0)&amp;" Stk / CHF "&amp;ROUND((G764-AM764)*F764,0)&amp;"; ","")&amp;IF(AND(BT764=1,BU764&lt;BV764),"MAX &lt; MB+LG; ","")&amp;IF(AND(BZ764&gt;0,BY764*10&gt;BZ764),"zu hoch für Tablar; ","")&amp;IF(AND(BK764=0,OR(BT764=1,V764&lt;&gt;"",S764&lt;&gt;"",T764&lt;&gt;"",W764&lt;&gt;"")),"manuell übersteuert; ","")&amp;IF(AND(BO764=0,Q764=0),"Gebinde unbekannt; ","")&amp;IF(AND(BO764=0,N(T764)&lt;=0,N(P764)&lt;=0),"Menge pro Gebinde fehlt (Ist = 1 Gebinde); ","")&amp;BJ764)</f>
        <v/>
      </c>
      <c r="BC764" s="53" t="n"/>
      <c r="BD764" s="53" t="n"/>
      <c r="BE764" s="61" t="n"/>
      <c r="BF764" s="55" t="n">
        <v>-0.8</v>
      </c>
      <c r="BG764" s="55" t="n">
        <v>104.1999999999999</v>
      </c>
      <c r="BH764" s="54" t="n">
        <v>-0.83</v>
      </c>
      <c r="BI764" s="55" t="n">
        <v>0.8</v>
      </c>
      <c r="BJ764" s="53" t="inlineStr">
        <is>
          <t>Überbestand</t>
        </is>
      </c>
      <c r="BK764" s="58" t="n">
        <v>0</v>
      </c>
      <c r="BL764" s="58" t="n">
        <v>764</v>
      </c>
      <c r="BM764" s="53">
        <f>IF(S764&lt;&gt;"",UPPER(TRIM(S764)),IF(O764="","LOSE",O764))</f>
        <v/>
      </c>
      <c r="BN764" s="55">
        <f>IF(BM764="LOSE",1,IF(N(T764)&gt;0,T764,IF(N(P764)&gt;0,P764,MAX(1,G764))))</f>
        <v/>
      </c>
      <c r="BO764" s="58">
        <f>IF(BM764="LOSE",1,0)</f>
        <v/>
      </c>
      <c r="BP764" s="64">
        <f>IF(BO764=0,0,IF(N(R764)&gt;0,R764,IFERROR(VLOOKUP(D764,Parameter!$A$35:$C$64,3,0)+0,0)))</f>
        <v/>
      </c>
      <c r="BQ764" s="53">
        <f>IF(V764&lt;&gt;"",V764,U764)</f>
        <v/>
      </c>
      <c r="BR764" s="53">
        <f>IF(BQ764=1,"L1",IF(OR(BQ764=2,BQ764=3),"L23",IF(BQ764="Aussen","Aussen","-")))</f>
        <v/>
      </c>
      <c r="BS764" s="66">
        <f>IF(N(W764)&gt;0,W764,0)</f>
        <v/>
      </c>
      <c r="BT764" s="58">
        <f>IF(ISNUMBER(Z764),1,0)</f>
        <v/>
      </c>
      <c r="BU764" s="55">
        <f>N(Z764)</f>
        <v/>
      </c>
      <c r="BV764" s="55">
        <f>N(L764)+N(M764)</f>
        <v/>
      </c>
      <c r="BW764" s="55">
        <f>ROUNDUP(G764/BN764,0)</f>
        <v/>
      </c>
      <c r="BX764" s="55">
        <f>ROUNDUP(BU764/BN764,0)</f>
        <v/>
      </c>
      <c r="BY764" s="58">
        <f>IF(BO764=1,0,IFERROR(VLOOKUP(BM764,'Gebinde-Kategorie'!$A$5:$G$45,5,0)+0,0))</f>
        <v/>
      </c>
      <c r="BZ764" s="58">
        <f>IFERROR(IF(OR(BQ764=1,BQ764=2,BQ764=3),N(INDEX(Parameter!$I$5:$I$7,BQ764)),0),0)</f>
        <v/>
      </c>
    </row>
    <row r="765">
      <c r="A765" s="53" t="inlineStr">
        <is>
          <t>100262</t>
        </is>
      </c>
      <c r="B765" s="53" t="inlineStr">
        <is>
          <t>Sechskantmutter</t>
        </is>
      </c>
      <c r="C765" s="53" t="inlineStr">
        <is>
          <t>F</t>
        </is>
      </c>
      <c r="D765" s="53" t="inlineStr">
        <is>
          <t>KTL</t>
        </is>
      </c>
      <c r="E765" s="53" t="inlineStr">
        <is>
          <t>C</t>
        </is>
      </c>
      <c r="F765" s="54" t="n">
        <v>0.42</v>
      </c>
      <c r="G765" s="55">
        <f>MAX(0,IF(Parameter!$B$20="Jahresanfang 2025 + Export",BG765+BF765,BF765))</f>
        <v/>
      </c>
      <c r="H765" s="55">
        <f>G765*F765</f>
        <v/>
      </c>
      <c r="I765" s="55">
        <f>BI765*Parameter!$B$18</f>
        <v/>
      </c>
      <c r="J765" s="56" t="n">
        <v>372</v>
      </c>
      <c r="K765" s="57" t="n">
        <v>0</v>
      </c>
      <c r="L765" s="55" t="n">
        <v>0</v>
      </c>
      <c r="M765" s="55" t="n">
        <v>1</v>
      </c>
      <c r="N765" s="58" t="n">
        <v>14</v>
      </c>
      <c r="O765" s="53" t="inlineStr">
        <is>
          <t>S51</t>
        </is>
      </c>
      <c r="P765" s="55" t="n">
        <v>234</v>
      </c>
      <c r="Q765" s="59">
        <f>IF(BO765=1,0,IFERROR(VLOOKUP(BM765,'Gebinde-Kategorie'!$A$5:$G$45,6,0)+0,0))</f>
        <v/>
      </c>
      <c r="R765" s="60" t="n"/>
      <c r="S765" s="61" t="n"/>
      <c r="T765" s="61" t="n"/>
      <c r="U765" s="53">
        <f>IF(A765="","",IF(IFERROR(VLOOKUP(D765,Parameter!$A$35:$C$64,2,0),"Nein")="2+3",IF(ISNUMBER(SEARCH("grosser Artikel",BJ765)),2,IFERROR(VLOOKUP(BM765,Parameter!$F$35:$G$64,2,0),2)),IF(OR(IFERROR(VLOOKUP(D765,Parameter!$A$35:$C$64,2,0),"Nein")="Nein",IFERROR(VLOOKUP(D765,Parameter!$A$35:$C$64,2,0),"Nein")=""),"-",VLOOKUP(D765,Parameter!$A$35:$C$64,2,0))))</f>
        <v/>
      </c>
      <c r="V765" s="61" t="n"/>
      <c r="W765" s="62" t="n"/>
      <c r="X765" s="55">
        <f>AM765</f>
        <v/>
      </c>
      <c r="Y765" s="55">
        <f>MAX(AM765,G765)</f>
        <v/>
      </c>
      <c r="Z765" s="63" t="n"/>
      <c r="AA765" s="55">
        <f>IF(LEFT(Cockpit!$C$5,1)="A",G765,IF(BT765=1,BU765,IF(LEFT(Cockpit!$C$5,1)="B",AE765,MAX(AE765,G765))))</f>
        <v/>
      </c>
      <c r="AB765" s="55">
        <f>IF(BO765=1,0,ROUNDUP(AA765/BN765,0))</f>
        <v/>
      </c>
      <c r="AC765" s="64">
        <f>IF(BO765=1,IF(AA765&lt;=0,0,BP765*MAX(1,IF(G765&gt;0,AA765/G765,1))),AB765*Q765)</f>
        <v/>
      </c>
      <c r="AD765" s="55">
        <f>AA765*F765</f>
        <v/>
      </c>
      <c r="AE765" s="55">
        <f>ROUNDUP(MAX(I765/IF(BS765&gt;0,BS765,MAX(0.1,N(Cockpit!$C$6))),BV765)/BN765,0)*BN765</f>
        <v/>
      </c>
      <c r="AF765" s="56">
        <f>IF(AC765&gt;0,I765/AC765,-1)</f>
        <v/>
      </c>
      <c r="AG765" s="56">
        <f>IF(AND(OR(BR765="L1",BR765="L23"),AC765&gt;0),SUMIFS($AC$7:$AC$1570,$BR$7:$BR$1570,BR765,$AF$7:$AF$1570,"&gt;"&amp;AF765)+SUMIFS($AC$7:$AC$1570,$BR$7:$BR$1570,BR765,$AF$7:$AF$1570,AF765,$BL$7:$BL$1570,"&lt;="&amp;BL765),"")</f>
        <v/>
      </c>
      <c r="AH765" s="65">
        <f>IF(AG765="",0,MAX(0,MIN(1,(IF(BR765="L1",Parameter!$K$5,Parameter!$K$6+Parameter!$K$7)-(AG765-AC765))/AC765)))</f>
        <v/>
      </c>
      <c r="AI765" s="55">
        <f>IF(LEFT(Cockpit!$I$5,1)="A",G765,IF(BT765=1,BU765,IF(LEFT(Cockpit!$I$5,1)="B",AM765,MAX(AM765,G765))))</f>
        <v/>
      </c>
      <c r="AJ765" s="55">
        <f>IF(BO765=1,0,ROUNDUP(AI765/BN765,0))</f>
        <v/>
      </c>
      <c r="AK765" s="64">
        <f>IF(BO765=1,IF(AI765&lt;=0,0,BP765*MAX(1,IF(G765&gt;0,AI765/G765,1))),AJ765*Q765)</f>
        <v/>
      </c>
      <c r="AL765" s="55">
        <f>AI765*F765</f>
        <v/>
      </c>
      <c r="AM765" s="55">
        <f>ROUNDUP(MAX(I765/IF(BS765&gt;0,BS765,MAX(0.1,N(Cockpit!$I$6))),BV765)/BN765,0)*BN765</f>
        <v/>
      </c>
      <c r="AN765" s="56">
        <f>IF(AK765&gt;0,I765/AK765,-1)</f>
        <v/>
      </c>
      <c r="AO765" s="56">
        <f>IF(AND(OR(BR765="L1",BR765="L23"),AK765&gt;0),SUMIFS($AK$7:$AK$1570,$BR$7:$BR$1570,BR765,$AN$7:$AN$1570,"&gt;"&amp;AN765)+SUMIFS($AK$7:$AK$1570,$BR$7:$BR$1570,BR765,$AN$7:$AN$1570,AN765,$BL$7:$BL$1570,"&lt;="&amp;BL765),"")</f>
        <v/>
      </c>
      <c r="AP765" s="65">
        <f>IF(AO765="",0,MAX(0,MIN(1,(IF(BR765="L1",Parameter!$K$5,Parameter!$K$6+Parameter!$K$7)-(AO765-AK765))/AK765)))</f>
        <v/>
      </c>
      <c r="AQ765" s="55">
        <f>IF(LEFT(Cockpit!$O$5,1)="A",G765,IF(BT765=1,BU765,IF(LEFT(Cockpit!$O$5,1)="B",AU765,MAX(AU765,G765))))</f>
        <v/>
      </c>
      <c r="AR765" s="55">
        <f>IF(BO765=1,0,ROUNDUP(AQ765/BN765,0))</f>
        <v/>
      </c>
      <c r="AS765" s="64">
        <f>IF(BO765=1,IF(AQ765&lt;=0,0,BP765*MAX(1,IF(G765&gt;0,AQ765/G765,1))),AR765*Q765)</f>
        <v/>
      </c>
      <c r="AT765" s="55">
        <f>AQ765*F765</f>
        <v/>
      </c>
      <c r="AU765" s="55">
        <f>ROUNDUP(MAX(I765/IF(BS765&gt;0,BS765,MAX(0.1,N(Cockpit!$O$6))),BV765)/BN765,0)*BN765</f>
        <v/>
      </c>
      <c r="AV765" s="56">
        <f>IF(AS765&gt;0,I765/AS765,-1)</f>
        <v/>
      </c>
      <c r="AW765" s="56">
        <f>IF(AND(OR(BR765="L1",BR765="L23"),AS765&gt;0),SUMIFS($AS$7:$AS$1570,$BR$7:$BR$1570,BR765,$AV$7:$AV$1570,"&gt;"&amp;AV765)+SUMIFS($AS$7:$AS$1570,$BR$7:$BR$1570,BR765,$AV$7:$AV$1570,AV765,$BL$7:$BL$1570,"&lt;="&amp;BL765),"")</f>
        <v/>
      </c>
      <c r="AX765" s="65">
        <f>IF(AW765="",0,MAX(0,MIN(1,(IF(BR765="L1",Parameter!$K$5,Parameter!$K$6+Parameter!$K$7)-(AW765-AS765))/AS765)))</f>
        <v/>
      </c>
      <c r="AY765" s="53">
        <f>IF(AC765&lt;=0,"",IF(BR765="Aussen","Aussenlager",IF(BR765="-","Nicht im Lift",IF(AH765&gt;=1,"Lift",IF(AH765&lt;=0,"Aussenlager","teilweise")))))</f>
        <v/>
      </c>
      <c r="AZ765" s="53">
        <f>IF(AK765&lt;=0,"",IF(BR765="Aussen","Aussenlager",IF(BR765="-","Nicht im Lift",IF(AP765&gt;=1,"Lift",IF(AP765&lt;=0,"Aussenlager","teilweise")))))</f>
        <v/>
      </c>
      <c r="BA765" s="53">
        <f>IF(AS765&lt;=0,"",IF(BR765="Aussen","Aussenlager",IF(BR765="-","Nicht im Lift",IF(AX765&gt;=1,"Lift",IF(AX765&lt;=0,"Aussenlager","teilweise")))))</f>
        <v/>
      </c>
      <c r="BB765" s="53">
        <f>IF(A765="","",IF(BK765=1,"Neu; ","")&amp;IF(AND(BK765=0,BF765&lt;0),"negativer Bestand (Export "&amp;BF765&amp;"); ","")&amp;IF(I765&lt;=0,"Kein Verbrauch; ","")&amp;IF(BO765=1,"Lose – Fläche geschätzt; ","")&amp;IF(G765&gt;AM765,"Überbestand "&amp;ROUND(G765-AM765,0)&amp;" Stk / CHF "&amp;ROUND((G765-AM765)*F765,0)&amp;"; ","")&amp;IF(AND(BT765=1,BU765&lt;BV765),"MAX &lt; MB+LG; ","")&amp;IF(AND(BZ765&gt;0,BY765*10&gt;BZ765),"zu hoch für Tablar; ","")&amp;IF(AND(BK765=0,OR(BT765=1,V765&lt;&gt;"",S765&lt;&gt;"",T765&lt;&gt;"",W765&lt;&gt;"")),"manuell übersteuert; ","")&amp;IF(AND(BO765=0,Q765=0),"Gebinde unbekannt; ","")&amp;IF(AND(BO765=0,N(T765)&lt;=0,N(P765)&lt;=0),"Menge pro Gebinde fehlt (Ist = 1 Gebinde); ","")&amp;BJ765)</f>
        <v/>
      </c>
      <c r="BC765" s="53" t="n"/>
      <c r="BD765" s="53" t="n"/>
      <c r="BE765" s="61" t="n"/>
      <c r="BF765" s="55" t="n">
        <v>-2</v>
      </c>
      <c r="BG765" s="55" t="n">
        <v>372</v>
      </c>
      <c r="BH765" s="54" t="n">
        <v>-0.84</v>
      </c>
      <c r="BI765" s="55" t="n">
        <v>0</v>
      </c>
      <c r="BJ765" s="53" t="inlineStr">
        <is>
          <t>Überbestand</t>
        </is>
      </c>
      <c r="BK765" s="58" t="n">
        <v>0</v>
      </c>
      <c r="BL765" s="58" t="n">
        <v>765</v>
      </c>
      <c r="BM765" s="53">
        <f>IF(S765&lt;&gt;"",UPPER(TRIM(S765)),IF(O765="","LOSE",O765))</f>
        <v/>
      </c>
      <c r="BN765" s="55">
        <f>IF(BM765="LOSE",1,IF(N(T765)&gt;0,T765,IF(N(P765)&gt;0,P765,MAX(1,G765))))</f>
        <v/>
      </c>
      <c r="BO765" s="58">
        <f>IF(BM765="LOSE",1,0)</f>
        <v/>
      </c>
      <c r="BP765" s="64">
        <f>IF(BO765=0,0,IF(N(R765)&gt;0,R765,IFERROR(VLOOKUP(D765,Parameter!$A$35:$C$64,3,0)+0,0)))</f>
        <v/>
      </c>
      <c r="BQ765" s="53">
        <f>IF(V765&lt;&gt;"",V765,U765)</f>
        <v/>
      </c>
      <c r="BR765" s="53">
        <f>IF(BQ765=1,"L1",IF(OR(BQ765=2,BQ765=3),"L23",IF(BQ765="Aussen","Aussen","-")))</f>
        <v/>
      </c>
      <c r="BS765" s="66">
        <f>IF(N(W765)&gt;0,W765,0)</f>
        <v/>
      </c>
      <c r="BT765" s="58">
        <f>IF(ISNUMBER(Z765),1,0)</f>
        <v/>
      </c>
      <c r="BU765" s="55">
        <f>N(Z765)</f>
        <v/>
      </c>
      <c r="BV765" s="55">
        <f>N(L765)+N(M765)</f>
        <v/>
      </c>
      <c r="BW765" s="55">
        <f>ROUNDUP(G765/BN765,0)</f>
        <v/>
      </c>
      <c r="BX765" s="55">
        <f>ROUNDUP(BU765/BN765,0)</f>
        <v/>
      </c>
      <c r="BY765" s="58">
        <f>IF(BO765=1,0,IFERROR(VLOOKUP(BM765,'Gebinde-Kategorie'!$A$5:$G$45,5,0)+0,0))</f>
        <v/>
      </c>
      <c r="BZ765" s="58">
        <f>IFERROR(IF(OR(BQ765=1,BQ765=2,BQ765=3),N(INDEX(Parameter!$I$5:$I$7,BQ765)),0),0)</f>
        <v/>
      </c>
    </row>
    <row r="766">
      <c r="A766" s="53" t="inlineStr">
        <is>
          <t>110029</t>
        </is>
      </c>
      <c r="B766" s="53" t="inlineStr">
        <is>
          <t>Service Checklist SPGr16 SVC1</t>
        </is>
      </c>
      <c r="C766" s="53" t="inlineStr">
        <is>
          <t>G</t>
        </is>
      </c>
      <c r="D766" s="53" t="inlineStr">
        <is>
          <t>PAL</t>
        </is>
      </c>
      <c r="E766" s="53" t="inlineStr">
        <is>
          <t>C</t>
        </is>
      </c>
      <c r="F766" s="54" t="n">
        <v>0.01</v>
      </c>
      <c r="G766" s="55">
        <f>MAX(0,IF(Parameter!$B$20="Jahresanfang 2025 + Export",BG766+BF766,BF766))</f>
        <v/>
      </c>
      <c r="H766" s="55">
        <f>G766*F766</f>
        <v/>
      </c>
      <c r="I766" s="55">
        <f>BI766*Parameter!$B$18</f>
        <v/>
      </c>
      <c r="J766" s="56" t="n">
        <v>90</v>
      </c>
      <c r="K766" s="57" t="n">
        <v>0.5555555555555556</v>
      </c>
      <c r="L766" s="55" t="n">
        <v>0</v>
      </c>
      <c r="M766" s="55" t="n">
        <v>50</v>
      </c>
      <c r="N766" s="58" t="n">
        <v>14</v>
      </c>
      <c r="O766" s="53" t="inlineStr">
        <is>
          <t>LOSE</t>
        </is>
      </c>
      <c r="P766" s="55" t="n"/>
      <c r="Q766" s="59">
        <f>IF(BO766=1,0,IFERROR(VLOOKUP(BM766,'Gebinde-Kategorie'!$A$5:$G$45,6,0)+0,0))</f>
        <v/>
      </c>
      <c r="R766" s="60" t="n"/>
      <c r="S766" s="61" t="n"/>
      <c r="T766" s="61" t="n"/>
      <c r="U766" s="53">
        <f>IF(A766="","",IF(IFERROR(VLOOKUP(D766,Parameter!$A$35:$C$64,2,0),"Nein")="2+3",IF(ISNUMBER(SEARCH("grosser Artikel",BJ766)),2,IFERROR(VLOOKUP(BM766,Parameter!$F$35:$G$64,2,0),2)),IF(OR(IFERROR(VLOOKUP(D766,Parameter!$A$35:$C$64,2,0),"Nein")="Nein",IFERROR(VLOOKUP(D766,Parameter!$A$35:$C$64,2,0),"Nein")=""),"-",VLOOKUP(D766,Parameter!$A$35:$C$64,2,0))))</f>
        <v/>
      </c>
      <c r="V766" s="61" t="n"/>
      <c r="W766" s="62" t="n"/>
      <c r="X766" s="55">
        <f>AM766</f>
        <v/>
      </c>
      <c r="Y766" s="55">
        <f>MAX(AM766,G766)</f>
        <v/>
      </c>
      <c r="Z766" s="63" t="n"/>
      <c r="AA766" s="55">
        <f>IF(LEFT(Cockpit!$C$5,1)="A",G766,IF(BT766=1,BU766,IF(LEFT(Cockpit!$C$5,1)="B",AE766,MAX(AE766,G766))))</f>
        <v/>
      </c>
      <c r="AB766" s="55">
        <f>IF(BO766=1,0,ROUNDUP(AA766/BN766,0))</f>
        <v/>
      </c>
      <c r="AC766" s="64">
        <f>IF(BO766=1,IF(AA766&lt;=0,0,BP766*MAX(1,IF(G766&gt;0,AA766/G766,1))),AB766*Q766)</f>
        <v/>
      </c>
      <c r="AD766" s="55">
        <f>AA766*F766</f>
        <v/>
      </c>
      <c r="AE766" s="55">
        <f>ROUNDUP(MAX(I766/IF(BS766&gt;0,BS766,MAX(0.1,N(Cockpit!$C$6))),BV766)/BN766,0)*BN766</f>
        <v/>
      </c>
      <c r="AF766" s="56">
        <f>IF(AC766&gt;0,I766/AC766,-1)</f>
        <v/>
      </c>
      <c r="AG766" s="56">
        <f>IF(AND(OR(BR766="L1",BR766="L23"),AC766&gt;0),SUMIFS($AC$7:$AC$1570,$BR$7:$BR$1570,BR766,$AF$7:$AF$1570,"&gt;"&amp;AF766)+SUMIFS($AC$7:$AC$1570,$BR$7:$BR$1570,BR766,$AF$7:$AF$1570,AF766,$BL$7:$BL$1570,"&lt;="&amp;BL766),"")</f>
        <v/>
      </c>
      <c r="AH766" s="65">
        <f>IF(AG766="",0,MAX(0,MIN(1,(IF(BR766="L1",Parameter!$K$5,Parameter!$K$6+Parameter!$K$7)-(AG766-AC766))/AC766)))</f>
        <v/>
      </c>
      <c r="AI766" s="55">
        <f>IF(LEFT(Cockpit!$I$5,1)="A",G766,IF(BT766=1,BU766,IF(LEFT(Cockpit!$I$5,1)="B",AM766,MAX(AM766,G766))))</f>
        <v/>
      </c>
      <c r="AJ766" s="55">
        <f>IF(BO766=1,0,ROUNDUP(AI766/BN766,0))</f>
        <v/>
      </c>
      <c r="AK766" s="64">
        <f>IF(BO766=1,IF(AI766&lt;=0,0,BP766*MAX(1,IF(G766&gt;0,AI766/G766,1))),AJ766*Q766)</f>
        <v/>
      </c>
      <c r="AL766" s="55">
        <f>AI766*F766</f>
        <v/>
      </c>
      <c r="AM766" s="55">
        <f>ROUNDUP(MAX(I766/IF(BS766&gt;0,BS766,MAX(0.1,N(Cockpit!$I$6))),BV766)/BN766,0)*BN766</f>
        <v/>
      </c>
      <c r="AN766" s="56">
        <f>IF(AK766&gt;0,I766/AK766,-1)</f>
        <v/>
      </c>
      <c r="AO766" s="56">
        <f>IF(AND(OR(BR766="L1",BR766="L23"),AK766&gt;0),SUMIFS($AK$7:$AK$1570,$BR$7:$BR$1570,BR766,$AN$7:$AN$1570,"&gt;"&amp;AN766)+SUMIFS($AK$7:$AK$1570,$BR$7:$BR$1570,BR766,$AN$7:$AN$1570,AN766,$BL$7:$BL$1570,"&lt;="&amp;BL766),"")</f>
        <v/>
      </c>
      <c r="AP766" s="65">
        <f>IF(AO766="",0,MAX(0,MIN(1,(IF(BR766="L1",Parameter!$K$5,Parameter!$K$6+Parameter!$K$7)-(AO766-AK766))/AK766)))</f>
        <v/>
      </c>
      <c r="AQ766" s="55">
        <f>IF(LEFT(Cockpit!$O$5,1)="A",G766,IF(BT766=1,BU766,IF(LEFT(Cockpit!$O$5,1)="B",AU766,MAX(AU766,G766))))</f>
        <v/>
      </c>
      <c r="AR766" s="55">
        <f>IF(BO766=1,0,ROUNDUP(AQ766/BN766,0))</f>
        <v/>
      </c>
      <c r="AS766" s="64">
        <f>IF(BO766=1,IF(AQ766&lt;=0,0,BP766*MAX(1,IF(G766&gt;0,AQ766/G766,1))),AR766*Q766)</f>
        <v/>
      </c>
      <c r="AT766" s="55">
        <f>AQ766*F766</f>
        <v/>
      </c>
      <c r="AU766" s="55">
        <f>ROUNDUP(MAX(I766/IF(BS766&gt;0,BS766,MAX(0.1,N(Cockpit!$O$6))),BV766)/BN766,0)*BN766</f>
        <v/>
      </c>
      <c r="AV766" s="56">
        <f>IF(AS766&gt;0,I766/AS766,-1)</f>
        <v/>
      </c>
      <c r="AW766" s="56">
        <f>IF(AND(OR(BR766="L1",BR766="L23"),AS766&gt;0),SUMIFS($AS$7:$AS$1570,$BR$7:$BR$1570,BR766,$AV$7:$AV$1570,"&gt;"&amp;AV766)+SUMIFS($AS$7:$AS$1570,$BR$7:$BR$1570,BR766,$AV$7:$AV$1570,AV766,$BL$7:$BL$1570,"&lt;="&amp;BL766),"")</f>
        <v/>
      </c>
      <c r="AX766" s="65">
        <f>IF(AW766="",0,MAX(0,MIN(1,(IF(BR766="L1",Parameter!$K$5,Parameter!$K$6+Parameter!$K$7)-(AW766-AS766))/AS766)))</f>
        <v/>
      </c>
      <c r="AY766" s="53">
        <f>IF(AC766&lt;=0,"",IF(BR766="Aussen","Aussenlager",IF(BR766="-","Nicht im Lift",IF(AH766&gt;=1,"Lift",IF(AH766&lt;=0,"Aussenlager","teilweise")))))</f>
        <v/>
      </c>
      <c r="AZ766" s="53">
        <f>IF(AK766&lt;=0,"",IF(BR766="Aussen","Aussenlager",IF(BR766="-","Nicht im Lift",IF(AP766&gt;=1,"Lift",IF(AP766&lt;=0,"Aussenlager","teilweise")))))</f>
        <v/>
      </c>
      <c r="BA766" s="53">
        <f>IF(AS766&lt;=0,"",IF(BR766="Aussen","Aussenlager",IF(BR766="-","Nicht im Lift",IF(AX766&gt;=1,"Lift",IF(AX766&lt;=0,"Aussenlager","teilweise")))))</f>
        <v/>
      </c>
      <c r="BB766" s="53">
        <f>IF(A766="","",IF(BK766=1,"Neu; ","")&amp;IF(AND(BK766=0,BF766&lt;0),"negativer Bestand (Export "&amp;BF766&amp;"); ","")&amp;IF(I766&lt;=0,"Kein Verbrauch; ","")&amp;IF(BO766=1,"Lose – Fläche geschätzt; ","")&amp;IF(G766&gt;AM766,"Überbestand "&amp;ROUND(G766-AM766,0)&amp;" Stk / CHF "&amp;ROUND((G766-AM766)*F766,0)&amp;"; ","")&amp;IF(AND(BT766=1,BU766&lt;BV766),"MAX &lt; MB+LG; ","")&amp;IF(AND(BZ766&gt;0,BY766*10&gt;BZ766),"zu hoch für Tablar; ","")&amp;IF(AND(BK766=0,OR(BT766=1,V766&lt;&gt;"",S766&lt;&gt;"",T766&lt;&gt;"",W766&lt;&gt;"")),"manuell übersteuert; ","")&amp;IF(AND(BO766=0,Q766=0),"Gebinde unbekannt; ","")&amp;IF(AND(BO766=0,N(T766)&lt;=0,N(P766)&lt;=0),"Menge pro Gebinde fehlt (Ist = 1 Gebinde); ","")&amp;BJ766)</f>
        <v/>
      </c>
      <c r="BC766" s="53" t="n"/>
      <c r="BD766" s="53" t="n"/>
      <c r="BE766" s="61" t="n"/>
      <c r="BF766" s="55" t="n">
        <v>-85</v>
      </c>
      <c r="BG766" s="55" t="n">
        <v>85</v>
      </c>
      <c r="BH766" s="54" t="n">
        <v>-0.8500000000000001</v>
      </c>
      <c r="BI766" s="55" t="n">
        <v>50</v>
      </c>
      <c r="BJ766" s="53" t="inlineStr"/>
      <c r="BK766" s="58" t="n">
        <v>0</v>
      </c>
      <c r="BL766" s="58" t="n">
        <v>766</v>
      </c>
      <c r="BM766" s="53">
        <f>IF(S766&lt;&gt;"",UPPER(TRIM(S766)),IF(O766="","LOSE",O766))</f>
        <v/>
      </c>
      <c r="BN766" s="55">
        <f>IF(BM766="LOSE",1,IF(N(T766)&gt;0,T766,IF(N(P766)&gt;0,P766,MAX(1,G766))))</f>
        <v/>
      </c>
      <c r="BO766" s="58">
        <f>IF(BM766="LOSE",1,0)</f>
        <v/>
      </c>
      <c r="BP766" s="64">
        <f>IF(BO766=0,0,IF(N(R766)&gt;0,R766,IFERROR(VLOOKUP(D766,Parameter!$A$35:$C$64,3,0)+0,0)))</f>
        <v/>
      </c>
      <c r="BQ766" s="53">
        <f>IF(V766&lt;&gt;"",V766,U766)</f>
        <v/>
      </c>
      <c r="BR766" s="53">
        <f>IF(BQ766=1,"L1",IF(OR(BQ766=2,BQ766=3),"L23",IF(BQ766="Aussen","Aussen","-")))</f>
        <v/>
      </c>
      <c r="BS766" s="66">
        <f>IF(N(W766)&gt;0,W766,0)</f>
        <v/>
      </c>
      <c r="BT766" s="58">
        <f>IF(ISNUMBER(Z766),1,0)</f>
        <v/>
      </c>
      <c r="BU766" s="55">
        <f>N(Z766)</f>
        <v/>
      </c>
      <c r="BV766" s="55">
        <f>N(L766)+N(M766)</f>
        <v/>
      </c>
      <c r="BW766" s="55">
        <f>ROUNDUP(G766/BN766,0)</f>
        <v/>
      </c>
      <c r="BX766" s="55">
        <f>ROUNDUP(BU766/BN766,0)</f>
        <v/>
      </c>
      <c r="BY766" s="58">
        <f>IF(BO766=1,0,IFERROR(VLOOKUP(BM766,'Gebinde-Kategorie'!$A$5:$G$45,5,0)+0,0))</f>
        <v/>
      </c>
      <c r="BZ766" s="58">
        <f>IFERROR(IF(OR(BQ766=1,BQ766=2,BQ766=3),N(INDEX(Parameter!$I$5:$I$7,BQ766)),0),0)</f>
        <v/>
      </c>
    </row>
    <row r="767">
      <c r="A767" s="53" t="inlineStr">
        <is>
          <t>001159</t>
        </is>
      </c>
      <c r="B767" s="53" t="inlineStr">
        <is>
          <t>Sicherheitsfäden regulierbar, weiss</t>
        </is>
      </c>
      <c r="C767" s="53" t="inlineStr">
        <is>
          <t>F</t>
        </is>
      </c>
      <c r="D767" s="53" t="inlineStr">
        <is>
          <t>KTL</t>
        </is>
      </c>
      <c r="E767" s="53" t="inlineStr">
        <is>
          <t>C</t>
        </is>
      </c>
      <c r="F767" s="54" t="n">
        <v>0.01</v>
      </c>
      <c r="G767" s="55">
        <f>MAX(0,IF(Parameter!$B$20="Jahresanfang 2025 + Export",BG767+BF767,BF767))</f>
        <v/>
      </c>
      <c r="H767" s="55">
        <f>G767*F767</f>
        <v/>
      </c>
      <c r="I767" s="55">
        <f>BI767*Parameter!$B$18</f>
        <v/>
      </c>
      <c r="J767" s="56" t="n">
        <v>4924.5</v>
      </c>
      <c r="K767" s="57" t="n">
        <v>0.0002030663011473246</v>
      </c>
      <c r="L767" s="55" t="n">
        <v>0</v>
      </c>
      <c r="M767" s="55" t="n">
        <v>1</v>
      </c>
      <c r="N767" s="58" t="n">
        <v>21</v>
      </c>
      <c r="O767" s="53" t="inlineStr">
        <is>
          <t>S41</t>
        </is>
      </c>
      <c r="P767" s="55" t="n">
        <v>5000</v>
      </c>
      <c r="Q767" s="59">
        <f>IF(BO767=1,0,IFERROR(VLOOKUP(BM767,'Gebinde-Kategorie'!$A$5:$G$45,6,0)+0,0))</f>
        <v/>
      </c>
      <c r="R767" s="60" t="n"/>
      <c r="S767" s="61" t="n"/>
      <c r="T767" s="61" t="n"/>
      <c r="U767" s="53">
        <f>IF(A767="","",IF(IFERROR(VLOOKUP(D767,Parameter!$A$35:$C$64,2,0),"Nein")="2+3",IF(ISNUMBER(SEARCH("grosser Artikel",BJ767)),2,IFERROR(VLOOKUP(BM767,Parameter!$F$35:$G$64,2,0),2)),IF(OR(IFERROR(VLOOKUP(D767,Parameter!$A$35:$C$64,2,0),"Nein")="Nein",IFERROR(VLOOKUP(D767,Parameter!$A$35:$C$64,2,0),"Nein")=""),"-",VLOOKUP(D767,Parameter!$A$35:$C$64,2,0))))</f>
        <v/>
      </c>
      <c r="V767" s="61" t="n"/>
      <c r="W767" s="62" t="n"/>
      <c r="X767" s="55">
        <f>AM767</f>
        <v/>
      </c>
      <c r="Y767" s="55">
        <f>MAX(AM767,G767)</f>
        <v/>
      </c>
      <c r="Z767" s="63" t="n"/>
      <c r="AA767" s="55">
        <f>IF(LEFT(Cockpit!$C$5,1)="A",G767,IF(BT767=1,BU767,IF(LEFT(Cockpit!$C$5,1)="B",AE767,MAX(AE767,G767))))</f>
        <v/>
      </c>
      <c r="AB767" s="55">
        <f>IF(BO767=1,0,ROUNDUP(AA767/BN767,0))</f>
        <v/>
      </c>
      <c r="AC767" s="64">
        <f>IF(BO767=1,IF(AA767&lt;=0,0,BP767*MAX(1,IF(G767&gt;0,AA767/G767,1))),AB767*Q767)</f>
        <v/>
      </c>
      <c r="AD767" s="55">
        <f>AA767*F767</f>
        <v/>
      </c>
      <c r="AE767" s="55">
        <f>ROUNDUP(MAX(I767/IF(BS767&gt;0,BS767,MAX(0.1,N(Cockpit!$C$6))),BV767)/BN767,0)*BN767</f>
        <v/>
      </c>
      <c r="AF767" s="56">
        <f>IF(AC767&gt;0,I767/AC767,-1)</f>
        <v/>
      </c>
      <c r="AG767" s="56">
        <f>IF(AND(OR(BR767="L1",BR767="L23"),AC767&gt;0),SUMIFS($AC$7:$AC$1570,$BR$7:$BR$1570,BR767,$AF$7:$AF$1570,"&gt;"&amp;AF767)+SUMIFS($AC$7:$AC$1570,$BR$7:$BR$1570,BR767,$AF$7:$AF$1570,AF767,$BL$7:$BL$1570,"&lt;="&amp;BL767),"")</f>
        <v/>
      </c>
      <c r="AH767" s="65">
        <f>IF(AG767="",0,MAX(0,MIN(1,(IF(BR767="L1",Parameter!$K$5,Parameter!$K$6+Parameter!$K$7)-(AG767-AC767))/AC767)))</f>
        <v/>
      </c>
      <c r="AI767" s="55">
        <f>IF(LEFT(Cockpit!$I$5,1)="A",G767,IF(BT767=1,BU767,IF(LEFT(Cockpit!$I$5,1)="B",AM767,MAX(AM767,G767))))</f>
        <v/>
      </c>
      <c r="AJ767" s="55">
        <f>IF(BO767=1,0,ROUNDUP(AI767/BN767,0))</f>
        <v/>
      </c>
      <c r="AK767" s="64">
        <f>IF(BO767=1,IF(AI767&lt;=0,0,BP767*MAX(1,IF(G767&gt;0,AI767/G767,1))),AJ767*Q767)</f>
        <v/>
      </c>
      <c r="AL767" s="55">
        <f>AI767*F767</f>
        <v/>
      </c>
      <c r="AM767" s="55">
        <f>ROUNDUP(MAX(I767/IF(BS767&gt;0,BS767,MAX(0.1,N(Cockpit!$I$6))),BV767)/BN767,0)*BN767</f>
        <v/>
      </c>
      <c r="AN767" s="56">
        <f>IF(AK767&gt;0,I767/AK767,-1)</f>
        <v/>
      </c>
      <c r="AO767" s="56">
        <f>IF(AND(OR(BR767="L1",BR767="L23"),AK767&gt;0),SUMIFS($AK$7:$AK$1570,$BR$7:$BR$1570,BR767,$AN$7:$AN$1570,"&gt;"&amp;AN767)+SUMIFS($AK$7:$AK$1570,$BR$7:$BR$1570,BR767,$AN$7:$AN$1570,AN767,$BL$7:$BL$1570,"&lt;="&amp;BL767),"")</f>
        <v/>
      </c>
      <c r="AP767" s="65">
        <f>IF(AO767="",0,MAX(0,MIN(1,(IF(BR767="L1",Parameter!$K$5,Parameter!$K$6+Parameter!$K$7)-(AO767-AK767))/AK767)))</f>
        <v/>
      </c>
      <c r="AQ767" s="55">
        <f>IF(LEFT(Cockpit!$O$5,1)="A",G767,IF(BT767=1,BU767,IF(LEFT(Cockpit!$O$5,1)="B",AU767,MAX(AU767,G767))))</f>
        <v/>
      </c>
      <c r="AR767" s="55">
        <f>IF(BO767=1,0,ROUNDUP(AQ767/BN767,0))</f>
        <v/>
      </c>
      <c r="AS767" s="64">
        <f>IF(BO767=1,IF(AQ767&lt;=0,0,BP767*MAX(1,IF(G767&gt;0,AQ767/G767,1))),AR767*Q767)</f>
        <v/>
      </c>
      <c r="AT767" s="55">
        <f>AQ767*F767</f>
        <v/>
      </c>
      <c r="AU767" s="55">
        <f>ROUNDUP(MAX(I767/IF(BS767&gt;0,BS767,MAX(0.1,N(Cockpit!$O$6))),BV767)/BN767,0)*BN767</f>
        <v/>
      </c>
      <c r="AV767" s="56">
        <f>IF(AS767&gt;0,I767/AS767,-1)</f>
        <v/>
      </c>
      <c r="AW767" s="56">
        <f>IF(AND(OR(BR767="L1",BR767="L23"),AS767&gt;0),SUMIFS($AS$7:$AS$1570,$BR$7:$BR$1570,BR767,$AV$7:$AV$1570,"&gt;"&amp;AV767)+SUMIFS($AS$7:$AS$1570,$BR$7:$BR$1570,BR767,$AV$7:$AV$1570,AV767,$BL$7:$BL$1570,"&lt;="&amp;BL767),"")</f>
        <v/>
      </c>
      <c r="AX767" s="65">
        <f>IF(AW767="",0,MAX(0,MIN(1,(IF(BR767="L1",Parameter!$K$5,Parameter!$K$6+Parameter!$K$7)-(AW767-AS767))/AS767)))</f>
        <v/>
      </c>
      <c r="AY767" s="53">
        <f>IF(AC767&lt;=0,"",IF(BR767="Aussen","Aussenlager",IF(BR767="-","Nicht im Lift",IF(AH767&gt;=1,"Lift",IF(AH767&lt;=0,"Aussenlager","teilweise")))))</f>
        <v/>
      </c>
      <c r="AZ767" s="53">
        <f>IF(AK767&lt;=0,"",IF(BR767="Aussen","Aussenlager",IF(BR767="-","Nicht im Lift",IF(AP767&gt;=1,"Lift",IF(AP767&lt;=0,"Aussenlager","teilweise")))))</f>
        <v/>
      </c>
      <c r="BA767" s="53">
        <f>IF(AS767&lt;=0,"",IF(BR767="Aussen","Aussenlager",IF(BR767="-","Nicht im Lift",IF(AX767&gt;=1,"Lift",IF(AX767&lt;=0,"Aussenlager","teilweise")))))</f>
        <v/>
      </c>
      <c r="BB767" s="53">
        <f>IF(A767="","",IF(BK767=1,"Neu; ","")&amp;IF(AND(BK767=0,BF767&lt;0),"negativer Bestand (Export "&amp;BF767&amp;"); ","")&amp;IF(I767&lt;=0,"Kein Verbrauch; ","")&amp;IF(BO767=1,"Lose – Fläche geschätzt; ","")&amp;IF(G767&gt;AM767,"Überbestand "&amp;ROUND(G767-AM767,0)&amp;" Stk / CHF "&amp;ROUND((G767-AM767)*F767,0)&amp;"; ","")&amp;IF(AND(BT767=1,BU767&lt;BV767),"MAX &lt; MB+LG; ","")&amp;IF(AND(BZ767&gt;0,BY767*10&gt;BZ767),"zu hoch für Tablar; ","")&amp;IF(AND(BK767=0,OR(BT767=1,V767&lt;&gt;"",S767&lt;&gt;"",T767&lt;&gt;"",W767&lt;&gt;"")),"manuell übersteuert; ","")&amp;IF(AND(BO767=0,Q767=0),"Gebinde unbekannt; ","")&amp;IF(AND(BO767=0,N(T767)&lt;=0,N(P767)&lt;=0),"Menge pro Gebinde fehlt (Ist = 1 Gebinde); ","")&amp;BJ767)</f>
        <v/>
      </c>
      <c r="BC767" s="53" t="n"/>
      <c r="BD767" s="53" t="n"/>
      <c r="BE767" s="61" t="n"/>
      <c r="BF767" s="55" t="n">
        <v>-86</v>
      </c>
      <c r="BG767" s="55" t="n">
        <v>4950</v>
      </c>
      <c r="BH767" s="54" t="n">
        <v>-0.86</v>
      </c>
      <c r="BI767" s="55" t="n">
        <v>1</v>
      </c>
      <c r="BJ767" s="53" t="inlineStr">
        <is>
          <t>Überbestand</t>
        </is>
      </c>
      <c r="BK767" s="58" t="n">
        <v>0</v>
      </c>
      <c r="BL767" s="58" t="n">
        <v>767</v>
      </c>
      <c r="BM767" s="53">
        <f>IF(S767&lt;&gt;"",UPPER(TRIM(S767)),IF(O767="","LOSE",O767))</f>
        <v/>
      </c>
      <c r="BN767" s="55">
        <f>IF(BM767="LOSE",1,IF(N(T767)&gt;0,T767,IF(N(P767)&gt;0,P767,MAX(1,G767))))</f>
        <v/>
      </c>
      <c r="BO767" s="58">
        <f>IF(BM767="LOSE",1,0)</f>
        <v/>
      </c>
      <c r="BP767" s="64">
        <f>IF(BO767=0,0,IF(N(R767)&gt;0,R767,IFERROR(VLOOKUP(D767,Parameter!$A$35:$C$64,3,0)+0,0)))</f>
        <v/>
      </c>
      <c r="BQ767" s="53">
        <f>IF(V767&lt;&gt;"",V767,U767)</f>
        <v/>
      </c>
      <c r="BR767" s="53">
        <f>IF(BQ767=1,"L1",IF(OR(BQ767=2,BQ767=3),"L23",IF(BQ767="Aussen","Aussen","-")))</f>
        <v/>
      </c>
      <c r="BS767" s="66">
        <f>IF(N(W767)&gt;0,W767,0)</f>
        <v/>
      </c>
      <c r="BT767" s="58">
        <f>IF(ISNUMBER(Z767),1,0)</f>
        <v/>
      </c>
      <c r="BU767" s="55">
        <f>N(Z767)</f>
        <v/>
      </c>
      <c r="BV767" s="55">
        <f>N(L767)+N(M767)</f>
        <v/>
      </c>
      <c r="BW767" s="55">
        <f>ROUNDUP(G767/BN767,0)</f>
        <v/>
      </c>
      <c r="BX767" s="55">
        <f>ROUNDUP(BU767/BN767,0)</f>
        <v/>
      </c>
      <c r="BY767" s="58">
        <f>IF(BO767=1,0,IFERROR(VLOOKUP(BM767,'Gebinde-Kategorie'!$A$5:$G$45,5,0)+0,0))</f>
        <v/>
      </c>
      <c r="BZ767" s="58">
        <f>IFERROR(IF(OR(BQ767=1,BQ767=2,BQ767=3),N(INDEX(Parameter!$I$5:$I$7,BQ767)),0),0)</f>
        <v/>
      </c>
    </row>
    <row r="768">
      <c r="A768" s="53" t="inlineStr">
        <is>
          <t>005634</t>
        </is>
      </c>
      <c r="B768" s="53" t="inlineStr">
        <is>
          <t>Unterlagsscheibe</t>
        </is>
      </c>
      <c r="C768" s="53" t="inlineStr">
        <is>
          <t>F</t>
        </is>
      </c>
      <c r="D768" s="53" t="inlineStr">
        <is>
          <t>KTL</t>
        </is>
      </c>
      <c r="E768" s="53" t="inlineStr">
        <is>
          <t>C</t>
        </is>
      </c>
      <c r="F768" s="54" t="n">
        <v>0.03</v>
      </c>
      <c r="G768" s="55">
        <f>MAX(0,IF(Parameter!$B$20="Jahresanfang 2025 + Export",BG768+BF768,BF768))</f>
        <v/>
      </c>
      <c r="H768" s="55">
        <f>G768*F768</f>
        <v/>
      </c>
      <c r="I768" s="55">
        <f>BI768*Parameter!$B$18</f>
        <v/>
      </c>
      <c r="J768" s="56" t="n">
        <v>294</v>
      </c>
      <c r="K768" s="57" t="n">
        <v>0.04081632653061224</v>
      </c>
      <c r="L768" s="55" t="n">
        <v>0</v>
      </c>
      <c r="M768" s="55" t="n">
        <v>10</v>
      </c>
      <c r="N768" s="58" t="n">
        <v>14</v>
      </c>
      <c r="O768" s="53" t="inlineStr">
        <is>
          <t>S32</t>
        </is>
      </c>
      <c r="P768" s="55" t="n">
        <v>380</v>
      </c>
      <c r="Q768" s="59">
        <f>IF(BO768=1,0,IFERROR(VLOOKUP(BM768,'Gebinde-Kategorie'!$A$5:$G$45,6,0)+0,0))</f>
        <v/>
      </c>
      <c r="R768" s="60" t="n"/>
      <c r="S768" s="61" t="n"/>
      <c r="T768" s="61" t="n"/>
      <c r="U768" s="53">
        <f>IF(A768="","",IF(IFERROR(VLOOKUP(D768,Parameter!$A$35:$C$64,2,0),"Nein")="2+3",IF(ISNUMBER(SEARCH("grosser Artikel",BJ768)),2,IFERROR(VLOOKUP(BM768,Parameter!$F$35:$G$64,2,0),2)),IF(OR(IFERROR(VLOOKUP(D768,Parameter!$A$35:$C$64,2,0),"Nein")="Nein",IFERROR(VLOOKUP(D768,Parameter!$A$35:$C$64,2,0),"Nein")=""),"-",VLOOKUP(D768,Parameter!$A$35:$C$64,2,0))))</f>
        <v/>
      </c>
      <c r="V768" s="61" t="n"/>
      <c r="W768" s="62" t="n"/>
      <c r="X768" s="55">
        <f>AM768</f>
        <v/>
      </c>
      <c r="Y768" s="55">
        <f>MAX(AM768,G768)</f>
        <v/>
      </c>
      <c r="Z768" s="63" t="n"/>
      <c r="AA768" s="55">
        <f>IF(LEFT(Cockpit!$C$5,1)="A",G768,IF(BT768=1,BU768,IF(LEFT(Cockpit!$C$5,1)="B",AE768,MAX(AE768,G768))))</f>
        <v/>
      </c>
      <c r="AB768" s="55">
        <f>IF(BO768=1,0,ROUNDUP(AA768/BN768,0))</f>
        <v/>
      </c>
      <c r="AC768" s="64">
        <f>IF(BO768=1,IF(AA768&lt;=0,0,BP768*MAX(1,IF(G768&gt;0,AA768/G768,1))),AB768*Q768)</f>
        <v/>
      </c>
      <c r="AD768" s="55">
        <f>AA768*F768</f>
        <v/>
      </c>
      <c r="AE768" s="55">
        <f>ROUNDUP(MAX(I768/IF(BS768&gt;0,BS768,MAX(0.1,N(Cockpit!$C$6))),BV768)/BN768,0)*BN768</f>
        <v/>
      </c>
      <c r="AF768" s="56">
        <f>IF(AC768&gt;0,I768/AC768,-1)</f>
        <v/>
      </c>
      <c r="AG768" s="56">
        <f>IF(AND(OR(BR768="L1",BR768="L23"),AC768&gt;0),SUMIFS($AC$7:$AC$1570,$BR$7:$BR$1570,BR768,$AF$7:$AF$1570,"&gt;"&amp;AF768)+SUMIFS($AC$7:$AC$1570,$BR$7:$BR$1570,BR768,$AF$7:$AF$1570,AF768,$BL$7:$BL$1570,"&lt;="&amp;BL768),"")</f>
        <v/>
      </c>
      <c r="AH768" s="65">
        <f>IF(AG768="",0,MAX(0,MIN(1,(IF(BR768="L1",Parameter!$K$5,Parameter!$K$6+Parameter!$K$7)-(AG768-AC768))/AC768)))</f>
        <v/>
      </c>
      <c r="AI768" s="55">
        <f>IF(LEFT(Cockpit!$I$5,1)="A",G768,IF(BT768=1,BU768,IF(LEFT(Cockpit!$I$5,1)="B",AM768,MAX(AM768,G768))))</f>
        <v/>
      </c>
      <c r="AJ768" s="55">
        <f>IF(BO768=1,0,ROUNDUP(AI768/BN768,0))</f>
        <v/>
      </c>
      <c r="AK768" s="64">
        <f>IF(BO768=1,IF(AI768&lt;=0,0,BP768*MAX(1,IF(G768&gt;0,AI768/G768,1))),AJ768*Q768)</f>
        <v/>
      </c>
      <c r="AL768" s="55">
        <f>AI768*F768</f>
        <v/>
      </c>
      <c r="AM768" s="55">
        <f>ROUNDUP(MAX(I768/IF(BS768&gt;0,BS768,MAX(0.1,N(Cockpit!$I$6))),BV768)/BN768,0)*BN768</f>
        <v/>
      </c>
      <c r="AN768" s="56">
        <f>IF(AK768&gt;0,I768/AK768,-1)</f>
        <v/>
      </c>
      <c r="AO768" s="56">
        <f>IF(AND(OR(BR768="L1",BR768="L23"),AK768&gt;0),SUMIFS($AK$7:$AK$1570,$BR$7:$BR$1570,BR768,$AN$7:$AN$1570,"&gt;"&amp;AN768)+SUMIFS($AK$7:$AK$1570,$BR$7:$BR$1570,BR768,$AN$7:$AN$1570,AN768,$BL$7:$BL$1570,"&lt;="&amp;BL768),"")</f>
        <v/>
      </c>
      <c r="AP768" s="65">
        <f>IF(AO768="",0,MAX(0,MIN(1,(IF(BR768="L1",Parameter!$K$5,Parameter!$K$6+Parameter!$K$7)-(AO768-AK768))/AK768)))</f>
        <v/>
      </c>
      <c r="AQ768" s="55">
        <f>IF(LEFT(Cockpit!$O$5,1)="A",G768,IF(BT768=1,BU768,IF(LEFT(Cockpit!$O$5,1)="B",AU768,MAX(AU768,G768))))</f>
        <v/>
      </c>
      <c r="AR768" s="55">
        <f>IF(BO768=1,0,ROUNDUP(AQ768/BN768,0))</f>
        <v/>
      </c>
      <c r="AS768" s="64">
        <f>IF(BO768=1,IF(AQ768&lt;=0,0,BP768*MAX(1,IF(G768&gt;0,AQ768/G768,1))),AR768*Q768)</f>
        <v/>
      </c>
      <c r="AT768" s="55">
        <f>AQ768*F768</f>
        <v/>
      </c>
      <c r="AU768" s="55">
        <f>ROUNDUP(MAX(I768/IF(BS768&gt;0,BS768,MAX(0.1,N(Cockpit!$O$6))),BV768)/BN768,0)*BN768</f>
        <v/>
      </c>
      <c r="AV768" s="56">
        <f>IF(AS768&gt;0,I768/AS768,-1)</f>
        <v/>
      </c>
      <c r="AW768" s="56">
        <f>IF(AND(OR(BR768="L1",BR768="L23"),AS768&gt;0),SUMIFS($AS$7:$AS$1570,$BR$7:$BR$1570,BR768,$AV$7:$AV$1570,"&gt;"&amp;AV768)+SUMIFS($AS$7:$AS$1570,$BR$7:$BR$1570,BR768,$AV$7:$AV$1570,AV768,$BL$7:$BL$1570,"&lt;="&amp;BL768),"")</f>
        <v/>
      </c>
      <c r="AX768" s="65">
        <f>IF(AW768="",0,MAX(0,MIN(1,(IF(BR768="L1",Parameter!$K$5,Parameter!$K$6+Parameter!$K$7)-(AW768-AS768))/AS768)))</f>
        <v/>
      </c>
      <c r="AY768" s="53">
        <f>IF(AC768&lt;=0,"",IF(BR768="Aussen","Aussenlager",IF(BR768="-","Nicht im Lift",IF(AH768&gt;=1,"Lift",IF(AH768&lt;=0,"Aussenlager","teilweise")))))</f>
        <v/>
      </c>
      <c r="AZ768" s="53">
        <f>IF(AK768&lt;=0,"",IF(BR768="Aussen","Aussenlager",IF(BR768="-","Nicht im Lift",IF(AP768&gt;=1,"Lift",IF(AP768&lt;=0,"Aussenlager","teilweise")))))</f>
        <v/>
      </c>
      <c r="BA768" s="53">
        <f>IF(AS768&lt;=0,"",IF(BR768="Aussen","Aussenlager",IF(BR768="-","Nicht im Lift",IF(AX768&gt;=1,"Lift",IF(AX768&lt;=0,"Aussenlager","teilweise")))))</f>
        <v/>
      </c>
      <c r="BB768" s="53">
        <f>IF(A768="","",IF(BK768=1,"Neu; ","")&amp;IF(AND(BK768=0,BF768&lt;0),"negativer Bestand (Export "&amp;BF768&amp;"); ","")&amp;IF(I768&lt;=0,"Kein Verbrauch; ","")&amp;IF(BO768=1,"Lose – Fläche geschätzt; ","")&amp;IF(G768&gt;AM768,"Überbestand "&amp;ROUND(G768-AM768,0)&amp;" Stk / CHF "&amp;ROUND((G768-AM768)*F768,0)&amp;"; ","")&amp;IF(AND(BT768=1,BU768&lt;BV768),"MAX &lt; MB+LG; ","")&amp;IF(AND(BZ768&gt;0,BY768*10&gt;BZ768),"zu hoch für Tablar; ","")&amp;IF(AND(BK768=0,OR(BT768=1,V768&lt;&gt;"",S768&lt;&gt;"",T768&lt;&gt;"",W768&lt;&gt;"")),"manuell übersteuert; ","")&amp;IF(AND(BO768=0,Q768=0),"Gebinde unbekannt; ","")&amp;IF(AND(BO768=0,N(T768)&lt;=0,N(P768)&lt;=0),"Menge pro Gebinde fehlt (Ist = 1 Gebinde); ","")&amp;BJ768)</f>
        <v/>
      </c>
      <c r="BC768" s="53" t="n"/>
      <c r="BD768" s="53" t="n"/>
      <c r="BE768" s="61" t="n"/>
      <c r="BF768" s="55" t="n">
        <v>-34</v>
      </c>
      <c r="BG768" s="55" t="n">
        <v>311</v>
      </c>
      <c r="BH768" s="54" t="n">
        <v>-1.02</v>
      </c>
      <c r="BI768" s="55" t="n">
        <v>12</v>
      </c>
      <c r="BJ768" s="53" t="inlineStr"/>
      <c r="BK768" s="58" t="n">
        <v>0</v>
      </c>
      <c r="BL768" s="58" t="n">
        <v>768</v>
      </c>
      <c r="BM768" s="53">
        <f>IF(S768&lt;&gt;"",UPPER(TRIM(S768)),IF(O768="","LOSE",O768))</f>
        <v/>
      </c>
      <c r="BN768" s="55">
        <f>IF(BM768="LOSE",1,IF(N(T768)&gt;0,T768,IF(N(P768)&gt;0,P768,MAX(1,G768))))</f>
        <v/>
      </c>
      <c r="BO768" s="58">
        <f>IF(BM768="LOSE",1,0)</f>
        <v/>
      </c>
      <c r="BP768" s="64">
        <f>IF(BO768=0,0,IF(N(R768)&gt;0,R768,IFERROR(VLOOKUP(D768,Parameter!$A$35:$C$64,3,0)+0,0)))</f>
        <v/>
      </c>
      <c r="BQ768" s="53">
        <f>IF(V768&lt;&gt;"",V768,U768)</f>
        <v/>
      </c>
      <c r="BR768" s="53">
        <f>IF(BQ768=1,"L1",IF(OR(BQ768=2,BQ768=3),"L23",IF(BQ768="Aussen","Aussen","-")))</f>
        <v/>
      </c>
      <c r="BS768" s="66">
        <f>IF(N(W768)&gt;0,W768,0)</f>
        <v/>
      </c>
      <c r="BT768" s="58">
        <f>IF(ISNUMBER(Z768),1,0)</f>
        <v/>
      </c>
      <c r="BU768" s="55">
        <f>N(Z768)</f>
        <v/>
      </c>
      <c r="BV768" s="55">
        <f>N(L768)+N(M768)</f>
        <v/>
      </c>
      <c r="BW768" s="55">
        <f>ROUNDUP(G768/BN768,0)</f>
        <v/>
      </c>
      <c r="BX768" s="55">
        <f>ROUNDUP(BU768/BN768,0)</f>
        <v/>
      </c>
      <c r="BY768" s="58">
        <f>IF(BO768=1,0,IFERROR(VLOOKUP(BM768,'Gebinde-Kategorie'!$A$5:$G$45,5,0)+0,0))</f>
        <v/>
      </c>
      <c r="BZ768" s="58">
        <f>IFERROR(IF(OR(BQ768=1,BQ768=2,BQ768=3),N(INDEX(Parameter!$I$5:$I$7,BQ768)),0),0)</f>
        <v/>
      </c>
    </row>
    <row r="769">
      <c r="A769" s="53" t="inlineStr">
        <is>
          <t>107960</t>
        </is>
      </c>
      <c r="B769" s="53" t="inlineStr">
        <is>
          <t>Abdrückschraube</t>
        </is>
      </c>
      <c r="C769" s="53" t="inlineStr">
        <is>
          <t>F</t>
        </is>
      </c>
      <c r="D769" s="53" t="inlineStr">
        <is>
          <t>KTL</t>
        </is>
      </c>
      <c r="E769" s="53" t="inlineStr">
        <is>
          <t>C</t>
        </is>
      </c>
      <c r="F769" s="54" t="n">
        <v>0.54</v>
      </c>
      <c r="G769" s="55">
        <f>MAX(0,IF(Parameter!$B$20="Jahresanfang 2025 + Export",BG769+BF769,BF769))</f>
        <v/>
      </c>
      <c r="H769" s="55">
        <f>G769*F769</f>
        <v/>
      </c>
      <c r="I769" s="55">
        <f>BI769*Parameter!$B$18</f>
        <v/>
      </c>
      <c r="J769" s="56" t="n">
        <v>409</v>
      </c>
      <c r="K769" s="57" t="n">
        <v>0</v>
      </c>
      <c r="L769" s="55" t="n">
        <v>0</v>
      </c>
      <c r="M769" s="55" t="n">
        <v>1</v>
      </c>
      <c r="N769" s="58" t="n">
        <v>14</v>
      </c>
      <c r="O769" s="53" t="inlineStr">
        <is>
          <t>S51</t>
        </is>
      </c>
      <c r="P769" s="55" t="n">
        <v>440</v>
      </c>
      <c r="Q769" s="59">
        <f>IF(BO769=1,0,IFERROR(VLOOKUP(BM769,'Gebinde-Kategorie'!$A$5:$G$45,6,0)+0,0))</f>
        <v/>
      </c>
      <c r="R769" s="60" t="n"/>
      <c r="S769" s="61" t="n"/>
      <c r="T769" s="61" t="n"/>
      <c r="U769" s="53">
        <f>IF(A769="","",IF(IFERROR(VLOOKUP(D769,Parameter!$A$35:$C$64,2,0),"Nein")="2+3",IF(ISNUMBER(SEARCH("grosser Artikel",BJ769)),2,IFERROR(VLOOKUP(BM769,Parameter!$F$35:$G$64,2,0),2)),IF(OR(IFERROR(VLOOKUP(D769,Parameter!$A$35:$C$64,2,0),"Nein")="Nein",IFERROR(VLOOKUP(D769,Parameter!$A$35:$C$64,2,0),"Nein")=""),"-",VLOOKUP(D769,Parameter!$A$35:$C$64,2,0))))</f>
        <v/>
      </c>
      <c r="V769" s="61" t="n"/>
      <c r="W769" s="62" t="n"/>
      <c r="X769" s="55">
        <f>AM769</f>
        <v/>
      </c>
      <c r="Y769" s="55">
        <f>MAX(AM769,G769)</f>
        <v/>
      </c>
      <c r="Z769" s="63" t="n"/>
      <c r="AA769" s="55">
        <f>IF(LEFT(Cockpit!$C$5,1)="A",G769,IF(BT769=1,BU769,IF(LEFT(Cockpit!$C$5,1)="B",AE769,MAX(AE769,G769))))</f>
        <v/>
      </c>
      <c r="AB769" s="55">
        <f>IF(BO769=1,0,ROUNDUP(AA769/BN769,0))</f>
        <v/>
      </c>
      <c r="AC769" s="64">
        <f>IF(BO769=1,IF(AA769&lt;=0,0,BP769*MAX(1,IF(G769&gt;0,AA769/G769,1))),AB769*Q769)</f>
        <v/>
      </c>
      <c r="AD769" s="55">
        <f>AA769*F769</f>
        <v/>
      </c>
      <c r="AE769" s="55">
        <f>ROUNDUP(MAX(I769/IF(BS769&gt;0,BS769,MAX(0.1,N(Cockpit!$C$6))),BV769)/BN769,0)*BN769</f>
        <v/>
      </c>
      <c r="AF769" s="56">
        <f>IF(AC769&gt;0,I769/AC769,-1)</f>
        <v/>
      </c>
      <c r="AG769" s="56">
        <f>IF(AND(OR(BR769="L1",BR769="L23"),AC769&gt;0),SUMIFS($AC$7:$AC$1570,$BR$7:$BR$1570,BR769,$AF$7:$AF$1570,"&gt;"&amp;AF769)+SUMIFS($AC$7:$AC$1570,$BR$7:$BR$1570,BR769,$AF$7:$AF$1570,AF769,$BL$7:$BL$1570,"&lt;="&amp;BL769),"")</f>
        <v/>
      </c>
      <c r="AH769" s="65">
        <f>IF(AG769="",0,MAX(0,MIN(1,(IF(BR769="L1",Parameter!$K$5,Parameter!$K$6+Parameter!$K$7)-(AG769-AC769))/AC769)))</f>
        <v/>
      </c>
      <c r="AI769" s="55">
        <f>IF(LEFT(Cockpit!$I$5,1)="A",G769,IF(BT769=1,BU769,IF(LEFT(Cockpit!$I$5,1)="B",AM769,MAX(AM769,G769))))</f>
        <v/>
      </c>
      <c r="AJ769" s="55">
        <f>IF(BO769=1,0,ROUNDUP(AI769/BN769,0))</f>
        <v/>
      </c>
      <c r="AK769" s="64">
        <f>IF(BO769=1,IF(AI769&lt;=0,0,BP769*MAX(1,IF(G769&gt;0,AI769/G769,1))),AJ769*Q769)</f>
        <v/>
      </c>
      <c r="AL769" s="55">
        <f>AI769*F769</f>
        <v/>
      </c>
      <c r="AM769" s="55">
        <f>ROUNDUP(MAX(I769/IF(BS769&gt;0,BS769,MAX(0.1,N(Cockpit!$I$6))),BV769)/BN769,0)*BN769</f>
        <v/>
      </c>
      <c r="AN769" s="56">
        <f>IF(AK769&gt;0,I769/AK769,-1)</f>
        <v/>
      </c>
      <c r="AO769" s="56">
        <f>IF(AND(OR(BR769="L1",BR769="L23"),AK769&gt;0),SUMIFS($AK$7:$AK$1570,$BR$7:$BR$1570,BR769,$AN$7:$AN$1570,"&gt;"&amp;AN769)+SUMIFS($AK$7:$AK$1570,$BR$7:$BR$1570,BR769,$AN$7:$AN$1570,AN769,$BL$7:$BL$1570,"&lt;="&amp;BL769),"")</f>
        <v/>
      </c>
      <c r="AP769" s="65">
        <f>IF(AO769="",0,MAX(0,MIN(1,(IF(BR769="L1",Parameter!$K$5,Parameter!$K$6+Parameter!$K$7)-(AO769-AK769))/AK769)))</f>
        <v/>
      </c>
      <c r="AQ769" s="55">
        <f>IF(LEFT(Cockpit!$O$5,1)="A",G769,IF(BT769=1,BU769,IF(LEFT(Cockpit!$O$5,1)="B",AU769,MAX(AU769,G769))))</f>
        <v/>
      </c>
      <c r="AR769" s="55">
        <f>IF(BO769=1,0,ROUNDUP(AQ769/BN769,0))</f>
        <v/>
      </c>
      <c r="AS769" s="64">
        <f>IF(BO769=1,IF(AQ769&lt;=0,0,BP769*MAX(1,IF(G769&gt;0,AQ769/G769,1))),AR769*Q769)</f>
        <v/>
      </c>
      <c r="AT769" s="55">
        <f>AQ769*F769</f>
        <v/>
      </c>
      <c r="AU769" s="55">
        <f>ROUNDUP(MAX(I769/IF(BS769&gt;0,BS769,MAX(0.1,N(Cockpit!$O$6))),BV769)/BN769,0)*BN769</f>
        <v/>
      </c>
      <c r="AV769" s="56">
        <f>IF(AS769&gt;0,I769/AS769,-1)</f>
        <v/>
      </c>
      <c r="AW769" s="56">
        <f>IF(AND(OR(BR769="L1",BR769="L23"),AS769&gt;0),SUMIFS($AS$7:$AS$1570,$BR$7:$BR$1570,BR769,$AV$7:$AV$1570,"&gt;"&amp;AV769)+SUMIFS($AS$7:$AS$1570,$BR$7:$BR$1570,BR769,$AV$7:$AV$1570,AV769,$BL$7:$BL$1570,"&lt;="&amp;BL769),"")</f>
        <v/>
      </c>
      <c r="AX769" s="65">
        <f>IF(AW769="",0,MAX(0,MIN(1,(IF(BR769="L1",Parameter!$K$5,Parameter!$K$6+Parameter!$K$7)-(AW769-AS769))/AS769)))</f>
        <v/>
      </c>
      <c r="AY769" s="53">
        <f>IF(AC769&lt;=0,"",IF(BR769="Aussen","Aussenlager",IF(BR769="-","Nicht im Lift",IF(AH769&gt;=1,"Lift",IF(AH769&lt;=0,"Aussenlager","teilweise")))))</f>
        <v/>
      </c>
      <c r="AZ769" s="53">
        <f>IF(AK769&lt;=0,"",IF(BR769="Aussen","Aussenlager",IF(BR769="-","Nicht im Lift",IF(AP769&gt;=1,"Lift",IF(AP769&lt;=0,"Aussenlager","teilweise")))))</f>
        <v/>
      </c>
      <c r="BA769" s="53">
        <f>IF(AS769&lt;=0,"",IF(BR769="Aussen","Aussenlager",IF(BR769="-","Nicht im Lift",IF(AX769&gt;=1,"Lift",IF(AX769&lt;=0,"Aussenlager","teilweise")))))</f>
        <v/>
      </c>
      <c r="BB769" s="53">
        <f>IF(A769="","",IF(BK769=1,"Neu; ","")&amp;IF(AND(BK769=0,BF769&lt;0),"negativer Bestand (Export "&amp;BF769&amp;"); ","")&amp;IF(I769&lt;=0,"Kein Verbrauch; ","")&amp;IF(BO769=1,"Lose – Fläche geschätzt; ","")&amp;IF(G769&gt;AM769,"Überbestand "&amp;ROUND(G769-AM769,0)&amp;" Stk / CHF "&amp;ROUND((G769-AM769)*F769,0)&amp;"; ","")&amp;IF(AND(BT769=1,BU769&lt;BV769),"MAX &lt; MB+LG; ","")&amp;IF(AND(BZ769&gt;0,BY769*10&gt;BZ769),"zu hoch für Tablar; ","")&amp;IF(AND(BK769=0,OR(BT769=1,V769&lt;&gt;"",S769&lt;&gt;"",T769&lt;&gt;"",W769&lt;&gt;"")),"manuell übersteuert; ","")&amp;IF(AND(BO769=0,Q769=0),"Gebinde unbekannt; ","")&amp;IF(AND(BO769=0,N(T769)&lt;=0,N(P769)&lt;=0),"Menge pro Gebinde fehlt (Ist = 1 Gebinde); ","")&amp;BJ769)</f>
        <v/>
      </c>
      <c r="BC769" s="53" t="n"/>
      <c r="BD769" s="53" t="n"/>
      <c r="BE769" s="61" t="n"/>
      <c r="BF769" s="55" t="n">
        <v>-2</v>
      </c>
      <c r="BG769" s="55" t="n">
        <v>410</v>
      </c>
      <c r="BH769" s="54" t="n">
        <v>-1.08</v>
      </c>
      <c r="BI769" s="55" t="n">
        <v>0</v>
      </c>
      <c r="BJ769" s="53" t="inlineStr">
        <is>
          <t>Neu</t>
        </is>
      </c>
      <c r="BK769" s="58" t="n">
        <v>0</v>
      </c>
      <c r="BL769" s="58" t="n">
        <v>769</v>
      </c>
      <c r="BM769" s="53">
        <f>IF(S769&lt;&gt;"",UPPER(TRIM(S769)),IF(O769="","LOSE",O769))</f>
        <v/>
      </c>
      <c r="BN769" s="55">
        <f>IF(BM769="LOSE",1,IF(N(T769)&gt;0,T769,IF(N(P769)&gt;0,P769,MAX(1,G769))))</f>
        <v/>
      </c>
      <c r="BO769" s="58">
        <f>IF(BM769="LOSE",1,0)</f>
        <v/>
      </c>
      <c r="BP769" s="64">
        <f>IF(BO769=0,0,IF(N(R769)&gt;0,R769,IFERROR(VLOOKUP(D769,Parameter!$A$35:$C$64,3,0)+0,0)))</f>
        <v/>
      </c>
      <c r="BQ769" s="53">
        <f>IF(V769&lt;&gt;"",V769,U769)</f>
        <v/>
      </c>
      <c r="BR769" s="53">
        <f>IF(BQ769=1,"L1",IF(OR(BQ769=2,BQ769=3),"L23",IF(BQ769="Aussen","Aussen","-")))</f>
        <v/>
      </c>
      <c r="BS769" s="66">
        <f>IF(N(W769)&gt;0,W769,0)</f>
        <v/>
      </c>
      <c r="BT769" s="58">
        <f>IF(ISNUMBER(Z769),1,0)</f>
        <v/>
      </c>
      <c r="BU769" s="55">
        <f>N(Z769)</f>
        <v/>
      </c>
      <c r="BV769" s="55">
        <f>N(L769)+N(M769)</f>
        <v/>
      </c>
      <c r="BW769" s="55">
        <f>ROUNDUP(G769/BN769,0)</f>
        <v/>
      </c>
      <c r="BX769" s="55">
        <f>ROUNDUP(BU769/BN769,0)</f>
        <v/>
      </c>
      <c r="BY769" s="58">
        <f>IF(BO769=1,0,IFERROR(VLOOKUP(BM769,'Gebinde-Kategorie'!$A$5:$G$45,5,0)+0,0))</f>
        <v/>
      </c>
      <c r="BZ769" s="58">
        <f>IFERROR(IF(OR(BQ769=1,BQ769=2,BQ769=3),N(INDEX(Parameter!$I$5:$I$7,BQ769)),0),0)</f>
        <v/>
      </c>
    </row>
    <row r="770">
      <c r="A770" s="53" t="inlineStr">
        <is>
          <t>102067</t>
        </is>
      </c>
      <c r="B770" s="53" t="inlineStr">
        <is>
          <t>Sechskantmutter</t>
        </is>
      </c>
      <c r="C770" s="53" t="inlineStr">
        <is>
          <t>F</t>
        </is>
      </c>
      <c r="D770" s="53" t="inlineStr">
        <is>
          <t>KTL</t>
        </is>
      </c>
      <c r="E770" s="53" t="inlineStr">
        <is>
          <t>C</t>
        </is>
      </c>
      <c r="F770" s="54" t="n">
        <v>0.01</v>
      </c>
      <c r="G770" s="55">
        <f>MAX(0,IF(Parameter!$B$20="Jahresanfang 2025 + Export",BG770+BF770,BF770))</f>
        <v/>
      </c>
      <c r="H770" s="55">
        <f>G770*F770</f>
        <v/>
      </c>
      <c r="I770" s="55">
        <f>BI770*Parameter!$B$18</f>
        <v/>
      </c>
      <c r="J770" s="56" t="n">
        <v>491</v>
      </c>
      <c r="K770" s="57" t="n">
        <v>1.458248472505092</v>
      </c>
      <c r="L770" s="55" t="n">
        <v>41</v>
      </c>
      <c r="M770" s="55" t="n">
        <v>715</v>
      </c>
      <c r="N770" s="58" t="n">
        <v>21</v>
      </c>
      <c r="O770" s="53" t="inlineStr">
        <is>
          <t>S32</t>
        </is>
      </c>
      <c r="P770" s="55" t="n">
        <v>819</v>
      </c>
      <c r="Q770" s="59">
        <f>IF(BO770=1,0,IFERROR(VLOOKUP(BM770,'Gebinde-Kategorie'!$A$5:$G$45,6,0)+0,0))</f>
        <v/>
      </c>
      <c r="R770" s="60" t="n"/>
      <c r="S770" s="61" t="n"/>
      <c r="T770" s="61" t="n"/>
      <c r="U770" s="53">
        <f>IF(A770="","",IF(IFERROR(VLOOKUP(D770,Parameter!$A$35:$C$64,2,0),"Nein")="2+3",IF(ISNUMBER(SEARCH("grosser Artikel",BJ770)),2,IFERROR(VLOOKUP(BM770,Parameter!$F$35:$G$64,2,0),2)),IF(OR(IFERROR(VLOOKUP(D770,Parameter!$A$35:$C$64,2,0),"Nein")="Nein",IFERROR(VLOOKUP(D770,Parameter!$A$35:$C$64,2,0),"Nein")=""),"-",VLOOKUP(D770,Parameter!$A$35:$C$64,2,0))))</f>
        <v/>
      </c>
      <c r="V770" s="61" t="n"/>
      <c r="W770" s="62" t="n"/>
      <c r="X770" s="55">
        <f>AM770</f>
        <v/>
      </c>
      <c r="Y770" s="55">
        <f>MAX(AM770,G770)</f>
        <v/>
      </c>
      <c r="Z770" s="63" t="n"/>
      <c r="AA770" s="55">
        <f>IF(LEFT(Cockpit!$C$5,1)="A",G770,IF(BT770=1,BU770,IF(LEFT(Cockpit!$C$5,1)="B",AE770,MAX(AE770,G770))))</f>
        <v/>
      </c>
      <c r="AB770" s="55">
        <f>IF(BO770=1,0,ROUNDUP(AA770/BN770,0))</f>
        <v/>
      </c>
      <c r="AC770" s="64">
        <f>IF(BO770=1,IF(AA770&lt;=0,0,BP770*MAX(1,IF(G770&gt;0,AA770/G770,1))),AB770*Q770)</f>
        <v/>
      </c>
      <c r="AD770" s="55">
        <f>AA770*F770</f>
        <v/>
      </c>
      <c r="AE770" s="55">
        <f>ROUNDUP(MAX(I770/IF(BS770&gt;0,BS770,MAX(0.1,N(Cockpit!$C$6))),BV770)/BN770,0)*BN770</f>
        <v/>
      </c>
      <c r="AF770" s="56">
        <f>IF(AC770&gt;0,I770/AC770,-1)</f>
        <v/>
      </c>
      <c r="AG770" s="56">
        <f>IF(AND(OR(BR770="L1",BR770="L23"),AC770&gt;0),SUMIFS($AC$7:$AC$1570,$BR$7:$BR$1570,BR770,$AF$7:$AF$1570,"&gt;"&amp;AF770)+SUMIFS($AC$7:$AC$1570,$BR$7:$BR$1570,BR770,$AF$7:$AF$1570,AF770,$BL$7:$BL$1570,"&lt;="&amp;BL770),"")</f>
        <v/>
      </c>
      <c r="AH770" s="65">
        <f>IF(AG770="",0,MAX(0,MIN(1,(IF(BR770="L1",Parameter!$K$5,Parameter!$K$6+Parameter!$K$7)-(AG770-AC770))/AC770)))</f>
        <v/>
      </c>
      <c r="AI770" s="55">
        <f>IF(LEFT(Cockpit!$I$5,1)="A",G770,IF(BT770=1,BU770,IF(LEFT(Cockpit!$I$5,1)="B",AM770,MAX(AM770,G770))))</f>
        <v/>
      </c>
      <c r="AJ770" s="55">
        <f>IF(BO770=1,0,ROUNDUP(AI770/BN770,0))</f>
        <v/>
      </c>
      <c r="AK770" s="64">
        <f>IF(BO770=1,IF(AI770&lt;=0,0,BP770*MAX(1,IF(G770&gt;0,AI770/G770,1))),AJ770*Q770)</f>
        <v/>
      </c>
      <c r="AL770" s="55">
        <f>AI770*F770</f>
        <v/>
      </c>
      <c r="AM770" s="55">
        <f>ROUNDUP(MAX(I770/IF(BS770&gt;0,BS770,MAX(0.1,N(Cockpit!$I$6))),BV770)/BN770,0)*BN770</f>
        <v/>
      </c>
      <c r="AN770" s="56">
        <f>IF(AK770&gt;0,I770/AK770,-1)</f>
        <v/>
      </c>
      <c r="AO770" s="56">
        <f>IF(AND(OR(BR770="L1",BR770="L23"),AK770&gt;0),SUMIFS($AK$7:$AK$1570,$BR$7:$BR$1570,BR770,$AN$7:$AN$1570,"&gt;"&amp;AN770)+SUMIFS($AK$7:$AK$1570,$BR$7:$BR$1570,BR770,$AN$7:$AN$1570,AN770,$BL$7:$BL$1570,"&lt;="&amp;BL770),"")</f>
        <v/>
      </c>
      <c r="AP770" s="65">
        <f>IF(AO770="",0,MAX(0,MIN(1,(IF(BR770="L1",Parameter!$K$5,Parameter!$K$6+Parameter!$K$7)-(AO770-AK770))/AK770)))</f>
        <v/>
      </c>
      <c r="AQ770" s="55">
        <f>IF(LEFT(Cockpit!$O$5,1)="A",G770,IF(BT770=1,BU770,IF(LEFT(Cockpit!$O$5,1)="B",AU770,MAX(AU770,G770))))</f>
        <v/>
      </c>
      <c r="AR770" s="55">
        <f>IF(BO770=1,0,ROUNDUP(AQ770/BN770,0))</f>
        <v/>
      </c>
      <c r="AS770" s="64">
        <f>IF(BO770=1,IF(AQ770&lt;=0,0,BP770*MAX(1,IF(G770&gt;0,AQ770/G770,1))),AR770*Q770)</f>
        <v/>
      </c>
      <c r="AT770" s="55">
        <f>AQ770*F770</f>
        <v/>
      </c>
      <c r="AU770" s="55">
        <f>ROUNDUP(MAX(I770/IF(BS770&gt;0,BS770,MAX(0.1,N(Cockpit!$O$6))),BV770)/BN770,0)*BN770</f>
        <v/>
      </c>
      <c r="AV770" s="56">
        <f>IF(AS770&gt;0,I770/AS770,-1)</f>
        <v/>
      </c>
      <c r="AW770" s="56">
        <f>IF(AND(OR(BR770="L1",BR770="L23"),AS770&gt;0),SUMIFS($AS$7:$AS$1570,$BR$7:$BR$1570,BR770,$AV$7:$AV$1570,"&gt;"&amp;AV770)+SUMIFS($AS$7:$AS$1570,$BR$7:$BR$1570,BR770,$AV$7:$AV$1570,AV770,$BL$7:$BL$1570,"&lt;="&amp;BL770),"")</f>
        <v/>
      </c>
      <c r="AX770" s="65">
        <f>IF(AW770="",0,MAX(0,MIN(1,(IF(BR770="L1",Parameter!$K$5,Parameter!$K$6+Parameter!$K$7)-(AW770-AS770))/AS770)))</f>
        <v/>
      </c>
      <c r="AY770" s="53">
        <f>IF(AC770&lt;=0,"",IF(BR770="Aussen","Aussenlager",IF(BR770="-","Nicht im Lift",IF(AH770&gt;=1,"Lift",IF(AH770&lt;=0,"Aussenlager","teilweise")))))</f>
        <v/>
      </c>
      <c r="AZ770" s="53">
        <f>IF(AK770&lt;=0,"",IF(BR770="Aussen","Aussenlager",IF(BR770="-","Nicht im Lift",IF(AP770&gt;=1,"Lift",IF(AP770&lt;=0,"Aussenlager","teilweise")))))</f>
        <v/>
      </c>
      <c r="BA770" s="53">
        <f>IF(AS770&lt;=0,"",IF(BR770="Aussen","Aussenlager",IF(BR770="-","Nicht im Lift",IF(AX770&gt;=1,"Lift",IF(AX770&lt;=0,"Aussenlager","teilweise")))))</f>
        <v/>
      </c>
      <c r="BB770" s="53">
        <f>IF(A770="","",IF(BK770=1,"Neu; ","")&amp;IF(AND(BK770=0,BF770&lt;0),"negativer Bestand (Export "&amp;BF770&amp;"); ","")&amp;IF(I770&lt;=0,"Kein Verbrauch; ","")&amp;IF(BO770=1,"Lose – Fläche geschätzt; ","")&amp;IF(G770&gt;AM770,"Überbestand "&amp;ROUND(G770-AM770,0)&amp;" Stk / CHF "&amp;ROUND((G770-AM770)*F770,0)&amp;"; ","")&amp;IF(AND(BT770=1,BU770&lt;BV770),"MAX &lt; MB+LG; ","")&amp;IF(AND(BZ770&gt;0,BY770*10&gt;BZ770),"zu hoch für Tablar; ","")&amp;IF(AND(BK770=0,OR(BT770=1,V770&lt;&gt;"",S770&lt;&gt;"",T770&lt;&gt;"",W770&lt;&gt;"")),"manuell übersteuert; ","")&amp;IF(AND(BO770=0,Q770=0),"Gebinde unbekannt; ","")&amp;IF(AND(BO770=0,N(T770)&lt;=0,N(P770)&lt;=0),"Menge pro Gebinde fehlt (Ist = 1 Gebinde); ","")&amp;BJ770)</f>
        <v/>
      </c>
      <c r="BC770" s="53" t="n"/>
      <c r="BD770" s="53" t="n"/>
      <c r="BE770" s="61" t="n"/>
      <c r="BF770" s="55" t="n">
        <v>-110</v>
      </c>
      <c r="BG770" s="55" t="n">
        <v>566</v>
      </c>
      <c r="BH770" s="54" t="n">
        <v>-1.100000000000003</v>
      </c>
      <c r="BI770" s="55" t="n">
        <v>716</v>
      </c>
      <c r="BJ770" s="53" t="inlineStr"/>
      <c r="BK770" s="58" t="n">
        <v>0</v>
      </c>
      <c r="BL770" s="58" t="n">
        <v>770</v>
      </c>
      <c r="BM770" s="53">
        <f>IF(S770&lt;&gt;"",UPPER(TRIM(S770)),IF(O770="","LOSE",O770))</f>
        <v/>
      </c>
      <c r="BN770" s="55">
        <f>IF(BM770="LOSE",1,IF(N(T770)&gt;0,T770,IF(N(P770)&gt;0,P770,MAX(1,G770))))</f>
        <v/>
      </c>
      <c r="BO770" s="58">
        <f>IF(BM770="LOSE",1,0)</f>
        <v/>
      </c>
      <c r="BP770" s="64">
        <f>IF(BO770=0,0,IF(N(R770)&gt;0,R770,IFERROR(VLOOKUP(D770,Parameter!$A$35:$C$64,3,0)+0,0)))</f>
        <v/>
      </c>
      <c r="BQ770" s="53">
        <f>IF(V770&lt;&gt;"",V770,U770)</f>
        <v/>
      </c>
      <c r="BR770" s="53">
        <f>IF(BQ770=1,"L1",IF(OR(BQ770=2,BQ770=3),"L23",IF(BQ770="Aussen","Aussen","-")))</f>
        <v/>
      </c>
      <c r="BS770" s="66">
        <f>IF(N(W770)&gt;0,W770,0)</f>
        <v/>
      </c>
      <c r="BT770" s="58">
        <f>IF(ISNUMBER(Z770),1,0)</f>
        <v/>
      </c>
      <c r="BU770" s="55">
        <f>N(Z770)</f>
        <v/>
      </c>
      <c r="BV770" s="55">
        <f>N(L770)+N(M770)</f>
        <v/>
      </c>
      <c r="BW770" s="55">
        <f>ROUNDUP(G770/BN770,0)</f>
        <v/>
      </c>
      <c r="BX770" s="55">
        <f>ROUNDUP(BU770/BN770,0)</f>
        <v/>
      </c>
      <c r="BY770" s="58">
        <f>IF(BO770=1,0,IFERROR(VLOOKUP(BM770,'Gebinde-Kategorie'!$A$5:$G$45,5,0)+0,0))</f>
        <v/>
      </c>
      <c r="BZ770" s="58">
        <f>IFERROR(IF(OR(BQ770=1,BQ770=2,BQ770=3),N(INDEX(Parameter!$I$5:$I$7,BQ770)),0),0)</f>
        <v/>
      </c>
    </row>
    <row r="771">
      <c r="A771" s="53" t="inlineStr">
        <is>
          <t>101098</t>
        </is>
      </c>
      <c r="B771" s="53" t="inlineStr">
        <is>
          <t>Zylinderschraube mit Innensechskant</t>
        </is>
      </c>
      <c r="C771" s="53" t="inlineStr">
        <is>
          <t>F</t>
        </is>
      </c>
      <c r="D771" s="53" t="inlineStr">
        <is>
          <t>KTL</t>
        </is>
      </c>
      <c r="E771" s="53" t="inlineStr">
        <is>
          <t>C</t>
        </is>
      </c>
      <c r="F771" s="54" t="n">
        <v>0.38</v>
      </c>
      <c r="G771" s="55">
        <f>MAX(0,IF(Parameter!$B$20="Jahresanfang 2025 + Export",BG771+BF771,BF771))</f>
        <v/>
      </c>
      <c r="H771" s="55">
        <f>G771*F771</f>
        <v/>
      </c>
      <c r="I771" s="55">
        <f>BI771*Parameter!$B$18</f>
        <v/>
      </c>
      <c r="J771" s="56" t="n">
        <v>82.5</v>
      </c>
      <c r="K771" s="57" t="n">
        <v>0.02424242424242424</v>
      </c>
      <c r="L771" s="55" t="n">
        <v>0</v>
      </c>
      <c r="M771" s="55" t="n">
        <v>1</v>
      </c>
      <c r="N771" s="58" t="n">
        <v>14</v>
      </c>
      <c r="O771" s="53" t="inlineStr">
        <is>
          <t>S32</t>
        </is>
      </c>
      <c r="P771" s="55" t="n">
        <v>84</v>
      </c>
      <c r="Q771" s="59">
        <f>IF(BO771=1,0,IFERROR(VLOOKUP(BM771,'Gebinde-Kategorie'!$A$5:$G$45,6,0)+0,0))</f>
        <v/>
      </c>
      <c r="R771" s="60" t="n"/>
      <c r="S771" s="61" t="n"/>
      <c r="T771" s="61" t="n"/>
      <c r="U771" s="53">
        <f>IF(A771="","",IF(IFERROR(VLOOKUP(D771,Parameter!$A$35:$C$64,2,0),"Nein")="2+3",IF(ISNUMBER(SEARCH("grosser Artikel",BJ771)),2,IFERROR(VLOOKUP(BM771,Parameter!$F$35:$G$64,2,0),2)),IF(OR(IFERROR(VLOOKUP(D771,Parameter!$A$35:$C$64,2,0),"Nein")="Nein",IFERROR(VLOOKUP(D771,Parameter!$A$35:$C$64,2,0),"Nein")=""),"-",VLOOKUP(D771,Parameter!$A$35:$C$64,2,0))))</f>
        <v/>
      </c>
      <c r="V771" s="61" t="n"/>
      <c r="W771" s="62" t="n"/>
      <c r="X771" s="55">
        <f>AM771</f>
        <v/>
      </c>
      <c r="Y771" s="55">
        <f>MAX(AM771,G771)</f>
        <v/>
      </c>
      <c r="Z771" s="63" t="n"/>
      <c r="AA771" s="55">
        <f>IF(LEFT(Cockpit!$C$5,1)="A",G771,IF(BT771=1,BU771,IF(LEFT(Cockpit!$C$5,1)="B",AE771,MAX(AE771,G771))))</f>
        <v/>
      </c>
      <c r="AB771" s="55">
        <f>IF(BO771=1,0,ROUNDUP(AA771/BN771,0))</f>
        <v/>
      </c>
      <c r="AC771" s="64">
        <f>IF(BO771=1,IF(AA771&lt;=0,0,BP771*MAX(1,IF(G771&gt;0,AA771/G771,1))),AB771*Q771)</f>
        <v/>
      </c>
      <c r="AD771" s="55">
        <f>AA771*F771</f>
        <v/>
      </c>
      <c r="AE771" s="55">
        <f>ROUNDUP(MAX(I771/IF(BS771&gt;0,BS771,MAX(0.1,N(Cockpit!$C$6))),BV771)/BN771,0)*BN771</f>
        <v/>
      </c>
      <c r="AF771" s="56">
        <f>IF(AC771&gt;0,I771/AC771,-1)</f>
        <v/>
      </c>
      <c r="AG771" s="56">
        <f>IF(AND(OR(BR771="L1",BR771="L23"),AC771&gt;0),SUMIFS($AC$7:$AC$1570,$BR$7:$BR$1570,BR771,$AF$7:$AF$1570,"&gt;"&amp;AF771)+SUMIFS($AC$7:$AC$1570,$BR$7:$BR$1570,BR771,$AF$7:$AF$1570,AF771,$BL$7:$BL$1570,"&lt;="&amp;BL771),"")</f>
        <v/>
      </c>
      <c r="AH771" s="65">
        <f>IF(AG771="",0,MAX(0,MIN(1,(IF(BR771="L1",Parameter!$K$5,Parameter!$K$6+Parameter!$K$7)-(AG771-AC771))/AC771)))</f>
        <v/>
      </c>
      <c r="AI771" s="55">
        <f>IF(LEFT(Cockpit!$I$5,1)="A",G771,IF(BT771=1,BU771,IF(LEFT(Cockpit!$I$5,1)="B",AM771,MAX(AM771,G771))))</f>
        <v/>
      </c>
      <c r="AJ771" s="55">
        <f>IF(BO771=1,0,ROUNDUP(AI771/BN771,0))</f>
        <v/>
      </c>
      <c r="AK771" s="64">
        <f>IF(BO771=1,IF(AI771&lt;=0,0,BP771*MAX(1,IF(G771&gt;0,AI771/G771,1))),AJ771*Q771)</f>
        <v/>
      </c>
      <c r="AL771" s="55">
        <f>AI771*F771</f>
        <v/>
      </c>
      <c r="AM771" s="55">
        <f>ROUNDUP(MAX(I771/IF(BS771&gt;0,BS771,MAX(0.1,N(Cockpit!$I$6))),BV771)/BN771,0)*BN771</f>
        <v/>
      </c>
      <c r="AN771" s="56">
        <f>IF(AK771&gt;0,I771/AK771,-1)</f>
        <v/>
      </c>
      <c r="AO771" s="56">
        <f>IF(AND(OR(BR771="L1",BR771="L23"),AK771&gt;0),SUMIFS($AK$7:$AK$1570,$BR$7:$BR$1570,BR771,$AN$7:$AN$1570,"&gt;"&amp;AN771)+SUMIFS($AK$7:$AK$1570,$BR$7:$BR$1570,BR771,$AN$7:$AN$1570,AN771,$BL$7:$BL$1570,"&lt;="&amp;BL771),"")</f>
        <v/>
      </c>
      <c r="AP771" s="65">
        <f>IF(AO771="",0,MAX(0,MIN(1,(IF(BR771="L1",Parameter!$K$5,Parameter!$K$6+Parameter!$K$7)-(AO771-AK771))/AK771)))</f>
        <v/>
      </c>
      <c r="AQ771" s="55">
        <f>IF(LEFT(Cockpit!$O$5,1)="A",G771,IF(BT771=1,BU771,IF(LEFT(Cockpit!$O$5,1)="B",AU771,MAX(AU771,G771))))</f>
        <v/>
      </c>
      <c r="AR771" s="55">
        <f>IF(BO771=1,0,ROUNDUP(AQ771/BN771,0))</f>
        <v/>
      </c>
      <c r="AS771" s="64">
        <f>IF(BO771=1,IF(AQ771&lt;=0,0,BP771*MAX(1,IF(G771&gt;0,AQ771/G771,1))),AR771*Q771)</f>
        <v/>
      </c>
      <c r="AT771" s="55">
        <f>AQ771*F771</f>
        <v/>
      </c>
      <c r="AU771" s="55">
        <f>ROUNDUP(MAX(I771/IF(BS771&gt;0,BS771,MAX(0.1,N(Cockpit!$O$6))),BV771)/BN771,0)*BN771</f>
        <v/>
      </c>
      <c r="AV771" s="56">
        <f>IF(AS771&gt;0,I771/AS771,-1)</f>
        <v/>
      </c>
      <c r="AW771" s="56">
        <f>IF(AND(OR(BR771="L1",BR771="L23"),AS771&gt;0),SUMIFS($AS$7:$AS$1570,$BR$7:$BR$1570,BR771,$AV$7:$AV$1570,"&gt;"&amp;AV771)+SUMIFS($AS$7:$AS$1570,$BR$7:$BR$1570,BR771,$AV$7:$AV$1570,AV771,$BL$7:$BL$1570,"&lt;="&amp;BL771),"")</f>
        <v/>
      </c>
      <c r="AX771" s="65">
        <f>IF(AW771="",0,MAX(0,MIN(1,(IF(BR771="L1",Parameter!$K$5,Parameter!$K$6+Parameter!$K$7)-(AW771-AS771))/AS771)))</f>
        <v/>
      </c>
      <c r="AY771" s="53">
        <f>IF(AC771&lt;=0,"",IF(BR771="Aussen","Aussenlager",IF(BR771="-","Nicht im Lift",IF(AH771&gt;=1,"Lift",IF(AH771&lt;=0,"Aussenlager","teilweise")))))</f>
        <v/>
      </c>
      <c r="AZ771" s="53">
        <f>IF(AK771&lt;=0,"",IF(BR771="Aussen","Aussenlager",IF(BR771="-","Nicht im Lift",IF(AP771&gt;=1,"Lift",IF(AP771&lt;=0,"Aussenlager","teilweise")))))</f>
        <v/>
      </c>
      <c r="BA771" s="53">
        <f>IF(AS771&lt;=0,"",IF(BR771="Aussen","Aussenlager",IF(BR771="-","Nicht im Lift",IF(AX771&gt;=1,"Lift",IF(AX771&lt;=0,"Aussenlager","teilweise")))))</f>
        <v/>
      </c>
      <c r="BB771" s="53">
        <f>IF(A771="","",IF(BK771=1,"Neu; ","")&amp;IF(AND(BK771=0,BF771&lt;0),"negativer Bestand (Export "&amp;BF771&amp;"); ","")&amp;IF(I771&lt;=0,"Kein Verbrauch; ","")&amp;IF(BO771=1,"Lose – Fläche geschätzt; ","")&amp;IF(G771&gt;AM771,"Überbestand "&amp;ROUND(G771-AM771,0)&amp;" Stk / CHF "&amp;ROUND((G771-AM771)*F771,0)&amp;"; ","")&amp;IF(AND(BT771=1,BU771&lt;BV771),"MAX &lt; MB+LG; ","")&amp;IF(AND(BZ771&gt;0,BY771*10&gt;BZ771),"zu hoch für Tablar; ","")&amp;IF(AND(BK771=0,OR(BT771=1,V771&lt;&gt;"",S771&lt;&gt;"",T771&lt;&gt;"",W771&lt;&gt;"")),"manuell übersteuert; ","")&amp;IF(AND(BO771=0,Q771=0),"Gebinde unbekannt; ","")&amp;IF(AND(BO771=0,N(T771)&lt;=0,N(P771)&lt;=0),"Menge pro Gebinde fehlt (Ist = 1 Gebinde); ","")&amp;BJ771)</f>
        <v/>
      </c>
      <c r="BC771" s="53" t="n"/>
      <c r="BD771" s="53" t="n"/>
      <c r="BE771" s="61" t="n"/>
      <c r="BF771" s="55" t="n">
        <v>-3</v>
      </c>
      <c r="BG771" s="55" t="n">
        <v>84</v>
      </c>
      <c r="BH771" s="54" t="n">
        <v>-1.14</v>
      </c>
      <c r="BI771" s="55" t="n">
        <v>2</v>
      </c>
      <c r="BJ771" s="53" t="inlineStr">
        <is>
          <t>Überbestand</t>
        </is>
      </c>
      <c r="BK771" s="58" t="n">
        <v>0</v>
      </c>
      <c r="BL771" s="58" t="n">
        <v>771</v>
      </c>
      <c r="BM771" s="53">
        <f>IF(S771&lt;&gt;"",UPPER(TRIM(S771)),IF(O771="","LOSE",O771))</f>
        <v/>
      </c>
      <c r="BN771" s="55">
        <f>IF(BM771="LOSE",1,IF(N(T771)&gt;0,T771,IF(N(P771)&gt;0,P771,MAX(1,G771))))</f>
        <v/>
      </c>
      <c r="BO771" s="58">
        <f>IF(BM771="LOSE",1,0)</f>
        <v/>
      </c>
      <c r="BP771" s="64">
        <f>IF(BO771=0,0,IF(N(R771)&gt;0,R771,IFERROR(VLOOKUP(D771,Parameter!$A$35:$C$64,3,0)+0,0)))</f>
        <v/>
      </c>
      <c r="BQ771" s="53">
        <f>IF(V771&lt;&gt;"",V771,U771)</f>
        <v/>
      </c>
      <c r="BR771" s="53">
        <f>IF(BQ771=1,"L1",IF(OR(BQ771=2,BQ771=3),"L23",IF(BQ771="Aussen","Aussen","-")))</f>
        <v/>
      </c>
      <c r="BS771" s="66">
        <f>IF(N(W771)&gt;0,W771,0)</f>
        <v/>
      </c>
      <c r="BT771" s="58">
        <f>IF(ISNUMBER(Z771),1,0)</f>
        <v/>
      </c>
      <c r="BU771" s="55">
        <f>N(Z771)</f>
        <v/>
      </c>
      <c r="BV771" s="55">
        <f>N(L771)+N(M771)</f>
        <v/>
      </c>
      <c r="BW771" s="55">
        <f>ROUNDUP(G771/BN771,0)</f>
        <v/>
      </c>
      <c r="BX771" s="55">
        <f>ROUNDUP(BU771/BN771,0)</f>
        <v/>
      </c>
      <c r="BY771" s="58">
        <f>IF(BO771=1,0,IFERROR(VLOOKUP(BM771,'Gebinde-Kategorie'!$A$5:$G$45,5,0)+0,0))</f>
        <v/>
      </c>
      <c r="BZ771" s="58">
        <f>IFERROR(IF(OR(BQ771=1,BQ771=2,BQ771=3),N(INDEX(Parameter!$I$5:$I$7,BQ771)),0),0)</f>
        <v/>
      </c>
    </row>
    <row r="772">
      <c r="A772" s="53" t="inlineStr">
        <is>
          <t>005636</t>
        </is>
      </c>
      <c r="B772" s="53" t="inlineStr">
        <is>
          <t>Netzwerkkabel</t>
        </is>
      </c>
      <c r="C772" s="53" t="inlineStr">
        <is>
          <t>F</t>
        </is>
      </c>
      <c r="D772" s="53" t="inlineStr">
        <is>
          <t>KTL</t>
        </is>
      </c>
      <c r="E772" s="53" t="inlineStr">
        <is>
          <t>C</t>
        </is>
      </c>
      <c r="F772" s="54" t="n">
        <v>1.25</v>
      </c>
      <c r="G772" s="55">
        <f>MAX(0,IF(Parameter!$B$20="Jahresanfang 2025 + Export",BG772+BF772,BF772))</f>
        <v/>
      </c>
      <c r="H772" s="55">
        <f>G772*F772</f>
        <v/>
      </c>
      <c r="I772" s="55">
        <f>BI772*Parameter!$B$18</f>
        <v/>
      </c>
      <c r="J772" s="56" t="n">
        <v>30.5</v>
      </c>
      <c r="K772" s="57" t="n">
        <v>0</v>
      </c>
      <c r="L772" s="55" t="n">
        <v>0</v>
      </c>
      <c r="M772" s="55" t="n">
        <v>1</v>
      </c>
      <c r="N772" s="58" t="n">
        <v>14</v>
      </c>
      <c r="O772" s="53" t="inlineStr">
        <is>
          <t>LOSE</t>
        </is>
      </c>
      <c r="P772" s="55" t="n"/>
      <c r="Q772" s="59">
        <f>IF(BO772=1,0,IFERROR(VLOOKUP(BM772,'Gebinde-Kategorie'!$A$5:$G$45,6,0)+0,0))</f>
        <v/>
      </c>
      <c r="R772" s="60" t="n"/>
      <c r="S772" s="61" t="n"/>
      <c r="T772" s="61" t="n"/>
      <c r="U772" s="53">
        <f>IF(A772="","",IF(IFERROR(VLOOKUP(D772,Parameter!$A$35:$C$64,2,0),"Nein")="2+3",IF(ISNUMBER(SEARCH("grosser Artikel",BJ772)),2,IFERROR(VLOOKUP(BM772,Parameter!$F$35:$G$64,2,0),2)),IF(OR(IFERROR(VLOOKUP(D772,Parameter!$A$35:$C$64,2,0),"Nein")="Nein",IFERROR(VLOOKUP(D772,Parameter!$A$35:$C$64,2,0),"Nein")=""),"-",VLOOKUP(D772,Parameter!$A$35:$C$64,2,0))))</f>
        <v/>
      </c>
      <c r="V772" s="61" t="n"/>
      <c r="W772" s="62" t="n"/>
      <c r="X772" s="55">
        <f>AM772</f>
        <v/>
      </c>
      <c r="Y772" s="55">
        <f>MAX(AM772,G772)</f>
        <v/>
      </c>
      <c r="Z772" s="63" t="n"/>
      <c r="AA772" s="55">
        <f>IF(LEFT(Cockpit!$C$5,1)="A",G772,IF(BT772=1,BU772,IF(LEFT(Cockpit!$C$5,1)="B",AE772,MAX(AE772,G772))))</f>
        <v/>
      </c>
      <c r="AB772" s="55">
        <f>IF(BO772=1,0,ROUNDUP(AA772/BN772,0))</f>
        <v/>
      </c>
      <c r="AC772" s="64">
        <f>IF(BO772=1,IF(AA772&lt;=0,0,BP772*MAX(1,IF(G772&gt;0,AA772/G772,1))),AB772*Q772)</f>
        <v/>
      </c>
      <c r="AD772" s="55">
        <f>AA772*F772</f>
        <v/>
      </c>
      <c r="AE772" s="55">
        <f>ROUNDUP(MAX(I772/IF(BS772&gt;0,BS772,MAX(0.1,N(Cockpit!$C$6))),BV772)/BN772,0)*BN772</f>
        <v/>
      </c>
      <c r="AF772" s="56">
        <f>IF(AC772&gt;0,I772/AC772,-1)</f>
        <v/>
      </c>
      <c r="AG772" s="56">
        <f>IF(AND(OR(BR772="L1",BR772="L23"),AC772&gt;0),SUMIFS($AC$7:$AC$1570,$BR$7:$BR$1570,BR772,$AF$7:$AF$1570,"&gt;"&amp;AF772)+SUMIFS($AC$7:$AC$1570,$BR$7:$BR$1570,BR772,$AF$7:$AF$1570,AF772,$BL$7:$BL$1570,"&lt;="&amp;BL772),"")</f>
        <v/>
      </c>
      <c r="AH772" s="65">
        <f>IF(AG772="",0,MAX(0,MIN(1,(IF(BR772="L1",Parameter!$K$5,Parameter!$K$6+Parameter!$K$7)-(AG772-AC772))/AC772)))</f>
        <v/>
      </c>
      <c r="AI772" s="55">
        <f>IF(LEFT(Cockpit!$I$5,1)="A",G772,IF(BT772=1,BU772,IF(LEFT(Cockpit!$I$5,1)="B",AM772,MAX(AM772,G772))))</f>
        <v/>
      </c>
      <c r="AJ772" s="55">
        <f>IF(BO772=1,0,ROUNDUP(AI772/BN772,0))</f>
        <v/>
      </c>
      <c r="AK772" s="64">
        <f>IF(BO772=1,IF(AI772&lt;=0,0,BP772*MAX(1,IF(G772&gt;0,AI772/G772,1))),AJ772*Q772)</f>
        <v/>
      </c>
      <c r="AL772" s="55">
        <f>AI772*F772</f>
        <v/>
      </c>
      <c r="AM772" s="55">
        <f>ROUNDUP(MAX(I772/IF(BS772&gt;0,BS772,MAX(0.1,N(Cockpit!$I$6))),BV772)/BN772,0)*BN772</f>
        <v/>
      </c>
      <c r="AN772" s="56">
        <f>IF(AK772&gt;0,I772/AK772,-1)</f>
        <v/>
      </c>
      <c r="AO772" s="56">
        <f>IF(AND(OR(BR772="L1",BR772="L23"),AK772&gt;0),SUMIFS($AK$7:$AK$1570,$BR$7:$BR$1570,BR772,$AN$7:$AN$1570,"&gt;"&amp;AN772)+SUMIFS($AK$7:$AK$1570,$BR$7:$BR$1570,BR772,$AN$7:$AN$1570,AN772,$BL$7:$BL$1570,"&lt;="&amp;BL772),"")</f>
        <v/>
      </c>
      <c r="AP772" s="65">
        <f>IF(AO772="",0,MAX(0,MIN(1,(IF(BR772="L1",Parameter!$K$5,Parameter!$K$6+Parameter!$K$7)-(AO772-AK772))/AK772)))</f>
        <v/>
      </c>
      <c r="AQ772" s="55">
        <f>IF(LEFT(Cockpit!$O$5,1)="A",G772,IF(BT772=1,BU772,IF(LEFT(Cockpit!$O$5,1)="B",AU772,MAX(AU772,G772))))</f>
        <v/>
      </c>
      <c r="AR772" s="55">
        <f>IF(BO772=1,0,ROUNDUP(AQ772/BN772,0))</f>
        <v/>
      </c>
      <c r="AS772" s="64">
        <f>IF(BO772=1,IF(AQ772&lt;=0,0,BP772*MAX(1,IF(G772&gt;0,AQ772/G772,1))),AR772*Q772)</f>
        <v/>
      </c>
      <c r="AT772" s="55">
        <f>AQ772*F772</f>
        <v/>
      </c>
      <c r="AU772" s="55">
        <f>ROUNDUP(MAX(I772/IF(BS772&gt;0,BS772,MAX(0.1,N(Cockpit!$O$6))),BV772)/BN772,0)*BN772</f>
        <v/>
      </c>
      <c r="AV772" s="56">
        <f>IF(AS772&gt;0,I772/AS772,-1)</f>
        <v/>
      </c>
      <c r="AW772" s="56">
        <f>IF(AND(OR(BR772="L1",BR772="L23"),AS772&gt;0),SUMIFS($AS$7:$AS$1570,$BR$7:$BR$1570,BR772,$AV$7:$AV$1570,"&gt;"&amp;AV772)+SUMIFS($AS$7:$AS$1570,$BR$7:$BR$1570,BR772,$AV$7:$AV$1570,AV772,$BL$7:$BL$1570,"&lt;="&amp;BL772),"")</f>
        <v/>
      </c>
      <c r="AX772" s="65">
        <f>IF(AW772="",0,MAX(0,MIN(1,(IF(BR772="L1",Parameter!$K$5,Parameter!$K$6+Parameter!$K$7)-(AW772-AS772))/AS772)))</f>
        <v/>
      </c>
      <c r="AY772" s="53">
        <f>IF(AC772&lt;=0,"",IF(BR772="Aussen","Aussenlager",IF(BR772="-","Nicht im Lift",IF(AH772&gt;=1,"Lift",IF(AH772&lt;=0,"Aussenlager","teilweise")))))</f>
        <v/>
      </c>
      <c r="AZ772" s="53">
        <f>IF(AK772&lt;=0,"",IF(BR772="Aussen","Aussenlager",IF(BR772="-","Nicht im Lift",IF(AP772&gt;=1,"Lift",IF(AP772&lt;=0,"Aussenlager","teilweise")))))</f>
        <v/>
      </c>
      <c r="BA772" s="53">
        <f>IF(AS772&lt;=0,"",IF(BR772="Aussen","Aussenlager",IF(BR772="-","Nicht im Lift",IF(AX772&gt;=1,"Lift",IF(AX772&lt;=0,"Aussenlager","teilweise")))))</f>
        <v/>
      </c>
      <c r="BB772" s="53">
        <f>IF(A772="","",IF(BK772=1,"Neu; ","")&amp;IF(AND(BK772=0,BF772&lt;0),"negativer Bestand (Export "&amp;BF772&amp;"); ","")&amp;IF(I772&lt;=0,"Kein Verbrauch; ","")&amp;IF(BO772=1,"Lose – Fläche geschätzt; ","")&amp;IF(G772&gt;AM772,"Überbestand "&amp;ROUND(G772-AM772,0)&amp;" Stk / CHF "&amp;ROUND((G772-AM772)*F772,0)&amp;"; ","")&amp;IF(AND(BT772=1,BU772&lt;BV772),"MAX &lt; MB+LG; ","")&amp;IF(AND(BZ772&gt;0,BY772*10&gt;BZ772),"zu hoch für Tablar; ","")&amp;IF(AND(BK772=0,OR(BT772=1,V772&lt;&gt;"",S772&lt;&gt;"",T772&lt;&gt;"",W772&lt;&gt;"")),"manuell übersteuert; ","")&amp;IF(AND(BO772=0,Q772=0),"Gebinde unbekannt; ","")&amp;IF(AND(BO772=0,N(T772)&lt;=0,N(P772)&lt;=0),"Menge pro Gebinde fehlt (Ist = 1 Gebinde); ","")&amp;BJ772)</f>
        <v/>
      </c>
      <c r="BC772" s="53" t="n"/>
      <c r="BD772" s="53" t="n"/>
      <c r="BE772" s="61" t="n"/>
      <c r="BF772" s="55" t="n">
        <v>-1</v>
      </c>
      <c r="BG772" s="55" t="n">
        <v>31</v>
      </c>
      <c r="BH772" s="54" t="n">
        <v>-1.25</v>
      </c>
      <c r="BI772" s="55" t="n">
        <v>0</v>
      </c>
      <c r="BJ772" s="53" t="inlineStr">
        <is>
          <t>Überbestand</t>
        </is>
      </c>
      <c r="BK772" s="58" t="n">
        <v>0</v>
      </c>
      <c r="BL772" s="58" t="n">
        <v>772</v>
      </c>
      <c r="BM772" s="53">
        <f>IF(S772&lt;&gt;"",UPPER(TRIM(S772)),IF(O772="","LOSE",O772))</f>
        <v/>
      </c>
      <c r="BN772" s="55">
        <f>IF(BM772="LOSE",1,IF(N(T772)&gt;0,T772,IF(N(P772)&gt;0,P772,MAX(1,G772))))</f>
        <v/>
      </c>
      <c r="BO772" s="58">
        <f>IF(BM772="LOSE",1,0)</f>
        <v/>
      </c>
      <c r="BP772" s="64">
        <f>IF(BO772=0,0,IF(N(R772)&gt;0,R772,IFERROR(VLOOKUP(D772,Parameter!$A$35:$C$64,3,0)+0,0)))</f>
        <v/>
      </c>
      <c r="BQ772" s="53">
        <f>IF(V772&lt;&gt;"",V772,U772)</f>
        <v/>
      </c>
      <c r="BR772" s="53">
        <f>IF(BQ772=1,"L1",IF(OR(BQ772=2,BQ772=3),"L23",IF(BQ772="Aussen","Aussen","-")))</f>
        <v/>
      </c>
      <c r="BS772" s="66">
        <f>IF(N(W772)&gt;0,W772,0)</f>
        <v/>
      </c>
      <c r="BT772" s="58">
        <f>IF(ISNUMBER(Z772),1,0)</f>
        <v/>
      </c>
      <c r="BU772" s="55">
        <f>N(Z772)</f>
        <v/>
      </c>
      <c r="BV772" s="55">
        <f>N(L772)+N(M772)</f>
        <v/>
      </c>
      <c r="BW772" s="55">
        <f>ROUNDUP(G772/BN772,0)</f>
        <v/>
      </c>
      <c r="BX772" s="55">
        <f>ROUNDUP(BU772/BN772,0)</f>
        <v/>
      </c>
      <c r="BY772" s="58">
        <f>IF(BO772=1,0,IFERROR(VLOOKUP(BM772,'Gebinde-Kategorie'!$A$5:$G$45,5,0)+0,0))</f>
        <v/>
      </c>
      <c r="BZ772" s="58">
        <f>IFERROR(IF(OR(BQ772=1,BQ772=2,BQ772=3),N(INDEX(Parameter!$I$5:$I$7,BQ772)),0),0)</f>
        <v/>
      </c>
    </row>
    <row r="773">
      <c r="A773" s="53" t="inlineStr">
        <is>
          <t>103374</t>
        </is>
      </c>
      <c r="B773" s="53" t="inlineStr">
        <is>
          <t>O-Ring</t>
        </is>
      </c>
      <c r="C773" s="53" t="inlineStr">
        <is>
          <t>F</t>
        </is>
      </c>
      <c r="D773" s="53" t="inlineStr">
        <is>
          <t>KTL</t>
        </is>
      </c>
      <c r="E773" s="53" t="inlineStr">
        <is>
          <t>C</t>
        </is>
      </c>
      <c r="F773" s="54" t="n">
        <v>0.07000000000000001</v>
      </c>
      <c r="G773" s="55">
        <f>MAX(0,IF(Parameter!$B$20="Jahresanfang 2025 + Export",BG773+BF773,BF773))</f>
        <v/>
      </c>
      <c r="H773" s="55">
        <f>G773*F773</f>
        <v/>
      </c>
      <c r="I773" s="55">
        <f>BI773*Parameter!$B$18</f>
        <v/>
      </c>
      <c r="J773" s="56" t="n">
        <v>226</v>
      </c>
      <c r="K773" s="57" t="n">
        <v>1.367256637168142</v>
      </c>
      <c r="L773" s="55" t="n">
        <v>12</v>
      </c>
      <c r="M773" s="55" t="n">
        <v>310</v>
      </c>
      <c r="N773" s="58" t="n">
        <v>14</v>
      </c>
      <c r="O773" s="53" t="inlineStr">
        <is>
          <t>S21</t>
        </is>
      </c>
      <c r="P773" s="55" t="n">
        <v>367</v>
      </c>
      <c r="Q773" s="59">
        <f>IF(BO773=1,0,IFERROR(VLOOKUP(BM773,'Gebinde-Kategorie'!$A$5:$G$45,6,0)+0,0))</f>
        <v/>
      </c>
      <c r="R773" s="60" t="n"/>
      <c r="S773" s="61" t="n"/>
      <c r="T773" s="61" t="n"/>
      <c r="U773" s="53">
        <f>IF(A773="","",IF(IFERROR(VLOOKUP(D773,Parameter!$A$35:$C$64,2,0),"Nein")="2+3",IF(ISNUMBER(SEARCH("grosser Artikel",BJ773)),2,IFERROR(VLOOKUP(BM773,Parameter!$F$35:$G$64,2,0),2)),IF(OR(IFERROR(VLOOKUP(D773,Parameter!$A$35:$C$64,2,0),"Nein")="Nein",IFERROR(VLOOKUP(D773,Parameter!$A$35:$C$64,2,0),"Nein")=""),"-",VLOOKUP(D773,Parameter!$A$35:$C$64,2,0))))</f>
        <v/>
      </c>
      <c r="V773" s="61" t="n"/>
      <c r="W773" s="62" t="n"/>
      <c r="X773" s="55">
        <f>AM773</f>
        <v/>
      </c>
      <c r="Y773" s="55">
        <f>MAX(AM773,G773)</f>
        <v/>
      </c>
      <c r="Z773" s="63" t="n"/>
      <c r="AA773" s="55">
        <f>IF(LEFT(Cockpit!$C$5,1)="A",G773,IF(BT773=1,BU773,IF(LEFT(Cockpit!$C$5,1)="B",AE773,MAX(AE773,G773))))</f>
        <v/>
      </c>
      <c r="AB773" s="55">
        <f>IF(BO773=1,0,ROUNDUP(AA773/BN773,0))</f>
        <v/>
      </c>
      <c r="AC773" s="64">
        <f>IF(BO773=1,IF(AA773&lt;=0,0,BP773*MAX(1,IF(G773&gt;0,AA773/G773,1))),AB773*Q773)</f>
        <v/>
      </c>
      <c r="AD773" s="55">
        <f>AA773*F773</f>
        <v/>
      </c>
      <c r="AE773" s="55">
        <f>ROUNDUP(MAX(I773/IF(BS773&gt;0,BS773,MAX(0.1,N(Cockpit!$C$6))),BV773)/BN773,0)*BN773</f>
        <v/>
      </c>
      <c r="AF773" s="56">
        <f>IF(AC773&gt;0,I773/AC773,-1)</f>
        <v/>
      </c>
      <c r="AG773" s="56">
        <f>IF(AND(OR(BR773="L1",BR773="L23"),AC773&gt;0),SUMIFS($AC$7:$AC$1570,$BR$7:$BR$1570,BR773,$AF$7:$AF$1570,"&gt;"&amp;AF773)+SUMIFS($AC$7:$AC$1570,$BR$7:$BR$1570,BR773,$AF$7:$AF$1570,AF773,$BL$7:$BL$1570,"&lt;="&amp;BL773),"")</f>
        <v/>
      </c>
      <c r="AH773" s="65">
        <f>IF(AG773="",0,MAX(0,MIN(1,(IF(BR773="L1",Parameter!$K$5,Parameter!$K$6+Parameter!$K$7)-(AG773-AC773))/AC773)))</f>
        <v/>
      </c>
      <c r="AI773" s="55">
        <f>IF(LEFT(Cockpit!$I$5,1)="A",G773,IF(BT773=1,BU773,IF(LEFT(Cockpit!$I$5,1)="B",AM773,MAX(AM773,G773))))</f>
        <v/>
      </c>
      <c r="AJ773" s="55">
        <f>IF(BO773=1,0,ROUNDUP(AI773/BN773,0))</f>
        <v/>
      </c>
      <c r="AK773" s="64">
        <f>IF(BO773=1,IF(AI773&lt;=0,0,BP773*MAX(1,IF(G773&gt;0,AI773/G773,1))),AJ773*Q773)</f>
        <v/>
      </c>
      <c r="AL773" s="55">
        <f>AI773*F773</f>
        <v/>
      </c>
      <c r="AM773" s="55">
        <f>ROUNDUP(MAX(I773/IF(BS773&gt;0,BS773,MAX(0.1,N(Cockpit!$I$6))),BV773)/BN773,0)*BN773</f>
        <v/>
      </c>
      <c r="AN773" s="56">
        <f>IF(AK773&gt;0,I773/AK773,-1)</f>
        <v/>
      </c>
      <c r="AO773" s="56">
        <f>IF(AND(OR(BR773="L1",BR773="L23"),AK773&gt;0),SUMIFS($AK$7:$AK$1570,$BR$7:$BR$1570,BR773,$AN$7:$AN$1570,"&gt;"&amp;AN773)+SUMIFS($AK$7:$AK$1570,$BR$7:$BR$1570,BR773,$AN$7:$AN$1570,AN773,$BL$7:$BL$1570,"&lt;="&amp;BL773),"")</f>
        <v/>
      </c>
      <c r="AP773" s="65">
        <f>IF(AO773="",0,MAX(0,MIN(1,(IF(BR773="L1",Parameter!$K$5,Parameter!$K$6+Parameter!$K$7)-(AO773-AK773))/AK773)))</f>
        <v/>
      </c>
      <c r="AQ773" s="55">
        <f>IF(LEFT(Cockpit!$O$5,1)="A",G773,IF(BT773=1,BU773,IF(LEFT(Cockpit!$O$5,1)="B",AU773,MAX(AU773,G773))))</f>
        <v/>
      </c>
      <c r="AR773" s="55">
        <f>IF(BO773=1,0,ROUNDUP(AQ773/BN773,0))</f>
        <v/>
      </c>
      <c r="AS773" s="64">
        <f>IF(BO773=1,IF(AQ773&lt;=0,0,BP773*MAX(1,IF(G773&gt;0,AQ773/G773,1))),AR773*Q773)</f>
        <v/>
      </c>
      <c r="AT773" s="55">
        <f>AQ773*F773</f>
        <v/>
      </c>
      <c r="AU773" s="55">
        <f>ROUNDUP(MAX(I773/IF(BS773&gt;0,BS773,MAX(0.1,N(Cockpit!$O$6))),BV773)/BN773,0)*BN773</f>
        <v/>
      </c>
      <c r="AV773" s="56">
        <f>IF(AS773&gt;0,I773/AS773,-1)</f>
        <v/>
      </c>
      <c r="AW773" s="56">
        <f>IF(AND(OR(BR773="L1",BR773="L23"),AS773&gt;0),SUMIFS($AS$7:$AS$1570,$BR$7:$BR$1570,BR773,$AV$7:$AV$1570,"&gt;"&amp;AV773)+SUMIFS($AS$7:$AS$1570,$BR$7:$BR$1570,BR773,$AV$7:$AV$1570,AV773,$BL$7:$BL$1570,"&lt;="&amp;BL773),"")</f>
        <v/>
      </c>
      <c r="AX773" s="65">
        <f>IF(AW773="",0,MAX(0,MIN(1,(IF(BR773="L1",Parameter!$K$5,Parameter!$K$6+Parameter!$K$7)-(AW773-AS773))/AS773)))</f>
        <v/>
      </c>
      <c r="AY773" s="53">
        <f>IF(AC773&lt;=0,"",IF(BR773="Aussen","Aussenlager",IF(BR773="-","Nicht im Lift",IF(AH773&gt;=1,"Lift",IF(AH773&lt;=0,"Aussenlager","teilweise")))))</f>
        <v/>
      </c>
      <c r="AZ773" s="53">
        <f>IF(AK773&lt;=0,"",IF(BR773="Aussen","Aussenlager",IF(BR773="-","Nicht im Lift",IF(AP773&gt;=1,"Lift",IF(AP773&lt;=0,"Aussenlager","teilweise")))))</f>
        <v/>
      </c>
      <c r="BA773" s="53">
        <f>IF(AS773&lt;=0,"",IF(BR773="Aussen","Aussenlager",IF(BR773="-","Nicht im Lift",IF(AX773&gt;=1,"Lift",IF(AX773&lt;=0,"Aussenlager","teilweise")))))</f>
        <v/>
      </c>
      <c r="BB773" s="53">
        <f>IF(A773="","",IF(BK773=1,"Neu; ","")&amp;IF(AND(BK773=0,BF773&lt;0),"negativer Bestand (Export "&amp;BF773&amp;"); ","")&amp;IF(I773&lt;=0,"Kein Verbrauch; ","")&amp;IF(BO773=1,"Lose – Fläche geschätzt; ","")&amp;IF(G773&gt;AM773,"Überbestand "&amp;ROUND(G773-AM773,0)&amp;" Stk / CHF "&amp;ROUND((G773-AM773)*F773,0)&amp;"; ","")&amp;IF(AND(BT773=1,BU773&lt;BV773),"MAX &lt; MB+LG; ","")&amp;IF(AND(BZ773&gt;0,BY773*10&gt;BZ773),"zu hoch für Tablar; ","")&amp;IF(AND(BK773=0,OR(BT773=1,V773&lt;&gt;"",S773&lt;&gt;"",T773&lt;&gt;"",W773&lt;&gt;"")),"manuell übersteuert; ","")&amp;IF(AND(BO773=0,Q773=0),"Gebinde unbekannt; ","")&amp;IF(AND(BO773=0,N(T773)&lt;=0,N(P773)&lt;=0),"Menge pro Gebinde fehlt (Ist = 1 Gebinde); ","")&amp;BJ773)</f>
        <v/>
      </c>
      <c r="BC773" s="53" t="n"/>
      <c r="BD773" s="53" t="n"/>
      <c r="BE773" s="61" t="n"/>
      <c r="BF773" s="55" t="n">
        <v>-18</v>
      </c>
      <c r="BG773" s="55" t="n">
        <v>279</v>
      </c>
      <c r="BH773" s="54" t="n">
        <v>-1.260000000000003</v>
      </c>
      <c r="BI773" s="55" t="n">
        <v>309</v>
      </c>
      <c r="BJ773" s="53" t="inlineStr"/>
      <c r="BK773" s="58" t="n">
        <v>0</v>
      </c>
      <c r="BL773" s="58" t="n">
        <v>773</v>
      </c>
      <c r="BM773" s="53">
        <f>IF(S773&lt;&gt;"",UPPER(TRIM(S773)),IF(O773="","LOSE",O773))</f>
        <v/>
      </c>
      <c r="BN773" s="55">
        <f>IF(BM773="LOSE",1,IF(N(T773)&gt;0,T773,IF(N(P773)&gt;0,P773,MAX(1,G773))))</f>
        <v/>
      </c>
      <c r="BO773" s="58">
        <f>IF(BM773="LOSE",1,0)</f>
        <v/>
      </c>
      <c r="BP773" s="64">
        <f>IF(BO773=0,0,IF(N(R773)&gt;0,R773,IFERROR(VLOOKUP(D773,Parameter!$A$35:$C$64,3,0)+0,0)))</f>
        <v/>
      </c>
      <c r="BQ773" s="53">
        <f>IF(V773&lt;&gt;"",V773,U773)</f>
        <v/>
      </c>
      <c r="BR773" s="53">
        <f>IF(BQ773=1,"L1",IF(OR(BQ773=2,BQ773=3),"L23",IF(BQ773="Aussen","Aussen","-")))</f>
        <v/>
      </c>
      <c r="BS773" s="66">
        <f>IF(N(W773)&gt;0,W773,0)</f>
        <v/>
      </c>
      <c r="BT773" s="58">
        <f>IF(ISNUMBER(Z773),1,0)</f>
        <v/>
      </c>
      <c r="BU773" s="55">
        <f>N(Z773)</f>
        <v/>
      </c>
      <c r="BV773" s="55">
        <f>N(L773)+N(M773)</f>
        <v/>
      </c>
      <c r="BW773" s="55">
        <f>ROUNDUP(G773/BN773,0)</f>
        <v/>
      </c>
      <c r="BX773" s="55">
        <f>ROUNDUP(BU773/BN773,0)</f>
        <v/>
      </c>
      <c r="BY773" s="58">
        <f>IF(BO773=1,0,IFERROR(VLOOKUP(BM773,'Gebinde-Kategorie'!$A$5:$G$45,5,0)+0,0))</f>
        <v/>
      </c>
      <c r="BZ773" s="58">
        <f>IFERROR(IF(OR(BQ773=1,BQ773=2,BQ773=3),N(INDEX(Parameter!$I$5:$I$7,BQ773)),0),0)</f>
        <v/>
      </c>
    </row>
    <row r="774">
      <c r="A774" s="53" t="inlineStr">
        <is>
          <t>105578</t>
        </is>
      </c>
      <c r="B774" s="53" t="inlineStr">
        <is>
          <t>Sechskantmutter</t>
        </is>
      </c>
      <c r="C774" s="53" t="inlineStr">
        <is>
          <t>F</t>
        </is>
      </c>
      <c r="D774" s="53" t="inlineStr">
        <is>
          <t>KTL</t>
        </is>
      </c>
      <c r="E774" s="53" t="inlineStr">
        <is>
          <t>C</t>
        </is>
      </c>
      <c r="F774" s="54" t="n">
        <v>0.06</v>
      </c>
      <c r="G774" s="55">
        <f>MAX(0,IF(Parameter!$B$20="Jahresanfang 2025 + Export",BG774+BF774,BF774))</f>
        <v/>
      </c>
      <c r="H774" s="55">
        <f>G774*F774</f>
        <v/>
      </c>
      <c r="I774" s="55">
        <f>BI774*Parameter!$B$18</f>
        <v/>
      </c>
      <c r="J774" s="56" t="n">
        <v>24</v>
      </c>
      <c r="K774" s="57" t="n">
        <v>0</v>
      </c>
      <c r="L774" s="55" t="n">
        <v>0</v>
      </c>
      <c r="M774" s="55" t="n">
        <v>1</v>
      </c>
      <c r="N774" s="58" t="n">
        <v>21</v>
      </c>
      <c r="O774" s="53" t="inlineStr">
        <is>
          <t>LOSE</t>
        </is>
      </c>
      <c r="P774" s="55" t="n"/>
      <c r="Q774" s="59">
        <f>IF(BO774=1,0,IFERROR(VLOOKUP(BM774,'Gebinde-Kategorie'!$A$5:$G$45,6,0)+0,0))</f>
        <v/>
      </c>
      <c r="R774" s="60" t="n"/>
      <c r="S774" s="61" t="n"/>
      <c r="T774" s="61" t="n"/>
      <c r="U774" s="53">
        <f>IF(A774="","",IF(IFERROR(VLOOKUP(D774,Parameter!$A$35:$C$64,2,0),"Nein")="2+3",IF(ISNUMBER(SEARCH("grosser Artikel",BJ774)),2,IFERROR(VLOOKUP(BM774,Parameter!$F$35:$G$64,2,0),2)),IF(OR(IFERROR(VLOOKUP(D774,Parameter!$A$35:$C$64,2,0),"Nein")="Nein",IFERROR(VLOOKUP(D774,Parameter!$A$35:$C$64,2,0),"Nein")=""),"-",VLOOKUP(D774,Parameter!$A$35:$C$64,2,0))))</f>
        <v/>
      </c>
      <c r="V774" s="61" t="n"/>
      <c r="W774" s="62" t="n"/>
      <c r="X774" s="55">
        <f>AM774</f>
        <v/>
      </c>
      <c r="Y774" s="55">
        <f>MAX(AM774,G774)</f>
        <v/>
      </c>
      <c r="Z774" s="63" t="n"/>
      <c r="AA774" s="55">
        <f>IF(LEFT(Cockpit!$C$5,1)="A",G774,IF(BT774=1,BU774,IF(LEFT(Cockpit!$C$5,1)="B",AE774,MAX(AE774,G774))))</f>
        <v/>
      </c>
      <c r="AB774" s="55">
        <f>IF(BO774=1,0,ROUNDUP(AA774/BN774,0))</f>
        <v/>
      </c>
      <c r="AC774" s="64">
        <f>IF(BO774=1,IF(AA774&lt;=0,0,BP774*MAX(1,IF(G774&gt;0,AA774/G774,1))),AB774*Q774)</f>
        <v/>
      </c>
      <c r="AD774" s="55">
        <f>AA774*F774</f>
        <v/>
      </c>
      <c r="AE774" s="55">
        <f>ROUNDUP(MAX(I774/IF(BS774&gt;0,BS774,MAX(0.1,N(Cockpit!$C$6))),BV774)/BN774,0)*BN774</f>
        <v/>
      </c>
      <c r="AF774" s="56">
        <f>IF(AC774&gt;0,I774/AC774,-1)</f>
        <v/>
      </c>
      <c r="AG774" s="56">
        <f>IF(AND(OR(BR774="L1",BR774="L23"),AC774&gt;0),SUMIFS($AC$7:$AC$1570,$BR$7:$BR$1570,BR774,$AF$7:$AF$1570,"&gt;"&amp;AF774)+SUMIFS($AC$7:$AC$1570,$BR$7:$BR$1570,BR774,$AF$7:$AF$1570,AF774,$BL$7:$BL$1570,"&lt;="&amp;BL774),"")</f>
        <v/>
      </c>
      <c r="AH774" s="65">
        <f>IF(AG774="",0,MAX(0,MIN(1,(IF(BR774="L1",Parameter!$K$5,Parameter!$K$6+Parameter!$K$7)-(AG774-AC774))/AC774)))</f>
        <v/>
      </c>
      <c r="AI774" s="55">
        <f>IF(LEFT(Cockpit!$I$5,1)="A",G774,IF(BT774=1,BU774,IF(LEFT(Cockpit!$I$5,1)="B",AM774,MAX(AM774,G774))))</f>
        <v/>
      </c>
      <c r="AJ774" s="55">
        <f>IF(BO774=1,0,ROUNDUP(AI774/BN774,0))</f>
        <v/>
      </c>
      <c r="AK774" s="64">
        <f>IF(BO774=1,IF(AI774&lt;=0,0,BP774*MAX(1,IF(G774&gt;0,AI774/G774,1))),AJ774*Q774)</f>
        <v/>
      </c>
      <c r="AL774" s="55">
        <f>AI774*F774</f>
        <v/>
      </c>
      <c r="AM774" s="55">
        <f>ROUNDUP(MAX(I774/IF(BS774&gt;0,BS774,MAX(0.1,N(Cockpit!$I$6))),BV774)/BN774,0)*BN774</f>
        <v/>
      </c>
      <c r="AN774" s="56">
        <f>IF(AK774&gt;0,I774/AK774,-1)</f>
        <v/>
      </c>
      <c r="AO774" s="56">
        <f>IF(AND(OR(BR774="L1",BR774="L23"),AK774&gt;0),SUMIFS($AK$7:$AK$1570,$BR$7:$BR$1570,BR774,$AN$7:$AN$1570,"&gt;"&amp;AN774)+SUMIFS($AK$7:$AK$1570,$BR$7:$BR$1570,BR774,$AN$7:$AN$1570,AN774,$BL$7:$BL$1570,"&lt;="&amp;BL774),"")</f>
        <v/>
      </c>
      <c r="AP774" s="65">
        <f>IF(AO774="",0,MAX(0,MIN(1,(IF(BR774="L1",Parameter!$K$5,Parameter!$K$6+Parameter!$K$7)-(AO774-AK774))/AK774)))</f>
        <v/>
      </c>
      <c r="AQ774" s="55">
        <f>IF(LEFT(Cockpit!$O$5,1)="A",G774,IF(BT774=1,BU774,IF(LEFT(Cockpit!$O$5,1)="B",AU774,MAX(AU774,G774))))</f>
        <v/>
      </c>
      <c r="AR774" s="55">
        <f>IF(BO774=1,0,ROUNDUP(AQ774/BN774,0))</f>
        <v/>
      </c>
      <c r="AS774" s="64">
        <f>IF(BO774=1,IF(AQ774&lt;=0,0,BP774*MAX(1,IF(G774&gt;0,AQ774/G774,1))),AR774*Q774)</f>
        <v/>
      </c>
      <c r="AT774" s="55">
        <f>AQ774*F774</f>
        <v/>
      </c>
      <c r="AU774" s="55">
        <f>ROUNDUP(MAX(I774/IF(BS774&gt;0,BS774,MAX(0.1,N(Cockpit!$O$6))),BV774)/BN774,0)*BN774</f>
        <v/>
      </c>
      <c r="AV774" s="56">
        <f>IF(AS774&gt;0,I774/AS774,-1)</f>
        <v/>
      </c>
      <c r="AW774" s="56">
        <f>IF(AND(OR(BR774="L1",BR774="L23"),AS774&gt;0),SUMIFS($AS$7:$AS$1570,$BR$7:$BR$1570,BR774,$AV$7:$AV$1570,"&gt;"&amp;AV774)+SUMIFS($AS$7:$AS$1570,$BR$7:$BR$1570,BR774,$AV$7:$AV$1570,AV774,$BL$7:$BL$1570,"&lt;="&amp;BL774),"")</f>
        <v/>
      </c>
      <c r="AX774" s="65">
        <f>IF(AW774="",0,MAX(0,MIN(1,(IF(BR774="L1",Parameter!$K$5,Parameter!$K$6+Parameter!$K$7)-(AW774-AS774))/AS774)))</f>
        <v/>
      </c>
      <c r="AY774" s="53">
        <f>IF(AC774&lt;=0,"",IF(BR774="Aussen","Aussenlager",IF(BR774="-","Nicht im Lift",IF(AH774&gt;=1,"Lift",IF(AH774&lt;=0,"Aussenlager","teilweise")))))</f>
        <v/>
      </c>
      <c r="AZ774" s="53">
        <f>IF(AK774&lt;=0,"",IF(BR774="Aussen","Aussenlager",IF(BR774="-","Nicht im Lift",IF(AP774&gt;=1,"Lift",IF(AP774&lt;=0,"Aussenlager","teilweise")))))</f>
        <v/>
      </c>
      <c r="BA774" s="53">
        <f>IF(AS774&lt;=0,"",IF(BR774="Aussen","Aussenlager",IF(BR774="-","Nicht im Lift",IF(AX774&gt;=1,"Lift",IF(AX774&lt;=0,"Aussenlager","teilweise")))))</f>
        <v/>
      </c>
      <c r="BB774" s="53">
        <f>IF(A774="","",IF(BK774=1,"Neu; ","")&amp;IF(AND(BK774=0,BF774&lt;0),"negativer Bestand (Export "&amp;BF774&amp;"); ","")&amp;IF(I774&lt;=0,"Kein Verbrauch; ","")&amp;IF(BO774=1,"Lose – Fläche geschätzt; ","")&amp;IF(G774&gt;AM774,"Überbestand "&amp;ROUND(G774-AM774,0)&amp;" Stk / CHF "&amp;ROUND((G774-AM774)*F774,0)&amp;"; ","")&amp;IF(AND(BT774=1,BU774&lt;BV774),"MAX &lt; MB+LG; ","")&amp;IF(AND(BZ774&gt;0,BY774*10&gt;BZ774),"zu hoch für Tablar; ","")&amp;IF(AND(BK774=0,OR(BT774=1,V774&lt;&gt;"",S774&lt;&gt;"",T774&lt;&gt;"",W774&lt;&gt;"")),"manuell übersteuert; ","")&amp;IF(AND(BO774=0,Q774=0),"Gebinde unbekannt; ","")&amp;IF(AND(BO774=0,N(T774)&lt;=0,N(P774)&lt;=0),"Menge pro Gebinde fehlt (Ist = 1 Gebinde); ","")&amp;BJ774)</f>
        <v/>
      </c>
      <c r="BC774" s="53" t="n"/>
      <c r="BD774" s="53" t="n"/>
      <c r="BE774" s="61" t="n"/>
      <c r="BF774" s="55" t="n">
        <v>-24</v>
      </c>
      <c r="BG774" s="55" t="n">
        <v>36</v>
      </c>
      <c r="BH774" s="54" t="n">
        <v>-1.44</v>
      </c>
      <c r="BI774" s="55" t="n">
        <v>0</v>
      </c>
      <c r="BJ774" s="53" t="inlineStr"/>
      <c r="BK774" s="58" t="n">
        <v>0</v>
      </c>
      <c r="BL774" s="58" t="n">
        <v>774</v>
      </c>
      <c r="BM774" s="53">
        <f>IF(S774&lt;&gt;"",UPPER(TRIM(S774)),IF(O774="","LOSE",O774))</f>
        <v/>
      </c>
      <c r="BN774" s="55">
        <f>IF(BM774="LOSE",1,IF(N(T774)&gt;0,T774,IF(N(P774)&gt;0,P774,MAX(1,G774))))</f>
        <v/>
      </c>
      <c r="BO774" s="58">
        <f>IF(BM774="LOSE",1,0)</f>
        <v/>
      </c>
      <c r="BP774" s="64">
        <f>IF(BO774=0,0,IF(N(R774)&gt;0,R774,IFERROR(VLOOKUP(D774,Parameter!$A$35:$C$64,3,0)+0,0)))</f>
        <v/>
      </c>
      <c r="BQ774" s="53">
        <f>IF(V774&lt;&gt;"",V774,U774)</f>
        <v/>
      </c>
      <c r="BR774" s="53">
        <f>IF(BQ774=1,"L1",IF(OR(BQ774=2,BQ774=3),"L23",IF(BQ774="Aussen","Aussen","-")))</f>
        <v/>
      </c>
      <c r="BS774" s="66">
        <f>IF(N(W774)&gt;0,W774,0)</f>
        <v/>
      </c>
      <c r="BT774" s="58">
        <f>IF(ISNUMBER(Z774),1,0)</f>
        <v/>
      </c>
      <c r="BU774" s="55">
        <f>N(Z774)</f>
        <v/>
      </c>
      <c r="BV774" s="55">
        <f>N(L774)+N(M774)</f>
        <v/>
      </c>
      <c r="BW774" s="55">
        <f>ROUNDUP(G774/BN774,0)</f>
        <v/>
      </c>
      <c r="BX774" s="55">
        <f>ROUNDUP(BU774/BN774,0)</f>
        <v/>
      </c>
      <c r="BY774" s="58">
        <f>IF(BO774=1,0,IFERROR(VLOOKUP(BM774,'Gebinde-Kategorie'!$A$5:$G$45,5,0)+0,0))</f>
        <v/>
      </c>
      <c r="BZ774" s="58">
        <f>IFERROR(IF(OR(BQ774=1,BQ774=2,BQ774=3),N(INDEX(Parameter!$I$5:$I$7,BQ774)),0),0)</f>
        <v/>
      </c>
    </row>
    <row r="775">
      <c r="A775" s="53" t="inlineStr">
        <is>
          <t>101914</t>
        </is>
      </c>
      <c r="B775" s="53" t="inlineStr">
        <is>
          <t>Zylinderschraube mit Innensechskant</t>
        </is>
      </c>
      <c r="C775" s="53" t="inlineStr">
        <is>
          <t>F</t>
        </is>
      </c>
      <c r="D775" s="53" t="inlineStr">
        <is>
          <t>KTL</t>
        </is>
      </c>
      <c r="E775" s="53" t="inlineStr">
        <is>
          <t>C</t>
        </is>
      </c>
      <c r="F775" s="54" t="n">
        <v>0.04</v>
      </c>
      <c r="G775" s="55">
        <f>MAX(0,IF(Parameter!$B$20="Jahresanfang 2025 + Export",BG775+BF775,BF775))</f>
        <v/>
      </c>
      <c r="H775" s="55">
        <f>G775*F775</f>
        <v/>
      </c>
      <c r="I775" s="55">
        <f>BI775*Parameter!$B$18</f>
        <v/>
      </c>
      <c r="J775" s="56" t="n">
        <v>211</v>
      </c>
      <c r="K775" s="57" t="n">
        <v>1.037914691943128</v>
      </c>
      <c r="L775" s="55" t="n">
        <v>12</v>
      </c>
      <c r="M775" s="55" t="n">
        <v>220</v>
      </c>
      <c r="N775" s="58" t="n">
        <v>21</v>
      </c>
      <c r="O775" s="53" t="inlineStr">
        <is>
          <t>S21</t>
        </is>
      </c>
      <c r="P775" s="55" t="n">
        <v>241</v>
      </c>
      <c r="Q775" s="59">
        <f>IF(BO775=1,0,IFERROR(VLOOKUP(BM775,'Gebinde-Kategorie'!$A$5:$G$45,6,0)+0,0))</f>
        <v/>
      </c>
      <c r="R775" s="60" t="n"/>
      <c r="S775" s="61" t="n"/>
      <c r="T775" s="61" t="n"/>
      <c r="U775" s="53">
        <f>IF(A775="","",IF(IFERROR(VLOOKUP(D775,Parameter!$A$35:$C$64,2,0),"Nein")="2+3",IF(ISNUMBER(SEARCH("grosser Artikel",BJ775)),2,IFERROR(VLOOKUP(BM775,Parameter!$F$35:$G$64,2,0),2)),IF(OR(IFERROR(VLOOKUP(D775,Parameter!$A$35:$C$64,2,0),"Nein")="Nein",IFERROR(VLOOKUP(D775,Parameter!$A$35:$C$64,2,0),"Nein")=""),"-",VLOOKUP(D775,Parameter!$A$35:$C$64,2,0))))</f>
        <v/>
      </c>
      <c r="V775" s="61" t="n"/>
      <c r="W775" s="62" t="n"/>
      <c r="X775" s="55">
        <f>AM775</f>
        <v/>
      </c>
      <c r="Y775" s="55">
        <f>MAX(AM775,G775)</f>
        <v/>
      </c>
      <c r="Z775" s="63" t="n"/>
      <c r="AA775" s="55">
        <f>IF(LEFT(Cockpit!$C$5,1)="A",G775,IF(BT775=1,BU775,IF(LEFT(Cockpit!$C$5,1)="B",AE775,MAX(AE775,G775))))</f>
        <v/>
      </c>
      <c r="AB775" s="55">
        <f>IF(BO775=1,0,ROUNDUP(AA775/BN775,0))</f>
        <v/>
      </c>
      <c r="AC775" s="64">
        <f>IF(BO775=1,IF(AA775&lt;=0,0,BP775*MAX(1,IF(G775&gt;0,AA775/G775,1))),AB775*Q775)</f>
        <v/>
      </c>
      <c r="AD775" s="55">
        <f>AA775*F775</f>
        <v/>
      </c>
      <c r="AE775" s="55">
        <f>ROUNDUP(MAX(I775/IF(BS775&gt;0,BS775,MAX(0.1,N(Cockpit!$C$6))),BV775)/BN775,0)*BN775</f>
        <v/>
      </c>
      <c r="AF775" s="56">
        <f>IF(AC775&gt;0,I775/AC775,-1)</f>
        <v/>
      </c>
      <c r="AG775" s="56">
        <f>IF(AND(OR(BR775="L1",BR775="L23"),AC775&gt;0),SUMIFS($AC$7:$AC$1570,$BR$7:$BR$1570,BR775,$AF$7:$AF$1570,"&gt;"&amp;AF775)+SUMIFS($AC$7:$AC$1570,$BR$7:$BR$1570,BR775,$AF$7:$AF$1570,AF775,$BL$7:$BL$1570,"&lt;="&amp;BL775),"")</f>
        <v/>
      </c>
      <c r="AH775" s="65">
        <f>IF(AG775="",0,MAX(0,MIN(1,(IF(BR775="L1",Parameter!$K$5,Parameter!$K$6+Parameter!$K$7)-(AG775-AC775))/AC775)))</f>
        <v/>
      </c>
      <c r="AI775" s="55">
        <f>IF(LEFT(Cockpit!$I$5,1)="A",G775,IF(BT775=1,BU775,IF(LEFT(Cockpit!$I$5,1)="B",AM775,MAX(AM775,G775))))</f>
        <v/>
      </c>
      <c r="AJ775" s="55">
        <f>IF(BO775=1,0,ROUNDUP(AI775/BN775,0))</f>
        <v/>
      </c>
      <c r="AK775" s="64">
        <f>IF(BO775=1,IF(AI775&lt;=0,0,BP775*MAX(1,IF(G775&gt;0,AI775/G775,1))),AJ775*Q775)</f>
        <v/>
      </c>
      <c r="AL775" s="55">
        <f>AI775*F775</f>
        <v/>
      </c>
      <c r="AM775" s="55">
        <f>ROUNDUP(MAX(I775/IF(BS775&gt;0,BS775,MAX(0.1,N(Cockpit!$I$6))),BV775)/BN775,0)*BN775</f>
        <v/>
      </c>
      <c r="AN775" s="56">
        <f>IF(AK775&gt;0,I775/AK775,-1)</f>
        <v/>
      </c>
      <c r="AO775" s="56">
        <f>IF(AND(OR(BR775="L1",BR775="L23"),AK775&gt;0),SUMIFS($AK$7:$AK$1570,$BR$7:$BR$1570,BR775,$AN$7:$AN$1570,"&gt;"&amp;AN775)+SUMIFS($AK$7:$AK$1570,$BR$7:$BR$1570,BR775,$AN$7:$AN$1570,AN775,$BL$7:$BL$1570,"&lt;="&amp;BL775),"")</f>
        <v/>
      </c>
      <c r="AP775" s="65">
        <f>IF(AO775="",0,MAX(0,MIN(1,(IF(BR775="L1",Parameter!$K$5,Parameter!$K$6+Parameter!$K$7)-(AO775-AK775))/AK775)))</f>
        <v/>
      </c>
      <c r="AQ775" s="55">
        <f>IF(LEFT(Cockpit!$O$5,1)="A",G775,IF(BT775=1,BU775,IF(LEFT(Cockpit!$O$5,1)="B",AU775,MAX(AU775,G775))))</f>
        <v/>
      </c>
      <c r="AR775" s="55">
        <f>IF(BO775=1,0,ROUNDUP(AQ775/BN775,0))</f>
        <v/>
      </c>
      <c r="AS775" s="64">
        <f>IF(BO775=1,IF(AQ775&lt;=0,0,BP775*MAX(1,IF(G775&gt;0,AQ775/G775,1))),AR775*Q775)</f>
        <v/>
      </c>
      <c r="AT775" s="55">
        <f>AQ775*F775</f>
        <v/>
      </c>
      <c r="AU775" s="55">
        <f>ROUNDUP(MAX(I775/IF(BS775&gt;0,BS775,MAX(0.1,N(Cockpit!$O$6))),BV775)/BN775,0)*BN775</f>
        <v/>
      </c>
      <c r="AV775" s="56">
        <f>IF(AS775&gt;0,I775/AS775,-1)</f>
        <v/>
      </c>
      <c r="AW775" s="56">
        <f>IF(AND(OR(BR775="L1",BR775="L23"),AS775&gt;0),SUMIFS($AS$7:$AS$1570,$BR$7:$BR$1570,BR775,$AV$7:$AV$1570,"&gt;"&amp;AV775)+SUMIFS($AS$7:$AS$1570,$BR$7:$BR$1570,BR775,$AV$7:$AV$1570,AV775,$BL$7:$BL$1570,"&lt;="&amp;BL775),"")</f>
        <v/>
      </c>
      <c r="AX775" s="65">
        <f>IF(AW775="",0,MAX(0,MIN(1,(IF(BR775="L1",Parameter!$K$5,Parameter!$K$6+Parameter!$K$7)-(AW775-AS775))/AS775)))</f>
        <v/>
      </c>
      <c r="AY775" s="53">
        <f>IF(AC775&lt;=0,"",IF(BR775="Aussen","Aussenlager",IF(BR775="-","Nicht im Lift",IF(AH775&gt;=1,"Lift",IF(AH775&lt;=0,"Aussenlager","teilweise")))))</f>
        <v/>
      </c>
      <c r="AZ775" s="53">
        <f>IF(AK775&lt;=0,"",IF(BR775="Aussen","Aussenlager",IF(BR775="-","Nicht im Lift",IF(AP775&gt;=1,"Lift",IF(AP775&lt;=0,"Aussenlager","teilweise")))))</f>
        <v/>
      </c>
      <c r="BA775" s="53">
        <f>IF(AS775&lt;=0,"",IF(BR775="Aussen","Aussenlager",IF(BR775="-","Nicht im Lift",IF(AX775&gt;=1,"Lift",IF(AX775&lt;=0,"Aussenlager","teilweise")))))</f>
        <v/>
      </c>
      <c r="BB775" s="53">
        <f>IF(A775="","",IF(BK775=1,"Neu; ","")&amp;IF(AND(BK775=0,BF775&lt;0),"negativer Bestand (Export "&amp;BF775&amp;"); ","")&amp;IF(I775&lt;=0,"Kein Verbrauch; ","")&amp;IF(BO775=1,"Lose – Fläche geschätzt; ","")&amp;IF(G775&gt;AM775,"Überbestand "&amp;ROUND(G775-AM775,0)&amp;" Stk / CHF "&amp;ROUND((G775-AM775)*F775,0)&amp;"; ","")&amp;IF(AND(BT775=1,BU775&lt;BV775),"MAX &lt; MB+LG; ","")&amp;IF(AND(BZ775&gt;0,BY775*10&gt;BZ775),"zu hoch für Tablar; ","")&amp;IF(AND(BK775=0,OR(BT775=1,V775&lt;&gt;"",S775&lt;&gt;"",T775&lt;&gt;"",W775&lt;&gt;"")),"manuell übersteuert; ","")&amp;IF(AND(BO775=0,Q775=0),"Gebinde unbekannt; ","")&amp;IF(AND(BO775=0,N(T775)&lt;=0,N(P775)&lt;=0),"Menge pro Gebinde fehlt (Ist = 1 Gebinde); ","")&amp;BJ775)</f>
        <v/>
      </c>
      <c r="BC775" s="53" t="n"/>
      <c r="BD775" s="53" t="n"/>
      <c r="BE775" s="61" t="n"/>
      <c r="BF775" s="55" t="n">
        <v>-36</v>
      </c>
      <c r="BG775" s="55" t="n">
        <v>147</v>
      </c>
      <c r="BH775" s="54" t="n">
        <v>-1.440000000000016</v>
      </c>
      <c r="BI775" s="55" t="n">
        <v>219</v>
      </c>
      <c r="BJ775" s="53" t="inlineStr"/>
      <c r="BK775" s="58" t="n">
        <v>0</v>
      </c>
      <c r="BL775" s="58" t="n">
        <v>775</v>
      </c>
      <c r="BM775" s="53">
        <f>IF(S775&lt;&gt;"",UPPER(TRIM(S775)),IF(O775="","LOSE",O775))</f>
        <v/>
      </c>
      <c r="BN775" s="55">
        <f>IF(BM775="LOSE",1,IF(N(T775)&gt;0,T775,IF(N(P775)&gt;0,P775,MAX(1,G775))))</f>
        <v/>
      </c>
      <c r="BO775" s="58">
        <f>IF(BM775="LOSE",1,0)</f>
        <v/>
      </c>
      <c r="BP775" s="64">
        <f>IF(BO775=0,0,IF(N(R775)&gt;0,R775,IFERROR(VLOOKUP(D775,Parameter!$A$35:$C$64,3,0)+0,0)))</f>
        <v/>
      </c>
      <c r="BQ775" s="53">
        <f>IF(V775&lt;&gt;"",V775,U775)</f>
        <v/>
      </c>
      <c r="BR775" s="53">
        <f>IF(BQ775=1,"L1",IF(OR(BQ775=2,BQ775=3),"L23",IF(BQ775="Aussen","Aussen","-")))</f>
        <v/>
      </c>
      <c r="BS775" s="66">
        <f>IF(N(W775)&gt;0,W775,0)</f>
        <v/>
      </c>
      <c r="BT775" s="58">
        <f>IF(ISNUMBER(Z775),1,0)</f>
        <v/>
      </c>
      <c r="BU775" s="55">
        <f>N(Z775)</f>
        <v/>
      </c>
      <c r="BV775" s="55">
        <f>N(L775)+N(M775)</f>
        <v/>
      </c>
      <c r="BW775" s="55">
        <f>ROUNDUP(G775/BN775,0)</f>
        <v/>
      </c>
      <c r="BX775" s="55">
        <f>ROUNDUP(BU775/BN775,0)</f>
        <v/>
      </c>
      <c r="BY775" s="58">
        <f>IF(BO775=1,0,IFERROR(VLOOKUP(BM775,'Gebinde-Kategorie'!$A$5:$G$45,5,0)+0,0))</f>
        <v/>
      </c>
      <c r="BZ775" s="58">
        <f>IFERROR(IF(OR(BQ775=1,BQ775=2,BQ775=3),N(INDEX(Parameter!$I$5:$I$7,BQ775)),0),0)</f>
        <v/>
      </c>
    </row>
    <row r="776">
      <c r="A776" s="53" t="inlineStr">
        <is>
          <t>005714</t>
        </is>
      </c>
      <c r="B776" s="53" t="inlineStr">
        <is>
          <t>Etikette TwinL Rückschlagventil Patrone</t>
        </is>
      </c>
      <c r="C776" s="53" t="inlineStr">
        <is>
          <t>F</t>
        </is>
      </c>
      <c r="D776" s="53" t="inlineStr">
        <is>
          <t>KTL</t>
        </is>
      </c>
      <c r="E776" s="53" t="inlineStr">
        <is>
          <t>C</t>
        </is>
      </c>
      <c r="F776" s="54" t="n">
        <v>0.5</v>
      </c>
      <c r="G776" s="55">
        <f>MAX(0,IF(Parameter!$B$20="Jahresanfang 2025 + Export",BG776+BF776,BF776))</f>
        <v/>
      </c>
      <c r="H776" s="55">
        <f>G776*F776</f>
        <v/>
      </c>
      <c r="I776" s="55">
        <f>BI776*Parameter!$B$18</f>
        <v/>
      </c>
      <c r="J776" s="56" t="n">
        <v>183</v>
      </c>
      <c r="K776" s="57" t="n">
        <v>0</v>
      </c>
      <c r="L776" s="55" t="n">
        <v>0</v>
      </c>
      <c r="M776" s="55" t="n">
        <v>1</v>
      </c>
      <c r="N776" s="58" t="n">
        <v>14</v>
      </c>
      <c r="O776" s="53" t="inlineStr">
        <is>
          <t>S21</t>
        </is>
      </c>
      <c r="P776" s="55" t="n">
        <v>200</v>
      </c>
      <c r="Q776" s="59">
        <f>IF(BO776=1,0,IFERROR(VLOOKUP(BM776,'Gebinde-Kategorie'!$A$5:$G$45,6,0)+0,0))</f>
        <v/>
      </c>
      <c r="R776" s="60" t="n"/>
      <c r="S776" s="61" t="n"/>
      <c r="T776" s="61" t="n"/>
      <c r="U776" s="53">
        <f>IF(A776="","",IF(IFERROR(VLOOKUP(D776,Parameter!$A$35:$C$64,2,0),"Nein")="2+3",IF(ISNUMBER(SEARCH("grosser Artikel",BJ776)),2,IFERROR(VLOOKUP(BM776,Parameter!$F$35:$G$64,2,0),2)),IF(OR(IFERROR(VLOOKUP(D776,Parameter!$A$35:$C$64,2,0),"Nein")="Nein",IFERROR(VLOOKUP(D776,Parameter!$A$35:$C$64,2,0),"Nein")=""),"-",VLOOKUP(D776,Parameter!$A$35:$C$64,2,0))))</f>
        <v/>
      </c>
      <c r="V776" s="61" t="n"/>
      <c r="W776" s="62" t="n"/>
      <c r="X776" s="55">
        <f>AM776</f>
        <v/>
      </c>
      <c r="Y776" s="55">
        <f>MAX(AM776,G776)</f>
        <v/>
      </c>
      <c r="Z776" s="63" t="n"/>
      <c r="AA776" s="55">
        <f>IF(LEFT(Cockpit!$C$5,1)="A",G776,IF(BT776=1,BU776,IF(LEFT(Cockpit!$C$5,1)="B",AE776,MAX(AE776,G776))))</f>
        <v/>
      </c>
      <c r="AB776" s="55">
        <f>IF(BO776=1,0,ROUNDUP(AA776/BN776,0))</f>
        <v/>
      </c>
      <c r="AC776" s="64">
        <f>IF(BO776=1,IF(AA776&lt;=0,0,BP776*MAX(1,IF(G776&gt;0,AA776/G776,1))),AB776*Q776)</f>
        <v/>
      </c>
      <c r="AD776" s="55">
        <f>AA776*F776</f>
        <v/>
      </c>
      <c r="AE776" s="55">
        <f>ROUNDUP(MAX(I776/IF(BS776&gt;0,BS776,MAX(0.1,N(Cockpit!$C$6))),BV776)/BN776,0)*BN776</f>
        <v/>
      </c>
      <c r="AF776" s="56">
        <f>IF(AC776&gt;0,I776/AC776,-1)</f>
        <v/>
      </c>
      <c r="AG776" s="56">
        <f>IF(AND(OR(BR776="L1",BR776="L23"),AC776&gt;0),SUMIFS($AC$7:$AC$1570,$BR$7:$BR$1570,BR776,$AF$7:$AF$1570,"&gt;"&amp;AF776)+SUMIFS($AC$7:$AC$1570,$BR$7:$BR$1570,BR776,$AF$7:$AF$1570,AF776,$BL$7:$BL$1570,"&lt;="&amp;BL776),"")</f>
        <v/>
      </c>
      <c r="AH776" s="65">
        <f>IF(AG776="",0,MAX(0,MIN(1,(IF(BR776="L1",Parameter!$K$5,Parameter!$K$6+Parameter!$K$7)-(AG776-AC776))/AC776)))</f>
        <v/>
      </c>
      <c r="AI776" s="55">
        <f>IF(LEFT(Cockpit!$I$5,1)="A",G776,IF(BT776=1,BU776,IF(LEFT(Cockpit!$I$5,1)="B",AM776,MAX(AM776,G776))))</f>
        <v/>
      </c>
      <c r="AJ776" s="55">
        <f>IF(BO776=1,0,ROUNDUP(AI776/BN776,0))</f>
        <v/>
      </c>
      <c r="AK776" s="64">
        <f>IF(BO776=1,IF(AI776&lt;=0,0,BP776*MAX(1,IF(G776&gt;0,AI776/G776,1))),AJ776*Q776)</f>
        <v/>
      </c>
      <c r="AL776" s="55">
        <f>AI776*F776</f>
        <v/>
      </c>
      <c r="AM776" s="55">
        <f>ROUNDUP(MAX(I776/IF(BS776&gt;0,BS776,MAX(0.1,N(Cockpit!$I$6))),BV776)/BN776,0)*BN776</f>
        <v/>
      </c>
      <c r="AN776" s="56">
        <f>IF(AK776&gt;0,I776/AK776,-1)</f>
        <v/>
      </c>
      <c r="AO776" s="56">
        <f>IF(AND(OR(BR776="L1",BR776="L23"),AK776&gt;0),SUMIFS($AK$7:$AK$1570,$BR$7:$BR$1570,BR776,$AN$7:$AN$1570,"&gt;"&amp;AN776)+SUMIFS($AK$7:$AK$1570,$BR$7:$BR$1570,BR776,$AN$7:$AN$1570,AN776,$BL$7:$BL$1570,"&lt;="&amp;BL776),"")</f>
        <v/>
      </c>
      <c r="AP776" s="65">
        <f>IF(AO776="",0,MAX(0,MIN(1,(IF(BR776="L1",Parameter!$K$5,Parameter!$K$6+Parameter!$K$7)-(AO776-AK776))/AK776)))</f>
        <v/>
      </c>
      <c r="AQ776" s="55">
        <f>IF(LEFT(Cockpit!$O$5,1)="A",G776,IF(BT776=1,BU776,IF(LEFT(Cockpit!$O$5,1)="B",AU776,MAX(AU776,G776))))</f>
        <v/>
      </c>
      <c r="AR776" s="55">
        <f>IF(BO776=1,0,ROUNDUP(AQ776/BN776,0))</f>
        <v/>
      </c>
      <c r="AS776" s="64">
        <f>IF(BO776=1,IF(AQ776&lt;=0,0,BP776*MAX(1,IF(G776&gt;0,AQ776/G776,1))),AR776*Q776)</f>
        <v/>
      </c>
      <c r="AT776" s="55">
        <f>AQ776*F776</f>
        <v/>
      </c>
      <c r="AU776" s="55">
        <f>ROUNDUP(MAX(I776/IF(BS776&gt;0,BS776,MAX(0.1,N(Cockpit!$O$6))),BV776)/BN776,0)*BN776</f>
        <v/>
      </c>
      <c r="AV776" s="56">
        <f>IF(AS776&gt;0,I776/AS776,-1)</f>
        <v/>
      </c>
      <c r="AW776" s="56">
        <f>IF(AND(OR(BR776="L1",BR776="L23"),AS776&gt;0),SUMIFS($AS$7:$AS$1570,$BR$7:$BR$1570,BR776,$AV$7:$AV$1570,"&gt;"&amp;AV776)+SUMIFS($AS$7:$AS$1570,$BR$7:$BR$1570,BR776,$AV$7:$AV$1570,AV776,$BL$7:$BL$1570,"&lt;="&amp;BL776),"")</f>
        <v/>
      </c>
      <c r="AX776" s="65">
        <f>IF(AW776="",0,MAX(0,MIN(1,(IF(BR776="L1",Parameter!$K$5,Parameter!$K$6+Parameter!$K$7)-(AW776-AS776))/AS776)))</f>
        <v/>
      </c>
      <c r="AY776" s="53">
        <f>IF(AC776&lt;=0,"",IF(BR776="Aussen","Aussenlager",IF(BR776="-","Nicht im Lift",IF(AH776&gt;=1,"Lift",IF(AH776&lt;=0,"Aussenlager","teilweise")))))</f>
        <v/>
      </c>
      <c r="AZ776" s="53">
        <f>IF(AK776&lt;=0,"",IF(BR776="Aussen","Aussenlager",IF(BR776="-","Nicht im Lift",IF(AP776&gt;=1,"Lift",IF(AP776&lt;=0,"Aussenlager","teilweise")))))</f>
        <v/>
      </c>
      <c r="BA776" s="53">
        <f>IF(AS776&lt;=0,"",IF(BR776="Aussen","Aussenlager",IF(BR776="-","Nicht im Lift",IF(AX776&gt;=1,"Lift",IF(AX776&lt;=0,"Aussenlager","teilweise")))))</f>
        <v/>
      </c>
      <c r="BB776" s="53">
        <f>IF(A776="","",IF(BK776=1,"Neu; ","")&amp;IF(AND(BK776=0,BF776&lt;0),"negativer Bestand (Export "&amp;BF776&amp;"); ","")&amp;IF(I776&lt;=0,"Kein Verbrauch; ","")&amp;IF(BO776=1,"Lose – Fläche geschätzt; ","")&amp;IF(G776&gt;AM776,"Überbestand "&amp;ROUND(G776-AM776,0)&amp;" Stk / CHF "&amp;ROUND((G776-AM776)*F776,0)&amp;"; ","")&amp;IF(AND(BT776=1,BU776&lt;BV776),"MAX &lt; MB+LG; ","")&amp;IF(AND(BZ776&gt;0,BY776*10&gt;BZ776),"zu hoch für Tablar; ","")&amp;IF(AND(BK776=0,OR(BT776=1,V776&lt;&gt;"",S776&lt;&gt;"",T776&lt;&gt;"",W776&lt;&gt;"")),"manuell übersteuert; ","")&amp;IF(AND(BO776=0,Q776=0),"Gebinde unbekannt; ","")&amp;IF(AND(BO776=0,N(T776)&lt;=0,N(P776)&lt;=0),"Menge pro Gebinde fehlt (Ist = 1 Gebinde); ","")&amp;BJ776)</f>
        <v/>
      </c>
      <c r="BC776" s="53" t="n"/>
      <c r="BD776" s="53" t="n"/>
      <c r="BE776" s="61" t="n"/>
      <c r="BF776" s="55" t="n">
        <v>-3</v>
      </c>
      <c r="BG776" s="55" t="n">
        <v>183</v>
      </c>
      <c r="BH776" s="54" t="n">
        <v>-1.5</v>
      </c>
      <c r="BI776" s="55" t="n">
        <v>0</v>
      </c>
      <c r="BJ776" s="53" t="inlineStr"/>
      <c r="BK776" s="58" t="n">
        <v>0</v>
      </c>
      <c r="BL776" s="58" t="n">
        <v>776</v>
      </c>
      <c r="BM776" s="53">
        <f>IF(S776&lt;&gt;"",UPPER(TRIM(S776)),IF(O776="","LOSE",O776))</f>
        <v/>
      </c>
      <c r="BN776" s="55">
        <f>IF(BM776="LOSE",1,IF(N(T776)&gt;0,T776,IF(N(P776)&gt;0,P776,MAX(1,G776))))</f>
        <v/>
      </c>
      <c r="BO776" s="58">
        <f>IF(BM776="LOSE",1,0)</f>
        <v/>
      </c>
      <c r="BP776" s="64">
        <f>IF(BO776=0,0,IF(N(R776)&gt;0,R776,IFERROR(VLOOKUP(D776,Parameter!$A$35:$C$64,3,0)+0,0)))</f>
        <v/>
      </c>
      <c r="BQ776" s="53">
        <f>IF(V776&lt;&gt;"",V776,U776)</f>
        <v/>
      </c>
      <c r="BR776" s="53">
        <f>IF(BQ776=1,"L1",IF(OR(BQ776=2,BQ776=3),"L23",IF(BQ776="Aussen","Aussen","-")))</f>
        <v/>
      </c>
      <c r="BS776" s="66">
        <f>IF(N(W776)&gt;0,W776,0)</f>
        <v/>
      </c>
      <c r="BT776" s="58">
        <f>IF(ISNUMBER(Z776),1,0)</f>
        <v/>
      </c>
      <c r="BU776" s="55">
        <f>N(Z776)</f>
        <v/>
      </c>
      <c r="BV776" s="55">
        <f>N(L776)+N(M776)</f>
        <v/>
      </c>
      <c r="BW776" s="55">
        <f>ROUNDUP(G776/BN776,0)</f>
        <v/>
      </c>
      <c r="BX776" s="55">
        <f>ROUNDUP(BU776/BN776,0)</f>
        <v/>
      </c>
      <c r="BY776" s="58">
        <f>IF(BO776=1,0,IFERROR(VLOOKUP(BM776,'Gebinde-Kategorie'!$A$5:$G$45,5,0)+0,0))</f>
        <v/>
      </c>
      <c r="BZ776" s="58">
        <f>IFERROR(IF(OR(BQ776=1,BQ776=2,BQ776=3),N(INDEX(Parameter!$I$5:$I$7,BQ776)),0),0)</f>
        <v/>
      </c>
    </row>
    <row r="777">
      <c r="A777" s="53" t="inlineStr">
        <is>
          <t>106445</t>
        </is>
      </c>
      <c r="B777" s="53" t="inlineStr">
        <is>
          <t>Gewindestift</t>
        </is>
      </c>
      <c r="C777" s="53" t="inlineStr">
        <is>
          <t>F</t>
        </is>
      </c>
      <c r="D777" s="53" t="inlineStr">
        <is>
          <t>KTL</t>
        </is>
      </c>
      <c r="E777" s="53" t="inlineStr">
        <is>
          <t>C</t>
        </is>
      </c>
      <c r="F777" s="54" t="n">
        <v>0.03</v>
      </c>
      <c r="G777" s="55">
        <f>MAX(0,IF(Parameter!$B$20="Jahresanfang 2025 + Export",BG777+BF777,BF777))</f>
        <v/>
      </c>
      <c r="H777" s="55">
        <f>G777*F777</f>
        <v/>
      </c>
      <c r="I777" s="55">
        <f>BI777*Parameter!$B$18</f>
        <v/>
      </c>
      <c r="J777" s="56" t="n">
        <v>510.5</v>
      </c>
      <c r="K777" s="57" t="n">
        <v>0.03134182174338884</v>
      </c>
      <c r="L777" s="55" t="n">
        <v>0</v>
      </c>
      <c r="M777" s="55" t="n">
        <v>15</v>
      </c>
      <c r="N777" s="58" t="n">
        <v>21</v>
      </c>
      <c r="O777" s="53" t="inlineStr">
        <is>
          <t>S22</t>
        </is>
      </c>
      <c r="P777" s="55" t="n">
        <v>535</v>
      </c>
      <c r="Q777" s="59">
        <f>IF(BO777=1,0,IFERROR(VLOOKUP(BM777,'Gebinde-Kategorie'!$A$5:$G$45,6,0)+0,0))</f>
        <v/>
      </c>
      <c r="R777" s="60" t="n"/>
      <c r="S777" s="61" t="n"/>
      <c r="T777" s="61" t="n"/>
      <c r="U777" s="53">
        <f>IF(A777="","",IF(IFERROR(VLOOKUP(D777,Parameter!$A$35:$C$64,2,0),"Nein")="2+3",IF(ISNUMBER(SEARCH("grosser Artikel",BJ777)),2,IFERROR(VLOOKUP(BM777,Parameter!$F$35:$G$64,2,0),2)),IF(OR(IFERROR(VLOOKUP(D777,Parameter!$A$35:$C$64,2,0),"Nein")="Nein",IFERROR(VLOOKUP(D777,Parameter!$A$35:$C$64,2,0),"Nein")=""),"-",VLOOKUP(D777,Parameter!$A$35:$C$64,2,0))))</f>
        <v/>
      </c>
      <c r="V777" s="61" t="n"/>
      <c r="W777" s="62" t="n"/>
      <c r="X777" s="55">
        <f>AM777</f>
        <v/>
      </c>
      <c r="Y777" s="55">
        <f>MAX(AM777,G777)</f>
        <v/>
      </c>
      <c r="Z777" s="63" t="n"/>
      <c r="AA777" s="55">
        <f>IF(LEFT(Cockpit!$C$5,1)="A",G777,IF(BT777=1,BU777,IF(LEFT(Cockpit!$C$5,1)="B",AE777,MAX(AE777,G777))))</f>
        <v/>
      </c>
      <c r="AB777" s="55">
        <f>IF(BO777=1,0,ROUNDUP(AA777/BN777,0))</f>
        <v/>
      </c>
      <c r="AC777" s="64">
        <f>IF(BO777=1,IF(AA777&lt;=0,0,BP777*MAX(1,IF(G777&gt;0,AA777/G777,1))),AB777*Q777)</f>
        <v/>
      </c>
      <c r="AD777" s="55">
        <f>AA777*F777</f>
        <v/>
      </c>
      <c r="AE777" s="55">
        <f>ROUNDUP(MAX(I777/IF(BS777&gt;0,BS777,MAX(0.1,N(Cockpit!$C$6))),BV777)/BN777,0)*BN777</f>
        <v/>
      </c>
      <c r="AF777" s="56">
        <f>IF(AC777&gt;0,I777/AC777,-1)</f>
        <v/>
      </c>
      <c r="AG777" s="56">
        <f>IF(AND(OR(BR777="L1",BR777="L23"),AC777&gt;0),SUMIFS($AC$7:$AC$1570,$BR$7:$BR$1570,BR777,$AF$7:$AF$1570,"&gt;"&amp;AF777)+SUMIFS($AC$7:$AC$1570,$BR$7:$BR$1570,BR777,$AF$7:$AF$1570,AF777,$BL$7:$BL$1570,"&lt;="&amp;BL777),"")</f>
        <v/>
      </c>
      <c r="AH777" s="65">
        <f>IF(AG777="",0,MAX(0,MIN(1,(IF(BR777="L1",Parameter!$K$5,Parameter!$K$6+Parameter!$K$7)-(AG777-AC777))/AC777)))</f>
        <v/>
      </c>
      <c r="AI777" s="55">
        <f>IF(LEFT(Cockpit!$I$5,1)="A",G777,IF(BT777=1,BU777,IF(LEFT(Cockpit!$I$5,1)="B",AM777,MAX(AM777,G777))))</f>
        <v/>
      </c>
      <c r="AJ777" s="55">
        <f>IF(BO777=1,0,ROUNDUP(AI777/BN777,0))</f>
        <v/>
      </c>
      <c r="AK777" s="64">
        <f>IF(BO777=1,IF(AI777&lt;=0,0,BP777*MAX(1,IF(G777&gt;0,AI777/G777,1))),AJ777*Q777)</f>
        <v/>
      </c>
      <c r="AL777" s="55">
        <f>AI777*F777</f>
        <v/>
      </c>
      <c r="AM777" s="55">
        <f>ROUNDUP(MAX(I777/IF(BS777&gt;0,BS777,MAX(0.1,N(Cockpit!$I$6))),BV777)/BN777,0)*BN777</f>
        <v/>
      </c>
      <c r="AN777" s="56">
        <f>IF(AK777&gt;0,I777/AK777,-1)</f>
        <v/>
      </c>
      <c r="AO777" s="56">
        <f>IF(AND(OR(BR777="L1",BR777="L23"),AK777&gt;0),SUMIFS($AK$7:$AK$1570,$BR$7:$BR$1570,BR777,$AN$7:$AN$1570,"&gt;"&amp;AN777)+SUMIFS($AK$7:$AK$1570,$BR$7:$BR$1570,BR777,$AN$7:$AN$1570,AN777,$BL$7:$BL$1570,"&lt;="&amp;BL777),"")</f>
        <v/>
      </c>
      <c r="AP777" s="65">
        <f>IF(AO777="",0,MAX(0,MIN(1,(IF(BR777="L1",Parameter!$K$5,Parameter!$K$6+Parameter!$K$7)-(AO777-AK777))/AK777)))</f>
        <v/>
      </c>
      <c r="AQ777" s="55">
        <f>IF(LEFT(Cockpit!$O$5,1)="A",G777,IF(BT777=1,BU777,IF(LEFT(Cockpit!$O$5,1)="B",AU777,MAX(AU777,G777))))</f>
        <v/>
      </c>
      <c r="AR777" s="55">
        <f>IF(BO777=1,0,ROUNDUP(AQ777/BN777,0))</f>
        <v/>
      </c>
      <c r="AS777" s="64">
        <f>IF(BO777=1,IF(AQ777&lt;=0,0,BP777*MAX(1,IF(G777&gt;0,AQ777/G777,1))),AR777*Q777)</f>
        <v/>
      </c>
      <c r="AT777" s="55">
        <f>AQ777*F777</f>
        <v/>
      </c>
      <c r="AU777" s="55">
        <f>ROUNDUP(MAX(I777/IF(BS777&gt;0,BS777,MAX(0.1,N(Cockpit!$O$6))),BV777)/BN777,0)*BN777</f>
        <v/>
      </c>
      <c r="AV777" s="56">
        <f>IF(AS777&gt;0,I777/AS777,-1)</f>
        <v/>
      </c>
      <c r="AW777" s="56">
        <f>IF(AND(OR(BR777="L1",BR777="L23"),AS777&gt;0),SUMIFS($AS$7:$AS$1570,$BR$7:$BR$1570,BR777,$AV$7:$AV$1570,"&gt;"&amp;AV777)+SUMIFS($AS$7:$AS$1570,$BR$7:$BR$1570,BR777,$AV$7:$AV$1570,AV777,$BL$7:$BL$1570,"&lt;="&amp;BL777),"")</f>
        <v/>
      </c>
      <c r="AX777" s="65">
        <f>IF(AW777="",0,MAX(0,MIN(1,(IF(BR777="L1",Parameter!$K$5,Parameter!$K$6+Parameter!$K$7)-(AW777-AS777))/AS777)))</f>
        <v/>
      </c>
      <c r="AY777" s="53">
        <f>IF(AC777&lt;=0,"",IF(BR777="Aussen","Aussenlager",IF(BR777="-","Nicht im Lift",IF(AH777&gt;=1,"Lift",IF(AH777&lt;=0,"Aussenlager","teilweise")))))</f>
        <v/>
      </c>
      <c r="AZ777" s="53">
        <f>IF(AK777&lt;=0,"",IF(BR777="Aussen","Aussenlager",IF(BR777="-","Nicht im Lift",IF(AP777&gt;=1,"Lift",IF(AP777&lt;=0,"Aussenlager","teilweise")))))</f>
        <v/>
      </c>
      <c r="BA777" s="53">
        <f>IF(AS777&lt;=0,"",IF(BR777="Aussen","Aussenlager",IF(BR777="-","Nicht im Lift",IF(AX777&gt;=1,"Lift",IF(AX777&lt;=0,"Aussenlager","teilweise")))))</f>
        <v/>
      </c>
      <c r="BB777" s="53">
        <f>IF(A777="","",IF(BK777=1,"Neu; ","")&amp;IF(AND(BK777=0,BF777&lt;0),"negativer Bestand (Export "&amp;BF777&amp;"); ","")&amp;IF(I777&lt;=0,"Kein Verbrauch; ","")&amp;IF(BO777=1,"Lose – Fläche geschätzt; ","")&amp;IF(G777&gt;AM777,"Überbestand "&amp;ROUND(G777-AM777,0)&amp;" Stk / CHF "&amp;ROUND((G777-AM777)*F777,0)&amp;"; ","")&amp;IF(AND(BT777=1,BU777&lt;BV777),"MAX &lt; MB+LG; ","")&amp;IF(AND(BZ777&gt;0,BY777*10&gt;BZ777),"zu hoch für Tablar; ","")&amp;IF(AND(BK777=0,OR(BT777=1,V777&lt;&gt;"",S777&lt;&gt;"",T777&lt;&gt;"",W777&lt;&gt;"")),"manuell übersteuert; ","")&amp;IF(AND(BO777=0,Q777=0),"Gebinde unbekannt; ","")&amp;IF(AND(BO777=0,N(T777)&lt;=0,N(P777)&lt;=0),"Menge pro Gebinde fehlt (Ist = 1 Gebinde); ","")&amp;BJ777)</f>
        <v/>
      </c>
      <c r="BC777" s="53" t="n"/>
      <c r="BD777" s="53" t="n"/>
      <c r="BE777" s="61" t="n"/>
      <c r="BF777" s="55" t="n">
        <v>-51</v>
      </c>
      <c r="BG777" s="55" t="n">
        <v>510</v>
      </c>
      <c r="BH777" s="54" t="n">
        <v>-1.53</v>
      </c>
      <c r="BI777" s="55" t="n">
        <v>16</v>
      </c>
      <c r="BJ777" s="53" t="inlineStr">
        <is>
          <t>Überbestand</t>
        </is>
      </c>
      <c r="BK777" s="58" t="n">
        <v>0</v>
      </c>
      <c r="BL777" s="58" t="n">
        <v>777</v>
      </c>
      <c r="BM777" s="53">
        <f>IF(S777&lt;&gt;"",UPPER(TRIM(S777)),IF(O777="","LOSE",O777))</f>
        <v/>
      </c>
      <c r="BN777" s="55">
        <f>IF(BM777="LOSE",1,IF(N(T777)&gt;0,T777,IF(N(P777)&gt;0,P777,MAX(1,G777))))</f>
        <v/>
      </c>
      <c r="BO777" s="58">
        <f>IF(BM777="LOSE",1,0)</f>
        <v/>
      </c>
      <c r="BP777" s="64">
        <f>IF(BO777=0,0,IF(N(R777)&gt;0,R777,IFERROR(VLOOKUP(D777,Parameter!$A$35:$C$64,3,0)+0,0)))</f>
        <v/>
      </c>
      <c r="BQ777" s="53">
        <f>IF(V777&lt;&gt;"",V777,U777)</f>
        <v/>
      </c>
      <c r="BR777" s="53">
        <f>IF(BQ777=1,"L1",IF(OR(BQ777=2,BQ777=3),"L23",IF(BQ777="Aussen","Aussen","-")))</f>
        <v/>
      </c>
      <c r="BS777" s="66">
        <f>IF(N(W777)&gt;0,W777,0)</f>
        <v/>
      </c>
      <c r="BT777" s="58">
        <f>IF(ISNUMBER(Z777),1,0)</f>
        <v/>
      </c>
      <c r="BU777" s="55">
        <f>N(Z777)</f>
        <v/>
      </c>
      <c r="BV777" s="55">
        <f>N(L777)+N(M777)</f>
        <v/>
      </c>
      <c r="BW777" s="55">
        <f>ROUNDUP(G777/BN777,0)</f>
        <v/>
      </c>
      <c r="BX777" s="55">
        <f>ROUNDUP(BU777/BN777,0)</f>
        <v/>
      </c>
      <c r="BY777" s="58">
        <f>IF(BO777=1,0,IFERROR(VLOOKUP(BM777,'Gebinde-Kategorie'!$A$5:$G$45,5,0)+0,0))</f>
        <v/>
      </c>
      <c r="BZ777" s="58">
        <f>IFERROR(IF(OR(BQ777=1,BQ777=2,BQ777=3),N(INDEX(Parameter!$I$5:$I$7,BQ777)),0),0)</f>
        <v/>
      </c>
    </row>
    <row r="778">
      <c r="A778" s="53" t="inlineStr">
        <is>
          <t>100938</t>
        </is>
      </c>
      <c r="B778" s="53" t="inlineStr">
        <is>
          <t>Zylinderschraube mit Innensechskant</t>
        </is>
      </c>
      <c r="C778" s="53" t="inlineStr">
        <is>
          <t>F</t>
        </is>
      </c>
      <c r="D778" s="53" t="inlineStr">
        <is>
          <t>KTL</t>
        </is>
      </c>
      <c r="E778" s="53" t="inlineStr">
        <is>
          <t>C</t>
        </is>
      </c>
      <c r="F778" s="54" t="n">
        <v>0.03</v>
      </c>
      <c r="G778" s="55">
        <f>MAX(0,IF(Parameter!$B$20="Jahresanfang 2025 + Export",BG778+BF778,BF778))</f>
        <v/>
      </c>
      <c r="H778" s="55">
        <f>G778*F778</f>
        <v/>
      </c>
      <c r="I778" s="55">
        <f>BI778*Parameter!$B$18</f>
        <v/>
      </c>
      <c r="J778" s="56" t="n">
        <v>736.5</v>
      </c>
      <c r="K778" s="57" t="n">
        <v>0.04073319755600815</v>
      </c>
      <c r="L778" s="55" t="n">
        <v>1</v>
      </c>
      <c r="M778" s="55" t="n">
        <v>30</v>
      </c>
      <c r="N778" s="58" t="n">
        <v>21</v>
      </c>
      <c r="O778" s="53" t="inlineStr">
        <is>
          <t>S51</t>
        </is>
      </c>
      <c r="P778" s="55" t="n">
        <v>426</v>
      </c>
      <c r="Q778" s="59">
        <f>IF(BO778=1,0,IFERROR(VLOOKUP(BM778,'Gebinde-Kategorie'!$A$5:$G$45,6,0)+0,0))</f>
        <v/>
      </c>
      <c r="R778" s="60" t="n"/>
      <c r="S778" s="61" t="n"/>
      <c r="T778" s="61" t="n"/>
      <c r="U778" s="53">
        <f>IF(A778="","",IF(IFERROR(VLOOKUP(D778,Parameter!$A$35:$C$64,2,0),"Nein")="2+3",IF(ISNUMBER(SEARCH("grosser Artikel",BJ778)),2,IFERROR(VLOOKUP(BM778,Parameter!$F$35:$G$64,2,0),2)),IF(OR(IFERROR(VLOOKUP(D778,Parameter!$A$35:$C$64,2,0),"Nein")="Nein",IFERROR(VLOOKUP(D778,Parameter!$A$35:$C$64,2,0),"Nein")=""),"-",VLOOKUP(D778,Parameter!$A$35:$C$64,2,0))))</f>
        <v/>
      </c>
      <c r="V778" s="61" t="n"/>
      <c r="W778" s="62" t="n"/>
      <c r="X778" s="55">
        <f>AM778</f>
        <v/>
      </c>
      <c r="Y778" s="55">
        <f>MAX(AM778,G778)</f>
        <v/>
      </c>
      <c r="Z778" s="63" t="n"/>
      <c r="AA778" s="55">
        <f>IF(LEFT(Cockpit!$C$5,1)="A",G778,IF(BT778=1,BU778,IF(LEFT(Cockpit!$C$5,1)="B",AE778,MAX(AE778,G778))))</f>
        <v/>
      </c>
      <c r="AB778" s="55">
        <f>IF(BO778=1,0,ROUNDUP(AA778/BN778,0))</f>
        <v/>
      </c>
      <c r="AC778" s="64">
        <f>IF(BO778=1,IF(AA778&lt;=0,0,BP778*MAX(1,IF(G778&gt;0,AA778/G778,1))),AB778*Q778)</f>
        <v/>
      </c>
      <c r="AD778" s="55">
        <f>AA778*F778</f>
        <v/>
      </c>
      <c r="AE778" s="55">
        <f>ROUNDUP(MAX(I778/IF(BS778&gt;0,BS778,MAX(0.1,N(Cockpit!$C$6))),BV778)/BN778,0)*BN778</f>
        <v/>
      </c>
      <c r="AF778" s="56">
        <f>IF(AC778&gt;0,I778/AC778,-1)</f>
        <v/>
      </c>
      <c r="AG778" s="56">
        <f>IF(AND(OR(BR778="L1",BR778="L23"),AC778&gt;0),SUMIFS($AC$7:$AC$1570,$BR$7:$BR$1570,BR778,$AF$7:$AF$1570,"&gt;"&amp;AF778)+SUMIFS($AC$7:$AC$1570,$BR$7:$BR$1570,BR778,$AF$7:$AF$1570,AF778,$BL$7:$BL$1570,"&lt;="&amp;BL778),"")</f>
        <v/>
      </c>
      <c r="AH778" s="65">
        <f>IF(AG778="",0,MAX(0,MIN(1,(IF(BR778="L1",Parameter!$K$5,Parameter!$K$6+Parameter!$K$7)-(AG778-AC778))/AC778)))</f>
        <v/>
      </c>
      <c r="AI778" s="55">
        <f>IF(LEFT(Cockpit!$I$5,1)="A",G778,IF(BT778=1,BU778,IF(LEFT(Cockpit!$I$5,1)="B",AM778,MAX(AM778,G778))))</f>
        <v/>
      </c>
      <c r="AJ778" s="55">
        <f>IF(BO778=1,0,ROUNDUP(AI778/BN778,0))</f>
        <v/>
      </c>
      <c r="AK778" s="64">
        <f>IF(BO778=1,IF(AI778&lt;=0,0,BP778*MAX(1,IF(G778&gt;0,AI778/G778,1))),AJ778*Q778)</f>
        <v/>
      </c>
      <c r="AL778" s="55">
        <f>AI778*F778</f>
        <v/>
      </c>
      <c r="AM778" s="55">
        <f>ROUNDUP(MAX(I778/IF(BS778&gt;0,BS778,MAX(0.1,N(Cockpit!$I$6))),BV778)/BN778,0)*BN778</f>
        <v/>
      </c>
      <c r="AN778" s="56">
        <f>IF(AK778&gt;0,I778/AK778,-1)</f>
        <v/>
      </c>
      <c r="AO778" s="56">
        <f>IF(AND(OR(BR778="L1",BR778="L23"),AK778&gt;0),SUMIFS($AK$7:$AK$1570,$BR$7:$BR$1570,BR778,$AN$7:$AN$1570,"&gt;"&amp;AN778)+SUMIFS($AK$7:$AK$1570,$BR$7:$BR$1570,BR778,$AN$7:$AN$1570,AN778,$BL$7:$BL$1570,"&lt;="&amp;BL778),"")</f>
        <v/>
      </c>
      <c r="AP778" s="65">
        <f>IF(AO778="",0,MAX(0,MIN(1,(IF(BR778="L1",Parameter!$K$5,Parameter!$K$6+Parameter!$K$7)-(AO778-AK778))/AK778)))</f>
        <v/>
      </c>
      <c r="AQ778" s="55">
        <f>IF(LEFT(Cockpit!$O$5,1)="A",G778,IF(BT778=1,BU778,IF(LEFT(Cockpit!$O$5,1)="B",AU778,MAX(AU778,G778))))</f>
        <v/>
      </c>
      <c r="AR778" s="55">
        <f>IF(BO778=1,0,ROUNDUP(AQ778/BN778,0))</f>
        <v/>
      </c>
      <c r="AS778" s="64">
        <f>IF(BO778=1,IF(AQ778&lt;=0,0,BP778*MAX(1,IF(G778&gt;0,AQ778/G778,1))),AR778*Q778)</f>
        <v/>
      </c>
      <c r="AT778" s="55">
        <f>AQ778*F778</f>
        <v/>
      </c>
      <c r="AU778" s="55">
        <f>ROUNDUP(MAX(I778/IF(BS778&gt;0,BS778,MAX(0.1,N(Cockpit!$O$6))),BV778)/BN778,0)*BN778</f>
        <v/>
      </c>
      <c r="AV778" s="56">
        <f>IF(AS778&gt;0,I778/AS778,-1)</f>
        <v/>
      </c>
      <c r="AW778" s="56">
        <f>IF(AND(OR(BR778="L1",BR778="L23"),AS778&gt;0),SUMIFS($AS$7:$AS$1570,$BR$7:$BR$1570,BR778,$AV$7:$AV$1570,"&gt;"&amp;AV778)+SUMIFS($AS$7:$AS$1570,$BR$7:$BR$1570,BR778,$AV$7:$AV$1570,AV778,$BL$7:$BL$1570,"&lt;="&amp;BL778),"")</f>
        <v/>
      </c>
      <c r="AX778" s="65">
        <f>IF(AW778="",0,MAX(0,MIN(1,(IF(BR778="L1",Parameter!$K$5,Parameter!$K$6+Parameter!$K$7)-(AW778-AS778))/AS778)))</f>
        <v/>
      </c>
      <c r="AY778" s="53">
        <f>IF(AC778&lt;=0,"",IF(BR778="Aussen","Aussenlager",IF(BR778="-","Nicht im Lift",IF(AH778&gt;=1,"Lift",IF(AH778&lt;=0,"Aussenlager","teilweise")))))</f>
        <v/>
      </c>
      <c r="AZ778" s="53">
        <f>IF(AK778&lt;=0,"",IF(BR778="Aussen","Aussenlager",IF(BR778="-","Nicht im Lift",IF(AP778&gt;=1,"Lift",IF(AP778&lt;=0,"Aussenlager","teilweise")))))</f>
        <v/>
      </c>
      <c r="BA778" s="53">
        <f>IF(AS778&lt;=0,"",IF(BR778="Aussen","Aussenlager",IF(BR778="-","Nicht im Lift",IF(AX778&gt;=1,"Lift",IF(AX778&lt;=0,"Aussenlager","teilweise")))))</f>
        <v/>
      </c>
      <c r="BB778" s="53">
        <f>IF(A778="","",IF(BK778=1,"Neu; ","")&amp;IF(AND(BK778=0,BF778&lt;0),"negativer Bestand (Export "&amp;BF778&amp;"); ","")&amp;IF(I778&lt;=0,"Kein Verbrauch; ","")&amp;IF(BO778=1,"Lose – Fläche geschätzt; ","")&amp;IF(G778&gt;AM778,"Überbestand "&amp;ROUND(G778-AM778,0)&amp;" Stk / CHF "&amp;ROUND((G778-AM778)*F778,0)&amp;"; ","")&amp;IF(AND(BT778=1,BU778&lt;BV778),"MAX &lt; MB+LG; ","")&amp;IF(AND(BZ778&gt;0,BY778*10&gt;BZ778),"zu hoch für Tablar; ","")&amp;IF(AND(BK778=0,OR(BT778=1,V778&lt;&gt;"",S778&lt;&gt;"",T778&lt;&gt;"",W778&lt;&gt;"")),"manuell übersteuert; ","")&amp;IF(AND(BO778=0,Q778=0),"Gebinde unbekannt; ","")&amp;IF(AND(BO778=0,N(T778)&lt;=0,N(P778)&lt;=0),"Menge pro Gebinde fehlt (Ist = 1 Gebinde); ","")&amp;BJ778)</f>
        <v/>
      </c>
      <c r="BC778" s="53" t="n"/>
      <c r="BD778" s="53" t="n"/>
      <c r="BE778" s="61" t="n"/>
      <c r="BF778" s="55" t="n">
        <v>-53</v>
      </c>
      <c r="BG778" s="55" t="n">
        <v>750</v>
      </c>
      <c r="BH778" s="54" t="n">
        <v>-1.59</v>
      </c>
      <c r="BI778" s="55" t="n">
        <v>30</v>
      </c>
      <c r="BJ778" s="53" t="inlineStr">
        <is>
          <t>Überbestand</t>
        </is>
      </c>
      <c r="BK778" s="58" t="n">
        <v>0</v>
      </c>
      <c r="BL778" s="58" t="n">
        <v>778</v>
      </c>
      <c r="BM778" s="53">
        <f>IF(S778&lt;&gt;"",UPPER(TRIM(S778)),IF(O778="","LOSE",O778))</f>
        <v/>
      </c>
      <c r="BN778" s="55">
        <f>IF(BM778="LOSE",1,IF(N(T778)&gt;0,T778,IF(N(P778)&gt;0,P778,MAX(1,G778))))</f>
        <v/>
      </c>
      <c r="BO778" s="58">
        <f>IF(BM778="LOSE",1,0)</f>
        <v/>
      </c>
      <c r="BP778" s="64">
        <f>IF(BO778=0,0,IF(N(R778)&gt;0,R778,IFERROR(VLOOKUP(D778,Parameter!$A$35:$C$64,3,0)+0,0)))</f>
        <v/>
      </c>
      <c r="BQ778" s="53">
        <f>IF(V778&lt;&gt;"",V778,U778)</f>
        <v/>
      </c>
      <c r="BR778" s="53">
        <f>IF(BQ778=1,"L1",IF(OR(BQ778=2,BQ778=3),"L23",IF(BQ778="Aussen","Aussen","-")))</f>
        <v/>
      </c>
      <c r="BS778" s="66">
        <f>IF(N(W778)&gt;0,W778,0)</f>
        <v/>
      </c>
      <c r="BT778" s="58">
        <f>IF(ISNUMBER(Z778),1,0)</f>
        <v/>
      </c>
      <c r="BU778" s="55">
        <f>N(Z778)</f>
        <v/>
      </c>
      <c r="BV778" s="55">
        <f>N(L778)+N(M778)</f>
        <v/>
      </c>
      <c r="BW778" s="55">
        <f>ROUNDUP(G778/BN778,0)</f>
        <v/>
      </c>
      <c r="BX778" s="55">
        <f>ROUNDUP(BU778/BN778,0)</f>
        <v/>
      </c>
      <c r="BY778" s="58">
        <f>IF(BO778=1,0,IFERROR(VLOOKUP(BM778,'Gebinde-Kategorie'!$A$5:$G$45,5,0)+0,0))</f>
        <v/>
      </c>
      <c r="BZ778" s="58">
        <f>IFERROR(IF(OR(BQ778=1,BQ778=2,BQ778=3),N(INDEX(Parameter!$I$5:$I$7,BQ778)),0),0)</f>
        <v/>
      </c>
    </row>
    <row r="779">
      <c r="A779" s="53" t="inlineStr">
        <is>
          <t>107107</t>
        </is>
      </c>
      <c r="B779" s="53" t="inlineStr">
        <is>
          <t>Steckschlüsseleinsatz</t>
        </is>
      </c>
      <c r="C779" s="53" t="inlineStr">
        <is>
          <t>F</t>
        </is>
      </c>
      <c r="D779" s="53" t="inlineStr">
        <is>
          <t>KTL</t>
        </is>
      </c>
      <c r="E779" s="53" t="inlineStr">
        <is>
          <t>C</t>
        </is>
      </c>
      <c r="F779" s="54" t="n">
        <v>8.81</v>
      </c>
      <c r="G779" s="55">
        <f>MAX(0,IF(Parameter!$B$20="Jahresanfang 2025 + Export",BG779+BF779,BF779))</f>
        <v/>
      </c>
      <c r="H779" s="55">
        <f>G779*F779</f>
        <v/>
      </c>
      <c r="I779" s="55">
        <f>BI779*Parameter!$B$18</f>
        <v/>
      </c>
      <c r="J779" s="56" t="n">
        <v>7</v>
      </c>
      <c r="K779" s="57" t="n">
        <v>1.142857142857143</v>
      </c>
      <c r="L779" s="55" t="n">
        <v>0</v>
      </c>
      <c r="M779" s="55" t="n">
        <v>10</v>
      </c>
      <c r="N779" s="58" t="n">
        <v>19</v>
      </c>
      <c r="O779" s="53" t="inlineStr">
        <is>
          <t>S32</t>
        </is>
      </c>
      <c r="P779" s="55" t="n">
        <v>23</v>
      </c>
      <c r="Q779" s="59">
        <f>IF(BO779=1,0,IFERROR(VLOOKUP(BM779,'Gebinde-Kategorie'!$A$5:$G$45,6,0)+0,0))</f>
        <v/>
      </c>
      <c r="R779" s="60" t="n"/>
      <c r="S779" s="61" t="n"/>
      <c r="T779" s="61" t="n"/>
      <c r="U779" s="53">
        <f>IF(A779="","",IF(IFERROR(VLOOKUP(D779,Parameter!$A$35:$C$64,2,0),"Nein")="2+3",IF(ISNUMBER(SEARCH("grosser Artikel",BJ779)),2,IFERROR(VLOOKUP(BM779,Parameter!$F$35:$G$64,2,0),2)),IF(OR(IFERROR(VLOOKUP(D779,Parameter!$A$35:$C$64,2,0),"Nein")="Nein",IFERROR(VLOOKUP(D779,Parameter!$A$35:$C$64,2,0),"Nein")=""),"-",VLOOKUP(D779,Parameter!$A$35:$C$64,2,0))))</f>
        <v/>
      </c>
      <c r="V779" s="61" t="n"/>
      <c r="W779" s="62" t="n"/>
      <c r="X779" s="55">
        <f>AM779</f>
        <v/>
      </c>
      <c r="Y779" s="55">
        <f>MAX(AM779,G779)</f>
        <v/>
      </c>
      <c r="Z779" s="63" t="n"/>
      <c r="AA779" s="55">
        <f>IF(LEFT(Cockpit!$C$5,1)="A",G779,IF(BT779=1,BU779,IF(LEFT(Cockpit!$C$5,1)="B",AE779,MAX(AE779,G779))))</f>
        <v/>
      </c>
      <c r="AB779" s="55">
        <f>IF(BO779=1,0,ROUNDUP(AA779/BN779,0))</f>
        <v/>
      </c>
      <c r="AC779" s="64">
        <f>IF(BO779=1,IF(AA779&lt;=0,0,BP779*MAX(1,IF(G779&gt;0,AA779/G779,1))),AB779*Q779)</f>
        <v/>
      </c>
      <c r="AD779" s="55">
        <f>AA779*F779</f>
        <v/>
      </c>
      <c r="AE779" s="55">
        <f>ROUNDUP(MAX(I779/IF(BS779&gt;0,BS779,MAX(0.1,N(Cockpit!$C$6))),BV779)/BN779,0)*BN779</f>
        <v/>
      </c>
      <c r="AF779" s="56">
        <f>IF(AC779&gt;0,I779/AC779,-1)</f>
        <v/>
      </c>
      <c r="AG779" s="56">
        <f>IF(AND(OR(BR779="L1",BR779="L23"),AC779&gt;0),SUMIFS($AC$7:$AC$1570,$BR$7:$BR$1570,BR779,$AF$7:$AF$1570,"&gt;"&amp;AF779)+SUMIFS($AC$7:$AC$1570,$BR$7:$BR$1570,BR779,$AF$7:$AF$1570,AF779,$BL$7:$BL$1570,"&lt;="&amp;BL779),"")</f>
        <v/>
      </c>
      <c r="AH779" s="65">
        <f>IF(AG779="",0,MAX(0,MIN(1,(IF(BR779="L1",Parameter!$K$5,Parameter!$K$6+Parameter!$K$7)-(AG779-AC779))/AC779)))</f>
        <v/>
      </c>
      <c r="AI779" s="55">
        <f>IF(LEFT(Cockpit!$I$5,1)="A",G779,IF(BT779=1,BU779,IF(LEFT(Cockpit!$I$5,1)="B",AM779,MAX(AM779,G779))))</f>
        <v/>
      </c>
      <c r="AJ779" s="55">
        <f>IF(BO779=1,0,ROUNDUP(AI779/BN779,0))</f>
        <v/>
      </c>
      <c r="AK779" s="64">
        <f>IF(BO779=1,IF(AI779&lt;=0,0,BP779*MAX(1,IF(G779&gt;0,AI779/G779,1))),AJ779*Q779)</f>
        <v/>
      </c>
      <c r="AL779" s="55">
        <f>AI779*F779</f>
        <v/>
      </c>
      <c r="AM779" s="55">
        <f>ROUNDUP(MAX(I779/IF(BS779&gt;0,BS779,MAX(0.1,N(Cockpit!$I$6))),BV779)/BN779,0)*BN779</f>
        <v/>
      </c>
      <c r="AN779" s="56">
        <f>IF(AK779&gt;0,I779/AK779,-1)</f>
        <v/>
      </c>
      <c r="AO779" s="56">
        <f>IF(AND(OR(BR779="L1",BR779="L23"),AK779&gt;0),SUMIFS($AK$7:$AK$1570,$BR$7:$BR$1570,BR779,$AN$7:$AN$1570,"&gt;"&amp;AN779)+SUMIFS($AK$7:$AK$1570,$BR$7:$BR$1570,BR779,$AN$7:$AN$1570,AN779,$BL$7:$BL$1570,"&lt;="&amp;BL779),"")</f>
        <v/>
      </c>
      <c r="AP779" s="65">
        <f>IF(AO779="",0,MAX(0,MIN(1,(IF(BR779="L1",Parameter!$K$5,Parameter!$K$6+Parameter!$K$7)-(AO779-AK779))/AK779)))</f>
        <v/>
      </c>
      <c r="AQ779" s="55">
        <f>IF(LEFT(Cockpit!$O$5,1)="A",G779,IF(BT779=1,BU779,IF(LEFT(Cockpit!$O$5,1)="B",AU779,MAX(AU779,G779))))</f>
        <v/>
      </c>
      <c r="AR779" s="55">
        <f>IF(BO779=1,0,ROUNDUP(AQ779/BN779,0))</f>
        <v/>
      </c>
      <c r="AS779" s="64">
        <f>IF(BO779=1,IF(AQ779&lt;=0,0,BP779*MAX(1,IF(G779&gt;0,AQ779/G779,1))),AR779*Q779)</f>
        <v/>
      </c>
      <c r="AT779" s="55">
        <f>AQ779*F779</f>
        <v/>
      </c>
      <c r="AU779" s="55">
        <f>ROUNDUP(MAX(I779/IF(BS779&gt;0,BS779,MAX(0.1,N(Cockpit!$O$6))),BV779)/BN779,0)*BN779</f>
        <v/>
      </c>
      <c r="AV779" s="56">
        <f>IF(AS779&gt;0,I779/AS779,-1)</f>
        <v/>
      </c>
      <c r="AW779" s="56">
        <f>IF(AND(OR(BR779="L1",BR779="L23"),AS779&gt;0),SUMIFS($AS$7:$AS$1570,$BR$7:$BR$1570,BR779,$AV$7:$AV$1570,"&gt;"&amp;AV779)+SUMIFS($AS$7:$AS$1570,$BR$7:$BR$1570,BR779,$AV$7:$AV$1570,AV779,$BL$7:$BL$1570,"&lt;="&amp;BL779),"")</f>
        <v/>
      </c>
      <c r="AX779" s="65">
        <f>IF(AW779="",0,MAX(0,MIN(1,(IF(BR779="L1",Parameter!$K$5,Parameter!$K$6+Parameter!$K$7)-(AW779-AS779))/AS779)))</f>
        <v/>
      </c>
      <c r="AY779" s="53">
        <f>IF(AC779&lt;=0,"",IF(BR779="Aussen","Aussenlager",IF(BR779="-","Nicht im Lift",IF(AH779&gt;=1,"Lift",IF(AH779&lt;=0,"Aussenlager","teilweise")))))</f>
        <v/>
      </c>
      <c r="AZ779" s="53">
        <f>IF(AK779&lt;=0,"",IF(BR779="Aussen","Aussenlager",IF(BR779="-","Nicht im Lift",IF(AP779&gt;=1,"Lift",IF(AP779&lt;=0,"Aussenlager","teilweise")))))</f>
        <v/>
      </c>
      <c r="BA779" s="53">
        <f>IF(AS779&lt;=0,"",IF(BR779="Aussen","Aussenlager",IF(BR779="-","Nicht im Lift",IF(AX779&gt;=1,"Lift",IF(AX779&lt;=0,"Aussenlager","teilweise")))))</f>
        <v/>
      </c>
      <c r="BB779" s="53">
        <f>IF(A779="","",IF(BK779=1,"Neu; ","")&amp;IF(AND(BK779=0,BF779&lt;0),"negativer Bestand (Export "&amp;BF779&amp;"); ","")&amp;IF(I779&lt;=0,"Kein Verbrauch; ","")&amp;IF(BO779=1,"Lose – Fläche geschätzt; ","")&amp;IF(G779&gt;AM779,"Überbestand "&amp;ROUND(G779-AM779,0)&amp;" Stk / CHF "&amp;ROUND((G779-AM779)*F779,0)&amp;"; ","")&amp;IF(AND(BT779=1,BU779&lt;BV779),"MAX &lt; MB+LG; ","")&amp;IF(AND(BZ779&gt;0,BY779*10&gt;BZ779),"zu hoch für Tablar; ","")&amp;IF(AND(BK779=0,OR(BT779=1,V779&lt;&gt;"",S779&lt;&gt;"",T779&lt;&gt;"",W779&lt;&gt;"")),"manuell übersteuert; ","")&amp;IF(AND(BO779=0,Q779=0),"Gebinde unbekannt; ","")&amp;IF(AND(BO779=0,N(T779)&lt;=0,N(P779)&lt;=0),"Menge pro Gebinde fehlt (Ist = 1 Gebinde); ","")&amp;BJ779)</f>
        <v/>
      </c>
      <c r="BC779" s="53" t="n"/>
      <c r="BD779" s="53" t="n"/>
      <c r="BE779" s="61" t="n"/>
      <c r="BF779" s="55" t="n">
        <v>3</v>
      </c>
      <c r="BG779" s="55" t="n">
        <v>10</v>
      </c>
      <c r="BH779" s="54" t="n">
        <v>-1.669999999999973</v>
      </c>
      <c r="BI779" s="55" t="n">
        <v>8</v>
      </c>
      <c r="BJ779" s="53" t="inlineStr"/>
      <c r="BK779" s="58" t="n">
        <v>0</v>
      </c>
      <c r="BL779" s="58" t="n">
        <v>779</v>
      </c>
      <c r="BM779" s="53">
        <f>IF(S779&lt;&gt;"",UPPER(TRIM(S779)),IF(O779="","LOSE",O779))</f>
        <v/>
      </c>
      <c r="BN779" s="55">
        <f>IF(BM779="LOSE",1,IF(N(T779)&gt;0,T779,IF(N(P779)&gt;0,P779,MAX(1,G779))))</f>
        <v/>
      </c>
      <c r="BO779" s="58">
        <f>IF(BM779="LOSE",1,0)</f>
        <v/>
      </c>
      <c r="BP779" s="64">
        <f>IF(BO779=0,0,IF(N(R779)&gt;0,R779,IFERROR(VLOOKUP(D779,Parameter!$A$35:$C$64,3,0)+0,0)))</f>
        <v/>
      </c>
      <c r="BQ779" s="53">
        <f>IF(V779&lt;&gt;"",V779,U779)</f>
        <v/>
      </c>
      <c r="BR779" s="53">
        <f>IF(BQ779=1,"L1",IF(OR(BQ779=2,BQ779=3),"L23",IF(BQ779="Aussen","Aussen","-")))</f>
        <v/>
      </c>
      <c r="BS779" s="66">
        <f>IF(N(W779)&gt;0,W779,0)</f>
        <v/>
      </c>
      <c r="BT779" s="58">
        <f>IF(ISNUMBER(Z779),1,0)</f>
        <v/>
      </c>
      <c r="BU779" s="55">
        <f>N(Z779)</f>
        <v/>
      </c>
      <c r="BV779" s="55">
        <f>N(L779)+N(M779)</f>
        <v/>
      </c>
      <c r="BW779" s="55">
        <f>ROUNDUP(G779/BN779,0)</f>
        <v/>
      </c>
      <c r="BX779" s="55">
        <f>ROUNDUP(BU779/BN779,0)</f>
        <v/>
      </c>
      <c r="BY779" s="58">
        <f>IF(BO779=1,0,IFERROR(VLOOKUP(BM779,'Gebinde-Kategorie'!$A$5:$G$45,5,0)+0,0))</f>
        <v/>
      </c>
      <c r="BZ779" s="58">
        <f>IFERROR(IF(OR(BQ779=1,BQ779=2,BQ779=3),N(INDEX(Parameter!$I$5:$I$7,BQ779)),0),0)</f>
        <v/>
      </c>
    </row>
    <row r="780">
      <c r="A780" s="53" t="inlineStr">
        <is>
          <t>106140</t>
        </is>
      </c>
      <c r="B780" s="53" t="inlineStr">
        <is>
          <t>Sechskantmutter kugelig</t>
        </is>
      </c>
      <c r="C780" s="53" t="inlineStr">
        <is>
          <t>A</t>
        </is>
      </c>
      <c r="D780" s="53" t="inlineStr">
        <is>
          <t>KTL</t>
        </is>
      </c>
      <c r="E780" s="53" t="inlineStr">
        <is>
          <t>C</t>
        </is>
      </c>
      <c r="F780" s="54" t="n">
        <v>0.48</v>
      </c>
      <c r="G780" s="55">
        <f>MAX(0,IF(Parameter!$B$20="Jahresanfang 2025 + Export",BG780+BF780,BF780))</f>
        <v/>
      </c>
      <c r="H780" s="55">
        <f>G780*F780</f>
        <v/>
      </c>
      <c r="I780" s="55">
        <f>BI780*Parameter!$B$18</f>
        <v/>
      </c>
      <c r="J780" s="56" t="n">
        <v>56</v>
      </c>
      <c r="K780" s="57" t="n">
        <v>0</v>
      </c>
      <c r="L780" s="55" t="n">
        <v>0</v>
      </c>
      <c r="M780" s="55" t="n">
        <v>1</v>
      </c>
      <c r="N780" s="58" t="n">
        <v>14</v>
      </c>
      <c r="O780" s="53" t="inlineStr">
        <is>
          <t>S51</t>
        </is>
      </c>
      <c r="P780" s="55" t="n">
        <v>224</v>
      </c>
      <c r="Q780" s="59">
        <f>IF(BO780=1,0,IFERROR(VLOOKUP(BM780,'Gebinde-Kategorie'!$A$5:$G$45,6,0)+0,0))</f>
        <v/>
      </c>
      <c r="R780" s="60" t="n"/>
      <c r="S780" s="61" t="n"/>
      <c r="T780" s="61" t="n"/>
      <c r="U780" s="53">
        <f>IF(A780="","",IF(IFERROR(VLOOKUP(D780,Parameter!$A$35:$C$64,2,0),"Nein")="2+3",IF(ISNUMBER(SEARCH("grosser Artikel",BJ780)),2,IFERROR(VLOOKUP(BM780,Parameter!$F$35:$G$64,2,0),2)),IF(OR(IFERROR(VLOOKUP(D780,Parameter!$A$35:$C$64,2,0),"Nein")="Nein",IFERROR(VLOOKUP(D780,Parameter!$A$35:$C$64,2,0),"Nein")=""),"-",VLOOKUP(D780,Parameter!$A$35:$C$64,2,0))))</f>
        <v/>
      </c>
      <c r="V780" s="61" t="n"/>
      <c r="W780" s="62" t="n"/>
      <c r="X780" s="55">
        <f>AM780</f>
        <v/>
      </c>
      <c r="Y780" s="55">
        <f>MAX(AM780,G780)</f>
        <v/>
      </c>
      <c r="Z780" s="63" t="n"/>
      <c r="AA780" s="55">
        <f>IF(LEFT(Cockpit!$C$5,1)="A",G780,IF(BT780=1,BU780,IF(LEFT(Cockpit!$C$5,1)="B",AE780,MAX(AE780,G780))))</f>
        <v/>
      </c>
      <c r="AB780" s="55">
        <f>IF(BO780=1,0,ROUNDUP(AA780/BN780,0))</f>
        <v/>
      </c>
      <c r="AC780" s="64">
        <f>IF(BO780=1,IF(AA780&lt;=0,0,BP780*MAX(1,IF(G780&gt;0,AA780/G780,1))),AB780*Q780)</f>
        <v/>
      </c>
      <c r="AD780" s="55">
        <f>AA780*F780</f>
        <v/>
      </c>
      <c r="AE780" s="55">
        <f>ROUNDUP(MAX(I780/IF(BS780&gt;0,BS780,MAX(0.1,N(Cockpit!$C$6))),BV780)/BN780,0)*BN780</f>
        <v/>
      </c>
      <c r="AF780" s="56">
        <f>IF(AC780&gt;0,I780/AC780,-1)</f>
        <v/>
      </c>
      <c r="AG780" s="56">
        <f>IF(AND(OR(BR780="L1",BR780="L23"),AC780&gt;0),SUMIFS($AC$7:$AC$1570,$BR$7:$BR$1570,BR780,$AF$7:$AF$1570,"&gt;"&amp;AF780)+SUMIFS($AC$7:$AC$1570,$BR$7:$BR$1570,BR780,$AF$7:$AF$1570,AF780,$BL$7:$BL$1570,"&lt;="&amp;BL780),"")</f>
        <v/>
      </c>
      <c r="AH780" s="65">
        <f>IF(AG780="",0,MAX(0,MIN(1,(IF(BR780="L1",Parameter!$K$5,Parameter!$K$6+Parameter!$K$7)-(AG780-AC780))/AC780)))</f>
        <v/>
      </c>
      <c r="AI780" s="55">
        <f>IF(LEFT(Cockpit!$I$5,1)="A",G780,IF(BT780=1,BU780,IF(LEFT(Cockpit!$I$5,1)="B",AM780,MAX(AM780,G780))))</f>
        <v/>
      </c>
      <c r="AJ780" s="55">
        <f>IF(BO780=1,0,ROUNDUP(AI780/BN780,0))</f>
        <v/>
      </c>
      <c r="AK780" s="64">
        <f>IF(BO780=1,IF(AI780&lt;=0,0,BP780*MAX(1,IF(G780&gt;0,AI780/G780,1))),AJ780*Q780)</f>
        <v/>
      </c>
      <c r="AL780" s="55">
        <f>AI780*F780</f>
        <v/>
      </c>
      <c r="AM780" s="55">
        <f>ROUNDUP(MAX(I780/IF(BS780&gt;0,BS780,MAX(0.1,N(Cockpit!$I$6))),BV780)/BN780,0)*BN780</f>
        <v/>
      </c>
      <c r="AN780" s="56">
        <f>IF(AK780&gt;0,I780/AK780,-1)</f>
        <v/>
      </c>
      <c r="AO780" s="56">
        <f>IF(AND(OR(BR780="L1",BR780="L23"),AK780&gt;0),SUMIFS($AK$7:$AK$1570,$BR$7:$BR$1570,BR780,$AN$7:$AN$1570,"&gt;"&amp;AN780)+SUMIFS($AK$7:$AK$1570,$BR$7:$BR$1570,BR780,$AN$7:$AN$1570,AN780,$BL$7:$BL$1570,"&lt;="&amp;BL780),"")</f>
        <v/>
      </c>
      <c r="AP780" s="65">
        <f>IF(AO780="",0,MAX(0,MIN(1,(IF(BR780="L1",Parameter!$K$5,Parameter!$K$6+Parameter!$K$7)-(AO780-AK780))/AK780)))</f>
        <v/>
      </c>
      <c r="AQ780" s="55">
        <f>IF(LEFT(Cockpit!$O$5,1)="A",G780,IF(BT780=1,BU780,IF(LEFT(Cockpit!$O$5,1)="B",AU780,MAX(AU780,G780))))</f>
        <v/>
      </c>
      <c r="AR780" s="55">
        <f>IF(BO780=1,0,ROUNDUP(AQ780/BN780,0))</f>
        <v/>
      </c>
      <c r="AS780" s="64">
        <f>IF(BO780=1,IF(AQ780&lt;=0,0,BP780*MAX(1,IF(G780&gt;0,AQ780/G780,1))),AR780*Q780)</f>
        <v/>
      </c>
      <c r="AT780" s="55">
        <f>AQ780*F780</f>
        <v/>
      </c>
      <c r="AU780" s="55">
        <f>ROUNDUP(MAX(I780/IF(BS780&gt;0,BS780,MAX(0.1,N(Cockpit!$O$6))),BV780)/BN780,0)*BN780</f>
        <v/>
      </c>
      <c r="AV780" s="56">
        <f>IF(AS780&gt;0,I780/AS780,-1)</f>
        <v/>
      </c>
      <c r="AW780" s="56">
        <f>IF(AND(OR(BR780="L1",BR780="L23"),AS780&gt;0),SUMIFS($AS$7:$AS$1570,$BR$7:$BR$1570,BR780,$AV$7:$AV$1570,"&gt;"&amp;AV780)+SUMIFS($AS$7:$AS$1570,$BR$7:$BR$1570,BR780,$AV$7:$AV$1570,AV780,$BL$7:$BL$1570,"&lt;="&amp;BL780),"")</f>
        <v/>
      </c>
      <c r="AX780" s="65">
        <f>IF(AW780="",0,MAX(0,MIN(1,(IF(BR780="L1",Parameter!$K$5,Parameter!$K$6+Parameter!$K$7)-(AW780-AS780))/AS780)))</f>
        <v/>
      </c>
      <c r="AY780" s="53">
        <f>IF(AC780&lt;=0,"",IF(BR780="Aussen","Aussenlager",IF(BR780="-","Nicht im Lift",IF(AH780&gt;=1,"Lift",IF(AH780&lt;=0,"Aussenlager","teilweise")))))</f>
        <v/>
      </c>
      <c r="AZ780" s="53">
        <f>IF(AK780&lt;=0,"",IF(BR780="Aussen","Aussenlager",IF(BR780="-","Nicht im Lift",IF(AP780&gt;=1,"Lift",IF(AP780&lt;=0,"Aussenlager","teilweise")))))</f>
        <v/>
      </c>
      <c r="BA780" s="53">
        <f>IF(AS780&lt;=0,"",IF(BR780="Aussen","Aussenlager",IF(BR780="-","Nicht im Lift",IF(AX780&gt;=1,"Lift",IF(AX780&lt;=0,"Aussenlager","teilweise")))))</f>
        <v/>
      </c>
      <c r="BB780" s="53">
        <f>IF(A780="","",IF(BK780=1,"Neu; ","")&amp;IF(AND(BK780=0,BF780&lt;0),"negativer Bestand (Export "&amp;BF780&amp;"); ","")&amp;IF(I780&lt;=0,"Kein Verbrauch; ","")&amp;IF(BO780=1,"Lose – Fläche geschätzt; ","")&amp;IF(G780&gt;AM780,"Überbestand "&amp;ROUND(G780-AM780,0)&amp;" Stk / CHF "&amp;ROUND((G780-AM780)*F780,0)&amp;"; ","")&amp;IF(AND(BT780=1,BU780&lt;BV780),"MAX &lt; MB+LG; ","")&amp;IF(AND(BZ780&gt;0,BY780*10&gt;BZ780),"zu hoch für Tablar; ","")&amp;IF(AND(BK780=0,OR(BT780=1,V780&lt;&gt;"",S780&lt;&gt;"",T780&lt;&gt;"",W780&lt;&gt;"")),"manuell übersteuert; ","")&amp;IF(AND(BO780=0,Q780=0),"Gebinde unbekannt; ","")&amp;IF(AND(BO780=0,N(T780)&lt;=0,N(P780)&lt;=0),"Menge pro Gebinde fehlt (Ist = 1 Gebinde); ","")&amp;BJ780)</f>
        <v/>
      </c>
      <c r="BC780" s="53" t="n"/>
      <c r="BD780" s="53" t="n"/>
      <c r="BE780" s="61" t="n"/>
      <c r="BF780" s="55" t="n">
        <v>-4</v>
      </c>
      <c r="BG780" s="55" t="n">
        <v>58</v>
      </c>
      <c r="BH780" s="54" t="n">
        <v>-1.92</v>
      </c>
      <c r="BI780" s="55" t="n">
        <v>0</v>
      </c>
      <c r="BJ780" s="53" t="inlineStr"/>
      <c r="BK780" s="58" t="n">
        <v>0</v>
      </c>
      <c r="BL780" s="58" t="n">
        <v>780</v>
      </c>
      <c r="BM780" s="53">
        <f>IF(S780&lt;&gt;"",UPPER(TRIM(S780)),IF(O780="","LOSE",O780))</f>
        <v/>
      </c>
      <c r="BN780" s="55">
        <f>IF(BM780="LOSE",1,IF(N(T780)&gt;0,T780,IF(N(P780)&gt;0,P780,MAX(1,G780))))</f>
        <v/>
      </c>
      <c r="BO780" s="58">
        <f>IF(BM780="LOSE",1,0)</f>
        <v/>
      </c>
      <c r="BP780" s="64">
        <f>IF(BO780=0,0,IF(N(R780)&gt;0,R780,IFERROR(VLOOKUP(D780,Parameter!$A$35:$C$64,3,0)+0,0)))</f>
        <v/>
      </c>
      <c r="BQ780" s="53">
        <f>IF(V780&lt;&gt;"",V780,U780)</f>
        <v/>
      </c>
      <c r="BR780" s="53">
        <f>IF(BQ780=1,"L1",IF(OR(BQ780=2,BQ780=3),"L23",IF(BQ780="Aussen","Aussen","-")))</f>
        <v/>
      </c>
      <c r="BS780" s="66">
        <f>IF(N(W780)&gt;0,W780,0)</f>
        <v/>
      </c>
      <c r="BT780" s="58">
        <f>IF(ISNUMBER(Z780),1,0)</f>
        <v/>
      </c>
      <c r="BU780" s="55">
        <f>N(Z780)</f>
        <v/>
      </c>
      <c r="BV780" s="55">
        <f>N(L780)+N(M780)</f>
        <v/>
      </c>
      <c r="BW780" s="55">
        <f>ROUNDUP(G780/BN780,0)</f>
        <v/>
      </c>
      <c r="BX780" s="55">
        <f>ROUNDUP(BU780/BN780,0)</f>
        <v/>
      </c>
      <c r="BY780" s="58">
        <f>IF(BO780=1,0,IFERROR(VLOOKUP(BM780,'Gebinde-Kategorie'!$A$5:$G$45,5,0)+0,0))</f>
        <v/>
      </c>
      <c r="BZ780" s="58">
        <f>IFERROR(IF(OR(BQ780=1,BQ780=2,BQ780=3),N(INDEX(Parameter!$I$5:$I$7,BQ780)),0),0)</f>
        <v/>
      </c>
    </row>
    <row r="781">
      <c r="A781" s="53" t="inlineStr">
        <is>
          <t>OC-108305</t>
        </is>
      </c>
      <c r="B781" s="53" t="inlineStr">
        <is>
          <t>Ventilpanel SPGr 4 Block mDT Spezial</t>
        </is>
      </c>
      <c r="C781" s="53" t="inlineStr">
        <is>
          <t>F</t>
        </is>
      </c>
      <c r="D781" s="53" t="inlineStr">
        <is>
          <t>OCC</t>
        </is>
      </c>
      <c r="E781" s="53" t="inlineStr">
        <is>
          <t>C</t>
        </is>
      </c>
      <c r="F781" s="54" t="n">
        <v>1.93</v>
      </c>
      <c r="G781" s="55">
        <f>MAX(0,IF(Parameter!$B$20="Jahresanfang 2025 + Export",BG781+BF781,BF781))</f>
        <v/>
      </c>
      <c r="H781" s="55">
        <f>G781*F781</f>
        <v/>
      </c>
      <c r="I781" s="55">
        <f>BI781*Parameter!$B$18</f>
        <v/>
      </c>
      <c r="J781" s="56" t="n">
        <v>0.5</v>
      </c>
      <c r="K781" s="57" t="n">
        <v>2</v>
      </c>
      <c r="L781" s="55" t="n">
        <v>0</v>
      </c>
      <c r="M781" s="55" t="n">
        <v>1</v>
      </c>
      <c r="N781" s="58" t="n">
        <v>0</v>
      </c>
      <c r="O781" s="53" t="inlineStr">
        <is>
          <t>LOSE</t>
        </is>
      </c>
      <c r="P781" s="55" t="n"/>
      <c r="Q781" s="59">
        <f>IF(BO781=1,0,IFERROR(VLOOKUP(BM781,'Gebinde-Kategorie'!$A$5:$G$45,6,0)+0,0))</f>
        <v/>
      </c>
      <c r="R781" s="60" t="n"/>
      <c r="S781" s="61" t="n"/>
      <c r="T781" s="61" t="n"/>
      <c r="U781" s="53">
        <f>IF(A781="","",IF(IFERROR(VLOOKUP(D781,Parameter!$A$35:$C$64,2,0),"Nein")="2+3",IF(ISNUMBER(SEARCH("grosser Artikel",BJ781)),2,IFERROR(VLOOKUP(BM781,Parameter!$F$35:$G$64,2,0),2)),IF(OR(IFERROR(VLOOKUP(D781,Parameter!$A$35:$C$64,2,0),"Nein")="Nein",IFERROR(VLOOKUP(D781,Parameter!$A$35:$C$64,2,0),"Nein")=""),"-",VLOOKUP(D781,Parameter!$A$35:$C$64,2,0))))</f>
        <v/>
      </c>
      <c r="V781" s="61" t="n"/>
      <c r="W781" s="62" t="n"/>
      <c r="X781" s="55">
        <f>AM781</f>
        <v/>
      </c>
      <c r="Y781" s="55">
        <f>MAX(AM781,G781)</f>
        <v/>
      </c>
      <c r="Z781" s="63" t="n"/>
      <c r="AA781" s="55">
        <f>IF(LEFT(Cockpit!$C$5,1)="A",G781,IF(BT781=1,BU781,IF(LEFT(Cockpit!$C$5,1)="B",AE781,MAX(AE781,G781))))</f>
        <v/>
      </c>
      <c r="AB781" s="55">
        <f>IF(BO781=1,0,ROUNDUP(AA781/BN781,0))</f>
        <v/>
      </c>
      <c r="AC781" s="64">
        <f>IF(BO781=1,IF(AA781&lt;=0,0,BP781*MAX(1,IF(G781&gt;0,AA781/G781,1))),AB781*Q781)</f>
        <v/>
      </c>
      <c r="AD781" s="55">
        <f>AA781*F781</f>
        <v/>
      </c>
      <c r="AE781" s="55">
        <f>ROUNDUP(MAX(I781/IF(BS781&gt;0,BS781,MAX(0.1,N(Cockpit!$C$6))),BV781)/BN781,0)*BN781</f>
        <v/>
      </c>
      <c r="AF781" s="56">
        <f>IF(AC781&gt;0,I781/AC781,-1)</f>
        <v/>
      </c>
      <c r="AG781" s="56">
        <f>IF(AND(OR(BR781="L1",BR781="L23"),AC781&gt;0),SUMIFS($AC$7:$AC$1570,$BR$7:$BR$1570,BR781,$AF$7:$AF$1570,"&gt;"&amp;AF781)+SUMIFS($AC$7:$AC$1570,$BR$7:$BR$1570,BR781,$AF$7:$AF$1570,AF781,$BL$7:$BL$1570,"&lt;="&amp;BL781),"")</f>
        <v/>
      </c>
      <c r="AH781" s="65">
        <f>IF(AG781="",0,MAX(0,MIN(1,(IF(BR781="L1",Parameter!$K$5,Parameter!$K$6+Parameter!$K$7)-(AG781-AC781))/AC781)))</f>
        <v/>
      </c>
      <c r="AI781" s="55">
        <f>IF(LEFT(Cockpit!$I$5,1)="A",G781,IF(BT781=1,BU781,IF(LEFT(Cockpit!$I$5,1)="B",AM781,MAX(AM781,G781))))</f>
        <v/>
      </c>
      <c r="AJ781" s="55">
        <f>IF(BO781=1,0,ROUNDUP(AI781/BN781,0))</f>
        <v/>
      </c>
      <c r="AK781" s="64">
        <f>IF(BO781=1,IF(AI781&lt;=0,0,BP781*MAX(1,IF(G781&gt;0,AI781/G781,1))),AJ781*Q781)</f>
        <v/>
      </c>
      <c r="AL781" s="55">
        <f>AI781*F781</f>
        <v/>
      </c>
      <c r="AM781" s="55">
        <f>ROUNDUP(MAX(I781/IF(BS781&gt;0,BS781,MAX(0.1,N(Cockpit!$I$6))),BV781)/BN781,0)*BN781</f>
        <v/>
      </c>
      <c r="AN781" s="56">
        <f>IF(AK781&gt;0,I781/AK781,-1)</f>
        <v/>
      </c>
      <c r="AO781" s="56">
        <f>IF(AND(OR(BR781="L1",BR781="L23"),AK781&gt;0),SUMIFS($AK$7:$AK$1570,$BR$7:$BR$1570,BR781,$AN$7:$AN$1570,"&gt;"&amp;AN781)+SUMIFS($AK$7:$AK$1570,$BR$7:$BR$1570,BR781,$AN$7:$AN$1570,AN781,$BL$7:$BL$1570,"&lt;="&amp;BL781),"")</f>
        <v/>
      </c>
      <c r="AP781" s="65">
        <f>IF(AO781="",0,MAX(0,MIN(1,(IF(BR781="L1",Parameter!$K$5,Parameter!$K$6+Parameter!$K$7)-(AO781-AK781))/AK781)))</f>
        <v/>
      </c>
      <c r="AQ781" s="55">
        <f>IF(LEFT(Cockpit!$O$5,1)="A",G781,IF(BT781=1,BU781,IF(LEFT(Cockpit!$O$5,1)="B",AU781,MAX(AU781,G781))))</f>
        <v/>
      </c>
      <c r="AR781" s="55">
        <f>IF(BO781=1,0,ROUNDUP(AQ781/BN781,0))</f>
        <v/>
      </c>
      <c r="AS781" s="64">
        <f>IF(BO781=1,IF(AQ781&lt;=0,0,BP781*MAX(1,IF(G781&gt;0,AQ781/G781,1))),AR781*Q781)</f>
        <v/>
      </c>
      <c r="AT781" s="55">
        <f>AQ781*F781</f>
        <v/>
      </c>
      <c r="AU781" s="55">
        <f>ROUNDUP(MAX(I781/IF(BS781&gt;0,BS781,MAX(0.1,N(Cockpit!$O$6))),BV781)/BN781,0)*BN781</f>
        <v/>
      </c>
      <c r="AV781" s="56">
        <f>IF(AS781&gt;0,I781/AS781,-1)</f>
        <v/>
      </c>
      <c r="AW781" s="56">
        <f>IF(AND(OR(BR781="L1",BR781="L23"),AS781&gt;0),SUMIFS($AS$7:$AS$1570,$BR$7:$BR$1570,BR781,$AV$7:$AV$1570,"&gt;"&amp;AV781)+SUMIFS($AS$7:$AS$1570,$BR$7:$BR$1570,BR781,$AV$7:$AV$1570,AV781,$BL$7:$BL$1570,"&lt;="&amp;BL781),"")</f>
        <v/>
      </c>
      <c r="AX781" s="65">
        <f>IF(AW781="",0,MAX(0,MIN(1,(IF(BR781="L1",Parameter!$K$5,Parameter!$K$6+Parameter!$K$7)-(AW781-AS781))/AS781)))</f>
        <v/>
      </c>
      <c r="AY781" s="53">
        <f>IF(AC781&lt;=0,"",IF(BR781="Aussen","Aussenlager",IF(BR781="-","Nicht im Lift",IF(AH781&gt;=1,"Lift",IF(AH781&lt;=0,"Aussenlager","teilweise")))))</f>
        <v/>
      </c>
      <c r="AZ781" s="53">
        <f>IF(AK781&lt;=0,"",IF(BR781="Aussen","Aussenlager",IF(BR781="-","Nicht im Lift",IF(AP781&gt;=1,"Lift",IF(AP781&lt;=0,"Aussenlager","teilweise")))))</f>
        <v/>
      </c>
      <c r="BA781" s="53">
        <f>IF(AS781&lt;=0,"",IF(BR781="Aussen","Aussenlager",IF(BR781="-","Nicht im Lift",IF(AX781&gt;=1,"Lift",IF(AX781&lt;=0,"Aussenlager","teilweise")))))</f>
        <v/>
      </c>
      <c r="BB781" s="53">
        <f>IF(A781="","",IF(BK781=1,"Neu; ","")&amp;IF(AND(BK781=0,BF781&lt;0),"negativer Bestand (Export "&amp;BF781&amp;"); ","")&amp;IF(I781&lt;=0,"Kein Verbrauch; ","")&amp;IF(BO781=1,"Lose – Fläche geschätzt; ","")&amp;IF(G781&gt;AM781,"Überbestand "&amp;ROUND(G781-AM781,0)&amp;" Stk / CHF "&amp;ROUND((G781-AM781)*F781,0)&amp;"; ","")&amp;IF(AND(BT781=1,BU781&lt;BV781),"MAX &lt; MB+LG; ","")&amp;IF(AND(BZ781&gt;0,BY781*10&gt;BZ781),"zu hoch für Tablar; ","")&amp;IF(AND(BK781=0,OR(BT781=1,V781&lt;&gt;"",S781&lt;&gt;"",T781&lt;&gt;"",W781&lt;&gt;"")),"manuell übersteuert; ","")&amp;IF(AND(BO781=0,Q781=0),"Gebinde unbekannt; ","")&amp;IF(AND(BO781=0,N(T781)&lt;=0,N(P781)&lt;=0),"Menge pro Gebinde fehlt (Ist = 1 Gebinde); ","")&amp;BJ781)</f>
        <v/>
      </c>
      <c r="BC781" s="53" t="n"/>
      <c r="BD781" s="53" t="n"/>
      <c r="BE781" s="61" t="n"/>
      <c r="BF781" s="55" t="n">
        <v>-1</v>
      </c>
      <c r="BG781" s="55" t="n">
        <v>1</v>
      </c>
      <c r="BH781" s="54" t="n">
        <v>-1.93</v>
      </c>
      <c r="BI781" s="55" t="n">
        <v>1</v>
      </c>
      <c r="BJ781" s="53" t="inlineStr"/>
      <c r="BK781" s="58" t="n">
        <v>0</v>
      </c>
      <c r="BL781" s="58" t="n">
        <v>781</v>
      </c>
      <c r="BM781" s="53">
        <f>IF(S781&lt;&gt;"",UPPER(TRIM(S781)),IF(O781="","LOSE",O781))</f>
        <v/>
      </c>
      <c r="BN781" s="55">
        <f>IF(BM781="LOSE",1,IF(N(T781)&gt;0,T781,IF(N(P781)&gt;0,P781,MAX(1,G781))))</f>
        <v/>
      </c>
      <c r="BO781" s="58">
        <f>IF(BM781="LOSE",1,0)</f>
        <v/>
      </c>
      <c r="BP781" s="64">
        <f>IF(BO781=0,0,IF(N(R781)&gt;0,R781,IFERROR(VLOOKUP(D781,Parameter!$A$35:$C$64,3,0)+0,0)))</f>
        <v/>
      </c>
      <c r="BQ781" s="53">
        <f>IF(V781&lt;&gt;"",V781,U781)</f>
        <v/>
      </c>
      <c r="BR781" s="53">
        <f>IF(BQ781=1,"L1",IF(OR(BQ781=2,BQ781=3),"L23",IF(BQ781="Aussen","Aussen","-")))</f>
        <v/>
      </c>
      <c r="BS781" s="66">
        <f>IF(N(W781)&gt;0,W781,0)</f>
        <v/>
      </c>
      <c r="BT781" s="58">
        <f>IF(ISNUMBER(Z781),1,0)</f>
        <v/>
      </c>
      <c r="BU781" s="55">
        <f>N(Z781)</f>
        <v/>
      </c>
      <c r="BV781" s="55">
        <f>N(L781)+N(M781)</f>
        <v/>
      </c>
      <c r="BW781" s="55">
        <f>ROUNDUP(G781/BN781,0)</f>
        <v/>
      </c>
      <c r="BX781" s="55">
        <f>ROUNDUP(BU781/BN781,0)</f>
        <v/>
      </c>
      <c r="BY781" s="58">
        <f>IF(BO781=1,0,IFERROR(VLOOKUP(BM781,'Gebinde-Kategorie'!$A$5:$G$45,5,0)+0,0))</f>
        <v/>
      </c>
      <c r="BZ781" s="58">
        <f>IFERROR(IF(OR(BQ781=1,BQ781=2,BQ781=3),N(INDEX(Parameter!$I$5:$I$7,BQ781)),0),0)</f>
        <v/>
      </c>
    </row>
    <row r="782">
      <c r="A782" s="53" t="inlineStr">
        <is>
          <t>105400</t>
        </is>
      </c>
      <c r="B782" s="53" t="inlineStr">
        <is>
          <t>Sechskantmutter</t>
        </is>
      </c>
      <c r="C782" s="53" t="inlineStr">
        <is>
          <t>F</t>
        </is>
      </c>
      <c r="D782" s="53" t="inlineStr">
        <is>
          <t>KTL</t>
        </is>
      </c>
      <c r="E782" s="53" t="inlineStr">
        <is>
          <t>C</t>
        </is>
      </c>
      <c r="F782" s="54" t="n">
        <v>0.13</v>
      </c>
      <c r="G782" s="55">
        <f>MAX(0,IF(Parameter!$B$20="Jahresanfang 2025 + Export",BG782+BF782,BF782))</f>
        <v/>
      </c>
      <c r="H782" s="55">
        <f>G782*F782</f>
        <v/>
      </c>
      <c r="I782" s="55">
        <f>BI782*Parameter!$B$18</f>
        <v/>
      </c>
      <c r="J782" s="56" t="n">
        <v>912</v>
      </c>
      <c r="K782" s="57" t="n">
        <v>1.31140350877193</v>
      </c>
      <c r="L782" s="55" t="n">
        <v>70</v>
      </c>
      <c r="M782" s="55" t="n">
        <v>1300</v>
      </c>
      <c r="N782" s="58" t="n">
        <v>21</v>
      </c>
      <c r="O782" s="53" t="inlineStr">
        <is>
          <t>S62</t>
        </is>
      </c>
      <c r="P782" s="55" t="n">
        <v>469</v>
      </c>
      <c r="Q782" s="59">
        <f>IF(BO782=1,0,IFERROR(VLOOKUP(BM782,'Gebinde-Kategorie'!$A$5:$G$45,6,0)+0,0))</f>
        <v/>
      </c>
      <c r="R782" s="60" t="n"/>
      <c r="S782" s="61" t="n"/>
      <c r="T782" s="61" t="n"/>
      <c r="U782" s="53">
        <f>IF(A782="","",IF(IFERROR(VLOOKUP(D782,Parameter!$A$35:$C$64,2,0),"Nein")="2+3",IF(ISNUMBER(SEARCH("grosser Artikel",BJ782)),2,IFERROR(VLOOKUP(BM782,Parameter!$F$35:$G$64,2,0),2)),IF(OR(IFERROR(VLOOKUP(D782,Parameter!$A$35:$C$64,2,0),"Nein")="Nein",IFERROR(VLOOKUP(D782,Parameter!$A$35:$C$64,2,0),"Nein")=""),"-",VLOOKUP(D782,Parameter!$A$35:$C$64,2,0))))</f>
        <v/>
      </c>
      <c r="V782" s="61" t="n"/>
      <c r="W782" s="62" t="n"/>
      <c r="X782" s="55">
        <f>AM782</f>
        <v/>
      </c>
      <c r="Y782" s="55">
        <f>MAX(AM782,G782)</f>
        <v/>
      </c>
      <c r="Z782" s="63" t="n"/>
      <c r="AA782" s="55">
        <f>IF(LEFT(Cockpit!$C$5,1)="A",G782,IF(BT782=1,BU782,IF(LEFT(Cockpit!$C$5,1)="B",AE782,MAX(AE782,G782))))</f>
        <v/>
      </c>
      <c r="AB782" s="55">
        <f>IF(BO782=1,0,ROUNDUP(AA782/BN782,0))</f>
        <v/>
      </c>
      <c r="AC782" s="64">
        <f>IF(BO782=1,IF(AA782&lt;=0,0,BP782*MAX(1,IF(G782&gt;0,AA782/G782,1))),AB782*Q782)</f>
        <v/>
      </c>
      <c r="AD782" s="55">
        <f>AA782*F782</f>
        <v/>
      </c>
      <c r="AE782" s="55">
        <f>ROUNDUP(MAX(I782/IF(BS782&gt;0,BS782,MAX(0.1,N(Cockpit!$C$6))),BV782)/BN782,0)*BN782</f>
        <v/>
      </c>
      <c r="AF782" s="56">
        <f>IF(AC782&gt;0,I782/AC782,-1)</f>
        <v/>
      </c>
      <c r="AG782" s="56">
        <f>IF(AND(OR(BR782="L1",BR782="L23"),AC782&gt;0),SUMIFS($AC$7:$AC$1570,$BR$7:$BR$1570,BR782,$AF$7:$AF$1570,"&gt;"&amp;AF782)+SUMIFS($AC$7:$AC$1570,$BR$7:$BR$1570,BR782,$AF$7:$AF$1570,AF782,$BL$7:$BL$1570,"&lt;="&amp;BL782),"")</f>
        <v/>
      </c>
      <c r="AH782" s="65">
        <f>IF(AG782="",0,MAX(0,MIN(1,(IF(BR782="L1",Parameter!$K$5,Parameter!$K$6+Parameter!$K$7)-(AG782-AC782))/AC782)))</f>
        <v/>
      </c>
      <c r="AI782" s="55">
        <f>IF(LEFT(Cockpit!$I$5,1)="A",G782,IF(BT782=1,BU782,IF(LEFT(Cockpit!$I$5,1)="B",AM782,MAX(AM782,G782))))</f>
        <v/>
      </c>
      <c r="AJ782" s="55">
        <f>IF(BO782=1,0,ROUNDUP(AI782/BN782,0))</f>
        <v/>
      </c>
      <c r="AK782" s="64">
        <f>IF(BO782=1,IF(AI782&lt;=0,0,BP782*MAX(1,IF(G782&gt;0,AI782/G782,1))),AJ782*Q782)</f>
        <v/>
      </c>
      <c r="AL782" s="55">
        <f>AI782*F782</f>
        <v/>
      </c>
      <c r="AM782" s="55">
        <f>ROUNDUP(MAX(I782/IF(BS782&gt;0,BS782,MAX(0.1,N(Cockpit!$I$6))),BV782)/BN782,0)*BN782</f>
        <v/>
      </c>
      <c r="AN782" s="56">
        <f>IF(AK782&gt;0,I782/AK782,-1)</f>
        <v/>
      </c>
      <c r="AO782" s="56">
        <f>IF(AND(OR(BR782="L1",BR782="L23"),AK782&gt;0),SUMIFS($AK$7:$AK$1570,$BR$7:$BR$1570,BR782,$AN$7:$AN$1570,"&gt;"&amp;AN782)+SUMIFS($AK$7:$AK$1570,$BR$7:$BR$1570,BR782,$AN$7:$AN$1570,AN782,$BL$7:$BL$1570,"&lt;="&amp;BL782),"")</f>
        <v/>
      </c>
      <c r="AP782" s="65">
        <f>IF(AO782="",0,MAX(0,MIN(1,(IF(BR782="L1",Parameter!$K$5,Parameter!$K$6+Parameter!$K$7)-(AO782-AK782))/AK782)))</f>
        <v/>
      </c>
      <c r="AQ782" s="55">
        <f>IF(LEFT(Cockpit!$O$5,1)="A",G782,IF(BT782=1,BU782,IF(LEFT(Cockpit!$O$5,1)="B",AU782,MAX(AU782,G782))))</f>
        <v/>
      </c>
      <c r="AR782" s="55">
        <f>IF(BO782=1,0,ROUNDUP(AQ782/BN782,0))</f>
        <v/>
      </c>
      <c r="AS782" s="64">
        <f>IF(BO782=1,IF(AQ782&lt;=0,0,BP782*MAX(1,IF(G782&gt;0,AQ782/G782,1))),AR782*Q782)</f>
        <v/>
      </c>
      <c r="AT782" s="55">
        <f>AQ782*F782</f>
        <v/>
      </c>
      <c r="AU782" s="55">
        <f>ROUNDUP(MAX(I782/IF(BS782&gt;0,BS782,MAX(0.1,N(Cockpit!$O$6))),BV782)/BN782,0)*BN782</f>
        <v/>
      </c>
      <c r="AV782" s="56">
        <f>IF(AS782&gt;0,I782/AS782,-1)</f>
        <v/>
      </c>
      <c r="AW782" s="56">
        <f>IF(AND(OR(BR782="L1",BR782="L23"),AS782&gt;0),SUMIFS($AS$7:$AS$1570,$BR$7:$BR$1570,BR782,$AV$7:$AV$1570,"&gt;"&amp;AV782)+SUMIFS($AS$7:$AS$1570,$BR$7:$BR$1570,BR782,$AV$7:$AV$1570,AV782,$BL$7:$BL$1570,"&lt;="&amp;BL782),"")</f>
        <v/>
      </c>
      <c r="AX782" s="65">
        <f>IF(AW782="",0,MAX(0,MIN(1,(IF(BR782="L1",Parameter!$K$5,Parameter!$K$6+Parameter!$K$7)-(AW782-AS782))/AS782)))</f>
        <v/>
      </c>
      <c r="AY782" s="53">
        <f>IF(AC782&lt;=0,"",IF(BR782="Aussen","Aussenlager",IF(BR782="-","Nicht im Lift",IF(AH782&gt;=1,"Lift",IF(AH782&lt;=0,"Aussenlager","teilweise")))))</f>
        <v/>
      </c>
      <c r="AZ782" s="53">
        <f>IF(AK782&lt;=0,"",IF(BR782="Aussen","Aussenlager",IF(BR782="-","Nicht im Lift",IF(AP782&gt;=1,"Lift",IF(AP782&lt;=0,"Aussenlager","teilweise")))))</f>
        <v/>
      </c>
      <c r="BA782" s="53">
        <f>IF(AS782&lt;=0,"",IF(BR782="Aussen","Aussenlager",IF(BR782="-","Nicht im Lift",IF(AX782&gt;=1,"Lift",IF(AX782&lt;=0,"Aussenlager","teilweise")))))</f>
        <v/>
      </c>
      <c r="BB782" s="53">
        <f>IF(A782="","",IF(BK782=1,"Neu; ","")&amp;IF(AND(BK782=0,BF782&lt;0),"negativer Bestand (Export "&amp;BF782&amp;"); ","")&amp;IF(I782&lt;=0,"Kein Verbrauch; ","")&amp;IF(BO782=1,"Lose – Fläche geschätzt; ","")&amp;IF(G782&gt;AM782,"Überbestand "&amp;ROUND(G782-AM782,0)&amp;" Stk / CHF "&amp;ROUND((G782-AM782)*F782,0)&amp;"; ","")&amp;IF(AND(BT782=1,BU782&lt;BV782),"MAX &lt; MB+LG; ","")&amp;IF(AND(BZ782&gt;0,BY782*10&gt;BZ782),"zu hoch für Tablar; ","")&amp;IF(AND(BK782=0,OR(BT782=1,V782&lt;&gt;"",S782&lt;&gt;"",T782&lt;&gt;"",W782&lt;&gt;"")),"manuell übersteuert; ","")&amp;IF(AND(BO782=0,Q782=0),"Gebinde unbekannt; ","")&amp;IF(AND(BO782=0,N(T782)&lt;=0,N(P782)&lt;=0),"Menge pro Gebinde fehlt (Ist = 1 Gebinde); ","")&amp;BJ782)</f>
        <v/>
      </c>
      <c r="BC782" s="53" t="n"/>
      <c r="BD782" s="53" t="n"/>
      <c r="BE782" s="61" t="n"/>
      <c r="BF782" s="55" t="n">
        <v>-16</v>
      </c>
      <c r="BG782" s="55" t="n">
        <v>1018</v>
      </c>
      <c r="BH782" s="54" t="n">
        <v>-2.079999999999984</v>
      </c>
      <c r="BI782" s="55" t="n">
        <v>1196</v>
      </c>
      <c r="BJ782" s="53" t="inlineStr"/>
      <c r="BK782" s="58" t="n">
        <v>0</v>
      </c>
      <c r="BL782" s="58" t="n">
        <v>782</v>
      </c>
      <c r="BM782" s="53">
        <f>IF(S782&lt;&gt;"",UPPER(TRIM(S782)),IF(O782="","LOSE",O782))</f>
        <v/>
      </c>
      <c r="BN782" s="55">
        <f>IF(BM782="LOSE",1,IF(N(T782)&gt;0,T782,IF(N(P782)&gt;0,P782,MAX(1,G782))))</f>
        <v/>
      </c>
      <c r="BO782" s="58">
        <f>IF(BM782="LOSE",1,0)</f>
        <v/>
      </c>
      <c r="BP782" s="64">
        <f>IF(BO782=0,0,IF(N(R782)&gt;0,R782,IFERROR(VLOOKUP(D782,Parameter!$A$35:$C$64,3,0)+0,0)))</f>
        <v/>
      </c>
      <c r="BQ782" s="53">
        <f>IF(V782&lt;&gt;"",V782,U782)</f>
        <v/>
      </c>
      <c r="BR782" s="53">
        <f>IF(BQ782=1,"L1",IF(OR(BQ782=2,BQ782=3),"L23",IF(BQ782="Aussen","Aussen","-")))</f>
        <v/>
      </c>
      <c r="BS782" s="66">
        <f>IF(N(W782)&gt;0,W782,0)</f>
        <v/>
      </c>
      <c r="BT782" s="58">
        <f>IF(ISNUMBER(Z782),1,0)</f>
        <v/>
      </c>
      <c r="BU782" s="55">
        <f>N(Z782)</f>
        <v/>
      </c>
      <c r="BV782" s="55">
        <f>N(L782)+N(M782)</f>
        <v/>
      </c>
      <c r="BW782" s="55">
        <f>ROUNDUP(G782/BN782,0)</f>
        <v/>
      </c>
      <c r="BX782" s="55">
        <f>ROUNDUP(BU782/BN782,0)</f>
        <v/>
      </c>
      <c r="BY782" s="58">
        <f>IF(BO782=1,0,IFERROR(VLOOKUP(BM782,'Gebinde-Kategorie'!$A$5:$G$45,5,0)+0,0))</f>
        <v/>
      </c>
      <c r="BZ782" s="58">
        <f>IFERROR(IF(OR(BQ782=1,BQ782=2,BQ782=3),N(INDEX(Parameter!$I$5:$I$7,BQ782)),0),0)</f>
        <v/>
      </c>
    </row>
    <row r="783">
      <c r="A783" s="53" t="inlineStr">
        <is>
          <t>106139</t>
        </is>
      </c>
      <c r="B783" s="53" t="inlineStr">
        <is>
          <t>Kegelpfanne</t>
        </is>
      </c>
      <c r="C783" s="53" t="inlineStr">
        <is>
          <t>A</t>
        </is>
      </c>
      <c r="D783" s="53" t="inlineStr">
        <is>
          <t>KTL</t>
        </is>
      </c>
      <c r="E783" s="53" t="inlineStr">
        <is>
          <t>C</t>
        </is>
      </c>
      <c r="F783" s="54" t="n">
        <v>0.52</v>
      </c>
      <c r="G783" s="55">
        <f>MAX(0,IF(Parameter!$B$20="Jahresanfang 2025 + Export",BG783+BF783,BF783))</f>
        <v/>
      </c>
      <c r="H783" s="55">
        <f>G783*F783</f>
        <v/>
      </c>
      <c r="I783" s="55">
        <f>BI783*Parameter!$B$18</f>
        <v/>
      </c>
      <c r="J783" s="56" t="n">
        <v>47</v>
      </c>
      <c r="K783" s="57" t="n">
        <v>0</v>
      </c>
      <c r="L783" s="55" t="n">
        <v>0</v>
      </c>
      <c r="M783" s="55" t="n">
        <v>1</v>
      </c>
      <c r="N783" s="58" t="n">
        <v>14</v>
      </c>
      <c r="O783" s="53" t="inlineStr">
        <is>
          <t>S41</t>
        </is>
      </c>
      <c r="P783" s="55" t="n">
        <v>96</v>
      </c>
      <c r="Q783" s="59">
        <f>IF(BO783=1,0,IFERROR(VLOOKUP(BM783,'Gebinde-Kategorie'!$A$5:$G$45,6,0)+0,0))</f>
        <v/>
      </c>
      <c r="R783" s="60" t="n"/>
      <c r="S783" s="61" t="n"/>
      <c r="T783" s="61" t="n"/>
      <c r="U783" s="53">
        <f>IF(A783="","",IF(IFERROR(VLOOKUP(D783,Parameter!$A$35:$C$64,2,0),"Nein")="2+3",IF(ISNUMBER(SEARCH("grosser Artikel",BJ783)),2,IFERROR(VLOOKUP(BM783,Parameter!$F$35:$G$64,2,0),2)),IF(OR(IFERROR(VLOOKUP(D783,Parameter!$A$35:$C$64,2,0),"Nein")="Nein",IFERROR(VLOOKUP(D783,Parameter!$A$35:$C$64,2,0),"Nein")=""),"-",VLOOKUP(D783,Parameter!$A$35:$C$64,2,0))))</f>
        <v/>
      </c>
      <c r="V783" s="61" t="n"/>
      <c r="W783" s="62" t="n"/>
      <c r="X783" s="55">
        <f>AM783</f>
        <v/>
      </c>
      <c r="Y783" s="55">
        <f>MAX(AM783,G783)</f>
        <v/>
      </c>
      <c r="Z783" s="63" t="n"/>
      <c r="AA783" s="55">
        <f>IF(LEFT(Cockpit!$C$5,1)="A",G783,IF(BT783=1,BU783,IF(LEFT(Cockpit!$C$5,1)="B",AE783,MAX(AE783,G783))))</f>
        <v/>
      </c>
      <c r="AB783" s="55">
        <f>IF(BO783=1,0,ROUNDUP(AA783/BN783,0))</f>
        <v/>
      </c>
      <c r="AC783" s="64">
        <f>IF(BO783=1,IF(AA783&lt;=0,0,BP783*MAX(1,IF(G783&gt;0,AA783/G783,1))),AB783*Q783)</f>
        <v/>
      </c>
      <c r="AD783" s="55">
        <f>AA783*F783</f>
        <v/>
      </c>
      <c r="AE783" s="55">
        <f>ROUNDUP(MAX(I783/IF(BS783&gt;0,BS783,MAX(0.1,N(Cockpit!$C$6))),BV783)/BN783,0)*BN783</f>
        <v/>
      </c>
      <c r="AF783" s="56">
        <f>IF(AC783&gt;0,I783/AC783,-1)</f>
        <v/>
      </c>
      <c r="AG783" s="56">
        <f>IF(AND(OR(BR783="L1",BR783="L23"),AC783&gt;0),SUMIFS($AC$7:$AC$1570,$BR$7:$BR$1570,BR783,$AF$7:$AF$1570,"&gt;"&amp;AF783)+SUMIFS($AC$7:$AC$1570,$BR$7:$BR$1570,BR783,$AF$7:$AF$1570,AF783,$BL$7:$BL$1570,"&lt;="&amp;BL783),"")</f>
        <v/>
      </c>
      <c r="AH783" s="65">
        <f>IF(AG783="",0,MAX(0,MIN(1,(IF(BR783="L1",Parameter!$K$5,Parameter!$K$6+Parameter!$K$7)-(AG783-AC783))/AC783)))</f>
        <v/>
      </c>
      <c r="AI783" s="55">
        <f>IF(LEFT(Cockpit!$I$5,1)="A",G783,IF(BT783=1,BU783,IF(LEFT(Cockpit!$I$5,1)="B",AM783,MAX(AM783,G783))))</f>
        <v/>
      </c>
      <c r="AJ783" s="55">
        <f>IF(BO783=1,0,ROUNDUP(AI783/BN783,0))</f>
        <v/>
      </c>
      <c r="AK783" s="64">
        <f>IF(BO783=1,IF(AI783&lt;=0,0,BP783*MAX(1,IF(G783&gt;0,AI783/G783,1))),AJ783*Q783)</f>
        <v/>
      </c>
      <c r="AL783" s="55">
        <f>AI783*F783</f>
        <v/>
      </c>
      <c r="AM783" s="55">
        <f>ROUNDUP(MAX(I783/IF(BS783&gt;0,BS783,MAX(0.1,N(Cockpit!$I$6))),BV783)/BN783,0)*BN783</f>
        <v/>
      </c>
      <c r="AN783" s="56">
        <f>IF(AK783&gt;0,I783/AK783,-1)</f>
        <v/>
      </c>
      <c r="AO783" s="56">
        <f>IF(AND(OR(BR783="L1",BR783="L23"),AK783&gt;0),SUMIFS($AK$7:$AK$1570,$BR$7:$BR$1570,BR783,$AN$7:$AN$1570,"&gt;"&amp;AN783)+SUMIFS($AK$7:$AK$1570,$BR$7:$BR$1570,BR783,$AN$7:$AN$1570,AN783,$BL$7:$BL$1570,"&lt;="&amp;BL783),"")</f>
        <v/>
      </c>
      <c r="AP783" s="65">
        <f>IF(AO783="",0,MAX(0,MIN(1,(IF(BR783="L1",Parameter!$K$5,Parameter!$K$6+Parameter!$K$7)-(AO783-AK783))/AK783)))</f>
        <v/>
      </c>
      <c r="AQ783" s="55">
        <f>IF(LEFT(Cockpit!$O$5,1)="A",G783,IF(BT783=1,BU783,IF(LEFT(Cockpit!$O$5,1)="B",AU783,MAX(AU783,G783))))</f>
        <v/>
      </c>
      <c r="AR783" s="55">
        <f>IF(BO783=1,0,ROUNDUP(AQ783/BN783,0))</f>
        <v/>
      </c>
      <c r="AS783" s="64">
        <f>IF(BO783=1,IF(AQ783&lt;=0,0,BP783*MAX(1,IF(G783&gt;0,AQ783/G783,1))),AR783*Q783)</f>
        <v/>
      </c>
      <c r="AT783" s="55">
        <f>AQ783*F783</f>
        <v/>
      </c>
      <c r="AU783" s="55">
        <f>ROUNDUP(MAX(I783/IF(BS783&gt;0,BS783,MAX(0.1,N(Cockpit!$O$6))),BV783)/BN783,0)*BN783</f>
        <v/>
      </c>
      <c r="AV783" s="56">
        <f>IF(AS783&gt;0,I783/AS783,-1)</f>
        <v/>
      </c>
      <c r="AW783" s="56">
        <f>IF(AND(OR(BR783="L1",BR783="L23"),AS783&gt;0),SUMIFS($AS$7:$AS$1570,$BR$7:$BR$1570,BR783,$AV$7:$AV$1570,"&gt;"&amp;AV783)+SUMIFS($AS$7:$AS$1570,$BR$7:$BR$1570,BR783,$AV$7:$AV$1570,AV783,$BL$7:$BL$1570,"&lt;="&amp;BL783),"")</f>
        <v/>
      </c>
      <c r="AX783" s="65">
        <f>IF(AW783="",0,MAX(0,MIN(1,(IF(BR783="L1",Parameter!$K$5,Parameter!$K$6+Parameter!$K$7)-(AW783-AS783))/AS783)))</f>
        <v/>
      </c>
      <c r="AY783" s="53">
        <f>IF(AC783&lt;=0,"",IF(BR783="Aussen","Aussenlager",IF(BR783="-","Nicht im Lift",IF(AH783&gt;=1,"Lift",IF(AH783&lt;=0,"Aussenlager","teilweise")))))</f>
        <v/>
      </c>
      <c r="AZ783" s="53">
        <f>IF(AK783&lt;=0,"",IF(BR783="Aussen","Aussenlager",IF(BR783="-","Nicht im Lift",IF(AP783&gt;=1,"Lift",IF(AP783&lt;=0,"Aussenlager","teilweise")))))</f>
        <v/>
      </c>
      <c r="BA783" s="53">
        <f>IF(AS783&lt;=0,"",IF(BR783="Aussen","Aussenlager",IF(BR783="-","Nicht im Lift",IF(AX783&gt;=1,"Lift",IF(AX783&lt;=0,"Aussenlager","teilweise")))))</f>
        <v/>
      </c>
      <c r="BB783" s="53">
        <f>IF(A783="","",IF(BK783=1,"Neu; ","")&amp;IF(AND(BK783=0,BF783&lt;0),"negativer Bestand (Export "&amp;BF783&amp;"); ","")&amp;IF(I783&lt;=0,"Kein Verbrauch; ","")&amp;IF(BO783=1,"Lose – Fläche geschätzt; ","")&amp;IF(G783&gt;AM783,"Überbestand "&amp;ROUND(G783-AM783,0)&amp;" Stk / CHF "&amp;ROUND((G783-AM783)*F783,0)&amp;"; ","")&amp;IF(AND(BT783=1,BU783&lt;BV783),"MAX &lt; MB+LG; ","")&amp;IF(AND(BZ783&gt;0,BY783*10&gt;BZ783),"zu hoch für Tablar; ","")&amp;IF(AND(BK783=0,OR(BT783=1,V783&lt;&gt;"",S783&lt;&gt;"",T783&lt;&gt;"",W783&lt;&gt;"")),"manuell übersteuert; ","")&amp;IF(AND(BO783=0,Q783=0),"Gebinde unbekannt; ","")&amp;IF(AND(BO783=0,N(T783)&lt;=0,N(P783)&lt;=0),"Menge pro Gebinde fehlt (Ist = 1 Gebinde); ","")&amp;BJ783)</f>
        <v/>
      </c>
      <c r="BC783" s="53" t="n"/>
      <c r="BD783" s="53" t="n"/>
      <c r="BE783" s="61" t="n"/>
      <c r="BF783" s="55" t="n">
        <v>-4</v>
      </c>
      <c r="BG783" s="55" t="n">
        <v>49</v>
      </c>
      <c r="BH783" s="54" t="n">
        <v>-2.08</v>
      </c>
      <c r="BI783" s="55" t="n">
        <v>0</v>
      </c>
      <c r="BJ783" s="53" t="inlineStr"/>
      <c r="BK783" s="58" t="n">
        <v>0</v>
      </c>
      <c r="BL783" s="58" t="n">
        <v>783</v>
      </c>
      <c r="BM783" s="53">
        <f>IF(S783&lt;&gt;"",UPPER(TRIM(S783)),IF(O783="","LOSE",O783))</f>
        <v/>
      </c>
      <c r="BN783" s="55">
        <f>IF(BM783="LOSE",1,IF(N(T783)&gt;0,T783,IF(N(P783)&gt;0,P783,MAX(1,G783))))</f>
        <v/>
      </c>
      <c r="BO783" s="58">
        <f>IF(BM783="LOSE",1,0)</f>
        <v/>
      </c>
      <c r="BP783" s="64">
        <f>IF(BO783=0,0,IF(N(R783)&gt;0,R783,IFERROR(VLOOKUP(D783,Parameter!$A$35:$C$64,3,0)+0,0)))</f>
        <v/>
      </c>
      <c r="BQ783" s="53">
        <f>IF(V783&lt;&gt;"",V783,U783)</f>
        <v/>
      </c>
      <c r="BR783" s="53">
        <f>IF(BQ783=1,"L1",IF(OR(BQ783=2,BQ783=3),"L23",IF(BQ783="Aussen","Aussen","-")))</f>
        <v/>
      </c>
      <c r="BS783" s="66">
        <f>IF(N(W783)&gt;0,W783,0)</f>
        <v/>
      </c>
      <c r="BT783" s="58">
        <f>IF(ISNUMBER(Z783),1,0)</f>
        <v/>
      </c>
      <c r="BU783" s="55">
        <f>N(Z783)</f>
        <v/>
      </c>
      <c r="BV783" s="55">
        <f>N(L783)+N(M783)</f>
        <v/>
      </c>
      <c r="BW783" s="55">
        <f>ROUNDUP(G783/BN783,0)</f>
        <v/>
      </c>
      <c r="BX783" s="55">
        <f>ROUNDUP(BU783/BN783,0)</f>
        <v/>
      </c>
      <c r="BY783" s="58">
        <f>IF(BO783=1,0,IFERROR(VLOOKUP(BM783,'Gebinde-Kategorie'!$A$5:$G$45,5,0)+0,0))</f>
        <v/>
      </c>
      <c r="BZ783" s="58">
        <f>IFERROR(IF(OR(BQ783=1,BQ783=2,BQ783=3),N(INDEX(Parameter!$I$5:$I$7,BQ783)),0),0)</f>
        <v/>
      </c>
    </row>
    <row r="784">
      <c r="A784" s="53" t="inlineStr">
        <is>
          <t>005142</t>
        </is>
      </c>
      <c r="B784" s="53" t="inlineStr">
        <is>
          <t>Gerätesicherung</t>
        </is>
      </c>
      <c r="C784" s="53" t="inlineStr">
        <is>
          <t>F</t>
        </is>
      </c>
      <c r="D784" s="53" t="inlineStr">
        <is>
          <t>KTL</t>
        </is>
      </c>
      <c r="E784" s="53" t="inlineStr">
        <is>
          <t>C</t>
        </is>
      </c>
      <c r="F784" s="54" t="n">
        <v>0.45</v>
      </c>
      <c r="G784" s="55">
        <f>MAX(0,IF(Parameter!$B$20="Jahresanfang 2025 + Export",BG784+BF784,BF784))</f>
        <v/>
      </c>
      <c r="H784" s="55">
        <f>G784*F784</f>
        <v/>
      </c>
      <c r="I784" s="55">
        <f>BI784*Parameter!$B$18</f>
        <v/>
      </c>
      <c r="J784" s="56" t="n">
        <v>53</v>
      </c>
      <c r="K784" s="57" t="n">
        <v>0</v>
      </c>
      <c r="L784" s="55" t="n">
        <v>0</v>
      </c>
      <c r="M784" s="55" t="n">
        <v>1</v>
      </c>
      <c r="N784" s="58" t="n">
        <v>49</v>
      </c>
      <c r="O784" s="53" t="inlineStr">
        <is>
          <t>S21</t>
        </is>
      </c>
      <c r="P784" s="55" t="n">
        <v>56</v>
      </c>
      <c r="Q784" s="59">
        <f>IF(BO784=1,0,IFERROR(VLOOKUP(BM784,'Gebinde-Kategorie'!$A$5:$G$45,6,0)+0,0))</f>
        <v/>
      </c>
      <c r="R784" s="60" t="n"/>
      <c r="S784" s="61" t="n"/>
      <c r="T784" s="61" t="n"/>
      <c r="U784" s="53">
        <f>IF(A784="","",IF(IFERROR(VLOOKUP(D784,Parameter!$A$35:$C$64,2,0),"Nein")="2+3",IF(ISNUMBER(SEARCH("grosser Artikel",BJ784)),2,IFERROR(VLOOKUP(BM784,Parameter!$F$35:$G$64,2,0),2)),IF(OR(IFERROR(VLOOKUP(D784,Parameter!$A$35:$C$64,2,0),"Nein")="Nein",IFERROR(VLOOKUP(D784,Parameter!$A$35:$C$64,2,0),"Nein")=""),"-",VLOOKUP(D784,Parameter!$A$35:$C$64,2,0))))</f>
        <v/>
      </c>
      <c r="V784" s="61" t="n"/>
      <c r="W784" s="62" t="n"/>
      <c r="X784" s="55">
        <f>AM784</f>
        <v/>
      </c>
      <c r="Y784" s="55">
        <f>MAX(AM784,G784)</f>
        <v/>
      </c>
      <c r="Z784" s="63" t="n"/>
      <c r="AA784" s="55">
        <f>IF(LEFT(Cockpit!$C$5,1)="A",G784,IF(BT784=1,BU784,IF(LEFT(Cockpit!$C$5,1)="B",AE784,MAX(AE784,G784))))</f>
        <v/>
      </c>
      <c r="AB784" s="55">
        <f>IF(BO784=1,0,ROUNDUP(AA784/BN784,0))</f>
        <v/>
      </c>
      <c r="AC784" s="64">
        <f>IF(BO784=1,IF(AA784&lt;=0,0,BP784*MAX(1,IF(G784&gt;0,AA784/G784,1))),AB784*Q784)</f>
        <v/>
      </c>
      <c r="AD784" s="55">
        <f>AA784*F784</f>
        <v/>
      </c>
      <c r="AE784" s="55">
        <f>ROUNDUP(MAX(I784/IF(BS784&gt;0,BS784,MAX(0.1,N(Cockpit!$C$6))),BV784)/BN784,0)*BN784</f>
        <v/>
      </c>
      <c r="AF784" s="56">
        <f>IF(AC784&gt;0,I784/AC784,-1)</f>
        <v/>
      </c>
      <c r="AG784" s="56">
        <f>IF(AND(OR(BR784="L1",BR784="L23"),AC784&gt;0),SUMIFS($AC$7:$AC$1570,$BR$7:$BR$1570,BR784,$AF$7:$AF$1570,"&gt;"&amp;AF784)+SUMIFS($AC$7:$AC$1570,$BR$7:$BR$1570,BR784,$AF$7:$AF$1570,AF784,$BL$7:$BL$1570,"&lt;="&amp;BL784),"")</f>
        <v/>
      </c>
      <c r="AH784" s="65">
        <f>IF(AG784="",0,MAX(0,MIN(1,(IF(BR784="L1",Parameter!$K$5,Parameter!$K$6+Parameter!$K$7)-(AG784-AC784))/AC784)))</f>
        <v/>
      </c>
      <c r="AI784" s="55">
        <f>IF(LEFT(Cockpit!$I$5,1)="A",G784,IF(BT784=1,BU784,IF(LEFT(Cockpit!$I$5,1)="B",AM784,MAX(AM784,G784))))</f>
        <v/>
      </c>
      <c r="AJ784" s="55">
        <f>IF(BO784=1,0,ROUNDUP(AI784/BN784,0))</f>
        <v/>
      </c>
      <c r="AK784" s="64">
        <f>IF(BO784=1,IF(AI784&lt;=0,0,BP784*MAX(1,IF(G784&gt;0,AI784/G784,1))),AJ784*Q784)</f>
        <v/>
      </c>
      <c r="AL784" s="55">
        <f>AI784*F784</f>
        <v/>
      </c>
      <c r="AM784" s="55">
        <f>ROUNDUP(MAX(I784/IF(BS784&gt;0,BS784,MAX(0.1,N(Cockpit!$I$6))),BV784)/BN784,0)*BN784</f>
        <v/>
      </c>
      <c r="AN784" s="56">
        <f>IF(AK784&gt;0,I784/AK784,-1)</f>
        <v/>
      </c>
      <c r="AO784" s="56">
        <f>IF(AND(OR(BR784="L1",BR784="L23"),AK784&gt;0),SUMIFS($AK$7:$AK$1570,$BR$7:$BR$1570,BR784,$AN$7:$AN$1570,"&gt;"&amp;AN784)+SUMIFS($AK$7:$AK$1570,$BR$7:$BR$1570,BR784,$AN$7:$AN$1570,AN784,$BL$7:$BL$1570,"&lt;="&amp;BL784),"")</f>
        <v/>
      </c>
      <c r="AP784" s="65">
        <f>IF(AO784="",0,MAX(0,MIN(1,(IF(BR784="L1",Parameter!$K$5,Parameter!$K$6+Parameter!$K$7)-(AO784-AK784))/AK784)))</f>
        <v/>
      </c>
      <c r="AQ784" s="55">
        <f>IF(LEFT(Cockpit!$O$5,1)="A",G784,IF(BT784=1,BU784,IF(LEFT(Cockpit!$O$5,1)="B",AU784,MAX(AU784,G784))))</f>
        <v/>
      </c>
      <c r="AR784" s="55">
        <f>IF(BO784=1,0,ROUNDUP(AQ784/BN784,0))</f>
        <v/>
      </c>
      <c r="AS784" s="64">
        <f>IF(BO784=1,IF(AQ784&lt;=0,0,BP784*MAX(1,IF(G784&gt;0,AQ784/G784,1))),AR784*Q784)</f>
        <v/>
      </c>
      <c r="AT784" s="55">
        <f>AQ784*F784</f>
        <v/>
      </c>
      <c r="AU784" s="55">
        <f>ROUNDUP(MAX(I784/IF(BS784&gt;0,BS784,MAX(0.1,N(Cockpit!$O$6))),BV784)/BN784,0)*BN784</f>
        <v/>
      </c>
      <c r="AV784" s="56">
        <f>IF(AS784&gt;0,I784/AS784,-1)</f>
        <v/>
      </c>
      <c r="AW784" s="56">
        <f>IF(AND(OR(BR784="L1",BR784="L23"),AS784&gt;0),SUMIFS($AS$7:$AS$1570,$BR$7:$BR$1570,BR784,$AV$7:$AV$1570,"&gt;"&amp;AV784)+SUMIFS($AS$7:$AS$1570,$BR$7:$BR$1570,BR784,$AV$7:$AV$1570,AV784,$BL$7:$BL$1570,"&lt;="&amp;BL784),"")</f>
        <v/>
      </c>
      <c r="AX784" s="65">
        <f>IF(AW784="",0,MAX(0,MIN(1,(IF(BR784="L1",Parameter!$K$5,Parameter!$K$6+Parameter!$K$7)-(AW784-AS784))/AS784)))</f>
        <v/>
      </c>
      <c r="AY784" s="53">
        <f>IF(AC784&lt;=0,"",IF(BR784="Aussen","Aussenlager",IF(BR784="-","Nicht im Lift",IF(AH784&gt;=1,"Lift",IF(AH784&lt;=0,"Aussenlager","teilweise")))))</f>
        <v/>
      </c>
      <c r="AZ784" s="53">
        <f>IF(AK784&lt;=0,"",IF(BR784="Aussen","Aussenlager",IF(BR784="-","Nicht im Lift",IF(AP784&gt;=1,"Lift",IF(AP784&lt;=0,"Aussenlager","teilweise")))))</f>
        <v/>
      </c>
      <c r="BA784" s="53">
        <f>IF(AS784&lt;=0,"",IF(BR784="Aussen","Aussenlager",IF(BR784="-","Nicht im Lift",IF(AX784&gt;=1,"Lift",IF(AX784&lt;=0,"Aussenlager","teilweise")))))</f>
        <v/>
      </c>
      <c r="BB784" s="53">
        <f>IF(A784="","",IF(BK784=1,"Neu; ","")&amp;IF(AND(BK784=0,BF784&lt;0),"negativer Bestand (Export "&amp;BF784&amp;"); ","")&amp;IF(I784&lt;=0,"Kein Verbrauch; ","")&amp;IF(BO784=1,"Lose – Fläche geschätzt; ","")&amp;IF(G784&gt;AM784,"Überbestand "&amp;ROUND(G784-AM784,0)&amp;" Stk / CHF "&amp;ROUND((G784-AM784)*F784,0)&amp;"; ","")&amp;IF(AND(BT784=1,BU784&lt;BV784),"MAX &lt; MB+LG; ","")&amp;IF(AND(BZ784&gt;0,BY784*10&gt;BZ784),"zu hoch für Tablar; ","")&amp;IF(AND(BK784=0,OR(BT784=1,V784&lt;&gt;"",S784&lt;&gt;"",T784&lt;&gt;"",W784&lt;&gt;"")),"manuell übersteuert; ","")&amp;IF(AND(BO784=0,Q784=0),"Gebinde unbekannt; ","")&amp;IF(AND(BO784=0,N(T784)&lt;=0,N(P784)&lt;=0),"Menge pro Gebinde fehlt (Ist = 1 Gebinde); ","")&amp;BJ784)</f>
        <v/>
      </c>
      <c r="BC784" s="53" t="n"/>
      <c r="BD784" s="53" t="n"/>
      <c r="BE784" s="61" t="n"/>
      <c r="BF784" s="55" t="n">
        <v>-5</v>
      </c>
      <c r="BG784" s="55" t="n">
        <v>50</v>
      </c>
      <c r="BH784" s="54" t="n">
        <v>-2.25</v>
      </c>
      <c r="BI784" s="55" t="n">
        <v>0</v>
      </c>
      <c r="BJ784" s="53" t="inlineStr"/>
      <c r="BK784" s="58" t="n">
        <v>0</v>
      </c>
      <c r="BL784" s="58" t="n">
        <v>784</v>
      </c>
      <c r="BM784" s="53">
        <f>IF(S784&lt;&gt;"",UPPER(TRIM(S784)),IF(O784="","LOSE",O784))</f>
        <v/>
      </c>
      <c r="BN784" s="55">
        <f>IF(BM784="LOSE",1,IF(N(T784)&gt;0,T784,IF(N(P784)&gt;0,P784,MAX(1,G784))))</f>
        <v/>
      </c>
      <c r="BO784" s="58">
        <f>IF(BM784="LOSE",1,0)</f>
        <v/>
      </c>
      <c r="BP784" s="64">
        <f>IF(BO784=0,0,IF(N(R784)&gt;0,R784,IFERROR(VLOOKUP(D784,Parameter!$A$35:$C$64,3,0)+0,0)))</f>
        <v/>
      </c>
      <c r="BQ784" s="53">
        <f>IF(V784&lt;&gt;"",V784,U784)</f>
        <v/>
      </c>
      <c r="BR784" s="53">
        <f>IF(BQ784=1,"L1",IF(OR(BQ784=2,BQ784=3),"L23",IF(BQ784="Aussen","Aussen","-")))</f>
        <v/>
      </c>
      <c r="BS784" s="66">
        <f>IF(N(W784)&gt;0,W784,0)</f>
        <v/>
      </c>
      <c r="BT784" s="58">
        <f>IF(ISNUMBER(Z784),1,0)</f>
        <v/>
      </c>
      <c r="BU784" s="55">
        <f>N(Z784)</f>
        <v/>
      </c>
      <c r="BV784" s="55">
        <f>N(L784)+N(M784)</f>
        <v/>
      </c>
      <c r="BW784" s="55">
        <f>ROUNDUP(G784/BN784,0)</f>
        <v/>
      </c>
      <c r="BX784" s="55">
        <f>ROUNDUP(BU784/BN784,0)</f>
        <v/>
      </c>
      <c r="BY784" s="58">
        <f>IF(BO784=1,0,IFERROR(VLOOKUP(BM784,'Gebinde-Kategorie'!$A$5:$G$45,5,0)+0,0))</f>
        <v/>
      </c>
      <c r="BZ784" s="58">
        <f>IFERROR(IF(OR(BQ784=1,BQ784=2,BQ784=3),N(INDEX(Parameter!$I$5:$I$7,BQ784)),0),0)</f>
        <v/>
      </c>
    </row>
    <row r="785">
      <c r="A785" s="53" t="inlineStr">
        <is>
          <t>105866</t>
        </is>
      </c>
      <c r="B785" s="53" t="inlineStr">
        <is>
          <t>Gewindestift</t>
        </is>
      </c>
      <c r="C785" s="53" t="inlineStr">
        <is>
          <t>F</t>
        </is>
      </c>
      <c r="D785" s="53" t="inlineStr">
        <is>
          <t>KTL</t>
        </is>
      </c>
      <c r="E785" s="53" t="inlineStr">
        <is>
          <t>C</t>
        </is>
      </c>
      <c r="F785" s="54" t="n">
        <v>0.17</v>
      </c>
      <c r="G785" s="55">
        <f>MAX(0,IF(Parameter!$B$20="Jahresanfang 2025 + Export",BG785+BF785,BF785))</f>
        <v/>
      </c>
      <c r="H785" s="55">
        <f>G785*F785</f>
        <v/>
      </c>
      <c r="I785" s="55">
        <f>BI785*Parameter!$B$18</f>
        <v/>
      </c>
      <c r="J785" s="56" t="n">
        <v>497.5</v>
      </c>
      <c r="K785" s="57" t="n">
        <v>0.01608040201005025</v>
      </c>
      <c r="L785" s="55" t="n">
        <v>0</v>
      </c>
      <c r="M785" s="55" t="n">
        <v>10</v>
      </c>
      <c r="N785" s="58" t="n">
        <v>21</v>
      </c>
      <c r="O785" s="53" t="inlineStr">
        <is>
          <t>S33</t>
        </is>
      </c>
      <c r="P785" s="55" t="n">
        <v>205</v>
      </c>
      <c r="Q785" s="59">
        <f>IF(BO785=1,0,IFERROR(VLOOKUP(BM785,'Gebinde-Kategorie'!$A$5:$G$45,6,0)+0,0))</f>
        <v/>
      </c>
      <c r="R785" s="60" t="n"/>
      <c r="S785" s="61" t="n"/>
      <c r="T785" s="61" t="n"/>
      <c r="U785" s="53">
        <f>IF(A785="","",IF(IFERROR(VLOOKUP(D785,Parameter!$A$35:$C$64,2,0),"Nein")="2+3",IF(ISNUMBER(SEARCH("grosser Artikel",BJ785)),2,IFERROR(VLOOKUP(BM785,Parameter!$F$35:$G$64,2,0),2)),IF(OR(IFERROR(VLOOKUP(D785,Parameter!$A$35:$C$64,2,0),"Nein")="Nein",IFERROR(VLOOKUP(D785,Parameter!$A$35:$C$64,2,0),"Nein")=""),"-",VLOOKUP(D785,Parameter!$A$35:$C$64,2,0))))</f>
        <v/>
      </c>
      <c r="V785" s="61" t="n"/>
      <c r="W785" s="62" t="n"/>
      <c r="X785" s="55">
        <f>AM785</f>
        <v/>
      </c>
      <c r="Y785" s="55">
        <f>MAX(AM785,G785)</f>
        <v/>
      </c>
      <c r="Z785" s="63" t="n"/>
      <c r="AA785" s="55">
        <f>IF(LEFT(Cockpit!$C$5,1)="A",G785,IF(BT785=1,BU785,IF(LEFT(Cockpit!$C$5,1)="B",AE785,MAX(AE785,G785))))</f>
        <v/>
      </c>
      <c r="AB785" s="55">
        <f>IF(BO785=1,0,ROUNDUP(AA785/BN785,0))</f>
        <v/>
      </c>
      <c r="AC785" s="64">
        <f>IF(BO785=1,IF(AA785&lt;=0,0,BP785*MAX(1,IF(G785&gt;0,AA785/G785,1))),AB785*Q785)</f>
        <v/>
      </c>
      <c r="AD785" s="55">
        <f>AA785*F785</f>
        <v/>
      </c>
      <c r="AE785" s="55">
        <f>ROUNDUP(MAX(I785/IF(BS785&gt;0,BS785,MAX(0.1,N(Cockpit!$C$6))),BV785)/BN785,0)*BN785</f>
        <v/>
      </c>
      <c r="AF785" s="56">
        <f>IF(AC785&gt;0,I785/AC785,-1)</f>
        <v/>
      </c>
      <c r="AG785" s="56">
        <f>IF(AND(OR(BR785="L1",BR785="L23"),AC785&gt;0),SUMIFS($AC$7:$AC$1570,$BR$7:$BR$1570,BR785,$AF$7:$AF$1570,"&gt;"&amp;AF785)+SUMIFS($AC$7:$AC$1570,$BR$7:$BR$1570,BR785,$AF$7:$AF$1570,AF785,$BL$7:$BL$1570,"&lt;="&amp;BL785),"")</f>
        <v/>
      </c>
      <c r="AH785" s="65">
        <f>IF(AG785="",0,MAX(0,MIN(1,(IF(BR785="L1",Parameter!$K$5,Parameter!$K$6+Parameter!$K$7)-(AG785-AC785))/AC785)))</f>
        <v/>
      </c>
      <c r="AI785" s="55">
        <f>IF(LEFT(Cockpit!$I$5,1)="A",G785,IF(BT785=1,BU785,IF(LEFT(Cockpit!$I$5,1)="B",AM785,MAX(AM785,G785))))</f>
        <v/>
      </c>
      <c r="AJ785" s="55">
        <f>IF(BO785=1,0,ROUNDUP(AI785/BN785,0))</f>
        <v/>
      </c>
      <c r="AK785" s="64">
        <f>IF(BO785=1,IF(AI785&lt;=0,0,BP785*MAX(1,IF(G785&gt;0,AI785/G785,1))),AJ785*Q785)</f>
        <v/>
      </c>
      <c r="AL785" s="55">
        <f>AI785*F785</f>
        <v/>
      </c>
      <c r="AM785" s="55">
        <f>ROUNDUP(MAX(I785/IF(BS785&gt;0,BS785,MAX(0.1,N(Cockpit!$I$6))),BV785)/BN785,0)*BN785</f>
        <v/>
      </c>
      <c r="AN785" s="56">
        <f>IF(AK785&gt;0,I785/AK785,-1)</f>
        <v/>
      </c>
      <c r="AO785" s="56">
        <f>IF(AND(OR(BR785="L1",BR785="L23"),AK785&gt;0),SUMIFS($AK$7:$AK$1570,$BR$7:$BR$1570,BR785,$AN$7:$AN$1570,"&gt;"&amp;AN785)+SUMIFS($AK$7:$AK$1570,$BR$7:$BR$1570,BR785,$AN$7:$AN$1570,AN785,$BL$7:$BL$1570,"&lt;="&amp;BL785),"")</f>
        <v/>
      </c>
      <c r="AP785" s="65">
        <f>IF(AO785="",0,MAX(0,MIN(1,(IF(BR785="L1",Parameter!$K$5,Parameter!$K$6+Parameter!$K$7)-(AO785-AK785))/AK785)))</f>
        <v/>
      </c>
      <c r="AQ785" s="55">
        <f>IF(LEFT(Cockpit!$O$5,1)="A",G785,IF(BT785=1,BU785,IF(LEFT(Cockpit!$O$5,1)="B",AU785,MAX(AU785,G785))))</f>
        <v/>
      </c>
      <c r="AR785" s="55">
        <f>IF(BO785=1,0,ROUNDUP(AQ785/BN785,0))</f>
        <v/>
      </c>
      <c r="AS785" s="64">
        <f>IF(BO785=1,IF(AQ785&lt;=0,0,BP785*MAX(1,IF(G785&gt;0,AQ785/G785,1))),AR785*Q785)</f>
        <v/>
      </c>
      <c r="AT785" s="55">
        <f>AQ785*F785</f>
        <v/>
      </c>
      <c r="AU785" s="55">
        <f>ROUNDUP(MAX(I785/IF(BS785&gt;0,BS785,MAX(0.1,N(Cockpit!$O$6))),BV785)/BN785,0)*BN785</f>
        <v/>
      </c>
      <c r="AV785" s="56">
        <f>IF(AS785&gt;0,I785/AS785,-1)</f>
        <v/>
      </c>
      <c r="AW785" s="56">
        <f>IF(AND(OR(BR785="L1",BR785="L23"),AS785&gt;0),SUMIFS($AS$7:$AS$1570,$BR$7:$BR$1570,BR785,$AV$7:$AV$1570,"&gt;"&amp;AV785)+SUMIFS($AS$7:$AS$1570,$BR$7:$BR$1570,BR785,$AV$7:$AV$1570,AV785,$BL$7:$BL$1570,"&lt;="&amp;BL785),"")</f>
        <v/>
      </c>
      <c r="AX785" s="65">
        <f>IF(AW785="",0,MAX(0,MIN(1,(IF(BR785="L1",Parameter!$K$5,Parameter!$K$6+Parameter!$K$7)-(AW785-AS785))/AS785)))</f>
        <v/>
      </c>
      <c r="AY785" s="53">
        <f>IF(AC785&lt;=0,"",IF(BR785="Aussen","Aussenlager",IF(BR785="-","Nicht im Lift",IF(AH785&gt;=1,"Lift",IF(AH785&lt;=0,"Aussenlager","teilweise")))))</f>
        <v/>
      </c>
      <c r="AZ785" s="53">
        <f>IF(AK785&lt;=0,"",IF(BR785="Aussen","Aussenlager",IF(BR785="-","Nicht im Lift",IF(AP785&gt;=1,"Lift",IF(AP785&lt;=0,"Aussenlager","teilweise")))))</f>
        <v/>
      </c>
      <c r="BA785" s="53">
        <f>IF(AS785&lt;=0,"",IF(BR785="Aussen","Aussenlager",IF(BR785="-","Nicht im Lift",IF(AX785&gt;=1,"Lift",IF(AX785&lt;=0,"Aussenlager","teilweise")))))</f>
        <v/>
      </c>
      <c r="BB785" s="53">
        <f>IF(A785="","",IF(BK785=1,"Neu; ","")&amp;IF(AND(BK785=0,BF785&lt;0),"negativer Bestand (Export "&amp;BF785&amp;"); ","")&amp;IF(I785&lt;=0,"Kein Verbrauch; ","")&amp;IF(BO785=1,"Lose – Fläche geschätzt; ","")&amp;IF(G785&gt;AM785,"Überbestand "&amp;ROUND(G785-AM785,0)&amp;" Stk / CHF "&amp;ROUND((G785-AM785)*F785,0)&amp;"; ","")&amp;IF(AND(BT785=1,BU785&lt;BV785),"MAX &lt; MB+LG; ","")&amp;IF(AND(BZ785&gt;0,BY785*10&gt;BZ785),"zu hoch für Tablar; ","")&amp;IF(AND(BK785=0,OR(BT785=1,V785&lt;&gt;"",S785&lt;&gt;"",T785&lt;&gt;"",W785&lt;&gt;"")),"manuell übersteuert; ","")&amp;IF(AND(BO785=0,Q785=0),"Gebinde unbekannt; ","")&amp;IF(AND(BO785=0,N(T785)&lt;=0,N(P785)&lt;=0),"Menge pro Gebinde fehlt (Ist = 1 Gebinde); ","")&amp;BJ785)</f>
        <v/>
      </c>
      <c r="BC785" s="53" t="n"/>
      <c r="BD785" s="53" t="n"/>
      <c r="BE785" s="61" t="n"/>
      <c r="BF785" s="55" t="n">
        <v>-15</v>
      </c>
      <c r="BG785" s="55" t="n">
        <v>503</v>
      </c>
      <c r="BH785" s="54" t="n">
        <v>-2.55</v>
      </c>
      <c r="BI785" s="55" t="n">
        <v>8</v>
      </c>
      <c r="BJ785" s="53" t="inlineStr">
        <is>
          <t>Überbestand</t>
        </is>
      </c>
      <c r="BK785" s="58" t="n">
        <v>0</v>
      </c>
      <c r="BL785" s="58" t="n">
        <v>785</v>
      </c>
      <c r="BM785" s="53">
        <f>IF(S785&lt;&gt;"",UPPER(TRIM(S785)),IF(O785="","LOSE",O785))</f>
        <v/>
      </c>
      <c r="BN785" s="55">
        <f>IF(BM785="LOSE",1,IF(N(T785)&gt;0,T785,IF(N(P785)&gt;0,P785,MAX(1,G785))))</f>
        <v/>
      </c>
      <c r="BO785" s="58">
        <f>IF(BM785="LOSE",1,0)</f>
        <v/>
      </c>
      <c r="BP785" s="64">
        <f>IF(BO785=0,0,IF(N(R785)&gt;0,R785,IFERROR(VLOOKUP(D785,Parameter!$A$35:$C$64,3,0)+0,0)))</f>
        <v/>
      </c>
      <c r="BQ785" s="53">
        <f>IF(V785&lt;&gt;"",V785,U785)</f>
        <v/>
      </c>
      <c r="BR785" s="53">
        <f>IF(BQ785=1,"L1",IF(OR(BQ785=2,BQ785=3),"L23",IF(BQ785="Aussen","Aussen","-")))</f>
        <v/>
      </c>
      <c r="BS785" s="66">
        <f>IF(N(W785)&gt;0,W785,0)</f>
        <v/>
      </c>
      <c r="BT785" s="58">
        <f>IF(ISNUMBER(Z785),1,0)</f>
        <v/>
      </c>
      <c r="BU785" s="55">
        <f>N(Z785)</f>
        <v/>
      </c>
      <c r="BV785" s="55">
        <f>N(L785)+N(M785)</f>
        <v/>
      </c>
      <c r="BW785" s="55">
        <f>ROUNDUP(G785/BN785,0)</f>
        <v/>
      </c>
      <c r="BX785" s="55">
        <f>ROUNDUP(BU785/BN785,0)</f>
        <v/>
      </c>
      <c r="BY785" s="58">
        <f>IF(BO785=1,0,IFERROR(VLOOKUP(BM785,'Gebinde-Kategorie'!$A$5:$G$45,5,0)+0,0))</f>
        <v/>
      </c>
      <c r="BZ785" s="58">
        <f>IFERROR(IF(OR(BQ785=1,BQ785=2,BQ785=3),N(INDEX(Parameter!$I$5:$I$7,BQ785)),0),0)</f>
        <v/>
      </c>
    </row>
    <row r="786">
      <c r="A786" s="53" t="inlineStr">
        <is>
          <t>104306</t>
        </is>
      </c>
      <c r="B786" s="53" t="inlineStr">
        <is>
          <t>Zylinderschraube mit Innensechskant</t>
        </is>
      </c>
      <c r="C786" s="53" t="inlineStr">
        <is>
          <t>F</t>
        </is>
      </c>
      <c r="D786" s="53" t="inlineStr">
        <is>
          <t>KTL</t>
        </is>
      </c>
      <c r="E786" s="53" t="inlineStr">
        <is>
          <t>C</t>
        </is>
      </c>
      <c r="F786" s="54" t="n">
        <v>0.04</v>
      </c>
      <c r="G786" s="55">
        <f>MAX(0,IF(Parameter!$B$20="Jahresanfang 2025 + Export",BG786+BF786,BF786))</f>
        <v/>
      </c>
      <c r="H786" s="55">
        <f>G786*F786</f>
        <v/>
      </c>
      <c r="I786" s="55">
        <f>BI786*Parameter!$B$18</f>
        <v/>
      </c>
      <c r="J786" s="56" t="n">
        <v>90</v>
      </c>
      <c r="K786" s="57" t="n">
        <v>0.6666666666666666</v>
      </c>
      <c r="L786" s="55" t="n">
        <v>3</v>
      </c>
      <c r="M786" s="55" t="n">
        <v>60</v>
      </c>
      <c r="N786" s="58" t="n">
        <v>21</v>
      </c>
      <c r="O786" s="53" t="inlineStr">
        <is>
          <t>S22</t>
        </is>
      </c>
      <c r="P786" s="55" t="n">
        <v>175</v>
      </c>
      <c r="Q786" s="59">
        <f>IF(BO786=1,0,IFERROR(VLOOKUP(BM786,'Gebinde-Kategorie'!$A$5:$G$45,6,0)+0,0))</f>
        <v/>
      </c>
      <c r="R786" s="60" t="n"/>
      <c r="S786" s="61" t="n"/>
      <c r="T786" s="61" t="n"/>
      <c r="U786" s="53">
        <f>IF(A786="","",IF(IFERROR(VLOOKUP(D786,Parameter!$A$35:$C$64,2,0),"Nein")="2+3",IF(ISNUMBER(SEARCH("grosser Artikel",BJ786)),2,IFERROR(VLOOKUP(BM786,Parameter!$F$35:$G$64,2,0),2)),IF(OR(IFERROR(VLOOKUP(D786,Parameter!$A$35:$C$64,2,0),"Nein")="Nein",IFERROR(VLOOKUP(D786,Parameter!$A$35:$C$64,2,0),"Nein")=""),"-",VLOOKUP(D786,Parameter!$A$35:$C$64,2,0))))</f>
        <v/>
      </c>
      <c r="V786" s="61" t="n"/>
      <c r="W786" s="62" t="n"/>
      <c r="X786" s="55">
        <f>AM786</f>
        <v/>
      </c>
      <c r="Y786" s="55">
        <f>MAX(AM786,G786)</f>
        <v/>
      </c>
      <c r="Z786" s="63" t="n"/>
      <c r="AA786" s="55">
        <f>IF(LEFT(Cockpit!$C$5,1)="A",G786,IF(BT786=1,BU786,IF(LEFT(Cockpit!$C$5,1)="B",AE786,MAX(AE786,G786))))</f>
        <v/>
      </c>
      <c r="AB786" s="55">
        <f>IF(BO786=1,0,ROUNDUP(AA786/BN786,0))</f>
        <v/>
      </c>
      <c r="AC786" s="64">
        <f>IF(BO786=1,IF(AA786&lt;=0,0,BP786*MAX(1,IF(G786&gt;0,AA786/G786,1))),AB786*Q786)</f>
        <v/>
      </c>
      <c r="AD786" s="55">
        <f>AA786*F786</f>
        <v/>
      </c>
      <c r="AE786" s="55">
        <f>ROUNDUP(MAX(I786/IF(BS786&gt;0,BS786,MAX(0.1,N(Cockpit!$C$6))),BV786)/BN786,0)*BN786</f>
        <v/>
      </c>
      <c r="AF786" s="56">
        <f>IF(AC786&gt;0,I786/AC786,-1)</f>
        <v/>
      </c>
      <c r="AG786" s="56">
        <f>IF(AND(OR(BR786="L1",BR786="L23"),AC786&gt;0),SUMIFS($AC$7:$AC$1570,$BR$7:$BR$1570,BR786,$AF$7:$AF$1570,"&gt;"&amp;AF786)+SUMIFS($AC$7:$AC$1570,$BR$7:$BR$1570,BR786,$AF$7:$AF$1570,AF786,$BL$7:$BL$1570,"&lt;="&amp;BL786),"")</f>
        <v/>
      </c>
      <c r="AH786" s="65">
        <f>IF(AG786="",0,MAX(0,MIN(1,(IF(BR786="L1",Parameter!$K$5,Parameter!$K$6+Parameter!$K$7)-(AG786-AC786))/AC786)))</f>
        <v/>
      </c>
      <c r="AI786" s="55">
        <f>IF(LEFT(Cockpit!$I$5,1)="A",G786,IF(BT786=1,BU786,IF(LEFT(Cockpit!$I$5,1)="B",AM786,MAX(AM786,G786))))</f>
        <v/>
      </c>
      <c r="AJ786" s="55">
        <f>IF(BO786=1,0,ROUNDUP(AI786/BN786,0))</f>
        <v/>
      </c>
      <c r="AK786" s="64">
        <f>IF(BO786=1,IF(AI786&lt;=0,0,BP786*MAX(1,IF(G786&gt;0,AI786/G786,1))),AJ786*Q786)</f>
        <v/>
      </c>
      <c r="AL786" s="55">
        <f>AI786*F786</f>
        <v/>
      </c>
      <c r="AM786" s="55">
        <f>ROUNDUP(MAX(I786/IF(BS786&gt;0,BS786,MAX(0.1,N(Cockpit!$I$6))),BV786)/BN786,0)*BN786</f>
        <v/>
      </c>
      <c r="AN786" s="56">
        <f>IF(AK786&gt;0,I786/AK786,-1)</f>
        <v/>
      </c>
      <c r="AO786" s="56">
        <f>IF(AND(OR(BR786="L1",BR786="L23"),AK786&gt;0),SUMIFS($AK$7:$AK$1570,$BR$7:$BR$1570,BR786,$AN$7:$AN$1570,"&gt;"&amp;AN786)+SUMIFS($AK$7:$AK$1570,$BR$7:$BR$1570,BR786,$AN$7:$AN$1570,AN786,$BL$7:$BL$1570,"&lt;="&amp;BL786),"")</f>
        <v/>
      </c>
      <c r="AP786" s="65">
        <f>IF(AO786="",0,MAX(0,MIN(1,(IF(BR786="L1",Parameter!$K$5,Parameter!$K$6+Parameter!$K$7)-(AO786-AK786))/AK786)))</f>
        <v/>
      </c>
      <c r="AQ786" s="55">
        <f>IF(LEFT(Cockpit!$O$5,1)="A",G786,IF(BT786=1,BU786,IF(LEFT(Cockpit!$O$5,1)="B",AU786,MAX(AU786,G786))))</f>
        <v/>
      </c>
      <c r="AR786" s="55">
        <f>IF(BO786=1,0,ROUNDUP(AQ786/BN786,0))</f>
        <v/>
      </c>
      <c r="AS786" s="64">
        <f>IF(BO786=1,IF(AQ786&lt;=0,0,BP786*MAX(1,IF(G786&gt;0,AQ786/G786,1))),AR786*Q786)</f>
        <v/>
      </c>
      <c r="AT786" s="55">
        <f>AQ786*F786</f>
        <v/>
      </c>
      <c r="AU786" s="55">
        <f>ROUNDUP(MAX(I786/IF(BS786&gt;0,BS786,MAX(0.1,N(Cockpit!$O$6))),BV786)/BN786,0)*BN786</f>
        <v/>
      </c>
      <c r="AV786" s="56">
        <f>IF(AS786&gt;0,I786/AS786,-1)</f>
        <v/>
      </c>
      <c r="AW786" s="56">
        <f>IF(AND(OR(BR786="L1",BR786="L23"),AS786&gt;0),SUMIFS($AS$7:$AS$1570,$BR$7:$BR$1570,BR786,$AV$7:$AV$1570,"&gt;"&amp;AV786)+SUMIFS($AS$7:$AS$1570,$BR$7:$BR$1570,BR786,$AV$7:$AV$1570,AV786,$BL$7:$BL$1570,"&lt;="&amp;BL786),"")</f>
        <v/>
      </c>
      <c r="AX786" s="65">
        <f>IF(AW786="",0,MAX(0,MIN(1,(IF(BR786="L1",Parameter!$K$5,Parameter!$K$6+Parameter!$K$7)-(AW786-AS786))/AS786)))</f>
        <v/>
      </c>
      <c r="AY786" s="53">
        <f>IF(AC786&lt;=0,"",IF(BR786="Aussen","Aussenlager",IF(BR786="-","Nicht im Lift",IF(AH786&gt;=1,"Lift",IF(AH786&lt;=0,"Aussenlager","teilweise")))))</f>
        <v/>
      </c>
      <c r="AZ786" s="53">
        <f>IF(AK786&lt;=0,"",IF(BR786="Aussen","Aussenlager",IF(BR786="-","Nicht im Lift",IF(AP786&gt;=1,"Lift",IF(AP786&lt;=0,"Aussenlager","teilweise")))))</f>
        <v/>
      </c>
      <c r="BA786" s="53">
        <f>IF(AS786&lt;=0,"",IF(BR786="Aussen","Aussenlager",IF(BR786="-","Nicht im Lift",IF(AX786&gt;=1,"Lift",IF(AX786&lt;=0,"Aussenlager","teilweise")))))</f>
        <v/>
      </c>
      <c r="BB786" s="53">
        <f>IF(A786="","",IF(BK786=1,"Neu; ","")&amp;IF(AND(BK786=0,BF786&lt;0),"negativer Bestand (Export "&amp;BF786&amp;"); ","")&amp;IF(I786&lt;=0,"Kein Verbrauch; ","")&amp;IF(BO786=1,"Lose – Fläche geschätzt; ","")&amp;IF(G786&gt;AM786,"Überbestand "&amp;ROUND(G786-AM786,0)&amp;" Stk / CHF "&amp;ROUND((G786-AM786)*F786,0)&amp;"; ","")&amp;IF(AND(BT786=1,BU786&lt;BV786),"MAX &lt; MB+LG; ","")&amp;IF(AND(BZ786&gt;0,BY786*10&gt;BZ786),"zu hoch für Tablar; ","")&amp;IF(AND(BK786=0,OR(BT786=1,V786&lt;&gt;"",S786&lt;&gt;"",T786&lt;&gt;"",W786&lt;&gt;"")),"manuell übersteuert; ","")&amp;IF(AND(BO786=0,Q786=0),"Gebinde unbekannt; ","")&amp;IF(AND(BO786=0,N(T786)&lt;=0,N(P786)&lt;=0),"Menge pro Gebinde fehlt (Ist = 1 Gebinde); ","")&amp;BJ786)</f>
        <v/>
      </c>
      <c r="BC786" s="53" t="n"/>
      <c r="BD786" s="53" t="n"/>
      <c r="BE786" s="61" t="n"/>
      <c r="BF786" s="55" t="n">
        <v>-71</v>
      </c>
      <c r="BG786" s="55" t="n">
        <v>92</v>
      </c>
      <c r="BH786" s="54" t="n">
        <v>-2.840000000000001</v>
      </c>
      <c r="BI786" s="55" t="n">
        <v>60</v>
      </c>
      <c r="BJ786" s="53" t="inlineStr"/>
      <c r="BK786" s="58" t="n">
        <v>0</v>
      </c>
      <c r="BL786" s="58" t="n">
        <v>786</v>
      </c>
      <c r="BM786" s="53">
        <f>IF(S786&lt;&gt;"",UPPER(TRIM(S786)),IF(O786="","LOSE",O786))</f>
        <v/>
      </c>
      <c r="BN786" s="55">
        <f>IF(BM786="LOSE",1,IF(N(T786)&gt;0,T786,IF(N(P786)&gt;0,P786,MAX(1,G786))))</f>
        <v/>
      </c>
      <c r="BO786" s="58">
        <f>IF(BM786="LOSE",1,0)</f>
        <v/>
      </c>
      <c r="BP786" s="64">
        <f>IF(BO786=0,0,IF(N(R786)&gt;0,R786,IFERROR(VLOOKUP(D786,Parameter!$A$35:$C$64,3,0)+0,0)))</f>
        <v/>
      </c>
      <c r="BQ786" s="53">
        <f>IF(V786&lt;&gt;"",V786,U786)</f>
        <v/>
      </c>
      <c r="BR786" s="53">
        <f>IF(BQ786=1,"L1",IF(OR(BQ786=2,BQ786=3),"L23",IF(BQ786="Aussen","Aussen","-")))</f>
        <v/>
      </c>
      <c r="BS786" s="66">
        <f>IF(N(W786)&gt;0,W786,0)</f>
        <v/>
      </c>
      <c r="BT786" s="58">
        <f>IF(ISNUMBER(Z786),1,0)</f>
        <v/>
      </c>
      <c r="BU786" s="55">
        <f>N(Z786)</f>
        <v/>
      </c>
      <c r="BV786" s="55">
        <f>N(L786)+N(M786)</f>
        <v/>
      </c>
      <c r="BW786" s="55">
        <f>ROUNDUP(G786/BN786,0)</f>
        <v/>
      </c>
      <c r="BX786" s="55">
        <f>ROUNDUP(BU786/BN786,0)</f>
        <v/>
      </c>
      <c r="BY786" s="58">
        <f>IF(BO786=1,0,IFERROR(VLOOKUP(BM786,'Gebinde-Kategorie'!$A$5:$G$45,5,0)+0,0))</f>
        <v/>
      </c>
      <c r="BZ786" s="58">
        <f>IFERROR(IF(OR(BQ786=1,BQ786=2,BQ786=3),N(INDEX(Parameter!$I$5:$I$7,BQ786)),0),0)</f>
        <v/>
      </c>
    </row>
    <row r="787">
      <c r="A787" s="53" t="inlineStr">
        <is>
          <t>100042</t>
        </is>
      </c>
      <c r="B787" s="53" t="inlineStr">
        <is>
          <t>Sicherungsscheibe</t>
        </is>
      </c>
      <c r="C787" s="53" t="inlineStr">
        <is>
          <t>F</t>
        </is>
      </c>
      <c r="D787" s="53" t="inlineStr">
        <is>
          <t>KTL</t>
        </is>
      </c>
      <c r="E787" s="53" t="inlineStr">
        <is>
          <t>C</t>
        </is>
      </c>
      <c r="F787" s="54" t="n">
        <v>0.01</v>
      </c>
      <c r="G787" s="55">
        <f>MAX(0,IF(Parameter!$B$20="Jahresanfang 2025 + Export",BG787+BF787,BF787))</f>
        <v/>
      </c>
      <c r="H787" s="55">
        <f>G787*F787</f>
        <v/>
      </c>
      <c r="I787" s="55">
        <f>BI787*Parameter!$B$18</f>
        <v/>
      </c>
      <c r="J787" s="56" t="n">
        <v>1057.5</v>
      </c>
      <c r="K787" s="57" t="n">
        <v>0.6070921985815603</v>
      </c>
      <c r="L787" s="55" t="n">
        <v>38</v>
      </c>
      <c r="M787" s="55" t="n">
        <v>660</v>
      </c>
      <c r="N787" s="58" t="n">
        <v>21</v>
      </c>
      <c r="O787" s="53" t="inlineStr">
        <is>
          <t>S22</t>
        </is>
      </c>
      <c r="P787" s="55" t="n">
        <v>3002</v>
      </c>
      <c r="Q787" s="59">
        <f>IF(BO787=1,0,IFERROR(VLOOKUP(BM787,'Gebinde-Kategorie'!$A$5:$G$45,6,0)+0,0))</f>
        <v/>
      </c>
      <c r="R787" s="60" t="n"/>
      <c r="S787" s="61" t="n"/>
      <c r="T787" s="61" t="n"/>
      <c r="U787" s="53">
        <f>IF(A787="","",IF(IFERROR(VLOOKUP(D787,Parameter!$A$35:$C$64,2,0),"Nein")="2+3",IF(ISNUMBER(SEARCH("grosser Artikel",BJ787)),2,IFERROR(VLOOKUP(BM787,Parameter!$F$35:$G$64,2,0),2)),IF(OR(IFERROR(VLOOKUP(D787,Parameter!$A$35:$C$64,2,0),"Nein")="Nein",IFERROR(VLOOKUP(D787,Parameter!$A$35:$C$64,2,0),"Nein")=""),"-",VLOOKUP(D787,Parameter!$A$35:$C$64,2,0))))</f>
        <v/>
      </c>
      <c r="V787" s="61" t="n"/>
      <c r="W787" s="62" t="n"/>
      <c r="X787" s="55">
        <f>AM787</f>
        <v/>
      </c>
      <c r="Y787" s="55">
        <f>MAX(AM787,G787)</f>
        <v/>
      </c>
      <c r="Z787" s="63" t="n"/>
      <c r="AA787" s="55">
        <f>IF(LEFT(Cockpit!$C$5,1)="A",G787,IF(BT787=1,BU787,IF(LEFT(Cockpit!$C$5,1)="B",AE787,MAX(AE787,G787))))</f>
        <v/>
      </c>
      <c r="AB787" s="55">
        <f>IF(BO787=1,0,ROUNDUP(AA787/BN787,0))</f>
        <v/>
      </c>
      <c r="AC787" s="64">
        <f>IF(BO787=1,IF(AA787&lt;=0,0,BP787*MAX(1,IF(G787&gt;0,AA787/G787,1))),AB787*Q787)</f>
        <v/>
      </c>
      <c r="AD787" s="55">
        <f>AA787*F787</f>
        <v/>
      </c>
      <c r="AE787" s="55">
        <f>ROUNDUP(MAX(I787/IF(BS787&gt;0,BS787,MAX(0.1,N(Cockpit!$C$6))),BV787)/BN787,0)*BN787</f>
        <v/>
      </c>
      <c r="AF787" s="56">
        <f>IF(AC787&gt;0,I787/AC787,-1)</f>
        <v/>
      </c>
      <c r="AG787" s="56">
        <f>IF(AND(OR(BR787="L1",BR787="L23"),AC787&gt;0),SUMIFS($AC$7:$AC$1570,$BR$7:$BR$1570,BR787,$AF$7:$AF$1570,"&gt;"&amp;AF787)+SUMIFS($AC$7:$AC$1570,$BR$7:$BR$1570,BR787,$AF$7:$AF$1570,AF787,$BL$7:$BL$1570,"&lt;="&amp;BL787),"")</f>
        <v/>
      </c>
      <c r="AH787" s="65">
        <f>IF(AG787="",0,MAX(0,MIN(1,(IF(BR787="L1",Parameter!$K$5,Parameter!$K$6+Parameter!$K$7)-(AG787-AC787))/AC787)))</f>
        <v/>
      </c>
      <c r="AI787" s="55">
        <f>IF(LEFT(Cockpit!$I$5,1)="A",G787,IF(BT787=1,BU787,IF(LEFT(Cockpit!$I$5,1)="B",AM787,MAX(AM787,G787))))</f>
        <v/>
      </c>
      <c r="AJ787" s="55">
        <f>IF(BO787=1,0,ROUNDUP(AI787/BN787,0))</f>
        <v/>
      </c>
      <c r="AK787" s="64">
        <f>IF(BO787=1,IF(AI787&lt;=0,0,BP787*MAX(1,IF(G787&gt;0,AI787/G787,1))),AJ787*Q787)</f>
        <v/>
      </c>
      <c r="AL787" s="55">
        <f>AI787*F787</f>
        <v/>
      </c>
      <c r="AM787" s="55">
        <f>ROUNDUP(MAX(I787/IF(BS787&gt;0,BS787,MAX(0.1,N(Cockpit!$I$6))),BV787)/BN787,0)*BN787</f>
        <v/>
      </c>
      <c r="AN787" s="56">
        <f>IF(AK787&gt;0,I787/AK787,-1)</f>
        <v/>
      </c>
      <c r="AO787" s="56">
        <f>IF(AND(OR(BR787="L1",BR787="L23"),AK787&gt;0),SUMIFS($AK$7:$AK$1570,$BR$7:$BR$1570,BR787,$AN$7:$AN$1570,"&gt;"&amp;AN787)+SUMIFS($AK$7:$AK$1570,$BR$7:$BR$1570,BR787,$AN$7:$AN$1570,AN787,$BL$7:$BL$1570,"&lt;="&amp;BL787),"")</f>
        <v/>
      </c>
      <c r="AP787" s="65">
        <f>IF(AO787="",0,MAX(0,MIN(1,(IF(BR787="L1",Parameter!$K$5,Parameter!$K$6+Parameter!$K$7)-(AO787-AK787))/AK787)))</f>
        <v/>
      </c>
      <c r="AQ787" s="55">
        <f>IF(LEFT(Cockpit!$O$5,1)="A",G787,IF(BT787=1,BU787,IF(LEFT(Cockpit!$O$5,1)="B",AU787,MAX(AU787,G787))))</f>
        <v/>
      </c>
      <c r="AR787" s="55">
        <f>IF(BO787=1,0,ROUNDUP(AQ787/BN787,0))</f>
        <v/>
      </c>
      <c r="AS787" s="64">
        <f>IF(BO787=1,IF(AQ787&lt;=0,0,BP787*MAX(1,IF(G787&gt;0,AQ787/G787,1))),AR787*Q787)</f>
        <v/>
      </c>
      <c r="AT787" s="55">
        <f>AQ787*F787</f>
        <v/>
      </c>
      <c r="AU787" s="55">
        <f>ROUNDUP(MAX(I787/IF(BS787&gt;0,BS787,MAX(0.1,N(Cockpit!$O$6))),BV787)/BN787,0)*BN787</f>
        <v/>
      </c>
      <c r="AV787" s="56">
        <f>IF(AS787&gt;0,I787/AS787,-1)</f>
        <v/>
      </c>
      <c r="AW787" s="56">
        <f>IF(AND(OR(BR787="L1",BR787="L23"),AS787&gt;0),SUMIFS($AS$7:$AS$1570,$BR$7:$BR$1570,BR787,$AV$7:$AV$1570,"&gt;"&amp;AV787)+SUMIFS($AS$7:$AS$1570,$BR$7:$BR$1570,BR787,$AV$7:$AV$1570,AV787,$BL$7:$BL$1570,"&lt;="&amp;BL787),"")</f>
        <v/>
      </c>
      <c r="AX787" s="65">
        <f>IF(AW787="",0,MAX(0,MIN(1,(IF(BR787="L1",Parameter!$K$5,Parameter!$K$6+Parameter!$K$7)-(AW787-AS787))/AS787)))</f>
        <v/>
      </c>
      <c r="AY787" s="53">
        <f>IF(AC787&lt;=0,"",IF(BR787="Aussen","Aussenlager",IF(BR787="-","Nicht im Lift",IF(AH787&gt;=1,"Lift",IF(AH787&lt;=0,"Aussenlager","teilweise")))))</f>
        <v/>
      </c>
      <c r="AZ787" s="53">
        <f>IF(AK787&lt;=0,"",IF(BR787="Aussen","Aussenlager",IF(BR787="-","Nicht im Lift",IF(AP787&gt;=1,"Lift",IF(AP787&lt;=0,"Aussenlager","teilweise")))))</f>
        <v/>
      </c>
      <c r="BA787" s="53">
        <f>IF(AS787&lt;=0,"",IF(BR787="Aussen","Aussenlager",IF(BR787="-","Nicht im Lift",IF(AX787&gt;=1,"Lift",IF(AX787&lt;=0,"Aussenlager","teilweise")))))</f>
        <v/>
      </c>
      <c r="BB787" s="53">
        <f>IF(A787="","",IF(BK787=1,"Neu; ","")&amp;IF(AND(BK787=0,BF787&lt;0),"negativer Bestand (Export "&amp;BF787&amp;"); ","")&amp;IF(I787&lt;=0,"Kein Verbrauch; ","")&amp;IF(BO787=1,"Lose – Fläche geschätzt; ","")&amp;IF(G787&gt;AM787,"Überbestand "&amp;ROUND(G787-AM787,0)&amp;" Stk / CHF "&amp;ROUND((G787-AM787)*F787,0)&amp;"; ","")&amp;IF(AND(BT787=1,BU787&lt;BV787),"MAX &lt; MB+LG; ","")&amp;IF(AND(BZ787&gt;0,BY787*10&gt;BZ787),"zu hoch für Tablar; ","")&amp;IF(AND(BK787=0,OR(BT787=1,V787&lt;&gt;"",S787&lt;&gt;"",T787&lt;&gt;"",W787&lt;&gt;"")),"manuell übersteuert; ","")&amp;IF(AND(BO787=0,Q787=0),"Gebinde unbekannt; ","")&amp;IF(AND(BO787=0,N(T787)&lt;=0,N(P787)&lt;=0),"Menge pro Gebinde fehlt (Ist = 1 Gebinde); ","")&amp;BJ787)</f>
        <v/>
      </c>
      <c r="BC787" s="53" t="n"/>
      <c r="BD787" s="53" t="n"/>
      <c r="BE787" s="61" t="n"/>
      <c r="BF787" s="55" t="n">
        <v>-287</v>
      </c>
      <c r="BG787" s="55" t="n">
        <v>1360</v>
      </c>
      <c r="BH787" s="54" t="n">
        <v>-2.870000000000001</v>
      </c>
      <c r="BI787" s="55" t="n">
        <v>642</v>
      </c>
      <c r="BJ787" s="53" t="inlineStr">
        <is>
          <t>Braucht es diesen Artikel ?</t>
        </is>
      </c>
      <c r="BK787" s="58" t="n">
        <v>0</v>
      </c>
      <c r="BL787" s="58" t="n">
        <v>787</v>
      </c>
      <c r="BM787" s="53">
        <f>IF(S787&lt;&gt;"",UPPER(TRIM(S787)),IF(O787="","LOSE",O787))</f>
        <v/>
      </c>
      <c r="BN787" s="55">
        <f>IF(BM787="LOSE",1,IF(N(T787)&gt;0,T787,IF(N(P787)&gt;0,P787,MAX(1,G787))))</f>
        <v/>
      </c>
      <c r="BO787" s="58">
        <f>IF(BM787="LOSE",1,0)</f>
        <v/>
      </c>
      <c r="BP787" s="64">
        <f>IF(BO787=0,0,IF(N(R787)&gt;0,R787,IFERROR(VLOOKUP(D787,Parameter!$A$35:$C$64,3,0)+0,0)))</f>
        <v/>
      </c>
      <c r="BQ787" s="53">
        <f>IF(V787&lt;&gt;"",V787,U787)</f>
        <v/>
      </c>
      <c r="BR787" s="53">
        <f>IF(BQ787=1,"L1",IF(OR(BQ787=2,BQ787=3),"L23",IF(BQ787="Aussen","Aussen","-")))</f>
        <v/>
      </c>
      <c r="BS787" s="66">
        <f>IF(N(W787)&gt;0,W787,0)</f>
        <v/>
      </c>
      <c r="BT787" s="58">
        <f>IF(ISNUMBER(Z787),1,0)</f>
        <v/>
      </c>
      <c r="BU787" s="55">
        <f>N(Z787)</f>
        <v/>
      </c>
      <c r="BV787" s="55">
        <f>N(L787)+N(M787)</f>
        <v/>
      </c>
      <c r="BW787" s="55">
        <f>ROUNDUP(G787/BN787,0)</f>
        <v/>
      </c>
      <c r="BX787" s="55">
        <f>ROUNDUP(BU787/BN787,0)</f>
        <v/>
      </c>
      <c r="BY787" s="58">
        <f>IF(BO787=1,0,IFERROR(VLOOKUP(BM787,'Gebinde-Kategorie'!$A$5:$G$45,5,0)+0,0))</f>
        <v/>
      </c>
      <c r="BZ787" s="58">
        <f>IFERROR(IF(OR(BQ787=1,BQ787=2,BQ787=3),N(INDEX(Parameter!$I$5:$I$7,BQ787)),0),0)</f>
        <v/>
      </c>
    </row>
    <row r="788">
      <c r="A788" s="53" t="inlineStr">
        <is>
          <t>102375</t>
        </is>
      </c>
      <c r="B788" s="53" t="inlineStr">
        <is>
          <t>Deckplatte</t>
        </is>
      </c>
      <c r="C788" s="53" t="inlineStr">
        <is>
          <t>F</t>
        </is>
      </c>
      <c r="D788" s="53" t="inlineStr">
        <is>
          <t>KTL</t>
        </is>
      </c>
      <c r="E788" s="53" t="inlineStr">
        <is>
          <t>C</t>
        </is>
      </c>
      <c r="F788" s="54" t="n">
        <v>1.5</v>
      </c>
      <c r="G788" s="55">
        <f>MAX(0,IF(Parameter!$B$20="Jahresanfang 2025 + Export",BG788+BF788,BF788))</f>
        <v/>
      </c>
      <c r="H788" s="55">
        <f>G788*F788</f>
        <v/>
      </c>
      <c r="I788" s="55">
        <f>BI788*Parameter!$B$18</f>
        <v/>
      </c>
      <c r="J788" s="56" t="n">
        <v>57</v>
      </c>
      <c r="K788" s="57" t="n">
        <v>0</v>
      </c>
      <c r="L788" s="55" t="n">
        <v>0</v>
      </c>
      <c r="M788" s="55" t="n">
        <v>1</v>
      </c>
      <c r="N788" s="58" t="n">
        <v>42</v>
      </c>
      <c r="O788" s="53" t="inlineStr">
        <is>
          <t>S21</t>
        </is>
      </c>
      <c r="P788" s="55" t="n">
        <v>100</v>
      </c>
      <c r="Q788" s="59">
        <f>IF(BO788=1,0,IFERROR(VLOOKUP(BM788,'Gebinde-Kategorie'!$A$5:$G$45,6,0)+0,0))</f>
        <v/>
      </c>
      <c r="R788" s="60" t="n"/>
      <c r="S788" s="61" t="n"/>
      <c r="T788" s="61" t="n"/>
      <c r="U788" s="53">
        <f>IF(A788="","",IF(IFERROR(VLOOKUP(D788,Parameter!$A$35:$C$64,2,0),"Nein")="2+3",IF(ISNUMBER(SEARCH("grosser Artikel",BJ788)),2,IFERROR(VLOOKUP(BM788,Parameter!$F$35:$G$64,2,0),2)),IF(OR(IFERROR(VLOOKUP(D788,Parameter!$A$35:$C$64,2,0),"Nein")="Nein",IFERROR(VLOOKUP(D788,Parameter!$A$35:$C$64,2,0),"Nein")=""),"-",VLOOKUP(D788,Parameter!$A$35:$C$64,2,0))))</f>
        <v/>
      </c>
      <c r="V788" s="61" t="n"/>
      <c r="W788" s="62" t="n"/>
      <c r="X788" s="55">
        <f>AM788</f>
        <v/>
      </c>
      <c r="Y788" s="55">
        <f>MAX(AM788,G788)</f>
        <v/>
      </c>
      <c r="Z788" s="63" t="n"/>
      <c r="AA788" s="55">
        <f>IF(LEFT(Cockpit!$C$5,1)="A",G788,IF(BT788=1,BU788,IF(LEFT(Cockpit!$C$5,1)="B",AE788,MAX(AE788,G788))))</f>
        <v/>
      </c>
      <c r="AB788" s="55">
        <f>IF(BO788=1,0,ROUNDUP(AA788/BN788,0))</f>
        <v/>
      </c>
      <c r="AC788" s="64">
        <f>IF(BO788=1,IF(AA788&lt;=0,0,BP788*MAX(1,IF(G788&gt;0,AA788/G788,1))),AB788*Q788)</f>
        <v/>
      </c>
      <c r="AD788" s="55">
        <f>AA788*F788</f>
        <v/>
      </c>
      <c r="AE788" s="55">
        <f>ROUNDUP(MAX(I788/IF(BS788&gt;0,BS788,MAX(0.1,N(Cockpit!$C$6))),BV788)/BN788,0)*BN788</f>
        <v/>
      </c>
      <c r="AF788" s="56">
        <f>IF(AC788&gt;0,I788/AC788,-1)</f>
        <v/>
      </c>
      <c r="AG788" s="56">
        <f>IF(AND(OR(BR788="L1",BR788="L23"),AC788&gt;0),SUMIFS($AC$7:$AC$1570,$BR$7:$BR$1570,BR788,$AF$7:$AF$1570,"&gt;"&amp;AF788)+SUMIFS($AC$7:$AC$1570,$BR$7:$BR$1570,BR788,$AF$7:$AF$1570,AF788,$BL$7:$BL$1570,"&lt;="&amp;BL788),"")</f>
        <v/>
      </c>
      <c r="AH788" s="65">
        <f>IF(AG788="",0,MAX(0,MIN(1,(IF(BR788="L1",Parameter!$K$5,Parameter!$K$6+Parameter!$K$7)-(AG788-AC788))/AC788)))</f>
        <v/>
      </c>
      <c r="AI788" s="55">
        <f>IF(LEFT(Cockpit!$I$5,1)="A",G788,IF(BT788=1,BU788,IF(LEFT(Cockpit!$I$5,1)="B",AM788,MAX(AM788,G788))))</f>
        <v/>
      </c>
      <c r="AJ788" s="55">
        <f>IF(BO788=1,0,ROUNDUP(AI788/BN788,0))</f>
        <v/>
      </c>
      <c r="AK788" s="64">
        <f>IF(BO788=1,IF(AI788&lt;=0,0,BP788*MAX(1,IF(G788&gt;0,AI788/G788,1))),AJ788*Q788)</f>
        <v/>
      </c>
      <c r="AL788" s="55">
        <f>AI788*F788</f>
        <v/>
      </c>
      <c r="AM788" s="55">
        <f>ROUNDUP(MAX(I788/IF(BS788&gt;0,BS788,MAX(0.1,N(Cockpit!$I$6))),BV788)/BN788,0)*BN788</f>
        <v/>
      </c>
      <c r="AN788" s="56">
        <f>IF(AK788&gt;0,I788/AK788,-1)</f>
        <v/>
      </c>
      <c r="AO788" s="56">
        <f>IF(AND(OR(BR788="L1",BR788="L23"),AK788&gt;0),SUMIFS($AK$7:$AK$1570,$BR$7:$BR$1570,BR788,$AN$7:$AN$1570,"&gt;"&amp;AN788)+SUMIFS($AK$7:$AK$1570,$BR$7:$BR$1570,BR788,$AN$7:$AN$1570,AN788,$BL$7:$BL$1570,"&lt;="&amp;BL788),"")</f>
        <v/>
      </c>
      <c r="AP788" s="65">
        <f>IF(AO788="",0,MAX(0,MIN(1,(IF(BR788="L1",Parameter!$K$5,Parameter!$K$6+Parameter!$K$7)-(AO788-AK788))/AK788)))</f>
        <v/>
      </c>
      <c r="AQ788" s="55">
        <f>IF(LEFT(Cockpit!$O$5,1)="A",G788,IF(BT788=1,BU788,IF(LEFT(Cockpit!$O$5,1)="B",AU788,MAX(AU788,G788))))</f>
        <v/>
      </c>
      <c r="AR788" s="55">
        <f>IF(BO788=1,0,ROUNDUP(AQ788/BN788,0))</f>
        <v/>
      </c>
      <c r="AS788" s="64">
        <f>IF(BO788=1,IF(AQ788&lt;=0,0,BP788*MAX(1,IF(G788&gt;0,AQ788/G788,1))),AR788*Q788)</f>
        <v/>
      </c>
      <c r="AT788" s="55">
        <f>AQ788*F788</f>
        <v/>
      </c>
      <c r="AU788" s="55">
        <f>ROUNDUP(MAX(I788/IF(BS788&gt;0,BS788,MAX(0.1,N(Cockpit!$O$6))),BV788)/BN788,0)*BN788</f>
        <v/>
      </c>
      <c r="AV788" s="56">
        <f>IF(AS788&gt;0,I788/AS788,-1)</f>
        <v/>
      </c>
      <c r="AW788" s="56">
        <f>IF(AND(OR(BR788="L1",BR788="L23"),AS788&gt;0),SUMIFS($AS$7:$AS$1570,$BR$7:$BR$1570,BR788,$AV$7:$AV$1570,"&gt;"&amp;AV788)+SUMIFS($AS$7:$AS$1570,$BR$7:$BR$1570,BR788,$AV$7:$AV$1570,AV788,$BL$7:$BL$1570,"&lt;="&amp;BL788),"")</f>
        <v/>
      </c>
      <c r="AX788" s="65">
        <f>IF(AW788="",0,MAX(0,MIN(1,(IF(BR788="L1",Parameter!$K$5,Parameter!$K$6+Parameter!$K$7)-(AW788-AS788))/AS788)))</f>
        <v/>
      </c>
      <c r="AY788" s="53">
        <f>IF(AC788&lt;=0,"",IF(BR788="Aussen","Aussenlager",IF(BR788="-","Nicht im Lift",IF(AH788&gt;=1,"Lift",IF(AH788&lt;=0,"Aussenlager","teilweise")))))</f>
        <v/>
      </c>
      <c r="AZ788" s="53">
        <f>IF(AK788&lt;=0,"",IF(BR788="Aussen","Aussenlager",IF(BR788="-","Nicht im Lift",IF(AP788&gt;=1,"Lift",IF(AP788&lt;=0,"Aussenlager","teilweise")))))</f>
        <v/>
      </c>
      <c r="BA788" s="53">
        <f>IF(AS788&lt;=0,"",IF(BR788="Aussen","Aussenlager",IF(BR788="-","Nicht im Lift",IF(AX788&gt;=1,"Lift",IF(AX788&lt;=0,"Aussenlager","teilweise")))))</f>
        <v/>
      </c>
      <c r="BB788" s="53">
        <f>IF(A788="","",IF(BK788=1,"Neu; ","")&amp;IF(AND(BK788=0,BF788&lt;0),"negativer Bestand (Export "&amp;BF788&amp;"); ","")&amp;IF(I788&lt;=0,"Kein Verbrauch; ","")&amp;IF(BO788=1,"Lose – Fläche geschätzt; ","")&amp;IF(G788&gt;AM788,"Überbestand "&amp;ROUND(G788-AM788,0)&amp;" Stk / CHF "&amp;ROUND((G788-AM788)*F788,0)&amp;"; ","")&amp;IF(AND(BT788=1,BU788&lt;BV788),"MAX &lt; MB+LG; ","")&amp;IF(AND(BZ788&gt;0,BY788*10&gt;BZ788),"zu hoch für Tablar; ","")&amp;IF(AND(BK788=0,OR(BT788=1,V788&lt;&gt;"",S788&lt;&gt;"",T788&lt;&gt;"",W788&lt;&gt;"")),"manuell übersteuert; ","")&amp;IF(AND(BO788=0,Q788=0),"Gebinde unbekannt; ","")&amp;IF(AND(BO788=0,N(T788)&lt;=0,N(P788)&lt;=0),"Menge pro Gebinde fehlt (Ist = 1 Gebinde); ","")&amp;BJ788)</f>
        <v/>
      </c>
      <c r="BC788" s="53" t="n"/>
      <c r="BD788" s="53" t="n"/>
      <c r="BE788" s="61" t="n"/>
      <c r="BF788" s="55" t="n">
        <v>-2</v>
      </c>
      <c r="BG788" s="55" t="n">
        <v>58</v>
      </c>
      <c r="BH788" s="54" t="n">
        <v>-3</v>
      </c>
      <c r="BI788" s="55" t="n">
        <v>0</v>
      </c>
      <c r="BJ788" s="53" t="inlineStr"/>
      <c r="BK788" s="58" t="n">
        <v>0</v>
      </c>
      <c r="BL788" s="58" t="n">
        <v>788</v>
      </c>
      <c r="BM788" s="53">
        <f>IF(S788&lt;&gt;"",UPPER(TRIM(S788)),IF(O788="","LOSE",O788))</f>
        <v/>
      </c>
      <c r="BN788" s="55">
        <f>IF(BM788="LOSE",1,IF(N(T788)&gt;0,T788,IF(N(P788)&gt;0,P788,MAX(1,G788))))</f>
        <v/>
      </c>
      <c r="BO788" s="58">
        <f>IF(BM788="LOSE",1,0)</f>
        <v/>
      </c>
      <c r="BP788" s="64">
        <f>IF(BO788=0,0,IF(N(R788)&gt;0,R788,IFERROR(VLOOKUP(D788,Parameter!$A$35:$C$64,3,0)+0,0)))</f>
        <v/>
      </c>
      <c r="BQ788" s="53">
        <f>IF(V788&lt;&gt;"",V788,U788)</f>
        <v/>
      </c>
      <c r="BR788" s="53">
        <f>IF(BQ788=1,"L1",IF(OR(BQ788=2,BQ788=3),"L23",IF(BQ788="Aussen","Aussen","-")))</f>
        <v/>
      </c>
      <c r="BS788" s="66">
        <f>IF(N(W788)&gt;0,W788,0)</f>
        <v/>
      </c>
      <c r="BT788" s="58">
        <f>IF(ISNUMBER(Z788),1,0)</f>
        <v/>
      </c>
      <c r="BU788" s="55">
        <f>N(Z788)</f>
        <v/>
      </c>
      <c r="BV788" s="55">
        <f>N(L788)+N(M788)</f>
        <v/>
      </c>
      <c r="BW788" s="55">
        <f>ROUNDUP(G788/BN788,0)</f>
        <v/>
      </c>
      <c r="BX788" s="55">
        <f>ROUNDUP(BU788/BN788,0)</f>
        <v/>
      </c>
      <c r="BY788" s="58">
        <f>IF(BO788=1,0,IFERROR(VLOOKUP(BM788,'Gebinde-Kategorie'!$A$5:$G$45,5,0)+0,0))</f>
        <v/>
      </c>
      <c r="BZ788" s="58">
        <f>IFERROR(IF(OR(BQ788=1,BQ788=2,BQ788=3),N(INDEX(Parameter!$I$5:$I$7,BQ788)),0),0)</f>
        <v/>
      </c>
    </row>
    <row r="789">
      <c r="A789" s="53" t="inlineStr">
        <is>
          <t>105411</t>
        </is>
      </c>
      <c r="B789" s="53" t="inlineStr">
        <is>
          <t>Unterlagsscheibe</t>
        </is>
      </c>
      <c r="C789" s="53" t="inlineStr">
        <is>
          <t>F</t>
        </is>
      </c>
      <c r="D789" s="53" t="inlineStr">
        <is>
          <t>KTL</t>
        </is>
      </c>
      <c r="E789" s="53" t="inlineStr">
        <is>
          <t>C</t>
        </is>
      </c>
      <c r="F789" s="54" t="n">
        <v>0.03</v>
      </c>
      <c r="G789" s="55">
        <f>MAX(0,IF(Parameter!$B$20="Jahresanfang 2025 + Export",BG789+BF789,BF789))</f>
        <v/>
      </c>
      <c r="H789" s="55">
        <f>G789*F789</f>
        <v/>
      </c>
      <c r="I789" s="55">
        <f>BI789*Parameter!$B$18</f>
        <v/>
      </c>
      <c r="J789" s="56" t="n">
        <v>151.5</v>
      </c>
      <c r="K789" s="57" t="n">
        <v>0.8712871287128713</v>
      </c>
      <c r="L789" s="55" t="n">
        <v>7</v>
      </c>
      <c r="M789" s="55" t="n">
        <v>130</v>
      </c>
      <c r="N789" s="58" t="n">
        <v>21</v>
      </c>
      <c r="O789" s="53" t="inlineStr">
        <is>
          <t>S21</t>
        </is>
      </c>
      <c r="P789" s="55" t="n">
        <v>70</v>
      </c>
      <c r="Q789" s="59">
        <f>IF(BO789=1,0,IFERROR(VLOOKUP(BM789,'Gebinde-Kategorie'!$A$5:$G$45,6,0)+0,0))</f>
        <v/>
      </c>
      <c r="R789" s="60" t="n"/>
      <c r="S789" s="61" t="n"/>
      <c r="T789" s="61" t="n"/>
      <c r="U789" s="53">
        <f>IF(A789="","",IF(IFERROR(VLOOKUP(D789,Parameter!$A$35:$C$64,2,0),"Nein")="2+3",IF(ISNUMBER(SEARCH("grosser Artikel",BJ789)),2,IFERROR(VLOOKUP(BM789,Parameter!$F$35:$G$64,2,0),2)),IF(OR(IFERROR(VLOOKUP(D789,Parameter!$A$35:$C$64,2,0),"Nein")="Nein",IFERROR(VLOOKUP(D789,Parameter!$A$35:$C$64,2,0),"Nein")=""),"-",VLOOKUP(D789,Parameter!$A$35:$C$64,2,0))))</f>
        <v/>
      </c>
      <c r="V789" s="61" t="n"/>
      <c r="W789" s="62" t="n"/>
      <c r="X789" s="55">
        <f>AM789</f>
        <v/>
      </c>
      <c r="Y789" s="55">
        <f>MAX(AM789,G789)</f>
        <v/>
      </c>
      <c r="Z789" s="63" t="n"/>
      <c r="AA789" s="55">
        <f>IF(LEFT(Cockpit!$C$5,1)="A",G789,IF(BT789=1,BU789,IF(LEFT(Cockpit!$C$5,1)="B",AE789,MAX(AE789,G789))))</f>
        <v/>
      </c>
      <c r="AB789" s="55">
        <f>IF(BO789=1,0,ROUNDUP(AA789/BN789,0))</f>
        <v/>
      </c>
      <c r="AC789" s="64">
        <f>IF(BO789=1,IF(AA789&lt;=0,0,BP789*MAX(1,IF(G789&gt;0,AA789/G789,1))),AB789*Q789)</f>
        <v/>
      </c>
      <c r="AD789" s="55">
        <f>AA789*F789</f>
        <v/>
      </c>
      <c r="AE789" s="55">
        <f>ROUNDUP(MAX(I789/IF(BS789&gt;0,BS789,MAX(0.1,N(Cockpit!$C$6))),BV789)/BN789,0)*BN789</f>
        <v/>
      </c>
      <c r="AF789" s="56">
        <f>IF(AC789&gt;0,I789/AC789,-1)</f>
        <v/>
      </c>
      <c r="AG789" s="56">
        <f>IF(AND(OR(BR789="L1",BR789="L23"),AC789&gt;0),SUMIFS($AC$7:$AC$1570,$BR$7:$BR$1570,BR789,$AF$7:$AF$1570,"&gt;"&amp;AF789)+SUMIFS($AC$7:$AC$1570,$BR$7:$BR$1570,BR789,$AF$7:$AF$1570,AF789,$BL$7:$BL$1570,"&lt;="&amp;BL789),"")</f>
        <v/>
      </c>
      <c r="AH789" s="65">
        <f>IF(AG789="",0,MAX(0,MIN(1,(IF(BR789="L1",Parameter!$K$5,Parameter!$K$6+Parameter!$K$7)-(AG789-AC789))/AC789)))</f>
        <v/>
      </c>
      <c r="AI789" s="55">
        <f>IF(LEFT(Cockpit!$I$5,1)="A",G789,IF(BT789=1,BU789,IF(LEFT(Cockpit!$I$5,1)="B",AM789,MAX(AM789,G789))))</f>
        <v/>
      </c>
      <c r="AJ789" s="55">
        <f>IF(BO789=1,0,ROUNDUP(AI789/BN789,0))</f>
        <v/>
      </c>
      <c r="AK789" s="64">
        <f>IF(BO789=1,IF(AI789&lt;=0,0,BP789*MAX(1,IF(G789&gt;0,AI789/G789,1))),AJ789*Q789)</f>
        <v/>
      </c>
      <c r="AL789" s="55">
        <f>AI789*F789</f>
        <v/>
      </c>
      <c r="AM789" s="55">
        <f>ROUNDUP(MAX(I789/IF(BS789&gt;0,BS789,MAX(0.1,N(Cockpit!$I$6))),BV789)/BN789,0)*BN789</f>
        <v/>
      </c>
      <c r="AN789" s="56">
        <f>IF(AK789&gt;0,I789/AK789,-1)</f>
        <v/>
      </c>
      <c r="AO789" s="56">
        <f>IF(AND(OR(BR789="L1",BR789="L23"),AK789&gt;0),SUMIFS($AK$7:$AK$1570,$BR$7:$BR$1570,BR789,$AN$7:$AN$1570,"&gt;"&amp;AN789)+SUMIFS($AK$7:$AK$1570,$BR$7:$BR$1570,BR789,$AN$7:$AN$1570,AN789,$BL$7:$BL$1570,"&lt;="&amp;BL789),"")</f>
        <v/>
      </c>
      <c r="AP789" s="65">
        <f>IF(AO789="",0,MAX(0,MIN(1,(IF(BR789="L1",Parameter!$K$5,Parameter!$K$6+Parameter!$K$7)-(AO789-AK789))/AK789)))</f>
        <v/>
      </c>
      <c r="AQ789" s="55">
        <f>IF(LEFT(Cockpit!$O$5,1)="A",G789,IF(BT789=1,BU789,IF(LEFT(Cockpit!$O$5,1)="B",AU789,MAX(AU789,G789))))</f>
        <v/>
      </c>
      <c r="AR789" s="55">
        <f>IF(BO789=1,0,ROUNDUP(AQ789/BN789,0))</f>
        <v/>
      </c>
      <c r="AS789" s="64">
        <f>IF(BO789=1,IF(AQ789&lt;=0,0,BP789*MAX(1,IF(G789&gt;0,AQ789/G789,1))),AR789*Q789)</f>
        <v/>
      </c>
      <c r="AT789" s="55">
        <f>AQ789*F789</f>
        <v/>
      </c>
      <c r="AU789" s="55">
        <f>ROUNDUP(MAX(I789/IF(BS789&gt;0,BS789,MAX(0.1,N(Cockpit!$O$6))),BV789)/BN789,0)*BN789</f>
        <v/>
      </c>
      <c r="AV789" s="56">
        <f>IF(AS789&gt;0,I789/AS789,-1)</f>
        <v/>
      </c>
      <c r="AW789" s="56">
        <f>IF(AND(OR(BR789="L1",BR789="L23"),AS789&gt;0),SUMIFS($AS$7:$AS$1570,$BR$7:$BR$1570,BR789,$AV$7:$AV$1570,"&gt;"&amp;AV789)+SUMIFS($AS$7:$AS$1570,$BR$7:$BR$1570,BR789,$AV$7:$AV$1570,AV789,$BL$7:$BL$1570,"&lt;="&amp;BL789),"")</f>
        <v/>
      </c>
      <c r="AX789" s="65">
        <f>IF(AW789="",0,MAX(0,MIN(1,(IF(BR789="L1",Parameter!$K$5,Parameter!$K$6+Parameter!$K$7)-(AW789-AS789))/AS789)))</f>
        <v/>
      </c>
      <c r="AY789" s="53">
        <f>IF(AC789&lt;=0,"",IF(BR789="Aussen","Aussenlager",IF(BR789="-","Nicht im Lift",IF(AH789&gt;=1,"Lift",IF(AH789&lt;=0,"Aussenlager","teilweise")))))</f>
        <v/>
      </c>
      <c r="AZ789" s="53">
        <f>IF(AK789&lt;=0,"",IF(BR789="Aussen","Aussenlager",IF(BR789="-","Nicht im Lift",IF(AP789&gt;=1,"Lift",IF(AP789&lt;=0,"Aussenlager","teilweise")))))</f>
        <v/>
      </c>
      <c r="BA789" s="53">
        <f>IF(AS789&lt;=0,"",IF(BR789="Aussen","Aussenlager",IF(BR789="-","Nicht im Lift",IF(AX789&gt;=1,"Lift",IF(AX789&lt;=0,"Aussenlager","teilweise")))))</f>
        <v/>
      </c>
      <c r="BB789" s="53">
        <f>IF(A789="","",IF(BK789=1,"Neu; ","")&amp;IF(AND(BK789=0,BF789&lt;0),"negativer Bestand (Export "&amp;BF789&amp;"); ","")&amp;IF(I789&lt;=0,"Kein Verbrauch; ","")&amp;IF(BO789=1,"Lose – Fläche geschätzt; ","")&amp;IF(G789&gt;AM789,"Überbestand "&amp;ROUND(G789-AM789,0)&amp;" Stk / CHF "&amp;ROUND((G789-AM789)*F789,0)&amp;"; ","")&amp;IF(AND(BT789=1,BU789&lt;BV789),"MAX &lt; MB+LG; ","")&amp;IF(AND(BZ789&gt;0,BY789*10&gt;BZ789),"zu hoch für Tablar; ","")&amp;IF(AND(BK789=0,OR(BT789=1,V789&lt;&gt;"",S789&lt;&gt;"",T789&lt;&gt;"",W789&lt;&gt;"")),"manuell übersteuert; ","")&amp;IF(AND(BO789=0,Q789=0),"Gebinde unbekannt; ","")&amp;IF(AND(BO789=0,N(T789)&lt;=0,N(P789)&lt;=0),"Menge pro Gebinde fehlt (Ist = 1 Gebinde); ","")&amp;BJ789)</f>
        <v/>
      </c>
      <c r="BC789" s="53" t="n"/>
      <c r="BD789" s="53" t="n"/>
      <c r="BE789" s="61" t="n"/>
      <c r="BF789" s="55" t="n">
        <v>-101</v>
      </c>
      <c r="BG789" s="55" t="n">
        <v>153</v>
      </c>
      <c r="BH789" s="54" t="n">
        <v>-3.03</v>
      </c>
      <c r="BI789" s="55" t="n">
        <v>132</v>
      </c>
      <c r="BJ789" s="53" t="inlineStr"/>
      <c r="BK789" s="58" t="n">
        <v>0</v>
      </c>
      <c r="BL789" s="58" t="n">
        <v>789</v>
      </c>
      <c r="BM789" s="53">
        <f>IF(S789&lt;&gt;"",UPPER(TRIM(S789)),IF(O789="","LOSE",O789))</f>
        <v/>
      </c>
      <c r="BN789" s="55">
        <f>IF(BM789="LOSE",1,IF(N(T789)&gt;0,T789,IF(N(P789)&gt;0,P789,MAX(1,G789))))</f>
        <v/>
      </c>
      <c r="BO789" s="58">
        <f>IF(BM789="LOSE",1,0)</f>
        <v/>
      </c>
      <c r="BP789" s="64">
        <f>IF(BO789=0,0,IF(N(R789)&gt;0,R789,IFERROR(VLOOKUP(D789,Parameter!$A$35:$C$64,3,0)+0,0)))</f>
        <v/>
      </c>
      <c r="BQ789" s="53">
        <f>IF(V789&lt;&gt;"",V789,U789)</f>
        <v/>
      </c>
      <c r="BR789" s="53">
        <f>IF(BQ789=1,"L1",IF(OR(BQ789=2,BQ789=3),"L23",IF(BQ789="Aussen","Aussen","-")))</f>
        <v/>
      </c>
      <c r="BS789" s="66">
        <f>IF(N(W789)&gt;0,W789,0)</f>
        <v/>
      </c>
      <c r="BT789" s="58">
        <f>IF(ISNUMBER(Z789),1,0)</f>
        <v/>
      </c>
      <c r="BU789" s="55">
        <f>N(Z789)</f>
        <v/>
      </c>
      <c r="BV789" s="55">
        <f>N(L789)+N(M789)</f>
        <v/>
      </c>
      <c r="BW789" s="55">
        <f>ROUNDUP(G789/BN789,0)</f>
        <v/>
      </c>
      <c r="BX789" s="55">
        <f>ROUNDUP(BU789/BN789,0)</f>
        <v/>
      </c>
      <c r="BY789" s="58">
        <f>IF(BO789=1,0,IFERROR(VLOOKUP(BM789,'Gebinde-Kategorie'!$A$5:$G$45,5,0)+0,0))</f>
        <v/>
      </c>
      <c r="BZ789" s="58">
        <f>IFERROR(IF(OR(BQ789=1,BQ789=2,BQ789=3),N(INDEX(Parameter!$I$5:$I$7,BQ789)),0),0)</f>
        <v/>
      </c>
    </row>
    <row r="790">
      <c r="A790" s="53" t="inlineStr">
        <is>
          <t>106455</t>
        </is>
      </c>
      <c r="B790" s="53" t="inlineStr">
        <is>
          <t>Verschlussstopfen</t>
        </is>
      </c>
      <c r="C790" s="53" t="inlineStr">
        <is>
          <t>F</t>
        </is>
      </c>
      <c r="D790" s="53" t="inlineStr">
        <is>
          <t>KTL</t>
        </is>
      </c>
      <c r="E790" s="53" t="inlineStr">
        <is>
          <t>C</t>
        </is>
      </c>
      <c r="F790" s="54" t="n">
        <v>1.53</v>
      </c>
      <c r="G790" s="55">
        <f>MAX(0,IF(Parameter!$B$20="Jahresanfang 2025 + Export",BG790+BF790,BF790))</f>
        <v/>
      </c>
      <c r="H790" s="55">
        <f>G790*F790</f>
        <v/>
      </c>
      <c r="I790" s="55">
        <f>BI790*Parameter!$B$18</f>
        <v/>
      </c>
      <c r="J790" s="56" t="n">
        <v>28</v>
      </c>
      <c r="K790" s="57" t="n">
        <v>0.07142857142857142</v>
      </c>
      <c r="L790" s="55" t="n">
        <v>0</v>
      </c>
      <c r="M790" s="55" t="n">
        <v>1</v>
      </c>
      <c r="N790" s="58" t="n">
        <v>14</v>
      </c>
      <c r="O790" s="53" t="inlineStr">
        <is>
          <t>S22</t>
        </is>
      </c>
      <c r="P790" s="55" t="n">
        <v>34</v>
      </c>
      <c r="Q790" s="59">
        <f>IF(BO790=1,0,IFERROR(VLOOKUP(BM790,'Gebinde-Kategorie'!$A$5:$G$45,6,0)+0,0))</f>
        <v/>
      </c>
      <c r="R790" s="60" t="n"/>
      <c r="S790" s="61" t="n"/>
      <c r="T790" s="61" t="n"/>
      <c r="U790" s="53">
        <f>IF(A790="","",IF(IFERROR(VLOOKUP(D790,Parameter!$A$35:$C$64,2,0),"Nein")="2+3",IF(ISNUMBER(SEARCH("grosser Artikel",BJ790)),2,IFERROR(VLOOKUP(BM790,Parameter!$F$35:$G$64,2,0),2)),IF(OR(IFERROR(VLOOKUP(D790,Parameter!$A$35:$C$64,2,0),"Nein")="Nein",IFERROR(VLOOKUP(D790,Parameter!$A$35:$C$64,2,0),"Nein")=""),"-",VLOOKUP(D790,Parameter!$A$35:$C$64,2,0))))</f>
        <v/>
      </c>
      <c r="V790" s="61" t="n"/>
      <c r="W790" s="62" t="n"/>
      <c r="X790" s="55">
        <f>AM790</f>
        <v/>
      </c>
      <c r="Y790" s="55">
        <f>MAX(AM790,G790)</f>
        <v/>
      </c>
      <c r="Z790" s="63" t="n"/>
      <c r="AA790" s="55">
        <f>IF(LEFT(Cockpit!$C$5,1)="A",G790,IF(BT790=1,BU790,IF(LEFT(Cockpit!$C$5,1)="B",AE790,MAX(AE790,G790))))</f>
        <v/>
      </c>
      <c r="AB790" s="55">
        <f>IF(BO790=1,0,ROUNDUP(AA790/BN790,0))</f>
        <v/>
      </c>
      <c r="AC790" s="64">
        <f>IF(BO790=1,IF(AA790&lt;=0,0,BP790*MAX(1,IF(G790&gt;0,AA790/G790,1))),AB790*Q790)</f>
        <v/>
      </c>
      <c r="AD790" s="55">
        <f>AA790*F790</f>
        <v/>
      </c>
      <c r="AE790" s="55">
        <f>ROUNDUP(MAX(I790/IF(BS790&gt;0,BS790,MAX(0.1,N(Cockpit!$C$6))),BV790)/BN790,0)*BN790</f>
        <v/>
      </c>
      <c r="AF790" s="56">
        <f>IF(AC790&gt;0,I790/AC790,-1)</f>
        <v/>
      </c>
      <c r="AG790" s="56">
        <f>IF(AND(OR(BR790="L1",BR790="L23"),AC790&gt;0),SUMIFS($AC$7:$AC$1570,$BR$7:$BR$1570,BR790,$AF$7:$AF$1570,"&gt;"&amp;AF790)+SUMIFS($AC$7:$AC$1570,$BR$7:$BR$1570,BR790,$AF$7:$AF$1570,AF790,$BL$7:$BL$1570,"&lt;="&amp;BL790),"")</f>
        <v/>
      </c>
      <c r="AH790" s="65">
        <f>IF(AG790="",0,MAX(0,MIN(1,(IF(BR790="L1",Parameter!$K$5,Parameter!$K$6+Parameter!$K$7)-(AG790-AC790))/AC790)))</f>
        <v/>
      </c>
      <c r="AI790" s="55">
        <f>IF(LEFT(Cockpit!$I$5,1)="A",G790,IF(BT790=1,BU790,IF(LEFT(Cockpit!$I$5,1)="B",AM790,MAX(AM790,G790))))</f>
        <v/>
      </c>
      <c r="AJ790" s="55">
        <f>IF(BO790=1,0,ROUNDUP(AI790/BN790,0))</f>
        <v/>
      </c>
      <c r="AK790" s="64">
        <f>IF(BO790=1,IF(AI790&lt;=0,0,BP790*MAX(1,IF(G790&gt;0,AI790/G790,1))),AJ790*Q790)</f>
        <v/>
      </c>
      <c r="AL790" s="55">
        <f>AI790*F790</f>
        <v/>
      </c>
      <c r="AM790" s="55">
        <f>ROUNDUP(MAX(I790/IF(BS790&gt;0,BS790,MAX(0.1,N(Cockpit!$I$6))),BV790)/BN790,0)*BN790</f>
        <v/>
      </c>
      <c r="AN790" s="56">
        <f>IF(AK790&gt;0,I790/AK790,-1)</f>
        <v/>
      </c>
      <c r="AO790" s="56">
        <f>IF(AND(OR(BR790="L1",BR790="L23"),AK790&gt;0),SUMIFS($AK$7:$AK$1570,$BR$7:$BR$1570,BR790,$AN$7:$AN$1570,"&gt;"&amp;AN790)+SUMIFS($AK$7:$AK$1570,$BR$7:$BR$1570,BR790,$AN$7:$AN$1570,AN790,$BL$7:$BL$1570,"&lt;="&amp;BL790),"")</f>
        <v/>
      </c>
      <c r="AP790" s="65">
        <f>IF(AO790="",0,MAX(0,MIN(1,(IF(BR790="L1",Parameter!$K$5,Parameter!$K$6+Parameter!$K$7)-(AO790-AK790))/AK790)))</f>
        <v/>
      </c>
      <c r="AQ790" s="55">
        <f>IF(LEFT(Cockpit!$O$5,1)="A",G790,IF(BT790=1,BU790,IF(LEFT(Cockpit!$O$5,1)="B",AU790,MAX(AU790,G790))))</f>
        <v/>
      </c>
      <c r="AR790" s="55">
        <f>IF(BO790=1,0,ROUNDUP(AQ790/BN790,0))</f>
        <v/>
      </c>
      <c r="AS790" s="64">
        <f>IF(BO790=1,IF(AQ790&lt;=0,0,BP790*MAX(1,IF(G790&gt;0,AQ790/G790,1))),AR790*Q790)</f>
        <v/>
      </c>
      <c r="AT790" s="55">
        <f>AQ790*F790</f>
        <v/>
      </c>
      <c r="AU790" s="55">
        <f>ROUNDUP(MAX(I790/IF(BS790&gt;0,BS790,MAX(0.1,N(Cockpit!$O$6))),BV790)/BN790,0)*BN790</f>
        <v/>
      </c>
      <c r="AV790" s="56">
        <f>IF(AS790&gt;0,I790/AS790,-1)</f>
        <v/>
      </c>
      <c r="AW790" s="56">
        <f>IF(AND(OR(BR790="L1",BR790="L23"),AS790&gt;0),SUMIFS($AS$7:$AS$1570,$BR$7:$BR$1570,BR790,$AV$7:$AV$1570,"&gt;"&amp;AV790)+SUMIFS($AS$7:$AS$1570,$BR$7:$BR$1570,BR790,$AV$7:$AV$1570,AV790,$BL$7:$BL$1570,"&lt;="&amp;BL790),"")</f>
        <v/>
      </c>
      <c r="AX790" s="65">
        <f>IF(AW790="",0,MAX(0,MIN(1,(IF(BR790="L1",Parameter!$K$5,Parameter!$K$6+Parameter!$K$7)-(AW790-AS790))/AS790)))</f>
        <v/>
      </c>
      <c r="AY790" s="53">
        <f>IF(AC790&lt;=0,"",IF(BR790="Aussen","Aussenlager",IF(BR790="-","Nicht im Lift",IF(AH790&gt;=1,"Lift",IF(AH790&lt;=0,"Aussenlager","teilweise")))))</f>
        <v/>
      </c>
      <c r="AZ790" s="53">
        <f>IF(AK790&lt;=0,"",IF(BR790="Aussen","Aussenlager",IF(BR790="-","Nicht im Lift",IF(AP790&gt;=1,"Lift",IF(AP790&lt;=0,"Aussenlager","teilweise")))))</f>
        <v/>
      </c>
      <c r="BA790" s="53">
        <f>IF(AS790&lt;=0,"",IF(BR790="Aussen","Aussenlager",IF(BR790="-","Nicht im Lift",IF(AX790&gt;=1,"Lift",IF(AX790&lt;=0,"Aussenlager","teilweise")))))</f>
        <v/>
      </c>
      <c r="BB790" s="53">
        <f>IF(A790="","",IF(BK790=1,"Neu; ","")&amp;IF(AND(BK790=0,BF790&lt;0),"negativer Bestand (Export "&amp;BF790&amp;"); ","")&amp;IF(I790&lt;=0,"Kein Verbrauch; ","")&amp;IF(BO790=1,"Lose – Fläche geschätzt; ","")&amp;IF(G790&gt;AM790,"Überbestand "&amp;ROUND(G790-AM790,0)&amp;" Stk / CHF "&amp;ROUND((G790-AM790)*F790,0)&amp;"; ","")&amp;IF(AND(BT790=1,BU790&lt;BV790),"MAX &lt; MB+LG; ","")&amp;IF(AND(BZ790&gt;0,BY790*10&gt;BZ790),"zu hoch für Tablar; ","")&amp;IF(AND(BK790=0,OR(BT790=1,V790&lt;&gt;"",S790&lt;&gt;"",T790&lt;&gt;"",W790&lt;&gt;"")),"manuell übersteuert; ","")&amp;IF(AND(BO790=0,Q790=0),"Gebinde unbekannt; ","")&amp;IF(AND(BO790=0,N(T790)&lt;=0,N(P790)&lt;=0),"Menge pro Gebinde fehlt (Ist = 1 Gebinde); ","")&amp;BJ790)</f>
        <v/>
      </c>
      <c r="BC790" s="53" t="n"/>
      <c r="BD790" s="53" t="n"/>
      <c r="BE790" s="61" t="n"/>
      <c r="BF790" s="55" t="n">
        <v>-2</v>
      </c>
      <c r="BG790" s="55" t="n">
        <v>29</v>
      </c>
      <c r="BH790" s="54" t="n">
        <v>-3.06</v>
      </c>
      <c r="BI790" s="55" t="n">
        <v>2</v>
      </c>
      <c r="BJ790" s="53" t="inlineStr"/>
      <c r="BK790" s="58" t="n">
        <v>0</v>
      </c>
      <c r="BL790" s="58" t="n">
        <v>790</v>
      </c>
      <c r="BM790" s="53">
        <f>IF(S790&lt;&gt;"",UPPER(TRIM(S790)),IF(O790="","LOSE",O790))</f>
        <v/>
      </c>
      <c r="BN790" s="55">
        <f>IF(BM790="LOSE",1,IF(N(T790)&gt;0,T790,IF(N(P790)&gt;0,P790,MAX(1,G790))))</f>
        <v/>
      </c>
      <c r="BO790" s="58">
        <f>IF(BM790="LOSE",1,0)</f>
        <v/>
      </c>
      <c r="BP790" s="64">
        <f>IF(BO790=0,0,IF(N(R790)&gt;0,R790,IFERROR(VLOOKUP(D790,Parameter!$A$35:$C$64,3,0)+0,0)))</f>
        <v/>
      </c>
      <c r="BQ790" s="53">
        <f>IF(V790&lt;&gt;"",V790,U790)</f>
        <v/>
      </c>
      <c r="BR790" s="53">
        <f>IF(BQ790=1,"L1",IF(OR(BQ790=2,BQ790=3),"L23",IF(BQ790="Aussen","Aussen","-")))</f>
        <v/>
      </c>
      <c r="BS790" s="66">
        <f>IF(N(W790)&gt;0,W790,0)</f>
        <v/>
      </c>
      <c r="BT790" s="58">
        <f>IF(ISNUMBER(Z790),1,0)</f>
        <v/>
      </c>
      <c r="BU790" s="55">
        <f>N(Z790)</f>
        <v/>
      </c>
      <c r="BV790" s="55">
        <f>N(L790)+N(M790)</f>
        <v/>
      </c>
      <c r="BW790" s="55">
        <f>ROUNDUP(G790/BN790,0)</f>
        <v/>
      </c>
      <c r="BX790" s="55">
        <f>ROUNDUP(BU790/BN790,0)</f>
        <v/>
      </c>
      <c r="BY790" s="58">
        <f>IF(BO790=1,0,IFERROR(VLOOKUP(BM790,'Gebinde-Kategorie'!$A$5:$G$45,5,0)+0,0))</f>
        <v/>
      </c>
      <c r="BZ790" s="58">
        <f>IFERROR(IF(OR(BQ790=1,BQ790=2,BQ790=3),N(INDEX(Parameter!$I$5:$I$7,BQ790)),0),0)</f>
        <v/>
      </c>
    </row>
    <row r="791">
      <c r="A791" s="53" t="inlineStr">
        <is>
          <t>102086</t>
        </is>
      </c>
      <c r="B791" s="53" t="inlineStr">
        <is>
          <t>Zylinderschraube mit Innensechskant</t>
        </is>
      </c>
      <c r="C791" s="53" t="inlineStr">
        <is>
          <t>F</t>
        </is>
      </c>
      <c r="D791" s="53" t="inlineStr">
        <is>
          <t>KTL</t>
        </is>
      </c>
      <c r="E791" s="53" t="inlineStr">
        <is>
          <t>C</t>
        </is>
      </c>
      <c r="F791" s="54" t="n">
        <v>0.19</v>
      </c>
      <c r="G791" s="55">
        <f>MAX(0,IF(Parameter!$B$20="Jahresanfang 2025 + Export",BG791+BF791,BF791))</f>
        <v/>
      </c>
      <c r="H791" s="55">
        <f>G791*F791</f>
        <v/>
      </c>
      <c r="I791" s="55">
        <f>BI791*Parameter!$B$18</f>
        <v/>
      </c>
      <c r="J791" s="56" t="n">
        <v>70.5</v>
      </c>
      <c r="K791" s="57" t="n">
        <v>0.0851063829787234</v>
      </c>
      <c r="L791" s="55" t="n">
        <v>0</v>
      </c>
      <c r="M791" s="55" t="n">
        <v>5</v>
      </c>
      <c r="N791" s="58" t="n">
        <v>14</v>
      </c>
      <c r="O791" s="53" t="inlineStr">
        <is>
          <t>S22</t>
        </is>
      </c>
      <c r="P791" s="55" t="n">
        <v>93</v>
      </c>
      <c r="Q791" s="59">
        <f>IF(BO791=1,0,IFERROR(VLOOKUP(BM791,'Gebinde-Kategorie'!$A$5:$G$45,6,0)+0,0))</f>
        <v/>
      </c>
      <c r="R791" s="60" t="n"/>
      <c r="S791" s="61" t="n"/>
      <c r="T791" s="61" t="n"/>
      <c r="U791" s="53">
        <f>IF(A791="","",IF(IFERROR(VLOOKUP(D791,Parameter!$A$35:$C$64,2,0),"Nein")="2+3",IF(ISNUMBER(SEARCH("grosser Artikel",BJ791)),2,IFERROR(VLOOKUP(BM791,Parameter!$F$35:$G$64,2,0),2)),IF(OR(IFERROR(VLOOKUP(D791,Parameter!$A$35:$C$64,2,0),"Nein")="Nein",IFERROR(VLOOKUP(D791,Parameter!$A$35:$C$64,2,0),"Nein")=""),"-",VLOOKUP(D791,Parameter!$A$35:$C$64,2,0))))</f>
        <v/>
      </c>
      <c r="V791" s="61" t="n"/>
      <c r="W791" s="62" t="n"/>
      <c r="X791" s="55">
        <f>AM791</f>
        <v/>
      </c>
      <c r="Y791" s="55">
        <f>MAX(AM791,G791)</f>
        <v/>
      </c>
      <c r="Z791" s="63" t="n"/>
      <c r="AA791" s="55">
        <f>IF(LEFT(Cockpit!$C$5,1)="A",G791,IF(BT791=1,BU791,IF(LEFT(Cockpit!$C$5,1)="B",AE791,MAX(AE791,G791))))</f>
        <v/>
      </c>
      <c r="AB791" s="55">
        <f>IF(BO791=1,0,ROUNDUP(AA791/BN791,0))</f>
        <v/>
      </c>
      <c r="AC791" s="64">
        <f>IF(BO791=1,IF(AA791&lt;=0,0,BP791*MAX(1,IF(G791&gt;0,AA791/G791,1))),AB791*Q791)</f>
        <v/>
      </c>
      <c r="AD791" s="55">
        <f>AA791*F791</f>
        <v/>
      </c>
      <c r="AE791" s="55">
        <f>ROUNDUP(MAX(I791/IF(BS791&gt;0,BS791,MAX(0.1,N(Cockpit!$C$6))),BV791)/BN791,0)*BN791</f>
        <v/>
      </c>
      <c r="AF791" s="56">
        <f>IF(AC791&gt;0,I791/AC791,-1)</f>
        <v/>
      </c>
      <c r="AG791" s="56">
        <f>IF(AND(OR(BR791="L1",BR791="L23"),AC791&gt;0),SUMIFS($AC$7:$AC$1570,$BR$7:$BR$1570,BR791,$AF$7:$AF$1570,"&gt;"&amp;AF791)+SUMIFS($AC$7:$AC$1570,$BR$7:$BR$1570,BR791,$AF$7:$AF$1570,AF791,$BL$7:$BL$1570,"&lt;="&amp;BL791),"")</f>
        <v/>
      </c>
      <c r="AH791" s="65">
        <f>IF(AG791="",0,MAX(0,MIN(1,(IF(BR791="L1",Parameter!$K$5,Parameter!$K$6+Parameter!$K$7)-(AG791-AC791))/AC791)))</f>
        <v/>
      </c>
      <c r="AI791" s="55">
        <f>IF(LEFT(Cockpit!$I$5,1)="A",G791,IF(BT791=1,BU791,IF(LEFT(Cockpit!$I$5,1)="B",AM791,MAX(AM791,G791))))</f>
        <v/>
      </c>
      <c r="AJ791" s="55">
        <f>IF(BO791=1,0,ROUNDUP(AI791/BN791,0))</f>
        <v/>
      </c>
      <c r="AK791" s="64">
        <f>IF(BO791=1,IF(AI791&lt;=0,0,BP791*MAX(1,IF(G791&gt;0,AI791/G791,1))),AJ791*Q791)</f>
        <v/>
      </c>
      <c r="AL791" s="55">
        <f>AI791*F791</f>
        <v/>
      </c>
      <c r="AM791" s="55">
        <f>ROUNDUP(MAX(I791/IF(BS791&gt;0,BS791,MAX(0.1,N(Cockpit!$I$6))),BV791)/BN791,0)*BN791</f>
        <v/>
      </c>
      <c r="AN791" s="56">
        <f>IF(AK791&gt;0,I791/AK791,-1)</f>
        <v/>
      </c>
      <c r="AO791" s="56">
        <f>IF(AND(OR(BR791="L1",BR791="L23"),AK791&gt;0),SUMIFS($AK$7:$AK$1570,$BR$7:$BR$1570,BR791,$AN$7:$AN$1570,"&gt;"&amp;AN791)+SUMIFS($AK$7:$AK$1570,$BR$7:$BR$1570,BR791,$AN$7:$AN$1570,AN791,$BL$7:$BL$1570,"&lt;="&amp;BL791),"")</f>
        <v/>
      </c>
      <c r="AP791" s="65">
        <f>IF(AO791="",0,MAX(0,MIN(1,(IF(BR791="L1",Parameter!$K$5,Parameter!$K$6+Parameter!$K$7)-(AO791-AK791))/AK791)))</f>
        <v/>
      </c>
      <c r="AQ791" s="55">
        <f>IF(LEFT(Cockpit!$O$5,1)="A",G791,IF(BT791=1,BU791,IF(LEFT(Cockpit!$O$5,1)="B",AU791,MAX(AU791,G791))))</f>
        <v/>
      </c>
      <c r="AR791" s="55">
        <f>IF(BO791=1,0,ROUNDUP(AQ791/BN791,0))</f>
        <v/>
      </c>
      <c r="AS791" s="64">
        <f>IF(BO791=1,IF(AQ791&lt;=0,0,BP791*MAX(1,IF(G791&gt;0,AQ791/G791,1))),AR791*Q791)</f>
        <v/>
      </c>
      <c r="AT791" s="55">
        <f>AQ791*F791</f>
        <v/>
      </c>
      <c r="AU791" s="55">
        <f>ROUNDUP(MAX(I791/IF(BS791&gt;0,BS791,MAX(0.1,N(Cockpit!$O$6))),BV791)/BN791,0)*BN791</f>
        <v/>
      </c>
      <c r="AV791" s="56">
        <f>IF(AS791&gt;0,I791/AS791,-1)</f>
        <v/>
      </c>
      <c r="AW791" s="56">
        <f>IF(AND(OR(BR791="L1",BR791="L23"),AS791&gt;0),SUMIFS($AS$7:$AS$1570,$BR$7:$BR$1570,BR791,$AV$7:$AV$1570,"&gt;"&amp;AV791)+SUMIFS($AS$7:$AS$1570,$BR$7:$BR$1570,BR791,$AV$7:$AV$1570,AV791,$BL$7:$BL$1570,"&lt;="&amp;BL791),"")</f>
        <v/>
      </c>
      <c r="AX791" s="65">
        <f>IF(AW791="",0,MAX(0,MIN(1,(IF(BR791="L1",Parameter!$K$5,Parameter!$K$6+Parameter!$K$7)-(AW791-AS791))/AS791)))</f>
        <v/>
      </c>
      <c r="AY791" s="53">
        <f>IF(AC791&lt;=0,"",IF(BR791="Aussen","Aussenlager",IF(BR791="-","Nicht im Lift",IF(AH791&gt;=1,"Lift",IF(AH791&lt;=0,"Aussenlager","teilweise")))))</f>
        <v/>
      </c>
      <c r="AZ791" s="53">
        <f>IF(AK791&lt;=0,"",IF(BR791="Aussen","Aussenlager",IF(BR791="-","Nicht im Lift",IF(AP791&gt;=1,"Lift",IF(AP791&lt;=0,"Aussenlager","teilweise")))))</f>
        <v/>
      </c>
      <c r="BA791" s="53">
        <f>IF(AS791&lt;=0,"",IF(BR791="Aussen","Aussenlager",IF(BR791="-","Nicht im Lift",IF(AX791&gt;=1,"Lift",IF(AX791&lt;=0,"Aussenlager","teilweise")))))</f>
        <v/>
      </c>
      <c r="BB791" s="53">
        <f>IF(A791="","",IF(BK791=1,"Neu; ","")&amp;IF(AND(BK791=0,BF791&lt;0),"negativer Bestand (Export "&amp;BF791&amp;"); ","")&amp;IF(I791&lt;=0,"Kein Verbrauch; ","")&amp;IF(BO791=1,"Lose – Fläche geschätzt; ","")&amp;IF(G791&gt;AM791,"Überbestand "&amp;ROUND(G791-AM791,0)&amp;" Stk / CHF "&amp;ROUND((G791-AM791)*F791,0)&amp;"; ","")&amp;IF(AND(BT791=1,BU791&lt;BV791),"MAX &lt; MB+LG; ","")&amp;IF(AND(BZ791&gt;0,BY791*10&gt;BZ791),"zu hoch für Tablar; ","")&amp;IF(AND(BK791=0,OR(BT791=1,V791&lt;&gt;"",S791&lt;&gt;"",T791&lt;&gt;"",W791&lt;&gt;"")),"manuell übersteuert; ","")&amp;IF(AND(BO791=0,Q791=0),"Gebinde unbekannt; ","")&amp;IF(AND(BO791=0,N(T791)&lt;=0,N(P791)&lt;=0),"Menge pro Gebinde fehlt (Ist = 1 Gebinde); ","")&amp;BJ791)</f>
        <v/>
      </c>
      <c r="BC791" s="53" t="n"/>
      <c r="BD791" s="53" t="n"/>
      <c r="BE791" s="61" t="n"/>
      <c r="BF791" s="55" t="n">
        <v>-17</v>
      </c>
      <c r="BG791" s="55" t="n">
        <v>79</v>
      </c>
      <c r="BH791" s="54" t="n">
        <v>-3.23</v>
      </c>
      <c r="BI791" s="55" t="n">
        <v>6</v>
      </c>
      <c r="BJ791" s="53" t="inlineStr">
        <is>
          <t>Überbestand</t>
        </is>
      </c>
      <c r="BK791" s="58" t="n">
        <v>0</v>
      </c>
      <c r="BL791" s="58" t="n">
        <v>791</v>
      </c>
      <c r="BM791" s="53">
        <f>IF(S791&lt;&gt;"",UPPER(TRIM(S791)),IF(O791="","LOSE",O791))</f>
        <v/>
      </c>
      <c r="BN791" s="55">
        <f>IF(BM791="LOSE",1,IF(N(T791)&gt;0,T791,IF(N(P791)&gt;0,P791,MAX(1,G791))))</f>
        <v/>
      </c>
      <c r="BO791" s="58">
        <f>IF(BM791="LOSE",1,0)</f>
        <v/>
      </c>
      <c r="BP791" s="64">
        <f>IF(BO791=0,0,IF(N(R791)&gt;0,R791,IFERROR(VLOOKUP(D791,Parameter!$A$35:$C$64,3,0)+0,0)))</f>
        <v/>
      </c>
      <c r="BQ791" s="53">
        <f>IF(V791&lt;&gt;"",V791,U791)</f>
        <v/>
      </c>
      <c r="BR791" s="53">
        <f>IF(BQ791=1,"L1",IF(OR(BQ791=2,BQ791=3),"L23",IF(BQ791="Aussen","Aussen","-")))</f>
        <v/>
      </c>
      <c r="BS791" s="66">
        <f>IF(N(W791)&gt;0,W791,0)</f>
        <v/>
      </c>
      <c r="BT791" s="58">
        <f>IF(ISNUMBER(Z791),1,0)</f>
        <v/>
      </c>
      <c r="BU791" s="55">
        <f>N(Z791)</f>
        <v/>
      </c>
      <c r="BV791" s="55">
        <f>N(L791)+N(M791)</f>
        <v/>
      </c>
      <c r="BW791" s="55">
        <f>ROUNDUP(G791/BN791,0)</f>
        <v/>
      </c>
      <c r="BX791" s="55">
        <f>ROUNDUP(BU791/BN791,0)</f>
        <v/>
      </c>
      <c r="BY791" s="58">
        <f>IF(BO791=1,0,IFERROR(VLOOKUP(BM791,'Gebinde-Kategorie'!$A$5:$G$45,5,0)+0,0))</f>
        <v/>
      </c>
      <c r="BZ791" s="58">
        <f>IFERROR(IF(OR(BQ791=1,BQ791=2,BQ791=3),N(INDEX(Parameter!$I$5:$I$7,BQ791)),0),0)</f>
        <v/>
      </c>
    </row>
    <row r="792">
      <c r="A792" s="53" t="inlineStr">
        <is>
          <t>108252</t>
        </is>
      </c>
      <c r="B792" s="53" t="inlineStr">
        <is>
          <t>Klemmenbeschriftungsset unbeschriftet</t>
        </is>
      </c>
      <c r="C792" s="53" t="inlineStr">
        <is>
          <t>F</t>
        </is>
      </c>
      <c r="D792" s="53" t="inlineStr">
        <is>
          <t>PAL</t>
        </is>
      </c>
      <c r="E792" s="53" t="inlineStr">
        <is>
          <t>C</t>
        </is>
      </c>
      <c r="F792" s="54" t="n">
        <v>3.45</v>
      </c>
      <c r="G792" s="55">
        <f>MAX(0,IF(Parameter!$B$20="Jahresanfang 2025 + Export",BG792+BF792,BF792))</f>
        <v/>
      </c>
      <c r="H792" s="55">
        <f>G792*F792</f>
        <v/>
      </c>
      <c r="I792" s="55">
        <f>BI792*Parameter!$B$18</f>
        <v/>
      </c>
      <c r="J792" s="56" t="n">
        <v>18.5</v>
      </c>
      <c r="K792" s="57" t="n">
        <v>0</v>
      </c>
      <c r="L792" s="55" t="n">
        <v>0</v>
      </c>
      <c r="M792" s="55" t="n">
        <v>1</v>
      </c>
      <c r="N792" s="58" t="n">
        <v>35</v>
      </c>
      <c r="O792" s="53" t="inlineStr">
        <is>
          <t>S32</t>
        </is>
      </c>
      <c r="P792" s="55" t="n">
        <v>20</v>
      </c>
      <c r="Q792" s="59">
        <f>IF(BO792=1,0,IFERROR(VLOOKUP(BM792,'Gebinde-Kategorie'!$A$5:$G$45,6,0)+0,0))</f>
        <v/>
      </c>
      <c r="R792" s="60" t="n"/>
      <c r="S792" s="61" t="n"/>
      <c r="T792" s="61" t="n"/>
      <c r="U792" s="53">
        <f>IF(A792="","",IF(IFERROR(VLOOKUP(D792,Parameter!$A$35:$C$64,2,0),"Nein")="2+3",IF(ISNUMBER(SEARCH("grosser Artikel",BJ792)),2,IFERROR(VLOOKUP(BM792,Parameter!$F$35:$G$64,2,0),2)),IF(OR(IFERROR(VLOOKUP(D792,Parameter!$A$35:$C$64,2,0),"Nein")="Nein",IFERROR(VLOOKUP(D792,Parameter!$A$35:$C$64,2,0),"Nein")=""),"-",VLOOKUP(D792,Parameter!$A$35:$C$64,2,0))))</f>
        <v/>
      </c>
      <c r="V792" s="61" t="n"/>
      <c r="W792" s="62" t="n"/>
      <c r="X792" s="55">
        <f>AM792</f>
        <v/>
      </c>
      <c r="Y792" s="55">
        <f>MAX(AM792,G792)</f>
        <v/>
      </c>
      <c r="Z792" s="63" t="n"/>
      <c r="AA792" s="55">
        <f>IF(LEFT(Cockpit!$C$5,1)="A",G792,IF(BT792=1,BU792,IF(LEFT(Cockpit!$C$5,1)="B",AE792,MAX(AE792,G792))))</f>
        <v/>
      </c>
      <c r="AB792" s="55">
        <f>IF(BO792=1,0,ROUNDUP(AA792/BN792,0))</f>
        <v/>
      </c>
      <c r="AC792" s="64">
        <f>IF(BO792=1,IF(AA792&lt;=0,0,BP792*MAX(1,IF(G792&gt;0,AA792/G792,1))),AB792*Q792)</f>
        <v/>
      </c>
      <c r="AD792" s="55">
        <f>AA792*F792</f>
        <v/>
      </c>
      <c r="AE792" s="55">
        <f>ROUNDUP(MAX(I792/IF(BS792&gt;0,BS792,MAX(0.1,N(Cockpit!$C$6))),BV792)/BN792,0)*BN792</f>
        <v/>
      </c>
      <c r="AF792" s="56">
        <f>IF(AC792&gt;0,I792/AC792,-1)</f>
        <v/>
      </c>
      <c r="AG792" s="56">
        <f>IF(AND(OR(BR792="L1",BR792="L23"),AC792&gt;0),SUMIFS($AC$7:$AC$1570,$BR$7:$BR$1570,BR792,$AF$7:$AF$1570,"&gt;"&amp;AF792)+SUMIFS($AC$7:$AC$1570,$BR$7:$BR$1570,BR792,$AF$7:$AF$1570,AF792,$BL$7:$BL$1570,"&lt;="&amp;BL792),"")</f>
        <v/>
      </c>
      <c r="AH792" s="65">
        <f>IF(AG792="",0,MAX(0,MIN(1,(IF(BR792="L1",Parameter!$K$5,Parameter!$K$6+Parameter!$K$7)-(AG792-AC792))/AC792)))</f>
        <v/>
      </c>
      <c r="AI792" s="55">
        <f>IF(LEFT(Cockpit!$I$5,1)="A",G792,IF(BT792=1,BU792,IF(LEFT(Cockpit!$I$5,1)="B",AM792,MAX(AM792,G792))))</f>
        <v/>
      </c>
      <c r="AJ792" s="55">
        <f>IF(BO792=1,0,ROUNDUP(AI792/BN792,0))</f>
        <v/>
      </c>
      <c r="AK792" s="64">
        <f>IF(BO792=1,IF(AI792&lt;=0,0,BP792*MAX(1,IF(G792&gt;0,AI792/G792,1))),AJ792*Q792)</f>
        <v/>
      </c>
      <c r="AL792" s="55">
        <f>AI792*F792</f>
        <v/>
      </c>
      <c r="AM792" s="55">
        <f>ROUNDUP(MAX(I792/IF(BS792&gt;0,BS792,MAX(0.1,N(Cockpit!$I$6))),BV792)/BN792,0)*BN792</f>
        <v/>
      </c>
      <c r="AN792" s="56">
        <f>IF(AK792&gt;0,I792/AK792,-1)</f>
        <v/>
      </c>
      <c r="AO792" s="56">
        <f>IF(AND(OR(BR792="L1",BR792="L23"),AK792&gt;0),SUMIFS($AK$7:$AK$1570,$BR$7:$BR$1570,BR792,$AN$7:$AN$1570,"&gt;"&amp;AN792)+SUMIFS($AK$7:$AK$1570,$BR$7:$BR$1570,BR792,$AN$7:$AN$1570,AN792,$BL$7:$BL$1570,"&lt;="&amp;BL792),"")</f>
        <v/>
      </c>
      <c r="AP792" s="65">
        <f>IF(AO792="",0,MAX(0,MIN(1,(IF(BR792="L1",Parameter!$K$5,Parameter!$K$6+Parameter!$K$7)-(AO792-AK792))/AK792)))</f>
        <v/>
      </c>
      <c r="AQ792" s="55">
        <f>IF(LEFT(Cockpit!$O$5,1)="A",G792,IF(BT792=1,BU792,IF(LEFT(Cockpit!$O$5,1)="B",AU792,MAX(AU792,G792))))</f>
        <v/>
      </c>
      <c r="AR792" s="55">
        <f>IF(BO792=1,0,ROUNDUP(AQ792/BN792,0))</f>
        <v/>
      </c>
      <c r="AS792" s="64">
        <f>IF(BO792=1,IF(AQ792&lt;=0,0,BP792*MAX(1,IF(G792&gt;0,AQ792/G792,1))),AR792*Q792)</f>
        <v/>
      </c>
      <c r="AT792" s="55">
        <f>AQ792*F792</f>
        <v/>
      </c>
      <c r="AU792" s="55">
        <f>ROUNDUP(MAX(I792/IF(BS792&gt;0,BS792,MAX(0.1,N(Cockpit!$O$6))),BV792)/BN792,0)*BN792</f>
        <v/>
      </c>
      <c r="AV792" s="56">
        <f>IF(AS792&gt;0,I792/AS792,-1)</f>
        <v/>
      </c>
      <c r="AW792" s="56">
        <f>IF(AND(OR(BR792="L1",BR792="L23"),AS792&gt;0),SUMIFS($AS$7:$AS$1570,$BR$7:$BR$1570,BR792,$AV$7:$AV$1570,"&gt;"&amp;AV792)+SUMIFS($AS$7:$AS$1570,$BR$7:$BR$1570,BR792,$AV$7:$AV$1570,AV792,$BL$7:$BL$1570,"&lt;="&amp;BL792),"")</f>
        <v/>
      </c>
      <c r="AX792" s="65">
        <f>IF(AW792="",0,MAX(0,MIN(1,(IF(BR792="L1",Parameter!$K$5,Parameter!$K$6+Parameter!$K$7)-(AW792-AS792))/AS792)))</f>
        <v/>
      </c>
      <c r="AY792" s="53">
        <f>IF(AC792&lt;=0,"",IF(BR792="Aussen","Aussenlager",IF(BR792="-","Nicht im Lift",IF(AH792&gt;=1,"Lift",IF(AH792&lt;=0,"Aussenlager","teilweise")))))</f>
        <v/>
      </c>
      <c r="AZ792" s="53">
        <f>IF(AK792&lt;=0,"",IF(BR792="Aussen","Aussenlager",IF(BR792="-","Nicht im Lift",IF(AP792&gt;=1,"Lift",IF(AP792&lt;=0,"Aussenlager","teilweise")))))</f>
        <v/>
      </c>
      <c r="BA792" s="53">
        <f>IF(AS792&lt;=0,"",IF(BR792="Aussen","Aussenlager",IF(BR792="-","Nicht im Lift",IF(AX792&gt;=1,"Lift",IF(AX792&lt;=0,"Aussenlager","teilweise")))))</f>
        <v/>
      </c>
      <c r="BB792" s="53">
        <f>IF(A792="","",IF(BK792=1,"Neu; ","")&amp;IF(AND(BK792=0,BF792&lt;0),"negativer Bestand (Export "&amp;BF792&amp;"); ","")&amp;IF(I792&lt;=0,"Kein Verbrauch; ","")&amp;IF(BO792=1,"Lose – Fläche geschätzt; ","")&amp;IF(G792&gt;AM792,"Überbestand "&amp;ROUND(G792-AM792,0)&amp;" Stk / CHF "&amp;ROUND((G792-AM792)*F792,0)&amp;"; ","")&amp;IF(AND(BT792=1,BU792&lt;BV792),"MAX &lt; MB+LG; ","")&amp;IF(AND(BZ792&gt;0,BY792*10&gt;BZ792),"zu hoch für Tablar; ","")&amp;IF(AND(BK792=0,OR(BT792=1,V792&lt;&gt;"",S792&lt;&gt;"",T792&lt;&gt;"",W792&lt;&gt;"")),"manuell übersteuert; ","")&amp;IF(AND(BO792=0,Q792=0),"Gebinde unbekannt; ","")&amp;IF(AND(BO792=0,N(T792)&lt;=0,N(P792)&lt;=0),"Menge pro Gebinde fehlt (Ist = 1 Gebinde); ","")&amp;BJ792)</f>
        <v/>
      </c>
      <c r="BC792" s="53" t="n"/>
      <c r="BD792" s="53" t="n"/>
      <c r="BE792" s="61" t="n"/>
      <c r="BF792" s="55" t="n">
        <v>-1</v>
      </c>
      <c r="BG792" s="55" t="n">
        <v>19</v>
      </c>
      <c r="BH792" s="54" t="n">
        <v>-3.45</v>
      </c>
      <c r="BI792" s="55" t="n">
        <v>0</v>
      </c>
      <c r="BJ792" s="53" t="inlineStr">
        <is>
          <t>Neuer Art.</t>
        </is>
      </c>
      <c r="BK792" s="58" t="n">
        <v>0</v>
      </c>
      <c r="BL792" s="58" t="n">
        <v>792</v>
      </c>
      <c r="BM792" s="53">
        <f>IF(S792&lt;&gt;"",UPPER(TRIM(S792)),IF(O792="","LOSE",O792))</f>
        <v/>
      </c>
      <c r="BN792" s="55">
        <f>IF(BM792="LOSE",1,IF(N(T792)&gt;0,T792,IF(N(P792)&gt;0,P792,MAX(1,G792))))</f>
        <v/>
      </c>
      <c r="BO792" s="58">
        <f>IF(BM792="LOSE",1,0)</f>
        <v/>
      </c>
      <c r="BP792" s="64">
        <f>IF(BO792=0,0,IF(N(R792)&gt;0,R792,IFERROR(VLOOKUP(D792,Parameter!$A$35:$C$64,3,0)+0,0)))</f>
        <v/>
      </c>
      <c r="BQ792" s="53">
        <f>IF(V792&lt;&gt;"",V792,U792)</f>
        <v/>
      </c>
      <c r="BR792" s="53">
        <f>IF(BQ792=1,"L1",IF(OR(BQ792=2,BQ792=3),"L23",IF(BQ792="Aussen","Aussen","-")))</f>
        <v/>
      </c>
      <c r="BS792" s="66">
        <f>IF(N(W792)&gt;0,W792,0)</f>
        <v/>
      </c>
      <c r="BT792" s="58">
        <f>IF(ISNUMBER(Z792),1,0)</f>
        <v/>
      </c>
      <c r="BU792" s="55">
        <f>N(Z792)</f>
        <v/>
      </c>
      <c r="BV792" s="55">
        <f>N(L792)+N(M792)</f>
        <v/>
      </c>
      <c r="BW792" s="55">
        <f>ROUNDUP(G792/BN792,0)</f>
        <v/>
      </c>
      <c r="BX792" s="55">
        <f>ROUNDUP(BU792/BN792,0)</f>
        <v/>
      </c>
      <c r="BY792" s="58">
        <f>IF(BO792=1,0,IFERROR(VLOOKUP(BM792,'Gebinde-Kategorie'!$A$5:$G$45,5,0)+0,0))</f>
        <v/>
      </c>
      <c r="BZ792" s="58">
        <f>IFERROR(IF(OR(BQ792=1,BQ792=2,BQ792=3),N(INDEX(Parameter!$I$5:$I$7,BQ792)),0),0)</f>
        <v/>
      </c>
    </row>
    <row r="793">
      <c r="A793" s="53" t="inlineStr">
        <is>
          <t>001155</t>
        </is>
      </c>
      <c r="B793" s="53" t="inlineStr">
        <is>
          <t>Kabelbinder</t>
        </is>
      </c>
      <c r="C793" s="53" t="inlineStr">
        <is>
          <t>F</t>
        </is>
      </c>
      <c r="D793" s="53" t="inlineStr">
        <is>
          <t>KTL</t>
        </is>
      </c>
      <c r="E793" s="53" t="inlineStr">
        <is>
          <t>C</t>
        </is>
      </c>
      <c r="F793" s="54" t="n">
        <v>0.01</v>
      </c>
      <c r="G793" s="55">
        <f>MAX(0,IF(Parameter!$B$20="Jahresanfang 2025 + Export",BG793+BF793,BF793))</f>
        <v/>
      </c>
      <c r="H793" s="55">
        <f>G793*F793</f>
        <v/>
      </c>
      <c r="I793" s="55">
        <f>BI793*Parameter!$B$18</f>
        <v/>
      </c>
      <c r="J793" s="56" t="n">
        <v>3164.5</v>
      </c>
      <c r="K793" s="57" t="n">
        <v>3.097171749091484</v>
      </c>
      <c r="L793" s="55" t="n">
        <v>571</v>
      </c>
      <c r="M793" s="55" t="n">
        <v>9800</v>
      </c>
      <c r="N793" s="58" t="n">
        <v>21</v>
      </c>
      <c r="O793" s="53" t="inlineStr">
        <is>
          <t>S51</t>
        </is>
      </c>
      <c r="P793" s="55" t="n">
        <v>4394</v>
      </c>
      <c r="Q793" s="59">
        <f>IF(BO793=1,0,IFERROR(VLOOKUP(BM793,'Gebinde-Kategorie'!$A$5:$G$45,6,0)+0,0))</f>
        <v/>
      </c>
      <c r="R793" s="60" t="n"/>
      <c r="S793" s="61" t="n"/>
      <c r="T793" s="61" t="n"/>
      <c r="U793" s="53">
        <f>IF(A793="","",IF(IFERROR(VLOOKUP(D793,Parameter!$A$35:$C$64,2,0),"Nein")="2+3",IF(ISNUMBER(SEARCH("grosser Artikel",BJ793)),2,IFERROR(VLOOKUP(BM793,Parameter!$F$35:$G$64,2,0),2)),IF(OR(IFERROR(VLOOKUP(D793,Parameter!$A$35:$C$64,2,0),"Nein")="Nein",IFERROR(VLOOKUP(D793,Parameter!$A$35:$C$64,2,0),"Nein")=""),"-",VLOOKUP(D793,Parameter!$A$35:$C$64,2,0))))</f>
        <v/>
      </c>
      <c r="V793" s="61" t="n"/>
      <c r="W793" s="62" t="n"/>
      <c r="X793" s="55">
        <f>AM793</f>
        <v/>
      </c>
      <c r="Y793" s="55">
        <f>MAX(AM793,G793)</f>
        <v/>
      </c>
      <c r="Z793" s="63" t="n"/>
      <c r="AA793" s="55">
        <f>IF(LEFT(Cockpit!$C$5,1)="A",G793,IF(BT793=1,BU793,IF(LEFT(Cockpit!$C$5,1)="B",AE793,MAX(AE793,G793))))</f>
        <v/>
      </c>
      <c r="AB793" s="55">
        <f>IF(BO793=1,0,ROUNDUP(AA793/BN793,0))</f>
        <v/>
      </c>
      <c r="AC793" s="64">
        <f>IF(BO793=1,IF(AA793&lt;=0,0,BP793*MAX(1,IF(G793&gt;0,AA793/G793,1))),AB793*Q793)</f>
        <v/>
      </c>
      <c r="AD793" s="55">
        <f>AA793*F793</f>
        <v/>
      </c>
      <c r="AE793" s="55">
        <f>ROUNDUP(MAX(I793/IF(BS793&gt;0,BS793,MAX(0.1,N(Cockpit!$C$6))),BV793)/BN793,0)*BN793</f>
        <v/>
      </c>
      <c r="AF793" s="56">
        <f>IF(AC793&gt;0,I793/AC793,-1)</f>
        <v/>
      </c>
      <c r="AG793" s="56">
        <f>IF(AND(OR(BR793="L1",BR793="L23"),AC793&gt;0),SUMIFS($AC$7:$AC$1570,$BR$7:$BR$1570,BR793,$AF$7:$AF$1570,"&gt;"&amp;AF793)+SUMIFS($AC$7:$AC$1570,$BR$7:$BR$1570,BR793,$AF$7:$AF$1570,AF793,$BL$7:$BL$1570,"&lt;="&amp;BL793),"")</f>
        <v/>
      </c>
      <c r="AH793" s="65">
        <f>IF(AG793="",0,MAX(0,MIN(1,(IF(BR793="L1",Parameter!$K$5,Parameter!$K$6+Parameter!$K$7)-(AG793-AC793))/AC793)))</f>
        <v/>
      </c>
      <c r="AI793" s="55">
        <f>IF(LEFT(Cockpit!$I$5,1)="A",G793,IF(BT793=1,BU793,IF(LEFT(Cockpit!$I$5,1)="B",AM793,MAX(AM793,G793))))</f>
        <v/>
      </c>
      <c r="AJ793" s="55">
        <f>IF(BO793=1,0,ROUNDUP(AI793/BN793,0))</f>
        <v/>
      </c>
      <c r="AK793" s="64">
        <f>IF(BO793=1,IF(AI793&lt;=0,0,BP793*MAX(1,IF(G793&gt;0,AI793/G793,1))),AJ793*Q793)</f>
        <v/>
      </c>
      <c r="AL793" s="55">
        <f>AI793*F793</f>
        <v/>
      </c>
      <c r="AM793" s="55">
        <f>ROUNDUP(MAX(I793/IF(BS793&gt;0,BS793,MAX(0.1,N(Cockpit!$I$6))),BV793)/BN793,0)*BN793</f>
        <v/>
      </c>
      <c r="AN793" s="56">
        <f>IF(AK793&gt;0,I793/AK793,-1)</f>
        <v/>
      </c>
      <c r="AO793" s="56">
        <f>IF(AND(OR(BR793="L1",BR793="L23"),AK793&gt;0),SUMIFS($AK$7:$AK$1570,$BR$7:$BR$1570,BR793,$AN$7:$AN$1570,"&gt;"&amp;AN793)+SUMIFS($AK$7:$AK$1570,$BR$7:$BR$1570,BR793,$AN$7:$AN$1570,AN793,$BL$7:$BL$1570,"&lt;="&amp;BL793),"")</f>
        <v/>
      </c>
      <c r="AP793" s="65">
        <f>IF(AO793="",0,MAX(0,MIN(1,(IF(BR793="L1",Parameter!$K$5,Parameter!$K$6+Parameter!$K$7)-(AO793-AK793))/AK793)))</f>
        <v/>
      </c>
      <c r="AQ793" s="55">
        <f>IF(LEFT(Cockpit!$O$5,1)="A",G793,IF(BT793=1,BU793,IF(LEFT(Cockpit!$O$5,1)="B",AU793,MAX(AU793,G793))))</f>
        <v/>
      </c>
      <c r="AR793" s="55">
        <f>IF(BO793=1,0,ROUNDUP(AQ793/BN793,0))</f>
        <v/>
      </c>
      <c r="AS793" s="64">
        <f>IF(BO793=1,IF(AQ793&lt;=0,0,BP793*MAX(1,IF(G793&gt;0,AQ793/G793,1))),AR793*Q793)</f>
        <v/>
      </c>
      <c r="AT793" s="55">
        <f>AQ793*F793</f>
        <v/>
      </c>
      <c r="AU793" s="55">
        <f>ROUNDUP(MAX(I793/IF(BS793&gt;0,BS793,MAX(0.1,N(Cockpit!$O$6))),BV793)/BN793,0)*BN793</f>
        <v/>
      </c>
      <c r="AV793" s="56">
        <f>IF(AS793&gt;0,I793/AS793,-1)</f>
        <v/>
      </c>
      <c r="AW793" s="56">
        <f>IF(AND(OR(BR793="L1",BR793="L23"),AS793&gt;0),SUMIFS($AS$7:$AS$1570,$BR$7:$BR$1570,BR793,$AV$7:$AV$1570,"&gt;"&amp;AV793)+SUMIFS($AS$7:$AS$1570,$BR$7:$BR$1570,BR793,$AV$7:$AV$1570,AV793,$BL$7:$BL$1570,"&lt;="&amp;BL793),"")</f>
        <v/>
      </c>
      <c r="AX793" s="65">
        <f>IF(AW793="",0,MAX(0,MIN(1,(IF(BR793="L1",Parameter!$K$5,Parameter!$K$6+Parameter!$K$7)-(AW793-AS793))/AS793)))</f>
        <v/>
      </c>
      <c r="AY793" s="53">
        <f>IF(AC793&lt;=0,"",IF(BR793="Aussen","Aussenlager",IF(BR793="-","Nicht im Lift",IF(AH793&gt;=1,"Lift",IF(AH793&lt;=0,"Aussenlager","teilweise")))))</f>
        <v/>
      </c>
      <c r="AZ793" s="53">
        <f>IF(AK793&lt;=0,"",IF(BR793="Aussen","Aussenlager",IF(BR793="-","Nicht im Lift",IF(AP793&gt;=1,"Lift",IF(AP793&lt;=0,"Aussenlager","teilweise")))))</f>
        <v/>
      </c>
      <c r="BA793" s="53">
        <f>IF(AS793&lt;=0,"",IF(BR793="Aussen","Aussenlager",IF(BR793="-","Nicht im Lift",IF(AX793&gt;=1,"Lift",IF(AX793&lt;=0,"Aussenlager","teilweise")))))</f>
        <v/>
      </c>
      <c r="BB793" s="53">
        <f>IF(A793="","",IF(BK793=1,"Neu; ","")&amp;IF(AND(BK793=0,BF793&lt;0),"negativer Bestand (Export "&amp;BF793&amp;"); ","")&amp;IF(I793&lt;=0,"Kein Verbrauch; ","")&amp;IF(BO793=1,"Lose – Fläche geschätzt; ","")&amp;IF(G793&gt;AM793,"Überbestand "&amp;ROUND(G793-AM793,0)&amp;" Stk / CHF "&amp;ROUND((G793-AM793)*F793,0)&amp;"; ","")&amp;IF(AND(BT793=1,BU793&lt;BV793),"MAX &lt; MB+LG; ","")&amp;IF(AND(BZ793&gt;0,BY793*10&gt;BZ793),"zu hoch für Tablar; ","")&amp;IF(AND(BK793=0,OR(BT793=1,V793&lt;&gt;"",S793&lt;&gt;"",T793&lt;&gt;"",W793&lt;&gt;"")),"manuell übersteuert; ","")&amp;IF(AND(BO793=0,Q793=0),"Gebinde unbekannt; ","")&amp;IF(AND(BO793=0,N(T793)&lt;=0,N(P793)&lt;=0),"Menge pro Gebinde fehlt (Ist = 1 Gebinde); ","")&amp;BJ793)</f>
        <v/>
      </c>
      <c r="BC793" s="53" t="n"/>
      <c r="BD793" s="53" t="n"/>
      <c r="BE793" s="61" t="n"/>
      <c r="BF793" s="55" t="n">
        <v>2769</v>
      </c>
      <c r="BG793" s="55" t="n">
        <v>1560</v>
      </c>
      <c r="BH793" s="54" t="n">
        <v>-3.509999999999952</v>
      </c>
      <c r="BI793" s="55" t="n">
        <v>9801</v>
      </c>
      <c r="BJ793" s="53" t="inlineStr"/>
      <c r="BK793" s="58" t="n">
        <v>0</v>
      </c>
      <c r="BL793" s="58" t="n">
        <v>793</v>
      </c>
      <c r="BM793" s="53">
        <f>IF(S793&lt;&gt;"",UPPER(TRIM(S793)),IF(O793="","LOSE",O793))</f>
        <v/>
      </c>
      <c r="BN793" s="55">
        <f>IF(BM793="LOSE",1,IF(N(T793)&gt;0,T793,IF(N(P793)&gt;0,P793,MAX(1,G793))))</f>
        <v/>
      </c>
      <c r="BO793" s="58">
        <f>IF(BM793="LOSE",1,0)</f>
        <v/>
      </c>
      <c r="BP793" s="64">
        <f>IF(BO793=0,0,IF(N(R793)&gt;0,R793,IFERROR(VLOOKUP(D793,Parameter!$A$35:$C$64,3,0)+0,0)))</f>
        <v/>
      </c>
      <c r="BQ793" s="53">
        <f>IF(V793&lt;&gt;"",V793,U793)</f>
        <v/>
      </c>
      <c r="BR793" s="53">
        <f>IF(BQ793=1,"L1",IF(OR(BQ793=2,BQ793=3),"L23",IF(BQ793="Aussen","Aussen","-")))</f>
        <v/>
      </c>
      <c r="BS793" s="66">
        <f>IF(N(W793)&gt;0,W793,0)</f>
        <v/>
      </c>
      <c r="BT793" s="58">
        <f>IF(ISNUMBER(Z793),1,0)</f>
        <v/>
      </c>
      <c r="BU793" s="55">
        <f>N(Z793)</f>
        <v/>
      </c>
      <c r="BV793" s="55">
        <f>N(L793)+N(M793)</f>
        <v/>
      </c>
      <c r="BW793" s="55">
        <f>ROUNDUP(G793/BN793,0)</f>
        <v/>
      </c>
      <c r="BX793" s="55">
        <f>ROUNDUP(BU793/BN793,0)</f>
        <v/>
      </c>
      <c r="BY793" s="58">
        <f>IF(BO793=1,0,IFERROR(VLOOKUP(BM793,'Gebinde-Kategorie'!$A$5:$G$45,5,0)+0,0))</f>
        <v/>
      </c>
      <c r="BZ793" s="58">
        <f>IFERROR(IF(OR(BQ793=1,BQ793=2,BQ793=3),N(INDEX(Parameter!$I$5:$I$7,BQ793)),0),0)</f>
        <v/>
      </c>
    </row>
    <row r="794">
      <c r="A794" s="53" t="inlineStr">
        <is>
          <t>105369</t>
        </is>
      </c>
      <c r="B794" s="53" t="inlineStr">
        <is>
          <t>O-Ring</t>
        </is>
      </c>
      <c r="C794" s="53" t="inlineStr">
        <is>
          <t>F</t>
        </is>
      </c>
      <c r="D794" s="53" t="inlineStr">
        <is>
          <t>KTL</t>
        </is>
      </c>
      <c r="E794" s="53" t="inlineStr">
        <is>
          <t>C</t>
        </is>
      </c>
      <c r="F794" s="54" t="n">
        <v>0.3</v>
      </c>
      <c r="G794" s="55">
        <f>MAX(0,IF(Parameter!$B$20="Jahresanfang 2025 + Export",BG794+BF794,BF794))</f>
        <v/>
      </c>
      <c r="H794" s="55">
        <f>G794*F794</f>
        <v/>
      </c>
      <c r="I794" s="55">
        <f>BI794*Parameter!$B$18</f>
        <v/>
      </c>
      <c r="J794" s="56" t="n">
        <v>113.5</v>
      </c>
      <c r="K794" s="57" t="n">
        <v>3.392070484581498</v>
      </c>
      <c r="L794" s="55" t="n">
        <v>14</v>
      </c>
      <c r="M794" s="55" t="n">
        <v>400</v>
      </c>
      <c r="N794" s="58" t="n">
        <v>14</v>
      </c>
      <c r="O794" s="53" t="inlineStr">
        <is>
          <t>S33</t>
        </is>
      </c>
      <c r="P794" s="55" t="n">
        <v>206</v>
      </c>
      <c r="Q794" s="59">
        <f>IF(BO794=1,0,IFERROR(VLOOKUP(BM794,'Gebinde-Kategorie'!$A$5:$G$45,6,0)+0,0))</f>
        <v/>
      </c>
      <c r="R794" s="60" t="n"/>
      <c r="S794" s="61" t="n"/>
      <c r="T794" s="61" t="n"/>
      <c r="U794" s="53">
        <f>IF(A794="","",IF(IFERROR(VLOOKUP(D794,Parameter!$A$35:$C$64,2,0),"Nein")="2+3",IF(ISNUMBER(SEARCH("grosser Artikel",BJ794)),2,IFERROR(VLOOKUP(BM794,Parameter!$F$35:$G$64,2,0),2)),IF(OR(IFERROR(VLOOKUP(D794,Parameter!$A$35:$C$64,2,0),"Nein")="Nein",IFERROR(VLOOKUP(D794,Parameter!$A$35:$C$64,2,0),"Nein")=""),"-",VLOOKUP(D794,Parameter!$A$35:$C$64,2,0))))</f>
        <v/>
      </c>
      <c r="V794" s="61" t="n"/>
      <c r="W794" s="62" t="n"/>
      <c r="X794" s="55">
        <f>AM794</f>
        <v/>
      </c>
      <c r="Y794" s="55">
        <f>MAX(AM794,G794)</f>
        <v/>
      </c>
      <c r="Z794" s="63" t="n"/>
      <c r="AA794" s="55">
        <f>IF(LEFT(Cockpit!$C$5,1)="A",G794,IF(BT794=1,BU794,IF(LEFT(Cockpit!$C$5,1)="B",AE794,MAX(AE794,G794))))</f>
        <v/>
      </c>
      <c r="AB794" s="55">
        <f>IF(BO794=1,0,ROUNDUP(AA794/BN794,0))</f>
        <v/>
      </c>
      <c r="AC794" s="64">
        <f>IF(BO794=1,IF(AA794&lt;=0,0,BP794*MAX(1,IF(G794&gt;0,AA794/G794,1))),AB794*Q794)</f>
        <v/>
      </c>
      <c r="AD794" s="55">
        <f>AA794*F794</f>
        <v/>
      </c>
      <c r="AE794" s="55">
        <f>ROUNDUP(MAX(I794/IF(BS794&gt;0,BS794,MAX(0.1,N(Cockpit!$C$6))),BV794)/BN794,0)*BN794</f>
        <v/>
      </c>
      <c r="AF794" s="56">
        <f>IF(AC794&gt;0,I794/AC794,-1)</f>
        <v/>
      </c>
      <c r="AG794" s="56">
        <f>IF(AND(OR(BR794="L1",BR794="L23"),AC794&gt;0),SUMIFS($AC$7:$AC$1570,$BR$7:$BR$1570,BR794,$AF$7:$AF$1570,"&gt;"&amp;AF794)+SUMIFS($AC$7:$AC$1570,$BR$7:$BR$1570,BR794,$AF$7:$AF$1570,AF794,$BL$7:$BL$1570,"&lt;="&amp;BL794),"")</f>
        <v/>
      </c>
      <c r="AH794" s="65">
        <f>IF(AG794="",0,MAX(0,MIN(1,(IF(BR794="L1",Parameter!$K$5,Parameter!$K$6+Parameter!$K$7)-(AG794-AC794))/AC794)))</f>
        <v/>
      </c>
      <c r="AI794" s="55">
        <f>IF(LEFT(Cockpit!$I$5,1)="A",G794,IF(BT794=1,BU794,IF(LEFT(Cockpit!$I$5,1)="B",AM794,MAX(AM794,G794))))</f>
        <v/>
      </c>
      <c r="AJ794" s="55">
        <f>IF(BO794=1,0,ROUNDUP(AI794/BN794,0))</f>
        <v/>
      </c>
      <c r="AK794" s="64">
        <f>IF(BO794=1,IF(AI794&lt;=0,0,BP794*MAX(1,IF(G794&gt;0,AI794/G794,1))),AJ794*Q794)</f>
        <v/>
      </c>
      <c r="AL794" s="55">
        <f>AI794*F794</f>
        <v/>
      </c>
      <c r="AM794" s="55">
        <f>ROUNDUP(MAX(I794/IF(BS794&gt;0,BS794,MAX(0.1,N(Cockpit!$I$6))),BV794)/BN794,0)*BN794</f>
        <v/>
      </c>
      <c r="AN794" s="56">
        <f>IF(AK794&gt;0,I794/AK794,-1)</f>
        <v/>
      </c>
      <c r="AO794" s="56">
        <f>IF(AND(OR(BR794="L1",BR794="L23"),AK794&gt;0),SUMIFS($AK$7:$AK$1570,$BR$7:$BR$1570,BR794,$AN$7:$AN$1570,"&gt;"&amp;AN794)+SUMIFS($AK$7:$AK$1570,$BR$7:$BR$1570,BR794,$AN$7:$AN$1570,AN794,$BL$7:$BL$1570,"&lt;="&amp;BL794),"")</f>
        <v/>
      </c>
      <c r="AP794" s="65">
        <f>IF(AO794="",0,MAX(0,MIN(1,(IF(BR794="L1",Parameter!$K$5,Parameter!$K$6+Parameter!$K$7)-(AO794-AK794))/AK794)))</f>
        <v/>
      </c>
      <c r="AQ794" s="55">
        <f>IF(LEFT(Cockpit!$O$5,1)="A",G794,IF(BT794=1,BU794,IF(LEFT(Cockpit!$O$5,1)="B",AU794,MAX(AU794,G794))))</f>
        <v/>
      </c>
      <c r="AR794" s="55">
        <f>IF(BO794=1,0,ROUNDUP(AQ794/BN794,0))</f>
        <v/>
      </c>
      <c r="AS794" s="64">
        <f>IF(BO794=1,IF(AQ794&lt;=0,0,BP794*MAX(1,IF(G794&gt;0,AQ794/G794,1))),AR794*Q794)</f>
        <v/>
      </c>
      <c r="AT794" s="55">
        <f>AQ794*F794</f>
        <v/>
      </c>
      <c r="AU794" s="55">
        <f>ROUNDUP(MAX(I794/IF(BS794&gt;0,BS794,MAX(0.1,N(Cockpit!$O$6))),BV794)/BN794,0)*BN794</f>
        <v/>
      </c>
      <c r="AV794" s="56">
        <f>IF(AS794&gt;0,I794/AS794,-1)</f>
        <v/>
      </c>
      <c r="AW794" s="56">
        <f>IF(AND(OR(BR794="L1",BR794="L23"),AS794&gt;0),SUMIFS($AS$7:$AS$1570,$BR$7:$BR$1570,BR794,$AV$7:$AV$1570,"&gt;"&amp;AV794)+SUMIFS($AS$7:$AS$1570,$BR$7:$BR$1570,BR794,$AV$7:$AV$1570,AV794,$BL$7:$BL$1570,"&lt;="&amp;BL794),"")</f>
        <v/>
      </c>
      <c r="AX794" s="65">
        <f>IF(AW794="",0,MAX(0,MIN(1,(IF(BR794="L1",Parameter!$K$5,Parameter!$K$6+Parameter!$K$7)-(AW794-AS794))/AS794)))</f>
        <v/>
      </c>
      <c r="AY794" s="53">
        <f>IF(AC794&lt;=0,"",IF(BR794="Aussen","Aussenlager",IF(BR794="-","Nicht im Lift",IF(AH794&gt;=1,"Lift",IF(AH794&lt;=0,"Aussenlager","teilweise")))))</f>
        <v/>
      </c>
      <c r="AZ794" s="53">
        <f>IF(AK794&lt;=0,"",IF(BR794="Aussen","Aussenlager",IF(BR794="-","Nicht im Lift",IF(AP794&gt;=1,"Lift",IF(AP794&lt;=0,"Aussenlager","teilweise")))))</f>
        <v/>
      </c>
      <c r="BA794" s="53">
        <f>IF(AS794&lt;=0,"",IF(BR794="Aussen","Aussenlager",IF(BR794="-","Nicht im Lift",IF(AX794&gt;=1,"Lift",IF(AX794&lt;=0,"Aussenlager","teilweise")))))</f>
        <v/>
      </c>
      <c r="BB794" s="53">
        <f>IF(A794="","",IF(BK794=1,"Neu; ","")&amp;IF(AND(BK794=0,BF794&lt;0),"negativer Bestand (Export "&amp;BF794&amp;"); ","")&amp;IF(I794&lt;=0,"Kein Verbrauch; ","")&amp;IF(BO794=1,"Lose – Fläche geschätzt; ","")&amp;IF(G794&gt;AM794,"Überbestand "&amp;ROUND(G794-AM794,0)&amp;" Stk / CHF "&amp;ROUND((G794-AM794)*F794,0)&amp;"; ","")&amp;IF(AND(BT794=1,BU794&lt;BV794),"MAX &lt; MB+LG; ","")&amp;IF(AND(BZ794&gt;0,BY794*10&gt;BZ794),"zu hoch für Tablar; ","")&amp;IF(AND(BK794=0,OR(BT794=1,V794&lt;&gt;"",S794&lt;&gt;"",T794&lt;&gt;"",W794&lt;&gt;"")),"manuell übersteuert; ","")&amp;IF(AND(BO794=0,Q794=0),"Gebinde unbekannt; ","")&amp;IF(AND(BO794=0,N(T794)&lt;=0,N(P794)&lt;=0),"Menge pro Gebinde fehlt (Ist = 1 Gebinde); ","")&amp;BJ794)</f>
        <v/>
      </c>
      <c r="BC794" s="53" t="n"/>
      <c r="BD794" s="53" t="n"/>
      <c r="BE794" s="61" t="n"/>
      <c r="BF794" s="55" t="n">
        <v>-15</v>
      </c>
      <c r="BG794" s="55" t="n">
        <v>114</v>
      </c>
      <c r="BH794" s="54" t="n">
        <v>-3.560000000000006</v>
      </c>
      <c r="BI794" s="55" t="n">
        <v>385</v>
      </c>
      <c r="BJ794" s="53" t="inlineStr"/>
      <c r="BK794" s="58" t="n">
        <v>0</v>
      </c>
      <c r="BL794" s="58" t="n">
        <v>794</v>
      </c>
      <c r="BM794" s="53">
        <f>IF(S794&lt;&gt;"",UPPER(TRIM(S794)),IF(O794="","LOSE",O794))</f>
        <v/>
      </c>
      <c r="BN794" s="55">
        <f>IF(BM794="LOSE",1,IF(N(T794)&gt;0,T794,IF(N(P794)&gt;0,P794,MAX(1,G794))))</f>
        <v/>
      </c>
      <c r="BO794" s="58">
        <f>IF(BM794="LOSE",1,0)</f>
        <v/>
      </c>
      <c r="BP794" s="64">
        <f>IF(BO794=0,0,IF(N(R794)&gt;0,R794,IFERROR(VLOOKUP(D794,Parameter!$A$35:$C$64,3,0)+0,0)))</f>
        <v/>
      </c>
      <c r="BQ794" s="53">
        <f>IF(V794&lt;&gt;"",V794,U794)</f>
        <v/>
      </c>
      <c r="BR794" s="53">
        <f>IF(BQ794=1,"L1",IF(OR(BQ794=2,BQ794=3),"L23",IF(BQ794="Aussen","Aussen","-")))</f>
        <v/>
      </c>
      <c r="BS794" s="66">
        <f>IF(N(W794)&gt;0,W794,0)</f>
        <v/>
      </c>
      <c r="BT794" s="58">
        <f>IF(ISNUMBER(Z794),1,0)</f>
        <v/>
      </c>
      <c r="BU794" s="55">
        <f>N(Z794)</f>
        <v/>
      </c>
      <c r="BV794" s="55">
        <f>N(L794)+N(M794)</f>
        <v/>
      </c>
      <c r="BW794" s="55">
        <f>ROUNDUP(G794/BN794,0)</f>
        <v/>
      </c>
      <c r="BX794" s="55">
        <f>ROUNDUP(BU794/BN794,0)</f>
        <v/>
      </c>
      <c r="BY794" s="58">
        <f>IF(BO794=1,0,IFERROR(VLOOKUP(BM794,'Gebinde-Kategorie'!$A$5:$G$45,5,0)+0,0))</f>
        <v/>
      </c>
      <c r="BZ794" s="58">
        <f>IFERROR(IF(OR(BQ794=1,BQ794=2,BQ794=3),N(INDEX(Parameter!$I$5:$I$7,BQ794)),0),0)</f>
        <v/>
      </c>
    </row>
    <row r="795">
      <c r="A795" s="53" t="inlineStr">
        <is>
          <t>109769</t>
        </is>
      </c>
      <c r="B795" s="53" t="inlineStr">
        <is>
          <t>Sechskantmutter</t>
        </is>
      </c>
      <c r="C795" s="53" t="inlineStr">
        <is>
          <t>G</t>
        </is>
      </c>
      <c r="D795" s="53" t="inlineStr">
        <is>
          <t>KTL</t>
        </is>
      </c>
      <c r="E795" s="53" t="inlineStr">
        <is>
          <t>C</t>
        </is>
      </c>
      <c r="F795" s="54" t="n">
        <v>0.04</v>
      </c>
      <c r="G795" s="55">
        <f>MAX(0,IF(Parameter!$B$20="Jahresanfang 2025 + Export",BG795+BF795,BF795))</f>
        <v/>
      </c>
      <c r="H795" s="55">
        <f>G795*F795</f>
        <v/>
      </c>
      <c r="I795" s="55">
        <f>BI795*Parameter!$B$18</f>
        <v/>
      </c>
      <c r="J795" s="56" t="n">
        <v>96</v>
      </c>
      <c r="K795" s="57" t="n">
        <v>1</v>
      </c>
      <c r="L795" s="55" t="n">
        <v>3</v>
      </c>
      <c r="M795" s="55" t="n">
        <v>95</v>
      </c>
      <c r="N795" s="58" t="n">
        <v>14</v>
      </c>
      <c r="O795" s="53" t="inlineStr">
        <is>
          <t>LOSE</t>
        </is>
      </c>
      <c r="P795" s="55" t="n"/>
      <c r="Q795" s="59">
        <f>IF(BO795=1,0,IFERROR(VLOOKUP(BM795,'Gebinde-Kategorie'!$A$5:$G$45,6,0)+0,0))</f>
        <v/>
      </c>
      <c r="R795" s="60" t="n"/>
      <c r="S795" s="61" t="n"/>
      <c r="T795" s="61" t="n"/>
      <c r="U795" s="53">
        <f>IF(A795="","",IF(IFERROR(VLOOKUP(D795,Parameter!$A$35:$C$64,2,0),"Nein")="2+3",IF(ISNUMBER(SEARCH("grosser Artikel",BJ795)),2,IFERROR(VLOOKUP(BM795,Parameter!$F$35:$G$64,2,0),2)),IF(OR(IFERROR(VLOOKUP(D795,Parameter!$A$35:$C$64,2,0),"Nein")="Nein",IFERROR(VLOOKUP(D795,Parameter!$A$35:$C$64,2,0),"Nein")=""),"-",VLOOKUP(D795,Parameter!$A$35:$C$64,2,0))))</f>
        <v/>
      </c>
      <c r="V795" s="61" t="n"/>
      <c r="W795" s="62" t="n"/>
      <c r="X795" s="55">
        <f>AM795</f>
        <v/>
      </c>
      <c r="Y795" s="55">
        <f>MAX(AM795,G795)</f>
        <v/>
      </c>
      <c r="Z795" s="63" t="n"/>
      <c r="AA795" s="55">
        <f>IF(LEFT(Cockpit!$C$5,1)="A",G795,IF(BT795=1,BU795,IF(LEFT(Cockpit!$C$5,1)="B",AE795,MAX(AE795,G795))))</f>
        <v/>
      </c>
      <c r="AB795" s="55">
        <f>IF(BO795=1,0,ROUNDUP(AA795/BN795,0))</f>
        <v/>
      </c>
      <c r="AC795" s="64">
        <f>IF(BO795=1,IF(AA795&lt;=0,0,BP795*MAX(1,IF(G795&gt;0,AA795/G795,1))),AB795*Q795)</f>
        <v/>
      </c>
      <c r="AD795" s="55">
        <f>AA795*F795</f>
        <v/>
      </c>
      <c r="AE795" s="55">
        <f>ROUNDUP(MAX(I795/IF(BS795&gt;0,BS795,MAX(0.1,N(Cockpit!$C$6))),BV795)/BN795,0)*BN795</f>
        <v/>
      </c>
      <c r="AF795" s="56">
        <f>IF(AC795&gt;0,I795/AC795,-1)</f>
        <v/>
      </c>
      <c r="AG795" s="56">
        <f>IF(AND(OR(BR795="L1",BR795="L23"),AC795&gt;0),SUMIFS($AC$7:$AC$1570,$BR$7:$BR$1570,BR795,$AF$7:$AF$1570,"&gt;"&amp;AF795)+SUMIFS($AC$7:$AC$1570,$BR$7:$BR$1570,BR795,$AF$7:$AF$1570,AF795,$BL$7:$BL$1570,"&lt;="&amp;BL795),"")</f>
        <v/>
      </c>
      <c r="AH795" s="65">
        <f>IF(AG795="",0,MAX(0,MIN(1,(IF(BR795="L1",Parameter!$K$5,Parameter!$K$6+Parameter!$K$7)-(AG795-AC795))/AC795)))</f>
        <v/>
      </c>
      <c r="AI795" s="55">
        <f>IF(LEFT(Cockpit!$I$5,1)="A",G795,IF(BT795=1,BU795,IF(LEFT(Cockpit!$I$5,1)="B",AM795,MAX(AM795,G795))))</f>
        <v/>
      </c>
      <c r="AJ795" s="55">
        <f>IF(BO795=1,0,ROUNDUP(AI795/BN795,0))</f>
        <v/>
      </c>
      <c r="AK795" s="64">
        <f>IF(BO795=1,IF(AI795&lt;=0,0,BP795*MAX(1,IF(G795&gt;0,AI795/G795,1))),AJ795*Q795)</f>
        <v/>
      </c>
      <c r="AL795" s="55">
        <f>AI795*F795</f>
        <v/>
      </c>
      <c r="AM795" s="55">
        <f>ROUNDUP(MAX(I795/IF(BS795&gt;0,BS795,MAX(0.1,N(Cockpit!$I$6))),BV795)/BN795,0)*BN795</f>
        <v/>
      </c>
      <c r="AN795" s="56">
        <f>IF(AK795&gt;0,I795/AK795,-1)</f>
        <v/>
      </c>
      <c r="AO795" s="56">
        <f>IF(AND(OR(BR795="L1",BR795="L23"),AK795&gt;0),SUMIFS($AK$7:$AK$1570,$BR$7:$BR$1570,BR795,$AN$7:$AN$1570,"&gt;"&amp;AN795)+SUMIFS($AK$7:$AK$1570,$BR$7:$BR$1570,BR795,$AN$7:$AN$1570,AN795,$BL$7:$BL$1570,"&lt;="&amp;BL795),"")</f>
        <v/>
      </c>
      <c r="AP795" s="65">
        <f>IF(AO795="",0,MAX(0,MIN(1,(IF(BR795="L1",Parameter!$K$5,Parameter!$K$6+Parameter!$K$7)-(AO795-AK795))/AK795)))</f>
        <v/>
      </c>
      <c r="AQ795" s="55">
        <f>IF(LEFT(Cockpit!$O$5,1)="A",G795,IF(BT795=1,BU795,IF(LEFT(Cockpit!$O$5,1)="B",AU795,MAX(AU795,G795))))</f>
        <v/>
      </c>
      <c r="AR795" s="55">
        <f>IF(BO795=1,0,ROUNDUP(AQ795/BN795,0))</f>
        <v/>
      </c>
      <c r="AS795" s="64">
        <f>IF(BO795=1,IF(AQ795&lt;=0,0,BP795*MAX(1,IF(G795&gt;0,AQ795/G795,1))),AR795*Q795)</f>
        <v/>
      </c>
      <c r="AT795" s="55">
        <f>AQ795*F795</f>
        <v/>
      </c>
      <c r="AU795" s="55">
        <f>ROUNDUP(MAX(I795/IF(BS795&gt;0,BS795,MAX(0.1,N(Cockpit!$O$6))),BV795)/BN795,0)*BN795</f>
        <v/>
      </c>
      <c r="AV795" s="56">
        <f>IF(AS795&gt;0,I795/AS795,-1)</f>
        <v/>
      </c>
      <c r="AW795" s="56">
        <f>IF(AND(OR(BR795="L1",BR795="L23"),AS795&gt;0),SUMIFS($AS$7:$AS$1570,$BR$7:$BR$1570,BR795,$AV$7:$AV$1570,"&gt;"&amp;AV795)+SUMIFS($AS$7:$AS$1570,$BR$7:$BR$1570,BR795,$AV$7:$AV$1570,AV795,$BL$7:$BL$1570,"&lt;="&amp;BL795),"")</f>
        <v/>
      </c>
      <c r="AX795" s="65">
        <f>IF(AW795="",0,MAX(0,MIN(1,(IF(BR795="L1",Parameter!$K$5,Parameter!$K$6+Parameter!$K$7)-(AW795-AS795))/AS795)))</f>
        <v/>
      </c>
      <c r="AY795" s="53">
        <f>IF(AC795&lt;=0,"",IF(BR795="Aussen","Aussenlager",IF(BR795="-","Nicht im Lift",IF(AH795&gt;=1,"Lift",IF(AH795&lt;=0,"Aussenlager","teilweise")))))</f>
        <v/>
      </c>
      <c r="AZ795" s="53">
        <f>IF(AK795&lt;=0,"",IF(BR795="Aussen","Aussenlager",IF(BR795="-","Nicht im Lift",IF(AP795&gt;=1,"Lift",IF(AP795&lt;=0,"Aussenlager","teilweise")))))</f>
        <v/>
      </c>
      <c r="BA795" s="53">
        <f>IF(AS795&lt;=0,"",IF(BR795="Aussen","Aussenlager",IF(BR795="-","Nicht im Lift",IF(AX795&gt;=1,"Lift",IF(AX795&lt;=0,"Aussenlager","teilweise")))))</f>
        <v/>
      </c>
      <c r="BB795" s="53">
        <f>IF(A795="","",IF(BK795=1,"Neu; ","")&amp;IF(AND(BK795=0,BF795&lt;0),"negativer Bestand (Export "&amp;BF795&amp;"); ","")&amp;IF(I795&lt;=0,"Kein Verbrauch; ","")&amp;IF(BO795=1,"Lose – Fläche geschätzt; ","")&amp;IF(G795&gt;AM795,"Überbestand "&amp;ROUND(G795-AM795,0)&amp;" Stk / CHF "&amp;ROUND((G795-AM795)*F795,0)&amp;"; ","")&amp;IF(AND(BT795=1,BU795&lt;BV795),"MAX &lt; MB+LG; ","")&amp;IF(AND(BZ795&gt;0,BY795*10&gt;BZ795),"zu hoch für Tablar; ","")&amp;IF(AND(BK795=0,OR(BT795=1,V795&lt;&gt;"",S795&lt;&gt;"",T795&lt;&gt;"",W795&lt;&gt;"")),"manuell übersteuert; ","")&amp;IF(AND(BO795=0,Q795=0),"Gebinde unbekannt; ","")&amp;IF(AND(BO795=0,N(T795)&lt;=0,N(P795)&lt;=0),"Menge pro Gebinde fehlt (Ist = 1 Gebinde); ","")&amp;BJ795)</f>
        <v/>
      </c>
      <c r="BC795" s="53" t="n"/>
      <c r="BD795" s="53" t="n"/>
      <c r="BE795" s="61" t="n"/>
      <c r="BF795" s="55" t="n">
        <v>-96</v>
      </c>
      <c r="BG795" s="55" t="n">
        <v>192</v>
      </c>
      <c r="BH795" s="54" t="n">
        <v>-3.84</v>
      </c>
      <c r="BI795" s="55" t="n">
        <v>96</v>
      </c>
      <c r="BJ795" s="53" t="inlineStr"/>
      <c r="BK795" s="58" t="n">
        <v>0</v>
      </c>
      <c r="BL795" s="58" t="n">
        <v>795</v>
      </c>
      <c r="BM795" s="53">
        <f>IF(S795&lt;&gt;"",UPPER(TRIM(S795)),IF(O795="","LOSE",O795))</f>
        <v/>
      </c>
      <c r="BN795" s="55">
        <f>IF(BM795="LOSE",1,IF(N(T795)&gt;0,T795,IF(N(P795)&gt;0,P795,MAX(1,G795))))</f>
        <v/>
      </c>
      <c r="BO795" s="58">
        <f>IF(BM795="LOSE",1,0)</f>
        <v/>
      </c>
      <c r="BP795" s="64">
        <f>IF(BO795=0,0,IF(N(R795)&gt;0,R795,IFERROR(VLOOKUP(D795,Parameter!$A$35:$C$64,3,0)+0,0)))</f>
        <v/>
      </c>
      <c r="BQ795" s="53">
        <f>IF(V795&lt;&gt;"",V795,U795)</f>
        <v/>
      </c>
      <c r="BR795" s="53">
        <f>IF(BQ795=1,"L1",IF(OR(BQ795=2,BQ795=3),"L23",IF(BQ795="Aussen","Aussen","-")))</f>
        <v/>
      </c>
      <c r="BS795" s="66">
        <f>IF(N(W795)&gt;0,W795,0)</f>
        <v/>
      </c>
      <c r="BT795" s="58">
        <f>IF(ISNUMBER(Z795),1,0)</f>
        <v/>
      </c>
      <c r="BU795" s="55">
        <f>N(Z795)</f>
        <v/>
      </c>
      <c r="BV795" s="55">
        <f>N(L795)+N(M795)</f>
        <v/>
      </c>
      <c r="BW795" s="55">
        <f>ROUNDUP(G795/BN795,0)</f>
        <v/>
      </c>
      <c r="BX795" s="55">
        <f>ROUNDUP(BU795/BN795,0)</f>
        <v/>
      </c>
      <c r="BY795" s="58">
        <f>IF(BO795=1,0,IFERROR(VLOOKUP(BM795,'Gebinde-Kategorie'!$A$5:$G$45,5,0)+0,0))</f>
        <v/>
      </c>
      <c r="BZ795" s="58">
        <f>IFERROR(IF(OR(BQ795=1,BQ795=2,BQ795=3),N(INDEX(Parameter!$I$5:$I$7,BQ795)),0),0)</f>
        <v/>
      </c>
    </row>
    <row r="796">
      <c r="A796" s="53" t="inlineStr">
        <is>
          <t>107007</t>
        </is>
      </c>
      <c r="B796" s="53" t="inlineStr">
        <is>
          <t>Halter für 3 Module, Kunststoff</t>
        </is>
      </c>
      <c r="C796" s="53" t="inlineStr">
        <is>
          <t>F</t>
        </is>
      </c>
      <c r="D796" s="53" t="inlineStr">
        <is>
          <t>KTL</t>
        </is>
      </c>
      <c r="E796" s="53" t="inlineStr">
        <is>
          <t>C</t>
        </is>
      </c>
      <c r="F796" s="54" t="n">
        <v>1.95</v>
      </c>
      <c r="G796" s="55">
        <f>MAX(0,IF(Parameter!$B$20="Jahresanfang 2025 + Export",BG796+BF796,BF796))</f>
        <v/>
      </c>
      <c r="H796" s="55">
        <f>G796*F796</f>
        <v/>
      </c>
      <c r="I796" s="55">
        <f>BI796*Parameter!$B$18</f>
        <v/>
      </c>
      <c r="J796" s="56" t="n">
        <v>4.5</v>
      </c>
      <c r="K796" s="57" t="n">
        <v>0.2222222222222222</v>
      </c>
      <c r="L796" s="55" t="n">
        <v>0</v>
      </c>
      <c r="M796" s="55" t="n">
        <v>1</v>
      </c>
      <c r="N796" s="58" t="n">
        <v>42</v>
      </c>
      <c r="O796" s="53" t="inlineStr">
        <is>
          <t>S22</t>
        </is>
      </c>
      <c r="P796" s="55" t="n">
        <v>5</v>
      </c>
      <c r="Q796" s="59">
        <f>IF(BO796=1,0,IFERROR(VLOOKUP(BM796,'Gebinde-Kategorie'!$A$5:$G$45,6,0)+0,0))</f>
        <v/>
      </c>
      <c r="R796" s="60" t="n"/>
      <c r="S796" s="61" t="n"/>
      <c r="T796" s="61" t="n"/>
      <c r="U796" s="53">
        <f>IF(A796="","",IF(IFERROR(VLOOKUP(D796,Parameter!$A$35:$C$64,2,0),"Nein")="2+3",IF(ISNUMBER(SEARCH("grosser Artikel",BJ796)),2,IFERROR(VLOOKUP(BM796,Parameter!$F$35:$G$64,2,0),2)),IF(OR(IFERROR(VLOOKUP(D796,Parameter!$A$35:$C$64,2,0),"Nein")="Nein",IFERROR(VLOOKUP(D796,Parameter!$A$35:$C$64,2,0),"Nein")=""),"-",VLOOKUP(D796,Parameter!$A$35:$C$64,2,0))))</f>
        <v/>
      </c>
      <c r="V796" s="61" t="n"/>
      <c r="W796" s="62" t="n"/>
      <c r="X796" s="55">
        <f>AM796</f>
        <v/>
      </c>
      <c r="Y796" s="55">
        <f>MAX(AM796,G796)</f>
        <v/>
      </c>
      <c r="Z796" s="63" t="n"/>
      <c r="AA796" s="55">
        <f>IF(LEFT(Cockpit!$C$5,1)="A",G796,IF(BT796=1,BU796,IF(LEFT(Cockpit!$C$5,1)="B",AE796,MAX(AE796,G796))))</f>
        <v/>
      </c>
      <c r="AB796" s="55">
        <f>IF(BO796=1,0,ROUNDUP(AA796/BN796,0))</f>
        <v/>
      </c>
      <c r="AC796" s="64">
        <f>IF(BO796=1,IF(AA796&lt;=0,0,BP796*MAX(1,IF(G796&gt;0,AA796/G796,1))),AB796*Q796)</f>
        <v/>
      </c>
      <c r="AD796" s="55">
        <f>AA796*F796</f>
        <v/>
      </c>
      <c r="AE796" s="55">
        <f>ROUNDUP(MAX(I796/IF(BS796&gt;0,BS796,MAX(0.1,N(Cockpit!$C$6))),BV796)/BN796,0)*BN796</f>
        <v/>
      </c>
      <c r="AF796" s="56">
        <f>IF(AC796&gt;0,I796/AC796,-1)</f>
        <v/>
      </c>
      <c r="AG796" s="56">
        <f>IF(AND(OR(BR796="L1",BR796="L23"),AC796&gt;0),SUMIFS($AC$7:$AC$1570,$BR$7:$BR$1570,BR796,$AF$7:$AF$1570,"&gt;"&amp;AF796)+SUMIFS($AC$7:$AC$1570,$BR$7:$BR$1570,BR796,$AF$7:$AF$1570,AF796,$BL$7:$BL$1570,"&lt;="&amp;BL796),"")</f>
        <v/>
      </c>
      <c r="AH796" s="65">
        <f>IF(AG796="",0,MAX(0,MIN(1,(IF(BR796="L1",Parameter!$K$5,Parameter!$K$6+Parameter!$K$7)-(AG796-AC796))/AC796)))</f>
        <v/>
      </c>
      <c r="AI796" s="55">
        <f>IF(LEFT(Cockpit!$I$5,1)="A",G796,IF(BT796=1,BU796,IF(LEFT(Cockpit!$I$5,1)="B",AM796,MAX(AM796,G796))))</f>
        <v/>
      </c>
      <c r="AJ796" s="55">
        <f>IF(BO796=1,0,ROUNDUP(AI796/BN796,0))</f>
        <v/>
      </c>
      <c r="AK796" s="64">
        <f>IF(BO796=1,IF(AI796&lt;=0,0,BP796*MAX(1,IF(G796&gt;0,AI796/G796,1))),AJ796*Q796)</f>
        <v/>
      </c>
      <c r="AL796" s="55">
        <f>AI796*F796</f>
        <v/>
      </c>
      <c r="AM796" s="55">
        <f>ROUNDUP(MAX(I796/IF(BS796&gt;0,BS796,MAX(0.1,N(Cockpit!$I$6))),BV796)/BN796,0)*BN796</f>
        <v/>
      </c>
      <c r="AN796" s="56">
        <f>IF(AK796&gt;0,I796/AK796,-1)</f>
        <v/>
      </c>
      <c r="AO796" s="56">
        <f>IF(AND(OR(BR796="L1",BR796="L23"),AK796&gt;0),SUMIFS($AK$7:$AK$1570,$BR$7:$BR$1570,BR796,$AN$7:$AN$1570,"&gt;"&amp;AN796)+SUMIFS($AK$7:$AK$1570,$BR$7:$BR$1570,BR796,$AN$7:$AN$1570,AN796,$BL$7:$BL$1570,"&lt;="&amp;BL796),"")</f>
        <v/>
      </c>
      <c r="AP796" s="65">
        <f>IF(AO796="",0,MAX(0,MIN(1,(IF(BR796="L1",Parameter!$K$5,Parameter!$K$6+Parameter!$K$7)-(AO796-AK796))/AK796)))</f>
        <v/>
      </c>
      <c r="AQ796" s="55">
        <f>IF(LEFT(Cockpit!$O$5,1)="A",G796,IF(BT796=1,BU796,IF(LEFT(Cockpit!$O$5,1)="B",AU796,MAX(AU796,G796))))</f>
        <v/>
      </c>
      <c r="AR796" s="55">
        <f>IF(BO796=1,0,ROUNDUP(AQ796/BN796,0))</f>
        <v/>
      </c>
      <c r="AS796" s="64">
        <f>IF(BO796=1,IF(AQ796&lt;=0,0,BP796*MAX(1,IF(G796&gt;0,AQ796/G796,1))),AR796*Q796)</f>
        <v/>
      </c>
      <c r="AT796" s="55">
        <f>AQ796*F796</f>
        <v/>
      </c>
      <c r="AU796" s="55">
        <f>ROUNDUP(MAX(I796/IF(BS796&gt;0,BS796,MAX(0.1,N(Cockpit!$O$6))),BV796)/BN796,0)*BN796</f>
        <v/>
      </c>
      <c r="AV796" s="56">
        <f>IF(AS796&gt;0,I796/AS796,-1)</f>
        <v/>
      </c>
      <c r="AW796" s="56">
        <f>IF(AND(OR(BR796="L1",BR796="L23"),AS796&gt;0),SUMIFS($AS$7:$AS$1570,$BR$7:$BR$1570,BR796,$AV$7:$AV$1570,"&gt;"&amp;AV796)+SUMIFS($AS$7:$AS$1570,$BR$7:$BR$1570,BR796,$AV$7:$AV$1570,AV796,$BL$7:$BL$1570,"&lt;="&amp;BL796),"")</f>
        <v/>
      </c>
      <c r="AX796" s="65">
        <f>IF(AW796="",0,MAX(0,MIN(1,(IF(BR796="L1",Parameter!$K$5,Parameter!$K$6+Parameter!$K$7)-(AW796-AS796))/AS796)))</f>
        <v/>
      </c>
      <c r="AY796" s="53">
        <f>IF(AC796&lt;=0,"",IF(BR796="Aussen","Aussenlager",IF(BR796="-","Nicht im Lift",IF(AH796&gt;=1,"Lift",IF(AH796&lt;=0,"Aussenlager","teilweise")))))</f>
        <v/>
      </c>
      <c r="AZ796" s="53">
        <f>IF(AK796&lt;=0,"",IF(BR796="Aussen","Aussenlager",IF(BR796="-","Nicht im Lift",IF(AP796&gt;=1,"Lift",IF(AP796&lt;=0,"Aussenlager","teilweise")))))</f>
        <v/>
      </c>
      <c r="BA796" s="53">
        <f>IF(AS796&lt;=0,"",IF(BR796="Aussen","Aussenlager",IF(BR796="-","Nicht im Lift",IF(AX796&gt;=1,"Lift",IF(AX796&lt;=0,"Aussenlager","teilweise")))))</f>
        <v/>
      </c>
      <c r="BB796" s="53">
        <f>IF(A796="","",IF(BK796=1,"Neu; ","")&amp;IF(AND(BK796=0,BF796&lt;0),"negativer Bestand (Export "&amp;BF796&amp;"); ","")&amp;IF(I796&lt;=0,"Kein Verbrauch; ","")&amp;IF(BO796=1,"Lose – Fläche geschätzt; ","")&amp;IF(G796&gt;AM796,"Überbestand "&amp;ROUND(G796-AM796,0)&amp;" Stk / CHF "&amp;ROUND((G796-AM796)*F796,0)&amp;"; ","")&amp;IF(AND(BT796=1,BU796&lt;BV796),"MAX &lt; MB+LG; ","")&amp;IF(AND(BZ796&gt;0,BY796*10&gt;BZ796),"zu hoch für Tablar; ","")&amp;IF(AND(BK796=0,OR(BT796=1,V796&lt;&gt;"",S796&lt;&gt;"",T796&lt;&gt;"",W796&lt;&gt;"")),"manuell übersteuert; ","")&amp;IF(AND(BO796=0,Q796=0),"Gebinde unbekannt; ","")&amp;IF(AND(BO796=0,N(T796)&lt;=0,N(P796)&lt;=0),"Menge pro Gebinde fehlt (Ist = 1 Gebinde); ","")&amp;BJ796)</f>
        <v/>
      </c>
      <c r="BC796" s="53" t="n"/>
      <c r="BD796" s="53" t="n"/>
      <c r="BE796" s="61" t="n"/>
      <c r="BF796" s="55" t="n">
        <v>-2</v>
      </c>
      <c r="BG796" s="55" t="n">
        <v>5</v>
      </c>
      <c r="BH796" s="54" t="n">
        <v>-3.9</v>
      </c>
      <c r="BI796" s="55" t="n">
        <v>1</v>
      </c>
      <c r="BJ796" s="53" t="inlineStr"/>
      <c r="BK796" s="58" t="n">
        <v>0</v>
      </c>
      <c r="BL796" s="58" t="n">
        <v>796</v>
      </c>
      <c r="BM796" s="53">
        <f>IF(S796&lt;&gt;"",UPPER(TRIM(S796)),IF(O796="","LOSE",O796))</f>
        <v/>
      </c>
      <c r="BN796" s="55">
        <f>IF(BM796="LOSE",1,IF(N(T796)&gt;0,T796,IF(N(P796)&gt;0,P796,MAX(1,G796))))</f>
        <v/>
      </c>
      <c r="BO796" s="58">
        <f>IF(BM796="LOSE",1,0)</f>
        <v/>
      </c>
      <c r="BP796" s="64">
        <f>IF(BO796=0,0,IF(N(R796)&gt;0,R796,IFERROR(VLOOKUP(D796,Parameter!$A$35:$C$64,3,0)+0,0)))</f>
        <v/>
      </c>
      <c r="BQ796" s="53">
        <f>IF(V796&lt;&gt;"",V796,U796)</f>
        <v/>
      </c>
      <c r="BR796" s="53">
        <f>IF(BQ796=1,"L1",IF(OR(BQ796=2,BQ796=3),"L23",IF(BQ796="Aussen","Aussen","-")))</f>
        <v/>
      </c>
      <c r="BS796" s="66">
        <f>IF(N(W796)&gt;0,W796,0)</f>
        <v/>
      </c>
      <c r="BT796" s="58">
        <f>IF(ISNUMBER(Z796),1,0)</f>
        <v/>
      </c>
      <c r="BU796" s="55">
        <f>N(Z796)</f>
        <v/>
      </c>
      <c r="BV796" s="55">
        <f>N(L796)+N(M796)</f>
        <v/>
      </c>
      <c r="BW796" s="55">
        <f>ROUNDUP(G796/BN796,0)</f>
        <v/>
      </c>
      <c r="BX796" s="55">
        <f>ROUNDUP(BU796/BN796,0)</f>
        <v/>
      </c>
      <c r="BY796" s="58">
        <f>IF(BO796=1,0,IFERROR(VLOOKUP(BM796,'Gebinde-Kategorie'!$A$5:$G$45,5,0)+0,0))</f>
        <v/>
      </c>
      <c r="BZ796" s="58">
        <f>IFERROR(IF(OR(BQ796=1,BQ796=2,BQ796=3),N(INDEX(Parameter!$I$5:$I$7,BQ796)),0),0)</f>
        <v/>
      </c>
    </row>
    <row r="797">
      <c r="A797" s="53" t="inlineStr">
        <is>
          <t>107142</t>
        </is>
      </c>
      <c r="B797" s="53" t="inlineStr">
        <is>
          <t>Presskabelschuh</t>
        </is>
      </c>
      <c r="C797" s="53" t="inlineStr">
        <is>
          <t>F</t>
        </is>
      </c>
      <c r="D797" s="53" t="inlineStr">
        <is>
          <t>KTL</t>
        </is>
      </c>
      <c r="E797" s="53" t="inlineStr">
        <is>
          <t>C</t>
        </is>
      </c>
      <c r="F797" s="54" t="n">
        <v>1.26</v>
      </c>
      <c r="G797" s="55">
        <f>MAX(0,IF(Parameter!$B$20="Jahresanfang 2025 + Export",BG797+BF797,BF797))</f>
        <v/>
      </c>
      <c r="H797" s="55">
        <f>G797*F797</f>
        <v/>
      </c>
      <c r="I797" s="55">
        <f>BI797*Parameter!$B$18</f>
        <v/>
      </c>
      <c r="J797" s="56" t="n">
        <v>106</v>
      </c>
      <c r="K797" s="57" t="n">
        <v>0</v>
      </c>
      <c r="L797" s="55" t="n">
        <v>0</v>
      </c>
      <c r="M797" s="55" t="n">
        <v>1</v>
      </c>
      <c r="N797" s="58" t="n">
        <v>21</v>
      </c>
      <c r="O797" s="53" t="inlineStr">
        <is>
          <t>S32</t>
        </is>
      </c>
      <c r="P797" s="55" t="n">
        <v>100</v>
      </c>
      <c r="Q797" s="59">
        <f>IF(BO797=1,0,IFERROR(VLOOKUP(BM797,'Gebinde-Kategorie'!$A$5:$G$45,6,0)+0,0))</f>
        <v/>
      </c>
      <c r="R797" s="60" t="n"/>
      <c r="S797" s="61" t="n"/>
      <c r="T797" s="61" t="n"/>
      <c r="U797" s="53">
        <f>IF(A797="","",IF(IFERROR(VLOOKUP(D797,Parameter!$A$35:$C$64,2,0),"Nein")="2+3",IF(ISNUMBER(SEARCH("grosser Artikel",BJ797)),2,IFERROR(VLOOKUP(BM797,Parameter!$F$35:$G$64,2,0),2)),IF(OR(IFERROR(VLOOKUP(D797,Parameter!$A$35:$C$64,2,0),"Nein")="Nein",IFERROR(VLOOKUP(D797,Parameter!$A$35:$C$64,2,0),"Nein")=""),"-",VLOOKUP(D797,Parameter!$A$35:$C$64,2,0))))</f>
        <v/>
      </c>
      <c r="V797" s="61" t="n"/>
      <c r="W797" s="62" t="n"/>
      <c r="X797" s="55">
        <f>AM797</f>
        <v/>
      </c>
      <c r="Y797" s="55">
        <f>MAX(AM797,G797)</f>
        <v/>
      </c>
      <c r="Z797" s="63" t="n"/>
      <c r="AA797" s="55">
        <f>IF(LEFT(Cockpit!$C$5,1)="A",G797,IF(BT797=1,BU797,IF(LEFT(Cockpit!$C$5,1)="B",AE797,MAX(AE797,G797))))</f>
        <v/>
      </c>
      <c r="AB797" s="55">
        <f>IF(BO797=1,0,ROUNDUP(AA797/BN797,0))</f>
        <v/>
      </c>
      <c r="AC797" s="64">
        <f>IF(BO797=1,IF(AA797&lt;=0,0,BP797*MAX(1,IF(G797&gt;0,AA797/G797,1))),AB797*Q797)</f>
        <v/>
      </c>
      <c r="AD797" s="55">
        <f>AA797*F797</f>
        <v/>
      </c>
      <c r="AE797" s="55">
        <f>ROUNDUP(MAX(I797/IF(BS797&gt;0,BS797,MAX(0.1,N(Cockpit!$C$6))),BV797)/BN797,0)*BN797</f>
        <v/>
      </c>
      <c r="AF797" s="56">
        <f>IF(AC797&gt;0,I797/AC797,-1)</f>
        <v/>
      </c>
      <c r="AG797" s="56">
        <f>IF(AND(OR(BR797="L1",BR797="L23"),AC797&gt;0),SUMIFS($AC$7:$AC$1570,$BR$7:$BR$1570,BR797,$AF$7:$AF$1570,"&gt;"&amp;AF797)+SUMIFS($AC$7:$AC$1570,$BR$7:$BR$1570,BR797,$AF$7:$AF$1570,AF797,$BL$7:$BL$1570,"&lt;="&amp;BL797),"")</f>
        <v/>
      </c>
      <c r="AH797" s="65">
        <f>IF(AG797="",0,MAX(0,MIN(1,(IF(BR797="L1",Parameter!$K$5,Parameter!$K$6+Parameter!$K$7)-(AG797-AC797))/AC797)))</f>
        <v/>
      </c>
      <c r="AI797" s="55">
        <f>IF(LEFT(Cockpit!$I$5,1)="A",G797,IF(BT797=1,BU797,IF(LEFT(Cockpit!$I$5,1)="B",AM797,MAX(AM797,G797))))</f>
        <v/>
      </c>
      <c r="AJ797" s="55">
        <f>IF(BO797=1,0,ROUNDUP(AI797/BN797,0))</f>
        <v/>
      </c>
      <c r="AK797" s="64">
        <f>IF(BO797=1,IF(AI797&lt;=0,0,BP797*MAX(1,IF(G797&gt;0,AI797/G797,1))),AJ797*Q797)</f>
        <v/>
      </c>
      <c r="AL797" s="55">
        <f>AI797*F797</f>
        <v/>
      </c>
      <c r="AM797" s="55">
        <f>ROUNDUP(MAX(I797/IF(BS797&gt;0,BS797,MAX(0.1,N(Cockpit!$I$6))),BV797)/BN797,0)*BN797</f>
        <v/>
      </c>
      <c r="AN797" s="56">
        <f>IF(AK797&gt;0,I797/AK797,-1)</f>
        <v/>
      </c>
      <c r="AO797" s="56">
        <f>IF(AND(OR(BR797="L1",BR797="L23"),AK797&gt;0),SUMIFS($AK$7:$AK$1570,$BR$7:$BR$1570,BR797,$AN$7:$AN$1570,"&gt;"&amp;AN797)+SUMIFS($AK$7:$AK$1570,$BR$7:$BR$1570,BR797,$AN$7:$AN$1570,AN797,$BL$7:$BL$1570,"&lt;="&amp;BL797),"")</f>
        <v/>
      </c>
      <c r="AP797" s="65">
        <f>IF(AO797="",0,MAX(0,MIN(1,(IF(BR797="L1",Parameter!$K$5,Parameter!$K$6+Parameter!$K$7)-(AO797-AK797))/AK797)))</f>
        <v/>
      </c>
      <c r="AQ797" s="55">
        <f>IF(LEFT(Cockpit!$O$5,1)="A",G797,IF(BT797=1,BU797,IF(LEFT(Cockpit!$O$5,1)="B",AU797,MAX(AU797,G797))))</f>
        <v/>
      </c>
      <c r="AR797" s="55">
        <f>IF(BO797=1,0,ROUNDUP(AQ797/BN797,0))</f>
        <v/>
      </c>
      <c r="AS797" s="64">
        <f>IF(BO797=1,IF(AQ797&lt;=0,0,BP797*MAX(1,IF(G797&gt;0,AQ797/G797,1))),AR797*Q797)</f>
        <v/>
      </c>
      <c r="AT797" s="55">
        <f>AQ797*F797</f>
        <v/>
      </c>
      <c r="AU797" s="55">
        <f>ROUNDUP(MAX(I797/IF(BS797&gt;0,BS797,MAX(0.1,N(Cockpit!$O$6))),BV797)/BN797,0)*BN797</f>
        <v/>
      </c>
      <c r="AV797" s="56">
        <f>IF(AS797&gt;0,I797/AS797,-1)</f>
        <v/>
      </c>
      <c r="AW797" s="56">
        <f>IF(AND(OR(BR797="L1",BR797="L23"),AS797&gt;0),SUMIFS($AS$7:$AS$1570,$BR$7:$BR$1570,BR797,$AV$7:$AV$1570,"&gt;"&amp;AV797)+SUMIFS($AS$7:$AS$1570,$BR$7:$BR$1570,BR797,$AV$7:$AV$1570,AV797,$BL$7:$BL$1570,"&lt;="&amp;BL797),"")</f>
        <v/>
      </c>
      <c r="AX797" s="65">
        <f>IF(AW797="",0,MAX(0,MIN(1,(IF(BR797="L1",Parameter!$K$5,Parameter!$K$6+Parameter!$K$7)-(AW797-AS797))/AS797)))</f>
        <v/>
      </c>
      <c r="AY797" s="53">
        <f>IF(AC797&lt;=0,"",IF(BR797="Aussen","Aussenlager",IF(BR797="-","Nicht im Lift",IF(AH797&gt;=1,"Lift",IF(AH797&lt;=0,"Aussenlager","teilweise")))))</f>
        <v/>
      </c>
      <c r="AZ797" s="53">
        <f>IF(AK797&lt;=0,"",IF(BR797="Aussen","Aussenlager",IF(BR797="-","Nicht im Lift",IF(AP797&gt;=1,"Lift",IF(AP797&lt;=0,"Aussenlager","teilweise")))))</f>
        <v/>
      </c>
      <c r="BA797" s="53">
        <f>IF(AS797&lt;=0,"",IF(BR797="Aussen","Aussenlager",IF(BR797="-","Nicht im Lift",IF(AX797&gt;=1,"Lift",IF(AX797&lt;=0,"Aussenlager","teilweise")))))</f>
        <v/>
      </c>
      <c r="BB797" s="53">
        <f>IF(A797="","",IF(BK797=1,"Neu; ","")&amp;IF(AND(BK797=0,BF797&lt;0),"negativer Bestand (Export "&amp;BF797&amp;"); ","")&amp;IF(I797&lt;=0,"Kein Verbrauch; ","")&amp;IF(BO797=1,"Lose – Fläche geschätzt; ","")&amp;IF(G797&gt;AM797,"Überbestand "&amp;ROUND(G797-AM797,0)&amp;" Stk / CHF "&amp;ROUND((G797-AM797)*F797,0)&amp;"; ","")&amp;IF(AND(BT797=1,BU797&lt;BV797),"MAX &lt; MB+LG; ","")&amp;IF(AND(BZ797&gt;0,BY797*10&gt;BZ797),"zu hoch für Tablar; ","")&amp;IF(AND(BK797=0,OR(BT797=1,V797&lt;&gt;"",S797&lt;&gt;"",T797&lt;&gt;"",W797&lt;&gt;"")),"manuell übersteuert; ","")&amp;IF(AND(BO797=0,Q797=0),"Gebinde unbekannt; ","")&amp;IF(AND(BO797=0,N(T797)&lt;=0,N(P797)&lt;=0),"Menge pro Gebinde fehlt (Ist = 1 Gebinde); ","")&amp;BJ797)</f>
        <v/>
      </c>
      <c r="BC797" s="53" t="n"/>
      <c r="BD797" s="53" t="n"/>
      <c r="BE797" s="61" t="n"/>
      <c r="BF797" s="55" t="n">
        <v>-12</v>
      </c>
      <c r="BG797" s="55" t="n">
        <v>112</v>
      </c>
      <c r="BH797" s="54" t="n">
        <v>-3.919999999999987</v>
      </c>
      <c r="BI797" s="55" t="n">
        <v>0</v>
      </c>
      <c r="BJ797" s="53" t="inlineStr">
        <is>
          <t>nicht im KTL vorhanden</t>
        </is>
      </c>
      <c r="BK797" s="58" t="n">
        <v>0</v>
      </c>
      <c r="BL797" s="58" t="n">
        <v>797</v>
      </c>
      <c r="BM797" s="53">
        <f>IF(S797&lt;&gt;"",UPPER(TRIM(S797)),IF(O797="","LOSE",O797))</f>
        <v/>
      </c>
      <c r="BN797" s="55">
        <f>IF(BM797="LOSE",1,IF(N(T797)&gt;0,T797,IF(N(P797)&gt;0,P797,MAX(1,G797))))</f>
        <v/>
      </c>
      <c r="BO797" s="58">
        <f>IF(BM797="LOSE",1,0)</f>
        <v/>
      </c>
      <c r="BP797" s="64">
        <f>IF(BO797=0,0,IF(N(R797)&gt;0,R797,IFERROR(VLOOKUP(D797,Parameter!$A$35:$C$64,3,0)+0,0)))</f>
        <v/>
      </c>
      <c r="BQ797" s="53">
        <f>IF(V797&lt;&gt;"",V797,U797)</f>
        <v/>
      </c>
      <c r="BR797" s="53">
        <f>IF(BQ797=1,"L1",IF(OR(BQ797=2,BQ797=3),"L23",IF(BQ797="Aussen","Aussen","-")))</f>
        <v/>
      </c>
      <c r="BS797" s="66">
        <f>IF(N(W797)&gt;0,W797,0)</f>
        <v/>
      </c>
      <c r="BT797" s="58">
        <f>IF(ISNUMBER(Z797),1,0)</f>
        <v/>
      </c>
      <c r="BU797" s="55">
        <f>N(Z797)</f>
        <v/>
      </c>
      <c r="BV797" s="55">
        <f>N(L797)+N(M797)</f>
        <v/>
      </c>
      <c r="BW797" s="55">
        <f>ROUNDUP(G797/BN797,0)</f>
        <v/>
      </c>
      <c r="BX797" s="55">
        <f>ROUNDUP(BU797/BN797,0)</f>
        <v/>
      </c>
      <c r="BY797" s="58">
        <f>IF(BO797=1,0,IFERROR(VLOOKUP(BM797,'Gebinde-Kategorie'!$A$5:$G$45,5,0)+0,0))</f>
        <v/>
      </c>
      <c r="BZ797" s="58">
        <f>IFERROR(IF(OR(BQ797=1,BQ797=2,BQ797=3),N(INDEX(Parameter!$I$5:$I$7,BQ797)),0),0)</f>
        <v/>
      </c>
    </row>
    <row r="798">
      <c r="A798" s="53" t="inlineStr">
        <is>
          <t>005457</t>
        </is>
      </c>
      <c r="B798" s="53" t="inlineStr">
        <is>
          <t>Aderendhülse isoliert blau</t>
        </is>
      </c>
      <c r="C798" s="53" t="inlineStr">
        <is>
          <t>F</t>
        </is>
      </c>
      <c r="D798" s="53" t="inlineStr">
        <is>
          <t>KTL</t>
        </is>
      </c>
      <c r="E798" s="53" t="inlineStr">
        <is>
          <t>C</t>
        </is>
      </c>
      <c r="F798" s="54" t="n">
        <v>0.05</v>
      </c>
      <c r="G798" s="55">
        <f>MAX(0,IF(Parameter!$B$20="Jahresanfang 2025 + Export",BG798+BF798,BF798))</f>
        <v/>
      </c>
      <c r="H798" s="55">
        <f>G798*F798</f>
        <v/>
      </c>
      <c r="I798" s="55">
        <f>BI798*Parameter!$B$18</f>
        <v/>
      </c>
      <c r="J798" s="56" t="n">
        <v>1665</v>
      </c>
      <c r="K798" s="57" t="n">
        <v>0</v>
      </c>
      <c r="L798" s="55" t="n">
        <v>0</v>
      </c>
      <c r="M798" s="55" t="n">
        <v>1</v>
      </c>
      <c r="N798" s="58" t="n">
        <v>28</v>
      </c>
      <c r="O798" s="53" t="inlineStr">
        <is>
          <t>S22</t>
        </is>
      </c>
      <c r="P798" s="55" t="n">
        <v>1786</v>
      </c>
      <c r="Q798" s="59">
        <f>IF(BO798=1,0,IFERROR(VLOOKUP(BM798,'Gebinde-Kategorie'!$A$5:$G$45,6,0)+0,0))</f>
        <v/>
      </c>
      <c r="R798" s="60" t="n"/>
      <c r="S798" s="61" t="n"/>
      <c r="T798" s="61" t="n"/>
      <c r="U798" s="53">
        <f>IF(A798="","",IF(IFERROR(VLOOKUP(D798,Parameter!$A$35:$C$64,2,0),"Nein")="2+3",IF(ISNUMBER(SEARCH("grosser Artikel",BJ798)),2,IFERROR(VLOOKUP(BM798,Parameter!$F$35:$G$64,2,0),2)),IF(OR(IFERROR(VLOOKUP(D798,Parameter!$A$35:$C$64,2,0),"Nein")="Nein",IFERROR(VLOOKUP(D798,Parameter!$A$35:$C$64,2,0),"Nein")=""),"-",VLOOKUP(D798,Parameter!$A$35:$C$64,2,0))))</f>
        <v/>
      </c>
      <c r="V798" s="61" t="n"/>
      <c r="W798" s="62" t="n"/>
      <c r="X798" s="55">
        <f>AM798</f>
        <v/>
      </c>
      <c r="Y798" s="55">
        <f>MAX(AM798,G798)</f>
        <v/>
      </c>
      <c r="Z798" s="63" t="n"/>
      <c r="AA798" s="55">
        <f>IF(LEFT(Cockpit!$C$5,1)="A",G798,IF(BT798=1,BU798,IF(LEFT(Cockpit!$C$5,1)="B",AE798,MAX(AE798,G798))))</f>
        <v/>
      </c>
      <c r="AB798" s="55">
        <f>IF(BO798=1,0,ROUNDUP(AA798/BN798,0))</f>
        <v/>
      </c>
      <c r="AC798" s="64">
        <f>IF(BO798=1,IF(AA798&lt;=0,0,BP798*MAX(1,IF(G798&gt;0,AA798/G798,1))),AB798*Q798)</f>
        <v/>
      </c>
      <c r="AD798" s="55">
        <f>AA798*F798</f>
        <v/>
      </c>
      <c r="AE798" s="55">
        <f>ROUNDUP(MAX(I798/IF(BS798&gt;0,BS798,MAX(0.1,N(Cockpit!$C$6))),BV798)/BN798,0)*BN798</f>
        <v/>
      </c>
      <c r="AF798" s="56">
        <f>IF(AC798&gt;0,I798/AC798,-1)</f>
        <v/>
      </c>
      <c r="AG798" s="56">
        <f>IF(AND(OR(BR798="L1",BR798="L23"),AC798&gt;0),SUMIFS($AC$7:$AC$1570,$BR$7:$BR$1570,BR798,$AF$7:$AF$1570,"&gt;"&amp;AF798)+SUMIFS($AC$7:$AC$1570,$BR$7:$BR$1570,BR798,$AF$7:$AF$1570,AF798,$BL$7:$BL$1570,"&lt;="&amp;BL798),"")</f>
        <v/>
      </c>
      <c r="AH798" s="65">
        <f>IF(AG798="",0,MAX(0,MIN(1,(IF(BR798="L1",Parameter!$K$5,Parameter!$K$6+Parameter!$K$7)-(AG798-AC798))/AC798)))</f>
        <v/>
      </c>
      <c r="AI798" s="55">
        <f>IF(LEFT(Cockpit!$I$5,1)="A",G798,IF(BT798=1,BU798,IF(LEFT(Cockpit!$I$5,1)="B",AM798,MAX(AM798,G798))))</f>
        <v/>
      </c>
      <c r="AJ798" s="55">
        <f>IF(BO798=1,0,ROUNDUP(AI798/BN798,0))</f>
        <v/>
      </c>
      <c r="AK798" s="64">
        <f>IF(BO798=1,IF(AI798&lt;=0,0,BP798*MAX(1,IF(G798&gt;0,AI798/G798,1))),AJ798*Q798)</f>
        <v/>
      </c>
      <c r="AL798" s="55">
        <f>AI798*F798</f>
        <v/>
      </c>
      <c r="AM798" s="55">
        <f>ROUNDUP(MAX(I798/IF(BS798&gt;0,BS798,MAX(0.1,N(Cockpit!$I$6))),BV798)/BN798,0)*BN798</f>
        <v/>
      </c>
      <c r="AN798" s="56">
        <f>IF(AK798&gt;0,I798/AK798,-1)</f>
        <v/>
      </c>
      <c r="AO798" s="56">
        <f>IF(AND(OR(BR798="L1",BR798="L23"),AK798&gt;0),SUMIFS($AK$7:$AK$1570,$BR$7:$BR$1570,BR798,$AN$7:$AN$1570,"&gt;"&amp;AN798)+SUMIFS($AK$7:$AK$1570,$BR$7:$BR$1570,BR798,$AN$7:$AN$1570,AN798,$BL$7:$BL$1570,"&lt;="&amp;BL798),"")</f>
        <v/>
      </c>
      <c r="AP798" s="65">
        <f>IF(AO798="",0,MAX(0,MIN(1,(IF(BR798="L1",Parameter!$K$5,Parameter!$K$6+Parameter!$K$7)-(AO798-AK798))/AK798)))</f>
        <v/>
      </c>
      <c r="AQ798" s="55">
        <f>IF(LEFT(Cockpit!$O$5,1)="A",G798,IF(BT798=1,BU798,IF(LEFT(Cockpit!$O$5,1)="B",AU798,MAX(AU798,G798))))</f>
        <v/>
      </c>
      <c r="AR798" s="55">
        <f>IF(BO798=1,0,ROUNDUP(AQ798/BN798,0))</f>
        <v/>
      </c>
      <c r="AS798" s="64">
        <f>IF(BO798=1,IF(AQ798&lt;=0,0,BP798*MAX(1,IF(G798&gt;0,AQ798/G798,1))),AR798*Q798)</f>
        <v/>
      </c>
      <c r="AT798" s="55">
        <f>AQ798*F798</f>
        <v/>
      </c>
      <c r="AU798" s="55">
        <f>ROUNDUP(MAX(I798/IF(BS798&gt;0,BS798,MAX(0.1,N(Cockpit!$O$6))),BV798)/BN798,0)*BN798</f>
        <v/>
      </c>
      <c r="AV798" s="56">
        <f>IF(AS798&gt;0,I798/AS798,-1)</f>
        <v/>
      </c>
      <c r="AW798" s="56">
        <f>IF(AND(OR(BR798="L1",BR798="L23"),AS798&gt;0),SUMIFS($AS$7:$AS$1570,$BR$7:$BR$1570,BR798,$AV$7:$AV$1570,"&gt;"&amp;AV798)+SUMIFS($AS$7:$AS$1570,$BR$7:$BR$1570,BR798,$AV$7:$AV$1570,AV798,$BL$7:$BL$1570,"&lt;="&amp;BL798),"")</f>
        <v/>
      </c>
      <c r="AX798" s="65">
        <f>IF(AW798="",0,MAX(0,MIN(1,(IF(BR798="L1",Parameter!$K$5,Parameter!$K$6+Parameter!$K$7)-(AW798-AS798))/AS798)))</f>
        <v/>
      </c>
      <c r="AY798" s="53">
        <f>IF(AC798&lt;=0,"",IF(BR798="Aussen","Aussenlager",IF(BR798="-","Nicht im Lift",IF(AH798&gt;=1,"Lift",IF(AH798&lt;=0,"Aussenlager","teilweise")))))</f>
        <v/>
      </c>
      <c r="AZ798" s="53">
        <f>IF(AK798&lt;=0,"",IF(BR798="Aussen","Aussenlager",IF(BR798="-","Nicht im Lift",IF(AP798&gt;=1,"Lift",IF(AP798&lt;=0,"Aussenlager","teilweise")))))</f>
        <v/>
      </c>
      <c r="BA798" s="53">
        <f>IF(AS798&lt;=0,"",IF(BR798="Aussen","Aussenlager",IF(BR798="-","Nicht im Lift",IF(AX798&gt;=1,"Lift",IF(AX798&lt;=0,"Aussenlager","teilweise")))))</f>
        <v/>
      </c>
      <c r="BB798" s="53">
        <f>IF(A798="","",IF(BK798=1,"Neu; ","")&amp;IF(AND(BK798=0,BF798&lt;0),"negativer Bestand (Export "&amp;BF798&amp;"); ","")&amp;IF(I798&lt;=0,"Kein Verbrauch; ","")&amp;IF(BO798=1,"Lose – Fläche geschätzt; ","")&amp;IF(G798&gt;AM798,"Überbestand "&amp;ROUND(G798-AM798,0)&amp;" Stk / CHF "&amp;ROUND((G798-AM798)*F798,0)&amp;"; ","")&amp;IF(AND(BT798=1,BU798&lt;BV798),"MAX &lt; MB+LG; ","")&amp;IF(AND(BZ798&gt;0,BY798*10&gt;BZ798),"zu hoch für Tablar; ","")&amp;IF(AND(BK798=0,OR(BT798=1,V798&lt;&gt;"",S798&lt;&gt;"",T798&lt;&gt;"",W798&lt;&gt;"")),"manuell übersteuert; ","")&amp;IF(AND(BO798=0,Q798=0),"Gebinde unbekannt; ","")&amp;IF(AND(BO798=0,N(T798)&lt;=0,N(P798)&lt;=0),"Menge pro Gebinde fehlt (Ist = 1 Gebinde); ","")&amp;BJ798)</f>
        <v/>
      </c>
      <c r="BC798" s="53" t="n"/>
      <c r="BD798" s="53" t="n"/>
      <c r="BE798" s="61" t="n"/>
      <c r="BF798" s="55" t="n">
        <v>-83</v>
      </c>
      <c r="BG798" s="55" t="n">
        <v>1671</v>
      </c>
      <c r="BH798" s="54" t="n">
        <v>-4.15</v>
      </c>
      <c r="BI798" s="55" t="n">
        <v>0</v>
      </c>
      <c r="BJ798" s="53" t="inlineStr">
        <is>
          <t>Handlager</t>
        </is>
      </c>
      <c r="BK798" s="58" t="n">
        <v>0</v>
      </c>
      <c r="BL798" s="58" t="n">
        <v>798</v>
      </c>
      <c r="BM798" s="53">
        <f>IF(S798&lt;&gt;"",UPPER(TRIM(S798)),IF(O798="","LOSE",O798))</f>
        <v/>
      </c>
      <c r="BN798" s="55">
        <f>IF(BM798="LOSE",1,IF(N(T798)&gt;0,T798,IF(N(P798)&gt;0,P798,MAX(1,G798))))</f>
        <v/>
      </c>
      <c r="BO798" s="58">
        <f>IF(BM798="LOSE",1,0)</f>
        <v/>
      </c>
      <c r="BP798" s="64">
        <f>IF(BO798=0,0,IF(N(R798)&gt;0,R798,IFERROR(VLOOKUP(D798,Parameter!$A$35:$C$64,3,0)+0,0)))</f>
        <v/>
      </c>
      <c r="BQ798" s="53">
        <f>IF(V798&lt;&gt;"",V798,U798)</f>
        <v/>
      </c>
      <c r="BR798" s="53">
        <f>IF(BQ798=1,"L1",IF(OR(BQ798=2,BQ798=3),"L23",IF(BQ798="Aussen","Aussen","-")))</f>
        <v/>
      </c>
      <c r="BS798" s="66">
        <f>IF(N(W798)&gt;0,W798,0)</f>
        <v/>
      </c>
      <c r="BT798" s="58">
        <f>IF(ISNUMBER(Z798),1,0)</f>
        <v/>
      </c>
      <c r="BU798" s="55">
        <f>N(Z798)</f>
        <v/>
      </c>
      <c r="BV798" s="55">
        <f>N(L798)+N(M798)</f>
        <v/>
      </c>
      <c r="BW798" s="55">
        <f>ROUNDUP(G798/BN798,0)</f>
        <v/>
      </c>
      <c r="BX798" s="55">
        <f>ROUNDUP(BU798/BN798,0)</f>
        <v/>
      </c>
      <c r="BY798" s="58">
        <f>IF(BO798=1,0,IFERROR(VLOOKUP(BM798,'Gebinde-Kategorie'!$A$5:$G$45,5,0)+0,0))</f>
        <v/>
      </c>
      <c r="BZ798" s="58">
        <f>IFERROR(IF(OR(BQ798=1,BQ798=2,BQ798=3),N(INDEX(Parameter!$I$5:$I$7,BQ798)),0),0)</f>
        <v/>
      </c>
    </row>
    <row r="799">
      <c r="A799" s="53" t="inlineStr">
        <is>
          <t>001047</t>
        </is>
      </c>
      <c r="B799" s="53" t="inlineStr">
        <is>
          <t>Karton</t>
        </is>
      </c>
      <c r="C799" s="53" t="inlineStr">
        <is>
          <t>F</t>
        </is>
      </c>
      <c r="D799" s="53" t="inlineStr">
        <is>
          <t>PAL</t>
        </is>
      </c>
      <c r="E799" s="53" t="inlineStr">
        <is>
          <t>C</t>
        </is>
      </c>
      <c r="F799" s="54" t="n">
        <v>5.23</v>
      </c>
      <c r="G799" s="55">
        <f>MAX(0,IF(Parameter!$B$20="Jahresanfang 2025 + Export",BG799+BF799,BF799))</f>
        <v/>
      </c>
      <c r="H799" s="55">
        <f>G799*F799</f>
        <v/>
      </c>
      <c r="I799" s="55">
        <f>BI799*Parameter!$B$18</f>
        <v/>
      </c>
      <c r="J799" s="56" t="n">
        <v>44</v>
      </c>
      <c r="K799" s="57" t="n">
        <v>8.727272727272727</v>
      </c>
      <c r="L799" s="55" t="n">
        <v>22</v>
      </c>
      <c r="M799" s="55" t="n">
        <v>60</v>
      </c>
      <c r="N799" s="58" t="n">
        <v>21</v>
      </c>
      <c r="O799" s="53" t="inlineStr">
        <is>
          <t>LOSE</t>
        </is>
      </c>
      <c r="P799" s="55" t="n"/>
      <c r="Q799" s="59">
        <f>IF(BO799=1,0,IFERROR(VLOOKUP(BM799,'Gebinde-Kategorie'!$A$5:$G$45,6,0)+0,0))</f>
        <v/>
      </c>
      <c r="R799" s="60" t="n"/>
      <c r="S799" s="61" t="n"/>
      <c r="T799" s="61" t="n"/>
      <c r="U799" s="53">
        <f>IF(A799="","",IF(IFERROR(VLOOKUP(D799,Parameter!$A$35:$C$64,2,0),"Nein")="2+3",IF(ISNUMBER(SEARCH("grosser Artikel",BJ799)),2,IFERROR(VLOOKUP(BM799,Parameter!$F$35:$G$64,2,0),2)),IF(OR(IFERROR(VLOOKUP(D799,Parameter!$A$35:$C$64,2,0),"Nein")="Nein",IFERROR(VLOOKUP(D799,Parameter!$A$35:$C$64,2,0),"Nein")=""),"-",VLOOKUP(D799,Parameter!$A$35:$C$64,2,0))))</f>
        <v/>
      </c>
      <c r="V799" s="61" t="n"/>
      <c r="W799" s="62" t="n"/>
      <c r="X799" s="55">
        <f>AM799</f>
        <v/>
      </c>
      <c r="Y799" s="55">
        <f>MAX(AM799,G799)</f>
        <v/>
      </c>
      <c r="Z799" s="63" t="n"/>
      <c r="AA799" s="55">
        <f>IF(LEFT(Cockpit!$C$5,1)="A",G799,IF(BT799=1,BU799,IF(LEFT(Cockpit!$C$5,1)="B",AE799,MAX(AE799,G799))))</f>
        <v/>
      </c>
      <c r="AB799" s="55">
        <f>IF(BO799=1,0,ROUNDUP(AA799/BN799,0))</f>
        <v/>
      </c>
      <c r="AC799" s="64">
        <f>IF(BO799=1,IF(AA799&lt;=0,0,BP799*MAX(1,IF(G799&gt;0,AA799/G799,1))),AB799*Q799)</f>
        <v/>
      </c>
      <c r="AD799" s="55">
        <f>AA799*F799</f>
        <v/>
      </c>
      <c r="AE799" s="55">
        <f>ROUNDUP(MAX(I799/IF(BS799&gt;0,BS799,MAX(0.1,N(Cockpit!$C$6))),BV799)/BN799,0)*BN799</f>
        <v/>
      </c>
      <c r="AF799" s="56">
        <f>IF(AC799&gt;0,I799/AC799,-1)</f>
        <v/>
      </c>
      <c r="AG799" s="56">
        <f>IF(AND(OR(BR799="L1",BR799="L23"),AC799&gt;0),SUMIFS($AC$7:$AC$1570,$BR$7:$BR$1570,BR799,$AF$7:$AF$1570,"&gt;"&amp;AF799)+SUMIFS($AC$7:$AC$1570,$BR$7:$BR$1570,BR799,$AF$7:$AF$1570,AF799,$BL$7:$BL$1570,"&lt;="&amp;BL799),"")</f>
        <v/>
      </c>
      <c r="AH799" s="65">
        <f>IF(AG799="",0,MAX(0,MIN(1,(IF(BR799="L1",Parameter!$K$5,Parameter!$K$6+Parameter!$K$7)-(AG799-AC799))/AC799)))</f>
        <v/>
      </c>
      <c r="AI799" s="55">
        <f>IF(LEFT(Cockpit!$I$5,1)="A",G799,IF(BT799=1,BU799,IF(LEFT(Cockpit!$I$5,1)="B",AM799,MAX(AM799,G799))))</f>
        <v/>
      </c>
      <c r="AJ799" s="55">
        <f>IF(BO799=1,0,ROUNDUP(AI799/BN799,0))</f>
        <v/>
      </c>
      <c r="AK799" s="64">
        <f>IF(BO799=1,IF(AI799&lt;=0,0,BP799*MAX(1,IF(G799&gt;0,AI799/G799,1))),AJ799*Q799)</f>
        <v/>
      </c>
      <c r="AL799" s="55">
        <f>AI799*F799</f>
        <v/>
      </c>
      <c r="AM799" s="55">
        <f>ROUNDUP(MAX(I799/IF(BS799&gt;0,BS799,MAX(0.1,N(Cockpit!$I$6))),BV799)/BN799,0)*BN799</f>
        <v/>
      </c>
      <c r="AN799" s="56">
        <f>IF(AK799&gt;0,I799/AK799,-1)</f>
        <v/>
      </c>
      <c r="AO799" s="56">
        <f>IF(AND(OR(BR799="L1",BR799="L23"),AK799&gt;0),SUMIFS($AK$7:$AK$1570,$BR$7:$BR$1570,BR799,$AN$7:$AN$1570,"&gt;"&amp;AN799)+SUMIFS($AK$7:$AK$1570,$BR$7:$BR$1570,BR799,$AN$7:$AN$1570,AN799,$BL$7:$BL$1570,"&lt;="&amp;BL799),"")</f>
        <v/>
      </c>
      <c r="AP799" s="65">
        <f>IF(AO799="",0,MAX(0,MIN(1,(IF(BR799="L1",Parameter!$K$5,Parameter!$K$6+Parameter!$K$7)-(AO799-AK799))/AK799)))</f>
        <v/>
      </c>
      <c r="AQ799" s="55">
        <f>IF(LEFT(Cockpit!$O$5,1)="A",G799,IF(BT799=1,BU799,IF(LEFT(Cockpit!$O$5,1)="B",AU799,MAX(AU799,G799))))</f>
        <v/>
      </c>
      <c r="AR799" s="55">
        <f>IF(BO799=1,0,ROUNDUP(AQ799/BN799,0))</f>
        <v/>
      </c>
      <c r="AS799" s="64">
        <f>IF(BO799=1,IF(AQ799&lt;=0,0,BP799*MAX(1,IF(G799&gt;0,AQ799/G799,1))),AR799*Q799)</f>
        <v/>
      </c>
      <c r="AT799" s="55">
        <f>AQ799*F799</f>
        <v/>
      </c>
      <c r="AU799" s="55">
        <f>ROUNDUP(MAX(I799/IF(BS799&gt;0,BS799,MAX(0.1,N(Cockpit!$O$6))),BV799)/BN799,0)*BN799</f>
        <v/>
      </c>
      <c r="AV799" s="56">
        <f>IF(AS799&gt;0,I799/AS799,-1)</f>
        <v/>
      </c>
      <c r="AW799" s="56">
        <f>IF(AND(OR(BR799="L1",BR799="L23"),AS799&gt;0),SUMIFS($AS$7:$AS$1570,$BR$7:$BR$1570,BR799,$AV$7:$AV$1570,"&gt;"&amp;AV799)+SUMIFS($AS$7:$AS$1570,$BR$7:$BR$1570,BR799,$AV$7:$AV$1570,AV799,$BL$7:$BL$1570,"&lt;="&amp;BL799),"")</f>
        <v/>
      </c>
      <c r="AX799" s="65">
        <f>IF(AW799="",0,MAX(0,MIN(1,(IF(BR799="L1",Parameter!$K$5,Parameter!$K$6+Parameter!$K$7)-(AW799-AS799))/AS799)))</f>
        <v/>
      </c>
      <c r="AY799" s="53">
        <f>IF(AC799&lt;=0,"",IF(BR799="Aussen","Aussenlager",IF(BR799="-","Nicht im Lift",IF(AH799&gt;=1,"Lift",IF(AH799&lt;=0,"Aussenlager","teilweise")))))</f>
        <v/>
      </c>
      <c r="AZ799" s="53">
        <f>IF(AK799&lt;=0,"",IF(BR799="Aussen","Aussenlager",IF(BR799="-","Nicht im Lift",IF(AP799&gt;=1,"Lift",IF(AP799&lt;=0,"Aussenlager","teilweise")))))</f>
        <v/>
      </c>
      <c r="BA799" s="53">
        <f>IF(AS799&lt;=0,"",IF(BR799="Aussen","Aussenlager",IF(BR799="-","Nicht im Lift",IF(AX799&gt;=1,"Lift",IF(AX799&lt;=0,"Aussenlager","teilweise")))))</f>
        <v/>
      </c>
      <c r="BB799" s="53">
        <f>IF(A799="","",IF(BK799=1,"Neu; ","")&amp;IF(AND(BK799=0,BF799&lt;0),"negativer Bestand (Export "&amp;BF799&amp;"); ","")&amp;IF(I799&lt;=0,"Kein Verbrauch; ","")&amp;IF(BO799=1,"Lose – Fläche geschätzt; ","")&amp;IF(G799&gt;AM799,"Überbestand "&amp;ROUND(G799-AM799,0)&amp;" Stk / CHF "&amp;ROUND((G799-AM799)*F799,0)&amp;"; ","")&amp;IF(AND(BT799=1,BU799&lt;BV799),"MAX &lt; MB+LG; ","")&amp;IF(AND(BZ799&gt;0,BY799*10&gt;BZ799),"zu hoch für Tablar; ","")&amp;IF(AND(BK799=0,OR(BT799=1,V799&lt;&gt;"",S799&lt;&gt;"",T799&lt;&gt;"",W799&lt;&gt;"")),"manuell übersteuert; ","")&amp;IF(AND(BO799=0,Q799=0),"Gebinde unbekannt; ","")&amp;IF(AND(BO799=0,N(T799)&lt;=0,N(P799)&lt;=0),"Menge pro Gebinde fehlt (Ist = 1 Gebinde); ","")&amp;BJ799)</f>
        <v/>
      </c>
      <c r="BC799" s="53" t="n"/>
      <c r="BD799" s="53" t="n"/>
      <c r="BE799" s="61" t="n"/>
      <c r="BF799" s="55" t="n">
        <v>-3</v>
      </c>
      <c r="BG799" s="55" t="n">
        <v>51</v>
      </c>
      <c r="BH799" s="54" t="n">
        <v>-4.470000000000134</v>
      </c>
      <c r="BI799" s="55" t="n">
        <v>384</v>
      </c>
      <c r="BJ799" s="53" t="inlineStr"/>
      <c r="BK799" s="58" t="n">
        <v>0</v>
      </c>
      <c r="BL799" s="58" t="n">
        <v>799</v>
      </c>
      <c r="BM799" s="53">
        <f>IF(S799&lt;&gt;"",UPPER(TRIM(S799)),IF(O799="","LOSE",O799))</f>
        <v/>
      </c>
      <c r="BN799" s="55">
        <f>IF(BM799="LOSE",1,IF(N(T799)&gt;0,T799,IF(N(P799)&gt;0,P799,MAX(1,G799))))</f>
        <v/>
      </c>
      <c r="BO799" s="58">
        <f>IF(BM799="LOSE",1,0)</f>
        <v/>
      </c>
      <c r="BP799" s="64">
        <f>IF(BO799=0,0,IF(N(R799)&gt;0,R799,IFERROR(VLOOKUP(D799,Parameter!$A$35:$C$64,3,0)+0,0)))</f>
        <v/>
      </c>
      <c r="BQ799" s="53">
        <f>IF(V799&lt;&gt;"",V799,U799)</f>
        <v/>
      </c>
      <c r="BR799" s="53">
        <f>IF(BQ799=1,"L1",IF(OR(BQ799=2,BQ799=3),"L23",IF(BQ799="Aussen","Aussen","-")))</f>
        <v/>
      </c>
      <c r="BS799" s="66">
        <f>IF(N(W799)&gt;0,W799,0)</f>
        <v/>
      </c>
      <c r="BT799" s="58">
        <f>IF(ISNUMBER(Z799),1,0)</f>
        <v/>
      </c>
      <c r="BU799" s="55">
        <f>N(Z799)</f>
        <v/>
      </c>
      <c r="BV799" s="55">
        <f>N(L799)+N(M799)</f>
        <v/>
      </c>
      <c r="BW799" s="55">
        <f>ROUNDUP(G799/BN799,0)</f>
        <v/>
      </c>
      <c r="BX799" s="55">
        <f>ROUNDUP(BU799/BN799,0)</f>
        <v/>
      </c>
      <c r="BY799" s="58">
        <f>IF(BO799=1,0,IFERROR(VLOOKUP(BM799,'Gebinde-Kategorie'!$A$5:$G$45,5,0)+0,0))</f>
        <v/>
      </c>
      <c r="BZ799" s="58">
        <f>IFERROR(IF(OR(BQ799=1,BQ799=2,BQ799=3),N(INDEX(Parameter!$I$5:$I$7,BQ799)),0),0)</f>
        <v/>
      </c>
    </row>
    <row r="800">
      <c r="A800" s="53" t="inlineStr">
        <is>
          <t>108570</t>
        </is>
      </c>
      <c r="B800" s="53" t="inlineStr">
        <is>
          <t>Unterlagsscheibe</t>
        </is>
      </c>
      <c r="C800" s="53" t="inlineStr">
        <is>
          <t>F</t>
        </is>
      </c>
      <c r="D800" s="53" t="inlineStr">
        <is>
          <t>KTL</t>
        </is>
      </c>
      <c r="E800" s="53" t="inlineStr">
        <is>
          <t>C</t>
        </is>
      </c>
      <c r="F800" s="54" t="n">
        <v>0.01</v>
      </c>
      <c r="G800" s="55">
        <f>MAX(0,IF(Parameter!$B$20="Jahresanfang 2025 + Export",BG800+BF800,BF800))</f>
        <v/>
      </c>
      <c r="H800" s="55">
        <f>G800*F800</f>
        <v/>
      </c>
      <c r="I800" s="55">
        <f>BI800*Parameter!$B$18</f>
        <v/>
      </c>
      <c r="J800" s="56" t="n">
        <v>583</v>
      </c>
      <c r="K800" s="57" t="n">
        <v>1.926243567753002</v>
      </c>
      <c r="L800" s="55" t="n">
        <v>65</v>
      </c>
      <c r="M800" s="55" t="n">
        <v>1125</v>
      </c>
      <c r="N800" s="58" t="n">
        <v>21</v>
      </c>
      <c r="O800" s="53" t="inlineStr">
        <is>
          <t>S32</t>
        </is>
      </c>
      <c r="P800" s="55" t="n">
        <v>381</v>
      </c>
      <c r="Q800" s="59">
        <f>IF(BO800=1,0,IFERROR(VLOOKUP(BM800,'Gebinde-Kategorie'!$A$5:$G$45,6,0)+0,0))</f>
        <v/>
      </c>
      <c r="R800" s="60" t="n"/>
      <c r="S800" s="61" t="n"/>
      <c r="T800" s="61" t="n"/>
      <c r="U800" s="53">
        <f>IF(A800="","",IF(IFERROR(VLOOKUP(D800,Parameter!$A$35:$C$64,2,0),"Nein")="2+3",IF(ISNUMBER(SEARCH("grosser Artikel",BJ800)),2,IFERROR(VLOOKUP(BM800,Parameter!$F$35:$G$64,2,0),2)),IF(OR(IFERROR(VLOOKUP(D800,Parameter!$A$35:$C$64,2,0),"Nein")="Nein",IFERROR(VLOOKUP(D800,Parameter!$A$35:$C$64,2,0),"Nein")=""),"-",VLOOKUP(D800,Parameter!$A$35:$C$64,2,0))))</f>
        <v/>
      </c>
      <c r="V800" s="61" t="n"/>
      <c r="W800" s="62" t="n"/>
      <c r="X800" s="55">
        <f>AM800</f>
        <v/>
      </c>
      <c r="Y800" s="55">
        <f>MAX(AM800,G800)</f>
        <v/>
      </c>
      <c r="Z800" s="63" t="n"/>
      <c r="AA800" s="55">
        <f>IF(LEFT(Cockpit!$C$5,1)="A",G800,IF(BT800=1,BU800,IF(LEFT(Cockpit!$C$5,1)="B",AE800,MAX(AE800,G800))))</f>
        <v/>
      </c>
      <c r="AB800" s="55">
        <f>IF(BO800=1,0,ROUNDUP(AA800/BN800,0))</f>
        <v/>
      </c>
      <c r="AC800" s="64">
        <f>IF(BO800=1,IF(AA800&lt;=0,0,BP800*MAX(1,IF(G800&gt;0,AA800/G800,1))),AB800*Q800)</f>
        <v/>
      </c>
      <c r="AD800" s="55">
        <f>AA800*F800</f>
        <v/>
      </c>
      <c r="AE800" s="55">
        <f>ROUNDUP(MAX(I800/IF(BS800&gt;0,BS800,MAX(0.1,N(Cockpit!$C$6))),BV800)/BN800,0)*BN800</f>
        <v/>
      </c>
      <c r="AF800" s="56">
        <f>IF(AC800&gt;0,I800/AC800,-1)</f>
        <v/>
      </c>
      <c r="AG800" s="56">
        <f>IF(AND(OR(BR800="L1",BR800="L23"),AC800&gt;0),SUMIFS($AC$7:$AC$1570,$BR$7:$BR$1570,BR800,$AF$7:$AF$1570,"&gt;"&amp;AF800)+SUMIFS($AC$7:$AC$1570,$BR$7:$BR$1570,BR800,$AF$7:$AF$1570,AF800,$BL$7:$BL$1570,"&lt;="&amp;BL800),"")</f>
        <v/>
      </c>
      <c r="AH800" s="65">
        <f>IF(AG800="",0,MAX(0,MIN(1,(IF(BR800="L1",Parameter!$K$5,Parameter!$K$6+Parameter!$K$7)-(AG800-AC800))/AC800)))</f>
        <v/>
      </c>
      <c r="AI800" s="55">
        <f>IF(LEFT(Cockpit!$I$5,1)="A",G800,IF(BT800=1,BU800,IF(LEFT(Cockpit!$I$5,1)="B",AM800,MAX(AM800,G800))))</f>
        <v/>
      </c>
      <c r="AJ800" s="55">
        <f>IF(BO800=1,0,ROUNDUP(AI800/BN800,0))</f>
        <v/>
      </c>
      <c r="AK800" s="64">
        <f>IF(BO800=1,IF(AI800&lt;=0,0,BP800*MAX(1,IF(G800&gt;0,AI800/G800,1))),AJ800*Q800)</f>
        <v/>
      </c>
      <c r="AL800" s="55">
        <f>AI800*F800</f>
        <v/>
      </c>
      <c r="AM800" s="55">
        <f>ROUNDUP(MAX(I800/IF(BS800&gt;0,BS800,MAX(0.1,N(Cockpit!$I$6))),BV800)/BN800,0)*BN800</f>
        <v/>
      </c>
      <c r="AN800" s="56">
        <f>IF(AK800&gt;0,I800/AK800,-1)</f>
        <v/>
      </c>
      <c r="AO800" s="56">
        <f>IF(AND(OR(BR800="L1",BR800="L23"),AK800&gt;0),SUMIFS($AK$7:$AK$1570,$BR$7:$BR$1570,BR800,$AN$7:$AN$1570,"&gt;"&amp;AN800)+SUMIFS($AK$7:$AK$1570,$BR$7:$BR$1570,BR800,$AN$7:$AN$1570,AN800,$BL$7:$BL$1570,"&lt;="&amp;BL800),"")</f>
        <v/>
      </c>
      <c r="AP800" s="65">
        <f>IF(AO800="",0,MAX(0,MIN(1,(IF(BR800="L1",Parameter!$K$5,Parameter!$K$6+Parameter!$K$7)-(AO800-AK800))/AK800)))</f>
        <v/>
      </c>
      <c r="AQ800" s="55">
        <f>IF(LEFT(Cockpit!$O$5,1)="A",G800,IF(BT800=1,BU800,IF(LEFT(Cockpit!$O$5,1)="B",AU800,MAX(AU800,G800))))</f>
        <v/>
      </c>
      <c r="AR800" s="55">
        <f>IF(BO800=1,0,ROUNDUP(AQ800/BN800,0))</f>
        <v/>
      </c>
      <c r="AS800" s="64">
        <f>IF(BO800=1,IF(AQ800&lt;=0,0,BP800*MAX(1,IF(G800&gt;0,AQ800/G800,1))),AR800*Q800)</f>
        <v/>
      </c>
      <c r="AT800" s="55">
        <f>AQ800*F800</f>
        <v/>
      </c>
      <c r="AU800" s="55">
        <f>ROUNDUP(MAX(I800/IF(BS800&gt;0,BS800,MAX(0.1,N(Cockpit!$O$6))),BV800)/BN800,0)*BN800</f>
        <v/>
      </c>
      <c r="AV800" s="56">
        <f>IF(AS800&gt;0,I800/AS800,-1)</f>
        <v/>
      </c>
      <c r="AW800" s="56">
        <f>IF(AND(OR(BR800="L1",BR800="L23"),AS800&gt;0),SUMIFS($AS$7:$AS$1570,$BR$7:$BR$1570,BR800,$AV$7:$AV$1570,"&gt;"&amp;AV800)+SUMIFS($AS$7:$AS$1570,$BR$7:$BR$1570,BR800,$AV$7:$AV$1570,AV800,$BL$7:$BL$1570,"&lt;="&amp;BL800),"")</f>
        <v/>
      </c>
      <c r="AX800" s="65">
        <f>IF(AW800="",0,MAX(0,MIN(1,(IF(BR800="L1",Parameter!$K$5,Parameter!$K$6+Parameter!$K$7)-(AW800-AS800))/AS800)))</f>
        <v/>
      </c>
      <c r="AY800" s="53">
        <f>IF(AC800&lt;=0,"",IF(BR800="Aussen","Aussenlager",IF(BR800="-","Nicht im Lift",IF(AH800&gt;=1,"Lift",IF(AH800&lt;=0,"Aussenlager","teilweise")))))</f>
        <v/>
      </c>
      <c r="AZ800" s="53">
        <f>IF(AK800&lt;=0,"",IF(BR800="Aussen","Aussenlager",IF(BR800="-","Nicht im Lift",IF(AP800&gt;=1,"Lift",IF(AP800&lt;=0,"Aussenlager","teilweise")))))</f>
        <v/>
      </c>
      <c r="BA800" s="53">
        <f>IF(AS800&lt;=0,"",IF(BR800="Aussen","Aussenlager",IF(BR800="-","Nicht im Lift",IF(AX800&gt;=1,"Lift",IF(AX800&lt;=0,"Aussenlager","teilweise")))))</f>
        <v/>
      </c>
      <c r="BB800" s="53">
        <f>IF(A800="","",IF(BK800=1,"Neu; ","")&amp;IF(AND(BK800=0,BF800&lt;0),"negativer Bestand (Export "&amp;BF800&amp;"); ","")&amp;IF(I800&lt;=0,"Kein Verbrauch; ","")&amp;IF(BO800=1,"Lose – Fläche geschätzt; ","")&amp;IF(G800&gt;AM800,"Überbestand "&amp;ROUND(G800-AM800,0)&amp;" Stk / CHF "&amp;ROUND((G800-AM800)*F800,0)&amp;"; ","")&amp;IF(AND(BT800=1,BU800&lt;BV800),"MAX &lt; MB+LG; ","")&amp;IF(AND(BZ800&gt;0,BY800*10&gt;BZ800),"zu hoch für Tablar; ","")&amp;IF(AND(BK800=0,OR(BT800=1,V800&lt;&gt;"",S800&lt;&gt;"",T800&lt;&gt;"",W800&lt;&gt;"")),"manuell übersteuert; ","")&amp;IF(AND(BO800=0,Q800=0),"Gebinde unbekannt; ","")&amp;IF(AND(BO800=0,N(T800)&lt;=0,N(P800)&lt;=0),"Menge pro Gebinde fehlt (Ist = 1 Gebinde); ","")&amp;BJ800)</f>
        <v/>
      </c>
      <c r="BC800" s="53" t="n"/>
      <c r="BD800" s="53" t="n"/>
      <c r="BE800" s="61" t="n"/>
      <c r="BF800" s="55" t="n">
        <v>126</v>
      </c>
      <c r="BG800" s="55" t="n">
        <v>593</v>
      </c>
      <c r="BH800" s="54" t="n">
        <v>-4.669999999999983</v>
      </c>
      <c r="BI800" s="55" t="n">
        <v>1123</v>
      </c>
      <c r="BJ800" s="53" t="inlineStr"/>
      <c r="BK800" s="58" t="n">
        <v>0</v>
      </c>
      <c r="BL800" s="58" t="n">
        <v>800</v>
      </c>
      <c r="BM800" s="53">
        <f>IF(S800&lt;&gt;"",UPPER(TRIM(S800)),IF(O800="","LOSE",O800))</f>
        <v/>
      </c>
      <c r="BN800" s="55">
        <f>IF(BM800="LOSE",1,IF(N(T800)&gt;0,T800,IF(N(P800)&gt;0,P800,MAX(1,G800))))</f>
        <v/>
      </c>
      <c r="BO800" s="58">
        <f>IF(BM800="LOSE",1,0)</f>
        <v/>
      </c>
      <c r="BP800" s="64">
        <f>IF(BO800=0,0,IF(N(R800)&gt;0,R800,IFERROR(VLOOKUP(D800,Parameter!$A$35:$C$64,3,0)+0,0)))</f>
        <v/>
      </c>
      <c r="BQ800" s="53">
        <f>IF(V800&lt;&gt;"",V800,U800)</f>
        <v/>
      </c>
      <c r="BR800" s="53">
        <f>IF(BQ800=1,"L1",IF(OR(BQ800=2,BQ800=3),"L23",IF(BQ800="Aussen","Aussen","-")))</f>
        <v/>
      </c>
      <c r="BS800" s="66">
        <f>IF(N(W800)&gt;0,W800,0)</f>
        <v/>
      </c>
      <c r="BT800" s="58">
        <f>IF(ISNUMBER(Z800),1,0)</f>
        <v/>
      </c>
      <c r="BU800" s="55">
        <f>N(Z800)</f>
        <v/>
      </c>
      <c r="BV800" s="55">
        <f>N(L800)+N(M800)</f>
        <v/>
      </c>
      <c r="BW800" s="55">
        <f>ROUNDUP(G800/BN800,0)</f>
        <v/>
      </c>
      <c r="BX800" s="55">
        <f>ROUNDUP(BU800/BN800,0)</f>
        <v/>
      </c>
      <c r="BY800" s="58">
        <f>IF(BO800=1,0,IFERROR(VLOOKUP(BM800,'Gebinde-Kategorie'!$A$5:$G$45,5,0)+0,0))</f>
        <v/>
      </c>
      <c r="BZ800" s="58">
        <f>IFERROR(IF(OR(BQ800=1,BQ800=2,BQ800=3),N(INDEX(Parameter!$I$5:$I$7,BQ800)),0),0)</f>
        <v/>
      </c>
    </row>
    <row r="801">
      <c r="A801" s="53" t="inlineStr">
        <is>
          <t>001036</t>
        </is>
      </c>
      <c r="B801" s="53" t="inlineStr">
        <is>
          <t>Fächerschleifer</t>
        </is>
      </c>
      <c r="C801" s="53" t="inlineStr">
        <is>
          <t>F</t>
        </is>
      </c>
      <c r="D801" s="53" t="inlineStr">
        <is>
          <t>KTL</t>
        </is>
      </c>
      <c r="E801" s="53" t="inlineStr">
        <is>
          <t>C</t>
        </is>
      </c>
      <c r="F801" s="54" t="n">
        <v>4.68</v>
      </c>
      <c r="G801" s="55">
        <f>MAX(0,IF(Parameter!$B$20="Jahresanfang 2025 + Export",BG801+BF801,BF801))</f>
        <v/>
      </c>
      <c r="H801" s="55">
        <f>G801*F801</f>
        <v/>
      </c>
      <c r="I801" s="55">
        <f>BI801*Parameter!$B$18</f>
        <v/>
      </c>
      <c r="J801" s="56" t="n">
        <v>7</v>
      </c>
      <c r="K801" s="57" t="n">
        <v>0.2857142857142857</v>
      </c>
      <c r="L801" s="55" t="n">
        <v>0</v>
      </c>
      <c r="M801" s="55" t="n">
        <v>1</v>
      </c>
      <c r="N801" s="58" t="n">
        <v>14</v>
      </c>
      <c r="O801" s="53" t="inlineStr">
        <is>
          <t>S21</t>
        </is>
      </c>
      <c r="P801" s="55" t="n">
        <v>10</v>
      </c>
      <c r="Q801" s="59">
        <f>IF(BO801=1,0,IFERROR(VLOOKUP(BM801,'Gebinde-Kategorie'!$A$5:$G$45,6,0)+0,0))</f>
        <v/>
      </c>
      <c r="R801" s="60" t="n"/>
      <c r="S801" s="61" t="n"/>
      <c r="T801" s="61" t="n"/>
      <c r="U801" s="53">
        <f>IF(A801="","",IF(IFERROR(VLOOKUP(D801,Parameter!$A$35:$C$64,2,0),"Nein")="2+3",IF(ISNUMBER(SEARCH("grosser Artikel",BJ801)),2,IFERROR(VLOOKUP(BM801,Parameter!$F$35:$G$64,2,0),2)),IF(OR(IFERROR(VLOOKUP(D801,Parameter!$A$35:$C$64,2,0),"Nein")="Nein",IFERROR(VLOOKUP(D801,Parameter!$A$35:$C$64,2,0),"Nein")=""),"-",VLOOKUP(D801,Parameter!$A$35:$C$64,2,0))))</f>
        <v/>
      </c>
      <c r="V801" s="61" t="n"/>
      <c r="W801" s="62" t="n"/>
      <c r="X801" s="55">
        <f>AM801</f>
        <v/>
      </c>
      <c r="Y801" s="55">
        <f>MAX(AM801,G801)</f>
        <v/>
      </c>
      <c r="Z801" s="63" t="n"/>
      <c r="AA801" s="55">
        <f>IF(LEFT(Cockpit!$C$5,1)="A",G801,IF(BT801=1,BU801,IF(LEFT(Cockpit!$C$5,1)="B",AE801,MAX(AE801,G801))))</f>
        <v/>
      </c>
      <c r="AB801" s="55">
        <f>IF(BO801=1,0,ROUNDUP(AA801/BN801,0))</f>
        <v/>
      </c>
      <c r="AC801" s="64">
        <f>IF(BO801=1,IF(AA801&lt;=0,0,BP801*MAX(1,IF(G801&gt;0,AA801/G801,1))),AB801*Q801)</f>
        <v/>
      </c>
      <c r="AD801" s="55">
        <f>AA801*F801</f>
        <v/>
      </c>
      <c r="AE801" s="55">
        <f>ROUNDUP(MAX(I801/IF(BS801&gt;0,BS801,MAX(0.1,N(Cockpit!$C$6))),BV801)/BN801,0)*BN801</f>
        <v/>
      </c>
      <c r="AF801" s="56">
        <f>IF(AC801&gt;0,I801/AC801,-1)</f>
        <v/>
      </c>
      <c r="AG801" s="56">
        <f>IF(AND(OR(BR801="L1",BR801="L23"),AC801&gt;0),SUMIFS($AC$7:$AC$1570,$BR$7:$BR$1570,BR801,$AF$7:$AF$1570,"&gt;"&amp;AF801)+SUMIFS($AC$7:$AC$1570,$BR$7:$BR$1570,BR801,$AF$7:$AF$1570,AF801,$BL$7:$BL$1570,"&lt;="&amp;BL801),"")</f>
        <v/>
      </c>
      <c r="AH801" s="65">
        <f>IF(AG801="",0,MAX(0,MIN(1,(IF(BR801="L1",Parameter!$K$5,Parameter!$K$6+Parameter!$K$7)-(AG801-AC801))/AC801)))</f>
        <v/>
      </c>
      <c r="AI801" s="55">
        <f>IF(LEFT(Cockpit!$I$5,1)="A",G801,IF(BT801=1,BU801,IF(LEFT(Cockpit!$I$5,1)="B",AM801,MAX(AM801,G801))))</f>
        <v/>
      </c>
      <c r="AJ801" s="55">
        <f>IF(BO801=1,0,ROUNDUP(AI801/BN801,0))</f>
        <v/>
      </c>
      <c r="AK801" s="64">
        <f>IF(BO801=1,IF(AI801&lt;=0,0,BP801*MAX(1,IF(G801&gt;0,AI801/G801,1))),AJ801*Q801)</f>
        <v/>
      </c>
      <c r="AL801" s="55">
        <f>AI801*F801</f>
        <v/>
      </c>
      <c r="AM801" s="55">
        <f>ROUNDUP(MAX(I801/IF(BS801&gt;0,BS801,MAX(0.1,N(Cockpit!$I$6))),BV801)/BN801,0)*BN801</f>
        <v/>
      </c>
      <c r="AN801" s="56">
        <f>IF(AK801&gt;0,I801/AK801,-1)</f>
        <v/>
      </c>
      <c r="AO801" s="56">
        <f>IF(AND(OR(BR801="L1",BR801="L23"),AK801&gt;0),SUMIFS($AK$7:$AK$1570,$BR$7:$BR$1570,BR801,$AN$7:$AN$1570,"&gt;"&amp;AN801)+SUMIFS($AK$7:$AK$1570,$BR$7:$BR$1570,BR801,$AN$7:$AN$1570,AN801,$BL$7:$BL$1570,"&lt;="&amp;BL801),"")</f>
        <v/>
      </c>
      <c r="AP801" s="65">
        <f>IF(AO801="",0,MAX(0,MIN(1,(IF(BR801="L1",Parameter!$K$5,Parameter!$K$6+Parameter!$K$7)-(AO801-AK801))/AK801)))</f>
        <v/>
      </c>
      <c r="AQ801" s="55">
        <f>IF(LEFT(Cockpit!$O$5,1)="A",G801,IF(BT801=1,BU801,IF(LEFT(Cockpit!$O$5,1)="B",AU801,MAX(AU801,G801))))</f>
        <v/>
      </c>
      <c r="AR801" s="55">
        <f>IF(BO801=1,0,ROUNDUP(AQ801/BN801,0))</f>
        <v/>
      </c>
      <c r="AS801" s="64">
        <f>IF(BO801=1,IF(AQ801&lt;=0,0,BP801*MAX(1,IF(G801&gt;0,AQ801/G801,1))),AR801*Q801)</f>
        <v/>
      </c>
      <c r="AT801" s="55">
        <f>AQ801*F801</f>
        <v/>
      </c>
      <c r="AU801" s="55">
        <f>ROUNDUP(MAX(I801/IF(BS801&gt;0,BS801,MAX(0.1,N(Cockpit!$O$6))),BV801)/BN801,0)*BN801</f>
        <v/>
      </c>
      <c r="AV801" s="56">
        <f>IF(AS801&gt;0,I801/AS801,-1)</f>
        <v/>
      </c>
      <c r="AW801" s="56">
        <f>IF(AND(OR(BR801="L1",BR801="L23"),AS801&gt;0),SUMIFS($AS$7:$AS$1570,$BR$7:$BR$1570,BR801,$AV$7:$AV$1570,"&gt;"&amp;AV801)+SUMIFS($AS$7:$AS$1570,$BR$7:$BR$1570,BR801,$AV$7:$AV$1570,AV801,$BL$7:$BL$1570,"&lt;="&amp;BL801),"")</f>
        <v/>
      </c>
      <c r="AX801" s="65">
        <f>IF(AW801="",0,MAX(0,MIN(1,(IF(BR801="L1",Parameter!$K$5,Parameter!$K$6+Parameter!$K$7)-(AW801-AS801))/AS801)))</f>
        <v/>
      </c>
      <c r="AY801" s="53">
        <f>IF(AC801&lt;=0,"",IF(BR801="Aussen","Aussenlager",IF(BR801="-","Nicht im Lift",IF(AH801&gt;=1,"Lift",IF(AH801&lt;=0,"Aussenlager","teilweise")))))</f>
        <v/>
      </c>
      <c r="AZ801" s="53">
        <f>IF(AK801&lt;=0,"",IF(BR801="Aussen","Aussenlager",IF(BR801="-","Nicht im Lift",IF(AP801&gt;=1,"Lift",IF(AP801&lt;=0,"Aussenlager","teilweise")))))</f>
        <v/>
      </c>
      <c r="BA801" s="53">
        <f>IF(AS801&lt;=0,"",IF(BR801="Aussen","Aussenlager",IF(BR801="-","Nicht im Lift",IF(AX801&gt;=1,"Lift",IF(AX801&lt;=0,"Aussenlager","teilweise")))))</f>
        <v/>
      </c>
      <c r="BB801" s="53">
        <f>IF(A801="","",IF(BK801=1,"Neu; ","")&amp;IF(AND(BK801=0,BF801&lt;0),"negativer Bestand (Export "&amp;BF801&amp;"); ","")&amp;IF(I801&lt;=0,"Kein Verbrauch; ","")&amp;IF(BO801=1,"Lose – Fläche geschätzt; ","")&amp;IF(G801&gt;AM801,"Überbestand "&amp;ROUND(G801-AM801,0)&amp;" Stk / CHF "&amp;ROUND((G801-AM801)*F801,0)&amp;"; ","")&amp;IF(AND(BT801=1,BU801&lt;BV801),"MAX &lt; MB+LG; ","")&amp;IF(AND(BZ801&gt;0,BY801*10&gt;BZ801),"zu hoch für Tablar; ","")&amp;IF(AND(BK801=0,OR(BT801=1,V801&lt;&gt;"",S801&lt;&gt;"",T801&lt;&gt;"",W801&lt;&gt;"")),"manuell übersteuert; ","")&amp;IF(AND(BO801=0,Q801=0),"Gebinde unbekannt; ","")&amp;IF(AND(BO801=0,N(T801)&lt;=0,N(P801)&lt;=0),"Menge pro Gebinde fehlt (Ist = 1 Gebinde); ","")&amp;BJ801)</f>
        <v/>
      </c>
      <c r="BC801" s="53" t="n"/>
      <c r="BD801" s="53" t="n"/>
      <c r="BE801" s="61" t="n"/>
      <c r="BF801" s="55" t="n">
        <v>-1</v>
      </c>
      <c r="BG801" s="55" t="n">
        <v>8</v>
      </c>
      <c r="BH801" s="54" t="n">
        <v>-4.68</v>
      </c>
      <c r="BI801" s="55" t="n">
        <v>2</v>
      </c>
      <c r="BJ801" s="53" t="inlineStr"/>
      <c r="BK801" s="58" t="n">
        <v>0</v>
      </c>
      <c r="BL801" s="58" t="n">
        <v>801</v>
      </c>
      <c r="BM801" s="53">
        <f>IF(S801&lt;&gt;"",UPPER(TRIM(S801)),IF(O801="","LOSE",O801))</f>
        <v/>
      </c>
      <c r="BN801" s="55">
        <f>IF(BM801="LOSE",1,IF(N(T801)&gt;0,T801,IF(N(P801)&gt;0,P801,MAX(1,G801))))</f>
        <v/>
      </c>
      <c r="BO801" s="58">
        <f>IF(BM801="LOSE",1,0)</f>
        <v/>
      </c>
      <c r="BP801" s="64">
        <f>IF(BO801=0,0,IF(N(R801)&gt;0,R801,IFERROR(VLOOKUP(D801,Parameter!$A$35:$C$64,3,0)+0,0)))</f>
        <v/>
      </c>
      <c r="BQ801" s="53">
        <f>IF(V801&lt;&gt;"",V801,U801)</f>
        <v/>
      </c>
      <c r="BR801" s="53">
        <f>IF(BQ801=1,"L1",IF(OR(BQ801=2,BQ801=3),"L23",IF(BQ801="Aussen","Aussen","-")))</f>
        <v/>
      </c>
      <c r="BS801" s="66">
        <f>IF(N(W801)&gt;0,W801,0)</f>
        <v/>
      </c>
      <c r="BT801" s="58">
        <f>IF(ISNUMBER(Z801),1,0)</f>
        <v/>
      </c>
      <c r="BU801" s="55">
        <f>N(Z801)</f>
        <v/>
      </c>
      <c r="BV801" s="55">
        <f>N(L801)+N(M801)</f>
        <v/>
      </c>
      <c r="BW801" s="55">
        <f>ROUNDUP(G801/BN801,0)</f>
        <v/>
      </c>
      <c r="BX801" s="55">
        <f>ROUNDUP(BU801/BN801,0)</f>
        <v/>
      </c>
      <c r="BY801" s="58">
        <f>IF(BO801=1,0,IFERROR(VLOOKUP(BM801,'Gebinde-Kategorie'!$A$5:$G$45,5,0)+0,0))</f>
        <v/>
      </c>
      <c r="BZ801" s="58">
        <f>IFERROR(IF(OR(BQ801=1,BQ801=2,BQ801=3),N(INDEX(Parameter!$I$5:$I$7,BQ801)),0),0)</f>
        <v/>
      </c>
    </row>
    <row r="802">
      <c r="A802" s="53" t="inlineStr">
        <is>
          <t>005149</t>
        </is>
      </c>
      <c r="B802" s="53" t="inlineStr">
        <is>
          <t>Distanzplatte zu Reihenklemme klein</t>
        </is>
      </c>
      <c r="C802" s="53" t="inlineStr">
        <is>
          <t>F</t>
        </is>
      </c>
      <c r="D802" s="53" t="inlineStr">
        <is>
          <t>KTL</t>
        </is>
      </c>
      <c r="E802" s="53" t="inlineStr">
        <is>
          <t>C</t>
        </is>
      </c>
      <c r="F802" s="54" t="n">
        <v>0.5</v>
      </c>
      <c r="G802" s="55">
        <f>MAX(0,IF(Parameter!$B$20="Jahresanfang 2025 + Export",BG802+BF802,BF802))</f>
        <v/>
      </c>
      <c r="H802" s="55">
        <f>G802*F802</f>
        <v/>
      </c>
      <c r="I802" s="55">
        <f>BI802*Parameter!$B$18</f>
        <v/>
      </c>
      <c r="J802" s="56" t="n">
        <v>5</v>
      </c>
      <c r="K802" s="57" t="n">
        <v>0</v>
      </c>
      <c r="L802" s="55" t="n">
        <v>0</v>
      </c>
      <c r="M802" s="55" t="n">
        <v>1</v>
      </c>
      <c r="N802" s="58" t="n">
        <v>56</v>
      </c>
      <c r="O802" s="53" t="inlineStr">
        <is>
          <t>LOSE</t>
        </is>
      </c>
      <c r="P802" s="55" t="n"/>
      <c r="Q802" s="59">
        <f>IF(BO802=1,0,IFERROR(VLOOKUP(BM802,'Gebinde-Kategorie'!$A$5:$G$45,6,0)+0,0))</f>
        <v/>
      </c>
      <c r="R802" s="60" t="n"/>
      <c r="S802" s="61" t="n"/>
      <c r="T802" s="61" t="n"/>
      <c r="U802" s="53">
        <f>IF(A802="","",IF(IFERROR(VLOOKUP(D802,Parameter!$A$35:$C$64,2,0),"Nein")="2+3",IF(ISNUMBER(SEARCH("grosser Artikel",BJ802)),2,IFERROR(VLOOKUP(BM802,Parameter!$F$35:$G$64,2,0),2)),IF(OR(IFERROR(VLOOKUP(D802,Parameter!$A$35:$C$64,2,0),"Nein")="Nein",IFERROR(VLOOKUP(D802,Parameter!$A$35:$C$64,2,0),"Nein")=""),"-",VLOOKUP(D802,Parameter!$A$35:$C$64,2,0))))</f>
        <v/>
      </c>
      <c r="V802" s="61" t="n"/>
      <c r="W802" s="62" t="n"/>
      <c r="X802" s="55">
        <f>AM802</f>
        <v/>
      </c>
      <c r="Y802" s="55">
        <f>MAX(AM802,G802)</f>
        <v/>
      </c>
      <c r="Z802" s="63" t="n"/>
      <c r="AA802" s="55">
        <f>IF(LEFT(Cockpit!$C$5,1)="A",G802,IF(BT802=1,BU802,IF(LEFT(Cockpit!$C$5,1)="B",AE802,MAX(AE802,G802))))</f>
        <v/>
      </c>
      <c r="AB802" s="55">
        <f>IF(BO802=1,0,ROUNDUP(AA802/BN802,0))</f>
        <v/>
      </c>
      <c r="AC802" s="64">
        <f>IF(BO802=1,IF(AA802&lt;=0,0,BP802*MAX(1,IF(G802&gt;0,AA802/G802,1))),AB802*Q802)</f>
        <v/>
      </c>
      <c r="AD802" s="55">
        <f>AA802*F802</f>
        <v/>
      </c>
      <c r="AE802" s="55">
        <f>ROUNDUP(MAX(I802/IF(BS802&gt;0,BS802,MAX(0.1,N(Cockpit!$C$6))),BV802)/BN802,0)*BN802</f>
        <v/>
      </c>
      <c r="AF802" s="56">
        <f>IF(AC802&gt;0,I802/AC802,-1)</f>
        <v/>
      </c>
      <c r="AG802" s="56">
        <f>IF(AND(OR(BR802="L1",BR802="L23"),AC802&gt;0),SUMIFS($AC$7:$AC$1570,$BR$7:$BR$1570,BR802,$AF$7:$AF$1570,"&gt;"&amp;AF802)+SUMIFS($AC$7:$AC$1570,$BR$7:$BR$1570,BR802,$AF$7:$AF$1570,AF802,$BL$7:$BL$1570,"&lt;="&amp;BL802),"")</f>
        <v/>
      </c>
      <c r="AH802" s="65">
        <f>IF(AG802="",0,MAX(0,MIN(1,(IF(BR802="L1",Parameter!$K$5,Parameter!$K$6+Parameter!$K$7)-(AG802-AC802))/AC802)))</f>
        <v/>
      </c>
      <c r="AI802" s="55">
        <f>IF(LEFT(Cockpit!$I$5,1)="A",G802,IF(BT802=1,BU802,IF(LEFT(Cockpit!$I$5,1)="B",AM802,MAX(AM802,G802))))</f>
        <v/>
      </c>
      <c r="AJ802" s="55">
        <f>IF(BO802=1,0,ROUNDUP(AI802/BN802,0))</f>
        <v/>
      </c>
      <c r="AK802" s="64">
        <f>IF(BO802=1,IF(AI802&lt;=0,0,BP802*MAX(1,IF(G802&gt;0,AI802/G802,1))),AJ802*Q802)</f>
        <v/>
      </c>
      <c r="AL802" s="55">
        <f>AI802*F802</f>
        <v/>
      </c>
      <c r="AM802" s="55">
        <f>ROUNDUP(MAX(I802/IF(BS802&gt;0,BS802,MAX(0.1,N(Cockpit!$I$6))),BV802)/BN802,0)*BN802</f>
        <v/>
      </c>
      <c r="AN802" s="56">
        <f>IF(AK802&gt;0,I802/AK802,-1)</f>
        <v/>
      </c>
      <c r="AO802" s="56">
        <f>IF(AND(OR(BR802="L1",BR802="L23"),AK802&gt;0),SUMIFS($AK$7:$AK$1570,$BR$7:$BR$1570,BR802,$AN$7:$AN$1570,"&gt;"&amp;AN802)+SUMIFS($AK$7:$AK$1570,$BR$7:$BR$1570,BR802,$AN$7:$AN$1570,AN802,$BL$7:$BL$1570,"&lt;="&amp;BL802),"")</f>
        <v/>
      </c>
      <c r="AP802" s="65">
        <f>IF(AO802="",0,MAX(0,MIN(1,(IF(BR802="L1",Parameter!$K$5,Parameter!$K$6+Parameter!$K$7)-(AO802-AK802))/AK802)))</f>
        <v/>
      </c>
      <c r="AQ802" s="55">
        <f>IF(LEFT(Cockpit!$O$5,1)="A",G802,IF(BT802=1,BU802,IF(LEFT(Cockpit!$O$5,1)="B",AU802,MAX(AU802,G802))))</f>
        <v/>
      </c>
      <c r="AR802" s="55">
        <f>IF(BO802=1,0,ROUNDUP(AQ802/BN802,0))</f>
        <v/>
      </c>
      <c r="AS802" s="64">
        <f>IF(BO802=1,IF(AQ802&lt;=0,0,BP802*MAX(1,IF(G802&gt;0,AQ802/G802,1))),AR802*Q802)</f>
        <v/>
      </c>
      <c r="AT802" s="55">
        <f>AQ802*F802</f>
        <v/>
      </c>
      <c r="AU802" s="55">
        <f>ROUNDUP(MAX(I802/IF(BS802&gt;0,BS802,MAX(0.1,N(Cockpit!$O$6))),BV802)/BN802,0)*BN802</f>
        <v/>
      </c>
      <c r="AV802" s="56">
        <f>IF(AS802&gt;0,I802/AS802,-1)</f>
        <v/>
      </c>
      <c r="AW802" s="56">
        <f>IF(AND(OR(BR802="L1",BR802="L23"),AS802&gt;0),SUMIFS($AS$7:$AS$1570,$BR$7:$BR$1570,BR802,$AV$7:$AV$1570,"&gt;"&amp;AV802)+SUMIFS($AS$7:$AS$1570,$BR$7:$BR$1570,BR802,$AV$7:$AV$1570,AV802,$BL$7:$BL$1570,"&lt;="&amp;BL802),"")</f>
        <v/>
      </c>
      <c r="AX802" s="65">
        <f>IF(AW802="",0,MAX(0,MIN(1,(IF(BR802="L1",Parameter!$K$5,Parameter!$K$6+Parameter!$K$7)-(AW802-AS802))/AS802)))</f>
        <v/>
      </c>
      <c r="AY802" s="53">
        <f>IF(AC802&lt;=0,"",IF(BR802="Aussen","Aussenlager",IF(BR802="-","Nicht im Lift",IF(AH802&gt;=1,"Lift",IF(AH802&lt;=0,"Aussenlager","teilweise")))))</f>
        <v/>
      </c>
      <c r="AZ802" s="53">
        <f>IF(AK802&lt;=0,"",IF(BR802="Aussen","Aussenlager",IF(BR802="-","Nicht im Lift",IF(AP802&gt;=1,"Lift",IF(AP802&lt;=0,"Aussenlager","teilweise")))))</f>
        <v/>
      </c>
      <c r="BA802" s="53">
        <f>IF(AS802&lt;=0,"",IF(BR802="Aussen","Aussenlager",IF(BR802="-","Nicht im Lift",IF(AX802&gt;=1,"Lift",IF(AX802&lt;=0,"Aussenlager","teilweise")))))</f>
        <v/>
      </c>
      <c r="BB802" s="53">
        <f>IF(A802="","",IF(BK802=1,"Neu; ","")&amp;IF(AND(BK802=0,BF802&lt;0),"negativer Bestand (Export "&amp;BF802&amp;"); ","")&amp;IF(I802&lt;=0,"Kein Verbrauch; ","")&amp;IF(BO802=1,"Lose – Fläche geschätzt; ","")&amp;IF(G802&gt;AM802,"Überbestand "&amp;ROUND(G802-AM802,0)&amp;" Stk / CHF "&amp;ROUND((G802-AM802)*F802,0)&amp;"; ","")&amp;IF(AND(BT802=1,BU802&lt;BV802),"MAX &lt; MB+LG; ","")&amp;IF(AND(BZ802&gt;0,BY802*10&gt;BZ802),"zu hoch für Tablar; ","")&amp;IF(AND(BK802=0,OR(BT802=1,V802&lt;&gt;"",S802&lt;&gt;"",T802&lt;&gt;"",W802&lt;&gt;"")),"manuell übersteuert; ","")&amp;IF(AND(BO802=0,Q802=0),"Gebinde unbekannt; ","")&amp;IF(AND(BO802=0,N(T802)&lt;=0,N(P802)&lt;=0),"Menge pro Gebinde fehlt (Ist = 1 Gebinde); ","")&amp;BJ802)</f>
        <v/>
      </c>
      <c r="BC802" s="53" t="n"/>
      <c r="BD802" s="53" t="n"/>
      <c r="BE802" s="61" t="n"/>
      <c r="BF802" s="55" t="n">
        <v>-10</v>
      </c>
      <c r="BG802" s="55" t="n">
        <v>10</v>
      </c>
      <c r="BH802" s="54" t="n">
        <v>-5</v>
      </c>
      <c r="BI802" s="55" t="n">
        <v>0</v>
      </c>
      <c r="BJ802" s="53" t="inlineStr">
        <is>
          <t>Überbestand</t>
        </is>
      </c>
      <c r="BK802" s="58" t="n">
        <v>0</v>
      </c>
      <c r="BL802" s="58" t="n">
        <v>802</v>
      </c>
      <c r="BM802" s="53">
        <f>IF(S802&lt;&gt;"",UPPER(TRIM(S802)),IF(O802="","LOSE",O802))</f>
        <v/>
      </c>
      <c r="BN802" s="55">
        <f>IF(BM802="LOSE",1,IF(N(T802)&gt;0,T802,IF(N(P802)&gt;0,P802,MAX(1,G802))))</f>
        <v/>
      </c>
      <c r="BO802" s="58">
        <f>IF(BM802="LOSE",1,0)</f>
        <v/>
      </c>
      <c r="BP802" s="64">
        <f>IF(BO802=0,0,IF(N(R802)&gt;0,R802,IFERROR(VLOOKUP(D802,Parameter!$A$35:$C$64,3,0)+0,0)))</f>
        <v/>
      </c>
      <c r="BQ802" s="53">
        <f>IF(V802&lt;&gt;"",V802,U802)</f>
        <v/>
      </c>
      <c r="BR802" s="53">
        <f>IF(BQ802=1,"L1",IF(OR(BQ802=2,BQ802=3),"L23",IF(BQ802="Aussen","Aussen","-")))</f>
        <v/>
      </c>
      <c r="BS802" s="66">
        <f>IF(N(W802)&gt;0,W802,0)</f>
        <v/>
      </c>
      <c r="BT802" s="58">
        <f>IF(ISNUMBER(Z802),1,0)</f>
        <v/>
      </c>
      <c r="BU802" s="55">
        <f>N(Z802)</f>
        <v/>
      </c>
      <c r="BV802" s="55">
        <f>N(L802)+N(M802)</f>
        <v/>
      </c>
      <c r="BW802" s="55">
        <f>ROUNDUP(G802/BN802,0)</f>
        <v/>
      </c>
      <c r="BX802" s="55">
        <f>ROUNDUP(BU802/BN802,0)</f>
        <v/>
      </c>
      <c r="BY802" s="58">
        <f>IF(BO802=1,0,IFERROR(VLOOKUP(BM802,'Gebinde-Kategorie'!$A$5:$G$45,5,0)+0,0))</f>
        <v/>
      </c>
      <c r="BZ802" s="58">
        <f>IFERROR(IF(OR(BQ802=1,BQ802=2,BQ802=3),N(INDEX(Parameter!$I$5:$I$7,BQ802)),0),0)</f>
        <v/>
      </c>
    </row>
    <row r="803">
      <c r="A803" s="53" t="inlineStr">
        <is>
          <t>107246</t>
        </is>
      </c>
      <c r="B803" s="53" t="inlineStr">
        <is>
          <t>Etikett</t>
        </is>
      </c>
      <c r="C803" s="53" t="inlineStr">
        <is>
          <t>F</t>
        </is>
      </c>
      <c r="D803" s="53" t="inlineStr">
        <is>
          <t>KTL</t>
        </is>
      </c>
      <c r="E803" s="53" t="inlineStr">
        <is>
          <t>C</t>
        </is>
      </c>
      <c r="F803" s="54" t="n">
        <v>0.05</v>
      </c>
      <c r="G803" s="55">
        <f>MAX(0,IF(Parameter!$B$20="Jahresanfang 2025 + Export",BG803+BF803,BF803))</f>
        <v/>
      </c>
      <c r="H803" s="55">
        <f>G803*F803</f>
        <v/>
      </c>
      <c r="I803" s="55">
        <f>BI803*Parameter!$B$18</f>
        <v/>
      </c>
      <c r="J803" s="56" t="n">
        <v>51.5</v>
      </c>
      <c r="K803" s="57" t="n">
        <v>0</v>
      </c>
      <c r="L803" s="55" t="n">
        <v>0</v>
      </c>
      <c r="M803" s="55" t="n">
        <v>1</v>
      </c>
      <c r="N803" s="58" t="n">
        <v>14</v>
      </c>
      <c r="O803" s="53" t="inlineStr">
        <is>
          <t>S21</t>
        </is>
      </c>
      <c r="P803" s="55" t="n">
        <v>103</v>
      </c>
      <c r="Q803" s="59">
        <f>IF(BO803=1,0,IFERROR(VLOOKUP(BM803,'Gebinde-Kategorie'!$A$5:$G$45,6,0)+0,0))</f>
        <v/>
      </c>
      <c r="R803" s="60" t="n"/>
      <c r="S803" s="61" t="n"/>
      <c r="T803" s="61" t="n"/>
      <c r="U803" s="53">
        <f>IF(A803="","",IF(IFERROR(VLOOKUP(D803,Parameter!$A$35:$C$64,2,0),"Nein")="2+3",IF(ISNUMBER(SEARCH("grosser Artikel",BJ803)),2,IFERROR(VLOOKUP(BM803,Parameter!$F$35:$G$64,2,0),2)),IF(OR(IFERROR(VLOOKUP(D803,Parameter!$A$35:$C$64,2,0),"Nein")="Nein",IFERROR(VLOOKUP(D803,Parameter!$A$35:$C$64,2,0),"Nein")=""),"-",VLOOKUP(D803,Parameter!$A$35:$C$64,2,0))))</f>
        <v/>
      </c>
      <c r="V803" s="61" t="n"/>
      <c r="W803" s="62" t="n"/>
      <c r="X803" s="55">
        <f>AM803</f>
        <v/>
      </c>
      <c r="Y803" s="55">
        <f>MAX(AM803,G803)</f>
        <v/>
      </c>
      <c r="Z803" s="63" t="n"/>
      <c r="AA803" s="55">
        <f>IF(LEFT(Cockpit!$C$5,1)="A",G803,IF(BT803=1,BU803,IF(LEFT(Cockpit!$C$5,1)="B",AE803,MAX(AE803,G803))))</f>
        <v/>
      </c>
      <c r="AB803" s="55">
        <f>IF(BO803=1,0,ROUNDUP(AA803/BN803,0))</f>
        <v/>
      </c>
      <c r="AC803" s="64">
        <f>IF(BO803=1,IF(AA803&lt;=0,0,BP803*MAX(1,IF(G803&gt;0,AA803/G803,1))),AB803*Q803)</f>
        <v/>
      </c>
      <c r="AD803" s="55">
        <f>AA803*F803</f>
        <v/>
      </c>
      <c r="AE803" s="55">
        <f>ROUNDUP(MAX(I803/IF(BS803&gt;0,BS803,MAX(0.1,N(Cockpit!$C$6))),BV803)/BN803,0)*BN803</f>
        <v/>
      </c>
      <c r="AF803" s="56">
        <f>IF(AC803&gt;0,I803/AC803,-1)</f>
        <v/>
      </c>
      <c r="AG803" s="56">
        <f>IF(AND(OR(BR803="L1",BR803="L23"),AC803&gt;0),SUMIFS($AC$7:$AC$1570,$BR$7:$BR$1570,BR803,$AF$7:$AF$1570,"&gt;"&amp;AF803)+SUMIFS($AC$7:$AC$1570,$BR$7:$BR$1570,BR803,$AF$7:$AF$1570,AF803,$BL$7:$BL$1570,"&lt;="&amp;BL803),"")</f>
        <v/>
      </c>
      <c r="AH803" s="65">
        <f>IF(AG803="",0,MAX(0,MIN(1,(IF(BR803="L1",Parameter!$K$5,Parameter!$K$6+Parameter!$K$7)-(AG803-AC803))/AC803)))</f>
        <v/>
      </c>
      <c r="AI803" s="55">
        <f>IF(LEFT(Cockpit!$I$5,1)="A",G803,IF(BT803=1,BU803,IF(LEFT(Cockpit!$I$5,1)="B",AM803,MAX(AM803,G803))))</f>
        <v/>
      </c>
      <c r="AJ803" s="55">
        <f>IF(BO803=1,0,ROUNDUP(AI803/BN803,0))</f>
        <v/>
      </c>
      <c r="AK803" s="64">
        <f>IF(BO803=1,IF(AI803&lt;=0,0,BP803*MAX(1,IF(G803&gt;0,AI803/G803,1))),AJ803*Q803)</f>
        <v/>
      </c>
      <c r="AL803" s="55">
        <f>AI803*F803</f>
        <v/>
      </c>
      <c r="AM803" s="55">
        <f>ROUNDUP(MAX(I803/IF(BS803&gt;0,BS803,MAX(0.1,N(Cockpit!$I$6))),BV803)/BN803,0)*BN803</f>
        <v/>
      </c>
      <c r="AN803" s="56">
        <f>IF(AK803&gt;0,I803/AK803,-1)</f>
        <v/>
      </c>
      <c r="AO803" s="56">
        <f>IF(AND(OR(BR803="L1",BR803="L23"),AK803&gt;0),SUMIFS($AK$7:$AK$1570,$BR$7:$BR$1570,BR803,$AN$7:$AN$1570,"&gt;"&amp;AN803)+SUMIFS($AK$7:$AK$1570,$BR$7:$BR$1570,BR803,$AN$7:$AN$1570,AN803,$BL$7:$BL$1570,"&lt;="&amp;BL803),"")</f>
        <v/>
      </c>
      <c r="AP803" s="65">
        <f>IF(AO803="",0,MAX(0,MIN(1,(IF(BR803="L1",Parameter!$K$5,Parameter!$K$6+Parameter!$K$7)-(AO803-AK803))/AK803)))</f>
        <v/>
      </c>
      <c r="AQ803" s="55">
        <f>IF(LEFT(Cockpit!$O$5,1)="A",G803,IF(BT803=1,BU803,IF(LEFT(Cockpit!$O$5,1)="B",AU803,MAX(AU803,G803))))</f>
        <v/>
      </c>
      <c r="AR803" s="55">
        <f>IF(BO803=1,0,ROUNDUP(AQ803/BN803,0))</f>
        <v/>
      </c>
      <c r="AS803" s="64">
        <f>IF(BO803=1,IF(AQ803&lt;=0,0,BP803*MAX(1,IF(G803&gt;0,AQ803/G803,1))),AR803*Q803)</f>
        <v/>
      </c>
      <c r="AT803" s="55">
        <f>AQ803*F803</f>
        <v/>
      </c>
      <c r="AU803" s="55">
        <f>ROUNDUP(MAX(I803/IF(BS803&gt;0,BS803,MAX(0.1,N(Cockpit!$O$6))),BV803)/BN803,0)*BN803</f>
        <v/>
      </c>
      <c r="AV803" s="56">
        <f>IF(AS803&gt;0,I803/AS803,-1)</f>
        <v/>
      </c>
      <c r="AW803" s="56">
        <f>IF(AND(OR(BR803="L1",BR803="L23"),AS803&gt;0),SUMIFS($AS$7:$AS$1570,$BR$7:$BR$1570,BR803,$AV$7:$AV$1570,"&gt;"&amp;AV803)+SUMIFS($AS$7:$AS$1570,$BR$7:$BR$1570,BR803,$AV$7:$AV$1570,AV803,$BL$7:$BL$1570,"&lt;="&amp;BL803),"")</f>
        <v/>
      </c>
      <c r="AX803" s="65">
        <f>IF(AW803="",0,MAX(0,MIN(1,(IF(BR803="L1",Parameter!$K$5,Parameter!$K$6+Parameter!$K$7)-(AW803-AS803))/AS803)))</f>
        <v/>
      </c>
      <c r="AY803" s="53">
        <f>IF(AC803&lt;=0,"",IF(BR803="Aussen","Aussenlager",IF(BR803="-","Nicht im Lift",IF(AH803&gt;=1,"Lift",IF(AH803&lt;=0,"Aussenlager","teilweise")))))</f>
        <v/>
      </c>
      <c r="AZ803" s="53">
        <f>IF(AK803&lt;=0,"",IF(BR803="Aussen","Aussenlager",IF(BR803="-","Nicht im Lift",IF(AP803&gt;=1,"Lift",IF(AP803&lt;=0,"Aussenlager","teilweise")))))</f>
        <v/>
      </c>
      <c r="BA803" s="53">
        <f>IF(AS803&lt;=0,"",IF(BR803="Aussen","Aussenlager",IF(BR803="-","Nicht im Lift",IF(AX803&gt;=1,"Lift",IF(AX803&lt;=0,"Aussenlager","teilweise")))))</f>
        <v/>
      </c>
      <c r="BB803" s="53">
        <f>IF(A803="","",IF(BK803=1,"Neu; ","")&amp;IF(AND(BK803=0,BF803&lt;0),"negativer Bestand (Export "&amp;BF803&amp;"); ","")&amp;IF(I803&lt;=0,"Kein Verbrauch; ","")&amp;IF(BO803=1,"Lose – Fläche geschätzt; ","")&amp;IF(G803&gt;AM803,"Überbestand "&amp;ROUND(G803-AM803,0)&amp;" Stk / CHF "&amp;ROUND((G803-AM803)*F803,0)&amp;"; ","")&amp;IF(AND(BT803=1,BU803&lt;BV803),"MAX &lt; MB+LG; ","")&amp;IF(AND(BZ803&gt;0,BY803*10&gt;BZ803),"zu hoch für Tablar; ","")&amp;IF(AND(BK803=0,OR(BT803=1,V803&lt;&gt;"",S803&lt;&gt;"",T803&lt;&gt;"",W803&lt;&gt;"")),"manuell übersteuert; ","")&amp;IF(AND(BO803=0,Q803=0),"Gebinde unbekannt; ","")&amp;IF(AND(BO803=0,N(T803)&lt;=0,N(P803)&lt;=0),"Menge pro Gebinde fehlt (Ist = 1 Gebinde); ","")&amp;BJ803)</f>
        <v/>
      </c>
      <c r="BC803" s="53" t="n"/>
      <c r="BD803" s="53" t="n"/>
      <c r="BE803" s="61" t="n"/>
      <c r="BF803" s="55" t="n">
        <v>-103</v>
      </c>
      <c r="BG803" s="55" t="n">
        <v>103</v>
      </c>
      <c r="BH803" s="54" t="n">
        <v>-5.15</v>
      </c>
      <c r="BI803" s="55" t="n">
        <v>0</v>
      </c>
      <c r="BJ803" s="53" t="inlineStr">
        <is>
          <t>Neu</t>
        </is>
      </c>
      <c r="BK803" s="58" t="n">
        <v>0</v>
      </c>
      <c r="BL803" s="58" t="n">
        <v>803</v>
      </c>
      <c r="BM803" s="53">
        <f>IF(S803&lt;&gt;"",UPPER(TRIM(S803)),IF(O803="","LOSE",O803))</f>
        <v/>
      </c>
      <c r="BN803" s="55">
        <f>IF(BM803="LOSE",1,IF(N(T803)&gt;0,T803,IF(N(P803)&gt;0,P803,MAX(1,G803))))</f>
        <v/>
      </c>
      <c r="BO803" s="58">
        <f>IF(BM803="LOSE",1,0)</f>
        <v/>
      </c>
      <c r="BP803" s="64">
        <f>IF(BO803=0,0,IF(N(R803)&gt;0,R803,IFERROR(VLOOKUP(D803,Parameter!$A$35:$C$64,3,0)+0,0)))</f>
        <v/>
      </c>
      <c r="BQ803" s="53">
        <f>IF(V803&lt;&gt;"",V803,U803)</f>
        <v/>
      </c>
      <c r="BR803" s="53">
        <f>IF(BQ803=1,"L1",IF(OR(BQ803=2,BQ803=3),"L23",IF(BQ803="Aussen","Aussen","-")))</f>
        <v/>
      </c>
      <c r="BS803" s="66">
        <f>IF(N(W803)&gt;0,W803,0)</f>
        <v/>
      </c>
      <c r="BT803" s="58">
        <f>IF(ISNUMBER(Z803),1,0)</f>
        <v/>
      </c>
      <c r="BU803" s="55">
        <f>N(Z803)</f>
        <v/>
      </c>
      <c r="BV803" s="55">
        <f>N(L803)+N(M803)</f>
        <v/>
      </c>
      <c r="BW803" s="55">
        <f>ROUNDUP(G803/BN803,0)</f>
        <v/>
      </c>
      <c r="BX803" s="55">
        <f>ROUNDUP(BU803/BN803,0)</f>
        <v/>
      </c>
      <c r="BY803" s="58">
        <f>IF(BO803=1,0,IFERROR(VLOOKUP(BM803,'Gebinde-Kategorie'!$A$5:$G$45,5,0)+0,0))</f>
        <v/>
      </c>
      <c r="BZ803" s="58">
        <f>IFERROR(IF(OR(BQ803=1,BQ803=2,BQ803=3),N(INDEX(Parameter!$I$5:$I$7,BQ803)),0),0)</f>
        <v/>
      </c>
    </row>
    <row r="804">
      <c r="A804" s="53" t="inlineStr">
        <is>
          <t>103169</t>
        </is>
      </c>
      <c r="B804" s="53" t="inlineStr">
        <is>
          <t>Zylinderschraube mit Innensechskant</t>
        </is>
      </c>
      <c r="C804" s="53" t="inlineStr">
        <is>
          <t>F</t>
        </is>
      </c>
      <c r="D804" s="53" t="inlineStr">
        <is>
          <t>KTL</t>
        </is>
      </c>
      <c r="E804" s="53" t="inlineStr">
        <is>
          <t>C</t>
        </is>
      </c>
      <c r="F804" s="54" t="n">
        <v>0.04</v>
      </c>
      <c r="G804" s="55">
        <f>MAX(0,IF(Parameter!$B$20="Jahresanfang 2025 + Export",BG804+BF804,BF804))</f>
        <v/>
      </c>
      <c r="H804" s="55">
        <f>G804*F804</f>
        <v/>
      </c>
      <c r="I804" s="55">
        <f>BI804*Parameter!$B$18</f>
        <v/>
      </c>
      <c r="J804" s="56" t="n">
        <v>454.5</v>
      </c>
      <c r="K804" s="57" t="n">
        <v>0.2464246424642464</v>
      </c>
      <c r="L804" s="55" t="n">
        <v>6</v>
      </c>
      <c r="M804" s="55" t="n">
        <v>110</v>
      </c>
      <c r="N804" s="58" t="n">
        <v>21</v>
      </c>
      <c r="O804" s="53" t="inlineStr">
        <is>
          <t>S22</t>
        </is>
      </c>
      <c r="P804" s="55" t="n">
        <v>589</v>
      </c>
      <c r="Q804" s="59">
        <f>IF(BO804=1,0,IFERROR(VLOOKUP(BM804,'Gebinde-Kategorie'!$A$5:$G$45,6,0)+0,0))</f>
        <v/>
      </c>
      <c r="R804" s="60" t="n"/>
      <c r="S804" s="61" t="n"/>
      <c r="T804" s="61" t="n"/>
      <c r="U804" s="53">
        <f>IF(A804="","",IF(IFERROR(VLOOKUP(D804,Parameter!$A$35:$C$64,2,0),"Nein")="2+3",IF(ISNUMBER(SEARCH("grosser Artikel",BJ804)),2,IFERROR(VLOOKUP(BM804,Parameter!$F$35:$G$64,2,0),2)),IF(OR(IFERROR(VLOOKUP(D804,Parameter!$A$35:$C$64,2,0),"Nein")="Nein",IFERROR(VLOOKUP(D804,Parameter!$A$35:$C$64,2,0),"Nein")=""),"-",VLOOKUP(D804,Parameter!$A$35:$C$64,2,0))))</f>
        <v/>
      </c>
      <c r="V804" s="61" t="n"/>
      <c r="W804" s="62" t="n"/>
      <c r="X804" s="55">
        <f>AM804</f>
        <v/>
      </c>
      <c r="Y804" s="55">
        <f>MAX(AM804,G804)</f>
        <v/>
      </c>
      <c r="Z804" s="63" t="n"/>
      <c r="AA804" s="55">
        <f>IF(LEFT(Cockpit!$C$5,1)="A",G804,IF(BT804=1,BU804,IF(LEFT(Cockpit!$C$5,1)="B",AE804,MAX(AE804,G804))))</f>
        <v/>
      </c>
      <c r="AB804" s="55">
        <f>IF(BO804=1,0,ROUNDUP(AA804/BN804,0))</f>
        <v/>
      </c>
      <c r="AC804" s="64">
        <f>IF(BO804=1,IF(AA804&lt;=0,0,BP804*MAX(1,IF(G804&gt;0,AA804/G804,1))),AB804*Q804)</f>
        <v/>
      </c>
      <c r="AD804" s="55">
        <f>AA804*F804</f>
        <v/>
      </c>
      <c r="AE804" s="55">
        <f>ROUNDUP(MAX(I804/IF(BS804&gt;0,BS804,MAX(0.1,N(Cockpit!$C$6))),BV804)/BN804,0)*BN804</f>
        <v/>
      </c>
      <c r="AF804" s="56">
        <f>IF(AC804&gt;0,I804/AC804,-1)</f>
        <v/>
      </c>
      <c r="AG804" s="56">
        <f>IF(AND(OR(BR804="L1",BR804="L23"),AC804&gt;0),SUMIFS($AC$7:$AC$1570,$BR$7:$BR$1570,BR804,$AF$7:$AF$1570,"&gt;"&amp;AF804)+SUMIFS($AC$7:$AC$1570,$BR$7:$BR$1570,BR804,$AF$7:$AF$1570,AF804,$BL$7:$BL$1570,"&lt;="&amp;BL804),"")</f>
        <v/>
      </c>
      <c r="AH804" s="65">
        <f>IF(AG804="",0,MAX(0,MIN(1,(IF(BR804="L1",Parameter!$K$5,Parameter!$K$6+Parameter!$K$7)-(AG804-AC804))/AC804)))</f>
        <v/>
      </c>
      <c r="AI804" s="55">
        <f>IF(LEFT(Cockpit!$I$5,1)="A",G804,IF(BT804=1,BU804,IF(LEFT(Cockpit!$I$5,1)="B",AM804,MAX(AM804,G804))))</f>
        <v/>
      </c>
      <c r="AJ804" s="55">
        <f>IF(BO804=1,0,ROUNDUP(AI804/BN804,0))</f>
        <v/>
      </c>
      <c r="AK804" s="64">
        <f>IF(BO804=1,IF(AI804&lt;=0,0,BP804*MAX(1,IF(G804&gt;0,AI804/G804,1))),AJ804*Q804)</f>
        <v/>
      </c>
      <c r="AL804" s="55">
        <f>AI804*F804</f>
        <v/>
      </c>
      <c r="AM804" s="55">
        <f>ROUNDUP(MAX(I804/IF(BS804&gt;0,BS804,MAX(0.1,N(Cockpit!$I$6))),BV804)/BN804,0)*BN804</f>
        <v/>
      </c>
      <c r="AN804" s="56">
        <f>IF(AK804&gt;0,I804/AK804,-1)</f>
        <v/>
      </c>
      <c r="AO804" s="56">
        <f>IF(AND(OR(BR804="L1",BR804="L23"),AK804&gt;0),SUMIFS($AK$7:$AK$1570,$BR$7:$BR$1570,BR804,$AN$7:$AN$1570,"&gt;"&amp;AN804)+SUMIFS($AK$7:$AK$1570,$BR$7:$BR$1570,BR804,$AN$7:$AN$1570,AN804,$BL$7:$BL$1570,"&lt;="&amp;BL804),"")</f>
        <v/>
      </c>
      <c r="AP804" s="65">
        <f>IF(AO804="",0,MAX(0,MIN(1,(IF(BR804="L1",Parameter!$K$5,Parameter!$K$6+Parameter!$K$7)-(AO804-AK804))/AK804)))</f>
        <v/>
      </c>
      <c r="AQ804" s="55">
        <f>IF(LEFT(Cockpit!$O$5,1)="A",G804,IF(BT804=1,BU804,IF(LEFT(Cockpit!$O$5,1)="B",AU804,MAX(AU804,G804))))</f>
        <v/>
      </c>
      <c r="AR804" s="55">
        <f>IF(BO804=1,0,ROUNDUP(AQ804/BN804,0))</f>
        <v/>
      </c>
      <c r="AS804" s="64">
        <f>IF(BO804=1,IF(AQ804&lt;=0,0,BP804*MAX(1,IF(G804&gt;0,AQ804/G804,1))),AR804*Q804)</f>
        <v/>
      </c>
      <c r="AT804" s="55">
        <f>AQ804*F804</f>
        <v/>
      </c>
      <c r="AU804" s="55">
        <f>ROUNDUP(MAX(I804/IF(BS804&gt;0,BS804,MAX(0.1,N(Cockpit!$O$6))),BV804)/BN804,0)*BN804</f>
        <v/>
      </c>
      <c r="AV804" s="56">
        <f>IF(AS804&gt;0,I804/AS804,-1)</f>
        <v/>
      </c>
      <c r="AW804" s="56">
        <f>IF(AND(OR(BR804="L1",BR804="L23"),AS804&gt;0),SUMIFS($AS$7:$AS$1570,$BR$7:$BR$1570,BR804,$AV$7:$AV$1570,"&gt;"&amp;AV804)+SUMIFS($AS$7:$AS$1570,$BR$7:$BR$1570,BR804,$AV$7:$AV$1570,AV804,$BL$7:$BL$1570,"&lt;="&amp;BL804),"")</f>
        <v/>
      </c>
      <c r="AX804" s="65">
        <f>IF(AW804="",0,MAX(0,MIN(1,(IF(BR804="L1",Parameter!$K$5,Parameter!$K$6+Parameter!$K$7)-(AW804-AS804))/AS804)))</f>
        <v/>
      </c>
      <c r="AY804" s="53">
        <f>IF(AC804&lt;=0,"",IF(BR804="Aussen","Aussenlager",IF(BR804="-","Nicht im Lift",IF(AH804&gt;=1,"Lift",IF(AH804&lt;=0,"Aussenlager","teilweise")))))</f>
        <v/>
      </c>
      <c r="AZ804" s="53">
        <f>IF(AK804&lt;=0,"",IF(BR804="Aussen","Aussenlager",IF(BR804="-","Nicht im Lift",IF(AP804&gt;=1,"Lift",IF(AP804&lt;=0,"Aussenlager","teilweise")))))</f>
        <v/>
      </c>
      <c r="BA804" s="53">
        <f>IF(AS804&lt;=0,"",IF(BR804="Aussen","Aussenlager",IF(BR804="-","Nicht im Lift",IF(AX804&gt;=1,"Lift",IF(AX804&lt;=0,"Aussenlager","teilweise")))))</f>
        <v/>
      </c>
      <c r="BB804" s="53">
        <f>IF(A804="","",IF(BK804=1,"Neu; ","")&amp;IF(AND(BK804=0,BF804&lt;0),"negativer Bestand (Export "&amp;BF804&amp;"); ","")&amp;IF(I804&lt;=0,"Kein Verbrauch; ","")&amp;IF(BO804=1,"Lose – Fläche geschätzt; ","")&amp;IF(G804&gt;AM804,"Überbestand "&amp;ROUND(G804-AM804,0)&amp;" Stk / CHF "&amp;ROUND((G804-AM804)*F804,0)&amp;"; ","")&amp;IF(AND(BT804=1,BU804&lt;BV804),"MAX &lt; MB+LG; ","")&amp;IF(AND(BZ804&gt;0,BY804*10&gt;BZ804),"zu hoch für Tablar; ","")&amp;IF(AND(BK804=0,OR(BT804=1,V804&lt;&gt;"",S804&lt;&gt;"",T804&lt;&gt;"",W804&lt;&gt;"")),"manuell übersteuert; ","")&amp;IF(AND(BO804=0,Q804=0),"Gebinde unbekannt; ","")&amp;IF(AND(BO804=0,N(T804)&lt;=0,N(P804)&lt;=0),"Menge pro Gebinde fehlt (Ist = 1 Gebinde); ","")&amp;BJ804)</f>
        <v/>
      </c>
      <c r="BC804" s="53" t="n"/>
      <c r="BD804" s="53" t="n"/>
      <c r="BE804" s="61" t="n"/>
      <c r="BF804" s="55" t="n">
        <v>-135</v>
      </c>
      <c r="BG804" s="55" t="n">
        <v>517</v>
      </c>
      <c r="BH804" s="54" t="n">
        <v>-5.4</v>
      </c>
      <c r="BI804" s="55" t="n">
        <v>112</v>
      </c>
      <c r="BJ804" s="53" t="inlineStr">
        <is>
          <t>Überbestand</t>
        </is>
      </c>
      <c r="BK804" s="58" t="n">
        <v>0</v>
      </c>
      <c r="BL804" s="58" t="n">
        <v>804</v>
      </c>
      <c r="BM804" s="53">
        <f>IF(S804&lt;&gt;"",UPPER(TRIM(S804)),IF(O804="","LOSE",O804))</f>
        <v/>
      </c>
      <c r="BN804" s="55">
        <f>IF(BM804="LOSE",1,IF(N(T804)&gt;0,T804,IF(N(P804)&gt;0,P804,MAX(1,G804))))</f>
        <v/>
      </c>
      <c r="BO804" s="58">
        <f>IF(BM804="LOSE",1,0)</f>
        <v/>
      </c>
      <c r="BP804" s="64">
        <f>IF(BO804=0,0,IF(N(R804)&gt;0,R804,IFERROR(VLOOKUP(D804,Parameter!$A$35:$C$64,3,0)+0,0)))</f>
        <v/>
      </c>
      <c r="BQ804" s="53">
        <f>IF(V804&lt;&gt;"",V804,U804)</f>
        <v/>
      </c>
      <c r="BR804" s="53">
        <f>IF(BQ804=1,"L1",IF(OR(BQ804=2,BQ804=3),"L23",IF(BQ804="Aussen","Aussen","-")))</f>
        <v/>
      </c>
      <c r="BS804" s="66">
        <f>IF(N(W804)&gt;0,W804,0)</f>
        <v/>
      </c>
      <c r="BT804" s="58">
        <f>IF(ISNUMBER(Z804),1,0)</f>
        <v/>
      </c>
      <c r="BU804" s="55">
        <f>N(Z804)</f>
        <v/>
      </c>
      <c r="BV804" s="55">
        <f>N(L804)+N(M804)</f>
        <v/>
      </c>
      <c r="BW804" s="55">
        <f>ROUNDUP(G804/BN804,0)</f>
        <v/>
      </c>
      <c r="BX804" s="55">
        <f>ROUNDUP(BU804/BN804,0)</f>
        <v/>
      </c>
      <c r="BY804" s="58">
        <f>IF(BO804=1,0,IFERROR(VLOOKUP(BM804,'Gebinde-Kategorie'!$A$5:$G$45,5,0)+0,0))</f>
        <v/>
      </c>
      <c r="BZ804" s="58">
        <f>IFERROR(IF(OR(BQ804=1,BQ804=2,BQ804=3),N(INDEX(Parameter!$I$5:$I$7,BQ804)),0),0)</f>
        <v/>
      </c>
    </row>
    <row r="805">
      <c r="A805" s="53" t="inlineStr">
        <is>
          <t>002024</t>
        </is>
      </c>
      <c r="B805" s="53" t="inlineStr">
        <is>
          <t>Schraubenzieher</t>
        </is>
      </c>
      <c r="C805" s="53" t="inlineStr">
        <is>
          <t>F</t>
        </is>
      </c>
      <c r="D805" s="53" t="inlineStr">
        <is>
          <t>KTL</t>
        </is>
      </c>
      <c r="E805" s="53" t="inlineStr">
        <is>
          <t>C</t>
        </is>
      </c>
      <c r="F805" s="54" t="n">
        <v>5.8</v>
      </c>
      <c r="G805" s="55">
        <f>MAX(0,IF(Parameter!$B$20="Jahresanfang 2025 + Export",BG805+BF805,BF805))</f>
        <v/>
      </c>
      <c r="H805" s="55">
        <f>G805*F805</f>
        <v/>
      </c>
      <c r="I805" s="55">
        <f>BI805*Parameter!$B$18</f>
        <v/>
      </c>
      <c r="J805" s="56" t="n">
        <v>4</v>
      </c>
      <c r="K805" s="57" t="n">
        <v>0</v>
      </c>
      <c r="L805" s="55" t="n">
        <v>0</v>
      </c>
      <c r="M805" s="55" t="n">
        <v>1</v>
      </c>
      <c r="N805" s="58" t="n">
        <v>14</v>
      </c>
      <c r="O805" s="53" t="inlineStr">
        <is>
          <t>S22</t>
        </is>
      </c>
      <c r="P805" s="55" t="n">
        <v>2</v>
      </c>
      <c r="Q805" s="59">
        <f>IF(BO805=1,0,IFERROR(VLOOKUP(BM805,'Gebinde-Kategorie'!$A$5:$G$45,6,0)+0,0))</f>
        <v/>
      </c>
      <c r="R805" s="60" t="n"/>
      <c r="S805" s="61" t="n"/>
      <c r="T805" s="61" t="n"/>
      <c r="U805" s="53">
        <f>IF(A805="","",IF(IFERROR(VLOOKUP(D805,Parameter!$A$35:$C$64,2,0),"Nein")="2+3",IF(ISNUMBER(SEARCH("grosser Artikel",BJ805)),2,IFERROR(VLOOKUP(BM805,Parameter!$F$35:$G$64,2,0),2)),IF(OR(IFERROR(VLOOKUP(D805,Parameter!$A$35:$C$64,2,0),"Nein")="Nein",IFERROR(VLOOKUP(D805,Parameter!$A$35:$C$64,2,0),"Nein")=""),"-",VLOOKUP(D805,Parameter!$A$35:$C$64,2,0))))</f>
        <v/>
      </c>
      <c r="V805" s="61" t="n"/>
      <c r="W805" s="62" t="n"/>
      <c r="X805" s="55">
        <f>AM805</f>
        <v/>
      </c>
      <c r="Y805" s="55">
        <f>MAX(AM805,G805)</f>
        <v/>
      </c>
      <c r="Z805" s="63" t="n"/>
      <c r="AA805" s="55">
        <f>IF(LEFT(Cockpit!$C$5,1)="A",G805,IF(BT805=1,BU805,IF(LEFT(Cockpit!$C$5,1)="B",AE805,MAX(AE805,G805))))</f>
        <v/>
      </c>
      <c r="AB805" s="55">
        <f>IF(BO805=1,0,ROUNDUP(AA805/BN805,0))</f>
        <v/>
      </c>
      <c r="AC805" s="64">
        <f>IF(BO805=1,IF(AA805&lt;=0,0,BP805*MAX(1,IF(G805&gt;0,AA805/G805,1))),AB805*Q805)</f>
        <v/>
      </c>
      <c r="AD805" s="55">
        <f>AA805*F805</f>
        <v/>
      </c>
      <c r="AE805" s="55">
        <f>ROUNDUP(MAX(I805/IF(BS805&gt;0,BS805,MAX(0.1,N(Cockpit!$C$6))),BV805)/BN805,0)*BN805</f>
        <v/>
      </c>
      <c r="AF805" s="56">
        <f>IF(AC805&gt;0,I805/AC805,-1)</f>
        <v/>
      </c>
      <c r="AG805" s="56">
        <f>IF(AND(OR(BR805="L1",BR805="L23"),AC805&gt;0),SUMIFS($AC$7:$AC$1570,$BR$7:$BR$1570,BR805,$AF$7:$AF$1570,"&gt;"&amp;AF805)+SUMIFS($AC$7:$AC$1570,$BR$7:$BR$1570,BR805,$AF$7:$AF$1570,AF805,$BL$7:$BL$1570,"&lt;="&amp;BL805),"")</f>
        <v/>
      </c>
      <c r="AH805" s="65">
        <f>IF(AG805="",0,MAX(0,MIN(1,(IF(BR805="L1",Parameter!$K$5,Parameter!$K$6+Parameter!$K$7)-(AG805-AC805))/AC805)))</f>
        <v/>
      </c>
      <c r="AI805" s="55">
        <f>IF(LEFT(Cockpit!$I$5,1)="A",G805,IF(BT805=1,BU805,IF(LEFT(Cockpit!$I$5,1)="B",AM805,MAX(AM805,G805))))</f>
        <v/>
      </c>
      <c r="AJ805" s="55">
        <f>IF(BO805=1,0,ROUNDUP(AI805/BN805,0))</f>
        <v/>
      </c>
      <c r="AK805" s="64">
        <f>IF(BO805=1,IF(AI805&lt;=0,0,BP805*MAX(1,IF(G805&gt;0,AI805/G805,1))),AJ805*Q805)</f>
        <v/>
      </c>
      <c r="AL805" s="55">
        <f>AI805*F805</f>
        <v/>
      </c>
      <c r="AM805" s="55">
        <f>ROUNDUP(MAX(I805/IF(BS805&gt;0,BS805,MAX(0.1,N(Cockpit!$I$6))),BV805)/BN805,0)*BN805</f>
        <v/>
      </c>
      <c r="AN805" s="56">
        <f>IF(AK805&gt;0,I805/AK805,-1)</f>
        <v/>
      </c>
      <c r="AO805" s="56">
        <f>IF(AND(OR(BR805="L1",BR805="L23"),AK805&gt;0),SUMIFS($AK$7:$AK$1570,$BR$7:$BR$1570,BR805,$AN$7:$AN$1570,"&gt;"&amp;AN805)+SUMIFS($AK$7:$AK$1570,$BR$7:$BR$1570,BR805,$AN$7:$AN$1570,AN805,$BL$7:$BL$1570,"&lt;="&amp;BL805),"")</f>
        <v/>
      </c>
      <c r="AP805" s="65">
        <f>IF(AO805="",0,MAX(0,MIN(1,(IF(BR805="L1",Parameter!$K$5,Parameter!$K$6+Parameter!$K$7)-(AO805-AK805))/AK805)))</f>
        <v/>
      </c>
      <c r="AQ805" s="55">
        <f>IF(LEFT(Cockpit!$O$5,1)="A",G805,IF(BT805=1,BU805,IF(LEFT(Cockpit!$O$5,1)="B",AU805,MAX(AU805,G805))))</f>
        <v/>
      </c>
      <c r="AR805" s="55">
        <f>IF(BO805=1,0,ROUNDUP(AQ805/BN805,0))</f>
        <v/>
      </c>
      <c r="AS805" s="64">
        <f>IF(BO805=1,IF(AQ805&lt;=0,0,BP805*MAX(1,IF(G805&gt;0,AQ805/G805,1))),AR805*Q805)</f>
        <v/>
      </c>
      <c r="AT805" s="55">
        <f>AQ805*F805</f>
        <v/>
      </c>
      <c r="AU805" s="55">
        <f>ROUNDUP(MAX(I805/IF(BS805&gt;0,BS805,MAX(0.1,N(Cockpit!$O$6))),BV805)/BN805,0)*BN805</f>
        <v/>
      </c>
      <c r="AV805" s="56">
        <f>IF(AS805&gt;0,I805/AS805,-1)</f>
        <v/>
      </c>
      <c r="AW805" s="56">
        <f>IF(AND(OR(BR805="L1",BR805="L23"),AS805&gt;0),SUMIFS($AS$7:$AS$1570,$BR$7:$BR$1570,BR805,$AV$7:$AV$1570,"&gt;"&amp;AV805)+SUMIFS($AS$7:$AS$1570,$BR$7:$BR$1570,BR805,$AV$7:$AV$1570,AV805,$BL$7:$BL$1570,"&lt;="&amp;BL805),"")</f>
        <v/>
      </c>
      <c r="AX805" s="65">
        <f>IF(AW805="",0,MAX(0,MIN(1,(IF(BR805="L1",Parameter!$K$5,Parameter!$K$6+Parameter!$K$7)-(AW805-AS805))/AS805)))</f>
        <v/>
      </c>
      <c r="AY805" s="53">
        <f>IF(AC805&lt;=0,"",IF(BR805="Aussen","Aussenlager",IF(BR805="-","Nicht im Lift",IF(AH805&gt;=1,"Lift",IF(AH805&lt;=0,"Aussenlager","teilweise")))))</f>
        <v/>
      </c>
      <c r="AZ805" s="53">
        <f>IF(AK805&lt;=0,"",IF(BR805="Aussen","Aussenlager",IF(BR805="-","Nicht im Lift",IF(AP805&gt;=1,"Lift",IF(AP805&lt;=0,"Aussenlager","teilweise")))))</f>
        <v/>
      </c>
      <c r="BA805" s="53">
        <f>IF(AS805&lt;=0,"",IF(BR805="Aussen","Aussenlager",IF(BR805="-","Nicht im Lift",IF(AX805&gt;=1,"Lift",IF(AX805&lt;=0,"Aussenlager","teilweise")))))</f>
        <v/>
      </c>
      <c r="BB805" s="53">
        <f>IF(A805="","",IF(BK805=1,"Neu; ","")&amp;IF(AND(BK805=0,BF805&lt;0),"negativer Bestand (Export "&amp;BF805&amp;"); ","")&amp;IF(I805&lt;=0,"Kein Verbrauch; ","")&amp;IF(BO805=1,"Lose – Fläche geschätzt; ","")&amp;IF(G805&gt;AM805,"Überbestand "&amp;ROUND(G805-AM805,0)&amp;" Stk / CHF "&amp;ROUND((G805-AM805)*F805,0)&amp;"; ","")&amp;IF(AND(BT805=1,BU805&lt;BV805),"MAX &lt; MB+LG; ","")&amp;IF(AND(BZ805&gt;0,BY805*10&gt;BZ805),"zu hoch für Tablar; ","")&amp;IF(AND(BK805=0,OR(BT805=1,V805&lt;&gt;"",S805&lt;&gt;"",T805&lt;&gt;"",W805&lt;&gt;"")),"manuell übersteuert; ","")&amp;IF(AND(BO805=0,Q805=0),"Gebinde unbekannt; ","")&amp;IF(AND(BO805=0,N(T805)&lt;=0,N(P805)&lt;=0),"Menge pro Gebinde fehlt (Ist = 1 Gebinde); ","")&amp;BJ805)</f>
        <v/>
      </c>
      <c r="BC805" s="53" t="n"/>
      <c r="BD805" s="53" t="n"/>
      <c r="BE805" s="61" t="n"/>
      <c r="BF805" s="55" t="n">
        <v>-1</v>
      </c>
      <c r="BG805" s="55" t="n">
        <v>4</v>
      </c>
      <c r="BH805" s="54" t="n">
        <v>-5.440000000000007</v>
      </c>
      <c r="BI805" s="55" t="n">
        <v>0</v>
      </c>
      <c r="BJ805" s="53" t="inlineStr"/>
      <c r="BK805" s="58" t="n">
        <v>0</v>
      </c>
      <c r="BL805" s="58" t="n">
        <v>805</v>
      </c>
      <c r="BM805" s="53">
        <f>IF(S805&lt;&gt;"",UPPER(TRIM(S805)),IF(O805="","LOSE",O805))</f>
        <v/>
      </c>
      <c r="BN805" s="55">
        <f>IF(BM805="LOSE",1,IF(N(T805)&gt;0,T805,IF(N(P805)&gt;0,P805,MAX(1,G805))))</f>
        <v/>
      </c>
      <c r="BO805" s="58">
        <f>IF(BM805="LOSE",1,0)</f>
        <v/>
      </c>
      <c r="BP805" s="64">
        <f>IF(BO805=0,0,IF(N(R805)&gt;0,R805,IFERROR(VLOOKUP(D805,Parameter!$A$35:$C$64,3,0)+0,0)))</f>
        <v/>
      </c>
      <c r="BQ805" s="53">
        <f>IF(V805&lt;&gt;"",V805,U805)</f>
        <v/>
      </c>
      <c r="BR805" s="53">
        <f>IF(BQ805=1,"L1",IF(OR(BQ805=2,BQ805=3),"L23",IF(BQ805="Aussen","Aussen","-")))</f>
        <v/>
      </c>
      <c r="BS805" s="66">
        <f>IF(N(W805)&gt;0,W805,0)</f>
        <v/>
      </c>
      <c r="BT805" s="58">
        <f>IF(ISNUMBER(Z805),1,0)</f>
        <v/>
      </c>
      <c r="BU805" s="55">
        <f>N(Z805)</f>
        <v/>
      </c>
      <c r="BV805" s="55">
        <f>N(L805)+N(M805)</f>
        <v/>
      </c>
      <c r="BW805" s="55">
        <f>ROUNDUP(G805/BN805,0)</f>
        <v/>
      </c>
      <c r="BX805" s="55">
        <f>ROUNDUP(BU805/BN805,0)</f>
        <v/>
      </c>
      <c r="BY805" s="58">
        <f>IF(BO805=1,0,IFERROR(VLOOKUP(BM805,'Gebinde-Kategorie'!$A$5:$G$45,5,0)+0,0))</f>
        <v/>
      </c>
      <c r="BZ805" s="58">
        <f>IFERROR(IF(OR(BQ805=1,BQ805=2,BQ805=3),N(INDEX(Parameter!$I$5:$I$7,BQ805)),0),0)</f>
        <v/>
      </c>
    </row>
    <row r="806">
      <c r="A806" s="53" t="inlineStr">
        <is>
          <t>106477</t>
        </is>
      </c>
      <c r="B806" s="53" t="inlineStr">
        <is>
          <t>O-Ring</t>
        </is>
      </c>
      <c r="C806" s="53" t="inlineStr">
        <is>
          <t>F</t>
        </is>
      </c>
      <c r="D806" s="53" t="inlineStr">
        <is>
          <t>KTL</t>
        </is>
      </c>
      <c r="E806" s="53" t="inlineStr">
        <is>
          <t>C</t>
        </is>
      </c>
      <c r="F806" s="54" t="n">
        <v>0.1</v>
      </c>
      <c r="G806" s="55">
        <f>MAX(0,IF(Parameter!$B$20="Jahresanfang 2025 + Export",BG806+BF806,BF806))</f>
        <v/>
      </c>
      <c r="H806" s="55">
        <f>G806*F806</f>
        <v/>
      </c>
      <c r="I806" s="55">
        <f>BI806*Parameter!$B$18</f>
        <v/>
      </c>
      <c r="J806" s="56" t="n">
        <v>242</v>
      </c>
      <c r="K806" s="57" t="n">
        <v>0.3223140495867768</v>
      </c>
      <c r="L806" s="55" t="n">
        <v>3</v>
      </c>
      <c r="M806" s="55" t="n">
        <v>80</v>
      </c>
      <c r="N806" s="58" t="n">
        <v>14</v>
      </c>
      <c r="O806" s="53" t="inlineStr">
        <is>
          <t>S21</t>
        </is>
      </c>
      <c r="P806" s="55" t="n">
        <v>432</v>
      </c>
      <c r="Q806" s="59">
        <f>IF(BO806=1,0,IFERROR(VLOOKUP(BM806,'Gebinde-Kategorie'!$A$5:$G$45,6,0)+0,0))</f>
        <v/>
      </c>
      <c r="R806" s="60" t="n"/>
      <c r="S806" s="61" t="n"/>
      <c r="T806" s="61" t="n"/>
      <c r="U806" s="53">
        <f>IF(A806="","",IF(IFERROR(VLOOKUP(D806,Parameter!$A$35:$C$64,2,0),"Nein")="2+3",IF(ISNUMBER(SEARCH("grosser Artikel",BJ806)),2,IFERROR(VLOOKUP(BM806,Parameter!$F$35:$G$64,2,0),2)),IF(OR(IFERROR(VLOOKUP(D806,Parameter!$A$35:$C$64,2,0),"Nein")="Nein",IFERROR(VLOOKUP(D806,Parameter!$A$35:$C$64,2,0),"Nein")=""),"-",VLOOKUP(D806,Parameter!$A$35:$C$64,2,0))))</f>
        <v/>
      </c>
      <c r="V806" s="61" t="n"/>
      <c r="W806" s="62" t="n"/>
      <c r="X806" s="55">
        <f>AM806</f>
        <v/>
      </c>
      <c r="Y806" s="55">
        <f>MAX(AM806,G806)</f>
        <v/>
      </c>
      <c r="Z806" s="63" t="n"/>
      <c r="AA806" s="55">
        <f>IF(LEFT(Cockpit!$C$5,1)="A",G806,IF(BT806=1,BU806,IF(LEFT(Cockpit!$C$5,1)="B",AE806,MAX(AE806,G806))))</f>
        <v/>
      </c>
      <c r="AB806" s="55">
        <f>IF(BO806=1,0,ROUNDUP(AA806/BN806,0))</f>
        <v/>
      </c>
      <c r="AC806" s="64">
        <f>IF(BO806=1,IF(AA806&lt;=0,0,BP806*MAX(1,IF(G806&gt;0,AA806/G806,1))),AB806*Q806)</f>
        <v/>
      </c>
      <c r="AD806" s="55">
        <f>AA806*F806</f>
        <v/>
      </c>
      <c r="AE806" s="55">
        <f>ROUNDUP(MAX(I806/IF(BS806&gt;0,BS806,MAX(0.1,N(Cockpit!$C$6))),BV806)/BN806,0)*BN806</f>
        <v/>
      </c>
      <c r="AF806" s="56">
        <f>IF(AC806&gt;0,I806/AC806,-1)</f>
        <v/>
      </c>
      <c r="AG806" s="56">
        <f>IF(AND(OR(BR806="L1",BR806="L23"),AC806&gt;0),SUMIFS($AC$7:$AC$1570,$BR$7:$BR$1570,BR806,$AF$7:$AF$1570,"&gt;"&amp;AF806)+SUMIFS($AC$7:$AC$1570,$BR$7:$BR$1570,BR806,$AF$7:$AF$1570,AF806,$BL$7:$BL$1570,"&lt;="&amp;BL806),"")</f>
        <v/>
      </c>
      <c r="AH806" s="65">
        <f>IF(AG806="",0,MAX(0,MIN(1,(IF(BR806="L1",Parameter!$K$5,Parameter!$K$6+Parameter!$K$7)-(AG806-AC806))/AC806)))</f>
        <v/>
      </c>
      <c r="AI806" s="55">
        <f>IF(LEFT(Cockpit!$I$5,1)="A",G806,IF(BT806=1,BU806,IF(LEFT(Cockpit!$I$5,1)="B",AM806,MAX(AM806,G806))))</f>
        <v/>
      </c>
      <c r="AJ806" s="55">
        <f>IF(BO806=1,0,ROUNDUP(AI806/BN806,0))</f>
        <v/>
      </c>
      <c r="AK806" s="64">
        <f>IF(BO806=1,IF(AI806&lt;=0,0,BP806*MAX(1,IF(G806&gt;0,AI806/G806,1))),AJ806*Q806)</f>
        <v/>
      </c>
      <c r="AL806" s="55">
        <f>AI806*F806</f>
        <v/>
      </c>
      <c r="AM806" s="55">
        <f>ROUNDUP(MAX(I806/IF(BS806&gt;0,BS806,MAX(0.1,N(Cockpit!$I$6))),BV806)/BN806,0)*BN806</f>
        <v/>
      </c>
      <c r="AN806" s="56">
        <f>IF(AK806&gt;0,I806/AK806,-1)</f>
        <v/>
      </c>
      <c r="AO806" s="56">
        <f>IF(AND(OR(BR806="L1",BR806="L23"),AK806&gt;0),SUMIFS($AK$7:$AK$1570,$BR$7:$BR$1570,BR806,$AN$7:$AN$1570,"&gt;"&amp;AN806)+SUMIFS($AK$7:$AK$1570,$BR$7:$BR$1570,BR806,$AN$7:$AN$1570,AN806,$BL$7:$BL$1570,"&lt;="&amp;BL806),"")</f>
        <v/>
      </c>
      <c r="AP806" s="65">
        <f>IF(AO806="",0,MAX(0,MIN(1,(IF(BR806="L1",Parameter!$K$5,Parameter!$K$6+Parameter!$K$7)-(AO806-AK806))/AK806)))</f>
        <v/>
      </c>
      <c r="AQ806" s="55">
        <f>IF(LEFT(Cockpit!$O$5,1)="A",G806,IF(BT806=1,BU806,IF(LEFT(Cockpit!$O$5,1)="B",AU806,MAX(AU806,G806))))</f>
        <v/>
      </c>
      <c r="AR806" s="55">
        <f>IF(BO806=1,0,ROUNDUP(AQ806/BN806,0))</f>
        <v/>
      </c>
      <c r="AS806" s="64">
        <f>IF(BO806=1,IF(AQ806&lt;=0,0,BP806*MAX(1,IF(G806&gt;0,AQ806/G806,1))),AR806*Q806)</f>
        <v/>
      </c>
      <c r="AT806" s="55">
        <f>AQ806*F806</f>
        <v/>
      </c>
      <c r="AU806" s="55">
        <f>ROUNDUP(MAX(I806/IF(BS806&gt;0,BS806,MAX(0.1,N(Cockpit!$O$6))),BV806)/BN806,0)*BN806</f>
        <v/>
      </c>
      <c r="AV806" s="56">
        <f>IF(AS806&gt;0,I806/AS806,-1)</f>
        <v/>
      </c>
      <c r="AW806" s="56">
        <f>IF(AND(OR(BR806="L1",BR806="L23"),AS806&gt;0),SUMIFS($AS$7:$AS$1570,$BR$7:$BR$1570,BR806,$AV$7:$AV$1570,"&gt;"&amp;AV806)+SUMIFS($AS$7:$AS$1570,$BR$7:$BR$1570,BR806,$AV$7:$AV$1570,AV806,$BL$7:$BL$1570,"&lt;="&amp;BL806),"")</f>
        <v/>
      </c>
      <c r="AX806" s="65">
        <f>IF(AW806="",0,MAX(0,MIN(1,(IF(BR806="L1",Parameter!$K$5,Parameter!$K$6+Parameter!$K$7)-(AW806-AS806))/AS806)))</f>
        <v/>
      </c>
      <c r="AY806" s="53">
        <f>IF(AC806&lt;=0,"",IF(BR806="Aussen","Aussenlager",IF(BR806="-","Nicht im Lift",IF(AH806&gt;=1,"Lift",IF(AH806&lt;=0,"Aussenlager","teilweise")))))</f>
        <v/>
      </c>
      <c r="AZ806" s="53">
        <f>IF(AK806&lt;=0,"",IF(BR806="Aussen","Aussenlager",IF(BR806="-","Nicht im Lift",IF(AP806&gt;=1,"Lift",IF(AP806&lt;=0,"Aussenlager","teilweise")))))</f>
        <v/>
      </c>
      <c r="BA806" s="53">
        <f>IF(AS806&lt;=0,"",IF(BR806="Aussen","Aussenlager",IF(BR806="-","Nicht im Lift",IF(AX806&gt;=1,"Lift",IF(AX806&lt;=0,"Aussenlager","teilweise")))))</f>
        <v/>
      </c>
      <c r="BB806" s="53">
        <f>IF(A806="","",IF(BK806=1,"Neu; ","")&amp;IF(AND(BK806=0,BF806&lt;0),"negativer Bestand (Export "&amp;BF806&amp;"); ","")&amp;IF(I806&lt;=0,"Kein Verbrauch; ","")&amp;IF(BO806=1,"Lose – Fläche geschätzt; ","")&amp;IF(G806&gt;AM806,"Überbestand "&amp;ROUND(G806-AM806,0)&amp;" Stk / CHF "&amp;ROUND((G806-AM806)*F806,0)&amp;"; ","")&amp;IF(AND(BT806=1,BU806&lt;BV806),"MAX &lt; MB+LG; ","")&amp;IF(AND(BZ806&gt;0,BY806*10&gt;BZ806),"zu hoch für Tablar; ","")&amp;IF(AND(BK806=0,OR(BT806=1,V806&lt;&gt;"",S806&lt;&gt;"",T806&lt;&gt;"",W806&lt;&gt;"")),"manuell übersteuert; ","")&amp;IF(AND(BO806=0,Q806=0),"Gebinde unbekannt; ","")&amp;IF(AND(BO806=0,N(T806)&lt;=0,N(P806)&lt;=0),"Menge pro Gebinde fehlt (Ist = 1 Gebinde); ","")&amp;BJ806)</f>
        <v/>
      </c>
      <c r="BC806" s="53" t="n"/>
      <c r="BD806" s="53" t="n"/>
      <c r="BE806" s="61" t="n"/>
      <c r="BF806" s="55" t="n">
        <v>-55</v>
      </c>
      <c r="BG806" s="55" t="n">
        <v>280</v>
      </c>
      <c r="BH806" s="54" t="n">
        <v>-5.5</v>
      </c>
      <c r="BI806" s="55" t="n">
        <v>78</v>
      </c>
      <c r="BJ806" s="53" t="inlineStr"/>
      <c r="BK806" s="58" t="n">
        <v>0</v>
      </c>
      <c r="BL806" s="58" t="n">
        <v>806</v>
      </c>
      <c r="BM806" s="53">
        <f>IF(S806&lt;&gt;"",UPPER(TRIM(S806)),IF(O806="","LOSE",O806))</f>
        <v/>
      </c>
      <c r="BN806" s="55">
        <f>IF(BM806="LOSE",1,IF(N(T806)&gt;0,T806,IF(N(P806)&gt;0,P806,MAX(1,G806))))</f>
        <v/>
      </c>
      <c r="BO806" s="58">
        <f>IF(BM806="LOSE",1,0)</f>
        <v/>
      </c>
      <c r="BP806" s="64">
        <f>IF(BO806=0,0,IF(N(R806)&gt;0,R806,IFERROR(VLOOKUP(D806,Parameter!$A$35:$C$64,3,0)+0,0)))</f>
        <v/>
      </c>
      <c r="BQ806" s="53">
        <f>IF(V806&lt;&gt;"",V806,U806)</f>
        <v/>
      </c>
      <c r="BR806" s="53">
        <f>IF(BQ806=1,"L1",IF(OR(BQ806=2,BQ806=3),"L23",IF(BQ806="Aussen","Aussen","-")))</f>
        <v/>
      </c>
      <c r="BS806" s="66">
        <f>IF(N(W806)&gt;0,W806,0)</f>
        <v/>
      </c>
      <c r="BT806" s="58">
        <f>IF(ISNUMBER(Z806),1,0)</f>
        <v/>
      </c>
      <c r="BU806" s="55">
        <f>N(Z806)</f>
        <v/>
      </c>
      <c r="BV806" s="55">
        <f>N(L806)+N(M806)</f>
        <v/>
      </c>
      <c r="BW806" s="55">
        <f>ROUNDUP(G806/BN806,0)</f>
        <v/>
      </c>
      <c r="BX806" s="55">
        <f>ROUNDUP(BU806/BN806,0)</f>
        <v/>
      </c>
      <c r="BY806" s="58">
        <f>IF(BO806=1,0,IFERROR(VLOOKUP(BM806,'Gebinde-Kategorie'!$A$5:$G$45,5,0)+0,0))</f>
        <v/>
      </c>
      <c r="BZ806" s="58">
        <f>IFERROR(IF(OR(BQ806=1,BQ806=2,BQ806=3),N(INDEX(Parameter!$I$5:$I$7,BQ806)),0),0)</f>
        <v/>
      </c>
    </row>
    <row r="807">
      <c r="A807" s="53" t="inlineStr">
        <is>
          <t>002068</t>
        </is>
      </c>
      <c r="B807" s="53" t="inlineStr">
        <is>
          <t>Batterie 6F22 9V</t>
        </is>
      </c>
      <c r="C807" s="53" t="inlineStr">
        <is>
          <t>F</t>
        </is>
      </c>
      <c r="D807" s="53" t="inlineStr">
        <is>
          <t>KTL</t>
        </is>
      </c>
      <c r="E807" s="53" t="inlineStr">
        <is>
          <t>C</t>
        </is>
      </c>
      <c r="F807" s="54" t="n">
        <v>5.7</v>
      </c>
      <c r="G807" s="55">
        <f>MAX(0,IF(Parameter!$B$20="Jahresanfang 2025 + Export",BG807+BF807,BF807))</f>
        <v/>
      </c>
      <c r="H807" s="55">
        <f>G807*F807</f>
        <v/>
      </c>
      <c r="I807" s="55">
        <f>BI807*Parameter!$B$18</f>
        <v/>
      </c>
      <c r="J807" s="56" t="n">
        <v>4.5</v>
      </c>
      <c r="K807" s="57" t="n">
        <v>0.2222222222222222</v>
      </c>
      <c r="L807" s="55" t="n">
        <v>0</v>
      </c>
      <c r="M807" s="55" t="n">
        <v>1</v>
      </c>
      <c r="N807" s="58" t="n">
        <v>14</v>
      </c>
      <c r="O807" s="53" t="inlineStr">
        <is>
          <t>S32</t>
        </is>
      </c>
      <c r="P807" s="55" t="n">
        <v>7</v>
      </c>
      <c r="Q807" s="59">
        <f>IF(BO807=1,0,IFERROR(VLOOKUP(BM807,'Gebinde-Kategorie'!$A$5:$G$45,6,0)+0,0))</f>
        <v/>
      </c>
      <c r="R807" s="60" t="n"/>
      <c r="S807" s="61" t="n"/>
      <c r="T807" s="61" t="n"/>
      <c r="U807" s="53">
        <f>IF(A807="","",IF(IFERROR(VLOOKUP(D807,Parameter!$A$35:$C$64,2,0),"Nein")="2+3",IF(ISNUMBER(SEARCH("grosser Artikel",BJ807)),2,IFERROR(VLOOKUP(BM807,Parameter!$F$35:$G$64,2,0),2)),IF(OR(IFERROR(VLOOKUP(D807,Parameter!$A$35:$C$64,2,0),"Nein")="Nein",IFERROR(VLOOKUP(D807,Parameter!$A$35:$C$64,2,0),"Nein")=""),"-",VLOOKUP(D807,Parameter!$A$35:$C$64,2,0))))</f>
        <v/>
      </c>
      <c r="V807" s="61" t="n"/>
      <c r="W807" s="62" t="n"/>
      <c r="X807" s="55">
        <f>AM807</f>
        <v/>
      </c>
      <c r="Y807" s="55">
        <f>MAX(AM807,G807)</f>
        <v/>
      </c>
      <c r="Z807" s="63" t="n"/>
      <c r="AA807" s="55">
        <f>IF(LEFT(Cockpit!$C$5,1)="A",G807,IF(BT807=1,BU807,IF(LEFT(Cockpit!$C$5,1)="B",AE807,MAX(AE807,G807))))</f>
        <v/>
      </c>
      <c r="AB807" s="55">
        <f>IF(BO807=1,0,ROUNDUP(AA807/BN807,0))</f>
        <v/>
      </c>
      <c r="AC807" s="64">
        <f>IF(BO807=1,IF(AA807&lt;=0,0,BP807*MAX(1,IF(G807&gt;0,AA807/G807,1))),AB807*Q807)</f>
        <v/>
      </c>
      <c r="AD807" s="55">
        <f>AA807*F807</f>
        <v/>
      </c>
      <c r="AE807" s="55">
        <f>ROUNDUP(MAX(I807/IF(BS807&gt;0,BS807,MAX(0.1,N(Cockpit!$C$6))),BV807)/BN807,0)*BN807</f>
        <v/>
      </c>
      <c r="AF807" s="56">
        <f>IF(AC807&gt;0,I807/AC807,-1)</f>
        <v/>
      </c>
      <c r="AG807" s="56">
        <f>IF(AND(OR(BR807="L1",BR807="L23"),AC807&gt;0),SUMIFS($AC$7:$AC$1570,$BR$7:$BR$1570,BR807,$AF$7:$AF$1570,"&gt;"&amp;AF807)+SUMIFS($AC$7:$AC$1570,$BR$7:$BR$1570,BR807,$AF$7:$AF$1570,AF807,$BL$7:$BL$1570,"&lt;="&amp;BL807),"")</f>
        <v/>
      </c>
      <c r="AH807" s="65">
        <f>IF(AG807="",0,MAX(0,MIN(1,(IF(BR807="L1",Parameter!$K$5,Parameter!$K$6+Parameter!$K$7)-(AG807-AC807))/AC807)))</f>
        <v/>
      </c>
      <c r="AI807" s="55">
        <f>IF(LEFT(Cockpit!$I$5,1)="A",G807,IF(BT807=1,BU807,IF(LEFT(Cockpit!$I$5,1)="B",AM807,MAX(AM807,G807))))</f>
        <v/>
      </c>
      <c r="AJ807" s="55">
        <f>IF(BO807=1,0,ROUNDUP(AI807/BN807,0))</f>
        <v/>
      </c>
      <c r="AK807" s="64">
        <f>IF(BO807=1,IF(AI807&lt;=0,0,BP807*MAX(1,IF(G807&gt;0,AI807/G807,1))),AJ807*Q807)</f>
        <v/>
      </c>
      <c r="AL807" s="55">
        <f>AI807*F807</f>
        <v/>
      </c>
      <c r="AM807" s="55">
        <f>ROUNDUP(MAX(I807/IF(BS807&gt;0,BS807,MAX(0.1,N(Cockpit!$I$6))),BV807)/BN807,0)*BN807</f>
        <v/>
      </c>
      <c r="AN807" s="56">
        <f>IF(AK807&gt;0,I807/AK807,-1)</f>
        <v/>
      </c>
      <c r="AO807" s="56">
        <f>IF(AND(OR(BR807="L1",BR807="L23"),AK807&gt;0),SUMIFS($AK$7:$AK$1570,$BR$7:$BR$1570,BR807,$AN$7:$AN$1570,"&gt;"&amp;AN807)+SUMIFS($AK$7:$AK$1570,$BR$7:$BR$1570,BR807,$AN$7:$AN$1570,AN807,$BL$7:$BL$1570,"&lt;="&amp;BL807),"")</f>
        <v/>
      </c>
      <c r="AP807" s="65">
        <f>IF(AO807="",0,MAX(0,MIN(1,(IF(BR807="L1",Parameter!$K$5,Parameter!$K$6+Parameter!$K$7)-(AO807-AK807))/AK807)))</f>
        <v/>
      </c>
      <c r="AQ807" s="55">
        <f>IF(LEFT(Cockpit!$O$5,1)="A",G807,IF(BT807=1,BU807,IF(LEFT(Cockpit!$O$5,1)="B",AU807,MAX(AU807,G807))))</f>
        <v/>
      </c>
      <c r="AR807" s="55">
        <f>IF(BO807=1,0,ROUNDUP(AQ807/BN807,0))</f>
        <v/>
      </c>
      <c r="AS807" s="64">
        <f>IF(BO807=1,IF(AQ807&lt;=0,0,BP807*MAX(1,IF(G807&gt;0,AQ807/G807,1))),AR807*Q807)</f>
        <v/>
      </c>
      <c r="AT807" s="55">
        <f>AQ807*F807</f>
        <v/>
      </c>
      <c r="AU807" s="55">
        <f>ROUNDUP(MAX(I807/IF(BS807&gt;0,BS807,MAX(0.1,N(Cockpit!$O$6))),BV807)/BN807,0)*BN807</f>
        <v/>
      </c>
      <c r="AV807" s="56">
        <f>IF(AS807&gt;0,I807/AS807,-1)</f>
        <v/>
      </c>
      <c r="AW807" s="56">
        <f>IF(AND(OR(BR807="L1",BR807="L23"),AS807&gt;0),SUMIFS($AS$7:$AS$1570,$BR$7:$BR$1570,BR807,$AV$7:$AV$1570,"&gt;"&amp;AV807)+SUMIFS($AS$7:$AS$1570,$BR$7:$BR$1570,BR807,$AV$7:$AV$1570,AV807,$BL$7:$BL$1570,"&lt;="&amp;BL807),"")</f>
        <v/>
      </c>
      <c r="AX807" s="65">
        <f>IF(AW807="",0,MAX(0,MIN(1,(IF(BR807="L1",Parameter!$K$5,Parameter!$K$6+Parameter!$K$7)-(AW807-AS807))/AS807)))</f>
        <v/>
      </c>
      <c r="AY807" s="53">
        <f>IF(AC807&lt;=0,"",IF(BR807="Aussen","Aussenlager",IF(BR807="-","Nicht im Lift",IF(AH807&gt;=1,"Lift",IF(AH807&lt;=0,"Aussenlager","teilweise")))))</f>
        <v/>
      </c>
      <c r="AZ807" s="53">
        <f>IF(AK807&lt;=0,"",IF(BR807="Aussen","Aussenlager",IF(BR807="-","Nicht im Lift",IF(AP807&gt;=1,"Lift",IF(AP807&lt;=0,"Aussenlager","teilweise")))))</f>
        <v/>
      </c>
      <c r="BA807" s="53">
        <f>IF(AS807&lt;=0,"",IF(BR807="Aussen","Aussenlager",IF(BR807="-","Nicht im Lift",IF(AX807&gt;=1,"Lift",IF(AX807&lt;=0,"Aussenlager","teilweise")))))</f>
        <v/>
      </c>
      <c r="BB807" s="53">
        <f>IF(A807="","",IF(BK807=1,"Neu; ","")&amp;IF(AND(BK807=0,BF807&lt;0),"negativer Bestand (Export "&amp;BF807&amp;"); ","")&amp;IF(I807&lt;=0,"Kein Verbrauch; ","")&amp;IF(BO807=1,"Lose – Fläche geschätzt; ","")&amp;IF(G807&gt;AM807,"Überbestand "&amp;ROUND(G807-AM807,0)&amp;" Stk / CHF "&amp;ROUND((G807-AM807)*F807,0)&amp;"; ","")&amp;IF(AND(BT807=1,BU807&lt;BV807),"MAX &lt; MB+LG; ","")&amp;IF(AND(BZ807&gt;0,BY807*10&gt;BZ807),"zu hoch für Tablar; ","")&amp;IF(AND(BK807=0,OR(BT807=1,V807&lt;&gt;"",S807&lt;&gt;"",T807&lt;&gt;"",W807&lt;&gt;"")),"manuell übersteuert; ","")&amp;IF(AND(BO807=0,Q807=0),"Gebinde unbekannt; ","")&amp;IF(AND(BO807=0,N(T807)&lt;=0,N(P807)&lt;=0),"Menge pro Gebinde fehlt (Ist = 1 Gebinde); ","")&amp;BJ807)</f>
        <v/>
      </c>
      <c r="BC807" s="53" t="n"/>
      <c r="BD807" s="53" t="n"/>
      <c r="BE807" s="61" t="n"/>
      <c r="BF807" s="55" t="n">
        <v>-1</v>
      </c>
      <c r="BG807" s="55" t="n">
        <v>5</v>
      </c>
      <c r="BH807" s="54" t="n">
        <v>-5.7</v>
      </c>
      <c r="BI807" s="55" t="n">
        <v>1</v>
      </c>
      <c r="BJ807" s="53" t="inlineStr">
        <is>
          <t>Verb.Lager</t>
        </is>
      </c>
      <c r="BK807" s="58" t="n">
        <v>0</v>
      </c>
      <c r="BL807" s="58" t="n">
        <v>807</v>
      </c>
      <c r="BM807" s="53">
        <f>IF(S807&lt;&gt;"",UPPER(TRIM(S807)),IF(O807="","LOSE",O807))</f>
        <v/>
      </c>
      <c r="BN807" s="55">
        <f>IF(BM807="LOSE",1,IF(N(T807)&gt;0,T807,IF(N(P807)&gt;0,P807,MAX(1,G807))))</f>
        <v/>
      </c>
      <c r="BO807" s="58">
        <f>IF(BM807="LOSE",1,0)</f>
        <v/>
      </c>
      <c r="BP807" s="64">
        <f>IF(BO807=0,0,IF(N(R807)&gt;0,R807,IFERROR(VLOOKUP(D807,Parameter!$A$35:$C$64,3,0)+0,0)))</f>
        <v/>
      </c>
      <c r="BQ807" s="53">
        <f>IF(V807&lt;&gt;"",V807,U807)</f>
        <v/>
      </c>
      <c r="BR807" s="53">
        <f>IF(BQ807=1,"L1",IF(OR(BQ807=2,BQ807=3),"L23",IF(BQ807="Aussen","Aussen","-")))</f>
        <v/>
      </c>
      <c r="BS807" s="66">
        <f>IF(N(W807)&gt;0,W807,0)</f>
        <v/>
      </c>
      <c r="BT807" s="58">
        <f>IF(ISNUMBER(Z807),1,0)</f>
        <v/>
      </c>
      <c r="BU807" s="55">
        <f>N(Z807)</f>
        <v/>
      </c>
      <c r="BV807" s="55">
        <f>N(L807)+N(M807)</f>
        <v/>
      </c>
      <c r="BW807" s="55">
        <f>ROUNDUP(G807/BN807,0)</f>
        <v/>
      </c>
      <c r="BX807" s="55">
        <f>ROUNDUP(BU807/BN807,0)</f>
        <v/>
      </c>
      <c r="BY807" s="58">
        <f>IF(BO807=1,0,IFERROR(VLOOKUP(BM807,'Gebinde-Kategorie'!$A$5:$G$45,5,0)+0,0))</f>
        <v/>
      </c>
      <c r="BZ807" s="58">
        <f>IFERROR(IF(OR(BQ807=1,BQ807=2,BQ807=3),N(INDEX(Parameter!$I$5:$I$7,BQ807)),0),0)</f>
        <v/>
      </c>
    </row>
    <row r="808">
      <c r="A808" s="53" t="inlineStr">
        <is>
          <t>109923</t>
        </is>
      </c>
      <c r="B808" s="53" t="inlineStr">
        <is>
          <t>Kleber Service Verpackung</t>
        </is>
      </c>
      <c r="C808" s="53" t="inlineStr">
        <is>
          <t>F</t>
        </is>
      </c>
      <c r="D808" s="53" t="inlineStr">
        <is>
          <t>KTL</t>
        </is>
      </c>
      <c r="E808" s="53" t="inlineStr">
        <is>
          <t>C</t>
        </is>
      </c>
      <c r="F808" s="54" t="n">
        <v>0.24</v>
      </c>
      <c r="G808" s="55">
        <f>MAX(0,IF(Parameter!$B$20="Jahresanfang 2025 + Export",BG808+BF808,BF808))</f>
        <v/>
      </c>
      <c r="H808" s="55">
        <f>G808*F808</f>
        <v/>
      </c>
      <c r="I808" s="55">
        <f>BI808*Parameter!$B$18</f>
        <v/>
      </c>
      <c r="J808" s="56" t="n">
        <v>19.5</v>
      </c>
      <c r="K808" s="57" t="n">
        <v>0.2051282051282051</v>
      </c>
      <c r="L808" s="55" t="n">
        <v>0</v>
      </c>
      <c r="M808" s="55" t="n">
        <v>1300</v>
      </c>
      <c r="N808" s="58" t="n">
        <v>14</v>
      </c>
      <c r="O808" s="53" t="inlineStr">
        <is>
          <t>LOSE</t>
        </is>
      </c>
      <c r="P808" s="55" t="n"/>
      <c r="Q808" s="59">
        <f>IF(BO808=1,0,IFERROR(VLOOKUP(BM808,'Gebinde-Kategorie'!$A$5:$G$45,6,0)+0,0))</f>
        <v/>
      </c>
      <c r="R808" s="60" t="n"/>
      <c r="S808" s="61" t="n"/>
      <c r="T808" s="61" t="n"/>
      <c r="U808" s="53">
        <f>IF(A808="","",IF(IFERROR(VLOOKUP(D808,Parameter!$A$35:$C$64,2,0),"Nein")="2+3",IF(ISNUMBER(SEARCH("grosser Artikel",BJ808)),2,IFERROR(VLOOKUP(BM808,Parameter!$F$35:$G$64,2,0),2)),IF(OR(IFERROR(VLOOKUP(D808,Parameter!$A$35:$C$64,2,0),"Nein")="Nein",IFERROR(VLOOKUP(D808,Parameter!$A$35:$C$64,2,0),"Nein")=""),"-",VLOOKUP(D808,Parameter!$A$35:$C$64,2,0))))</f>
        <v/>
      </c>
      <c r="V808" s="61" t="n"/>
      <c r="W808" s="62" t="n"/>
      <c r="X808" s="55">
        <f>AM808</f>
        <v/>
      </c>
      <c r="Y808" s="55">
        <f>MAX(AM808,G808)</f>
        <v/>
      </c>
      <c r="Z808" s="63" t="n"/>
      <c r="AA808" s="55">
        <f>IF(LEFT(Cockpit!$C$5,1)="A",G808,IF(BT808=1,BU808,IF(LEFT(Cockpit!$C$5,1)="B",AE808,MAX(AE808,G808))))</f>
        <v/>
      </c>
      <c r="AB808" s="55">
        <f>IF(BO808=1,0,ROUNDUP(AA808/BN808,0))</f>
        <v/>
      </c>
      <c r="AC808" s="64">
        <f>IF(BO808=1,IF(AA808&lt;=0,0,BP808*MAX(1,IF(G808&gt;0,AA808/G808,1))),AB808*Q808)</f>
        <v/>
      </c>
      <c r="AD808" s="55">
        <f>AA808*F808</f>
        <v/>
      </c>
      <c r="AE808" s="55">
        <f>ROUNDUP(MAX(I808/IF(BS808&gt;0,BS808,MAX(0.1,N(Cockpit!$C$6))),BV808)/BN808,0)*BN808</f>
        <v/>
      </c>
      <c r="AF808" s="56">
        <f>IF(AC808&gt;0,I808/AC808,-1)</f>
        <v/>
      </c>
      <c r="AG808" s="56">
        <f>IF(AND(OR(BR808="L1",BR808="L23"),AC808&gt;0),SUMIFS($AC$7:$AC$1570,$BR$7:$BR$1570,BR808,$AF$7:$AF$1570,"&gt;"&amp;AF808)+SUMIFS($AC$7:$AC$1570,$BR$7:$BR$1570,BR808,$AF$7:$AF$1570,AF808,$BL$7:$BL$1570,"&lt;="&amp;BL808),"")</f>
        <v/>
      </c>
      <c r="AH808" s="65">
        <f>IF(AG808="",0,MAX(0,MIN(1,(IF(BR808="L1",Parameter!$K$5,Parameter!$K$6+Parameter!$K$7)-(AG808-AC808))/AC808)))</f>
        <v/>
      </c>
      <c r="AI808" s="55">
        <f>IF(LEFT(Cockpit!$I$5,1)="A",G808,IF(BT808=1,BU808,IF(LEFT(Cockpit!$I$5,1)="B",AM808,MAX(AM808,G808))))</f>
        <v/>
      </c>
      <c r="AJ808" s="55">
        <f>IF(BO808=1,0,ROUNDUP(AI808/BN808,0))</f>
        <v/>
      </c>
      <c r="AK808" s="64">
        <f>IF(BO808=1,IF(AI808&lt;=0,0,BP808*MAX(1,IF(G808&gt;0,AI808/G808,1))),AJ808*Q808)</f>
        <v/>
      </c>
      <c r="AL808" s="55">
        <f>AI808*F808</f>
        <v/>
      </c>
      <c r="AM808" s="55">
        <f>ROUNDUP(MAX(I808/IF(BS808&gt;0,BS808,MAX(0.1,N(Cockpit!$I$6))),BV808)/BN808,0)*BN808</f>
        <v/>
      </c>
      <c r="AN808" s="56">
        <f>IF(AK808&gt;0,I808/AK808,-1)</f>
        <v/>
      </c>
      <c r="AO808" s="56">
        <f>IF(AND(OR(BR808="L1",BR808="L23"),AK808&gt;0),SUMIFS($AK$7:$AK$1570,$BR$7:$BR$1570,BR808,$AN$7:$AN$1570,"&gt;"&amp;AN808)+SUMIFS($AK$7:$AK$1570,$BR$7:$BR$1570,BR808,$AN$7:$AN$1570,AN808,$BL$7:$BL$1570,"&lt;="&amp;BL808),"")</f>
        <v/>
      </c>
      <c r="AP808" s="65">
        <f>IF(AO808="",0,MAX(0,MIN(1,(IF(BR808="L1",Parameter!$K$5,Parameter!$K$6+Parameter!$K$7)-(AO808-AK808))/AK808)))</f>
        <v/>
      </c>
      <c r="AQ808" s="55">
        <f>IF(LEFT(Cockpit!$O$5,1)="A",G808,IF(BT808=1,BU808,IF(LEFT(Cockpit!$O$5,1)="B",AU808,MAX(AU808,G808))))</f>
        <v/>
      </c>
      <c r="AR808" s="55">
        <f>IF(BO808=1,0,ROUNDUP(AQ808/BN808,0))</f>
        <v/>
      </c>
      <c r="AS808" s="64">
        <f>IF(BO808=1,IF(AQ808&lt;=0,0,BP808*MAX(1,IF(G808&gt;0,AQ808/G808,1))),AR808*Q808)</f>
        <v/>
      </c>
      <c r="AT808" s="55">
        <f>AQ808*F808</f>
        <v/>
      </c>
      <c r="AU808" s="55">
        <f>ROUNDUP(MAX(I808/IF(BS808&gt;0,BS808,MAX(0.1,N(Cockpit!$O$6))),BV808)/BN808,0)*BN808</f>
        <v/>
      </c>
      <c r="AV808" s="56">
        <f>IF(AS808&gt;0,I808/AS808,-1)</f>
        <v/>
      </c>
      <c r="AW808" s="56">
        <f>IF(AND(OR(BR808="L1",BR808="L23"),AS808&gt;0),SUMIFS($AS$7:$AS$1570,$BR$7:$BR$1570,BR808,$AV$7:$AV$1570,"&gt;"&amp;AV808)+SUMIFS($AS$7:$AS$1570,$BR$7:$BR$1570,BR808,$AV$7:$AV$1570,AV808,$BL$7:$BL$1570,"&lt;="&amp;BL808),"")</f>
        <v/>
      </c>
      <c r="AX808" s="65">
        <f>IF(AW808="",0,MAX(0,MIN(1,(IF(BR808="L1",Parameter!$K$5,Parameter!$K$6+Parameter!$K$7)-(AW808-AS808))/AS808)))</f>
        <v/>
      </c>
      <c r="AY808" s="53">
        <f>IF(AC808&lt;=0,"",IF(BR808="Aussen","Aussenlager",IF(BR808="-","Nicht im Lift",IF(AH808&gt;=1,"Lift",IF(AH808&lt;=0,"Aussenlager","teilweise")))))</f>
        <v/>
      </c>
      <c r="AZ808" s="53">
        <f>IF(AK808&lt;=0,"",IF(BR808="Aussen","Aussenlager",IF(BR808="-","Nicht im Lift",IF(AP808&gt;=1,"Lift",IF(AP808&lt;=0,"Aussenlager","teilweise")))))</f>
        <v/>
      </c>
      <c r="BA808" s="53">
        <f>IF(AS808&lt;=0,"",IF(BR808="Aussen","Aussenlager",IF(BR808="-","Nicht im Lift",IF(AX808&gt;=1,"Lift",IF(AX808&lt;=0,"Aussenlager","teilweise")))))</f>
        <v/>
      </c>
      <c r="BB808" s="53">
        <f>IF(A808="","",IF(BK808=1,"Neu; ","")&amp;IF(AND(BK808=0,BF808&lt;0),"negativer Bestand (Export "&amp;BF808&amp;"); ","")&amp;IF(I808&lt;=0,"Kein Verbrauch; ","")&amp;IF(BO808=1,"Lose – Fläche geschätzt; ","")&amp;IF(G808&gt;AM808,"Überbestand "&amp;ROUND(G808-AM808,0)&amp;" Stk / CHF "&amp;ROUND((G808-AM808)*F808,0)&amp;"; ","")&amp;IF(AND(BT808=1,BU808&lt;BV808),"MAX &lt; MB+LG; ","")&amp;IF(AND(BZ808&gt;0,BY808*10&gt;BZ808),"zu hoch für Tablar; ","")&amp;IF(AND(BK808=0,OR(BT808=1,V808&lt;&gt;"",S808&lt;&gt;"",T808&lt;&gt;"",W808&lt;&gt;"")),"manuell übersteuert; ","")&amp;IF(AND(BO808=0,Q808=0),"Gebinde unbekannt; ","")&amp;IF(AND(BO808=0,N(T808)&lt;=0,N(P808)&lt;=0),"Menge pro Gebinde fehlt (Ist = 1 Gebinde); ","")&amp;BJ808)</f>
        <v/>
      </c>
      <c r="BC808" s="53" t="n"/>
      <c r="BD808" s="53" t="n"/>
      <c r="BE808" s="61" t="n"/>
      <c r="BF808" s="55" t="n">
        <v>-24</v>
      </c>
      <c r="BG808" s="55" t="n">
        <v>24</v>
      </c>
      <c r="BH808" s="54" t="n">
        <v>-5.760000000000002</v>
      </c>
      <c r="BI808" s="55" t="n">
        <v>4</v>
      </c>
      <c r="BJ808" s="53" t="inlineStr"/>
      <c r="BK808" s="58" t="n">
        <v>0</v>
      </c>
      <c r="BL808" s="58" t="n">
        <v>808</v>
      </c>
      <c r="BM808" s="53">
        <f>IF(S808&lt;&gt;"",UPPER(TRIM(S808)),IF(O808="","LOSE",O808))</f>
        <v/>
      </c>
      <c r="BN808" s="55">
        <f>IF(BM808="LOSE",1,IF(N(T808)&gt;0,T808,IF(N(P808)&gt;0,P808,MAX(1,G808))))</f>
        <v/>
      </c>
      <c r="BO808" s="58">
        <f>IF(BM808="LOSE",1,0)</f>
        <v/>
      </c>
      <c r="BP808" s="64">
        <f>IF(BO808=0,0,IF(N(R808)&gt;0,R808,IFERROR(VLOOKUP(D808,Parameter!$A$35:$C$64,3,0)+0,0)))</f>
        <v/>
      </c>
      <c r="BQ808" s="53">
        <f>IF(V808&lt;&gt;"",V808,U808)</f>
        <v/>
      </c>
      <c r="BR808" s="53">
        <f>IF(BQ808=1,"L1",IF(OR(BQ808=2,BQ808=3),"L23",IF(BQ808="Aussen","Aussen","-")))</f>
        <v/>
      </c>
      <c r="BS808" s="66">
        <f>IF(N(W808)&gt;0,W808,0)</f>
        <v/>
      </c>
      <c r="BT808" s="58">
        <f>IF(ISNUMBER(Z808),1,0)</f>
        <v/>
      </c>
      <c r="BU808" s="55">
        <f>N(Z808)</f>
        <v/>
      </c>
      <c r="BV808" s="55">
        <f>N(L808)+N(M808)</f>
        <v/>
      </c>
      <c r="BW808" s="55">
        <f>ROUNDUP(G808/BN808,0)</f>
        <v/>
      </c>
      <c r="BX808" s="55">
        <f>ROUNDUP(BU808/BN808,0)</f>
        <v/>
      </c>
      <c r="BY808" s="58">
        <f>IF(BO808=1,0,IFERROR(VLOOKUP(BM808,'Gebinde-Kategorie'!$A$5:$G$45,5,0)+0,0))</f>
        <v/>
      </c>
      <c r="BZ808" s="58">
        <f>IFERROR(IF(OR(BQ808=1,BQ808=2,BQ808=3),N(INDEX(Parameter!$I$5:$I$7,BQ808)),0),0)</f>
        <v/>
      </c>
    </row>
    <row r="809">
      <c r="A809" s="53" t="inlineStr">
        <is>
          <t>105885</t>
        </is>
      </c>
      <c r="B809" s="53" t="inlineStr">
        <is>
          <t>Zylinderschraube mit Innensechskant</t>
        </is>
      </c>
      <c r="C809" s="53" t="inlineStr">
        <is>
          <t>G</t>
        </is>
      </c>
      <c r="D809" s="53" t="inlineStr">
        <is>
          <t>KTL</t>
        </is>
      </c>
      <c r="E809" s="53" t="inlineStr">
        <is>
          <t>C</t>
        </is>
      </c>
      <c r="F809" s="54" t="n">
        <v>0.03</v>
      </c>
      <c r="G809" s="55">
        <f>MAX(0,IF(Parameter!$B$20="Jahresanfang 2025 + Export",BG809+BF809,BF809))</f>
        <v/>
      </c>
      <c r="H809" s="55">
        <f>G809*F809</f>
        <v/>
      </c>
      <c r="I809" s="55">
        <f>BI809*Parameter!$B$18</f>
        <v/>
      </c>
      <c r="J809" s="56" t="n">
        <v>196</v>
      </c>
      <c r="K809" s="57" t="n">
        <v>1</v>
      </c>
      <c r="L809" s="55" t="n">
        <v>7</v>
      </c>
      <c r="M809" s="55" t="n">
        <v>195</v>
      </c>
      <c r="N809" s="58" t="n">
        <v>14</v>
      </c>
      <c r="O809" s="53" t="inlineStr">
        <is>
          <t>LOSE</t>
        </is>
      </c>
      <c r="P809" s="55" t="n"/>
      <c r="Q809" s="59">
        <f>IF(BO809=1,0,IFERROR(VLOOKUP(BM809,'Gebinde-Kategorie'!$A$5:$G$45,6,0)+0,0))</f>
        <v/>
      </c>
      <c r="R809" s="60" t="n"/>
      <c r="S809" s="61" t="n"/>
      <c r="T809" s="61" t="n"/>
      <c r="U809" s="53">
        <f>IF(A809="","",IF(IFERROR(VLOOKUP(D809,Parameter!$A$35:$C$64,2,0),"Nein")="2+3",IF(ISNUMBER(SEARCH("grosser Artikel",BJ809)),2,IFERROR(VLOOKUP(BM809,Parameter!$F$35:$G$64,2,0),2)),IF(OR(IFERROR(VLOOKUP(D809,Parameter!$A$35:$C$64,2,0),"Nein")="Nein",IFERROR(VLOOKUP(D809,Parameter!$A$35:$C$64,2,0),"Nein")=""),"-",VLOOKUP(D809,Parameter!$A$35:$C$64,2,0))))</f>
        <v/>
      </c>
      <c r="V809" s="61" t="n"/>
      <c r="W809" s="62" t="n"/>
      <c r="X809" s="55">
        <f>AM809</f>
        <v/>
      </c>
      <c r="Y809" s="55">
        <f>MAX(AM809,G809)</f>
        <v/>
      </c>
      <c r="Z809" s="63" t="n"/>
      <c r="AA809" s="55">
        <f>IF(LEFT(Cockpit!$C$5,1)="A",G809,IF(BT809=1,BU809,IF(LEFT(Cockpit!$C$5,1)="B",AE809,MAX(AE809,G809))))</f>
        <v/>
      </c>
      <c r="AB809" s="55">
        <f>IF(BO809=1,0,ROUNDUP(AA809/BN809,0))</f>
        <v/>
      </c>
      <c r="AC809" s="64">
        <f>IF(BO809=1,IF(AA809&lt;=0,0,BP809*MAX(1,IF(G809&gt;0,AA809/G809,1))),AB809*Q809)</f>
        <v/>
      </c>
      <c r="AD809" s="55">
        <f>AA809*F809</f>
        <v/>
      </c>
      <c r="AE809" s="55">
        <f>ROUNDUP(MAX(I809/IF(BS809&gt;0,BS809,MAX(0.1,N(Cockpit!$C$6))),BV809)/BN809,0)*BN809</f>
        <v/>
      </c>
      <c r="AF809" s="56">
        <f>IF(AC809&gt;0,I809/AC809,-1)</f>
        <v/>
      </c>
      <c r="AG809" s="56">
        <f>IF(AND(OR(BR809="L1",BR809="L23"),AC809&gt;0),SUMIFS($AC$7:$AC$1570,$BR$7:$BR$1570,BR809,$AF$7:$AF$1570,"&gt;"&amp;AF809)+SUMIFS($AC$7:$AC$1570,$BR$7:$BR$1570,BR809,$AF$7:$AF$1570,AF809,$BL$7:$BL$1570,"&lt;="&amp;BL809),"")</f>
        <v/>
      </c>
      <c r="AH809" s="65">
        <f>IF(AG809="",0,MAX(0,MIN(1,(IF(BR809="L1",Parameter!$K$5,Parameter!$K$6+Parameter!$K$7)-(AG809-AC809))/AC809)))</f>
        <v/>
      </c>
      <c r="AI809" s="55">
        <f>IF(LEFT(Cockpit!$I$5,1)="A",G809,IF(BT809=1,BU809,IF(LEFT(Cockpit!$I$5,1)="B",AM809,MAX(AM809,G809))))</f>
        <v/>
      </c>
      <c r="AJ809" s="55">
        <f>IF(BO809=1,0,ROUNDUP(AI809/BN809,0))</f>
        <v/>
      </c>
      <c r="AK809" s="64">
        <f>IF(BO809=1,IF(AI809&lt;=0,0,BP809*MAX(1,IF(G809&gt;0,AI809/G809,1))),AJ809*Q809)</f>
        <v/>
      </c>
      <c r="AL809" s="55">
        <f>AI809*F809</f>
        <v/>
      </c>
      <c r="AM809" s="55">
        <f>ROUNDUP(MAX(I809/IF(BS809&gt;0,BS809,MAX(0.1,N(Cockpit!$I$6))),BV809)/BN809,0)*BN809</f>
        <v/>
      </c>
      <c r="AN809" s="56">
        <f>IF(AK809&gt;0,I809/AK809,-1)</f>
        <v/>
      </c>
      <c r="AO809" s="56">
        <f>IF(AND(OR(BR809="L1",BR809="L23"),AK809&gt;0),SUMIFS($AK$7:$AK$1570,$BR$7:$BR$1570,BR809,$AN$7:$AN$1570,"&gt;"&amp;AN809)+SUMIFS($AK$7:$AK$1570,$BR$7:$BR$1570,BR809,$AN$7:$AN$1570,AN809,$BL$7:$BL$1570,"&lt;="&amp;BL809),"")</f>
        <v/>
      </c>
      <c r="AP809" s="65">
        <f>IF(AO809="",0,MAX(0,MIN(1,(IF(BR809="L1",Parameter!$K$5,Parameter!$K$6+Parameter!$K$7)-(AO809-AK809))/AK809)))</f>
        <v/>
      </c>
      <c r="AQ809" s="55">
        <f>IF(LEFT(Cockpit!$O$5,1)="A",G809,IF(BT809=1,BU809,IF(LEFT(Cockpit!$O$5,1)="B",AU809,MAX(AU809,G809))))</f>
        <v/>
      </c>
      <c r="AR809" s="55">
        <f>IF(BO809=1,0,ROUNDUP(AQ809/BN809,0))</f>
        <v/>
      </c>
      <c r="AS809" s="64">
        <f>IF(BO809=1,IF(AQ809&lt;=0,0,BP809*MAX(1,IF(G809&gt;0,AQ809/G809,1))),AR809*Q809)</f>
        <v/>
      </c>
      <c r="AT809" s="55">
        <f>AQ809*F809</f>
        <v/>
      </c>
      <c r="AU809" s="55">
        <f>ROUNDUP(MAX(I809/IF(BS809&gt;0,BS809,MAX(0.1,N(Cockpit!$O$6))),BV809)/BN809,0)*BN809</f>
        <v/>
      </c>
      <c r="AV809" s="56">
        <f>IF(AS809&gt;0,I809/AS809,-1)</f>
        <v/>
      </c>
      <c r="AW809" s="56">
        <f>IF(AND(OR(BR809="L1",BR809="L23"),AS809&gt;0),SUMIFS($AS$7:$AS$1570,$BR$7:$BR$1570,BR809,$AV$7:$AV$1570,"&gt;"&amp;AV809)+SUMIFS($AS$7:$AS$1570,$BR$7:$BR$1570,BR809,$AV$7:$AV$1570,AV809,$BL$7:$BL$1570,"&lt;="&amp;BL809),"")</f>
        <v/>
      </c>
      <c r="AX809" s="65">
        <f>IF(AW809="",0,MAX(0,MIN(1,(IF(BR809="L1",Parameter!$K$5,Parameter!$K$6+Parameter!$K$7)-(AW809-AS809))/AS809)))</f>
        <v/>
      </c>
      <c r="AY809" s="53">
        <f>IF(AC809&lt;=0,"",IF(BR809="Aussen","Aussenlager",IF(BR809="-","Nicht im Lift",IF(AH809&gt;=1,"Lift",IF(AH809&lt;=0,"Aussenlager","teilweise")))))</f>
        <v/>
      </c>
      <c r="AZ809" s="53">
        <f>IF(AK809&lt;=0,"",IF(BR809="Aussen","Aussenlager",IF(BR809="-","Nicht im Lift",IF(AP809&gt;=1,"Lift",IF(AP809&lt;=0,"Aussenlager","teilweise")))))</f>
        <v/>
      </c>
      <c r="BA809" s="53">
        <f>IF(AS809&lt;=0,"",IF(BR809="Aussen","Aussenlager",IF(BR809="-","Nicht im Lift",IF(AX809&gt;=1,"Lift",IF(AX809&lt;=0,"Aussenlager","teilweise")))))</f>
        <v/>
      </c>
      <c r="BB809" s="53">
        <f>IF(A809="","",IF(BK809=1,"Neu; ","")&amp;IF(AND(BK809=0,BF809&lt;0),"negativer Bestand (Export "&amp;BF809&amp;"); ","")&amp;IF(I809&lt;=0,"Kein Verbrauch; ","")&amp;IF(BO809=1,"Lose – Fläche geschätzt; ","")&amp;IF(G809&gt;AM809,"Überbestand "&amp;ROUND(G809-AM809,0)&amp;" Stk / CHF "&amp;ROUND((G809-AM809)*F809,0)&amp;"; ","")&amp;IF(AND(BT809=1,BU809&lt;BV809),"MAX &lt; MB+LG; ","")&amp;IF(AND(BZ809&gt;0,BY809*10&gt;BZ809),"zu hoch für Tablar; ","")&amp;IF(AND(BK809=0,OR(BT809=1,V809&lt;&gt;"",S809&lt;&gt;"",T809&lt;&gt;"",W809&lt;&gt;"")),"manuell übersteuert; ","")&amp;IF(AND(BO809=0,Q809=0),"Gebinde unbekannt; ","")&amp;IF(AND(BO809=0,N(T809)&lt;=0,N(P809)&lt;=0),"Menge pro Gebinde fehlt (Ist = 1 Gebinde); ","")&amp;BJ809)</f>
        <v/>
      </c>
      <c r="BC809" s="53" t="n"/>
      <c r="BD809" s="53" t="n"/>
      <c r="BE809" s="61" t="n"/>
      <c r="BF809" s="55" t="n">
        <v>-196</v>
      </c>
      <c r="BG809" s="55" t="n">
        <v>392</v>
      </c>
      <c r="BH809" s="54" t="n">
        <v>-5.88</v>
      </c>
      <c r="BI809" s="55" t="n">
        <v>196</v>
      </c>
      <c r="BJ809" s="53" t="inlineStr"/>
      <c r="BK809" s="58" t="n">
        <v>0</v>
      </c>
      <c r="BL809" s="58" t="n">
        <v>809</v>
      </c>
      <c r="BM809" s="53">
        <f>IF(S809&lt;&gt;"",UPPER(TRIM(S809)),IF(O809="","LOSE",O809))</f>
        <v/>
      </c>
      <c r="BN809" s="55">
        <f>IF(BM809="LOSE",1,IF(N(T809)&gt;0,T809,IF(N(P809)&gt;0,P809,MAX(1,G809))))</f>
        <v/>
      </c>
      <c r="BO809" s="58">
        <f>IF(BM809="LOSE",1,0)</f>
        <v/>
      </c>
      <c r="BP809" s="64">
        <f>IF(BO809=0,0,IF(N(R809)&gt;0,R809,IFERROR(VLOOKUP(D809,Parameter!$A$35:$C$64,3,0)+0,0)))</f>
        <v/>
      </c>
      <c r="BQ809" s="53">
        <f>IF(V809&lt;&gt;"",V809,U809)</f>
        <v/>
      </c>
      <c r="BR809" s="53">
        <f>IF(BQ809=1,"L1",IF(OR(BQ809=2,BQ809=3),"L23",IF(BQ809="Aussen","Aussen","-")))</f>
        <v/>
      </c>
      <c r="BS809" s="66">
        <f>IF(N(W809)&gt;0,W809,0)</f>
        <v/>
      </c>
      <c r="BT809" s="58">
        <f>IF(ISNUMBER(Z809),1,0)</f>
        <v/>
      </c>
      <c r="BU809" s="55">
        <f>N(Z809)</f>
        <v/>
      </c>
      <c r="BV809" s="55">
        <f>N(L809)+N(M809)</f>
        <v/>
      </c>
      <c r="BW809" s="55">
        <f>ROUNDUP(G809/BN809,0)</f>
        <v/>
      </c>
      <c r="BX809" s="55">
        <f>ROUNDUP(BU809/BN809,0)</f>
        <v/>
      </c>
      <c r="BY809" s="58">
        <f>IF(BO809=1,0,IFERROR(VLOOKUP(BM809,'Gebinde-Kategorie'!$A$5:$G$45,5,0)+0,0))</f>
        <v/>
      </c>
      <c r="BZ809" s="58">
        <f>IFERROR(IF(OR(BQ809=1,BQ809=2,BQ809=3),N(INDEX(Parameter!$I$5:$I$7,BQ809)),0),0)</f>
        <v/>
      </c>
    </row>
    <row r="810">
      <c r="A810" s="53" t="inlineStr">
        <is>
          <t>001157</t>
        </is>
      </c>
      <c r="B810" s="53" t="inlineStr">
        <is>
          <t>Kabelbinder schwarz</t>
        </is>
      </c>
      <c r="C810" s="53" t="inlineStr">
        <is>
          <t>F</t>
        </is>
      </c>
      <c r="D810" s="53" t="inlineStr">
        <is>
          <t>KTL</t>
        </is>
      </c>
      <c r="E810" s="53" t="inlineStr">
        <is>
          <t>C</t>
        </is>
      </c>
      <c r="F810" s="54" t="n">
        <v>0.06</v>
      </c>
      <c r="G810" s="55">
        <f>MAX(0,IF(Parameter!$B$20="Jahresanfang 2025 + Export",BG810+BF810,BF810))</f>
        <v/>
      </c>
      <c r="H810" s="55">
        <f>G810*F810</f>
        <v/>
      </c>
      <c r="I810" s="55">
        <f>BI810*Parameter!$B$18</f>
        <v/>
      </c>
      <c r="J810" s="56" t="n">
        <v>600</v>
      </c>
      <c r="K810" s="57" t="n">
        <v>6.166666666666667</v>
      </c>
      <c r="L810" s="55" t="n">
        <v>1</v>
      </c>
      <c r="M810" s="55" t="n">
        <v>3700</v>
      </c>
      <c r="N810" s="58" t="n">
        <v>14</v>
      </c>
      <c r="O810" s="53" t="inlineStr">
        <is>
          <t>S51</t>
        </is>
      </c>
      <c r="P810" s="55" t="n">
        <v>855</v>
      </c>
      <c r="Q810" s="59">
        <f>IF(BO810=1,0,IFERROR(VLOOKUP(BM810,'Gebinde-Kategorie'!$A$5:$G$45,6,0)+0,0))</f>
        <v/>
      </c>
      <c r="R810" s="60" t="n"/>
      <c r="S810" s="61" t="n"/>
      <c r="T810" s="61" t="n"/>
      <c r="U810" s="53">
        <f>IF(A810="","",IF(IFERROR(VLOOKUP(D810,Parameter!$A$35:$C$64,2,0),"Nein")="2+3",IF(ISNUMBER(SEARCH("grosser Artikel",BJ810)),2,IFERROR(VLOOKUP(BM810,Parameter!$F$35:$G$64,2,0),2)),IF(OR(IFERROR(VLOOKUP(D810,Parameter!$A$35:$C$64,2,0),"Nein")="Nein",IFERROR(VLOOKUP(D810,Parameter!$A$35:$C$64,2,0),"Nein")=""),"-",VLOOKUP(D810,Parameter!$A$35:$C$64,2,0))))</f>
        <v/>
      </c>
      <c r="V810" s="61" t="n"/>
      <c r="W810" s="62" t="n"/>
      <c r="X810" s="55">
        <f>AM810</f>
        <v/>
      </c>
      <c r="Y810" s="55">
        <f>MAX(AM810,G810)</f>
        <v/>
      </c>
      <c r="Z810" s="63" t="n"/>
      <c r="AA810" s="55">
        <f>IF(LEFT(Cockpit!$C$5,1)="A",G810,IF(BT810=1,BU810,IF(LEFT(Cockpit!$C$5,1)="B",AE810,MAX(AE810,G810))))</f>
        <v/>
      </c>
      <c r="AB810" s="55">
        <f>IF(BO810=1,0,ROUNDUP(AA810/BN810,0))</f>
        <v/>
      </c>
      <c r="AC810" s="64">
        <f>IF(BO810=1,IF(AA810&lt;=0,0,BP810*MAX(1,IF(G810&gt;0,AA810/G810,1))),AB810*Q810)</f>
        <v/>
      </c>
      <c r="AD810" s="55">
        <f>AA810*F810</f>
        <v/>
      </c>
      <c r="AE810" s="55">
        <f>ROUNDUP(MAX(I810/IF(BS810&gt;0,BS810,MAX(0.1,N(Cockpit!$C$6))),BV810)/BN810,0)*BN810</f>
        <v/>
      </c>
      <c r="AF810" s="56">
        <f>IF(AC810&gt;0,I810/AC810,-1)</f>
        <v/>
      </c>
      <c r="AG810" s="56">
        <f>IF(AND(OR(BR810="L1",BR810="L23"),AC810&gt;0),SUMIFS($AC$7:$AC$1570,$BR$7:$BR$1570,BR810,$AF$7:$AF$1570,"&gt;"&amp;AF810)+SUMIFS($AC$7:$AC$1570,$BR$7:$BR$1570,BR810,$AF$7:$AF$1570,AF810,$BL$7:$BL$1570,"&lt;="&amp;BL810),"")</f>
        <v/>
      </c>
      <c r="AH810" s="65">
        <f>IF(AG810="",0,MAX(0,MIN(1,(IF(BR810="L1",Parameter!$K$5,Parameter!$K$6+Parameter!$K$7)-(AG810-AC810))/AC810)))</f>
        <v/>
      </c>
      <c r="AI810" s="55">
        <f>IF(LEFT(Cockpit!$I$5,1)="A",G810,IF(BT810=1,BU810,IF(LEFT(Cockpit!$I$5,1)="B",AM810,MAX(AM810,G810))))</f>
        <v/>
      </c>
      <c r="AJ810" s="55">
        <f>IF(BO810=1,0,ROUNDUP(AI810/BN810,0))</f>
        <v/>
      </c>
      <c r="AK810" s="64">
        <f>IF(BO810=1,IF(AI810&lt;=0,0,BP810*MAX(1,IF(G810&gt;0,AI810/G810,1))),AJ810*Q810)</f>
        <v/>
      </c>
      <c r="AL810" s="55">
        <f>AI810*F810</f>
        <v/>
      </c>
      <c r="AM810" s="55">
        <f>ROUNDUP(MAX(I810/IF(BS810&gt;0,BS810,MAX(0.1,N(Cockpit!$I$6))),BV810)/BN810,0)*BN810</f>
        <v/>
      </c>
      <c r="AN810" s="56">
        <f>IF(AK810&gt;0,I810/AK810,-1)</f>
        <v/>
      </c>
      <c r="AO810" s="56">
        <f>IF(AND(OR(BR810="L1",BR810="L23"),AK810&gt;0),SUMIFS($AK$7:$AK$1570,$BR$7:$BR$1570,BR810,$AN$7:$AN$1570,"&gt;"&amp;AN810)+SUMIFS($AK$7:$AK$1570,$BR$7:$BR$1570,BR810,$AN$7:$AN$1570,AN810,$BL$7:$BL$1570,"&lt;="&amp;BL810),"")</f>
        <v/>
      </c>
      <c r="AP810" s="65">
        <f>IF(AO810="",0,MAX(0,MIN(1,(IF(BR810="L1",Parameter!$K$5,Parameter!$K$6+Parameter!$K$7)-(AO810-AK810))/AK810)))</f>
        <v/>
      </c>
      <c r="AQ810" s="55">
        <f>IF(LEFT(Cockpit!$O$5,1)="A",G810,IF(BT810=1,BU810,IF(LEFT(Cockpit!$O$5,1)="B",AU810,MAX(AU810,G810))))</f>
        <v/>
      </c>
      <c r="AR810" s="55">
        <f>IF(BO810=1,0,ROUNDUP(AQ810/BN810,0))</f>
        <v/>
      </c>
      <c r="AS810" s="64">
        <f>IF(BO810=1,IF(AQ810&lt;=0,0,BP810*MAX(1,IF(G810&gt;0,AQ810/G810,1))),AR810*Q810)</f>
        <v/>
      </c>
      <c r="AT810" s="55">
        <f>AQ810*F810</f>
        <v/>
      </c>
      <c r="AU810" s="55">
        <f>ROUNDUP(MAX(I810/IF(BS810&gt;0,BS810,MAX(0.1,N(Cockpit!$O$6))),BV810)/BN810,0)*BN810</f>
        <v/>
      </c>
      <c r="AV810" s="56">
        <f>IF(AS810&gt;0,I810/AS810,-1)</f>
        <v/>
      </c>
      <c r="AW810" s="56">
        <f>IF(AND(OR(BR810="L1",BR810="L23"),AS810&gt;0),SUMIFS($AS$7:$AS$1570,$BR$7:$BR$1570,BR810,$AV$7:$AV$1570,"&gt;"&amp;AV810)+SUMIFS($AS$7:$AS$1570,$BR$7:$BR$1570,BR810,$AV$7:$AV$1570,AV810,$BL$7:$BL$1570,"&lt;="&amp;BL810),"")</f>
        <v/>
      </c>
      <c r="AX810" s="65">
        <f>IF(AW810="",0,MAX(0,MIN(1,(IF(BR810="L1",Parameter!$K$5,Parameter!$K$6+Parameter!$K$7)-(AW810-AS810))/AS810)))</f>
        <v/>
      </c>
      <c r="AY810" s="53">
        <f>IF(AC810&lt;=0,"",IF(BR810="Aussen","Aussenlager",IF(BR810="-","Nicht im Lift",IF(AH810&gt;=1,"Lift",IF(AH810&lt;=0,"Aussenlager","teilweise")))))</f>
        <v/>
      </c>
      <c r="AZ810" s="53">
        <f>IF(AK810&lt;=0,"",IF(BR810="Aussen","Aussenlager",IF(BR810="-","Nicht im Lift",IF(AP810&gt;=1,"Lift",IF(AP810&lt;=0,"Aussenlager","teilweise")))))</f>
        <v/>
      </c>
      <c r="BA810" s="53">
        <f>IF(AS810&lt;=0,"",IF(BR810="Aussen","Aussenlager",IF(BR810="-","Nicht im Lift",IF(AX810&gt;=1,"Lift",IF(AX810&lt;=0,"Aussenlager","teilweise")))))</f>
        <v/>
      </c>
      <c r="BB810" s="53">
        <f>IF(A810="","",IF(BK810=1,"Neu; ","")&amp;IF(AND(BK810=0,BF810&lt;0),"negativer Bestand (Export "&amp;BF810&amp;"); ","")&amp;IF(I810&lt;=0,"Kein Verbrauch; ","")&amp;IF(BO810=1,"Lose – Fläche geschätzt; ","")&amp;IF(G810&gt;AM810,"Überbestand "&amp;ROUND(G810-AM810,0)&amp;" Stk / CHF "&amp;ROUND((G810-AM810)*F810,0)&amp;"; ","")&amp;IF(AND(BT810=1,BU810&lt;BV810),"MAX &lt; MB+LG; ","")&amp;IF(AND(BZ810&gt;0,BY810*10&gt;BZ810),"zu hoch für Tablar; ","")&amp;IF(AND(BK810=0,OR(BT810=1,V810&lt;&gt;"",S810&lt;&gt;"",T810&lt;&gt;"",W810&lt;&gt;"")),"manuell übersteuert; ","")&amp;IF(AND(BO810=0,Q810=0),"Gebinde unbekannt; ","")&amp;IF(AND(BO810=0,N(T810)&lt;=0,N(P810)&lt;=0),"Menge pro Gebinde fehlt (Ist = 1 Gebinde); ","")&amp;BJ810)</f>
        <v/>
      </c>
      <c r="BC810" s="53" t="n"/>
      <c r="BD810" s="53" t="n"/>
      <c r="BE810" s="61" t="n"/>
      <c r="BF810" s="55" t="n">
        <v>2097</v>
      </c>
      <c r="BG810" s="55" t="n">
        <v>600</v>
      </c>
      <c r="BH810" s="54" t="n">
        <v>-6.180000000000042</v>
      </c>
      <c r="BI810" s="55" t="n">
        <v>3700</v>
      </c>
      <c r="BJ810" s="53" t="inlineStr"/>
      <c r="BK810" s="58" t="n">
        <v>0</v>
      </c>
      <c r="BL810" s="58" t="n">
        <v>810</v>
      </c>
      <c r="BM810" s="53">
        <f>IF(S810&lt;&gt;"",UPPER(TRIM(S810)),IF(O810="","LOSE",O810))</f>
        <v/>
      </c>
      <c r="BN810" s="55">
        <f>IF(BM810="LOSE",1,IF(N(T810)&gt;0,T810,IF(N(P810)&gt;0,P810,MAX(1,G810))))</f>
        <v/>
      </c>
      <c r="BO810" s="58">
        <f>IF(BM810="LOSE",1,0)</f>
        <v/>
      </c>
      <c r="BP810" s="64">
        <f>IF(BO810=0,0,IF(N(R810)&gt;0,R810,IFERROR(VLOOKUP(D810,Parameter!$A$35:$C$64,3,0)+0,0)))</f>
        <v/>
      </c>
      <c r="BQ810" s="53">
        <f>IF(V810&lt;&gt;"",V810,U810)</f>
        <v/>
      </c>
      <c r="BR810" s="53">
        <f>IF(BQ810=1,"L1",IF(OR(BQ810=2,BQ810=3),"L23",IF(BQ810="Aussen","Aussen","-")))</f>
        <v/>
      </c>
      <c r="BS810" s="66">
        <f>IF(N(W810)&gt;0,W810,0)</f>
        <v/>
      </c>
      <c r="BT810" s="58">
        <f>IF(ISNUMBER(Z810),1,0)</f>
        <v/>
      </c>
      <c r="BU810" s="55">
        <f>N(Z810)</f>
        <v/>
      </c>
      <c r="BV810" s="55">
        <f>N(L810)+N(M810)</f>
        <v/>
      </c>
      <c r="BW810" s="55">
        <f>ROUNDUP(G810/BN810,0)</f>
        <v/>
      </c>
      <c r="BX810" s="55">
        <f>ROUNDUP(BU810/BN810,0)</f>
        <v/>
      </c>
      <c r="BY810" s="58">
        <f>IF(BO810=1,0,IFERROR(VLOOKUP(BM810,'Gebinde-Kategorie'!$A$5:$G$45,5,0)+0,0))</f>
        <v/>
      </c>
      <c r="BZ810" s="58">
        <f>IFERROR(IF(OR(BQ810=1,BQ810=2,BQ810=3),N(INDEX(Parameter!$I$5:$I$7,BQ810)),0),0)</f>
        <v/>
      </c>
    </row>
    <row r="811">
      <c r="A811" s="53" t="inlineStr">
        <is>
          <t>005704</t>
        </is>
      </c>
      <c r="B811" s="53" t="inlineStr">
        <is>
          <t>Klemmenabdeckung Hauptschalter</t>
        </is>
      </c>
      <c r="C811" s="53" t="inlineStr">
        <is>
          <t>F</t>
        </is>
      </c>
      <c r="D811" s="53" t="inlineStr">
        <is>
          <t>KTL</t>
        </is>
      </c>
      <c r="E811" s="53" t="inlineStr">
        <is>
          <t>C</t>
        </is>
      </c>
      <c r="F811" s="54" t="n">
        <v>3.36</v>
      </c>
      <c r="G811" s="55">
        <f>MAX(0,IF(Parameter!$B$20="Jahresanfang 2025 + Export",BG811+BF811,BF811))</f>
        <v/>
      </c>
      <c r="H811" s="55">
        <f>G811*F811</f>
        <v/>
      </c>
      <c r="I811" s="55">
        <f>BI811*Parameter!$B$18</f>
        <v/>
      </c>
      <c r="J811" s="56" t="n">
        <v>42.5</v>
      </c>
      <c r="K811" s="57" t="n">
        <v>0</v>
      </c>
      <c r="L811" s="55" t="n">
        <v>0</v>
      </c>
      <c r="M811" s="55" t="n">
        <v>1</v>
      </c>
      <c r="N811" s="58" t="n">
        <v>28</v>
      </c>
      <c r="O811" s="53" t="inlineStr">
        <is>
          <t>S32</t>
        </is>
      </c>
      <c r="P811" s="55" t="n">
        <v>17</v>
      </c>
      <c r="Q811" s="59">
        <f>IF(BO811=1,0,IFERROR(VLOOKUP(BM811,'Gebinde-Kategorie'!$A$5:$G$45,6,0)+0,0))</f>
        <v/>
      </c>
      <c r="R811" s="60" t="n"/>
      <c r="S811" s="61" t="n"/>
      <c r="T811" s="61" t="n"/>
      <c r="U811" s="53">
        <f>IF(A811="","",IF(IFERROR(VLOOKUP(D811,Parameter!$A$35:$C$64,2,0),"Nein")="2+3",IF(ISNUMBER(SEARCH("grosser Artikel",BJ811)),2,IFERROR(VLOOKUP(BM811,Parameter!$F$35:$G$64,2,0),2)),IF(OR(IFERROR(VLOOKUP(D811,Parameter!$A$35:$C$64,2,0),"Nein")="Nein",IFERROR(VLOOKUP(D811,Parameter!$A$35:$C$64,2,0),"Nein")=""),"-",VLOOKUP(D811,Parameter!$A$35:$C$64,2,0))))</f>
        <v/>
      </c>
      <c r="V811" s="61" t="n"/>
      <c r="W811" s="62" t="n"/>
      <c r="X811" s="55">
        <f>AM811</f>
        <v/>
      </c>
      <c r="Y811" s="55">
        <f>MAX(AM811,G811)</f>
        <v/>
      </c>
      <c r="Z811" s="63" t="n"/>
      <c r="AA811" s="55">
        <f>IF(LEFT(Cockpit!$C$5,1)="A",G811,IF(BT811=1,BU811,IF(LEFT(Cockpit!$C$5,1)="B",AE811,MAX(AE811,G811))))</f>
        <v/>
      </c>
      <c r="AB811" s="55">
        <f>IF(BO811=1,0,ROUNDUP(AA811/BN811,0))</f>
        <v/>
      </c>
      <c r="AC811" s="64">
        <f>IF(BO811=1,IF(AA811&lt;=0,0,BP811*MAX(1,IF(G811&gt;0,AA811/G811,1))),AB811*Q811)</f>
        <v/>
      </c>
      <c r="AD811" s="55">
        <f>AA811*F811</f>
        <v/>
      </c>
      <c r="AE811" s="55">
        <f>ROUNDUP(MAX(I811/IF(BS811&gt;0,BS811,MAX(0.1,N(Cockpit!$C$6))),BV811)/BN811,0)*BN811</f>
        <v/>
      </c>
      <c r="AF811" s="56">
        <f>IF(AC811&gt;0,I811/AC811,-1)</f>
        <v/>
      </c>
      <c r="AG811" s="56">
        <f>IF(AND(OR(BR811="L1",BR811="L23"),AC811&gt;0),SUMIFS($AC$7:$AC$1570,$BR$7:$BR$1570,BR811,$AF$7:$AF$1570,"&gt;"&amp;AF811)+SUMIFS($AC$7:$AC$1570,$BR$7:$BR$1570,BR811,$AF$7:$AF$1570,AF811,$BL$7:$BL$1570,"&lt;="&amp;BL811),"")</f>
        <v/>
      </c>
      <c r="AH811" s="65">
        <f>IF(AG811="",0,MAX(0,MIN(1,(IF(BR811="L1",Parameter!$K$5,Parameter!$K$6+Parameter!$K$7)-(AG811-AC811))/AC811)))</f>
        <v/>
      </c>
      <c r="AI811" s="55">
        <f>IF(LEFT(Cockpit!$I$5,1)="A",G811,IF(BT811=1,BU811,IF(LEFT(Cockpit!$I$5,1)="B",AM811,MAX(AM811,G811))))</f>
        <v/>
      </c>
      <c r="AJ811" s="55">
        <f>IF(BO811=1,0,ROUNDUP(AI811/BN811,0))</f>
        <v/>
      </c>
      <c r="AK811" s="64">
        <f>IF(BO811=1,IF(AI811&lt;=0,0,BP811*MAX(1,IF(G811&gt;0,AI811/G811,1))),AJ811*Q811)</f>
        <v/>
      </c>
      <c r="AL811" s="55">
        <f>AI811*F811</f>
        <v/>
      </c>
      <c r="AM811" s="55">
        <f>ROUNDUP(MAX(I811/IF(BS811&gt;0,BS811,MAX(0.1,N(Cockpit!$I$6))),BV811)/BN811,0)*BN811</f>
        <v/>
      </c>
      <c r="AN811" s="56">
        <f>IF(AK811&gt;0,I811/AK811,-1)</f>
        <v/>
      </c>
      <c r="AO811" s="56">
        <f>IF(AND(OR(BR811="L1",BR811="L23"),AK811&gt;0),SUMIFS($AK$7:$AK$1570,$BR$7:$BR$1570,BR811,$AN$7:$AN$1570,"&gt;"&amp;AN811)+SUMIFS($AK$7:$AK$1570,$BR$7:$BR$1570,BR811,$AN$7:$AN$1570,AN811,$BL$7:$BL$1570,"&lt;="&amp;BL811),"")</f>
        <v/>
      </c>
      <c r="AP811" s="65">
        <f>IF(AO811="",0,MAX(0,MIN(1,(IF(BR811="L1",Parameter!$K$5,Parameter!$K$6+Parameter!$K$7)-(AO811-AK811))/AK811)))</f>
        <v/>
      </c>
      <c r="AQ811" s="55">
        <f>IF(LEFT(Cockpit!$O$5,1)="A",G811,IF(BT811=1,BU811,IF(LEFT(Cockpit!$O$5,1)="B",AU811,MAX(AU811,G811))))</f>
        <v/>
      </c>
      <c r="AR811" s="55">
        <f>IF(BO811=1,0,ROUNDUP(AQ811/BN811,0))</f>
        <v/>
      </c>
      <c r="AS811" s="64">
        <f>IF(BO811=1,IF(AQ811&lt;=0,0,BP811*MAX(1,IF(G811&gt;0,AQ811/G811,1))),AR811*Q811)</f>
        <v/>
      </c>
      <c r="AT811" s="55">
        <f>AQ811*F811</f>
        <v/>
      </c>
      <c r="AU811" s="55">
        <f>ROUNDUP(MAX(I811/IF(BS811&gt;0,BS811,MAX(0.1,N(Cockpit!$O$6))),BV811)/BN811,0)*BN811</f>
        <v/>
      </c>
      <c r="AV811" s="56">
        <f>IF(AS811&gt;0,I811/AS811,-1)</f>
        <v/>
      </c>
      <c r="AW811" s="56">
        <f>IF(AND(OR(BR811="L1",BR811="L23"),AS811&gt;0),SUMIFS($AS$7:$AS$1570,$BR$7:$BR$1570,BR811,$AV$7:$AV$1570,"&gt;"&amp;AV811)+SUMIFS($AS$7:$AS$1570,$BR$7:$BR$1570,BR811,$AV$7:$AV$1570,AV811,$BL$7:$BL$1570,"&lt;="&amp;BL811),"")</f>
        <v/>
      </c>
      <c r="AX811" s="65">
        <f>IF(AW811="",0,MAX(0,MIN(1,(IF(BR811="L1",Parameter!$K$5,Parameter!$K$6+Parameter!$K$7)-(AW811-AS811))/AS811)))</f>
        <v/>
      </c>
      <c r="AY811" s="53">
        <f>IF(AC811&lt;=0,"",IF(BR811="Aussen","Aussenlager",IF(BR811="-","Nicht im Lift",IF(AH811&gt;=1,"Lift",IF(AH811&lt;=0,"Aussenlager","teilweise")))))</f>
        <v/>
      </c>
      <c r="AZ811" s="53">
        <f>IF(AK811&lt;=0,"",IF(BR811="Aussen","Aussenlager",IF(BR811="-","Nicht im Lift",IF(AP811&gt;=1,"Lift",IF(AP811&lt;=0,"Aussenlager","teilweise")))))</f>
        <v/>
      </c>
      <c r="BA811" s="53">
        <f>IF(AS811&lt;=0,"",IF(BR811="Aussen","Aussenlager",IF(BR811="-","Nicht im Lift",IF(AX811&gt;=1,"Lift",IF(AX811&lt;=0,"Aussenlager","teilweise")))))</f>
        <v/>
      </c>
      <c r="BB811" s="53">
        <f>IF(A811="","",IF(BK811=1,"Neu; ","")&amp;IF(AND(BK811=0,BF811&lt;0),"negativer Bestand (Export "&amp;BF811&amp;"); ","")&amp;IF(I811&lt;=0,"Kein Verbrauch; ","")&amp;IF(BO811=1,"Lose – Fläche geschätzt; ","")&amp;IF(G811&gt;AM811,"Überbestand "&amp;ROUND(G811-AM811,0)&amp;" Stk / CHF "&amp;ROUND((G811-AM811)*F811,0)&amp;"; ","")&amp;IF(AND(BT811=1,BU811&lt;BV811),"MAX &lt; MB+LG; ","")&amp;IF(AND(BZ811&gt;0,BY811*10&gt;BZ811),"zu hoch für Tablar; ","")&amp;IF(AND(BK811=0,OR(BT811=1,V811&lt;&gt;"",S811&lt;&gt;"",T811&lt;&gt;"",W811&lt;&gt;"")),"manuell übersteuert; ","")&amp;IF(AND(BO811=0,Q811=0),"Gebinde unbekannt; ","")&amp;IF(AND(BO811=0,N(T811)&lt;=0,N(P811)&lt;=0),"Menge pro Gebinde fehlt (Ist = 1 Gebinde); ","")&amp;BJ811)</f>
        <v/>
      </c>
      <c r="BC811" s="53" t="n"/>
      <c r="BD811" s="53" t="n"/>
      <c r="BE811" s="61" t="n"/>
      <c r="BF811" s="55" t="n">
        <v>-2</v>
      </c>
      <c r="BG811" s="55" t="n">
        <v>41</v>
      </c>
      <c r="BH811" s="54" t="n">
        <v>-6.720000000000004</v>
      </c>
      <c r="BI811" s="55" t="n">
        <v>0</v>
      </c>
      <c r="BJ811" s="53" t="inlineStr"/>
      <c r="BK811" s="58" t="n">
        <v>0</v>
      </c>
      <c r="BL811" s="58" t="n">
        <v>811</v>
      </c>
      <c r="BM811" s="53">
        <f>IF(S811&lt;&gt;"",UPPER(TRIM(S811)),IF(O811="","LOSE",O811))</f>
        <v/>
      </c>
      <c r="BN811" s="55">
        <f>IF(BM811="LOSE",1,IF(N(T811)&gt;0,T811,IF(N(P811)&gt;0,P811,MAX(1,G811))))</f>
        <v/>
      </c>
      <c r="BO811" s="58">
        <f>IF(BM811="LOSE",1,0)</f>
        <v/>
      </c>
      <c r="BP811" s="64">
        <f>IF(BO811=0,0,IF(N(R811)&gt;0,R811,IFERROR(VLOOKUP(D811,Parameter!$A$35:$C$64,3,0)+0,0)))</f>
        <v/>
      </c>
      <c r="BQ811" s="53">
        <f>IF(V811&lt;&gt;"",V811,U811)</f>
        <v/>
      </c>
      <c r="BR811" s="53">
        <f>IF(BQ811=1,"L1",IF(OR(BQ811=2,BQ811=3),"L23",IF(BQ811="Aussen","Aussen","-")))</f>
        <v/>
      </c>
      <c r="BS811" s="66">
        <f>IF(N(W811)&gt;0,W811,0)</f>
        <v/>
      </c>
      <c r="BT811" s="58">
        <f>IF(ISNUMBER(Z811),1,0)</f>
        <v/>
      </c>
      <c r="BU811" s="55">
        <f>N(Z811)</f>
        <v/>
      </c>
      <c r="BV811" s="55">
        <f>N(L811)+N(M811)</f>
        <v/>
      </c>
      <c r="BW811" s="55">
        <f>ROUNDUP(G811/BN811,0)</f>
        <v/>
      </c>
      <c r="BX811" s="55">
        <f>ROUNDUP(BU811/BN811,0)</f>
        <v/>
      </c>
      <c r="BY811" s="58">
        <f>IF(BO811=1,0,IFERROR(VLOOKUP(BM811,'Gebinde-Kategorie'!$A$5:$G$45,5,0)+0,0))</f>
        <v/>
      </c>
      <c r="BZ811" s="58">
        <f>IFERROR(IF(OR(BQ811=1,BQ811=2,BQ811=3),N(INDEX(Parameter!$I$5:$I$7,BQ811)),0),0)</f>
        <v/>
      </c>
    </row>
    <row r="812">
      <c r="A812" s="53" t="inlineStr">
        <is>
          <t>107004</t>
        </is>
      </c>
      <c r="B812" s="53" t="inlineStr">
        <is>
          <t>LED-Modul mit integrierter LED</t>
        </is>
      </c>
      <c r="C812" s="53" t="inlineStr">
        <is>
          <t>F</t>
        </is>
      </c>
      <c r="D812" s="53" t="inlineStr">
        <is>
          <t>KTL</t>
        </is>
      </c>
      <c r="E812" s="53" t="inlineStr">
        <is>
          <t>C</t>
        </is>
      </c>
      <c r="F812" s="54" t="n">
        <v>6.75</v>
      </c>
      <c r="G812" s="55">
        <f>MAX(0,IF(Parameter!$B$20="Jahresanfang 2025 + Export",BG812+BF812,BF812))</f>
        <v/>
      </c>
      <c r="H812" s="55">
        <f>G812*F812</f>
        <v/>
      </c>
      <c r="I812" s="55">
        <f>BI812*Parameter!$B$18</f>
        <v/>
      </c>
      <c r="J812" s="56" t="n">
        <v>5</v>
      </c>
      <c r="K812" s="57" t="n">
        <v>0</v>
      </c>
      <c r="L812" s="55" t="n">
        <v>0</v>
      </c>
      <c r="M812" s="55" t="n">
        <v>1</v>
      </c>
      <c r="N812" s="58" t="n">
        <v>42</v>
      </c>
      <c r="O812" s="53" t="inlineStr">
        <is>
          <t>S22</t>
        </is>
      </c>
      <c r="P812" s="55" t="n">
        <v>5</v>
      </c>
      <c r="Q812" s="59">
        <f>IF(BO812=1,0,IFERROR(VLOOKUP(BM812,'Gebinde-Kategorie'!$A$5:$G$45,6,0)+0,0))</f>
        <v/>
      </c>
      <c r="R812" s="60" t="n"/>
      <c r="S812" s="61" t="n"/>
      <c r="T812" s="61" t="n"/>
      <c r="U812" s="53">
        <f>IF(A812="","",IF(IFERROR(VLOOKUP(D812,Parameter!$A$35:$C$64,2,0),"Nein")="2+3",IF(ISNUMBER(SEARCH("grosser Artikel",BJ812)),2,IFERROR(VLOOKUP(BM812,Parameter!$F$35:$G$64,2,0),2)),IF(OR(IFERROR(VLOOKUP(D812,Parameter!$A$35:$C$64,2,0),"Nein")="Nein",IFERROR(VLOOKUP(D812,Parameter!$A$35:$C$64,2,0),"Nein")=""),"-",VLOOKUP(D812,Parameter!$A$35:$C$64,2,0))))</f>
        <v/>
      </c>
      <c r="V812" s="61" t="n"/>
      <c r="W812" s="62" t="n"/>
      <c r="X812" s="55">
        <f>AM812</f>
        <v/>
      </c>
      <c r="Y812" s="55">
        <f>MAX(AM812,G812)</f>
        <v/>
      </c>
      <c r="Z812" s="63" t="n"/>
      <c r="AA812" s="55">
        <f>IF(LEFT(Cockpit!$C$5,1)="A",G812,IF(BT812=1,BU812,IF(LEFT(Cockpit!$C$5,1)="B",AE812,MAX(AE812,G812))))</f>
        <v/>
      </c>
      <c r="AB812" s="55">
        <f>IF(BO812=1,0,ROUNDUP(AA812/BN812,0))</f>
        <v/>
      </c>
      <c r="AC812" s="64">
        <f>IF(BO812=1,IF(AA812&lt;=0,0,BP812*MAX(1,IF(G812&gt;0,AA812/G812,1))),AB812*Q812)</f>
        <v/>
      </c>
      <c r="AD812" s="55">
        <f>AA812*F812</f>
        <v/>
      </c>
      <c r="AE812" s="55">
        <f>ROUNDUP(MAX(I812/IF(BS812&gt;0,BS812,MAX(0.1,N(Cockpit!$C$6))),BV812)/BN812,0)*BN812</f>
        <v/>
      </c>
      <c r="AF812" s="56">
        <f>IF(AC812&gt;0,I812/AC812,-1)</f>
        <v/>
      </c>
      <c r="AG812" s="56">
        <f>IF(AND(OR(BR812="L1",BR812="L23"),AC812&gt;0),SUMIFS($AC$7:$AC$1570,$BR$7:$BR$1570,BR812,$AF$7:$AF$1570,"&gt;"&amp;AF812)+SUMIFS($AC$7:$AC$1570,$BR$7:$BR$1570,BR812,$AF$7:$AF$1570,AF812,$BL$7:$BL$1570,"&lt;="&amp;BL812),"")</f>
        <v/>
      </c>
      <c r="AH812" s="65">
        <f>IF(AG812="",0,MAX(0,MIN(1,(IF(BR812="L1",Parameter!$K$5,Parameter!$K$6+Parameter!$K$7)-(AG812-AC812))/AC812)))</f>
        <v/>
      </c>
      <c r="AI812" s="55">
        <f>IF(LEFT(Cockpit!$I$5,1)="A",G812,IF(BT812=1,BU812,IF(LEFT(Cockpit!$I$5,1)="B",AM812,MAX(AM812,G812))))</f>
        <v/>
      </c>
      <c r="AJ812" s="55">
        <f>IF(BO812=1,0,ROUNDUP(AI812/BN812,0))</f>
        <v/>
      </c>
      <c r="AK812" s="64">
        <f>IF(BO812=1,IF(AI812&lt;=0,0,BP812*MAX(1,IF(G812&gt;0,AI812/G812,1))),AJ812*Q812)</f>
        <v/>
      </c>
      <c r="AL812" s="55">
        <f>AI812*F812</f>
        <v/>
      </c>
      <c r="AM812" s="55">
        <f>ROUNDUP(MAX(I812/IF(BS812&gt;0,BS812,MAX(0.1,N(Cockpit!$I$6))),BV812)/BN812,0)*BN812</f>
        <v/>
      </c>
      <c r="AN812" s="56">
        <f>IF(AK812&gt;0,I812/AK812,-1)</f>
        <v/>
      </c>
      <c r="AO812" s="56">
        <f>IF(AND(OR(BR812="L1",BR812="L23"),AK812&gt;0),SUMIFS($AK$7:$AK$1570,$BR$7:$BR$1570,BR812,$AN$7:$AN$1570,"&gt;"&amp;AN812)+SUMIFS($AK$7:$AK$1570,$BR$7:$BR$1570,BR812,$AN$7:$AN$1570,AN812,$BL$7:$BL$1570,"&lt;="&amp;BL812),"")</f>
        <v/>
      </c>
      <c r="AP812" s="65">
        <f>IF(AO812="",0,MAX(0,MIN(1,(IF(BR812="L1",Parameter!$K$5,Parameter!$K$6+Parameter!$K$7)-(AO812-AK812))/AK812)))</f>
        <v/>
      </c>
      <c r="AQ812" s="55">
        <f>IF(LEFT(Cockpit!$O$5,1)="A",G812,IF(BT812=1,BU812,IF(LEFT(Cockpit!$O$5,1)="B",AU812,MAX(AU812,G812))))</f>
        <v/>
      </c>
      <c r="AR812" s="55">
        <f>IF(BO812=1,0,ROUNDUP(AQ812/BN812,0))</f>
        <v/>
      </c>
      <c r="AS812" s="64">
        <f>IF(BO812=1,IF(AQ812&lt;=0,0,BP812*MAX(1,IF(G812&gt;0,AQ812/G812,1))),AR812*Q812)</f>
        <v/>
      </c>
      <c r="AT812" s="55">
        <f>AQ812*F812</f>
        <v/>
      </c>
      <c r="AU812" s="55">
        <f>ROUNDUP(MAX(I812/IF(BS812&gt;0,BS812,MAX(0.1,N(Cockpit!$O$6))),BV812)/BN812,0)*BN812</f>
        <v/>
      </c>
      <c r="AV812" s="56">
        <f>IF(AS812&gt;0,I812/AS812,-1)</f>
        <v/>
      </c>
      <c r="AW812" s="56">
        <f>IF(AND(OR(BR812="L1",BR812="L23"),AS812&gt;0),SUMIFS($AS$7:$AS$1570,$BR$7:$BR$1570,BR812,$AV$7:$AV$1570,"&gt;"&amp;AV812)+SUMIFS($AS$7:$AS$1570,$BR$7:$BR$1570,BR812,$AV$7:$AV$1570,AV812,$BL$7:$BL$1570,"&lt;="&amp;BL812),"")</f>
        <v/>
      </c>
      <c r="AX812" s="65">
        <f>IF(AW812="",0,MAX(0,MIN(1,(IF(BR812="L1",Parameter!$K$5,Parameter!$K$6+Parameter!$K$7)-(AW812-AS812))/AS812)))</f>
        <v/>
      </c>
      <c r="AY812" s="53">
        <f>IF(AC812&lt;=0,"",IF(BR812="Aussen","Aussenlager",IF(BR812="-","Nicht im Lift",IF(AH812&gt;=1,"Lift",IF(AH812&lt;=0,"Aussenlager","teilweise")))))</f>
        <v/>
      </c>
      <c r="AZ812" s="53">
        <f>IF(AK812&lt;=0,"",IF(BR812="Aussen","Aussenlager",IF(BR812="-","Nicht im Lift",IF(AP812&gt;=1,"Lift",IF(AP812&lt;=0,"Aussenlager","teilweise")))))</f>
        <v/>
      </c>
      <c r="BA812" s="53">
        <f>IF(AS812&lt;=0,"",IF(BR812="Aussen","Aussenlager",IF(BR812="-","Nicht im Lift",IF(AX812&gt;=1,"Lift",IF(AX812&lt;=0,"Aussenlager","teilweise")))))</f>
        <v/>
      </c>
      <c r="BB812" s="53">
        <f>IF(A812="","",IF(BK812=1,"Neu; ","")&amp;IF(AND(BK812=0,BF812&lt;0),"negativer Bestand (Export "&amp;BF812&amp;"); ","")&amp;IF(I812&lt;=0,"Kein Verbrauch; ","")&amp;IF(BO812=1,"Lose – Fläche geschätzt; ","")&amp;IF(G812&gt;AM812,"Überbestand "&amp;ROUND(G812-AM812,0)&amp;" Stk / CHF "&amp;ROUND((G812-AM812)*F812,0)&amp;"; ","")&amp;IF(AND(BT812=1,BU812&lt;BV812),"MAX &lt; MB+LG; ","")&amp;IF(AND(BZ812&gt;0,BY812*10&gt;BZ812),"zu hoch für Tablar; ","")&amp;IF(AND(BK812=0,OR(BT812=1,V812&lt;&gt;"",S812&lt;&gt;"",T812&lt;&gt;"",W812&lt;&gt;"")),"manuell übersteuert; ","")&amp;IF(AND(BO812=0,Q812=0),"Gebinde unbekannt; ","")&amp;IF(AND(BO812=0,N(T812)&lt;=0,N(P812)&lt;=0),"Menge pro Gebinde fehlt (Ist = 1 Gebinde); ","")&amp;BJ812)</f>
        <v/>
      </c>
      <c r="BC812" s="53" t="n"/>
      <c r="BD812" s="53" t="n"/>
      <c r="BE812" s="61" t="n"/>
      <c r="BF812" s="55" t="n">
        <v>-1</v>
      </c>
      <c r="BG812" s="55" t="n">
        <v>5</v>
      </c>
      <c r="BH812" s="54" t="n">
        <v>-6.75</v>
      </c>
      <c r="BI812" s="55" t="n">
        <v>0</v>
      </c>
      <c r="BJ812" s="53" t="inlineStr"/>
      <c r="BK812" s="58" t="n">
        <v>0</v>
      </c>
      <c r="BL812" s="58" t="n">
        <v>812</v>
      </c>
      <c r="BM812" s="53">
        <f>IF(S812&lt;&gt;"",UPPER(TRIM(S812)),IF(O812="","LOSE",O812))</f>
        <v/>
      </c>
      <c r="BN812" s="55">
        <f>IF(BM812="LOSE",1,IF(N(T812)&gt;0,T812,IF(N(P812)&gt;0,P812,MAX(1,G812))))</f>
        <v/>
      </c>
      <c r="BO812" s="58">
        <f>IF(BM812="LOSE",1,0)</f>
        <v/>
      </c>
      <c r="BP812" s="64">
        <f>IF(BO812=0,0,IF(N(R812)&gt;0,R812,IFERROR(VLOOKUP(D812,Parameter!$A$35:$C$64,3,0)+0,0)))</f>
        <v/>
      </c>
      <c r="BQ812" s="53">
        <f>IF(V812&lt;&gt;"",V812,U812)</f>
        <v/>
      </c>
      <c r="BR812" s="53">
        <f>IF(BQ812=1,"L1",IF(OR(BQ812=2,BQ812=3),"L23",IF(BQ812="Aussen","Aussen","-")))</f>
        <v/>
      </c>
      <c r="BS812" s="66">
        <f>IF(N(W812)&gt;0,W812,0)</f>
        <v/>
      </c>
      <c r="BT812" s="58">
        <f>IF(ISNUMBER(Z812),1,0)</f>
        <v/>
      </c>
      <c r="BU812" s="55">
        <f>N(Z812)</f>
        <v/>
      </c>
      <c r="BV812" s="55">
        <f>N(L812)+N(M812)</f>
        <v/>
      </c>
      <c r="BW812" s="55">
        <f>ROUNDUP(G812/BN812,0)</f>
        <v/>
      </c>
      <c r="BX812" s="55">
        <f>ROUNDUP(BU812/BN812,0)</f>
        <v/>
      </c>
      <c r="BY812" s="58">
        <f>IF(BO812=1,0,IFERROR(VLOOKUP(BM812,'Gebinde-Kategorie'!$A$5:$G$45,5,0)+0,0))</f>
        <v/>
      </c>
      <c r="BZ812" s="58">
        <f>IFERROR(IF(OR(BQ812=1,BQ812=2,BQ812=3),N(INDEX(Parameter!$I$5:$I$7,BQ812)),0),0)</f>
        <v/>
      </c>
    </row>
    <row r="813">
      <c r="A813" s="53" t="inlineStr">
        <is>
          <t>105867</t>
        </is>
      </c>
      <c r="B813" s="53" t="inlineStr">
        <is>
          <t>Abdrückschraube</t>
        </is>
      </c>
      <c r="C813" s="53" t="inlineStr">
        <is>
          <t>F</t>
        </is>
      </c>
      <c r="D813" s="53" t="inlineStr">
        <is>
          <t>KTL</t>
        </is>
      </c>
      <c r="E813" s="53" t="inlineStr">
        <is>
          <t>C</t>
        </is>
      </c>
      <c r="F813" s="54" t="n">
        <v>0.14</v>
      </c>
      <c r="G813" s="55">
        <f>MAX(0,IF(Parameter!$B$20="Jahresanfang 2025 + Export",BG813+BF813,BF813))</f>
        <v/>
      </c>
      <c r="H813" s="55">
        <f>G813*F813</f>
        <v/>
      </c>
      <c r="I813" s="55">
        <f>BI813*Parameter!$B$18</f>
        <v/>
      </c>
      <c r="J813" s="56" t="n">
        <v>335</v>
      </c>
      <c r="K813" s="57" t="n">
        <v>0.1134328358208955</v>
      </c>
      <c r="L813" s="55" t="n">
        <v>2</v>
      </c>
      <c r="M813" s="55" t="n">
        <v>40</v>
      </c>
      <c r="N813" s="58" t="n">
        <v>21</v>
      </c>
      <c r="O813" s="53" t="inlineStr">
        <is>
          <t>S33</t>
        </is>
      </c>
      <c r="P813" s="55" t="n">
        <v>454</v>
      </c>
      <c r="Q813" s="59">
        <f>IF(BO813=1,0,IFERROR(VLOOKUP(BM813,'Gebinde-Kategorie'!$A$5:$G$45,6,0)+0,0))</f>
        <v/>
      </c>
      <c r="R813" s="60" t="n"/>
      <c r="S813" s="61" t="n"/>
      <c r="T813" s="61" t="n"/>
      <c r="U813" s="53">
        <f>IF(A813="","",IF(IFERROR(VLOOKUP(D813,Parameter!$A$35:$C$64,2,0),"Nein")="2+3",IF(ISNUMBER(SEARCH("grosser Artikel",BJ813)),2,IFERROR(VLOOKUP(BM813,Parameter!$F$35:$G$64,2,0),2)),IF(OR(IFERROR(VLOOKUP(D813,Parameter!$A$35:$C$64,2,0),"Nein")="Nein",IFERROR(VLOOKUP(D813,Parameter!$A$35:$C$64,2,0),"Nein")=""),"-",VLOOKUP(D813,Parameter!$A$35:$C$64,2,0))))</f>
        <v/>
      </c>
      <c r="V813" s="61" t="n"/>
      <c r="W813" s="62" t="n"/>
      <c r="X813" s="55">
        <f>AM813</f>
        <v/>
      </c>
      <c r="Y813" s="55">
        <f>MAX(AM813,G813)</f>
        <v/>
      </c>
      <c r="Z813" s="63" t="n"/>
      <c r="AA813" s="55">
        <f>IF(LEFT(Cockpit!$C$5,1)="A",G813,IF(BT813=1,BU813,IF(LEFT(Cockpit!$C$5,1)="B",AE813,MAX(AE813,G813))))</f>
        <v/>
      </c>
      <c r="AB813" s="55">
        <f>IF(BO813=1,0,ROUNDUP(AA813/BN813,0))</f>
        <v/>
      </c>
      <c r="AC813" s="64">
        <f>IF(BO813=1,IF(AA813&lt;=0,0,BP813*MAX(1,IF(G813&gt;0,AA813/G813,1))),AB813*Q813)</f>
        <v/>
      </c>
      <c r="AD813" s="55">
        <f>AA813*F813</f>
        <v/>
      </c>
      <c r="AE813" s="55">
        <f>ROUNDUP(MAX(I813/IF(BS813&gt;0,BS813,MAX(0.1,N(Cockpit!$C$6))),BV813)/BN813,0)*BN813</f>
        <v/>
      </c>
      <c r="AF813" s="56">
        <f>IF(AC813&gt;0,I813/AC813,-1)</f>
        <v/>
      </c>
      <c r="AG813" s="56">
        <f>IF(AND(OR(BR813="L1",BR813="L23"),AC813&gt;0),SUMIFS($AC$7:$AC$1570,$BR$7:$BR$1570,BR813,$AF$7:$AF$1570,"&gt;"&amp;AF813)+SUMIFS($AC$7:$AC$1570,$BR$7:$BR$1570,BR813,$AF$7:$AF$1570,AF813,$BL$7:$BL$1570,"&lt;="&amp;BL813),"")</f>
        <v/>
      </c>
      <c r="AH813" s="65">
        <f>IF(AG813="",0,MAX(0,MIN(1,(IF(BR813="L1",Parameter!$K$5,Parameter!$K$6+Parameter!$K$7)-(AG813-AC813))/AC813)))</f>
        <v/>
      </c>
      <c r="AI813" s="55">
        <f>IF(LEFT(Cockpit!$I$5,1)="A",G813,IF(BT813=1,BU813,IF(LEFT(Cockpit!$I$5,1)="B",AM813,MAX(AM813,G813))))</f>
        <v/>
      </c>
      <c r="AJ813" s="55">
        <f>IF(BO813=1,0,ROUNDUP(AI813/BN813,0))</f>
        <v/>
      </c>
      <c r="AK813" s="64">
        <f>IF(BO813=1,IF(AI813&lt;=0,0,BP813*MAX(1,IF(G813&gt;0,AI813/G813,1))),AJ813*Q813)</f>
        <v/>
      </c>
      <c r="AL813" s="55">
        <f>AI813*F813</f>
        <v/>
      </c>
      <c r="AM813" s="55">
        <f>ROUNDUP(MAX(I813/IF(BS813&gt;0,BS813,MAX(0.1,N(Cockpit!$I$6))),BV813)/BN813,0)*BN813</f>
        <v/>
      </c>
      <c r="AN813" s="56">
        <f>IF(AK813&gt;0,I813/AK813,-1)</f>
        <v/>
      </c>
      <c r="AO813" s="56">
        <f>IF(AND(OR(BR813="L1",BR813="L23"),AK813&gt;0),SUMIFS($AK$7:$AK$1570,$BR$7:$BR$1570,BR813,$AN$7:$AN$1570,"&gt;"&amp;AN813)+SUMIFS($AK$7:$AK$1570,$BR$7:$BR$1570,BR813,$AN$7:$AN$1570,AN813,$BL$7:$BL$1570,"&lt;="&amp;BL813),"")</f>
        <v/>
      </c>
      <c r="AP813" s="65">
        <f>IF(AO813="",0,MAX(0,MIN(1,(IF(BR813="L1",Parameter!$K$5,Parameter!$K$6+Parameter!$K$7)-(AO813-AK813))/AK813)))</f>
        <v/>
      </c>
      <c r="AQ813" s="55">
        <f>IF(LEFT(Cockpit!$O$5,1)="A",G813,IF(BT813=1,BU813,IF(LEFT(Cockpit!$O$5,1)="B",AU813,MAX(AU813,G813))))</f>
        <v/>
      </c>
      <c r="AR813" s="55">
        <f>IF(BO813=1,0,ROUNDUP(AQ813/BN813,0))</f>
        <v/>
      </c>
      <c r="AS813" s="64">
        <f>IF(BO813=1,IF(AQ813&lt;=0,0,BP813*MAX(1,IF(G813&gt;0,AQ813/G813,1))),AR813*Q813)</f>
        <v/>
      </c>
      <c r="AT813" s="55">
        <f>AQ813*F813</f>
        <v/>
      </c>
      <c r="AU813" s="55">
        <f>ROUNDUP(MAX(I813/IF(BS813&gt;0,BS813,MAX(0.1,N(Cockpit!$O$6))),BV813)/BN813,0)*BN813</f>
        <v/>
      </c>
      <c r="AV813" s="56">
        <f>IF(AS813&gt;0,I813/AS813,-1)</f>
        <v/>
      </c>
      <c r="AW813" s="56">
        <f>IF(AND(OR(BR813="L1",BR813="L23"),AS813&gt;0),SUMIFS($AS$7:$AS$1570,$BR$7:$BR$1570,BR813,$AV$7:$AV$1570,"&gt;"&amp;AV813)+SUMIFS($AS$7:$AS$1570,$BR$7:$BR$1570,BR813,$AV$7:$AV$1570,AV813,$BL$7:$BL$1570,"&lt;="&amp;BL813),"")</f>
        <v/>
      </c>
      <c r="AX813" s="65">
        <f>IF(AW813="",0,MAX(0,MIN(1,(IF(BR813="L1",Parameter!$K$5,Parameter!$K$6+Parameter!$K$7)-(AW813-AS813))/AS813)))</f>
        <v/>
      </c>
      <c r="AY813" s="53">
        <f>IF(AC813&lt;=0,"",IF(BR813="Aussen","Aussenlager",IF(BR813="-","Nicht im Lift",IF(AH813&gt;=1,"Lift",IF(AH813&lt;=0,"Aussenlager","teilweise")))))</f>
        <v/>
      </c>
      <c r="AZ813" s="53">
        <f>IF(AK813&lt;=0,"",IF(BR813="Aussen","Aussenlager",IF(BR813="-","Nicht im Lift",IF(AP813&gt;=1,"Lift",IF(AP813&lt;=0,"Aussenlager","teilweise")))))</f>
        <v/>
      </c>
      <c r="BA813" s="53">
        <f>IF(AS813&lt;=0,"",IF(BR813="Aussen","Aussenlager",IF(BR813="-","Nicht im Lift",IF(AX813&gt;=1,"Lift",IF(AX813&lt;=0,"Aussenlager","teilweise")))))</f>
        <v/>
      </c>
      <c r="BB813" s="53">
        <f>IF(A813="","",IF(BK813=1,"Neu; ","")&amp;IF(AND(BK813=0,BF813&lt;0),"negativer Bestand (Export "&amp;BF813&amp;"); ","")&amp;IF(I813&lt;=0,"Kein Verbrauch; ","")&amp;IF(BO813=1,"Lose – Fläche geschätzt; ","")&amp;IF(G813&gt;AM813,"Überbestand "&amp;ROUND(G813-AM813,0)&amp;" Stk / CHF "&amp;ROUND((G813-AM813)*F813,0)&amp;"; ","")&amp;IF(AND(BT813=1,BU813&lt;BV813),"MAX &lt; MB+LG; ","")&amp;IF(AND(BZ813&gt;0,BY813*10&gt;BZ813),"zu hoch für Tablar; ","")&amp;IF(AND(BK813=0,OR(BT813=1,V813&lt;&gt;"",S813&lt;&gt;"",T813&lt;&gt;"",W813&lt;&gt;"")),"manuell übersteuert; ","")&amp;IF(AND(BO813=0,Q813=0),"Gebinde unbekannt; ","")&amp;IF(AND(BO813=0,N(T813)&lt;=0,N(P813)&lt;=0),"Menge pro Gebinde fehlt (Ist = 1 Gebinde); ","")&amp;BJ813)</f>
        <v/>
      </c>
      <c r="BC813" s="53" t="n"/>
      <c r="BD813" s="53" t="n"/>
      <c r="BE813" s="61" t="n"/>
      <c r="BF813" s="55" t="n">
        <v>-51</v>
      </c>
      <c r="BG813" s="55" t="n">
        <v>354</v>
      </c>
      <c r="BH813" s="54" t="n">
        <v>-7.140000000000001</v>
      </c>
      <c r="BI813" s="55" t="n">
        <v>38</v>
      </c>
      <c r="BJ813" s="53" t="inlineStr">
        <is>
          <t>Überbestand</t>
        </is>
      </c>
      <c r="BK813" s="58" t="n">
        <v>0</v>
      </c>
      <c r="BL813" s="58" t="n">
        <v>813</v>
      </c>
      <c r="BM813" s="53">
        <f>IF(S813&lt;&gt;"",UPPER(TRIM(S813)),IF(O813="","LOSE",O813))</f>
        <v/>
      </c>
      <c r="BN813" s="55">
        <f>IF(BM813="LOSE",1,IF(N(T813)&gt;0,T813,IF(N(P813)&gt;0,P813,MAX(1,G813))))</f>
        <v/>
      </c>
      <c r="BO813" s="58">
        <f>IF(BM813="LOSE",1,0)</f>
        <v/>
      </c>
      <c r="BP813" s="64">
        <f>IF(BO813=0,0,IF(N(R813)&gt;0,R813,IFERROR(VLOOKUP(D813,Parameter!$A$35:$C$64,3,0)+0,0)))</f>
        <v/>
      </c>
      <c r="BQ813" s="53">
        <f>IF(V813&lt;&gt;"",V813,U813)</f>
        <v/>
      </c>
      <c r="BR813" s="53">
        <f>IF(BQ813=1,"L1",IF(OR(BQ813=2,BQ813=3),"L23",IF(BQ813="Aussen","Aussen","-")))</f>
        <v/>
      </c>
      <c r="BS813" s="66">
        <f>IF(N(W813)&gt;0,W813,0)</f>
        <v/>
      </c>
      <c r="BT813" s="58">
        <f>IF(ISNUMBER(Z813),1,0)</f>
        <v/>
      </c>
      <c r="BU813" s="55">
        <f>N(Z813)</f>
        <v/>
      </c>
      <c r="BV813" s="55">
        <f>N(L813)+N(M813)</f>
        <v/>
      </c>
      <c r="BW813" s="55">
        <f>ROUNDUP(G813/BN813,0)</f>
        <v/>
      </c>
      <c r="BX813" s="55">
        <f>ROUNDUP(BU813/BN813,0)</f>
        <v/>
      </c>
      <c r="BY813" s="58">
        <f>IF(BO813=1,0,IFERROR(VLOOKUP(BM813,'Gebinde-Kategorie'!$A$5:$G$45,5,0)+0,0))</f>
        <v/>
      </c>
      <c r="BZ813" s="58">
        <f>IFERROR(IF(OR(BQ813=1,BQ813=2,BQ813=3),N(INDEX(Parameter!$I$5:$I$7,BQ813)),0),0)</f>
        <v/>
      </c>
    </row>
    <row r="814">
      <c r="A814" s="53" t="inlineStr">
        <is>
          <t>005384</t>
        </is>
      </c>
      <c r="B814" s="53" t="inlineStr">
        <is>
          <t>Sechskant Stifteinsatz</t>
        </is>
      </c>
      <c r="C814" s="53" t="inlineStr">
        <is>
          <t>F</t>
        </is>
      </c>
      <c r="D814" s="53" t="inlineStr">
        <is>
          <t>KTL</t>
        </is>
      </c>
      <c r="E814" s="53" t="inlineStr">
        <is>
          <t>C</t>
        </is>
      </c>
      <c r="F814" s="54" t="n">
        <v>10.42</v>
      </c>
      <c r="G814" s="55">
        <f>MAX(0,IF(Parameter!$B$20="Jahresanfang 2025 + Export",BG814+BF814,BF814))</f>
        <v/>
      </c>
      <c r="H814" s="55">
        <f>G814*F814</f>
        <v/>
      </c>
      <c r="I814" s="55">
        <f>BI814*Parameter!$B$18</f>
        <v/>
      </c>
      <c r="J814" s="56" t="n">
        <v>8.5</v>
      </c>
      <c r="K814" s="57" t="n">
        <v>0.9411764705882353</v>
      </c>
      <c r="L814" s="55" t="n">
        <v>0</v>
      </c>
      <c r="M814" s="55" t="n">
        <v>10</v>
      </c>
      <c r="N814" s="58" t="n">
        <v>14</v>
      </c>
      <c r="O814" s="53" t="inlineStr">
        <is>
          <t>S22</t>
        </is>
      </c>
      <c r="P814" s="55" t="n">
        <v>15</v>
      </c>
      <c r="Q814" s="59">
        <f>IF(BO814=1,0,IFERROR(VLOOKUP(BM814,'Gebinde-Kategorie'!$A$5:$G$45,6,0)+0,0))</f>
        <v/>
      </c>
      <c r="R814" s="60" t="n"/>
      <c r="S814" s="61" t="n"/>
      <c r="T814" s="61" t="n"/>
      <c r="U814" s="53">
        <f>IF(A814="","",IF(IFERROR(VLOOKUP(D814,Parameter!$A$35:$C$64,2,0),"Nein")="2+3",IF(ISNUMBER(SEARCH("grosser Artikel",BJ814)),2,IFERROR(VLOOKUP(BM814,Parameter!$F$35:$G$64,2,0),2)),IF(OR(IFERROR(VLOOKUP(D814,Parameter!$A$35:$C$64,2,0),"Nein")="Nein",IFERROR(VLOOKUP(D814,Parameter!$A$35:$C$64,2,0),"Nein")=""),"-",VLOOKUP(D814,Parameter!$A$35:$C$64,2,0))))</f>
        <v/>
      </c>
      <c r="V814" s="61" t="n"/>
      <c r="W814" s="62" t="n"/>
      <c r="X814" s="55">
        <f>AM814</f>
        <v/>
      </c>
      <c r="Y814" s="55">
        <f>MAX(AM814,G814)</f>
        <v/>
      </c>
      <c r="Z814" s="63" t="n"/>
      <c r="AA814" s="55">
        <f>IF(LEFT(Cockpit!$C$5,1)="A",G814,IF(BT814=1,BU814,IF(LEFT(Cockpit!$C$5,1)="B",AE814,MAX(AE814,G814))))</f>
        <v/>
      </c>
      <c r="AB814" s="55">
        <f>IF(BO814=1,0,ROUNDUP(AA814/BN814,0))</f>
        <v/>
      </c>
      <c r="AC814" s="64">
        <f>IF(BO814=1,IF(AA814&lt;=0,0,BP814*MAX(1,IF(G814&gt;0,AA814/G814,1))),AB814*Q814)</f>
        <v/>
      </c>
      <c r="AD814" s="55">
        <f>AA814*F814</f>
        <v/>
      </c>
      <c r="AE814" s="55">
        <f>ROUNDUP(MAX(I814/IF(BS814&gt;0,BS814,MAX(0.1,N(Cockpit!$C$6))),BV814)/BN814,0)*BN814</f>
        <v/>
      </c>
      <c r="AF814" s="56">
        <f>IF(AC814&gt;0,I814/AC814,-1)</f>
        <v/>
      </c>
      <c r="AG814" s="56">
        <f>IF(AND(OR(BR814="L1",BR814="L23"),AC814&gt;0),SUMIFS($AC$7:$AC$1570,$BR$7:$BR$1570,BR814,$AF$7:$AF$1570,"&gt;"&amp;AF814)+SUMIFS($AC$7:$AC$1570,$BR$7:$BR$1570,BR814,$AF$7:$AF$1570,AF814,$BL$7:$BL$1570,"&lt;="&amp;BL814),"")</f>
        <v/>
      </c>
      <c r="AH814" s="65">
        <f>IF(AG814="",0,MAX(0,MIN(1,(IF(BR814="L1",Parameter!$K$5,Parameter!$K$6+Parameter!$K$7)-(AG814-AC814))/AC814)))</f>
        <v/>
      </c>
      <c r="AI814" s="55">
        <f>IF(LEFT(Cockpit!$I$5,1)="A",G814,IF(BT814=1,BU814,IF(LEFT(Cockpit!$I$5,1)="B",AM814,MAX(AM814,G814))))</f>
        <v/>
      </c>
      <c r="AJ814" s="55">
        <f>IF(BO814=1,0,ROUNDUP(AI814/BN814,0))</f>
        <v/>
      </c>
      <c r="AK814" s="64">
        <f>IF(BO814=1,IF(AI814&lt;=0,0,BP814*MAX(1,IF(G814&gt;0,AI814/G814,1))),AJ814*Q814)</f>
        <v/>
      </c>
      <c r="AL814" s="55">
        <f>AI814*F814</f>
        <v/>
      </c>
      <c r="AM814" s="55">
        <f>ROUNDUP(MAX(I814/IF(BS814&gt;0,BS814,MAX(0.1,N(Cockpit!$I$6))),BV814)/BN814,0)*BN814</f>
        <v/>
      </c>
      <c r="AN814" s="56">
        <f>IF(AK814&gt;0,I814/AK814,-1)</f>
        <v/>
      </c>
      <c r="AO814" s="56">
        <f>IF(AND(OR(BR814="L1",BR814="L23"),AK814&gt;0),SUMIFS($AK$7:$AK$1570,$BR$7:$BR$1570,BR814,$AN$7:$AN$1570,"&gt;"&amp;AN814)+SUMIFS($AK$7:$AK$1570,$BR$7:$BR$1570,BR814,$AN$7:$AN$1570,AN814,$BL$7:$BL$1570,"&lt;="&amp;BL814),"")</f>
        <v/>
      </c>
      <c r="AP814" s="65">
        <f>IF(AO814="",0,MAX(0,MIN(1,(IF(BR814="L1",Parameter!$K$5,Parameter!$K$6+Parameter!$K$7)-(AO814-AK814))/AK814)))</f>
        <v/>
      </c>
      <c r="AQ814" s="55">
        <f>IF(LEFT(Cockpit!$O$5,1)="A",G814,IF(BT814=1,BU814,IF(LEFT(Cockpit!$O$5,1)="B",AU814,MAX(AU814,G814))))</f>
        <v/>
      </c>
      <c r="AR814" s="55">
        <f>IF(BO814=1,0,ROUNDUP(AQ814/BN814,0))</f>
        <v/>
      </c>
      <c r="AS814" s="64">
        <f>IF(BO814=1,IF(AQ814&lt;=0,0,BP814*MAX(1,IF(G814&gt;0,AQ814/G814,1))),AR814*Q814)</f>
        <v/>
      </c>
      <c r="AT814" s="55">
        <f>AQ814*F814</f>
        <v/>
      </c>
      <c r="AU814" s="55">
        <f>ROUNDUP(MAX(I814/IF(BS814&gt;0,BS814,MAX(0.1,N(Cockpit!$O$6))),BV814)/BN814,0)*BN814</f>
        <v/>
      </c>
      <c r="AV814" s="56">
        <f>IF(AS814&gt;0,I814/AS814,-1)</f>
        <v/>
      </c>
      <c r="AW814" s="56">
        <f>IF(AND(OR(BR814="L1",BR814="L23"),AS814&gt;0),SUMIFS($AS$7:$AS$1570,$BR$7:$BR$1570,BR814,$AV$7:$AV$1570,"&gt;"&amp;AV814)+SUMIFS($AS$7:$AS$1570,$BR$7:$BR$1570,BR814,$AV$7:$AV$1570,AV814,$BL$7:$BL$1570,"&lt;="&amp;BL814),"")</f>
        <v/>
      </c>
      <c r="AX814" s="65">
        <f>IF(AW814="",0,MAX(0,MIN(1,(IF(BR814="L1",Parameter!$K$5,Parameter!$K$6+Parameter!$K$7)-(AW814-AS814))/AS814)))</f>
        <v/>
      </c>
      <c r="AY814" s="53">
        <f>IF(AC814&lt;=0,"",IF(BR814="Aussen","Aussenlager",IF(BR814="-","Nicht im Lift",IF(AH814&gt;=1,"Lift",IF(AH814&lt;=0,"Aussenlager","teilweise")))))</f>
        <v/>
      </c>
      <c r="AZ814" s="53">
        <f>IF(AK814&lt;=0,"",IF(BR814="Aussen","Aussenlager",IF(BR814="-","Nicht im Lift",IF(AP814&gt;=1,"Lift",IF(AP814&lt;=0,"Aussenlager","teilweise")))))</f>
        <v/>
      </c>
      <c r="BA814" s="53">
        <f>IF(AS814&lt;=0,"",IF(BR814="Aussen","Aussenlager",IF(BR814="-","Nicht im Lift",IF(AX814&gt;=1,"Lift",IF(AX814&lt;=0,"Aussenlager","teilweise")))))</f>
        <v/>
      </c>
      <c r="BB814" s="53">
        <f>IF(A814="","",IF(BK814=1,"Neu; ","")&amp;IF(AND(BK814=0,BF814&lt;0),"negativer Bestand (Export "&amp;BF814&amp;"); ","")&amp;IF(I814&lt;=0,"Kein Verbrauch; ","")&amp;IF(BO814=1,"Lose – Fläche geschätzt; ","")&amp;IF(G814&gt;AM814,"Überbestand "&amp;ROUND(G814-AM814,0)&amp;" Stk / CHF "&amp;ROUND((G814-AM814)*F814,0)&amp;"; ","")&amp;IF(AND(BT814=1,BU814&lt;BV814),"MAX &lt; MB+LG; ","")&amp;IF(AND(BZ814&gt;0,BY814*10&gt;BZ814),"zu hoch für Tablar; ","")&amp;IF(AND(BK814=0,OR(BT814=1,V814&lt;&gt;"",S814&lt;&gt;"",T814&lt;&gt;"",W814&lt;&gt;"")),"manuell übersteuert; ","")&amp;IF(AND(BO814=0,Q814=0),"Gebinde unbekannt; ","")&amp;IF(AND(BO814=0,N(T814)&lt;=0,N(P814)&lt;=0),"Menge pro Gebinde fehlt (Ist = 1 Gebinde); ","")&amp;BJ814)</f>
        <v/>
      </c>
      <c r="BC814" s="53" t="n"/>
      <c r="BD814" s="53" t="n"/>
      <c r="BE814" s="61" t="n"/>
      <c r="BF814" s="55" t="n">
        <v>0</v>
      </c>
      <c r="BG814" s="55" t="n">
        <v>8</v>
      </c>
      <c r="BH814" s="54" t="n">
        <v>-7.360000000000015</v>
      </c>
      <c r="BI814" s="55" t="n">
        <v>8</v>
      </c>
      <c r="BJ814" s="53" t="inlineStr"/>
      <c r="BK814" s="58" t="n">
        <v>0</v>
      </c>
      <c r="BL814" s="58" t="n">
        <v>814</v>
      </c>
      <c r="BM814" s="53">
        <f>IF(S814&lt;&gt;"",UPPER(TRIM(S814)),IF(O814="","LOSE",O814))</f>
        <v/>
      </c>
      <c r="BN814" s="55">
        <f>IF(BM814="LOSE",1,IF(N(T814)&gt;0,T814,IF(N(P814)&gt;0,P814,MAX(1,G814))))</f>
        <v/>
      </c>
      <c r="BO814" s="58">
        <f>IF(BM814="LOSE",1,0)</f>
        <v/>
      </c>
      <c r="BP814" s="64">
        <f>IF(BO814=0,0,IF(N(R814)&gt;0,R814,IFERROR(VLOOKUP(D814,Parameter!$A$35:$C$64,3,0)+0,0)))</f>
        <v/>
      </c>
      <c r="BQ814" s="53">
        <f>IF(V814&lt;&gt;"",V814,U814)</f>
        <v/>
      </c>
      <c r="BR814" s="53">
        <f>IF(BQ814=1,"L1",IF(OR(BQ814=2,BQ814=3),"L23",IF(BQ814="Aussen","Aussen","-")))</f>
        <v/>
      </c>
      <c r="BS814" s="66">
        <f>IF(N(W814)&gt;0,W814,0)</f>
        <v/>
      </c>
      <c r="BT814" s="58">
        <f>IF(ISNUMBER(Z814),1,0)</f>
        <v/>
      </c>
      <c r="BU814" s="55">
        <f>N(Z814)</f>
        <v/>
      </c>
      <c r="BV814" s="55">
        <f>N(L814)+N(M814)</f>
        <v/>
      </c>
      <c r="BW814" s="55">
        <f>ROUNDUP(G814/BN814,0)</f>
        <v/>
      </c>
      <c r="BX814" s="55">
        <f>ROUNDUP(BU814/BN814,0)</f>
        <v/>
      </c>
      <c r="BY814" s="58">
        <f>IF(BO814=1,0,IFERROR(VLOOKUP(BM814,'Gebinde-Kategorie'!$A$5:$G$45,5,0)+0,0))</f>
        <v/>
      </c>
      <c r="BZ814" s="58">
        <f>IFERROR(IF(OR(BQ814=1,BQ814=2,BQ814=3),N(INDEX(Parameter!$I$5:$I$7,BQ814)),0),0)</f>
        <v/>
      </c>
    </row>
    <row r="815">
      <c r="A815" s="53" t="inlineStr">
        <is>
          <t>102440</t>
        </is>
      </c>
      <c r="B815" s="53" t="inlineStr">
        <is>
          <t>Senkschraube mit Innensechskant</t>
        </is>
      </c>
      <c r="C815" s="53" t="inlineStr">
        <is>
          <t>F</t>
        </is>
      </c>
      <c r="D815" s="53" t="inlineStr">
        <is>
          <t>KTL</t>
        </is>
      </c>
      <c r="E815" s="53" t="inlineStr">
        <is>
          <t>C</t>
        </is>
      </c>
      <c r="F815" s="54" t="n">
        <v>0.04</v>
      </c>
      <c r="G815" s="55">
        <f>MAX(0,IF(Parameter!$B$20="Jahresanfang 2025 + Export",BG815+BF815,BF815))</f>
        <v/>
      </c>
      <c r="H815" s="55">
        <f>G815*F815</f>
        <v/>
      </c>
      <c r="I815" s="55">
        <f>BI815*Parameter!$B$18</f>
        <v/>
      </c>
      <c r="J815" s="56" t="n">
        <v>852</v>
      </c>
      <c r="K815" s="57" t="n">
        <v>0.3086854460093897</v>
      </c>
      <c r="L815" s="55" t="n">
        <v>15</v>
      </c>
      <c r="M815" s="55" t="n">
        <v>265</v>
      </c>
      <c r="N815" s="58" t="n">
        <v>21</v>
      </c>
      <c r="O815" s="53" t="inlineStr">
        <is>
          <t>S33</t>
        </is>
      </c>
      <c r="P815" s="55" t="n">
        <v>1885</v>
      </c>
      <c r="Q815" s="59">
        <f>IF(BO815=1,0,IFERROR(VLOOKUP(BM815,'Gebinde-Kategorie'!$A$5:$G$45,6,0)+0,0))</f>
        <v/>
      </c>
      <c r="R815" s="60" t="n"/>
      <c r="S815" s="61" t="n"/>
      <c r="T815" s="61" t="n"/>
      <c r="U815" s="53">
        <f>IF(A815="","",IF(IFERROR(VLOOKUP(D815,Parameter!$A$35:$C$64,2,0),"Nein")="2+3",IF(ISNUMBER(SEARCH("grosser Artikel",BJ815)),2,IFERROR(VLOOKUP(BM815,Parameter!$F$35:$G$64,2,0),2)),IF(OR(IFERROR(VLOOKUP(D815,Parameter!$A$35:$C$64,2,0),"Nein")="Nein",IFERROR(VLOOKUP(D815,Parameter!$A$35:$C$64,2,0),"Nein")=""),"-",VLOOKUP(D815,Parameter!$A$35:$C$64,2,0))))</f>
        <v/>
      </c>
      <c r="V815" s="61" t="n"/>
      <c r="W815" s="62" t="n"/>
      <c r="X815" s="55">
        <f>AM815</f>
        <v/>
      </c>
      <c r="Y815" s="55">
        <f>MAX(AM815,G815)</f>
        <v/>
      </c>
      <c r="Z815" s="63" t="n"/>
      <c r="AA815" s="55">
        <f>IF(LEFT(Cockpit!$C$5,1)="A",G815,IF(BT815=1,BU815,IF(LEFT(Cockpit!$C$5,1)="B",AE815,MAX(AE815,G815))))</f>
        <v/>
      </c>
      <c r="AB815" s="55">
        <f>IF(BO815=1,0,ROUNDUP(AA815/BN815,0))</f>
        <v/>
      </c>
      <c r="AC815" s="64">
        <f>IF(BO815=1,IF(AA815&lt;=0,0,BP815*MAX(1,IF(G815&gt;0,AA815/G815,1))),AB815*Q815)</f>
        <v/>
      </c>
      <c r="AD815" s="55">
        <f>AA815*F815</f>
        <v/>
      </c>
      <c r="AE815" s="55">
        <f>ROUNDUP(MAX(I815/IF(BS815&gt;0,BS815,MAX(0.1,N(Cockpit!$C$6))),BV815)/BN815,0)*BN815</f>
        <v/>
      </c>
      <c r="AF815" s="56">
        <f>IF(AC815&gt;0,I815/AC815,-1)</f>
        <v/>
      </c>
      <c r="AG815" s="56">
        <f>IF(AND(OR(BR815="L1",BR815="L23"),AC815&gt;0),SUMIFS($AC$7:$AC$1570,$BR$7:$BR$1570,BR815,$AF$7:$AF$1570,"&gt;"&amp;AF815)+SUMIFS($AC$7:$AC$1570,$BR$7:$BR$1570,BR815,$AF$7:$AF$1570,AF815,$BL$7:$BL$1570,"&lt;="&amp;BL815),"")</f>
        <v/>
      </c>
      <c r="AH815" s="65">
        <f>IF(AG815="",0,MAX(0,MIN(1,(IF(BR815="L1",Parameter!$K$5,Parameter!$K$6+Parameter!$K$7)-(AG815-AC815))/AC815)))</f>
        <v/>
      </c>
      <c r="AI815" s="55">
        <f>IF(LEFT(Cockpit!$I$5,1)="A",G815,IF(BT815=1,BU815,IF(LEFT(Cockpit!$I$5,1)="B",AM815,MAX(AM815,G815))))</f>
        <v/>
      </c>
      <c r="AJ815" s="55">
        <f>IF(BO815=1,0,ROUNDUP(AI815/BN815,0))</f>
        <v/>
      </c>
      <c r="AK815" s="64">
        <f>IF(BO815=1,IF(AI815&lt;=0,0,BP815*MAX(1,IF(G815&gt;0,AI815/G815,1))),AJ815*Q815)</f>
        <v/>
      </c>
      <c r="AL815" s="55">
        <f>AI815*F815</f>
        <v/>
      </c>
      <c r="AM815" s="55">
        <f>ROUNDUP(MAX(I815/IF(BS815&gt;0,BS815,MAX(0.1,N(Cockpit!$I$6))),BV815)/BN815,0)*BN815</f>
        <v/>
      </c>
      <c r="AN815" s="56">
        <f>IF(AK815&gt;0,I815/AK815,-1)</f>
        <v/>
      </c>
      <c r="AO815" s="56">
        <f>IF(AND(OR(BR815="L1",BR815="L23"),AK815&gt;0),SUMIFS($AK$7:$AK$1570,$BR$7:$BR$1570,BR815,$AN$7:$AN$1570,"&gt;"&amp;AN815)+SUMIFS($AK$7:$AK$1570,$BR$7:$BR$1570,BR815,$AN$7:$AN$1570,AN815,$BL$7:$BL$1570,"&lt;="&amp;BL815),"")</f>
        <v/>
      </c>
      <c r="AP815" s="65">
        <f>IF(AO815="",0,MAX(0,MIN(1,(IF(BR815="L1",Parameter!$K$5,Parameter!$K$6+Parameter!$K$7)-(AO815-AK815))/AK815)))</f>
        <v/>
      </c>
      <c r="AQ815" s="55">
        <f>IF(LEFT(Cockpit!$O$5,1)="A",G815,IF(BT815=1,BU815,IF(LEFT(Cockpit!$O$5,1)="B",AU815,MAX(AU815,G815))))</f>
        <v/>
      </c>
      <c r="AR815" s="55">
        <f>IF(BO815=1,0,ROUNDUP(AQ815/BN815,0))</f>
        <v/>
      </c>
      <c r="AS815" s="64">
        <f>IF(BO815=1,IF(AQ815&lt;=0,0,BP815*MAX(1,IF(G815&gt;0,AQ815/G815,1))),AR815*Q815)</f>
        <v/>
      </c>
      <c r="AT815" s="55">
        <f>AQ815*F815</f>
        <v/>
      </c>
      <c r="AU815" s="55">
        <f>ROUNDUP(MAX(I815/IF(BS815&gt;0,BS815,MAX(0.1,N(Cockpit!$O$6))),BV815)/BN815,0)*BN815</f>
        <v/>
      </c>
      <c r="AV815" s="56">
        <f>IF(AS815&gt;0,I815/AS815,-1)</f>
        <v/>
      </c>
      <c r="AW815" s="56">
        <f>IF(AND(OR(BR815="L1",BR815="L23"),AS815&gt;0),SUMIFS($AS$7:$AS$1570,$BR$7:$BR$1570,BR815,$AV$7:$AV$1570,"&gt;"&amp;AV815)+SUMIFS($AS$7:$AS$1570,$BR$7:$BR$1570,BR815,$AV$7:$AV$1570,AV815,$BL$7:$BL$1570,"&lt;="&amp;BL815),"")</f>
        <v/>
      </c>
      <c r="AX815" s="65">
        <f>IF(AW815="",0,MAX(0,MIN(1,(IF(BR815="L1",Parameter!$K$5,Parameter!$K$6+Parameter!$K$7)-(AW815-AS815))/AS815)))</f>
        <v/>
      </c>
      <c r="AY815" s="53">
        <f>IF(AC815&lt;=0,"",IF(BR815="Aussen","Aussenlager",IF(BR815="-","Nicht im Lift",IF(AH815&gt;=1,"Lift",IF(AH815&lt;=0,"Aussenlager","teilweise")))))</f>
        <v/>
      </c>
      <c r="AZ815" s="53">
        <f>IF(AK815&lt;=0,"",IF(BR815="Aussen","Aussenlager",IF(BR815="-","Nicht im Lift",IF(AP815&gt;=1,"Lift",IF(AP815&lt;=0,"Aussenlager","teilweise")))))</f>
        <v/>
      </c>
      <c r="BA815" s="53">
        <f>IF(AS815&lt;=0,"",IF(BR815="Aussen","Aussenlager",IF(BR815="-","Nicht im Lift",IF(AX815&gt;=1,"Lift",IF(AX815&lt;=0,"Aussenlager","teilweise")))))</f>
        <v/>
      </c>
      <c r="BB815" s="53">
        <f>IF(A815="","",IF(BK815=1,"Neu; ","")&amp;IF(AND(BK815=0,BF815&lt;0),"negativer Bestand (Export "&amp;BF815&amp;"); ","")&amp;IF(I815&lt;=0,"Kein Verbrauch; ","")&amp;IF(BO815=1,"Lose – Fläche geschätzt; ","")&amp;IF(G815&gt;AM815,"Überbestand "&amp;ROUND(G815-AM815,0)&amp;" Stk / CHF "&amp;ROUND((G815-AM815)*F815,0)&amp;"; ","")&amp;IF(AND(BT815=1,BU815&lt;BV815),"MAX &lt; MB+LG; ","")&amp;IF(AND(BZ815&gt;0,BY815*10&gt;BZ815),"zu hoch für Tablar; ","")&amp;IF(AND(BK815=0,OR(BT815=1,V815&lt;&gt;"",S815&lt;&gt;"",T815&lt;&gt;"",W815&lt;&gt;"")),"manuell übersteuert; ","")&amp;IF(AND(BO815=0,Q815=0),"Gebinde unbekannt; ","")&amp;IF(AND(BO815=0,N(T815)&lt;=0,N(P815)&lt;=0),"Menge pro Gebinde fehlt (Ist = 1 Gebinde); ","")&amp;BJ815)</f>
        <v/>
      </c>
      <c r="BC815" s="53" t="n"/>
      <c r="BD815" s="53" t="n"/>
      <c r="BE815" s="61" t="n"/>
      <c r="BF815" s="55" t="n">
        <v>-190</v>
      </c>
      <c r="BG815" s="55" t="n">
        <v>877</v>
      </c>
      <c r="BH815" s="54" t="n">
        <v>-7.600000000000003</v>
      </c>
      <c r="BI815" s="55" t="n">
        <v>263</v>
      </c>
      <c r="BJ815" s="53" t="inlineStr">
        <is>
          <t>Überbestand</t>
        </is>
      </c>
      <c r="BK815" s="58" t="n">
        <v>0</v>
      </c>
      <c r="BL815" s="58" t="n">
        <v>815</v>
      </c>
      <c r="BM815" s="53">
        <f>IF(S815&lt;&gt;"",UPPER(TRIM(S815)),IF(O815="","LOSE",O815))</f>
        <v/>
      </c>
      <c r="BN815" s="55">
        <f>IF(BM815="LOSE",1,IF(N(T815)&gt;0,T815,IF(N(P815)&gt;0,P815,MAX(1,G815))))</f>
        <v/>
      </c>
      <c r="BO815" s="58">
        <f>IF(BM815="LOSE",1,0)</f>
        <v/>
      </c>
      <c r="BP815" s="64">
        <f>IF(BO815=0,0,IF(N(R815)&gt;0,R815,IFERROR(VLOOKUP(D815,Parameter!$A$35:$C$64,3,0)+0,0)))</f>
        <v/>
      </c>
      <c r="BQ815" s="53">
        <f>IF(V815&lt;&gt;"",V815,U815)</f>
        <v/>
      </c>
      <c r="BR815" s="53">
        <f>IF(BQ815=1,"L1",IF(OR(BQ815=2,BQ815=3),"L23",IF(BQ815="Aussen","Aussen","-")))</f>
        <v/>
      </c>
      <c r="BS815" s="66">
        <f>IF(N(W815)&gt;0,W815,0)</f>
        <v/>
      </c>
      <c r="BT815" s="58">
        <f>IF(ISNUMBER(Z815),1,0)</f>
        <v/>
      </c>
      <c r="BU815" s="55">
        <f>N(Z815)</f>
        <v/>
      </c>
      <c r="BV815" s="55">
        <f>N(L815)+N(M815)</f>
        <v/>
      </c>
      <c r="BW815" s="55">
        <f>ROUNDUP(G815/BN815,0)</f>
        <v/>
      </c>
      <c r="BX815" s="55">
        <f>ROUNDUP(BU815/BN815,0)</f>
        <v/>
      </c>
      <c r="BY815" s="58">
        <f>IF(BO815=1,0,IFERROR(VLOOKUP(BM815,'Gebinde-Kategorie'!$A$5:$G$45,5,0)+0,0))</f>
        <v/>
      </c>
      <c r="BZ815" s="58">
        <f>IFERROR(IF(OR(BQ815=1,BQ815=2,BQ815=3),N(INDEX(Parameter!$I$5:$I$7,BQ815)),0),0)</f>
        <v/>
      </c>
    </row>
    <row r="816">
      <c r="A816" s="53" t="inlineStr">
        <is>
          <t>108043</t>
        </is>
      </c>
      <c r="B816" s="53" t="inlineStr">
        <is>
          <t>Tüllengehäuse B6</t>
        </is>
      </c>
      <c r="C816" s="53" t="inlineStr">
        <is>
          <t>F</t>
        </is>
      </c>
      <c r="D816" s="53" t="inlineStr">
        <is>
          <t>KTL</t>
        </is>
      </c>
      <c r="E816" s="53" t="inlineStr">
        <is>
          <t>C</t>
        </is>
      </c>
      <c r="F816" s="54" t="n">
        <v>8.050000000000001</v>
      </c>
      <c r="G816" s="55">
        <f>MAX(0,IF(Parameter!$B$20="Jahresanfang 2025 + Export",BG816+BF816,BF816))</f>
        <v/>
      </c>
      <c r="H816" s="55">
        <f>G816*F816</f>
        <v/>
      </c>
      <c r="I816" s="55">
        <f>BI816*Parameter!$B$18</f>
        <v/>
      </c>
      <c r="J816" s="56" t="n">
        <v>46</v>
      </c>
      <c r="K816" s="57" t="n">
        <v>0</v>
      </c>
      <c r="L816" s="55" t="n">
        <v>0</v>
      </c>
      <c r="M816" s="55" t="n">
        <v>1</v>
      </c>
      <c r="N816" s="58" t="n">
        <v>35</v>
      </c>
      <c r="O816" s="53" t="inlineStr">
        <is>
          <t>S52</t>
        </is>
      </c>
      <c r="P816" s="55" t="n">
        <v>46</v>
      </c>
      <c r="Q816" s="59">
        <f>IF(BO816=1,0,IFERROR(VLOOKUP(BM816,'Gebinde-Kategorie'!$A$5:$G$45,6,0)+0,0))</f>
        <v/>
      </c>
      <c r="R816" s="60" t="n"/>
      <c r="S816" s="61" t="n"/>
      <c r="T816" s="61" t="n"/>
      <c r="U816" s="53">
        <f>IF(A816="","",IF(IFERROR(VLOOKUP(D816,Parameter!$A$35:$C$64,2,0),"Nein")="2+3",IF(ISNUMBER(SEARCH("grosser Artikel",BJ816)),2,IFERROR(VLOOKUP(BM816,Parameter!$F$35:$G$64,2,0),2)),IF(OR(IFERROR(VLOOKUP(D816,Parameter!$A$35:$C$64,2,0),"Nein")="Nein",IFERROR(VLOOKUP(D816,Parameter!$A$35:$C$64,2,0),"Nein")=""),"-",VLOOKUP(D816,Parameter!$A$35:$C$64,2,0))))</f>
        <v/>
      </c>
      <c r="V816" s="61" t="n"/>
      <c r="W816" s="62" t="n"/>
      <c r="X816" s="55">
        <f>AM816</f>
        <v/>
      </c>
      <c r="Y816" s="55">
        <f>MAX(AM816,G816)</f>
        <v/>
      </c>
      <c r="Z816" s="63" t="n"/>
      <c r="AA816" s="55">
        <f>IF(LEFT(Cockpit!$C$5,1)="A",G816,IF(BT816=1,BU816,IF(LEFT(Cockpit!$C$5,1)="B",AE816,MAX(AE816,G816))))</f>
        <v/>
      </c>
      <c r="AB816" s="55">
        <f>IF(BO816=1,0,ROUNDUP(AA816/BN816,0))</f>
        <v/>
      </c>
      <c r="AC816" s="64">
        <f>IF(BO816=1,IF(AA816&lt;=0,0,BP816*MAX(1,IF(G816&gt;0,AA816/G816,1))),AB816*Q816)</f>
        <v/>
      </c>
      <c r="AD816" s="55">
        <f>AA816*F816</f>
        <v/>
      </c>
      <c r="AE816" s="55">
        <f>ROUNDUP(MAX(I816/IF(BS816&gt;0,BS816,MAX(0.1,N(Cockpit!$C$6))),BV816)/BN816,0)*BN816</f>
        <v/>
      </c>
      <c r="AF816" s="56">
        <f>IF(AC816&gt;0,I816/AC816,-1)</f>
        <v/>
      </c>
      <c r="AG816" s="56">
        <f>IF(AND(OR(BR816="L1",BR816="L23"),AC816&gt;0),SUMIFS($AC$7:$AC$1570,$BR$7:$BR$1570,BR816,$AF$7:$AF$1570,"&gt;"&amp;AF816)+SUMIFS($AC$7:$AC$1570,$BR$7:$BR$1570,BR816,$AF$7:$AF$1570,AF816,$BL$7:$BL$1570,"&lt;="&amp;BL816),"")</f>
        <v/>
      </c>
      <c r="AH816" s="65">
        <f>IF(AG816="",0,MAX(0,MIN(1,(IF(BR816="L1",Parameter!$K$5,Parameter!$K$6+Parameter!$K$7)-(AG816-AC816))/AC816)))</f>
        <v/>
      </c>
      <c r="AI816" s="55">
        <f>IF(LEFT(Cockpit!$I$5,1)="A",G816,IF(BT816=1,BU816,IF(LEFT(Cockpit!$I$5,1)="B",AM816,MAX(AM816,G816))))</f>
        <v/>
      </c>
      <c r="AJ816" s="55">
        <f>IF(BO816=1,0,ROUNDUP(AI816/BN816,0))</f>
        <v/>
      </c>
      <c r="AK816" s="64">
        <f>IF(BO816=1,IF(AI816&lt;=0,0,BP816*MAX(1,IF(G816&gt;0,AI816/G816,1))),AJ816*Q816)</f>
        <v/>
      </c>
      <c r="AL816" s="55">
        <f>AI816*F816</f>
        <v/>
      </c>
      <c r="AM816" s="55">
        <f>ROUNDUP(MAX(I816/IF(BS816&gt;0,BS816,MAX(0.1,N(Cockpit!$I$6))),BV816)/BN816,0)*BN816</f>
        <v/>
      </c>
      <c r="AN816" s="56">
        <f>IF(AK816&gt;0,I816/AK816,-1)</f>
        <v/>
      </c>
      <c r="AO816" s="56">
        <f>IF(AND(OR(BR816="L1",BR816="L23"),AK816&gt;0),SUMIFS($AK$7:$AK$1570,$BR$7:$BR$1570,BR816,$AN$7:$AN$1570,"&gt;"&amp;AN816)+SUMIFS($AK$7:$AK$1570,$BR$7:$BR$1570,BR816,$AN$7:$AN$1570,AN816,$BL$7:$BL$1570,"&lt;="&amp;BL816),"")</f>
        <v/>
      </c>
      <c r="AP816" s="65">
        <f>IF(AO816="",0,MAX(0,MIN(1,(IF(BR816="L1",Parameter!$K$5,Parameter!$K$6+Parameter!$K$7)-(AO816-AK816))/AK816)))</f>
        <v/>
      </c>
      <c r="AQ816" s="55">
        <f>IF(LEFT(Cockpit!$O$5,1)="A",G816,IF(BT816=1,BU816,IF(LEFT(Cockpit!$O$5,1)="B",AU816,MAX(AU816,G816))))</f>
        <v/>
      </c>
      <c r="AR816" s="55">
        <f>IF(BO816=1,0,ROUNDUP(AQ816/BN816,0))</f>
        <v/>
      </c>
      <c r="AS816" s="64">
        <f>IF(BO816=1,IF(AQ816&lt;=0,0,BP816*MAX(1,IF(G816&gt;0,AQ816/G816,1))),AR816*Q816)</f>
        <v/>
      </c>
      <c r="AT816" s="55">
        <f>AQ816*F816</f>
        <v/>
      </c>
      <c r="AU816" s="55">
        <f>ROUNDUP(MAX(I816/IF(BS816&gt;0,BS816,MAX(0.1,N(Cockpit!$O$6))),BV816)/BN816,0)*BN816</f>
        <v/>
      </c>
      <c r="AV816" s="56">
        <f>IF(AS816&gt;0,I816/AS816,-1)</f>
        <v/>
      </c>
      <c r="AW816" s="56">
        <f>IF(AND(OR(BR816="L1",BR816="L23"),AS816&gt;0),SUMIFS($AS$7:$AS$1570,$BR$7:$BR$1570,BR816,$AV$7:$AV$1570,"&gt;"&amp;AV816)+SUMIFS($AS$7:$AS$1570,$BR$7:$BR$1570,BR816,$AV$7:$AV$1570,AV816,$BL$7:$BL$1570,"&lt;="&amp;BL816),"")</f>
        <v/>
      </c>
      <c r="AX816" s="65">
        <f>IF(AW816="",0,MAX(0,MIN(1,(IF(BR816="L1",Parameter!$K$5,Parameter!$K$6+Parameter!$K$7)-(AW816-AS816))/AS816)))</f>
        <v/>
      </c>
      <c r="AY816" s="53">
        <f>IF(AC816&lt;=0,"",IF(BR816="Aussen","Aussenlager",IF(BR816="-","Nicht im Lift",IF(AH816&gt;=1,"Lift",IF(AH816&lt;=0,"Aussenlager","teilweise")))))</f>
        <v/>
      </c>
      <c r="AZ816" s="53">
        <f>IF(AK816&lt;=0,"",IF(BR816="Aussen","Aussenlager",IF(BR816="-","Nicht im Lift",IF(AP816&gt;=1,"Lift",IF(AP816&lt;=0,"Aussenlager","teilweise")))))</f>
        <v/>
      </c>
      <c r="BA816" s="53">
        <f>IF(AS816&lt;=0,"",IF(BR816="Aussen","Aussenlager",IF(BR816="-","Nicht im Lift",IF(AX816&gt;=1,"Lift",IF(AX816&lt;=0,"Aussenlager","teilweise")))))</f>
        <v/>
      </c>
      <c r="BB816" s="53">
        <f>IF(A816="","",IF(BK816=1,"Neu; ","")&amp;IF(AND(BK816=0,BF816&lt;0),"negativer Bestand (Export "&amp;BF816&amp;"); ","")&amp;IF(I816&lt;=0,"Kein Verbrauch; ","")&amp;IF(BO816=1,"Lose – Fläche geschätzt; ","")&amp;IF(G816&gt;AM816,"Überbestand "&amp;ROUND(G816-AM816,0)&amp;" Stk / CHF "&amp;ROUND((G816-AM816)*F816,0)&amp;"; ","")&amp;IF(AND(BT816=1,BU816&lt;BV816),"MAX &lt; MB+LG; ","")&amp;IF(AND(BZ816&gt;0,BY816*10&gt;BZ816),"zu hoch für Tablar; ","")&amp;IF(AND(BK816=0,OR(BT816=1,V816&lt;&gt;"",S816&lt;&gt;"",T816&lt;&gt;"",W816&lt;&gt;"")),"manuell übersteuert; ","")&amp;IF(AND(BO816=0,Q816=0),"Gebinde unbekannt; ","")&amp;IF(AND(BO816=0,N(T816)&lt;=0,N(P816)&lt;=0),"Menge pro Gebinde fehlt (Ist = 1 Gebinde); ","")&amp;BJ816)</f>
        <v/>
      </c>
      <c r="BC816" s="53" t="n"/>
      <c r="BD816" s="53" t="n"/>
      <c r="BE816" s="61" t="n"/>
      <c r="BF816" s="55" t="n">
        <v>-1</v>
      </c>
      <c r="BG816" s="55" t="n">
        <v>46</v>
      </c>
      <c r="BH816" s="54" t="n">
        <v>-8.050000000000001</v>
      </c>
      <c r="BI816" s="55" t="n">
        <v>0</v>
      </c>
      <c r="BJ816" s="53" t="inlineStr"/>
      <c r="BK816" s="58" t="n">
        <v>0</v>
      </c>
      <c r="BL816" s="58" t="n">
        <v>816</v>
      </c>
      <c r="BM816" s="53">
        <f>IF(S816&lt;&gt;"",UPPER(TRIM(S816)),IF(O816="","LOSE",O816))</f>
        <v/>
      </c>
      <c r="BN816" s="55">
        <f>IF(BM816="LOSE",1,IF(N(T816)&gt;0,T816,IF(N(P816)&gt;0,P816,MAX(1,G816))))</f>
        <v/>
      </c>
      <c r="BO816" s="58">
        <f>IF(BM816="LOSE",1,0)</f>
        <v/>
      </c>
      <c r="BP816" s="64">
        <f>IF(BO816=0,0,IF(N(R816)&gt;0,R816,IFERROR(VLOOKUP(D816,Parameter!$A$35:$C$64,3,0)+0,0)))</f>
        <v/>
      </c>
      <c r="BQ816" s="53">
        <f>IF(V816&lt;&gt;"",V816,U816)</f>
        <v/>
      </c>
      <c r="BR816" s="53">
        <f>IF(BQ816=1,"L1",IF(OR(BQ816=2,BQ816=3),"L23",IF(BQ816="Aussen","Aussen","-")))</f>
        <v/>
      </c>
      <c r="BS816" s="66">
        <f>IF(N(W816)&gt;0,W816,0)</f>
        <v/>
      </c>
      <c r="BT816" s="58">
        <f>IF(ISNUMBER(Z816),1,0)</f>
        <v/>
      </c>
      <c r="BU816" s="55">
        <f>N(Z816)</f>
        <v/>
      </c>
      <c r="BV816" s="55">
        <f>N(L816)+N(M816)</f>
        <v/>
      </c>
      <c r="BW816" s="55">
        <f>ROUNDUP(G816/BN816,0)</f>
        <v/>
      </c>
      <c r="BX816" s="55">
        <f>ROUNDUP(BU816/BN816,0)</f>
        <v/>
      </c>
      <c r="BY816" s="58">
        <f>IF(BO816=1,0,IFERROR(VLOOKUP(BM816,'Gebinde-Kategorie'!$A$5:$G$45,5,0)+0,0))</f>
        <v/>
      </c>
      <c r="BZ816" s="58">
        <f>IFERROR(IF(OR(BQ816=1,BQ816=2,BQ816=3),N(INDEX(Parameter!$I$5:$I$7,BQ816)),0),0)</f>
        <v/>
      </c>
    </row>
    <row r="817">
      <c r="A817" s="53" t="inlineStr">
        <is>
          <t>001154</t>
        </is>
      </c>
      <c r="B817" s="53" t="inlineStr">
        <is>
          <t>Kabelbinder transparent (weiss)</t>
        </is>
      </c>
      <c r="C817" s="53" t="inlineStr">
        <is>
          <t>F</t>
        </is>
      </c>
      <c r="D817" s="53" t="inlineStr">
        <is>
          <t>KTL</t>
        </is>
      </c>
      <c r="E817" s="53" t="inlineStr">
        <is>
          <t>C</t>
        </is>
      </c>
      <c r="F817" s="54" t="n">
        <v>0.04</v>
      </c>
      <c r="G817" s="55">
        <f>MAX(0,IF(Parameter!$B$20="Jahresanfang 2025 + Export",BG817+BF817,BF817))</f>
        <v/>
      </c>
      <c r="H817" s="55">
        <f>G817*F817</f>
        <v/>
      </c>
      <c r="I817" s="55">
        <f>BI817*Parameter!$B$18</f>
        <v/>
      </c>
      <c r="J817" s="56" t="n">
        <v>421</v>
      </c>
      <c r="K817" s="57" t="n">
        <v>0.4750593824228028</v>
      </c>
      <c r="L817" s="55" t="n">
        <v>7</v>
      </c>
      <c r="M817" s="55" t="n">
        <v>200</v>
      </c>
      <c r="N817" s="58" t="n">
        <v>14</v>
      </c>
      <c r="O817" s="53" t="inlineStr">
        <is>
          <t>S61</t>
        </is>
      </c>
      <c r="P817" s="55" t="n">
        <v>2000</v>
      </c>
      <c r="Q817" s="59">
        <f>IF(BO817=1,0,IFERROR(VLOOKUP(BM817,'Gebinde-Kategorie'!$A$5:$G$45,6,0)+0,0))</f>
        <v/>
      </c>
      <c r="R817" s="60" t="n"/>
      <c r="S817" s="61" t="n"/>
      <c r="T817" s="61" t="n"/>
      <c r="U817" s="53">
        <f>IF(A817="","",IF(IFERROR(VLOOKUP(D817,Parameter!$A$35:$C$64,2,0),"Nein")="2+3",IF(ISNUMBER(SEARCH("grosser Artikel",BJ817)),2,IFERROR(VLOOKUP(BM817,Parameter!$F$35:$G$64,2,0),2)),IF(OR(IFERROR(VLOOKUP(D817,Parameter!$A$35:$C$64,2,0),"Nein")="Nein",IFERROR(VLOOKUP(D817,Parameter!$A$35:$C$64,2,0),"Nein")=""),"-",VLOOKUP(D817,Parameter!$A$35:$C$64,2,0))))</f>
        <v/>
      </c>
      <c r="V817" s="61" t="n"/>
      <c r="W817" s="62" t="n"/>
      <c r="X817" s="55">
        <f>AM817</f>
        <v/>
      </c>
      <c r="Y817" s="55">
        <f>MAX(AM817,G817)</f>
        <v/>
      </c>
      <c r="Z817" s="63" t="n"/>
      <c r="AA817" s="55">
        <f>IF(LEFT(Cockpit!$C$5,1)="A",G817,IF(BT817=1,BU817,IF(LEFT(Cockpit!$C$5,1)="B",AE817,MAX(AE817,G817))))</f>
        <v/>
      </c>
      <c r="AB817" s="55">
        <f>IF(BO817=1,0,ROUNDUP(AA817/BN817,0))</f>
        <v/>
      </c>
      <c r="AC817" s="64">
        <f>IF(BO817=1,IF(AA817&lt;=0,0,BP817*MAX(1,IF(G817&gt;0,AA817/G817,1))),AB817*Q817)</f>
        <v/>
      </c>
      <c r="AD817" s="55">
        <f>AA817*F817</f>
        <v/>
      </c>
      <c r="AE817" s="55">
        <f>ROUNDUP(MAX(I817/IF(BS817&gt;0,BS817,MAX(0.1,N(Cockpit!$C$6))),BV817)/BN817,0)*BN817</f>
        <v/>
      </c>
      <c r="AF817" s="56">
        <f>IF(AC817&gt;0,I817/AC817,-1)</f>
        <v/>
      </c>
      <c r="AG817" s="56">
        <f>IF(AND(OR(BR817="L1",BR817="L23"),AC817&gt;0),SUMIFS($AC$7:$AC$1570,$BR$7:$BR$1570,BR817,$AF$7:$AF$1570,"&gt;"&amp;AF817)+SUMIFS($AC$7:$AC$1570,$BR$7:$BR$1570,BR817,$AF$7:$AF$1570,AF817,$BL$7:$BL$1570,"&lt;="&amp;BL817),"")</f>
        <v/>
      </c>
      <c r="AH817" s="65">
        <f>IF(AG817="",0,MAX(0,MIN(1,(IF(BR817="L1",Parameter!$K$5,Parameter!$K$6+Parameter!$K$7)-(AG817-AC817))/AC817)))</f>
        <v/>
      </c>
      <c r="AI817" s="55">
        <f>IF(LEFT(Cockpit!$I$5,1)="A",G817,IF(BT817=1,BU817,IF(LEFT(Cockpit!$I$5,1)="B",AM817,MAX(AM817,G817))))</f>
        <v/>
      </c>
      <c r="AJ817" s="55">
        <f>IF(BO817=1,0,ROUNDUP(AI817/BN817,0))</f>
        <v/>
      </c>
      <c r="AK817" s="64">
        <f>IF(BO817=1,IF(AI817&lt;=0,0,BP817*MAX(1,IF(G817&gt;0,AI817/G817,1))),AJ817*Q817)</f>
        <v/>
      </c>
      <c r="AL817" s="55">
        <f>AI817*F817</f>
        <v/>
      </c>
      <c r="AM817" s="55">
        <f>ROUNDUP(MAX(I817/IF(BS817&gt;0,BS817,MAX(0.1,N(Cockpit!$I$6))),BV817)/BN817,0)*BN817</f>
        <v/>
      </c>
      <c r="AN817" s="56">
        <f>IF(AK817&gt;0,I817/AK817,-1)</f>
        <v/>
      </c>
      <c r="AO817" s="56">
        <f>IF(AND(OR(BR817="L1",BR817="L23"),AK817&gt;0),SUMIFS($AK$7:$AK$1570,$BR$7:$BR$1570,BR817,$AN$7:$AN$1570,"&gt;"&amp;AN817)+SUMIFS($AK$7:$AK$1570,$BR$7:$BR$1570,BR817,$AN$7:$AN$1570,AN817,$BL$7:$BL$1570,"&lt;="&amp;BL817),"")</f>
        <v/>
      </c>
      <c r="AP817" s="65">
        <f>IF(AO817="",0,MAX(0,MIN(1,(IF(BR817="L1",Parameter!$K$5,Parameter!$K$6+Parameter!$K$7)-(AO817-AK817))/AK817)))</f>
        <v/>
      </c>
      <c r="AQ817" s="55">
        <f>IF(LEFT(Cockpit!$O$5,1)="A",G817,IF(BT817=1,BU817,IF(LEFT(Cockpit!$O$5,1)="B",AU817,MAX(AU817,G817))))</f>
        <v/>
      </c>
      <c r="AR817" s="55">
        <f>IF(BO817=1,0,ROUNDUP(AQ817/BN817,0))</f>
        <v/>
      </c>
      <c r="AS817" s="64">
        <f>IF(BO817=1,IF(AQ817&lt;=0,0,BP817*MAX(1,IF(G817&gt;0,AQ817/G817,1))),AR817*Q817)</f>
        <v/>
      </c>
      <c r="AT817" s="55">
        <f>AQ817*F817</f>
        <v/>
      </c>
      <c r="AU817" s="55">
        <f>ROUNDUP(MAX(I817/IF(BS817&gt;0,BS817,MAX(0.1,N(Cockpit!$O$6))),BV817)/BN817,0)*BN817</f>
        <v/>
      </c>
      <c r="AV817" s="56">
        <f>IF(AS817&gt;0,I817/AS817,-1)</f>
        <v/>
      </c>
      <c r="AW817" s="56">
        <f>IF(AND(OR(BR817="L1",BR817="L23"),AS817&gt;0),SUMIFS($AS$7:$AS$1570,$BR$7:$BR$1570,BR817,$AV$7:$AV$1570,"&gt;"&amp;AV817)+SUMIFS($AS$7:$AS$1570,$BR$7:$BR$1570,BR817,$AV$7:$AV$1570,AV817,$BL$7:$BL$1570,"&lt;="&amp;BL817),"")</f>
        <v/>
      </c>
      <c r="AX817" s="65">
        <f>IF(AW817="",0,MAX(0,MIN(1,(IF(BR817="L1",Parameter!$K$5,Parameter!$K$6+Parameter!$K$7)-(AW817-AS817))/AS817)))</f>
        <v/>
      </c>
      <c r="AY817" s="53">
        <f>IF(AC817&lt;=0,"",IF(BR817="Aussen","Aussenlager",IF(BR817="-","Nicht im Lift",IF(AH817&gt;=1,"Lift",IF(AH817&lt;=0,"Aussenlager","teilweise")))))</f>
        <v/>
      </c>
      <c r="AZ817" s="53">
        <f>IF(AK817&lt;=0,"",IF(BR817="Aussen","Aussenlager",IF(BR817="-","Nicht im Lift",IF(AP817&gt;=1,"Lift",IF(AP817&lt;=0,"Aussenlager","teilweise")))))</f>
        <v/>
      </c>
      <c r="BA817" s="53">
        <f>IF(AS817&lt;=0,"",IF(BR817="Aussen","Aussenlager",IF(BR817="-","Nicht im Lift",IF(AX817&gt;=1,"Lift",IF(AX817&lt;=0,"Aussenlager","teilweise")))))</f>
        <v/>
      </c>
      <c r="BB817" s="53">
        <f>IF(A817="","",IF(BK817=1,"Neu; ","")&amp;IF(AND(BK817=0,BF817&lt;0),"negativer Bestand (Export "&amp;BF817&amp;"); ","")&amp;IF(I817&lt;=0,"Kein Verbrauch; ","")&amp;IF(BO817=1,"Lose – Fläche geschätzt; ","")&amp;IF(G817&gt;AM817,"Überbestand "&amp;ROUND(G817-AM817,0)&amp;" Stk / CHF "&amp;ROUND((G817-AM817)*F817,0)&amp;"; ","")&amp;IF(AND(BT817=1,BU817&lt;BV817),"MAX &lt; MB+LG; ","")&amp;IF(AND(BZ817&gt;0,BY817*10&gt;BZ817),"zu hoch für Tablar; ","")&amp;IF(AND(BK817=0,OR(BT817=1,V817&lt;&gt;"",S817&lt;&gt;"",T817&lt;&gt;"",W817&lt;&gt;"")),"manuell übersteuert; ","")&amp;IF(AND(BO817=0,Q817=0),"Gebinde unbekannt; ","")&amp;IF(AND(BO817=0,N(T817)&lt;=0,N(P817)&lt;=0),"Menge pro Gebinde fehlt (Ist = 1 Gebinde); ","")&amp;BJ817)</f>
        <v/>
      </c>
      <c r="BC817" s="53" t="n"/>
      <c r="BD817" s="53" t="n"/>
      <c r="BE817" s="61" t="n"/>
      <c r="BF817" s="55" t="n">
        <v>-340</v>
      </c>
      <c r="BG817" s="55" t="n">
        <v>540</v>
      </c>
      <c r="BH817" s="54" t="n">
        <v>-8.200000000000001</v>
      </c>
      <c r="BI817" s="55" t="n">
        <v>200</v>
      </c>
      <c r="BJ817" s="53" t="inlineStr">
        <is>
          <t>Verb.Lager</t>
        </is>
      </c>
      <c r="BK817" s="58" t="n">
        <v>0</v>
      </c>
      <c r="BL817" s="58" t="n">
        <v>817</v>
      </c>
      <c r="BM817" s="53">
        <f>IF(S817&lt;&gt;"",UPPER(TRIM(S817)),IF(O817="","LOSE",O817))</f>
        <v/>
      </c>
      <c r="BN817" s="55">
        <f>IF(BM817="LOSE",1,IF(N(T817)&gt;0,T817,IF(N(P817)&gt;0,P817,MAX(1,G817))))</f>
        <v/>
      </c>
      <c r="BO817" s="58">
        <f>IF(BM817="LOSE",1,0)</f>
        <v/>
      </c>
      <c r="BP817" s="64">
        <f>IF(BO817=0,0,IF(N(R817)&gt;0,R817,IFERROR(VLOOKUP(D817,Parameter!$A$35:$C$64,3,0)+0,0)))</f>
        <v/>
      </c>
      <c r="BQ817" s="53">
        <f>IF(V817&lt;&gt;"",V817,U817)</f>
        <v/>
      </c>
      <c r="BR817" s="53">
        <f>IF(BQ817=1,"L1",IF(OR(BQ817=2,BQ817=3),"L23",IF(BQ817="Aussen","Aussen","-")))</f>
        <v/>
      </c>
      <c r="BS817" s="66">
        <f>IF(N(W817)&gt;0,W817,0)</f>
        <v/>
      </c>
      <c r="BT817" s="58">
        <f>IF(ISNUMBER(Z817),1,0)</f>
        <v/>
      </c>
      <c r="BU817" s="55">
        <f>N(Z817)</f>
        <v/>
      </c>
      <c r="BV817" s="55">
        <f>N(L817)+N(M817)</f>
        <v/>
      </c>
      <c r="BW817" s="55">
        <f>ROUNDUP(G817/BN817,0)</f>
        <v/>
      </c>
      <c r="BX817" s="55">
        <f>ROUNDUP(BU817/BN817,0)</f>
        <v/>
      </c>
      <c r="BY817" s="58">
        <f>IF(BO817=1,0,IFERROR(VLOOKUP(BM817,'Gebinde-Kategorie'!$A$5:$G$45,5,0)+0,0))</f>
        <v/>
      </c>
      <c r="BZ817" s="58">
        <f>IFERROR(IF(OR(BQ817=1,BQ817=2,BQ817=3),N(INDEX(Parameter!$I$5:$I$7,BQ817)),0),0)</f>
        <v/>
      </c>
    </row>
    <row r="818">
      <c r="A818" s="53" t="inlineStr">
        <is>
          <t>005640</t>
        </is>
      </c>
      <c r="B818" s="53" t="inlineStr">
        <is>
          <t>Netzwerkkabel</t>
        </is>
      </c>
      <c r="C818" s="53" t="inlineStr">
        <is>
          <t>F</t>
        </is>
      </c>
      <c r="D818" s="53" t="inlineStr">
        <is>
          <t>KTL</t>
        </is>
      </c>
      <c r="E818" s="53" t="inlineStr">
        <is>
          <t>C</t>
        </is>
      </c>
      <c r="F818" s="54" t="n">
        <v>5.22</v>
      </c>
      <c r="G818" s="55">
        <f>MAX(0,IF(Parameter!$B$20="Jahresanfang 2025 + Export",BG818+BF818,BF818))</f>
        <v/>
      </c>
      <c r="H818" s="55">
        <f>G818*F818</f>
        <v/>
      </c>
      <c r="I818" s="55">
        <f>BI818*Parameter!$B$18</f>
        <v/>
      </c>
      <c r="J818" s="56" t="n">
        <v>2.5</v>
      </c>
      <c r="K818" s="57" t="n">
        <v>1.2</v>
      </c>
      <c r="L818" s="55" t="n">
        <v>0</v>
      </c>
      <c r="M818" s="55" t="n">
        <v>5</v>
      </c>
      <c r="N818" s="58" t="n">
        <v>14</v>
      </c>
      <c r="O818" s="53" t="inlineStr">
        <is>
          <t>S32</t>
        </is>
      </c>
      <c r="P818" s="55" t="n">
        <v>1</v>
      </c>
      <c r="Q818" s="59">
        <f>IF(BO818=1,0,IFERROR(VLOOKUP(BM818,'Gebinde-Kategorie'!$A$5:$G$45,6,0)+0,0))</f>
        <v/>
      </c>
      <c r="R818" s="60" t="n"/>
      <c r="S818" s="61" t="n"/>
      <c r="T818" s="61" t="n"/>
      <c r="U818" s="53">
        <f>IF(A818="","",IF(IFERROR(VLOOKUP(D818,Parameter!$A$35:$C$64,2,0),"Nein")="2+3",IF(ISNUMBER(SEARCH("grosser Artikel",BJ818)),2,IFERROR(VLOOKUP(BM818,Parameter!$F$35:$G$64,2,0),2)),IF(OR(IFERROR(VLOOKUP(D818,Parameter!$A$35:$C$64,2,0),"Nein")="Nein",IFERROR(VLOOKUP(D818,Parameter!$A$35:$C$64,2,0),"Nein")=""),"-",VLOOKUP(D818,Parameter!$A$35:$C$64,2,0))))</f>
        <v/>
      </c>
      <c r="V818" s="61" t="n"/>
      <c r="W818" s="62" t="n"/>
      <c r="X818" s="55">
        <f>AM818</f>
        <v/>
      </c>
      <c r="Y818" s="55">
        <f>MAX(AM818,G818)</f>
        <v/>
      </c>
      <c r="Z818" s="63" t="n"/>
      <c r="AA818" s="55">
        <f>IF(LEFT(Cockpit!$C$5,1)="A",G818,IF(BT818=1,BU818,IF(LEFT(Cockpit!$C$5,1)="B",AE818,MAX(AE818,G818))))</f>
        <v/>
      </c>
      <c r="AB818" s="55">
        <f>IF(BO818=1,0,ROUNDUP(AA818/BN818,0))</f>
        <v/>
      </c>
      <c r="AC818" s="64">
        <f>IF(BO818=1,IF(AA818&lt;=0,0,BP818*MAX(1,IF(G818&gt;0,AA818/G818,1))),AB818*Q818)</f>
        <v/>
      </c>
      <c r="AD818" s="55">
        <f>AA818*F818</f>
        <v/>
      </c>
      <c r="AE818" s="55">
        <f>ROUNDUP(MAX(I818/IF(BS818&gt;0,BS818,MAX(0.1,N(Cockpit!$C$6))),BV818)/BN818,0)*BN818</f>
        <v/>
      </c>
      <c r="AF818" s="56">
        <f>IF(AC818&gt;0,I818/AC818,-1)</f>
        <v/>
      </c>
      <c r="AG818" s="56">
        <f>IF(AND(OR(BR818="L1",BR818="L23"),AC818&gt;0),SUMIFS($AC$7:$AC$1570,$BR$7:$BR$1570,BR818,$AF$7:$AF$1570,"&gt;"&amp;AF818)+SUMIFS($AC$7:$AC$1570,$BR$7:$BR$1570,BR818,$AF$7:$AF$1570,AF818,$BL$7:$BL$1570,"&lt;="&amp;BL818),"")</f>
        <v/>
      </c>
      <c r="AH818" s="65">
        <f>IF(AG818="",0,MAX(0,MIN(1,(IF(BR818="L1",Parameter!$K$5,Parameter!$K$6+Parameter!$K$7)-(AG818-AC818))/AC818)))</f>
        <v/>
      </c>
      <c r="AI818" s="55">
        <f>IF(LEFT(Cockpit!$I$5,1)="A",G818,IF(BT818=1,BU818,IF(LEFT(Cockpit!$I$5,1)="B",AM818,MAX(AM818,G818))))</f>
        <v/>
      </c>
      <c r="AJ818" s="55">
        <f>IF(BO818=1,0,ROUNDUP(AI818/BN818,0))</f>
        <v/>
      </c>
      <c r="AK818" s="64">
        <f>IF(BO818=1,IF(AI818&lt;=0,0,BP818*MAX(1,IF(G818&gt;0,AI818/G818,1))),AJ818*Q818)</f>
        <v/>
      </c>
      <c r="AL818" s="55">
        <f>AI818*F818</f>
        <v/>
      </c>
      <c r="AM818" s="55">
        <f>ROUNDUP(MAX(I818/IF(BS818&gt;0,BS818,MAX(0.1,N(Cockpit!$I$6))),BV818)/BN818,0)*BN818</f>
        <v/>
      </c>
      <c r="AN818" s="56">
        <f>IF(AK818&gt;0,I818/AK818,-1)</f>
        <v/>
      </c>
      <c r="AO818" s="56">
        <f>IF(AND(OR(BR818="L1",BR818="L23"),AK818&gt;0),SUMIFS($AK$7:$AK$1570,$BR$7:$BR$1570,BR818,$AN$7:$AN$1570,"&gt;"&amp;AN818)+SUMIFS($AK$7:$AK$1570,$BR$7:$BR$1570,BR818,$AN$7:$AN$1570,AN818,$BL$7:$BL$1570,"&lt;="&amp;BL818),"")</f>
        <v/>
      </c>
      <c r="AP818" s="65">
        <f>IF(AO818="",0,MAX(0,MIN(1,(IF(BR818="L1",Parameter!$K$5,Parameter!$K$6+Parameter!$K$7)-(AO818-AK818))/AK818)))</f>
        <v/>
      </c>
      <c r="AQ818" s="55">
        <f>IF(LEFT(Cockpit!$O$5,1)="A",G818,IF(BT818=1,BU818,IF(LEFT(Cockpit!$O$5,1)="B",AU818,MAX(AU818,G818))))</f>
        <v/>
      </c>
      <c r="AR818" s="55">
        <f>IF(BO818=1,0,ROUNDUP(AQ818/BN818,0))</f>
        <v/>
      </c>
      <c r="AS818" s="64">
        <f>IF(BO818=1,IF(AQ818&lt;=0,0,BP818*MAX(1,IF(G818&gt;0,AQ818/G818,1))),AR818*Q818)</f>
        <v/>
      </c>
      <c r="AT818" s="55">
        <f>AQ818*F818</f>
        <v/>
      </c>
      <c r="AU818" s="55">
        <f>ROUNDUP(MAX(I818/IF(BS818&gt;0,BS818,MAX(0.1,N(Cockpit!$O$6))),BV818)/BN818,0)*BN818</f>
        <v/>
      </c>
      <c r="AV818" s="56">
        <f>IF(AS818&gt;0,I818/AS818,-1)</f>
        <v/>
      </c>
      <c r="AW818" s="56">
        <f>IF(AND(OR(BR818="L1",BR818="L23"),AS818&gt;0),SUMIFS($AS$7:$AS$1570,$BR$7:$BR$1570,BR818,$AV$7:$AV$1570,"&gt;"&amp;AV818)+SUMIFS($AS$7:$AS$1570,$BR$7:$BR$1570,BR818,$AV$7:$AV$1570,AV818,$BL$7:$BL$1570,"&lt;="&amp;BL818),"")</f>
        <v/>
      </c>
      <c r="AX818" s="65">
        <f>IF(AW818="",0,MAX(0,MIN(1,(IF(BR818="L1",Parameter!$K$5,Parameter!$K$6+Parameter!$K$7)-(AW818-AS818))/AS818)))</f>
        <v/>
      </c>
      <c r="AY818" s="53">
        <f>IF(AC818&lt;=0,"",IF(BR818="Aussen","Aussenlager",IF(BR818="-","Nicht im Lift",IF(AH818&gt;=1,"Lift",IF(AH818&lt;=0,"Aussenlager","teilweise")))))</f>
        <v/>
      </c>
      <c r="AZ818" s="53">
        <f>IF(AK818&lt;=0,"",IF(BR818="Aussen","Aussenlager",IF(BR818="-","Nicht im Lift",IF(AP818&gt;=1,"Lift",IF(AP818&lt;=0,"Aussenlager","teilweise")))))</f>
        <v/>
      </c>
      <c r="BA818" s="53">
        <f>IF(AS818&lt;=0,"",IF(BR818="Aussen","Aussenlager",IF(BR818="-","Nicht im Lift",IF(AX818&gt;=1,"Lift",IF(AX818&lt;=0,"Aussenlager","teilweise")))))</f>
        <v/>
      </c>
      <c r="BB818" s="53">
        <f>IF(A818="","",IF(BK818=1,"Neu; ","")&amp;IF(AND(BK818=0,BF818&lt;0),"negativer Bestand (Export "&amp;BF818&amp;"); ","")&amp;IF(I818&lt;=0,"Kein Verbrauch; ","")&amp;IF(BO818=1,"Lose – Fläche geschätzt; ","")&amp;IF(G818&gt;AM818,"Überbestand "&amp;ROUND(G818-AM818,0)&amp;" Stk / CHF "&amp;ROUND((G818-AM818)*F818,0)&amp;"; ","")&amp;IF(AND(BT818=1,BU818&lt;BV818),"MAX &lt; MB+LG; ","")&amp;IF(AND(BZ818&gt;0,BY818*10&gt;BZ818),"zu hoch für Tablar; ","")&amp;IF(AND(BK818=0,OR(BT818=1,V818&lt;&gt;"",S818&lt;&gt;"",T818&lt;&gt;"",W818&lt;&gt;"")),"manuell übersteuert; ","")&amp;IF(AND(BO818=0,Q818=0),"Gebinde unbekannt; ","")&amp;IF(AND(BO818=0,N(T818)&lt;=0,N(P818)&lt;=0),"Menge pro Gebinde fehlt (Ist = 1 Gebinde); ","")&amp;BJ818)</f>
        <v/>
      </c>
      <c r="BC818" s="53" t="n"/>
      <c r="BD818" s="53" t="n"/>
      <c r="BE818" s="61" t="n"/>
      <c r="BF818" s="55" t="n">
        <v>0</v>
      </c>
      <c r="BG818" s="55" t="n">
        <v>2</v>
      </c>
      <c r="BH818" s="54" t="n">
        <v>-8.379999999999999</v>
      </c>
      <c r="BI818" s="55" t="n">
        <v>3</v>
      </c>
      <c r="BJ818" s="53" t="inlineStr"/>
      <c r="BK818" s="58" t="n">
        <v>0</v>
      </c>
      <c r="BL818" s="58" t="n">
        <v>818</v>
      </c>
      <c r="BM818" s="53">
        <f>IF(S818&lt;&gt;"",UPPER(TRIM(S818)),IF(O818="","LOSE",O818))</f>
        <v/>
      </c>
      <c r="BN818" s="55">
        <f>IF(BM818="LOSE",1,IF(N(T818)&gt;0,T818,IF(N(P818)&gt;0,P818,MAX(1,G818))))</f>
        <v/>
      </c>
      <c r="BO818" s="58">
        <f>IF(BM818="LOSE",1,0)</f>
        <v/>
      </c>
      <c r="BP818" s="64">
        <f>IF(BO818=0,0,IF(N(R818)&gt;0,R818,IFERROR(VLOOKUP(D818,Parameter!$A$35:$C$64,3,0)+0,0)))</f>
        <v/>
      </c>
      <c r="BQ818" s="53">
        <f>IF(V818&lt;&gt;"",V818,U818)</f>
        <v/>
      </c>
      <c r="BR818" s="53">
        <f>IF(BQ818=1,"L1",IF(OR(BQ818=2,BQ818=3),"L23",IF(BQ818="Aussen","Aussen","-")))</f>
        <v/>
      </c>
      <c r="BS818" s="66">
        <f>IF(N(W818)&gt;0,W818,0)</f>
        <v/>
      </c>
      <c r="BT818" s="58">
        <f>IF(ISNUMBER(Z818),1,0)</f>
        <v/>
      </c>
      <c r="BU818" s="55">
        <f>N(Z818)</f>
        <v/>
      </c>
      <c r="BV818" s="55">
        <f>N(L818)+N(M818)</f>
        <v/>
      </c>
      <c r="BW818" s="55">
        <f>ROUNDUP(G818/BN818,0)</f>
        <v/>
      </c>
      <c r="BX818" s="55">
        <f>ROUNDUP(BU818/BN818,0)</f>
        <v/>
      </c>
      <c r="BY818" s="58">
        <f>IF(BO818=1,0,IFERROR(VLOOKUP(BM818,'Gebinde-Kategorie'!$A$5:$G$45,5,0)+0,0))</f>
        <v/>
      </c>
      <c r="BZ818" s="58">
        <f>IFERROR(IF(OR(BQ818=1,BQ818=2,BQ818=3),N(INDEX(Parameter!$I$5:$I$7,BQ818)),0),0)</f>
        <v/>
      </c>
    </row>
    <row r="819">
      <c r="A819" s="53" t="inlineStr">
        <is>
          <t>106273</t>
        </is>
      </c>
      <c r="B819" s="53" t="inlineStr">
        <is>
          <t>O-Ring</t>
        </is>
      </c>
      <c r="C819" s="53" t="inlineStr">
        <is>
          <t>F</t>
        </is>
      </c>
      <c r="D819" s="53" t="inlineStr">
        <is>
          <t>KTL</t>
        </is>
      </c>
      <c r="E819" s="53" t="inlineStr">
        <is>
          <t>C</t>
        </is>
      </c>
      <c r="F819" s="54" t="n">
        <v>0.19</v>
      </c>
      <c r="G819" s="55">
        <f>MAX(0,IF(Parameter!$B$20="Jahresanfang 2025 + Export",BG819+BF819,BF819))</f>
        <v/>
      </c>
      <c r="H819" s="55">
        <f>G819*F819</f>
        <v/>
      </c>
      <c r="I819" s="55">
        <f>BI819*Parameter!$B$18</f>
        <v/>
      </c>
      <c r="J819" s="56" t="n">
        <v>166</v>
      </c>
      <c r="K819" s="57" t="n">
        <v>1.867469879518072</v>
      </c>
      <c r="L819" s="55" t="n">
        <v>12</v>
      </c>
      <c r="M819" s="55" t="n">
        <v>310</v>
      </c>
      <c r="N819" s="58" t="n">
        <v>14</v>
      </c>
      <c r="O819" s="53" t="inlineStr">
        <is>
          <t>S22</t>
        </is>
      </c>
      <c r="P819" s="55" t="n">
        <v>195</v>
      </c>
      <c r="Q819" s="59">
        <f>IF(BO819=1,0,IFERROR(VLOOKUP(BM819,'Gebinde-Kategorie'!$A$5:$G$45,6,0)+0,0))</f>
        <v/>
      </c>
      <c r="R819" s="60" t="n"/>
      <c r="S819" s="61" t="n"/>
      <c r="T819" s="61" t="n"/>
      <c r="U819" s="53">
        <f>IF(A819="","",IF(IFERROR(VLOOKUP(D819,Parameter!$A$35:$C$64,2,0),"Nein")="2+3",IF(ISNUMBER(SEARCH("grosser Artikel",BJ819)),2,IFERROR(VLOOKUP(BM819,Parameter!$F$35:$G$64,2,0),2)),IF(OR(IFERROR(VLOOKUP(D819,Parameter!$A$35:$C$64,2,0),"Nein")="Nein",IFERROR(VLOOKUP(D819,Parameter!$A$35:$C$64,2,0),"Nein")=""),"-",VLOOKUP(D819,Parameter!$A$35:$C$64,2,0))))</f>
        <v/>
      </c>
      <c r="V819" s="61" t="n"/>
      <c r="W819" s="62" t="n"/>
      <c r="X819" s="55">
        <f>AM819</f>
        <v/>
      </c>
      <c r="Y819" s="55">
        <f>MAX(AM819,G819)</f>
        <v/>
      </c>
      <c r="Z819" s="63" t="n"/>
      <c r="AA819" s="55">
        <f>IF(LEFT(Cockpit!$C$5,1)="A",G819,IF(BT819=1,BU819,IF(LEFT(Cockpit!$C$5,1)="B",AE819,MAX(AE819,G819))))</f>
        <v/>
      </c>
      <c r="AB819" s="55">
        <f>IF(BO819=1,0,ROUNDUP(AA819/BN819,0))</f>
        <v/>
      </c>
      <c r="AC819" s="64">
        <f>IF(BO819=1,IF(AA819&lt;=0,0,BP819*MAX(1,IF(G819&gt;0,AA819/G819,1))),AB819*Q819)</f>
        <v/>
      </c>
      <c r="AD819" s="55">
        <f>AA819*F819</f>
        <v/>
      </c>
      <c r="AE819" s="55">
        <f>ROUNDUP(MAX(I819/IF(BS819&gt;0,BS819,MAX(0.1,N(Cockpit!$C$6))),BV819)/BN819,0)*BN819</f>
        <v/>
      </c>
      <c r="AF819" s="56">
        <f>IF(AC819&gt;0,I819/AC819,-1)</f>
        <v/>
      </c>
      <c r="AG819" s="56">
        <f>IF(AND(OR(BR819="L1",BR819="L23"),AC819&gt;0),SUMIFS($AC$7:$AC$1570,$BR$7:$BR$1570,BR819,$AF$7:$AF$1570,"&gt;"&amp;AF819)+SUMIFS($AC$7:$AC$1570,$BR$7:$BR$1570,BR819,$AF$7:$AF$1570,AF819,$BL$7:$BL$1570,"&lt;="&amp;BL819),"")</f>
        <v/>
      </c>
      <c r="AH819" s="65">
        <f>IF(AG819="",0,MAX(0,MIN(1,(IF(BR819="L1",Parameter!$K$5,Parameter!$K$6+Parameter!$K$7)-(AG819-AC819))/AC819)))</f>
        <v/>
      </c>
      <c r="AI819" s="55">
        <f>IF(LEFT(Cockpit!$I$5,1)="A",G819,IF(BT819=1,BU819,IF(LEFT(Cockpit!$I$5,1)="B",AM819,MAX(AM819,G819))))</f>
        <v/>
      </c>
      <c r="AJ819" s="55">
        <f>IF(BO819=1,0,ROUNDUP(AI819/BN819,0))</f>
        <v/>
      </c>
      <c r="AK819" s="64">
        <f>IF(BO819=1,IF(AI819&lt;=0,0,BP819*MAX(1,IF(G819&gt;0,AI819/G819,1))),AJ819*Q819)</f>
        <v/>
      </c>
      <c r="AL819" s="55">
        <f>AI819*F819</f>
        <v/>
      </c>
      <c r="AM819" s="55">
        <f>ROUNDUP(MAX(I819/IF(BS819&gt;0,BS819,MAX(0.1,N(Cockpit!$I$6))),BV819)/BN819,0)*BN819</f>
        <v/>
      </c>
      <c r="AN819" s="56">
        <f>IF(AK819&gt;0,I819/AK819,-1)</f>
        <v/>
      </c>
      <c r="AO819" s="56">
        <f>IF(AND(OR(BR819="L1",BR819="L23"),AK819&gt;0),SUMIFS($AK$7:$AK$1570,$BR$7:$BR$1570,BR819,$AN$7:$AN$1570,"&gt;"&amp;AN819)+SUMIFS($AK$7:$AK$1570,$BR$7:$BR$1570,BR819,$AN$7:$AN$1570,AN819,$BL$7:$BL$1570,"&lt;="&amp;BL819),"")</f>
        <v/>
      </c>
      <c r="AP819" s="65">
        <f>IF(AO819="",0,MAX(0,MIN(1,(IF(BR819="L1",Parameter!$K$5,Parameter!$K$6+Parameter!$K$7)-(AO819-AK819))/AK819)))</f>
        <v/>
      </c>
      <c r="AQ819" s="55">
        <f>IF(LEFT(Cockpit!$O$5,1)="A",G819,IF(BT819=1,BU819,IF(LEFT(Cockpit!$O$5,1)="B",AU819,MAX(AU819,G819))))</f>
        <v/>
      </c>
      <c r="AR819" s="55">
        <f>IF(BO819=1,0,ROUNDUP(AQ819/BN819,0))</f>
        <v/>
      </c>
      <c r="AS819" s="64">
        <f>IF(BO819=1,IF(AQ819&lt;=0,0,BP819*MAX(1,IF(G819&gt;0,AQ819/G819,1))),AR819*Q819)</f>
        <v/>
      </c>
      <c r="AT819" s="55">
        <f>AQ819*F819</f>
        <v/>
      </c>
      <c r="AU819" s="55">
        <f>ROUNDUP(MAX(I819/IF(BS819&gt;0,BS819,MAX(0.1,N(Cockpit!$O$6))),BV819)/BN819,0)*BN819</f>
        <v/>
      </c>
      <c r="AV819" s="56">
        <f>IF(AS819&gt;0,I819/AS819,-1)</f>
        <v/>
      </c>
      <c r="AW819" s="56">
        <f>IF(AND(OR(BR819="L1",BR819="L23"),AS819&gt;0),SUMIFS($AS$7:$AS$1570,$BR$7:$BR$1570,BR819,$AV$7:$AV$1570,"&gt;"&amp;AV819)+SUMIFS($AS$7:$AS$1570,$BR$7:$BR$1570,BR819,$AV$7:$AV$1570,AV819,$BL$7:$BL$1570,"&lt;="&amp;BL819),"")</f>
        <v/>
      </c>
      <c r="AX819" s="65">
        <f>IF(AW819="",0,MAX(0,MIN(1,(IF(BR819="L1",Parameter!$K$5,Parameter!$K$6+Parameter!$K$7)-(AW819-AS819))/AS819)))</f>
        <v/>
      </c>
      <c r="AY819" s="53">
        <f>IF(AC819&lt;=0,"",IF(BR819="Aussen","Aussenlager",IF(BR819="-","Nicht im Lift",IF(AH819&gt;=1,"Lift",IF(AH819&lt;=0,"Aussenlager","teilweise")))))</f>
        <v/>
      </c>
      <c r="AZ819" s="53">
        <f>IF(AK819&lt;=0,"",IF(BR819="Aussen","Aussenlager",IF(BR819="-","Nicht im Lift",IF(AP819&gt;=1,"Lift",IF(AP819&lt;=0,"Aussenlager","teilweise")))))</f>
        <v/>
      </c>
      <c r="BA819" s="53">
        <f>IF(AS819&lt;=0,"",IF(BR819="Aussen","Aussenlager",IF(BR819="-","Nicht im Lift",IF(AX819&gt;=1,"Lift",IF(AX819&lt;=0,"Aussenlager","teilweise")))))</f>
        <v/>
      </c>
      <c r="BB819" s="53">
        <f>IF(A819="","",IF(BK819=1,"Neu; ","")&amp;IF(AND(BK819=0,BF819&lt;0),"negativer Bestand (Export "&amp;BF819&amp;"); ","")&amp;IF(I819&lt;=0,"Kein Verbrauch; ","")&amp;IF(BO819=1,"Lose – Fläche geschätzt; ","")&amp;IF(G819&gt;AM819,"Überbestand "&amp;ROUND(G819-AM819,0)&amp;" Stk / CHF "&amp;ROUND((G819-AM819)*F819,0)&amp;"; ","")&amp;IF(AND(BT819=1,BU819&lt;BV819),"MAX &lt; MB+LG; ","")&amp;IF(AND(BZ819&gt;0,BY819*10&gt;BZ819),"zu hoch für Tablar; ","")&amp;IF(AND(BK819=0,OR(BT819=1,V819&lt;&gt;"",S819&lt;&gt;"",T819&lt;&gt;"",W819&lt;&gt;"")),"manuell übersteuert; ","")&amp;IF(AND(BO819=0,Q819=0),"Gebinde unbekannt; ","")&amp;IF(AND(BO819=0,N(T819)&lt;=0,N(P819)&lt;=0),"Menge pro Gebinde fehlt (Ist = 1 Gebinde); ","")&amp;BJ819)</f>
        <v/>
      </c>
      <c r="BC819" s="53" t="n"/>
      <c r="BD819" s="53" t="n"/>
      <c r="BE819" s="61" t="n"/>
      <c r="BF819" s="55" t="n">
        <v>-47</v>
      </c>
      <c r="BG819" s="55" t="n">
        <v>122</v>
      </c>
      <c r="BH819" s="54" t="n">
        <v>-8.930000000000007</v>
      </c>
      <c r="BI819" s="55" t="n">
        <v>310</v>
      </c>
      <c r="BJ819" s="53" t="inlineStr"/>
      <c r="BK819" s="58" t="n">
        <v>0</v>
      </c>
      <c r="BL819" s="58" t="n">
        <v>819</v>
      </c>
      <c r="BM819" s="53">
        <f>IF(S819&lt;&gt;"",UPPER(TRIM(S819)),IF(O819="","LOSE",O819))</f>
        <v/>
      </c>
      <c r="BN819" s="55">
        <f>IF(BM819="LOSE",1,IF(N(T819)&gt;0,T819,IF(N(P819)&gt;0,P819,MAX(1,G819))))</f>
        <v/>
      </c>
      <c r="BO819" s="58">
        <f>IF(BM819="LOSE",1,0)</f>
        <v/>
      </c>
      <c r="BP819" s="64">
        <f>IF(BO819=0,0,IF(N(R819)&gt;0,R819,IFERROR(VLOOKUP(D819,Parameter!$A$35:$C$64,3,0)+0,0)))</f>
        <v/>
      </c>
      <c r="BQ819" s="53">
        <f>IF(V819&lt;&gt;"",V819,U819)</f>
        <v/>
      </c>
      <c r="BR819" s="53">
        <f>IF(BQ819=1,"L1",IF(OR(BQ819=2,BQ819=3),"L23",IF(BQ819="Aussen","Aussen","-")))</f>
        <v/>
      </c>
      <c r="BS819" s="66">
        <f>IF(N(W819)&gt;0,W819,0)</f>
        <v/>
      </c>
      <c r="BT819" s="58">
        <f>IF(ISNUMBER(Z819),1,0)</f>
        <v/>
      </c>
      <c r="BU819" s="55">
        <f>N(Z819)</f>
        <v/>
      </c>
      <c r="BV819" s="55">
        <f>N(L819)+N(M819)</f>
        <v/>
      </c>
      <c r="BW819" s="55">
        <f>ROUNDUP(G819/BN819,0)</f>
        <v/>
      </c>
      <c r="BX819" s="55">
        <f>ROUNDUP(BU819/BN819,0)</f>
        <v/>
      </c>
      <c r="BY819" s="58">
        <f>IF(BO819=1,0,IFERROR(VLOOKUP(BM819,'Gebinde-Kategorie'!$A$5:$G$45,5,0)+0,0))</f>
        <v/>
      </c>
      <c r="BZ819" s="58">
        <f>IFERROR(IF(OR(BQ819=1,BQ819=2,BQ819=3),N(INDEX(Parameter!$I$5:$I$7,BQ819)),0),0)</f>
        <v/>
      </c>
    </row>
    <row r="820">
      <c r="A820" s="53" t="inlineStr">
        <is>
          <t>107851</t>
        </is>
      </c>
      <c r="B820" s="53" t="inlineStr">
        <is>
          <t>Schalldämpfer</t>
        </is>
      </c>
      <c r="C820" s="53" t="inlineStr">
        <is>
          <t>F</t>
        </is>
      </c>
      <c r="D820" s="53" t="inlineStr">
        <is>
          <t>KTL</t>
        </is>
      </c>
      <c r="E820" s="53" t="inlineStr">
        <is>
          <t>C</t>
        </is>
      </c>
      <c r="F820" s="54" t="n">
        <v>9.4</v>
      </c>
      <c r="G820" s="55">
        <f>MAX(0,IF(Parameter!$B$20="Jahresanfang 2025 + Export",BG820+BF820,BF820))</f>
        <v/>
      </c>
      <c r="H820" s="55">
        <f>G820*F820</f>
        <v/>
      </c>
      <c r="I820" s="55">
        <f>BI820*Parameter!$B$18</f>
        <v/>
      </c>
      <c r="J820" s="56" t="n">
        <v>10.5</v>
      </c>
      <c r="K820" s="57" t="n">
        <v>0</v>
      </c>
      <c r="L820" s="55" t="n">
        <v>0</v>
      </c>
      <c r="M820" s="55" t="n">
        <v>1</v>
      </c>
      <c r="N820" s="58" t="n">
        <v>14</v>
      </c>
      <c r="O820" s="53" t="inlineStr">
        <is>
          <t>S22</t>
        </is>
      </c>
      <c r="P820" s="55" t="n">
        <v>15</v>
      </c>
      <c r="Q820" s="59">
        <f>IF(BO820=1,0,IFERROR(VLOOKUP(BM820,'Gebinde-Kategorie'!$A$5:$G$45,6,0)+0,0))</f>
        <v/>
      </c>
      <c r="R820" s="60" t="n"/>
      <c r="S820" s="61" t="n"/>
      <c r="T820" s="61" t="n"/>
      <c r="U820" s="53">
        <f>IF(A820="","",IF(IFERROR(VLOOKUP(D820,Parameter!$A$35:$C$64,2,0),"Nein")="2+3",IF(ISNUMBER(SEARCH("grosser Artikel",BJ820)),2,IFERROR(VLOOKUP(BM820,Parameter!$F$35:$G$64,2,0),2)),IF(OR(IFERROR(VLOOKUP(D820,Parameter!$A$35:$C$64,2,0),"Nein")="Nein",IFERROR(VLOOKUP(D820,Parameter!$A$35:$C$64,2,0),"Nein")=""),"-",VLOOKUP(D820,Parameter!$A$35:$C$64,2,0))))</f>
        <v/>
      </c>
      <c r="V820" s="61" t="n"/>
      <c r="W820" s="62" t="n"/>
      <c r="X820" s="55">
        <f>AM820</f>
        <v/>
      </c>
      <c r="Y820" s="55">
        <f>MAX(AM820,G820)</f>
        <v/>
      </c>
      <c r="Z820" s="63" t="n"/>
      <c r="AA820" s="55">
        <f>IF(LEFT(Cockpit!$C$5,1)="A",G820,IF(BT820=1,BU820,IF(LEFT(Cockpit!$C$5,1)="B",AE820,MAX(AE820,G820))))</f>
        <v/>
      </c>
      <c r="AB820" s="55">
        <f>IF(BO820=1,0,ROUNDUP(AA820/BN820,0))</f>
        <v/>
      </c>
      <c r="AC820" s="64">
        <f>IF(BO820=1,IF(AA820&lt;=0,0,BP820*MAX(1,IF(G820&gt;0,AA820/G820,1))),AB820*Q820)</f>
        <v/>
      </c>
      <c r="AD820" s="55">
        <f>AA820*F820</f>
        <v/>
      </c>
      <c r="AE820" s="55">
        <f>ROUNDUP(MAX(I820/IF(BS820&gt;0,BS820,MAX(0.1,N(Cockpit!$C$6))),BV820)/BN820,0)*BN820</f>
        <v/>
      </c>
      <c r="AF820" s="56">
        <f>IF(AC820&gt;0,I820/AC820,-1)</f>
        <v/>
      </c>
      <c r="AG820" s="56">
        <f>IF(AND(OR(BR820="L1",BR820="L23"),AC820&gt;0),SUMIFS($AC$7:$AC$1570,$BR$7:$BR$1570,BR820,$AF$7:$AF$1570,"&gt;"&amp;AF820)+SUMIFS($AC$7:$AC$1570,$BR$7:$BR$1570,BR820,$AF$7:$AF$1570,AF820,$BL$7:$BL$1570,"&lt;="&amp;BL820),"")</f>
        <v/>
      </c>
      <c r="AH820" s="65">
        <f>IF(AG820="",0,MAX(0,MIN(1,(IF(BR820="L1",Parameter!$K$5,Parameter!$K$6+Parameter!$K$7)-(AG820-AC820))/AC820)))</f>
        <v/>
      </c>
      <c r="AI820" s="55">
        <f>IF(LEFT(Cockpit!$I$5,1)="A",G820,IF(BT820=1,BU820,IF(LEFT(Cockpit!$I$5,1)="B",AM820,MAX(AM820,G820))))</f>
        <v/>
      </c>
      <c r="AJ820" s="55">
        <f>IF(BO820=1,0,ROUNDUP(AI820/BN820,0))</f>
        <v/>
      </c>
      <c r="AK820" s="64">
        <f>IF(BO820=1,IF(AI820&lt;=0,0,BP820*MAX(1,IF(G820&gt;0,AI820/G820,1))),AJ820*Q820)</f>
        <v/>
      </c>
      <c r="AL820" s="55">
        <f>AI820*F820</f>
        <v/>
      </c>
      <c r="AM820" s="55">
        <f>ROUNDUP(MAX(I820/IF(BS820&gt;0,BS820,MAX(0.1,N(Cockpit!$I$6))),BV820)/BN820,0)*BN820</f>
        <v/>
      </c>
      <c r="AN820" s="56">
        <f>IF(AK820&gt;0,I820/AK820,-1)</f>
        <v/>
      </c>
      <c r="AO820" s="56">
        <f>IF(AND(OR(BR820="L1",BR820="L23"),AK820&gt;0),SUMIFS($AK$7:$AK$1570,$BR$7:$BR$1570,BR820,$AN$7:$AN$1570,"&gt;"&amp;AN820)+SUMIFS($AK$7:$AK$1570,$BR$7:$BR$1570,BR820,$AN$7:$AN$1570,AN820,$BL$7:$BL$1570,"&lt;="&amp;BL820),"")</f>
        <v/>
      </c>
      <c r="AP820" s="65">
        <f>IF(AO820="",0,MAX(0,MIN(1,(IF(BR820="L1",Parameter!$K$5,Parameter!$K$6+Parameter!$K$7)-(AO820-AK820))/AK820)))</f>
        <v/>
      </c>
      <c r="AQ820" s="55">
        <f>IF(LEFT(Cockpit!$O$5,1)="A",G820,IF(BT820=1,BU820,IF(LEFT(Cockpit!$O$5,1)="B",AU820,MAX(AU820,G820))))</f>
        <v/>
      </c>
      <c r="AR820" s="55">
        <f>IF(BO820=1,0,ROUNDUP(AQ820/BN820,0))</f>
        <v/>
      </c>
      <c r="AS820" s="64">
        <f>IF(BO820=1,IF(AQ820&lt;=0,0,BP820*MAX(1,IF(G820&gt;0,AQ820/G820,1))),AR820*Q820)</f>
        <v/>
      </c>
      <c r="AT820" s="55">
        <f>AQ820*F820</f>
        <v/>
      </c>
      <c r="AU820" s="55">
        <f>ROUNDUP(MAX(I820/IF(BS820&gt;0,BS820,MAX(0.1,N(Cockpit!$O$6))),BV820)/BN820,0)*BN820</f>
        <v/>
      </c>
      <c r="AV820" s="56">
        <f>IF(AS820&gt;0,I820/AS820,-1)</f>
        <v/>
      </c>
      <c r="AW820" s="56">
        <f>IF(AND(OR(BR820="L1",BR820="L23"),AS820&gt;0),SUMIFS($AS$7:$AS$1570,$BR$7:$BR$1570,BR820,$AV$7:$AV$1570,"&gt;"&amp;AV820)+SUMIFS($AS$7:$AS$1570,$BR$7:$BR$1570,BR820,$AV$7:$AV$1570,AV820,$BL$7:$BL$1570,"&lt;="&amp;BL820),"")</f>
        <v/>
      </c>
      <c r="AX820" s="65">
        <f>IF(AW820="",0,MAX(0,MIN(1,(IF(BR820="L1",Parameter!$K$5,Parameter!$K$6+Parameter!$K$7)-(AW820-AS820))/AS820)))</f>
        <v/>
      </c>
      <c r="AY820" s="53">
        <f>IF(AC820&lt;=0,"",IF(BR820="Aussen","Aussenlager",IF(BR820="-","Nicht im Lift",IF(AH820&gt;=1,"Lift",IF(AH820&lt;=0,"Aussenlager","teilweise")))))</f>
        <v/>
      </c>
      <c r="AZ820" s="53">
        <f>IF(AK820&lt;=0,"",IF(BR820="Aussen","Aussenlager",IF(BR820="-","Nicht im Lift",IF(AP820&gt;=1,"Lift",IF(AP820&lt;=0,"Aussenlager","teilweise")))))</f>
        <v/>
      </c>
      <c r="BA820" s="53">
        <f>IF(AS820&lt;=0,"",IF(BR820="Aussen","Aussenlager",IF(BR820="-","Nicht im Lift",IF(AX820&gt;=1,"Lift",IF(AX820&lt;=0,"Aussenlager","teilweise")))))</f>
        <v/>
      </c>
      <c r="BB820" s="53">
        <f>IF(A820="","",IF(BK820=1,"Neu; ","")&amp;IF(AND(BK820=0,BF820&lt;0),"negativer Bestand (Export "&amp;BF820&amp;"); ","")&amp;IF(I820&lt;=0,"Kein Verbrauch; ","")&amp;IF(BO820=1,"Lose – Fläche geschätzt; ","")&amp;IF(G820&gt;AM820,"Überbestand "&amp;ROUND(G820-AM820,0)&amp;" Stk / CHF "&amp;ROUND((G820-AM820)*F820,0)&amp;"; ","")&amp;IF(AND(BT820=1,BU820&lt;BV820),"MAX &lt; MB+LG; ","")&amp;IF(AND(BZ820&gt;0,BY820*10&gt;BZ820),"zu hoch für Tablar; ","")&amp;IF(AND(BK820=0,OR(BT820=1,V820&lt;&gt;"",S820&lt;&gt;"",T820&lt;&gt;"",W820&lt;&gt;"")),"manuell übersteuert; ","")&amp;IF(AND(BO820=0,Q820=0),"Gebinde unbekannt; ","")&amp;IF(AND(BO820=0,N(T820)&lt;=0,N(P820)&lt;=0),"Menge pro Gebinde fehlt (Ist = 1 Gebinde); ","")&amp;BJ820)</f>
        <v/>
      </c>
      <c r="BC820" s="53" t="n"/>
      <c r="BD820" s="53" t="n"/>
      <c r="BE820" s="61" t="n"/>
      <c r="BF820" s="55" t="n">
        <v>-1</v>
      </c>
      <c r="BG820" s="55" t="n">
        <v>11</v>
      </c>
      <c r="BH820" s="54" t="n">
        <v>-9.4</v>
      </c>
      <c r="BI820" s="55" t="n">
        <v>0</v>
      </c>
      <c r="BJ820" s="53" t="inlineStr">
        <is>
          <t>Neu</t>
        </is>
      </c>
      <c r="BK820" s="58" t="n">
        <v>0</v>
      </c>
      <c r="BL820" s="58" t="n">
        <v>820</v>
      </c>
      <c r="BM820" s="53">
        <f>IF(S820&lt;&gt;"",UPPER(TRIM(S820)),IF(O820="","LOSE",O820))</f>
        <v/>
      </c>
      <c r="BN820" s="55">
        <f>IF(BM820="LOSE",1,IF(N(T820)&gt;0,T820,IF(N(P820)&gt;0,P820,MAX(1,G820))))</f>
        <v/>
      </c>
      <c r="BO820" s="58">
        <f>IF(BM820="LOSE",1,0)</f>
        <v/>
      </c>
      <c r="BP820" s="64">
        <f>IF(BO820=0,0,IF(N(R820)&gt;0,R820,IFERROR(VLOOKUP(D820,Parameter!$A$35:$C$64,3,0)+0,0)))</f>
        <v/>
      </c>
      <c r="BQ820" s="53">
        <f>IF(V820&lt;&gt;"",V820,U820)</f>
        <v/>
      </c>
      <c r="BR820" s="53">
        <f>IF(BQ820=1,"L1",IF(OR(BQ820=2,BQ820=3),"L23",IF(BQ820="Aussen","Aussen","-")))</f>
        <v/>
      </c>
      <c r="BS820" s="66">
        <f>IF(N(W820)&gt;0,W820,0)</f>
        <v/>
      </c>
      <c r="BT820" s="58">
        <f>IF(ISNUMBER(Z820),1,0)</f>
        <v/>
      </c>
      <c r="BU820" s="55">
        <f>N(Z820)</f>
        <v/>
      </c>
      <c r="BV820" s="55">
        <f>N(L820)+N(M820)</f>
        <v/>
      </c>
      <c r="BW820" s="55">
        <f>ROUNDUP(G820/BN820,0)</f>
        <v/>
      </c>
      <c r="BX820" s="55">
        <f>ROUNDUP(BU820/BN820,0)</f>
        <v/>
      </c>
      <c r="BY820" s="58">
        <f>IF(BO820=1,0,IFERROR(VLOOKUP(BM820,'Gebinde-Kategorie'!$A$5:$G$45,5,0)+0,0))</f>
        <v/>
      </c>
      <c r="BZ820" s="58">
        <f>IFERROR(IF(OR(BQ820=1,BQ820=2,BQ820=3),N(INDEX(Parameter!$I$5:$I$7,BQ820)),0),0)</f>
        <v/>
      </c>
    </row>
    <row r="821">
      <c r="A821" s="53" t="inlineStr">
        <is>
          <t>100528</t>
        </is>
      </c>
      <c r="B821" s="53" t="inlineStr">
        <is>
          <t>Sicherungsscheibe</t>
        </is>
      </c>
      <c r="C821" s="53" t="inlineStr">
        <is>
          <t>F</t>
        </is>
      </c>
      <c r="D821" s="53" t="inlineStr">
        <is>
          <t>KTL</t>
        </is>
      </c>
      <c r="E821" s="53" t="inlineStr">
        <is>
          <t>C</t>
        </is>
      </c>
      <c r="F821" s="54" t="n">
        <v>0.02</v>
      </c>
      <c r="G821" s="55">
        <f>MAX(0,IF(Parameter!$B$20="Jahresanfang 2025 + Export",BG821+BF821,BF821))</f>
        <v/>
      </c>
      <c r="H821" s="55">
        <f>G821*F821</f>
        <v/>
      </c>
      <c r="I821" s="55">
        <f>BI821*Parameter!$B$18</f>
        <v/>
      </c>
      <c r="J821" s="56" t="n">
        <v>535.5</v>
      </c>
      <c r="K821" s="57" t="n">
        <v>1.277310924369748</v>
      </c>
      <c r="L821" s="55" t="n">
        <v>39</v>
      </c>
      <c r="M821" s="55" t="n">
        <v>1000</v>
      </c>
      <c r="N821" s="58" t="n">
        <v>21</v>
      </c>
      <c r="O821" s="53" t="inlineStr">
        <is>
          <t>S21</t>
        </is>
      </c>
      <c r="P821" s="55" t="n">
        <v>218</v>
      </c>
      <c r="Q821" s="59">
        <f>IF(BO821=1,0,IFERROR(VLOOKUP(BM821,'Gebinde-Kategorie'!$A$5:$G$45,6,0)+0,0))</f>
        <v/>
      </c>
      <c r="R821" s="60" t="n"/>
      <c r="S821" s="61" t="n"/>
      <c r="T821" s="61" t="n"/>
      <c r="U821" s="53">
        <f>IF(A821="","",IF(IFERROR(VLOOKUP(D821,Parameter!$A$35:$C$64,2,0),"Nein")="2+3",IF(ISNUMBER(SEARCH("grosser Artikel",BJ821)),2,IFERROR(VLOOKUP(BM821,Parameter!$F$35:$G$64,2,0),2)),IF(OR(IFERROR(VLOOKUP(D821,Parameter!$A$35:$C$64,2,0),"Nein")="Nein",IFERROR(VLOOKUP(D821,Parameter!$A$35:$C$64,2,0),"Nein")=""),"-",VLOOKUP(D821,Parameter!$A$35:$C$64,2,0))))</f>
        <v/>
      </c>
      <c r="V821" s="61" t="n"/>
      <c r="W821" s="62" t="n"/>
      <c r="X821" s="55">
        <f>AM821</f>
        <v/>
      </c>
      <c r="Y821" s="55">
        <f>MAX(AM821,G821)</f>
        <v/>
      </c>
      <c r="Z821" s="63" t="n"/>
      <c r="AA821" s="55">
        <f>IF(LEFT(Cockpit!$C$5,1)="A",G821,IF(BT821=1,BU821,IF(LEFT(Cockpit!$C$5,1)="B",AE821,MAX(AE821,G821))))</f>
        <v/>
      </c>
      <c r="AB821" s="55">
        <f>IF(BO821=1,0,ROUNDUP(AA821/BN821,0))</f>
        <v/>
      </c>
      <c r="AC821" s="64">
        <f>IF(BO821=1,IF(AA821&lt;=0,0,BP821*MAX(1,IF(G821&gt;0,AA821/G821,1))),AB821*Q821)</f>
        <v/>
      </c>
      <c r="AD821" s="55">
        <f>AA821*F821</f>
        <v/>
      </c>
      <c r="AE821" s="55">
        <f>ROUNDUP(MAX(I821/IF(BS821&gt;0,BS821,MAX(0.1,N(Cockpit!$C$6))),BV821)/BN821,0)*BN821</f>
        <v/>
      </c>
      <c r="AF821" s="56">
        <f>IF(AC821&gt;0,I821/AC821,-1)</f>
        <v/>
      </c>
      <c r="AG821" s="56">
        <f>IF(AND(OR(BR821="L1",BR821="L23"),AC821&gt;0),SUMIFS($AC$7:$AC$1570,$BR$7:$BR$1570,BR821,$AF$7:$AF$1570,"&gt;"&amp;AF821)+SUMIFS($AC$7:$AC$1570,$BR$7:$BR$1570,BR821,$AF$7:$AF$1570,AF821,$BL$7:$BL$1570,"&lt;="&amp;BL821),"")</f>
        <v/>
      </c>
      <c r="AH821" s="65">
        <f>IF(AG821="",0,MAX(0,MIN(1,(IF(BR821="L1",Parameter!$K$5,Parameter!$K$6+Parameter!$K$7)-(AG821-AC821))/AC821)))</f>
        <v/>
      </c>
      <c r="AI821" s="55">
        <f>IF(LEFT(Cockpit!$I$5,1)="A",G821,IF(BT821=1,BU821,IF(LEFT(Cockpit!$I$5,1)="B",AM821,MAX(AM821,G821))))</f>
        <v/>
      </c>
      <c r="AJ821" s="55">
        <f>IF(BO821=1,0,ROUNDUP(AI821/BN821,0))</f>
        <v/>
      </c>
      <c r="AK821" s="64">
        <f>IF(BO821=1,IF(AI821&lt;=0,0,BP821*MAX(1,IF(G821&gt;0,AI821/G821,1))),AJ821*Q821)</f>
        <v/>
      </c>
      <c r="AL821" s="55">
        <f>AI821*F821</f>
        <v/>
      </c>
      <c r="AM821" s="55">
        <f>ROUNDUP(MAX(I821/IF(BS821&gt;0,BS821,MAX(0.1,N(Cockpit!$I$6))),BV821)/BN821,0)*BN821</f>
        <v/>
      </c>
      <c r="AN821" s="56">
        <f>IF(AK821&gt;0,I821/AK821,-1)</f>
        <v/>
      </c>
      <c r="AO821" s="56">
        <f>IF(AND(OR(BR821="L1",BR821="L23"),AK821&gt;0),SUMIFS($AK$7:$AK$1570,$BR$7:$BR$1570,BR821,$AN$7:$AN$1570,"&gt;"&amp;AN821)+SUMIFS($AK$7:$AK$1570,$BR$7:$BR$1570,BR821,$AN$7:$AN$1570,AN821,$BL$7:$BL$1570,"&lt;="&amp;BL821),"")</f>
        <v/>
      </c>
      <c r="AP821" s="65">
        <f>IF(AO821="",0,MAX(0,MIN(1,(IF(BR821="L1",Parameter!$K$5,Parameter!$K$6+Parameter!$K$7)-(AO821-AK821))/AK821)))</f>
        <v/>
      </c>
      <c r="AQ821" s="55">
        <f>IF(LEFT(Cockpit!$O$5,1)="A",G821,IF(BT821=1,BU821,IF(LEFT(Cockpit!$O$5,1)="B",AU821,MAX(AU821,G821))))</f>
        <v/>
      </c>
      <c r="AR821" s="55">
        <f>IF(BO821=1,0,ROUNDUP(AQ821/BN821,0))</f>
        <v/>
      </c>
      <c r="AS821" s="64">
        <f>IF(BO821=1,IF(AQ821&lt;=0,0,BP821*MAX(1,IF(G821&gt;0,AQ821/G821,1))),AR821*Q821)</f>
        <v/>
      </c>
      <c r="AT821" s="55">
        <f>AQ821*F821</f>
        <v/>
      </c>
      <c r="AU821" s="55">
        <f>ROUNDUP(MAX(I821/IF(BS821&gt;0,BS821,MAX(0.1,N(Cockpit!$O$6))),BV821)/BN821,0)*BN821</f>
        <v/>
      </c>
      <c r="AV821" s="56">
        <f>IF(AS821&gt;0,I821/AS821,-1)</f>
        <v/>
      </c>
      <c r="AW821" s="56">
        <f>IF(AND(OR(BR821="L1",BR821="L23"),AS821&gt;0),SUMIFS($AS$7:$AS$1570,$BR$7:$BR$1570,BR821,$AV$7:$AV$1570,"&gt;"&amp;AV821)+SUMIFS($AS$7:$AS$1570,$BR$7:$BR$1570,BR821,$AV$7:$AV$1570,AV821,$BL$7:$BL$1570,"&lt;="&amp;BL821),"")</f>
        <v/>
      </c>
      <c r="AX821" s="65">
        <f>IF(AW821="",0,MAX(0,MIN(1,(IF(BR821="L1",Parameter!$K$5,Parameter!$K$6+Parameter!$K$7)-(AW821-AS821))/AS821)))</f>
        <v/>
      </c>
      <c r="AY821" s="53">
        <f>IF(AC821&lt;=0,"",IF(BR821="Aussen","Aussenlager",IF(BR821="-","Nicht im Lift",IF(AH821&gt;=1,"Lift",IF(AH821&lt;=0,"Aussenlager","teilweise")))))</f>
        <v/>
      </c>
      <c r="AZ821" s="53">
        <f>IF(AK821&lt;=0,"",IF(BR821="Aussen","Aussenlager",IF(BR821="-","Nicht im Lift",IF(AP821&gt;=1,"Lift",IF(AP821&lt;=0,"Aussenlager","teilweise")))))</f>
        <v/>
      </c>
      <c r="BA821" s="53">
        <f>IF(AS821&lt;=0,"",IF(BR821="Aussen","Aussenlager",IF(BR821="-","Nicht im Lift",IF(AX821&gt;=1,"Lift",IF(AX821&lt;=0,"Aussenlager","teilweise")))))</f>
        <v/>
      </c>
      <c r="BB821" s="53">
        <f>IF(A821="","",IF(BK821=1,"Neu; ","")&amp;IF(AND(BK821=0,BF821&lt;0),"negativer Bestand (Export "&amp;BF821&amp;"); ","")&amp;IF(I821&lt;=0,"Kein Verbrauch; ","")&amp;IF(BO821=1,"Lose – Fläche geschätzt; ","")&amp;IF(G821&gt;AM821,"Überbestand "&amp;ROUND(G821-AM821,0)&amp;" Stk / CHF "&amp;ROUND((G821-AM821)*F821,0)&amp;"; ","")&amp;IF(AND(BT821=1,BU821&lt;BV821),"MAX &lt; MB+LG; ","")&amp;IF(AND(BZ821&gt;0,BY821*10&gt;BZ821),"zu hoch für Tablar; ","")&amp;IF(AND(BK821=0,OR(BT821=1,V821&lt;&gt;"",S821&lt;&gt;"",T821&lt;&gt;"",W821&lt;&gt;"")),"manuell übersteuert; ","")&amp;IF(AND(BO821=0,Q821=0),"Gebinde unbekannt; ","")&amp;IF(AND(BO821=0,N(T821)&lt;=0,N(P821)&lt;=0),"Menge pro Gebinde fehlt (Ist = 1 Gebinde); ","")&amp;BJ821)</f>
        <v/>
      </c>
      <c r="BC821" s="53" t="n"/>
      <c r="BD821" s="53" t="n"/>
      <c r="BE821" s="61" t="n"/>
      <c r="BF821" s="55" t="n">
        <v>-272</v>
      </c>
      <c r="BG821" s="55" t="n">
        <v>488</v>
      </c>
      <c r="BH821" s="54" t="n">
        <v>-9.709999999999948</v>
      </c>
      <c r="BI821" s="55" t="n">
        <v>684</v>
      </c>
      <c r="BJ821" s="53" t="inlineStr"/>
      <c r="BK821" s="58" t="n">
        <v>0</v>
      </c>
      <c r="BL821" s="58" t="n">
        <v>821</v>
      </c>
      <c r="BM821" s="53">
        <f>IF(S821&lt;&gt;"",UPPER(TRIM(S821)),IF(O821="","LOSE",O821))</f>
        <v/>
      </c>
      <c r="BN821" s="55">
        <f>IF(BM821="LOSE",1,IF(N(T821)&gt;0,T821,IF(N(P821)&gt;0,P821,MAX(1,G821))))</f>
        <v/>
      </c>
      <c r="BO821" s="58">
        <f>IF(BM821="LOSE",1,0)</f>
        <v/>
      </c>
      <c r="BP821" s="64">
        <f>IF(BO821=0,0,IF(N(R821)&gt;0,R821,IFERROR(VLOOKUP(D821,Parameter!$A$35:$C$64,3,0)+0,0)))</f>
        <v/>
      </c>
      <c r="BQ821" s="53">
        <f>IF(V821&lt;&gt;"",V821,U821)</f>
        <v/>
      </c>
      <c r="BR821" s="53">
        <f>IF(BQ821=1,"L1",IF(OR(BQ821=2,BQ821=3),"L23",IF(BQ821="Aussen","Aussen","-")))</f>
        <v/>
      </c>
      <c r="BS821" s="66">
        <f>IF(N(W821)&gt;0,W821,0)</f>
        <v/>
      </c>
      <c r="BT821" s="58">
        <f>IF(ISNUMBER(Z821),1,0)</f>
        <v/>
      </c>
      <c r="BU821" s="55">
        <f>N(Z821)</f>
        <v/>
      </c>
      <c r="BV821" s="55">
        <f>N(L821)+N(M821)</f>
        <v/>
      </c>
      <c r="BW821" s="55">
        <f>ROUNDUP(G821/BN821,0)</f>
        <v/>
      </c>
      <c r="BX821" s="55">
        <f>ROUNDUP(BU821/BN821,0)</f>
        <v/>
      </c>
      <c r="BY821" s="58">
        <f>IF(BO821=1,0,IFERROR(VLOOKUP(BM821,'Gebinde-Kategorie'!$A$5:$G$45,5,0)+0,0))</f>
        <v/>
      </c>
      <c r="BZ821" s="58">
        <f>IFERROR(IF(OR(BQ821=1,BQ821=2,BQ821=3),N(INDEX(Parameter!$I$5:$I$7,BQ821)),0),0)</f>
        <v/>
      </c>
    </row>
    <row r="822">
      <c r="A822" s="53" t="inlineStr">
        <is>
          <t>005148</t>
        </is>
      </c>
      <c r="B822" s="53" t="inlineStr">
        <is>
          <t>Reihenklemme</t>
        </is>
      </c>
      <c r="C822" s="53" t="inlineStr">
        <is>
          <t>F</t>
        </is>
      </c>
      <c r="D822" s="53" t="inlineStr">
        <is>
          <t>KTL</t>
        </is>
      </c>
      <c r="E822" s="53" t="inlineStr">
        <is>
          <t>C</t>
        </is>
      </c>
      <c r="F822" s="54" t="n">
        <v>0.82</v>
      </c>
      <c r="G822" s="55">
        <f>MAX(0,IF(Parameter!$B$20="Jahresanfang 2025 + Export",BG822+BF822,BF822))</f>
        <v/>
      </c>
      <c r="H822" s="55">
        <f>G822*F822</f>
        <v/>
      </c>
      <c r="I822" s="55">
        <f>BI822*Parameter!$B$18</f>
        <v/>
      </c>
      <c r="J822" s="56" t="n">
        <v>21</v>
      </c>
      <c r="K822" s="57" t="n">
        <v>0</v>
      </c>
      <c r="L822" s="55" t="n">
        <v>0</v>
      </c>
      <c r="M822" s="55" t="n">
        <v>1</v>
      </c>
      <c r="N822" s="58" t="n">
        <v>21</v>
      </c>
      <c r="O822" s="53" t="inlineStr">
        <is>
          <t>S33</t>
        </is>
      </c>
      <c r="P822" s="55" t="n">
        <v>54</v>
      </c>
      <c r="Q822" s="59">
        <f>IF(BO822=1,0,IFERROR(VLOOKUP(BM822,'Gebinde-Kategorie'!$A$5:$G$45,6,0)+0,0))</f>
        <v/>
      </c>
      <c r="R822" s="60" t="n"/>
      <c r="S822" s="61" t="n"/>
      <c r="T822" s="61" t="n"/>
      <c r="U822" s="53">
        <f>IF(A822="","",IF(IFERROR(VLOOKUP(D822,Parameter!$A$35:$C$64,2,0),"Nein")="2+3",IF(ISNUMBER(SEARCH("grosser Artikel",BJ822)),2,IFERROR(VLOOKUP(BM822,Parameter!$F$35:$G$64,2,0),2)),IF(OR(IFERROR(VLOOKUP(D822,Parameter!$A$35:$C$64,2,0),"Nein")="Nein",IFERROR(VLOOKUP(D822,Parameter!$A$35:$C$64,2,0),"Nein")=""),"-",VLOOKUP(D822,Parameter!$A$35:$C$64,2,0))))</f>
        <v/>
      </c>
      <c r="V822" s="61" t="n"/>
      <c r="W822" s="62" t="n"/>
      <c r="X822" s="55">
        <f>AM822</f>
        <v/>
      </c>
      <c r="Y822" s="55">
        <f>MAX(AM822,G822)</f>
        <v/>
      </c>
      <c r="Z822" s="63" t="n"/>
      <c r="AA822" s="55">
        <f>IF(LEFT(Cockpit!$C$5,1)="A",G822,IF(BT822=1,BU822,IF(LEFT(Cockpit!$C$5,1)="B",AE822,MAX(AE822,G822))))</f>
        <v/>
      </c>
      <c r="AB822" s="55">
        <f>IF(BO822=1,0,ROUNDUP(AA822/BN822,0))</f>
        <v/>
      </c>
      <c r="AC822" s="64">
        <f>IF(BO822=1,IF(AA822&lt;=0,0,BP822*MAX(1,IF(G822&gt;0,AA822/G822,1))),AB822*Q822)</f>
        <v/>
      </c>
      <c r="AD822" s="55">
        <f>AA822*F822</f>
        <v/>
      </c>
      <c r="AE822" s="55">
        <f>ROUNDUP(MAX(I822/IF(BS822&gt;0,BS822,MAX(0.1,N(Cockpit!$C$6))),BV822)/BN822,0)*BN822</f>
        <v/>
      </c>
      <c r="AF822" s="56">
        <f>IF(AC822&gt;0,I822/AC822,-1)</f>
        <v/>
      </c>
      <c r="AG822" s="56">
        <f>IF(AND(OR(BR822="L1",BR822="L23"),AC822&gt;0),SUMIFS($AC$7:$AC$1570,$BR$7:$BR$1570,BR822,$AF$7:$AF$1570,"&gt;"&amp;AF822)+SUMIFS($AC$7:$AC$1570,$BR$7:$BR$1570,BR822,$AF$7:$AF$1570,AF822,$BL$7:$BL$1570,"&lt;="&amp;BL822),"")</f>
        <v/>
      </c>
      <c r="AH822" s="65">
        <f>IF(AG822="",0,MAX(0,MIN(1,(IF(BR822="L1",Parameter!$K$5,Parameter!$K$6+Parameter!$K$7)-(AG822-AC822))/AC822)))</f>
        <v/>
      </c>
      <c r="AI822" s="55">
        <f>IF(LEFT(Cockpit!$I$5,1)="A",G822,IF(BT822=1,BU822,IF(LEFT(Cockpit!$I$5,1)="B",AM822,MAX(AM822,G822))))</f>
        <v/>
      </c>
      <c r="AJ822" s="55">
        <f>IF(BO822=1,0,ROUNDUP(AI822/BN822,0))</f>
        <v/>
      </c>
      <c r="AK822" s="64">
        <f>IF(BO822=1,IF(AI822&lt;=0,0,BP822*MAX(1,IF(G822&gt;0,AI822/G822,1))),AJ822*Q822)</f>
        <v/>
      </c>
      <c r="AL822" s="55">
        <f>AI822*F822</f>
        <v/>
      </c>
      <c r="AM822" s="55">
        <f>ROUNDUP(MAX(I822/IF(BS822&gt;0,BS822,MAX(0.1,N(Cockpit!$I$6))),BV822)/BN822,0)*BN822</f>
        <v/>
      </c>
      <c r="AN822" s="56">
        <f>IF(AK822&gt;0,I822/AK822,-1)</f>
        <v/>
      </c>
      <c r="AO822" s="56">
        <f>IF(AND(OR(BR822="L1",BR822="L23"),AK822&gt;0),SUMIFS($AK$7:$AK$1570,$BR$7:$BR$1570,BR822,$AN$7:$AN$1570,"&gt;"&amp;AN822)+SUMIFS($AK$7:$AK$1570,$BR$7:$BR$1570,BR822,$AN$7:$AN$1570,AN822,$BL$7:$BL$1570,"&lt;="&amp;BL822),"")</f>
        <v/>
      </c>
      <c r="AP822" s="65">
        <f>IF(AO822="",0,MAX(0,MIN(1,(IF(BR822="L1",Parameter!$K$5,Parameter!$K$6+Parameter!$K$7)-(AO822-AK822))/AK822)))</f>
        <v/>
      </c>
      <c r="AQ822" s="55">
        <f>IF(LEFT(Cockpit!$O$5,1)="A",G822,IF(BT822=1,BU822,IF(LEFT(Cockpit!$O$5,1)="B",AU822,MAX(AU822,G822))))</f>
        <v/>
      </c>
      <c r="AR822" s="55">
        <f>IF(BO822=1,0,ROUNDUP(AQ822/BN822,0))</f>
        <v/>
      </c>
      <c r="AS822" s="64">
        <f>IF(BO822=1,IF(AQ822&lt;=0,0,BP822*MAX(1,IF(G822&gt;0,AQ822/G822,1))),AR822*Q822)</f>
        <v/>
      </c>
      <c r="AT822" s="55">
        <f>AQ822*F822</f>
        <v/>
      </c>
      <c r="AU822" s="55">
        <f>ROUNDUP(MAX(I822/IF(BS822&gt;0,BS822,MAX(0.1,N(Cockpit!$O$6))),BV822)/BN822,0)*BN822</f>
        <v/>
      </c>
      <c r="AV822" s="56">
        <f>IF(AS822&gt;0,I822/AS822,-1)</f>
        <v/>
      </c>
      <c r="AW822" s="56">
        <f>IF(AND(OR(BR822="L1",BR822="L23"),AS822&gt;0),SUMIFS($AS$7:$AS$1570,$BR$7:$BR$1570,BR822,$AV$7:$AV$1570,"&gt;"&amp;AV822)+SUMIFS($AS$7:$AS$1570,$BR$7:$BR$1570,BR822,$AV$7:$AV$1570,AV822,$BL$7:$BL$1570,"&lt;="&amp;BL822),"")</f>
        <v/>
      </c>
      <c r="AX822" s="65">
        <f>IF(AW822="",0,MAX(0,MIN(1,(IF(BR822="L1",Parameter!$K$5,Parameter!$K$6+Parameter!$K$7)-(AW822-AS822))/AS822)))</f>
        <v/>
      </c>
      <c r="AY822" s="53">
        <f>IF(AC822&lt;=0,"",IF(BR822="Aussen","Aussenlager",IF(BR822="-","Nicht im Lift",IF(AH822&gt;=1,"Lift",IF(AH822&lt;=0,"Aussenlager","teilweise")))))</f>
        <v/>
      </c>
      <c r="AZ822" s="53">
        <f>IF(AK822&lt;=0,"",IF(BR822="Aussen","Aussenlager",IF(BR822="-","Nicht im Lift",IF(AP822&gt;=1,"Lift",IF(AP822&lt;=0,"Aussenlager","teilweise")))))</f>
        <v/>
      </c>
      <c r="BA822" s="53">
        <f>IF(AS822&lt;=0,"",IF(BR822="Aussen","Aussenlager",IF(BR822="-","Nicht im Lift",IF(AX822&gt;=1,"Lift",IF(AX822&lt;=0,"Aussenlager","teilweise")))))</f>
        <v/>
      </c>
      <c r="BB822" s="53">
        <f>IF(A822="","",IF(BK822=1,"Neu; ","")&amp;IF(AND(BK822=0,BF822&lt;0),"negativer Bestand (Export "&amp;BF822&amp;"); ","")&amp;IF(I822&lt;=0,"Kein Verbrauch; ","")&amp;IF(BO822=1,"Lose – Fläche geschätzt; ","")&amp;IF(G822&gt;AM822,"Überbestand "&amp;ROUND(G822-AM822,0)&amp;" Stk / CHF "&amp;ROUND((G822-AM822)*F822,0)&amp;"; ","")&amp;IF(AND(BT822=1,BU822&lt;BV822),"MAX &lt; MB+LG; ","")&amp;IF(AND(BZ822&gt;0,BY822*10&gt;BZ822),"zu hoch für Tablar; ","")&amp;IF(AND(BK822=0,OR(BT822=1,V822&lt;&gt;"",S822&lt;&gt;"",T822&lt;&gt;"",W822&lt;&gt;"")),"manuell übersteuert; ","")&amp;IF(AND(BO822=0,Q822=0),"Gebinde unbekannt; ","")&amp;IF(AND(BO822=0,N(T822)&lt;=0,N(P822)&lt;=0),"Menge pro Gebinde fehlt (Ist = 1 Gebinde); ","")&amp;BJ822)</f>
        <v/>
      </c>
      <c r="BC822" s="53" t="n"/>
      <c r="BD822" s="53" t="n"/>
      <c r="BE822" s="61" t="n"/>
      <c r="BF822" s="55" t="n">
        <v>-12</v>
      </c>
      <c r="BG822" s="55" t="n">
        <v>12</v>
      </c>
      <c r="BH822" s="54" t="n">
        <v>-9.840000000000003</v>
      </c>
      <c r="BI822" s="55" t="n">
        <v>0</v>
      </c>
      <c r="BJ822" s="53" t="inlineStr">
        <is>
          <t>Überbestand</t>
        </is>
      </c>
      <c r="BK822" s="58" t="n">
        <v>0</v>
      </c>
      <c r="BL822" s="58" t="n">
        <v>822</v>
      </c>
      <c r="BM822" s="53">
        <f>IF(S822&lt;&gt;"",UPPER(TRIM(S822)),IF(O822="","LOSE",O822))</f>
        <v/>
      </c>
      <c r="BN822" s="55">
        <f>IF(BM822="LOSE",1,IF(N(T822)&gt;0,T822,IF(N(P822)&gt;0,P822,MAX(1,G822))))</f>
        <v/>
      </c>
      <c r="BO822" s="58">
        <f>IF(BM822="LOSE",1,0)</f>
        <v/>
      </c>
      <c r="BP822" s="64">
        <f>IF(BO822=0,0,IF(N(R822)&gt;0,R822,IFERROR(VLOOKUP(D822,Parameter!$A$35:$C$64,3,0)+0,0)))</f>
        <v/>
      </c>
      <c r="BQ822" s="53">
        <f>IF(V822&lt;&gt;"",V822,U822)</f>
        <v/>
      </c>
      <c r="BR822" s="53">
        <f>IF(BQ822=1,"L1",IF(OR(BQ822=2,BQ822=3),"L23",IF(BQ822="Aussen","Aussen","-")))</f>
        <v/>
      </c>
      <c r="BS822" s="66">
        <f>IF(N(W822)&gt;0,W822,0)</f>
        <v/>
      </c>
      <c r="BT822" s="58">
        <f>IF(ISNUMBER(Z822),1,0)</f>
        <v/>
      </c>
      <c r="BU822" s="55">
        <f>N(Z822)</f>
        <v/>
      </c>
      <c r="BV822" s="55">
        <f>N(L822)+N(M822)</f>
        <v/>
      </c>
      <c r="BW822" s="55">
        <f>ROUNDUP(G822/BN822,0)</f>
        <v/>
      </c>
      <c r="BX822" s="55">
        <f>ROUNDUP(BU822/BN822,0)</f>
        <v/>
      </c>
      <c r="BY822" s="58">
        <f>IF(BO822=1,0,IFERROR(VLOOKUP(BM822,'Gebinde-Kategorie'!$A$5:$G$45,5,0)+0,0))</f>
        <v/>
      </c>
      <c r="BZ822" s="58">
        <f>IFERROR(IF(OR(BQ822=1,BQ822=2,BQ822=3),N(INDEX(Parameter!$I$5:$I$7,BQ822)),0),0)</f>
        <v/>
      </c>
    </row>
    <row r="823">
      <c r="A823" s="53" t="inlineStr">
        <is>
          <t>005754</t>
        </is>
      </c>
      <c r="B823" s="53" t="inlineStr">
        <is>
          <t>Adapter Edelstahl</t>
        </is>
      </c>
      <c r="C823" s="53" t="inlineStr">
        <is>
          <t>F</t>
        </is>
      </c>
      <c r="D823" s="53" t="inlineStr">
        <is>
          <t>KTL</t>
        </is>
      </c>
      <c r="E823" s="53" t="inlineStr">
        <is>
          <t>C</t>
        </is>
      </c>
      <c r="F823" s="54" t="n">
        <v>10.17</v>
      </c>
      <c r="G823" s="55">
        <f>MAX(0,IF(Parameter!$B$20="Jahresanfang 2025 + Export",BG823+BF823,BF823))</f>
        <v/>
      </c>
      <c r="H823" s="55">
        <f>G823*F823</f>
        <v/>
      </c>
      <c r="I823" s="55">
        <f>BI823*Parameter!$B$18</f>
        <v/>
      </c>
      <c r="J823" s="56" t="n">
        <v>36.5</v>
      </c>
      <c r="K823" s="57" t="n">
        <v>0</v>
      </c>
      <c r="L823" s="55" t="n">
        <v>0</v>
      </c>
      <c r="M823" s="55" t="n">
        <v>1</v>
      </c>
      <c r="N823" s="58" t="n">
        <v>21</v>
      </c>
      <c r="O823" s="53" t="inlineStr">
        <is>
          <t>S33</t>
        </is>
      </c>
      <c r="P823" s="55" t="n">
        <v>75</v>
      </c>
      <c r="Q823" s="59">
        <f>IF(BO823=1,0,IFERROR(VLOOKUP(BM823,'Gebinde-Kategorie'!$A$5:$G$45,6,0)+0,0))</f>
        <v/>
      </c>
      <c r="R823" s="60" t="n"/>
      <c r="S823" s="61" t="n"/>
      <c r="T823" s="61" t="n"/>
      <c r="U823" s="53">
        <f>IF(A823="","",IF(IFERROR(VLOOKUP(D823,Parameter!$A$35:$C$64,2,0),"Nein")="2+3",IF(ISNUMBER(SEARCH("grosser Artikel",BJ823)),2,IFERROR(VLOOKUP(BM823,Parameter!$F$35:$G$64,2,0),2)),IF(OR(IFERROR(VLOOKUP(D823,Parameter!$A$35:$C$64,2,0),"Nein")="Nein",IFERROR(VLOOKUP(D823,Parameter!$A$35:$C$64,2,0),"Nein")=""),"-",VLOOKUP(D823,Parameter!$A$35:$C$64,2,0))))</f>
        <v/>
      </c>
      <c r="V823" s="61" t="n"/>
      <c r="W823" s="62" t="n"/>
      <c r="X823" s="55">
        <f>AM823</f>
        <v/>
      </c>
      <c r="Y823" s="55">
        <f>MAX(AM823,G823)</f>
        <v/>
      </c>
      <c r="Z823" s="63" t="n"/>
      <c r="AA823" s="55">
        <f>IF(LEFT(Cockpit!$C$5,1)="A",G823,IF(BT823=1,BU823,IF(LEFT(Cockpit!$C$5,1)="B",AE823,MAX(AE823,G823))))</f>
        <v/>
      </c>
      <c r="AB823" s="55">
        <f>IF(BO823=1,0,ROUNDUP(AA823/BN823,0))</f>
        <v/>
      </c>
      <c r="AC823" s="64">
        <f>IF(BO823=1,IF(AA823&lt;=0,0,BP823*MAX(1,IF(G823&gt;0,AA823/G823,1))),AB823*Q823)</f>
        <v/>
      </c>
      <c r="AD823" s="55">
        <f>AA823*F823</f>
        <v/>
      </c>
      <c r="AE823" s="55">
        <f>ROUNDUP(MAX(I823/IF(BS823&gt;0,BS823,MAX(0.1,N(Cockpit!$C$6))),BV823)/BN823,0)*BN823</f>
        <v/>
      </c>
      <c r="AF823" s="56">
        <f>IF(AC823&gt;0,I823/AC823,-1)</f>
        <v/>
      </c>
      <c r="AG823" s="56">
        <f>IF(AND(OR(BR823="L1",BR823="L23"),AC823&gt;0),SUMIFS($AC$7:$AC$1570,$BR$7:$BR$1570,BR823,$AF$7:$AF$1570,"&gt;"&amp;AF823)+SUMIFS($AC$7:$AC$1570,$BR$7:$BR$1570,BR823,$AF$7:$AF$1570,AF823,$BL$7:$BL$1570,"&lt;="&amp;BL823),"")</f>
        <v/>
      </c>
      <c r="AH823" s="65">
        <f>IF(AG823="",0,MAX(0,MIN(1,(IF(BR823="L1",Parameter!$K$5,Parameter!$K$6+Parameter!$K$7)-(AG823-AC823))/AC823)))</f>
        <v/>
      </c>
      <c r="AI823" s="55">
        <f>IF(LEFT(Cockpit!$I$5,1)="A",G823,IF(BT823=1,BU823,IF(LEFT(Cockpit!$I$5,1)="B",AM823,MAX(AM823,G823))))</f>
        <v/>
      </c>
      <c r="AJ823" s="55">
        <f>IF(BO823=1,0,ROUNDUP(AI823/BN823,0))</f>
        <v/>
      </c>
      <c r="AK823" s="64">
        <f>IF(BO823=1,IF(AI823&lt;=0,0,BP823*MAX(1,IF(G823&gt;0,AI823/G823,1))),AJ823*Q823)</f>
        <v/>
      </c>
      <c r="AL823" s="55">
        <f>AI823*F823</f>
        <v/>
      </c>
      <c r="AM823" s="55">
        <f>ROUNDUP(MAX(I823/IF(BS823&gt;0,BS823,MAX(0.1,N(Cockpit!$I$6))),BV823)/BN823,0)*BN823</f>
        <v/>
      </c>
      <c r="AN823" s="56">
        <f>IF(AK823&gt;0,I823/AK823,-1)</f>
        <v/>
      </c>
      <c r="AO823" s="56">
        <f>IF(AND(OR(BR823="L1",BR823="L23"),AK823&gt;0),SUMIFS($AK$7:$AK$1570,$BR$7:$BR$1570,BR823,$AN$7:$AN$1570,"&gt;"&amp;AN823)+SUMIFS($AK$7:$AK$1570,$BR$7:$BR$1570,BR823,$AN$7:$AN$1570,AN823,$BL$7:$BL$1570,"&lt;="&amp;BL823),"")</f>
        <v/>
      </c>
      <c r="AP823" s="65">
        <f>IF(AO823="",0,MAX(0,MIN(1,(IF(BR823="L1",Parameter!$K$5,Parameter!$K$6+Parameter!$K$7)-(AO823-AK823))/AK823)))</f>
        <v/>
      </c>
      <c r="AQ823" s="55">
        <f>IF(LEFT(Cockpit!$O$5,1)="A",G823,IF(BT823=1,BU823,IF(LEFT(Cockpit!$O$5,1)="B",AU823,MAX(AU823,G823))))</f>
        <v/>
      </c>
      <c r="AR823" s="55">
        <f>IF(BO823=1,0,ROUNDUP(AQ823/BN823,0))</f>
        <v/>
      </c>
      <c r="AS823" s="64">
        <f>IF(BO823=1,IF(AQ823&lt;=0,0,BP823*MAX(1,IF(G823&gt;0,AQ823/G823,1))),AR823*Q823)</f>
        <v/>
      </c>
      <c r="AT823" s="55">
        <f>AQ823*F823</f>
        <v/>
      </c>
      <c r="AU823" s="55">
        <f>ROUNDUP(MAX(I823/IF(BS823&gt;0,BS823,MAX(0.1,N(Cockpit!$O$6))),BV823)/BN823,0)*BN823</f>
        <v/>
      </c>
      <c r="AV823" s="56">
        <f>IF(AS823&gt;0,I823/AS823,-1)</f>
        <v/>
      </c>
      <c r="AW823" s="56">
        <f>IF(AND(OR(BR823="L1",BR823="L23"),AS823&gt;0),SUMIFS($AS$7:$AS$1570,$BR$7:$BR$1570,BR823,$AV$7:$AV$1570,"&gt;"&amp;AV823)+SUMIFS($AS$7:$AS$1570,$BR$7:$BR$1570,BR823,$AV$7:$AV$1570,AV823,$BL$7:$BL$1570,"&lt;="&amp;BL823),"")</f>
        <v/>
      </c>
      <c r="AX823" s="65">
        <f>IF(AW823="",0,MAX(0,MIN(1,(IF(BR823="L1",Parameter!$K$5,Parameter!$K$6+Parameter!$K$7)-(AW823-AS823))/AS823)))</f>
        <v/>
      </c>
      <c r="AY823" s="53">
        <f>IF(AC823&lt;=0,"",IF(BR823="Aussen","Aussenlager",IF(BR823="-","Nicht im Lift",IF(AH823&gt;=1,"Lift",IF(AH823&lt;=0,"Aussenlager","teilweise")))))</f>
        <v/>
      </c>
      <c r="AZ823" s="53">
        <f>IF(AK823&lt;=0,"",IF(BR823="Aussen","Aussenlager",IF(BR823="-","Nicht im Lift",IF(AP823&gt;=1,"Lift",IF(AP823&lt;=0,"Aussenlager","teilweise")))))</f>
        <v/>
      </c>
      <c r="BA823" s="53">
        <f>IF(AS823&lt;=0,"",IF(BR823="Aussen","Aussenlager",IF(BR823="-","Nicht im Lift",IF(AX823&gt;=1,"Lift",IF(AX823&lt;=0,"Aussenlager","teilweise")))))</f>
        <v/>
      </c>
      <c r="BB823" s="53">
        <f>IF(A823="","",IF(BK823=1,"Neu; ","")&amp;IF(AND(BK823=0,BF823&lt;0),"negativer Bestand (Export "&amp;BF823&amp;"); ","")&amp;IF(I823&lt;=0,"Kein Verbrauch; ","")&amp;IF(BO823=1,"Lose – Fläche geschätzt; ","")&amp;IF(G823&gt;AM823,"Überbestand "&amp;ROUND(G823-AM823,0)&amp;" Stk / CHF "&amp;ROUND((G823-AM823)*F823,0)&amp;"; ","")&amp;IF(AND(BT823=1,BU823&lt;BV823),"MAX &lt; MB+LG; ","")&amp;IF(AND(BZ823&gt;0,BY823*10&gt;BZ823),"zu hoch für Tablar; ","")&amp;IF(AND(BK823=0,OR(BT823=1,V823&lt;&gt;"",S823&lt;&gt;"",T823&lt;&gt;"",W823&lt;&gt;"")),"manuell übersteuert; ","")&amp;IF(AND(BO823=0,Q823=0),"Gebinde unbekannt; ","")&amp;IF(AND(BO823=0,N(T823)&lt;=0,N(P823)&lt;=0),"Menge pro Gebinde fehlt (Ist = 1 Gebinde); ","")&amp;BJ823)</f>
        <v/>
      </c>
      <c r="BC823" s="53" t="n"/>
      <c r="BD823" s="53" t="n"/>
      <c r="BE823" s="61" t="n"/>
      <c r="BF823" s="55" t="n">
        <v>-1</v>
      </c>
      <c r="BG823" s="55" t="n">
        <v>37</v>
      </c>
      <c r="BH823" s="54" t="n">
        <v>-10.17</v>
      </c>
      <c r="BI823" s="55" t="n">
        <v>0</v>
      </c>
      <c r="BJ823" s="53" t="inlineStr"/>
      <c r="BK823" s="58" t="n">
        <v>0</v>
      </c>
      <c r="BL823" s="58" t="n">
        <v>823</v>
      </c>
      <c r="BM823" s="53">
        <f>IF(S823&lt;&gt;"",UPPER(TRIM(S823)),IF(O823="","LOSE",O823))</f>
        <v/>
      </c>
      <c r="BN823" s="55">
        <f>IF(BM823="LOSE",1,IF(N(T823)&gt;0,T823,IF(N(P823)&gt;0,P823,MAX(1,G823))))</f>
        <v/>
      </c>
      <c r="BO823" s="58">
        <f>IF(BM823="LOSE",1,0)</f>
        <v/>
      </c>
      <c r="BP823" s="64">
        <f>IF(BO823=0,0,IF(N(R823)&gt;0,R823,IFERROR(VLOOKUP(D823,Parameter!$A$35:$C$64,3,0)+0,0)))</f>
        <v/>
      </c>
      <c r="BQ823" s="53">
        <f>IF(V823&lt;&gt;"",V823,U823)</f>
        <v/>
      </c>
      <c r="BR823" s="53">
        <f>IF(BQ823=1,"L1",IF(OR(BQ823=2,BQ823=3),"L23",IF(BQ823="Aussen","Aussen","-")))</f>
        <v/>
      </c>
      <c r="BS823" s="66">
        <f>IF(N(W823)&gt;0,W823,0)</f>
        <v/>
      </c>
      <c r="BT823" s="58">
        <f>IF(ISNUMBER(Z823),1,0)</f>
        <v/>
      </c>
      <c r="BU823" s="55">
        <f>N(Z823)</f>
        <v/>
      </c>
      <c r="BV823" s="55">
        <f>N(L823)+N(M823)</f>
        <v/>
      </c>
      <c r="BW823" s="55">
        <f>ROUNDUP(G823/BN823,0)</f>
        <v/>
      </c>
      <c r="BX823" s="55">
        <f>ROUNDUP(BU823/BN823,0)</f>
        <v/>
      </c>
      <c r="BY823" s="58">
        <f>IF(BO823=1,0,IFERROR(VLOOKUP(BM823,'Gebinde-Kategorie'!$A$5:$G$45,5,0)+0,0))</f>
        <v/>
      </c>
      <c r="BZ823" s="58">
        <f>IFERROR(IF(OR(BQ823=1,BQ823=2,BQ823=3),N(INDEX(Parameter!$I$5:$I$7,BQ823)),0),0)</f>
        <v/>
      </c>
    </row>
    <row r="824">
      <c r="A824" s="53" t="inlineStr">
        <is>
          <t>105399</t>
        </is>
      </c>
      <c r="B824" s="53" t="inlineStr">
        <is>
          <t>Sechskantschraube</t>
        </is>
      </c>
      <c r="C824" s="53" t="inlineStr">
        <is>
          <t>F</t>
        </is>
      </c>
      <c r="D824" s="53" t="inlineStr">
        <is>
          <t>KTL</t>
        </is>
      </c>
      <c r="E824" s="53" t="inlineStr">
        <is>
          <t>C</t>
        </is>
      </c>
      <c r="F824" s="54" t="n">
        <v>0.37</v>
      </c>
      <c r="G824" s="55">
        <f>MAX(0,IF(Parameter!$B$20="Jahresanfang 2025 + Export",BG824+BF824,BF824))</f>
        <v/>
      </c>
      <c r="H824" s="55">
        <f>G824*F824</f>
        <v/>
      </c>
      <c r="I824" s="55">
        <f>BI824*Parameter!$B$18</f>
        <v/>
      </c>
      <c r="J824" s="56" t="n">
        <v>423.5</v>
      </c>
      <c r="K824" s="57" t="n">
        <v>0.05430932703659976</v>
      </c>
      <c r="L824" s="55" t="n">
        <v>1</v>
      </c>
      <c r="M824" s="55" t="n">
        <v>25</v>
      </c>
      <c r="N824" s="58" t="n">
        <v>21</v>
      </c>
      <c r="O824" s="53" t="inlineStr">
        <is>
          <t>S63</t>
        </is>
      </c>
      <c r="P824" s="55" t="n">
        <v>439</v>
      </c>
      <c r="Q824" s="59">
        <f>IF(BO824=1,0,IFERROR(VLOOKUP(BM824,'Gebinde-Kategorie'!$A$5:$G$45,6,0)+0,0))</f>
        <v/>
      </c>
      <c r="R824" s="60" t="n"/>
      <c r="S824" s="61" t="n"/>
      <c r="T824" s="61" t="n"/>
      <c r="U824" s="53">
        <f>IF(A824="","",IF(IFERROR(VLOOKUP(D824,Parameter!$A$35:$C$64,2,0),"Nein")="2+3",IF(ISNUMBER(SEARCH("grosser Artikel",BJ824)),2,IFERROR(VLOOKUP(BM824,Parameter!$F$35:$G$64,2,0),2)),IF(OR(IFERROR(VLOOKUP(D824,Parameter!$A$35:$C$64,2,0),"Nein")="Nein",IFERROR(VLOOKUP(D824,Parameter!$A$35:$C$64,2,0),"Nein")=""),"-",VLOOKUP(D824,Parameter!$A$35:$C$64,2,0))))</f>
        <v/>
      </c>
      <c r="V824" s="61" t="n"/>
      <c r="W824" s="62" t="n"/>
      <c r="X824" s="55">
        <f>AM824</f>
        <v/>
      </c>
      <c r="Y824" s="55">
        <f>MAX(AM824,G824)</f>
        <v/>
      </c>
      <c r="Z824" s="63" t="n"/>
      <c r="AA824" s="55">
        <f>IF(LEFT(Cockpit!$C$5,1)="A",G824,IF(BT824=1,BU824,IF(LEFT(Cockpit!$C$5,1)="B",AE824,MAX(AE824,G824))))</f>
        <v/>
      </c>
      <c r="AB824" s="55">
        <f>IF(BO824=1,0,ROUNDUP(AA824/BN824,0))</f>
        <v/>
      </c>
      <c r="AC824" s="64">
        <f>IF(BO824=1,IF(AA824&lt;=0,0,BP824*MAX(1,IF(G824&gt;0,AA824/G824,1))),AB824*Q824)</f>
        <v/>
      </c>
      <c r="AD824" s="55">
        <f>AA824*F824</f>
        <v/>
      </c>
      <c r="AE824" s="55">
        <f>ROUNDUP(MAX(I824/IF(BS824&gt;0,BS824,MAX(0.1,N(Cockpit!$C$6))),BV824)/BN824,0)*BN824</f>
        <v/>
      </c>
      <c r="AF824" s="56">
        <f>IF(AC824&gt;0,I824/AC824,-1)</f>
        <v/>
      </c>
      <c r="AG824" s="56">
        <f>IF(AND(OR(BR824="L1",BR824="L23"),AC824&gt;0),SUMIFS($AC$7:$AC$1570,$BR$7:$BR$1570,BR824,$AF$7:$AF$1570,"&gt;"&amp;AF824)+SUMIFS($AC$7:$AC$1570,$BR$7:$BR$1570,BR824,$AF$7:$AF$1570,AF824,$BL$7:$BL$1570,"&lt;="&amp;BL824),"")</f>
        <v/>
      </c>
      <c r="AH824" s="65">
        <f>IF(AG824="",0,MAX(0,MIN(1,(IF(BR824="L1",Parameter!$K$5,Parameter!$K$6+Parameter!$K$7)-(AG824-AC824))/AC824)))</f>
        <v/>
      </c>
      <c r="AI824" s="55">
        <f>IF(LEFT(Cockpit!$I$5,1)="A",G824,IF(BT824=1,BU824,IF(LEFT(Cockpit!$I$5,1)="B",AM824,MAX(AM824,G824))))</f>
        <v/>
      </c>
      <c r="AJ824" s="55">
        <f>IF(BO824=1,0,ROUNDUP(AI824/BN824,0))</f>
        <v/>
      </c>
      <c r="AK824" s="64">
        <f>IF(BO824=1,IF(AI824&lt;=0,0,BP824*MAX(1,IF(G824&gt;0,AI824/G824,1))),AJ824*Q824)</f>
        <v/>
      </c>
      <c r="AL824" s="55">
        <f>AI824*F824</f>
        <v/>
      </c>
      <c r="AM824" s="55">
        <f>ROUNDUP(MAX(I824/IF(BS824&gt;0,BS824,MAX(0.1,N(Cockpit!$I$6))),BV824)/BN824,0)*BN824</f>
        <v/>
      </c>
      <c r="AN824" s="56">
        <f>IF(AK824&gt;0,I824/AK824,-1)</f>
        <v/>
      </c>
      <c r="AO824" s="56">
        <f>IF(AND(OR(BR824="L1",BR824="L23"),AK824&gt;0),SUMIFS($AK$7:$AK$1570,$BR$7:$BR$1570,BR824,$AN$7:$AN$1570,"&gt;"&amp;AN824)+SUMIFS($AK$7:$AK$1570,$BR$7:$BR$1570,BR824,$AN$7:$AN$1570,AN824,$BL$7:$BL$1570,"&lt;="&amp;BL824),"")</f>
        <v/>
      </c>
      <c r="AP824" s="65">
        <f>IF(AO824="",0,MAX(0,MIN(1,(IF(BR824="L1",Parameter!$K$5,Parameter!$K$6+Parameter!$K$7)-(AO824-AK824))/AK824)))</f>
        <v/>
      </c>
      <c r="AQ824" s="55">
        <f>IF(LEFT(Cockpit!$O$5,1)="A",G824,IF(BT824=1,BU824,IF(LEFT(Cockpit!$O$5,1)="B",AU824,MAX(AU824,G824))))</f>
        <v/>
      </c>
      <c r="AR824" s="55">
        <f>IF(BO824=1,0,ROUNDUP(AQ824/BN824,0))</f>
        <v/>
      </c>
      <c r="AS824" s="64">
        <f>IF(BO824=1,IF(AQ824&lt;=0,0,BP824*MAX(1,IF(G824&gt;0,AQ824/G824,1))),AR824*Q824)</f>
        <v/>
      </c>
      <c r="AT824" s="55">
        <f>AQ824*F824</f>
        <v/>
      </c>
      <c r="AU824" s="55">
        <f>ROUNDUP(MAX(I824/IF(BS824&gt;0,BS824,MAX(0.1,N(Cockpit!$O$6))),BV824)/BN824,0)*BN824</f>
        <v/>
      </c>
      <c r="AV824" s="56">
        <f>IF(AS824&gt;0,I824/AS824,-1)</f>
        <v/>
      </c>
      <c r="AW824" s="56">
        <f>IF(AND(OR(BR824="L1",BR824="L23"),AS824&gt;0),SUMIFS($AS$7:$AS$1570,$BR$7:$BR$1570,BR824,$AV$7:$AV$1570,"&gt;"&amp;AV824)+SUMIFS($AS$7:$AS$1570,$BR$7:$BR$1570,BR824,$AV$7:$AV$1570,AV824,$BL$7:$BL$1570,"&lt;="&amp;BL824),"")</f>
        <v/>
      </c>
      <c r="AX824" s="65">
        <f>IF(AW824="",0,MAX(0,MIN(1,(IF(BR824="L1",Parameter!$K$5,Parameter!$K$6+Parameter!$K$7)-(AW824-AS824))/AS824)))</f>
        <v/>
      </c>
      <c r="AY824" s="53">
        <f>IF(AC824&lt;=0,"",IF(BR824="Aussen","Aussenlager",IF(BR824="-","Nicht im Lift",IF(AH824&gt;=1,"Lift",IF(AH824&lt;=0,"Aussenlager","teilweise")))))</f>
        <v/>
      </c>
      <c r="AZ824" s="53">
        <f>IF(AK824&lt;=0,"",IF(BR824="Aussen","Aussenlager",IF(BR824="-","Nicht im Lift",IF(AP824&gt;=1,"Lift",IF(AP824&lt;=0,"Aussenlager","teilweise")))))</f>
        <v/>
      </c>
      <c r="BA824" s="53">
        <f>IF(AS824&lt;=0,"",IF(BR824="Aussen","Aussenlager",IF(BR824="-","Nicht im Lift",IF(AX824&gt;=1,"Lift",IF(AX824&lt;=0,"Aussenlager","teilweise")))))</f>
        <v/>
      </c>
      <c r="BB824" s="53">
        <f>IF(A824="","",IF(BK824=1,"Neu; ","")&amp;IF(AND(BK824=0,BF824&lt;0),"negativer Bestand (Export "&amp;BF824&amp;"); ","")&amp;IF(I824&lt;=0,"Kein Verbrauch; ","")&amp;IF(BO824=1,"Lose – Fläche geschätzt; ","")&amp;IF(G824&gt;AM824,"Überbestand "&amp;ROUND(G824-AM824,0)&amp;" Stk / CHF "&amp;ROUND((G824-AM824)*F824,0)&amp;"; ","")&amp;IF(AND(BT824=1,BU824&lt;BV824),"MAX &lt; MB+LG; ","")&amp;IF(AND(BZ824&gt;0,BY824*10&gt;BZ824),"zu hoch für Tablar; ","")&amp;IF(AND(BK824=0,OR(BT824=1,V824&lt;&gt;"",S824&lt;&gt;"",T824&lt;&gt;"",W824&lt;&gt;"")),"manuell übersteuert; ","")&amp;IF(AND(BO824=0,Q824=0),"Gebinde unbekannt; ","")&amp;IF(AND(BO824=0,N(T824)&lt;=0,N(P824)&lt;=0),"Menge pro Gebinde fehlt (Ist = 1 Gebinde); ","")&amp;BJ824)</f>
        <v/>
      </c>
      <c r="BC824" s="53" t="n"/>
      <c r="BD824" s="53" t="n"/>
      <c r="BE824" s="61" t="n"/>
      <c r="BF824" s="55" t="n">
        <v>-28</v>
      </c>
      <c r="BG824" s="55" t="n">
        <v>425</v>
      </c>
      <c r="BH824" s="54" t="n">
        <v>-10.36</v>
      </c>
      <c r="BI824" s="55" t="n">
        <v>23</v>
      </c>
      <c r="BJ824" s="53" t="inlineStr">
        <is>
          <t>Überbestand</t>
        </is>
      </c>
      <c r="BK824" s="58" t="n">
        <v>0</v>
      </c>
      <c r="BL824" s="58" t="n">
        <v>824</v>
      </c>
      <c r="BM824" s="53">
        <f>IF(S824&lt;&gt;"",UPPER(TRIM(S824)),IF(O824="","LOSE",O824))</f>
        <v/>
      </c>
      <c r="BN824" s="55">
        <f>IF(BM824="LOSE",1,IF(N(T824)&gt;0,T824,IF(N(P824)&gt;0,P824,MAX(1,G824))))</f>
        <v/>
      </c>
      <c r="BO824" s="58">
        <f>IF(BM824="LOSE",1,0)</f>
        <v/>
      </c>
      <c r="BP824" s="64">
        <f>IF(BO824=0,0,IF(N(R824)&gt;0,R824,IFERROR(VLOOKUP(D824,Parameter!$A$35:$C$64,3,0)+0,0)))</f>
        <v/>
      </c>
      <c r="BQ824" s="53">
        <f>IF(V824&lt;&gt;"",V824,U824)</f>
        <v/>
      </c>
      <c r="BR824" s="53">
        <f>IF(BQ824=1,"L1",IF(OR(BQ824=2,BQ824=3),"L23",IF(BQ824="Aussen","Aussen","-")))</f>
        <v/>
      </c>
      <c r="BS824" s="66">
        <f>IF(N(W824)&gt;0,W824,0)</f>
        <v/>
      </c>
      <c r="BT824" s="58">
        <f>IF(ISNUMBER(Z824),1,0)</f>
        <v/>
      </c>
      <c r="BU824" s="55">
        <f>N(Z824)</f>
        <v/>
      </c>
      <c r="BV824" s="55">
        <f>N(L824)+N(M824)</f>
        <v/>
      </c>
      <c r="BW824" s="55">
        <f>ROUNDUP(G824/BN824,0)</f>
        <v/>
      </c>
      <c r="BX824" s="55">
        <f>ROUNDUP(BU824/BN824,0)</f>
        <v/>
      </c>
      <c r="BY824" s="58">
        <f>IF(BO824=1,0,IFERROR(VLOOKUP(BM824,'Gebinde-Kategorie'!$A$5:$G$45,5,0)+0,0))</f>
        <v/>
      </c>
      <c r="BZ824" s="58">
        <f>IFERROR(IF(OR(BQ824=1,BQ824=2,BQ824=3),N(INDEX(Parameter!$I$5:$I$7,BQ824)),0),0)</f>
        <v/>
      </c>
    </row>
    <row r="825">
      <c r="A825" s="53" t="inlineStr">
        <is>
          <t>109099</t>
        </is>
      </c>
      <c r="B825" s="53" t="inlineStr">
        <is>
          <t>Kleber Oben Federkonsole</t>
        </is>
      </c>
      <c r="C825" s="53" t="inlineStr">
        <is>
          <t>F</t>
        </is>
      </c>
      <c r="D825" s="53" t="inlineStr">
        <is>
          <t>KTL</t>
        </is>
      </c>
      <c r="E825" s="53" t="inlineStr">
        <is>
          <t>C</t>
        </is>
      </c>
      <c r="F825" s="54" t="n">
        <v>1.23</v>
      </c>
      <c r="G825" s="55">
        <f>MAX(0,IF(Parameter!$B$20="Jahresanfang 2025 + Export",BG825+BF825,BF825))</f>
        <v/>
      </c>
      <c r="H825" s="55">
        <f>G825*F825</f>
        <v/>
      </c>
      <c r="I825" s="55">
        <f>BI825*Parameter!$B$18</f>
        <v/>
      </c>
      <c r="J825" s="56" t="n">
        <v>117.5</v>
      </c>
      <c r="K825" s="57" t="n">
        <v>0.4680851063829787</v>
      </c>
      <c r="L825" s="55" t="n">
        <v>3</v>
      </c>
      <c r="M825" s="55" t="n">
        <v>50</v>
      </c>
      <c r="N825" s="58" t="n">
        <v>21</v>
      </c>
      <c r="O825" s="53" t="inlineStr">
        <is>
          <t>S32</t>
        </is>
      </c>
      <c r="P825" s="55" t="n">
        <v>97</v>
      </c>
      <c r="Q825" s="59">
        <f>IF(BO825=1,0,IFERROR(VLOOKUP(BM825,'Gebinde-Kategorie'!$A$5:$G$45,6,0)+0,0))</f>
        <v/>
      </c>
      <c r="R825" s="60" t="n"/>
      <c r="S825" s="61" t="n"/>
      <c r="T825" s="61" t="n"/>
      <c r="U825" s="53">
        <f>IF(A825="","",IF(IFERROR(VLOOKUP(D825,Parameter!$A$35:$C$64,2,0),"Nein")="2+3",IF(ISNUMBER(SEARCH("grosser Artikel",BJ825)),2,IFERROR(VLOOKUP(BM825,Parameter!$F$35:$G$64,2,0),2)),IF(OR(IFERROR(VLOOKUP(D825,Parameter!$A$35:$C$64,2,0),"Nein")="Nein",IFERROR(VLOOKUP(D825,Parameter!$A$35:$C$64,2,0),"Nein")=""),"-",VLOOKUP(D825,Parameter!$A$35:$C$64,2,0))))</f>
        <v/>
      </c>
      <c r="V825" s="61" t="n"/>
      <c r="W825" s="62" t="n"/>
      <c r="X825" s="55">
        <f>AM825</f>
        <v/>
      </c>
      <c r="Y825" s="55">
        <f>MAX(AM825,G825)</f>
        <v/>
      </c>
      <c r="Z825" s="63" t="n"/>
      <c r="AA825" s="55">
        <f>IF(LEFT(Cockpit!$C$5,1)="A",G825,IF(BT825=1,BU825,IF(LEFT(Cockpit!$C$5,1)="B",AE825,MAX(AE825,G825))))</f>
        <v/>
      </c>
      <c r="AB825" s="55">
        <f>IF(BO825=1,0,ROUNDUP(AA825/BN825,0))</f>
        <v/>
      </c>
      <c r="AC825" s="64">
        <f>IF(BO825=1,IF(AA825&lt;=0,0,BP825*MAX(1,IF(G825&gt;0,AA825/G825,1))),AB825*Q825)</f>
        <v/>
      </c>
      <c r="AD825" s="55">
        <f>AA825*F825</f>
        <v/>
      </c>
      <c r="AE825" s="55">
        <f>ROUNDUP(MAX(I825/IF(BS825&gt;0,BS825,MAX(0.1,N(Cockpit!$C$6))),BV825)/BN825,0)*BN825</f>
        <v/>
      </c>
      <c r="AF825" s="56">
        <f>IF(AC825&gt;0,I825/AC825,-1)</f>
        <v/>
      </c>
      <c r="AG825" s="56">
        <f>IF(AND(OR(BR825="L1",BR825="L23"),AC825&gt;0),SUMIFS($AC$7:$AC$1570,$BR$7:$BR$1570,BR825,$AF$7:$AF$1570,"&gt;"&amp;AF825)+SUMIFS($AC$7:$AC$1570,$BR$7:$BR$1570,BR825,$AF$7:$AF$1570,AF825,$BL$7:$BL$1570,"&lt;="&amp;BL825),"")</f>
        <v/>
      </c>
      <c r="AH825" s="65">
        <f>IF(AG825="",0,MAX(0,MIN(1,(IF(BR825="L1",Parameter!$K$5,Parameter!$K$6+Parameter!$K$7)-(AG825-AC825))/AC825)))</f>
        <v/>
      </c>
      <c r="AI825" s="55">
        <f>IF(LEFT(Cockpit!$I$5,1)="A",G825,IF(BT825=1,BU825,IF(LEFT(Cockpit!$I$5,1)="B",AM825,MAX(AM825,G825))))</f>
        <v/>
      </c>
      <c r="AJ825" s="55">
        <f>IF(BO825=1,0,ROUNDUP(AI825/BN825,0))</f>
        <v/>
      </c>
      <c r="AK825" s="64">
        <f>IF(BO825=1,IF(AI825&lt;=0,0,BP825*MAX(1,IF(G825&gt;0,AI825/G825,1))),AJ825*Q825)</f>
        <v/>
      </c>
      <c r="AL825" s="55">
        <f>AI825*F825</f>
        <v/>
      </c>
      <c r="AM825" s="55">
        <f>ROUNDUP(MAX(I825/IF(BS825&gt;0,BS825,MAX(0.1,N(Cockpit!$I$6))),BV825)/BN825,0)*BN825</f>
        <v/>
      </c>
      <c r="AN825" s="56">
        <f>IF(AK825&gt;0,I825/AK825,-1)</f>
        <v/>
      </c>
      <c r="AO825" s="56">
        <f>IF(AND(OR(BR825="L1",BR825="L23"),AK825&gt;0),SUMIFS($AK$7:$AK$1570,$BR$7:$BR$1570,BR825,$AN$7:$AN$1570,"&gt;"&amp;AN825)+SUMIFS($AK$7:$AK$1570,$BR$7:$BR$1570,BR825,$AN$7:$AN$1570,AN825,$BL$7:$BL$1570,"&lt;="&amp;BL825),"")</f>
        <v/>
      </c>
      <c r="AP825" s="65">
        <f>IF(AO825="",0,MAX(0,MIN(1,(IF(BR825="L1",Parameter!$K$5,Parameter!$K$6+Parameter!$K$7)-(AO825-AK825))/AK825)))</f>
        <v/>
      </c>
      <c r="AQ825" s="55">
        <f>IF(LEFT(Cockpit!$O$5,1)="A",G825,IF(BT825=1,BU825,IF(LEFT(Cockpit!$O$5,1)="B",AU825,MAX(AU825,G825))))</f>
        <v/>
      </c>
      <c r="AR825" s="55">
        <f>IF(BO825=1,0,ROUNDUP(AQ825/BN825,0))</f>
        <v/>
      </c>
      <c r="AS825" s="64">
        <f>IF(BO825=1,IF(AQ825&lt;=0,0,BP825*MAX(1,IF(G825&gt;0,AQ825/G825,1))),AR825*Q825)</f>
        <v/>
      </c>
      <c r="AT825" s="55">
        <f>AQ825*F825</f>
        <v/>
      </c>
      <c r="AU825" s="55">
        <f>ROUNDUP(MAX(I825/IF(BS825&gt;0,BS825,MAX(0.1,N(Cockpit!$O$6))),BV825)/BN825,0)*BN825</f>
        <v/>
      </c>
      <c r="AV825" s="56">
        <f>IF(AS825&gt;0,I825/AS825,-1)</f>
        <v/>
      </c>
      <c r="AW825" s="56">
        <f>IF(AND(OR(BR825="L1",BR825="L23"),AS825&gt;0),SUMIFS($AS$7:$AS$1570,$BR$7:$BR$1570,BR825,$AV$7:$AV$1570,"&gt;"&amp;AV825)+SUMIFS($AS$7:$AS$1570,$BR$7:$BR$1570,BR825,$AV$7:$AV$1570,AV825,$BL$7:$BL$1570,"&lt;="&amp;BL825),"")</f>
        <v/>
      </c>
      <c r="AX825" s="65">
        <f>IF(AW825="",0,MAX(0,MIN(1,(IF(BR825="L1",Parameter!$K$5,Parameter!$K$6+Parameter!$K$7)-(AW825-AS825))/AS825)))</f>
        <v/>
      </c>
      <c r="AY825" s="53">
        <f>IF(AC825&lt;=0,"",IF(BR825="Aussen","Aussenlager",IF(BR825="-","Nicht im Lift",IF(AH825&gt;=1,"Lift",IF(AH825&lt;=0,"Aussenlager","teilweise")))))</f>
        <v/>
      </c>
      <c r="AZ825" s="53">
        <f>IF(AK825&lt;=0,"",IF(BR825="Aussen","Aussenlager",IF(BR825="-","Nicht im Lift",IF(AP825&gt;=1,"Lift",IF(AP825&lt;=0,"Aussenlager","teilweise")))))</f>
        <v/>
      </c>
      <c r="BA825" s="53">
        <f>IF(AS825&lt;=0,"",IF(BR825="Aussen","Aussenlager",IF(BR825="-","Nicht im Lift",IF(AX825&gt;=1,"Lift",IF(AX825&lt;=0,"Aussenlager","teilweise")))))</f>
        <v/>
      </c>
      <c r="BB825" s="53">
        <f>IF(A825="","",IF(BK825=1,"Neu; ","")&amp;IF(AND(BK825=0,BF825&lt;0),"negativer Bestand (Export "&amp;BF825&amp;"); ","")&amp;IF(I825&lt;=0,"Kein Verbrauch; ","")&amp;IF(BO825=1,"Lose – Fläche geschätzt; ","")&amp;IF(G825&gt;AM825,"Überbestand "&amp;ROUND(G825-AM825,0)&amp;" Stk / CHF "&amp;ROUND((G825-AM825)*F825,0)&amp;"; ","")&amp;IF(AND(BT825=1,BU825&lt;BV825),"MAX &lt; MB+LG; ","")&amp;IF(AND(BZ825&gt;0,BY825*10&gt;BZ825),"zu hoch für Tablar; ","")&amp;IF(AND(BK825=0,OR(BT825=1,V825&lt;&gt;"",S825&lt;&gt;"",T825&lt;&gt;"",W825&lt;&gt;"")),"manuell übersteuert; ","")&amp;IF(AND(BO825=0,Q825=0),"Gebinde unbekannt; ","")&amp;IF(AND(BO825=0,N(T825)&lt;=0,N(P825)&lt;=0),"Menge pro Gebinde fehlt (Ist = 1 Gebinde); ","")&amp;BJ825)</f>
        <v/>
      </c>
      <c r="BC825" s="53" t="n"/>
      <c r="BD825" s="53" t="n"/>
      <c r="BE825" s="61" t="n"/>
      <c r="BF825" s="55" t="n">
        <v>-5</v>
      </c>
      <c r="BG825" s="55" t="n">
        <v>85</v>
      </c>
      <c r="BH825" s="54" t="n">
        <v>-10.40000000000005</v>
      </c>
      <c r="BI825" s="55" t="n">
        <v>55</v>
      </c>
      <c r="BJ825" s="53" t="inlineStr">
        <is>
          <t>Neu</t>
        </is>
      </c>
      <c r="BK825" s="58" t="n">
        <v>0</v>
      </c>
      <c r="BL825" s="58" t="n">
        <v>825</v>
      </c>
      <c r="BM825" s="53">
        <f>IF(S825&lt;&gt;"",UPPER(TRIM(S825)),IF(O825="","LOSE",O825))</f>
        <v/>
      </c>
      <c r="BN825" s="55">
        <f>IF(BM825="LOSE",1,IF(N(T825)&gt;0,T825,IF(N(P825)&gt;0,P825,MAX(1,G825))))</f>
        <v/>
      </c>
      <c r="BO825" s="58">
        <f>IF(BM825="LOSE",1,0)</f>
        <v/>
      </c>
      <c r="BP825" s="64">
        <f>IF(BO825=0,0,IF(N(R825)&gt;0,R825,IFERROR(VLOOKUP(D825,Parameter!$A$35:$C$64,3,0)+0,0)))</f>
        <v/>
      </c>
      <c r="BQ825" s="53">
        <f>IF(V825&lt;&gt;"",V825,U825)</f>
        <v/>
      </c>
      <c r="BR825" s="53">
        <f>IF(BQ825=1,"L1",IF(OR(BQ825=2,BQ825=3),"L23",IF(BQ825="Aussen","Aussen","-")))</f>
        <v/>
      </c>
      <c r="BS825" s="66">
        <f>IF(N(W825)&gt;0,W825,0)</f>
        <v/>
      </c>
      <c r="BT825" s="58">
        <f>IF(ISNUMBER(Z825),1,0)</f>
        <v/>
      </c>
      <c r="BU825" s="55">
        <f>N(Z825)</f>
        <v/>
      </c>
      <c r="BV825" s="55">
        <f>N(L825)+N(M825)</f>
        <v/>
      </c>
      <c r="BW825" s="55">
        <f>ROUNDUP(G825/BN825,0)</f>
        <v/>
      </c>
      <c r="BX825" s="55">
        <f>ROUNDUP(BU825/BN825,0)</f>
        <v/>
      </c>
      <c r="BY825" s="58">
        <f>IF(BO825=1,0,IFERROR(VLOOKUP(BM825,'Gebinde-Kategorie'!$A$5:$G$45,5,0)+0,0))</f>
        <v/>
      </c>
      <c r="BZ825" s="58">
        <f>IFERROR(IF(OR(BQ825=1,BQ825=2,BQ825=3),N(INDEX(Parameter!$I$5:$I$7,BQ825)),0),0)</f>
        <v/>
      </c>
    </row>
    <row r="826">
      <c r="A826" s="53" t="inlineStr">
        <is>
          <t>001138</t>
        </is>
      </c>
      <c r="B826" s="53" t="inlineStr">
        <is>
          <t>Ablösbare Markierungspunkte grün</t>
        </is>
      </c>
      <c r="C826" s="53" t="inlineStr">
        <is>
          <t>F</t>
        </is>
      </c>
      <c r="D826" s="53" t="inlineStr">
        <is>
          <t>KTL</t>
        </is>
      </c>
      <c r="E826" s="53" t="inlineStr">
        <is>
          <t>C</t>
        </is>
      </c>
      <c r="F826" s="54" t="n">
        <v>10.43</v>
      </c>
      <c r="G826" s="55">
        <f>MAX(0,IF(Parameter!$B$20="Jahresanfang 2025 + Export",BG826+BF826,BF826))</f>
        <v/>
      </c>
      <c r="H826" s="55">
        <f>G826*F826</f>
        <v/>
      </c>
      <c r="I826" s="55">
        <f>BI826*Parameter!$B$18</f>
        <v/>
      </c>
      <c r="J826" s="56" t="n">
        <v>0.5</v>
      </c>
      <c r="K826" s="57" t="n">
        <v>2</v>
      </c>
      <c r="L826" s="55" t="n">
        <v>0</v>
      </c>
      <c r="M826" s="55" t="n">
        <v>1</v>
      </c>
      <c r="N826" s="58" t="n">
        <v>21</v>
      </c>
      <c r="O826" s="53" t="inlineStr">
        <is>
          <t>S21</t>
        </is>
      </c>
      <c r="P826" s="55" t="n">
        <v>100</v>
      </c>
      <c r="Q826" s="59">
        <f>IF(BO826=1,0,IFERROR(VLOOKUP(BM826,'Gebinde-Kategorie'!$A$5:$G$45,6,0)+0,0))</f>
        <v/>
      </c>
      <c r="R826" s="60" t="n"/>
      <c r="S826" s="61" t="n"/>
      <c r="T826" s="61" t="n"/>
      <c r="U826" s="53">
        <f>IF(A826="","",IF(IFERROR(VLOOKUP(D826,Parameter!$A$35:$C$64,2,0),"Nein")="2+3",IF(ISNUMBER(SEARCH("grosser Artikel",BJ826)),2,IFERROR(VLOOKUP(BM826,Parameter!$F$35:$G$64,2,0),2)),IF(OR(IFERROR(VLOOKUP(D826,Parameter!$A$35:$C$64,2,0),"Nein")="Nein",IFERROR(VLOOKUP(D826,Parameter!$A$35:$C$64,2,0),"Nein")=""),"-",VLOOKUP(D826,Parameter!$A$35:$C$64,2,0))))</f>
        <v/>
      </c>
      <c r="V826" s="61" t="n"/>
      <c r="W826" s="62" t="n"/>
      <c r="X826" s="55">
        <f>AM826</f>
        <v/>
      </c>
      <c r="Y826" s="55">
        <f>MAX(AM826,G826)</f>
        <v/>
      </c>
      <c r="Z826" s="63" t="n"/>
      <c r="AA826" s="55">
        <f>IF(LEFT(Cockpit!$C$5,1)="A",G826,IF(BT826=1,BU826,IF(LEFT(Cockpit!$C$5,1)="B",AE826,MAX(AE826,G826))))</f>
        <v/>
      </c>
      <c r="AB826" s="55">
        <f>IF(BO826=1,0,ROUNDUP(AA826/BN826,0))</f>
        <v/>
      </c>
      <c r="AC826" s="64">
        <f>IF(BO826=1,IF(AA826&lt;=0,0,BP826*MAX(1,IF(G826&gt;0,AA826/G826,1))),AB826*Q826)</f>
        <v/>
      </c>
      <c r="AD826" s="55">
        <f>AA826*F826</f>
        <v/>
      </c>
      <c r="AE826" s="55">
        <f>ROUNDUP(MAX(I826/IF(BS826&gt;0,BS826,MAX(0.1,N(Cockpit!$C$6))),BV826)/BN826,0)*BN826</f>
        <v/>
      </c>
      <c r="AF826" s="56">
        <f>IF(AC826&gt;0,I826/AC826,-1)</f>
        <v/>
      </c>
      <c r="AG826" s="56">
        <f>IF(AND(OR(BR826="L1",BR826="L23"),AC826&gt;0),SUMIFS($AC$7:$AC$1570,$BR$7:$BR$1570,BR826,$AF$7:$AF$1570,"&gt;"&amp;AF826)+SUMIFS($AC$7:$AC$1570,$BR$7:$BR$1570,BR826,$AF$7:$AF$1570,AF826,$BL$7:$BL$1570,"&lt;="&amp;BL826),"")</f>
        <v/>
      </c>
      <c r="AH826" s="65">
        <f>IF(AG826="",0,MAX(0,MIN(1,(IF(BR826="L1",Parameter!$K$5,Parameter!$K$6+Parameter!$K$7)-(AG826-AC826))/AC826)))</f>
        <v/>
      </c>
      <c r="AI826" s="55">
        <f>IF(LEFT(Cockpit!$I$5,1)="A",G826,IF(BT826=1,BU826,IF(LEFT(Cockpit!$I$5,1)="B",AM826,MAX(AM826,G826))))</f>
        <v/>
      </c>
      <c r="AJ826" s="55">
        <f>IF(BO826=1,0,ROUNDUP(AI826/BN826,0))</f>
        <v/>
      </c>
      <c r="AK826" s="64">
        <f>IF(BO826=1,IF(AI826&lt;=0,0,BP826*MAX(1,IF(G826&gt;0,AI826/G826,1))),AJ826*Q826)</f>
        <v/>
      </c>
      <c r="AL826" s="55">
        <f>AI826*F826</f>
        <v/>
      </c>
      <c r="AM826" s="55">
        <f>ROUNDUP(MAX(I826/IF(BS826&gt;0,BS826,MAX(0.1,N(Cockpit!$I$6))),BV826)/BN826,0)*BN826</f>
        <v/>
      </c>
      <c r="AN826" s="56">
        <f>IF(AK826&gt;0,I826/AK826,-1)</f>
        <v/>
      </c>
      <c r="AO826" s="56">
        <f>IF(AND(OR(BR826="L1",BR826="L23"),AK826&gt;0),SUMIFS($AK$7:$AK$1570,$BR$7:$BR$1570,BR826,$AN$7:$AN$1570,"&gt;"&amp;AN826)+SUMIFS($AK$7:$AK$1570,$BR$7:$BR$1570,BR826,$AN$7:$AN$1570,AN826,$BL$7:$BL$1570,"&lt;="&amp;BL826),"")</f>
        <v/>
      </c>
      <c r="AP826" s="65">
        <f>IF(AO826="",0,MAX(0,MIN(1,(IF(BR826="L1",Parameter!$K$5,Parameter!$K$6+Parameter!$K$7)-(AO826-AK826))/AK826)))</f>
        <v/>
      </c>
      <c r="AQ826" s="55">
        <f>IF(LEFT(Cockpit!$O$5,1)="A",G826,IF(BT826=1,BU826,IF(LEFT(Cockpit!$O$5,1)="B",AU826,MAX(AU826,G826))))</f>
        <v/>
      </c>
      <c r="AR826" s="55">
        <f>IF(BO826=1,0,ROUNDUP(AQ826/BN826,0))</f>
        <v/>
      </c>
      <c r="AS826" s="64">
        <f>IF(BO826=1,IF(AQ826&lt;=0,0,BP826*MAX(1,IF(G826&gt;0,AQ826/G826,1))),AR826*Q826)</f>
        <v/>
      </c>
      <c r="AT826" s="55">
        <f>AQ826*F826</f>
        <v/>
      </c>
      <c r="AU826" s="55">
        <f>ROUNDUP(MAX(I826/IF(BS826&gt;0,BS826,MAX(0.1,N(Cockpit!$O$6))),BV826)/BN826,0)*BN826</f>
        <v/>
      </c>
      <c r="AV826" s="56">
        <f>IF(AS826&gt;0,I826/AS826,-1)</f>
        <v/>
      </c>
      <c r="AW826" s="56">
        <f>IF(AND(OR(BR826="L1",BR826="L23"),AS826&gt;0),SUMIFS($AS$7:$AS$1570,$BR$7:$BR$1570,BR826,$AV$7:$AV$1570,"&gt;"&amp;AV826)+SUMIFS($AS$7:$AS$1570,$BR$7:$BR$1570,BR826,$AV$7:$AV$1570,AV826,$BL$7:$BL$1570,"&lt;="&amp;BL826),"")</f>
        <v/>
      </c>
      <c r="AX826" s="65">
        <f>IF(AW826="",0,MAX(0,MIN(1,(IF(BR826="L1",Parameter!$K$5,Parameter!$K$6+Parameter!$K$7)-(AW826-AS826))/AS826)))</f>
        <v/>
      </c>
      <c r="AY826" s="53">
        <f>IF(AC826&lt;=0,"",IF(BR826="Aussen","Aussenlager",IF(BR826="-","Nicht im Lift",IF(AH826&gt;=1,"Lift",IF(AH826&lt;=0,"Aussenlager","teilweise")))))</f>
        <v/>
      </c>
      <c r="AZ826" s="53">
        <f>IF(AK826&lt;=0,"",IF(BR826="Aussen","Aussenlager",IF(BR826="-","Nicht im Lift",IF(AP826&gt;=1,"Lift",IF(AP826&lt;=0,"Aussenlager","teilweise")))))</f>
        <v/>
      </c>
      <c r="BA826" s="53">
        <f>IF(AS826&lt;=0,"",IF(BR826="Aussen","Aussenlager",IF(BR826="-","Nicht im Lift",IF(AX826&gt;=1,"Lift",IF(AX826&lt;=0,"Aussenlager","teilweise")))))</f>
        <v/>
      </c>
      <c r="BB826" s="53">
        <f>IF(A826="","",IF(BK826=1,"Neu; ","")&amp;IF(AND(BK826=0,BF826&lt;0),"negativer Bestand (Export "&amp;BF826&amp;"); ","")&amp;IF(I826&lt;=0,"Kein Verbrauch; ","")&amp;IF(BO826=1,"Lose – Fläche geschätzt; ","")&amp;IF(G826&gt;AM826,"Überbestand "&amp;ROUND(G826-AM826,0)&amp;" Stk / CHF "&amp;ROUND((G826-AM826)*F826,0)&amp;"; ","")&amp;IF(AND(BT826=1,BU826&lt;BV826),"MAX &lt; MB+LG; ","")&amp;IF(AND(BZ826&gt;0,BY826*10&gt;BZ826),"zu hoch für Tablar; ","")&amp;IF(AND(BK826=0,OR(BT826=1,V826&lt;&gt;"",S826&lt;&gt;"",T826&lt;&gt;"",W826&lt;&gt;"")),"manuell übersteuert; ","")&amp;IF(AND(BO826=0,Q826=0),"Gebinde unbekannt; ","")&amp;IF(AND(BO826=0,N(T826)&lt;=0,N(P826)&lt;=0),"Menge pro Gebinde fehlt (Ist = 1 Gebinde); ","")&amp;BJ826)</f>
        <v/>
      </c>
      <c r="BC826" s="53" t="n"/>
      <c r="BD826" s="53" t="n"/>
      <c r="BE826" s="61" t="n"/>
      <c r="BF826" s="55" t="n">
        <v>-1</v>
      </c>
      <c r="BG826" s="55" t="n">
        <v>1</v>
      </c>
      <c r="BH826" s="54" t="n">
        <v>-10.43</v>
      </c>
      <c r="BI826" s="55" t="n">
        <v>1</v>
      </c>
      <c r="BJ826" s="53" t="inlineStr"/>
      <c r="BK826" s="58" t="n">
        <v>0</v>
      </c>
      <c r="BL826" s="58" t="n">
        <v>826</v>
      </c>
      <c r="BM826" s="53">
        <f>IF(S826&lt;&gt;"",UPPER(TRIM(S826)),IF(O826="","LOSE",O826))</f>
        <v/>
      </c>
      <c r="BN826" s="55">
        <f>IF(BM826="LOSE",1,IF(N(T826)&gt;0,T826,IF(N(P826)&gt;0,P826,MAX(1,G826))))</f>
        <v/>
      </c>
      <c r="BO826" s="58">
        <f>IF(BM826="LOSE",1,0)</f>
        <v/>
      </c>
      <c r="BP826" s="64">
        <f>IF(BO826=0,0,IF(N(R826)&gt;0,R826,IFERROR(VLOOKUP(D826,Parameter!$A$35:$C$64,3,0)+0,0)))</f>
        <v/>
      </c>
      <c r="BQ826" s="53">
        <f>IF(V826&lt;&gt;"",V826,U826)</f>
        <v/>
      </c>
      <c r="BR826" s="53">
        <f>IF(BQ826=1,"L1",IF(OR(BQ826=2,BQ826=3),"L23",IF(BQ826="Aussen","Aussen","-")))</f>
        <v/>
      </c>
      <c r="BS826" s="66">
        <f>IF(N(W826)&gt;0,W826,0)</f>
        <v/>
      </c>
      <c r="BT826" s="58">
        <f>IF(ISNUMBER(Z826),1,0)</f>
        <v/>
      </c>
      <c r="BU826" s="55">
        <f>N(Z826)</f>
        <v/>
      </c>
      <c r="BV826" s="55">
        <f>N(L826)+N(M826)</f>
        <v/>
      </c>
      <c r="BW826" s="55">
        <f>ROUNDUP(G826/BN826,0)</f>
        <v/>
      </c>
      <c r="BX826" s="55">
        <f>ROUNDUP(BU826/BN826,0)</f>
        <v/>
      </c>
      <c r="BY826" s="58">
        <f>IF(BO826=1,0,IFERROR(VLOOKUP(BM826,'Gebinde-Kategorie'!$A$5:$G$45,5,0)+0,0))</f>
        <v/>
      </c>
      <c r="BZ826" s="58">
        <f>IFERROR(IF(OR(BQ826=1,BQ826=2,BQ826=3),N(INDEX(Parameter!$I$5:$I$7,BQ826)),0),0)</f>
        <v/>
      </c>
    </row>
    <row r="827">
      <c r="A827" s="53" t="inlineStr">
        <is>
          <t>106862</t>
        </is>
      </c>
      <c r="B827" s="53" t="inlineStr">
        <is>
          <t>Schlauchschelle</t>
        </is>
      </c>
      <c r="C827" s="53" t="inlineStr">
        <is>
          <t>F</t>
        </is>
      </c>
      <c r="D827" s="53" t="inlineStr">
        <is>
          <t>KTL</t>
        </is>
      </c>
      <c r="E827" s="53" t="inlineStr">
        <is>
          <t>C</t>
        </is>
      </c>
      <c r="F827" s="54" t="n">
        <v>0.88</v>
      </c>
      <c r="G827" s="55">
        <f>MAX(0,IF(Parameter!$B$20="Jahresanfang 2025 + Export",BG827+BF827,BF827))</f>
        <v/>
      </c>
      <c r="H827" s="55">
        <f>G827*F827</f>
        <v/>
      </c>
      <c r="I827" s="55">
        <f>BI827*Parameter!$B$18</f>
        <v/>
      </c>
      <c r="J827" s="56" t="n">
        <v>79.5</v>
      </c>
      <c r="K827" s="57" t="n">
        <v>0.03773584905660377</v>
      </c>
      <c r="L827" s="55" t="n">
        <v>0</v>
      </c>
      <c r="M827" s="55" t="n">
        <v>5</v>
      </c>
      <c r="N827" s="58" t="n">
        <v>21</v>
      </c>
      <c r="O827" s="53" t="inlineStr">
        <is>
          <t>S22</t>
        </is>
      </c>
      <c r="P827" s="55" t="n">
        <v>84</v>
      </c>
      <c r="Q827" s="59">
        <f>IF(BO827=1,0,IFERROR(VLOOKUP(BM827,'Gebinde-Kategorie'!$A$5:$G$45,6,0)+0,0))</f>
        <v/>
      </c>
      <c r="R827" s="60" t="n"/>
      <c r="S827" s="61" t="n"/>
      <c r="T827" s="61" t="n"/>
      <c r="U827" s="53">
        <f>IF(A827="","",IF(IFERROR(VLOOKUP(D827,Parameter!$A$35:$C$64,2,0),"Nein")="2+3",IF(ISNUMBER(SEARCH("grosser Artikel",BJ827)),2,IFERROR(VLOOKUP(BM827,Parameter!$F$35:$G$64,2,0),2)),IF(OR(IFERROR(VLOOKUP(D827,Parameter!$A$35:$C$64,2,0),"Nein")="Nein",IFERROR(VLOOKUP(D827,Parameter!$A$35:$C$64,2,0),"Nein")=""),"-",VLOOKUP(D827,Parameter!$A$35:$C$64,2,0))))</f>
        <v/>
      </c>
      <c r="V827" s="61" t="n"/>
      <c r="W827" s="62" t="n"/>
      <c r="X827" s="55">
        <f>AM827</f>
        <v/>
      </c>
      <c r="Y827" s="55">
        <f>MAX(AM827,G827)</f>
        <v/>
      </c>
      <c r="Z827" s="63" t="n"/>
      <c r="AA827" s="55">
        <f>IF(LEFT(Cockpit!$C$5,1)="A",G827,IF(BT827=1,BU827,IF(LEFT(Cockpit!$C$5,1)="B",AE827,MAX(AE827,G827))))</f>
        <v/>
      </c>
      <c r="AB827" s="55">
        <f>IF(BO827=1,0,ROUNDUP(AA827/BN827,0))</f>
        <v/>
      </c>
      <c r="AC827" s="64">
        <f>IF(BO827=1,IF(AA827&lt;=0,0,BP827*MAX(1,IF(G827&gt;0,AA827/G827,1))),AB827*Q827)</f>
        <v/>
      </c>
      <c r="AD827" s="55">
        <f>AA827*F827</f>
        <v/>
      </c>
      <c r="AE827" s="55">
        <f>ROUNDUP(MAX(I827/IF(BS827&gt;0,BS827,MAX(0.1,N(Cockpit!$C$6))),BV827)/BN827,0)*BN827</f>
        <v/>
      </c>
      <c r="AF827" s="56">
        <f>IF(AC827&gt;0,I827/AC827,-1)</f>
        <v/>
      </c>
      <c r="AG827" s="56">
        <f>IF(AND(OR(BR827="L1",BR827="L23"),AC827&gt;0),SUMIFS($AC$7:$AC$1570,$BR$7:$BR$1570,BR827,$AF$7:$AF$1570,"&gt;"&amp;AF827)+SUMIFS($AC$7:$AC$1570,$BR$7:$BR$1570,BR827,$AF$7:$AF$1570,AF827,$BL$7:$BL$1570,"&lt;="&amp;BL827),"")</f>
        <v/>
      </c>
      <c r="AH827" s="65">
        <f>IF(AG827="",0,MAX(0,MIN(1,(IF(BR827="L1",Parameter!$K$5,Parameter!$K$6+Parameter!$K$7)-(AG827-AC827))/AC827)))</f>
        <v/>
      </c>
      <c r="AI827" s="55">
        <f>IF(LEFT(Cockpit!$I$5,1)="A",G827,IF(BT827=1,BU827,IF(LEFT(Cockpit!$I$5,1)="B",AM827,MAX(AM827,G827))))</f>
        <v/>
      </c>
      <c r="AJ827" s="55">
        <f>IF(BO827=1,0,ROUNDUP(AI827/BN827,0))</f>
        <v/>
      </c>
      <c r="AK827" s="64">
        <f>IF(BO827=1,IF(AI827&lt;=0,0,BP827*MAX(1,IF(G827&gt;0,AI827/G827,1))),AJ827*Q827)</f>
        <v/>
      </c>
      <c r="AL827" s="55">
        <f>AI827*F827</f>
        <v/>
      </c>
      <c r="AM827" s="55">
        <f>ROUNDUP(MAX(I827/IF(BS827&gt;0,BS827,MAX(0.1,N(Cockpit!$I$6))),BV827)/BN827,0)*BN827</f>
        <v/>
      </c>
      <c r="AN827" s="56">
        <f>IF(AK827&gt;0,I827/AK827,-1)</f>
        <v/>
      </c>
      <c r="AO827" s="56">
        <f>IF(AND(OR(BR827="L1",BR827="L23"),AK827&gt;0),SUMIFS($AK$7:$AK$1570,$BR$7:$BR$1570,BR827,$AN$7:$AN$1570,"&gt;"&amp;AN827)+SUMIFS($AK$7:$AK$1570,$BR$7:$BR$1570,BR827,$AN$7:$AN$1570,AN827,$BL$7:$BL$1570,"&lt;="&amp;BL827),"")</f>
        <v/>
      </c>
      <c r="AP827" s="65">
        <f>IF(AO827="",0,MAX(0,MIN(1,(IF(BR827="L1",Parameter!$K$5,Parameter!$K$6+Parameter!$K$7)-(AO827-AK827))/AK827)))</f>
        <v/>
      </c>
      <c r="AQ827" s="55">
        <f>IF(LEFT(Cockpit!$O$5,1)="A",G827,IF(BT827=1,BU827,IF(LEFT(Cockpit!$O$5,1)="B",AU827,MAX(AU827,G827))))</f>
        <v/>
      </c>
      <c r="AR827" s="55">
        <f>IF(BO827=1,0,ROUNDUP(AQ827/BN827,0))</f>
        <v/>
      </c>
      <c r="AS827" s="64">
        <f>IF(BO827=1,IF(AQ827&lt;=0,0,BP827*MAX(1,IF(G827&gt;0,AQ827/G827,1))),AR827*Q827)</f>
        <v/>
      </c>
      <c r="AT827" s="55">
        <f>AQ827*F827</f>
        <v/>
      </c>
      <c r="AU827" s="55">
        <f>ROUNDUP(MAX(I827/IF(BS827&gt;0,BS827,MAX(0.1,N(Cockpit!$O$6))),BV827)/BN827,0)*BN827</f>
        <v/>
      </c>
      <c r="AV827" s="56">
        <f>IF(AS827&gt;0,I827/AS827,-1)</f>
        <v/>
      </c>
      <c r="AW827" s="56">
        <f>IF(AND(OR(BR827="L1",BR827="L23"),AS827&gt;0),SUMIFS($AS$7:$AS$1570,$BR$7:$BR$1570,BR827,$AV$7:$AV$1570,"&gt;"&amp;AV827)+SUMIFS($AS$7:$AS$1570,$BR$7:$BR$1570,BR827,$AV$7:$AV$1570,AV827,$BL$7:$BL$1570,"&lt;="&amp;BL827),"")</f>
        <v/>
      </c>
      <c r="AX827" s="65">
        <f>IF(AW827="",0,MAX(0,MIN(1,(IF(BR827="L1",Parameter!$K$5,Parameter!$K$6+Parameter!$K$7)-(AW827-AS827))/AS827)))</f>
        <v/>
      </c>
      <c r="AY827" s="53">
        <f>IF(AC827&lt;=0,"",IF(BR827="Aussen","Aussenlager",IF(BR827="-","Nicht im Lift",IF(AH827&gt;=1,"Lift",IF(AH827&lt;=0,"Aussenlager","teilweise")))))</f>
        <v/>
      </c>
      <c r="AZ827" s="53">
        <f>IF(AK827&lt;=0,"",IF(BR827="Aussen","Aussenlager",IF(BR827="-","Nicht im Lift",IF(AP827&gt;=1,"Lift",IF(AP827&lt;=0,"Aussenlager","teilweise")))))</f>
        <v/>
      </c>
      <c r="BA827" s="53">
        <f>IF(AS827&lt;=0,"",IF(BR827="Aussen","Aussenlager",IF(BR827="-","Nicht im Lift",IF(AX827&gt;=1,"Lift",IF(AX827&lt;=0,"Aussenlager","teilweise")))))</f>
        <v/>
      </c>
      <c r="BB827" s="53">
        <f>IF(A827="","",IF(BK827=1,"Neu; ","")&amp;IF(AND(BK827=0,BF827&lt;0),"negativer Bestand (Export "&amp;BF827&amp;"); ","")&amp;IF(I827&lt;=0,"Kein Verbrauch; ","")&amp;IF(BO827=1,"Lose – Fläche geschätzt; ","")&amp;IF(G827&gt;AM827,"Überbestand "&amp;ROUND(G827-AM827,0)&amp;" Stk / CHF "&amp;ROUND((G827-AM827)*F827,0)&amp;"; ","")&amp;IF(AND(BT827=1,BU827&lt;BV827),"MAX &lt; MB+LG; ","")&amp;IF(AND(BZ827&gt;0,BY827*10&gt;BZ827),"zu hoch für Tablar; ","")&amp;IF(AND(BK827=0,OR(BT827=1,V827&lt;&gt;"",S827&lt;&gt;"",T827&lt;&gt;"",W827&lt;&gt;"")),"manuell übersteuert; ","")&amp;IF(AND(BO827=0,Q827=0),"Gebinde unbekannt; ","")&amp;IF(AND(BO827=0,N(T827)&lt;=0,N(P827)&lt;=0),"Menge pro Gebinde fehlt (Ist = 1 Gebinde); ","")&amp;BJ827)</f>
        <v/>
      </c>
      <c r="BC827" s="53" t="n"/>
      <c r="BD827" s="53" t="n"/>
      <c r="BE827" s="61" t="n"/>
      <c r="BF827" s="55" t="n">
        <v>-12</v>
      </c>
      <c r="BG827" s="55" t="n">
        <v>81</v>
      </c>
      <c r="BH827" s="54" t="n">
        <v>-10.56</v>
      </c>
      <c r="BI827" s="55" t="n">
        <v>3</v>
      </c>
      <c r="BJ827" s="53" t="inlineStr">
        <is>
          <t>Überbestand</t>
        </is>
      </c>
      <c r="BK827" s="58" t="n">
        <v>0</v>
      </c>
      <c r="BL827" s="58" t="n">
        <v>827</v>
      </c>
      <c r="BM827" s="53">
        <f>IF(S827&lt;&gt;"",UPPER(TRIM(S827)),IF(O827="","LOSE",O827))</f>
        <v/>
      </c>
      <c r="BN827" s="55">
        <f>IF(BM827="LOSE",1,IF(N(T827)&gt;0,T827,IF(N(P827)&gt;0,P827,MAX(1,G827))))</f>
        <v/>
      </c>
      <c r="BO827" s="58">
        <f>IF(BM827="LOSE",1,0)</f>
        <v/>
      </c>
      <c r="BP827" s="64">
        <f>IF(BO827=0,0,IF(N(R827)&gt;0,R827,IFERROR(VLOOKUP(D827,Parameter!$A$35:$C$64,3,0)+0,0)))</f>
        <v/>
      </c>
      <c r="BQ827" s="53">
        <f>IF(V827&lt;&gt;"",V827,U827)</f>
        <v/>
      </c>
      <c r="BR827" s="53">
        <f>IF(BQ827=1,"L1",IF(OR(BQ827=2,BQ827=3),"L23",IF(BQ827="Aussen","Aussen","-")))</f>
        <v/>
      </c>
      <c r="BS827" s="66">
        <f>IF(N(W827)&gt;0,W827,0)</f>
        <v/>
      </c>
      <c r="BT827" s="58">
        <f>IF(ISNUMBER(Z827),1,0)</f>
        <v/>
      </c>
      <c r="BU827" s="55">
        <f>N(Z827)</f>
        <v/>
      </c>
      <c r="BV827" s="55">
        <f>N(L827)+N(M827)</f>
        <v/>
      </c>
      <c r="BW827" s="55">
        <f>ROUNDUP(G827/BN827,0)</f>
        <v/>
      </c>
      <c r="BX827" s="55">
        <f>ROUNDUP(BU827/BN827,0)</f>
        <v/>
      </c>
      <c r="BY827" s="58">
        <f>IF(BO827=1,0,IFERROR(VLOOKUP(BM827,'Gebinde-Kategorie'!$A$5:$G$45,5,0)+0,0))</f>
        <v/>
      </c>
      <c r="BZ827" s="58">
        <f>IFERROR(IF(OR(BQ827=1,BQ827=2,BQ827=3),N(INDEX(Parameter!$I$5:$I$7,BQ827)),0),0)</f>
        <v/>
      </c>
    </row>
    <row r="828">
      <c r="A828" s="53" t="inlineStr">
        <is>
          <t>100137</t>
        </is>
      </c>
      <c r="B828" s="53" t="inlineStr">
        <is>
          <t>O-Ring</t>
        </is>
      </c>
      <c r="C828" s="53" t="inlineStr">
        <is>
          <t>F</t>
        </is>
      </c>
      <c r="D828" s="53" t="inlineStr">
        <is>
          <t>KTL</t>
        </is>
      </c>
      <c r="E828" s="53" t="inlineStr">
        <is>
          <t>C</t>
        </is>
      </c>
      <c r="F828" s="54" t="n">
        <v>0.14</v>
      </c>
      <c r="G828" s="55">
        <f>MAX(0,IF(Parameter!$B$20="Jahresanfang 2025 + Export",BG828+BF828,BF828))</f>
        <v/>
      </c>
      <c r="H828" s="55">
        <f>G828*F828</f>
        <v/>
      </c>
      <c r="I828" s="55">
        <f>BI828*Parameter!$B$18</f>
        <v/>
      </c>
      <c r="J828" s="56" t="n">
        <v>224.5</v>
      </c>
      <c r="K828" s="57" t="n">
        <v>0.7884187082405345</v>
      </c>
      <c r="L828" s="55" t="n">
        <v>6</v>
      </c>
      <c r="M828" s="55" t="n">
        <v>175</v>
      </c>
      <c r="N828" s="58" t="n">
        <v>14</v>
      </c>
      <c r="O828" s="53" t="inlineStr">
        <is>
          <t>S22</t>
        </is>
      </c>
      <c r="P828" s="55" t="n">
        <v>360</v>
      </c>
      <c r="Q828" s="59">
        <f>IF(BO828=1,0,IFERROR(VLOOKUP(BM828,'Gebinde-Kategorie'!$A$5:$G$45,6,0)+0,0))</f>
        <v/>
      </c>
      <c r="R828" s="60" t="n"/>
      <c r="S828" s="61" t="n"/>
      <c r="T828" s="61" t="n"/>
      <c r="U828" s="53">
        <f>IF(A828="","",IF(IFERROR(VLOOKUP(D828,Parameter!$A$35:$C$64,2,0),"Nein")="2+3",IF(ISNUMBER(SEARCH("grosser Artikel",BJ828)),2,IFERROR(VLOOKUP(BM828,Parameter!$F$35:$G$64,2,0),2)),IF(OR(IFERROR(VLOOKUP(D828,Parameter!$A$35:$C$64,2,0),"Nein")="Nein",IFERROR(VLOOKUP(D828,Parameter!$A$35:$C$64,2,0),"Nein")=""),"-",VLOOKUP(D828,Parameter!$A$35:$C$64,2,0))))</f>
        <v/>
      </c>
      <c r="V828" s="61" t="n"/>
      <c r="W828" s="62" t="n"/>
      <c r="X828" s="55">
        <f>AM828</f>
        <v/>
      </c>
      <c r="Y828" s="55">
        <f>MAX(AM828,G828)</f>
        <v/>
      </c>
      <c r="Z828" s="63" t="n"/>
      <c r="AA828" s="55">
        <f>IF(LEFT(Cockpit!$C$5,1)="A",G828,IF(BT828=1,BU828,IF(LEFT(Cockpit!$C$5,1)="B",AE828,MAX(AE828,G828))))</f>
        <v/>
      </c>
      <c r="AB828" s="55">
        <f>IF(BO828=1,0,ROUNDUP(AA828/BN828,0))</f>
        <v/>
      </c>
      <c r="AC828" s="64">
        <f>IF(BO828=1,IF(AA828&lt;=0,0,BP828*MAX(1,IF(G828&gt;0,AA828/G828,1))),AB828*Q828)</f>
        <v/>
      </c>
      <c r="AD828" s="55">
        <f>AA828*F828</f>
        <v/>
      </c>
      <c r="AE828" s="55">
        <f>ROUNDUP(MAX(I828/IF(BS828&gt;0,BS828,MAX(0.1,N(Cockpit!$C$6))),BV828)/BN828,0)*BN828</f>
        <v/>
      </c>
      <c r="AF828" s="56">
        <f>IF(AC828&gt;0,I828/AC828,-1)</f>
        <v/>
      </c>
      <c r="AG828" s="56">
        <f>IF(AND(OR(BR828="L1",BR828="L23"),AC828&gt;0),SUMIFS($AC$7:$AC$1570,$BR$7:$BR$1570,BR828,$AF$7:$AF$1570,"&gt;"&amp;AF828)+SUMIFS($AC$7:$AC$1570,$BR$7:$BR$1570,BR828,$AF$7:$AF$1570,AF828,$BL$7:$BL$1570,"&lt;="&amp;BL828),"")</f>
        <v/>
      </c>
      <c r="AH828" s="65">
        <f>IF(AG828="",0,MAX(0,MIN(1,(IF(BR828="L1",Parameter!$K$5,Parameter!$K$6+Parameter!$K$7)-(AG828-AC828))/AC828)))</f>
        <v/>
      </c>
      <c r="AI828" s="55">
        <f>IF(LEFT(Cockpit!$I$5,1)="A",G828,IF(BT828=1,BU828,IF(LEFT(Cockpit!$I$5,1)="B",AM828,MAX(AM828,G828))))</f>
        <v/>
      </c>
      <c r="AJ828" s="55">
        <f>IF(BO828=1,0,ROUNDUP(AI828/BN828,0))</f>
        <v/>
      </c>
      <c r="AK828" s="64">
        <f>IF(BO828=1,IF(AI828&lt;=0,0,BP828*MAX(1,IF(G828&gt;0,AI828/G828,1))),AJ828*Q828)</f>
        <v/>
      </c>
      <c r="AL828" s="55">
        <f>AI828*F828</f>
        <v/>
      </c>
      <c r="AM828" s="55">
        <f>ROUNDUP(MAX(I828/IF(BS828&gt;0,BS828,MAX(0.1,N(Cockpit!$I$6))),BV828)/BN828,0)*BN828</f>
        <v/>
      </c>
      <c r="AN828" s="56">
        <f>IF(AK828&gt;0,I828/AK828,-1)</f>
        <v/>
      </c>
      <c r="AO828" s="56">
        <f>IF(AND(OR(BR828="L1",BR828="L23"),AK828&gt;0),SUMIFS($AK$7:$AK$1570,$BR$7:$BR$1570,BR828,$AN$7:$AN$1570,"&gt;"&amp;AN828)+SUMIFS($AK$7:$AK$1570,$BR$7:$BR$1570,BR828,$AN$7:$AN$1570,AN828,$BL$7:$BL$1570,"&lt;="&amp;BL828),"")</f>
        <v/>
      </c>
      <c r="AP828" s="65">
        <f>IF(AO828="",0,MAX(0,MIN(1,(IF(BR828="L1",Parameter!$K$5,Parameter!$K$6+Parameter!$K$7)-(AO828-AK828))/AK828)))</f>
        <v/>
      </c>
      <c r="AQ828" s="55">
        <f>IF(LEFT(Cockpit!$O$5,1)="A",G828,IF(BT828=1,BU828,IF(LEFT(Cockpit!$O$5,1)="B",AU828,MAX(AU828,G828))))</f>
        <v/>
      </c>
      <c r="AR828" s="55">
        <f>IF(BO828=1,0,ROUNDUP(AQ828/BN828,0))</f>
        <v/>
      </c>
      <c r="AS828" s="64">
        <f>IF(BO828=1,IF(AQ828&lt;=0,0,BP828*MAX(1,IF(G828&gt;0,AQ828/G828,1))),AR828*Q828)</f>
        <v/>
      </c>
      <c r="AT828" s="55">
        <f>AQ828*F828</f>
        <v/>
      </c>
      <c r="AU828" s="55">
        <f>ROUNDUP(MAX(I828/IF(BS828&gt;0,BS828,MAX(0.1,N(Cockpit!$O$6))),BV828)/BN828,0)*BN828</f>
        <v/>
      </c>
      <c r="AV828" s="56">
        <f>IF(AS828&gt;0,I828/AS828,-1)</f>
        <v/>
      </c>
      <c r="AW828" s="56">
        <f>IF(AND(OR(BR828="L1",BR828="L23"),AS828&gt;0),SUMIFS($AS$7:$AS$1570,$BR$7:$BR$1570,BR828,$AV$7:$AV$1570,"&gt;"&amp;AV828)+SUMIFS($AS$7:$AS$1570,$BR$7:$BR$1570,BR828,$AV$7:$AV$1570,AV828,$BL$7:$BL$1570,"&lt;="&amp;BL828),"")</f>
        <v/>
      </c>
      <c r="AX828" s="65">
        <f>IF(AW828="",0,MAX(0,MIN(1,(IF(BR828="L1",Parameter!$K$5,Parameter!$K$6+Parameter!$K$7)-(AW828-AS828))/AS828)))</f>
        <v/>
      </c>
      <c r="AY828" s="53">
        <f>IF(AC828&lt;=0,"",IF(BR828="Aussen","Aussenlager",IF(BR828="-","Nicht im Lift",IF(AH828&gt;=1,"Lift",IF(AH828&lt;=0,"Aussenlager","teilweise")))))</f>
        <v/>
      </c>
      <c r="AZ828" s="53">
        <f>IF(AK828&lt;=0,"",IF(BR828="Aussen","Aussenlager",IF(BR828="-","Nicht im Lift",IF(AP828&gt;=1,"Lift",IF(AP828&lt;=0,"Aussenlager","teilweise")))))</f>
        <v/>
      </c>
      <c r="BA828" s="53">
        <f>IF(AS828&lt;=0,"",IF(BR828="Aussen","Aussenlager",IF(BR828="-","Nicht im Lift",IF(AX828&gt;=1,"Lift",IF(AX828&lt;=0,"Aussenlager","teilweise")))))</f>
        <v/>
      </c>
      <c r="BB828" s="53">
        <f>IF(A828="","",IF(BK828=1,"Neu; ","")&amp;IF(AND(BK828=0,BF828&lt;0),"negativer Bestand (Export "&amp;BF828&amp;"); ","")&amp;IF(I828&lt;=0,"Kein Verbrauch; ","")&amp;IF(BO828=1,"Lose – Fläche geschätzt; ","")&amp;IF(G828&gt;AM828,"Überbestand "&amp;ROUND(G828-AM828,0)&amp;" Stk / CHF "&amp;ROUND((G828-AM828)*F828,0)&amp;"; ","")&amp;IF(AND(BT828=1,BU828&lt;BV828),"MAX &lt; MB+LG; ","")&amp;IF(AND(BZ828&gt;0,BY828*10&gt;BZ828),"zu hoch für Tablar; ","")&amp;IF(AND(BK828=0,OR(BT828=1,V828&lt;&gt;"",S828&lt;&gt;"",T828&lt;&gt;"",W828&lt;&gt;"")),"manuell übersteuert; ","")&amp;IF(AND(BO828=0,Q828=0),"Gebinde unbekannt; ","")&amp;IF(AND(BO828=0,N(T828)&lt;=0,N(P828)&lt;=0),"Menge pro Gebinde fehlt (Ist = 1 Gebinde); ","")&amp;BJ828)</f>
        <v/>
      </c>
      <c r="BC828" s="53" t="n"/>
      <c r="BD828" s="53" t="n"/>
      <c r="BE828" s="61" t="n"/>
      <c r="BF828" s="55" t="n">
        <v>-76</v>
      </c>
      <c r="BG828" s="55" t="n">
        <v>194</v>
      </c>
      <c r="BH828" s="54" t="n">
        <v>-10.64</v>
      </c>
      <c r="BI828" s="55" t="n">
        <v>177</v>
      </c>
      <c r="BJ828" s="53" t="inlineStr"/>
      <c r="BK828" s="58" t="n">
        <v>0</v>
      </c>
      <c r="BL828" s="58" t="n">
        <v>828</v>
      </c>
      <c r="BM828" s="53">
        <f>IF(S828&lt;&gt;"",UPPER(TRIM(S828)),IF(O828="","LOSE",O828))</f>
        <v/>
      </c>
      <c r="BN828" s="55">
        <f>IF(BM828="LOSE",1,IF(N(T828)&gt;0,T828,IF(N(P828)&gt;0,P828,MAX(1,G828))))</f>
        <v/>
      </c>
      <c r="BO828" s="58">
        <f>IF(BM828="LOSE",1,0)</f>
        <v/>
      </c>
      <c r="BP828" s="64">
        <f>IF(BO828=0,0,IF(N(R828)&gt;0,R828,IFERROR(VLOOKUP(D828,Parameter!$A$35:$C$64,3,0)+0,0)))</f>
        <v/>
      </c>
      <c r="BQ828" s="53">
        <f>IF(V828&lt;&gt;"",V828,U828)</f>
        <v/>
      </c>
      <c r="BR828" s="53">
        <f>IF(BQ828=1,"L1",IF(OR(BQ828=2,BQ828=3),"L23",IF(BQ828="Aussen","Aussen","-")))</f>
        <v/>
      </c>
      <c r="BS828" s="66">
        <f>IF(N(W828)&gt;0,W828,0)</f>
        <v/>
      </c>
      <c r="BT828" s="58">
        <f>IF(ISNUMBER(Z828),1,0)</f>
        <v/>
      </c>
      <c r="BU828" s="55">
        <f>N(Z828)</f>
        <v/>
      </c>
      <c r="BV828" s="55">
        <f>N(L828)+N(M828)</f>
        <v/>
      </c>
      <c r="BW828" s="55">
        <f>ROUNDUP(G828/BN828,0)</f>
        <v/>
      </c>
      <c r="BX828" s="55">
        <f>ROUNDUP(BU828/BN828,0)</f>
        <v/>
      </c>
      <c r="BY828" s="58">
        <f>IF(BO828=1,0,IFERROR(VLOOKUP(BM828,'Gebinde-Kategorie'!$A$5:$G$45,5,0)+0,0))</f>
        <v/>
      </c>
      <c r="BZ828" s="58">
        <f>IFERROR(IF(OR(BQ828=1,BQ828=2,BQ828=3),N(INDEX(Parameter!$I$5:$I$7,BQ828)),0),0)</f>
        <v/>
      </c>
    </row>
    <row r="829">
      <c r="A829" s="53" t="inlineStr">
        <is>
          <t>100429</t>
        </is>
      </c>
      <c r="B829" s="53" t="inlineStr">
        <is>
          <t>Zylinderschraube mit Innensechskant</t>
        </is>
      </c>
      <c r="C829" s="53" t="inlineStr">
        <is>
          <t>F</t>
        </is>
      </c>
      <c r="D829" s="53" t="inlineStr">
        <is>
          <t>KTL</t>
        </is>
      </c>
      <c r="E829" s="53" t="inlineStr">
        <is>
          <t>C</t>
        </is>
      </c>
      <c r="F829" s="54" t="n">
        <v>0.14</v>
      </c>
      <c r="G829" s="55">
        <f>MAX(0,IF(Parameter!$B$20="Jahresanfang 2025 + Export",BG829+BF829,BF829))</f>
        <v/>
      </c>
      <c r="H829" s="55">
        <f>G829*F829</f>
        <v/>
      </c>
      <c r="I829" s="55">
        <f>BI829*Parameter!$B$18</f>
        <v/>
      </c>
      <c r="J829" s="56" t="n">
        <v>296.5</v>
      </c>
      <c r="K829" s="57" t="n">
        <v>0.1349072512647555</v>
      </c>
      <c r="L829" s="55" t="n">
        <v>1</v>
      </c>
      <c r="M829" s="55" t="n">
        <v>40</v>
      </c>
      <c r="N829" s="58" t="n">
        <v>14</v>
      </c>
      <c r="O829" s="53" t="inlineStr">
        <is>
          <t>S32</t>
        </is>
      </c>
      <c r="P829" s="55" t="n">
        <v>411</v>
      </c>
      <c r="Q829" s="59">
        <f>IF(BO829=1,0,IFERROR(VLOOKUP(BM829,'Gebinde-Kategorie'!$A$5:$G$45,6,0)+0,0))</f>
        <v/>
      </c>
      <c r="R829" s="60" t="n"/>
      <c r="S829" s="61" t="n"/>
      <c r="T829" s="61" t="n"/>
      <c r="U829" s="53">
        <f>IF(A829="","",IF(IFERROR(VLOOKUP(D829,Parameter!$A$35:$C$64,2,0),"Nein")="2+3",IF(ISNUMBER(SEARCH("grosser Artikel",BJ829)),2,IFERROR(VLOOKUP(BM829,Parameter!$F$35:$G$64,2,0),2)),IF(OR(IFERROR(VLOOKUP(D829,Parameter!$A$35:$C$64,2,0),"Nein")="Nein",IFERROR(VLOOKUP(D829,Parameter!$A$35:$C$64,2,0),"Nein")=""),"-",VLOOKUP(D829,Parameter!$A$35:$C$64,2,0))))</f>
        <v/>
      </c>
      <c r="V829" s="61" t="n"/>
      <c r="W829" s="62" t="n"/>
      <c r="X829" s="55">
        <f>AM829</f>
        <v/>
      </c>
      <c r="Y829" s="55">
        <f>MAX(AM829,G829)</f>
        <v/>
      </c>
      <c r="Z829" s="63" t="n"/>
      <c r="AA829" s="55">
        <f>IF(LEFT(Cockpit!$C$5,1)="A",G829,IF(BT829=1,BU829,IF(LEFT(Cockpit!$C$5,1)="B",AE829,MAX(AE829,G829))))</f>
        <v/>
      </c>
      <c r="AB829" s="55">
        <f>IF(BO829=1,0,ROUNDUP(AA829/BN829,0))</f>
        <v/>
      </c>
      <c r="AC829" s="64">
        <f>IF(BO829=1,IF(AA829&lt;=0,0,BP829*MAX(1,IF(G829&gt;0,AA829/G829,1))),AB829*Q829)</f>
        <v/>
      </c>
      <c r="AD829" s="55">
        <f>AA829*F829</f>
        <v/>
      </c>
      <c r="AE829" s="55">
        <f>ROUNDUP(MAX(I829/IF(BS829&gt;0,BS829,MAX(0.1,N(Cockpit!$C$6))),BV829)/BN829,0)*BN829</f>
        <v/>
      </c>
      <c r="AF829" s="56">
        <f>IF(AC829&gt;0,I829/AC829,-1)</f>
        <v/>
      </c>
      <c r="AG829" s="56">
        <f>IF(AND(OR(BR829="L1",BR829="L23"),AC829&gt;0),SUMIFS($AC$7:$AC$1570,$BR$7:$BR$1570,BR829,$AF$7:$AF$1570,"&gt;"&amp;AF829)+SUMIFS($AC$7:$AC$1570,$BR$7:$BR$1570,BR829,$AF$7:$AF$1570,AF829,$BL$7:$BL$1570,"&lt;="&amp;BL829),"")</f>
        <v/>
      </c>
      <c r="AH829" s="65">
        <f>IF(AG829="",0,MAX(0,MIN(1,(IF(BR829="L1",Parameter!$K$5,Parameter!$K$6+Parameter!$K$7)-(AG829-AC829))/AC829)))</f>
        <v/>
      </c>
      <c r="AI829" s="55">
        <f>IF(LEFT(Cockpit!$I$5,1)="A",G829,IF(BT829=1,BU829,IF(LEFT(Cockpit!$I$5,1)="B",AM829,MAX(AM829,G829))))</f>
        <v/>
      </c>
      <c r="AJ829" s="55">
        <f>IF(BO829=1,0,ROUNDUP(AI829/BN829,0))</f>
        <v/>
      </c>
      <c r="AK829" s="64">
        <f>IF(BO829=1,IF(AI829&lt;=0,0,BP829*MAX(1,IF(G829&gt;0,AI829/G829,1))),AJ829*Q829)</f>
        <v/>
      </c>
      <c r="AL829" s="55">
        <f>AI829*F829</f>
        <v/>
      </c>
      <c r="AM829" s="55">
        <f>ROUNDUP(MAX(I829/IF(BS829&gt;0,BS829,MAX(0.1,N(Cockpit!$I$6))),BV829)/BN829,0)*BN829</f>
        <v/>
      </c>
      <c r="AN829" s="56">
        <f>IF(AK829&gt;0,I829/AK829,-1)</f>
        <v/>
      </c>
      <c r="AO829" s="56">
        <f>IF(AND(OR(BR829="L1",BR829="L23"),AK829&gt;0),SUMIFS($AK$7:$AK$1570,$BR$7:$BR$1570,BR829,$AN$7:$AN$1570,"&gt;"&amp;AN829)+SUMIFS($AK$7:$AK$1570,$BR$7:$BR$1570,BR829,$AN$7:$AN$1570,AN829,$BL$7:$BL$1570,"&lt;="&amp;BL829),"")</f>
        <v/>
      </c>
      <c r="AP829" s="65">
        <f>IF(AO829="",0,MAX(0,MIN(1,(IF(BR829="L1",Parameter!$K$5,Parameter!$K$6+Parameter!$K$7)-(AO829-AK829))/AK829)))</f>
        <v/>
      </c>
      <c r="AQ829" s="55">
        <f>IF(LEFT(Cockpit!$O$5,1)="A",G829,IF(BT829=1,BU829,IF(LEFT(Cockpit!$O$5,1)="B",AU829,MAX(AU829,G829))))</f>
        <v/>
      </c>
      <c r="AR829" s="55">
        <f>IF(BO829=1,0,ROUNDUP(AQ829/BN829,0))</f>
        <v/>
      </c>
      <c r="AS829" s="64">
        <f>IF(BO829=1,IF(AQ829&lt;=0,0,BP829*MAX(1,IF(G829&gt;0,AQ829/G829,1))),AR829*Q829)</f>
        <v/>
      </c>
      <c r="AT829" s="55">
        <f>AQ829*F829</f>
        <v/>
      </c>
      <c r="AU829" s="55">
        <f>ROUNDUP(MAX(I829/IF(BS829&gt;0,BS829,MAX(0.1,N(Cockpit!$O$6))),BV829)/BN829,0)*BN829</f>
        <v/>
      </c>
      <c r="AV829" s="56">
        <f>IF(AS829&gt;0,I829/AS829,-1)</f>
        <v/>
      </c>
      <c r="AW829" s="56">
        <f>IF(AND(OR(BR829="L1",BR829="L23"),AS829&gt;0),SUMIFS($AS$7:$AS$1570,$BR$7:$BR$1570,BR829,$AV$7:$AV$1570,"&gt;"&amp;AV829)+SUMIFS($AS$7:$AS$1570,$BR$7:$BR$1570,BR829,$AV$7:$AV$1570,AV829,$BL$7:$BL$1570,"&lt;="&amp;BL829),"")</f>
        <v/>
      </c>
      <c r="AX829" s="65">
        <f>IF(AW829="",0,MAX(0,MIN(1,(IF(BR829="L1",Parameter!$K$5,Parameter!$K$6+Parameter!$K$7)-(AW829-AS829))/AS829)))</f>
        <v/>
      </c>
      <c r="AY829" s="53">
        <f>IF(AC829&lt;=0,"",IF(BR829="Aussen","Aussenlager",IF(BR829="-","Nicht im Lift",IF(AH829&gt;=1,"Lift",IF(AH829&lt;=0,"Aussenlager","teilweise")))))</f>
        <v/>
      </c>
      <c r="AZ829" s="53">
        <f>IF(AK829&lt;=0,"",IF(BR829="Aussen","Aussenlager",IF(BR829="-","Nicht im Lift",IF(AP829&gt;=1,"Lift",IF(AP829&lt;=0,"Aussenlager","teilweise")))))</f>
        <v/>
      </c>
      <c r="BA829" s="53">
        <f>IF(AS829&lt;=0,"",IF(BR829="Aussen","Aussenlager",IF(BR829="-","Nicht im Lift",IF(AX829&gt;=1,"Lift",IF(AX829&lt;=0,"Aussenlager","teilweise")))))</f>
        <v/>
      </c>
      <c r="BB829" s="53">
        <f>IF(A829="","",IF(BK829=1,"Neu; ","")&amp;IF(AND(BK829=0,BF829&lt;0),"negativer Bestand (Export "&amp;BF829&amp;"); ","")&amp;IF(I829&lt;=0,"Kein Verbrauch; ","")&amp;IF(BO829=1,"Lose – Fläche geschätzt; ","")&amp;IF(G829&gt;AM829,"Überbestand "&amp;ROUND(G829-AM829,0)&amp;" Stk / CHF "&amp;ROUND((G829-AM829)*F829,0)&amp;"; ","")&amp;IF(AND(BT829=1,BU829&lt;BV829),"MAX &lt; MB+LG; ","")&amp;IF(AND(BZ829&gt;0,BY829*10&gt;BZ829),"zu hoch für Tablar; ","")&amp;IF(AND(BK829=0,OR(BT829=1,V829&lt;&gt;"",S829&lt;&gt;"",T829&lt;&gt;"",W829&lt;&gt;"")),"manuell übersteuert; ","")&amp;IF(AND(BO829=0,Q829=0),"Gebinde unbekannt; ","")&amp;IF(AND(BO829=0,N(T829)&lt;=0,N(P829)&lt;=0),"Menge pro Gebinde fehlt (Ist = 1 Gebinde); ","")&amp;BJ829)</f>
        <v/>
      </c>
      <c r="BC829" s="53" t="n"/>
      <c r="BD829" s="53" t="n"/>
      <c r="BE829" s="61" t="n"/>
      <c r="BF829" s="55" t="n">
        <v>-76</v>
      </c>
      <c r="BG829" s="55" t="n">
        <v>326</v>
      </c>
      <c r="BH829" s="54" t="n">
        <v>-10.64</v>
      </c>
      <c r="BI829" s="55" t="n">
        <v>40</v>
      </c>
      <c r="BJ829" s="53" t="inlineStr"/>
      <c r="BK829" s="58" t="n">
        <v>0</v>
      </c>
      <c r="BL829" s="58" t="n">
        <v>829</v>
      </c>
      <c r="BM829" s="53">
        <f>IF(S829&lt;&gt;"",UPPER(TRIM(S829)),IF(O829="","LOSE",O829))</f>
        <v/>
      </c>
      <c r="BN829" s="55">
        <f>IF(BM829="LOSE",1,IF(N(T829)&gt;0,T829,IF(N(P829)&gt;0,P829,MAX(1,G829))))</f>
        <v/>
      </c>
      <c r="BO829" s="58">
        <f>IF(BM829="LOSE",1,0)</f>
        <v/>
      </c>
      <c r="BP829" s="64">
        <f>IF(BO829=0,0,IF(N(R829)&gt;0,R829,IFERROR(VLOOKUP(D829,Parameter!$A$35:$C$64,3,0)+0,0)))</f>
        <v/>
      </c>
      <c r="BQ829" s="53">
        <f>IF(V829&lt;&gt;"",V829,U829)</f>
        <v/>
      </c>
      <c r="BR829" s="53">
        <f>IF(BQ829=1,"L1",IF(OR(BQ829=2,BQ829=3),"L23",IF(BQ829="Aussen","Aussen","-")))</f>
        <v/>
      </c>
      <c r="BS829" s="66">
        <f>IF(N(W829)&gt;0,W829,0)</f>
        <v/>
      </c>
      <c r="BT829" s="58">
        <f>IF(ISNUMBER(Z829),1,0)</f>
        <v/>
      </c>
      <c r="BU829" s="55">
        <f>N(Z829)</f>
        <v/>
      </c>
      <c r="BV829" s="55">
        <f>N(L829)+N(M829)</f>
        <v/>
      </c>
      <c r="BW829" s="55">
        <f>ROUNDUP(G829/BN829,0)</f>
        <v/>
      </c>
      <c r="BX829" s="55">
        <f>ROUNDUP(BU829/BN829,0)</f>
        <v/>
      </c>
      <c r="BY829" s="58">
        <f>IF(BO829=1,0,IFERROR(VLOOKUP(BM829,'Gebinde-Kategorie'!$A$5:$G$45,5,0)+0,0))</f>
        <v/>
      </c>
      <c r="BZ829" s="58">
        <f>IFERROR(IF(OR(BQ829=1,BQ829=2,BQ829=3),N(INDEX(Parameter!$I$5:$I$7,BQ829)),0),0)</f>
        <v/>
      </c>
    </row>
    <row r="830">
      <c r="A830" s="53" t="inlineStr">
        <is>
          <t>107310</t>
        </is>
      </c>
      <c r="B830" s="53" t="inlineStr">
        <is>
          <t>Kugelkette vernickelt</t>
        </is>
      </c>
      <c r="C830" s="53" t="inlineStr">
        <is>
          <t>F</t>
        </is>
      </c>
      <c r="D830" s="53" t="inlineStr">
        <is>
          <t>KTL</t>
        </is>
      </c>
      <c r="E830" s="53" t="inlineStr">
        <is>
          <t>C</t>
        </is>
      </c>
      <c r="F830" s="54" t="n">
        <v>0.28</v>
      </c>
      <c r="G830" s="55">
        <f>MAX(0,IF(Parameter!$B$20="Jahresanfang 2025 + Export",BG830+BF830,BF830))</f>
        <v/>
      </c>
      <c r="H830" s="55">
        <f>G830*F830</f>
        <v/>
      </c>
      <c r="I830" s="55">
        <f>BI830*Parameter!$B$18</f>
        <v/>
      </c>
      <c r="J830" s="56" t="n">
        <v>44.5</v>
      </c>
      <c r="K830" s="57" t="n">
        <v>2.876404494382022</v>
      </c>
      <c r="L830" s="55" t="n">
        <v>7</v>
      </c>
      <c r="M830" s="55" t="n">
        <v>200</v>
      </c>
      <c r="N830" s="58" t="n">
        <v>2</v>
      </c>
      <c r="O830" s="53" t="inlineStr">
        <is>
          <t>S32</t>
        </is>
      </c>
      <c r="P830" s="55" t="n">
        <v>135</v>
      </c>
      <c r="Q830" s="59">
        <f>IF(BO830=1,0,IFERROR(VLOOKUP(BM830,'Gebinde-Kategorie'!$A$5:$G$45,6,0)+0,0))</f>
        <v/>
      </c>
      <c r="R830" s="60" t="n"/>
      <c r="S830" s="61" t="n"/>
      <c r="T830" s="61" t="n"/>
      <c r="U830" s="53">
        <f>IF(A830="","",IF(IFERROR(VLOOKUP(D830,Parameter!$A$35:$C$64,2,0),"Nein")="2+3",IF(ISNUMBER(SEARCH("grosser Artikel",BJ830)),2,IFERROR(VLOOKUP(BM830,Parameter!$F$35:$G$64,2,0),2)),IF(OR(IFERROR(VLOOKUP(D830,Parameter!$A$35:$C$64,2,0),"Nein")="Nein",IFERROR(VLOOKUP(D830,Parameter!$A$35:$C$64,2,0),"Nein")=""),"-",VLOOKUP(D830,Parameter!$A$35:$C$64,2,0))))</f>
        <v/>
      </c>
      <c r="V830" s="61" t="n"/>
      <c r="W830" s="62" t="n"/>
      <c r="X830" s="55">
        <f>AM830</f>
        <v/>
      </c>
      <c r="Y830" s="55">
        <f>MAX(AM830,G830)</f>
        <v/>
      </c>
      <c r="Z830" s="63" t="n"/>
      <c r="AA830" s="55">
        <f>IF(LEFT(Cockpit!$C$5,1)="A",G830,IF(BT830=1,BU830,IF(LEFT(Cockpit!$C$5,1)="B",AE830,MAX(AE830,G830))))</f>
        <v/>
      </c>
      <c r="AB830" s="55">
        <f>IF(BO830=1,0,ROUNDUP(AA830/BN830,0))</f>
        <v/>
      </c>
      <c r="AC830" s="64">
        <f>IF(BO830=1,IF(AA830&lt;=0,0,BP830*MAX(1,IF(G830&gt;0,AA830/G830,1))),AB830*Q830)</f>
        <v/>
      </c>
      <c r="AD830" s="55">
        <f>AA830*F830</f>
        <v/>
      </c>
      <c r="AE830" s="55">
        <f>ROUNDUP(MAX(I830/IF(BS830&gt;0,BS830,MAX(0.1,N(Cockpit!$C$6))),BV830)/BN830,0)*BN830</f>
        <v/>
      </c>
      <c r="AF830" s="56">
        <f>IF(AC830&gt;0,I830/AC830,-1)</f>
        <v/>
      </c>
      <c r="AG830" s="56">
        <f>IF(AND(OR(BR830="L1",BR830="L23"),AC830&gt;0),SUMIFS($AC$7:$AC$1570,$BR$7:$BR$1570,BR830,$AF$7:$AF$1570,"&gt;"&amp;AF830)+SUMIFS($AC$7:$AC$1570,$BR$7:$BR$1570,BR830,$AF$7:$AF$1570,AF830,$BL$7:$BL$1570,"&lt;="&amp;BL830),"")</f>
        <v/>
      </c>
      <c r="AH830" s="65">
        <f>IF(AG830="",0,MAX(0,MIN(1,(IF(BR830="L1",Parameter!$K$5,Parameter!$K$6+Parameter!$K$7)-(AG830-AC830))/AC830)))</f>
        <v/>
      </c>
      <c r="AI830" s="55">
        <f>IF(LEFT(Cockpit!$I$5,1)="A",G830,IF(BT830=1,BU830,IF(LEFT(Cockpit!$I$5,1)="B",AM830,MAX(AM830,G830))))</f>
        <v/>
      </c>
      <c r="AJ830" s="55">
        <f>IF(BO830=1,0,ROUNDUP(AI830/BN830,0))</f>
        <v/>
      </c>
      <c r="AK830" s="64">
        <f>IF(BO830=1,IF(AI830&lt;=0,0,BP830*MAX(1,IF(G830&gt;0,AI830/G830,1))),AJ830*Q830)</f>
        <v/>
      </c>
      <c r="AL830" s="55">
        <f>AI830*F830</f>
        <v/>
      </c>
      <c r="AM830" s="55">
        <f>ROUNDUP(MAX(I830/IF(BS830&gt;0,BS830,MAX(0.1,N(Cockpit!$I$6))),BV830)/BN830,0)*BN830</f>
        <v/>
      </c>
      <c r="AN830" s="56">
        <f>IF(AK830&gt;0,I830/AK830,-1)</f>
        <v/>
      </c>
      <c r="AO830" s="56">
        <f>IF(AND(OR(BR830="L1",BR830="L23"),AK830&gt;0),SUMIFS($AK$7:$AK$1570,$BR$7:$BR$1570,BR830,$AN$7:$AN$1570,"&gt;"&amp;AN830)+SUMIFS($AK$7:$AK$1570,$BR$7:$BR$1570,BR830,$AN$7:$AN$1570,AN830,$BL$7:$BL$1570,"&lt;="&amp;BL830),"")</f>
        <v/>
      </c>
      <c r="AP830" s="65">
        <f>IF(AO830="",0,MAX(0,MIN(1,(IF(BR830="L1",Parameter!$K$5,Parameter!$K$6+Parameter!$K$7)-(AO830-AK830))/AK830)))</f>
        <v/>
      </c>
      <c r="AQ830" s="55">
        <f>IF(LEFT(Cockpit!$O$5,1)="A",G830,IF(BT830=1,BU830,IF(LEFT(Cockpit!$O$5,1)="B",AU830,MAX(AU830,G830))))</f>
        <v/>
      </c>
      <c r="AR830" s="55">
        <f>IF(BO830=1,0,ROUNDUP(AQ830/BN830,0))</f>
        <v/>
      </c>
      <c r="AS830" s="64">
        <f>IF(BO830=1,IF(AQ830&lt;=0,0,BP830*MAX(1,IF(G830&gt;0,AQ830/G830,1))),AR830*Q830)</f>
        <v/>
      </c>
      <c r="AT830" s="55">
        <f>AQ830*F830</f>
        <v/>
      </c>
      <c r="AU830" s="55">
        <f>ROUNDUP(MAX(I830/IF(BS830&gt;0,BS830,MAX(0.1,N(Cockpit!$O$6))),BV830)/BN830,0)*BN830</f>
        <v/>
      </c>
      <c r="AV830" s="56">
        <f>IF(AS830&gt;0,I830/AS830,-1)</f>
        <v/>
      </c>
      <c r="AW830" s="56">
        <f>IF(AND(OR(BR830="L1",BR830="L23"),AS830&gt;0),SUMIFS($AS$7:$AS$1570,$BR$7:$BR$1570,BR830,$AV$7:$AV$1570,"&gt;"&amp;AV830)+SUMIFS($AS$7:$AS$1570,$BR$7:$BR$1570,BR830,$AV$7:$AV$1570,AV830,$BL$7:$BL$1570,"&lt;="&amp;BL830),"")</f>
        <v/>
      </c>
      <c r="AX830" s="65">
        <f>IF(AW830="",0,MAX(0,MIN(1,(IF(BR830="L1",Parameter!$K$5,Parameter!$K$6+Parameter!$K$7)-(AW830-AS830))/AS830)))</f>
        <v/>
      </c>
      <c r="AY830" s="53">
        <f>IF(AC830&lt;=0,"",IF(BR830="Aussen","Aussenlager",IF(BR830="-","Nicht im Lift",IF(AH830&gt;=1,"Lift",IF(AH830&lt;=0,"Aussenlager","teilweise")))))</f>
        <v/>
      </c>
      <c r="AZ830" s="53">
        <f>IF(AK830&lt;=0,"",IF(BR830="Aussen","Aussenlager",IF(BR830="-","Nicht im Lift",IF(AP830&gt;=1,"Lift",IF(AP830&lt;=0,"Aussenlager","teilweise")))))</f>
        <v/>
      </c>
      <c r="BA830" s="53">
        <f>IF(AS830&lt;=0,"",IF(BR830="Aussen","Aussenlager",IF(BR830="-","Nicht im Lift",IF(AX830&gt;=1,"Lift",IF(AX830&lt;=0,"Aussenlager","teilweise")))))</f>
        <v/>
      </c>
      <c r="BB830" s="53">
        <f>IF(A830="","",IF(BK830=1,"Neu; ","")&amp;IF(AND(BK830=0,BF830&lt;0),"negativer Bestand (Export "&amp;BF830&amp;"); ","")&amp;IF(I830&lt;=0,"Kein Verbrauch; ","")&amp;IF(BO830=1,"Lose – Fläche geschätzt; ","")&amp;IF(G830&gt;AM830,"Überbestand "&amp;ROUND(G830-AM830,0)&amp;" Stk / CHF "&amp;ROUND((G830-AM830)*F830,0)&amp;"; ","")&amp;IF(AND(BT830=1,BU830&lt;BV830),"MAX &lt; MB+LG; ","")&amp;IF(AND(BZ830&gt;0,BY830*10&gt;BZ830),"zu hoch für Tablar; ","")&amp;IF(AND(BK830=0,OR(BT830=1,V830&lt;&gt;"",S830&lt;&gt;"",T830&lt;&gt;"",W830&lt;&gt;"")),"manuell übersteuert; ","")&amp;IF(AND(BO830=0,Q830=0),"Gebinde unbekannt; ","")&amp;IF(AND(BO830=0,N(T830)&lt;=0,N(P830)&lt;=0),"Menge pro Gebinde fehlt (Ist = 1 Gebinde); ","")&amp;BJ830)</f>
        <v/>
      </c>
      <c r="BC830" s="53" t="n"/>
      <c r="BD830" s="53" t="n"/>
      <c r="BE830" s="61" t="n"/>
      <c r="BF830" s="55" t="n">
        <v>-39</v>
      </c>
      <c r="BG830" s="55" t="n">
        <v>64</v>
      </c>
      <c r="BH830" s="54" t="n">
        <v>-10.92000000000001</v>
      </c>
      <c r="BI830" s="55" t="n">
        <v>128</v>
      </c>
      <c r="BJ830" s="53" t="inlineStr"/>
      <c r="BK830" s="58" t="n">
        <v>0</v>
      </c>
      <c r="BL830" s="58" t="n">
        <v>830</v>
      </c>
      <c r="BM830" s="53">
        <f>IF(S830&lt;&gt;"",UPPER(TRIM(S830)),IF(O830="","LOSE",O830))</f>
        <v/>
      </c>
      <c r="BN830" s="55">
        <f>IF(BM830="LOSE",1,IF(N(T830)&gt;0,T830,IF(N(P830)&gt;0,P830,MAX(1,G830))))</f>
        <v/>
      </c>
      <c r="BO830" s="58">
        <f>IF(BM830="LOSE",1,0)</f>
        <v/>
      </c>
      <c r="BP830" s="64">
        <f>IF(BO830=0,0,IF(N(R830)&gt;0,R830,IFERROR(VLOOKUP(D830,Parameter!$A$35:$C$64,3,0)+0,0)))</f>
        <v/>
      </c>
      <c r="BQ830" s="53">
        <f>IF(V830&lt;&gt;"",V830,U830)</f>
        <v/>
      </c>
      <c r="BR830" s="53">
        <f>IF(BQ830=1,"L1",IF(OR(BQ830=2,BQ830=3),"L23",IF(BQ830="Aussen","Aussen","-")))</f>
        <v/>
      </c>
      <c r="BS830" s="66">
        <f>IF(N(W830)&gt;0,W830,0)</f>
        <v/>
      </c>
      <c r="BT830" s="58">
        <f>IF(ISNUMBER(Z830),1,0)</f>
        <v/>
      </c>
      <c r="BU830" s="55">
        <f>N(Z830)</f>
        <v/>
      </c>
      <c r="BV830" s="55">
        <f>N(L830)+N(M830)</f>
        <v/>
      </c>
      <c r="BW830" s="55">
        <f>ROUNDUP(G830/BN830,0)</f>
        <v/>
      </c>
      <c r="BX830" s="55">
        <f>ROUNDUP(BU830/BN830,0)</f>
        <v/>
      </c>
      <c r="BY830" s="58">
        <f>IF(BO830=1,0,IFERROR(VLOOKUP(BM830,'Gebinde-Kategorie'!$A$5:$G$45,5,0)+0,0))</f>
        <v/>
      </c>
      <c r="BZ830" s="58">
        <f>IFERROR(IF(OR(BQ830=1,BQ830=2,BQ830=3),N(INDEX(Parameter!$I$5:$I$7,BQ830)),0),0)</f>
        <v/>
      </c>
    </row>
    <row r="831">
      <c r="A831" s="53" t="inlineStr">
        <is>
          <t>106489</t>
        </is>
      </c>
      <c r="B831" s="53" t="inlineStr">
        <is>
          <t>Verschlussstopfen</t>
        </is>
      </c>
      <c r="C831" s="53" t="inlineStr">
        <is>
          <t>F</t>
        </is>
      </c>
      <c r="D831" s="53" t="inlineStr">
        <is>
          <t>KTL</t>
        </is>
      </c>
      <c r="E831" s="53" t="inlineStr">
        <is>
          <t>C</t>
        </is>
      </c>
      <c r="F831" s="54" t="n">
        <v>1.1</v>
      </c>
      <c r="G831" s="55">
        <f>MAX(0,IF(Parameter!$B$20="Jahresanfang 2025 + Export",BG831+BF831,BF831))</f>
        <v/>
      </c>
      <c r="H831" s="55">
        <f>G831*F831</f>
        <v/>
      </c>
      <c r="I831" s="55">
        <f>BI831*Parameter!$B$18</f>
        <v/>
      </c>
      <c r="J831" s="56" t="n">
        <v>5</v>
      </c>
      <c r="K831" s="57" t="n">
        <v>0</v>
      </c>
      <c r="L831" s="55" t="n">
        <v>0</v>
      </c>
      <c r="M831" s="55" t="n">
        <v>1</v>
      </c>
      <c r="N831" s="58" t="n">
        <v>28</v>
      </c>
      <c r="O831" s="53" t="inlineStr">
        <is>
          <t>LOSE</t>
        </is>
      </c>
      <c r="P831" s="55" t="n"/>
      <c r="Q831" s="59">
        <f>IF(BO831=1,0,IFERROR(VLOOKUP(BM831,'Gebinde-Kategorie'!$A$5:$G$45,6,0)+0,0))</f>
        <v/>
      </c>
      <c r="R831" s="60" t="n"/>
      <c r="S831" s="61" t="n"/>
      <c r="T831" s="61" t="n"/>
      <c r="U831" s="53">
        <f>IF(A831="","",IF(IFERROR(VLOOKUP(D831,Parameter!$A$35:$C$64,2,0),"Nein")="2+3",IF(ISNUMBER(SEARCH("grosser Artikel",BJ831)),2,IFERROR(VLOOKUP(BM831,Parameter!$F$35:$G$64,2,0),2)),IF(OR(IFERROR(VLOOKUP(D831,Parameter!$A$35:$C$64,2,0),"Nein")="Nein",IFERROR(VLOOKUP(D831,Parameter!$A$35:$C$64,2,0),"Nein")=""),"-",VLOOKUP(D831,Parameter!$A$35:$C$64,2,0))))</f>
        <v/>
      </c>
      <c r="V831" s="61" t="n"/>
      <c r="W831" s="62" t="n"/>
      <c r="X831" s="55">
        <f>AM831</f>
        <v/>
      </c>
      <c r="Y831" s="55">
        <f>MAX(AM831,G831)</f>
        <v/>
      </c>
      <c r="Z831" s="63" t="n"/>
      <c r="AA831" s="55">
        <f>IF(LEFT(Cockpit!$C$5,1)="A",G831,IF(BT831=1,BU831,IF(LEFT(Cockpit!$C$5,1)="B",AE831,MAX(AE831,G831))))</f>
        <v/>
      </c>
      <c r="AB831" s="55">
        <f>IF(BO831=1,0,ROUNDUP(AA831/BN831,0))</f>
        <v/>
      </c>
      <c r="AC831" s="64">
        <f>IF(BO831=1,IF(AA831&lt;=0,0,BP831*MAX(1,IF(G831&gt;0,AA831/G831,1))),AB831*Q831)</f>
        <v/>
      </c>
      <c r="AD831" s="55">
        <f>AA831*F831</f>
        <v/>
      </c>
      <c r="AE831" s="55">
        <f>ROUNDUP(MAX(I831/IF(BS831&gt;0,BS831,MAX(0.1,N(Cockpit!$C$6))),BV831)/BN831,0)*BN831</f>
        <v/>
      </c>
      <c r="AF831" s="56">
        <f>IF(AC831&gt;0,I831/AC831,-1)</f>
        <v/>
      </c>
      <c r="AG831" s="56">
        <f>IF(AND(OR(BR831="L1",BR831="L23"),AC831&gt;0),SUMIFS($AC$7:$AC$1570,$BR$7:$BR$1570,BR831,$AF$7:$AF$1570,"&gt;"&amp;AF831)+SUMIFS($AC$7:$AC$1570,$BR$7:$BR$1570,BR831,$AF$7:$AF$1570,AF831,$BL$7:$BL$1570,"&lt;="&amp;BL831),"")</f>
        <v/>
      </c>
      <c r="AH831" s="65">
        <f>IF(AG831="",0,MAX(0,MIN(1,(IF(BR831="L1",Parameter!$K$5,Parameter!$K$6+Parameter!$K$7)-(AG831-AC831))/AC831)))</f>
        <v/>
      </c>
      <c r="AI831" s="55">
        <f>IF(LEFT(Cockpit!$I$5,1)="A",G831,IF(BT831=1,BU831,IF(LEFT(Cockpit!$I$5,1)="B",AM831,MAX(AM831,G831))))</f>
        <v/>
      </c>
      <c r="AJ831" s="55">
        <f>IF(BO831=1,0,ROUNDUP(AI831/BN831,0))</f>
        <v/>
      </c>
      <c r="AK831" s="64">
        <f>IF(BO831=1,IF(AI831&lt;=0,0,BP831*MAX(1,IF(G831&gt;0,AI831/G831,1))),AJ831*Q831)</f>
        <v/>
      </c>
      <c r="AL831" s="55">
        <f>AI831*F831</f>
        <v/>
      </c>
      <c r="AM831" s="55">
        <f>ROUNDUP(MAX(I831/IF(BS831&gt;0,BS831,MAX(0.1,N(Cockpit!$I$6))),BV831)/BN831,0)*BN831</f>
        <v/>
      </c>
      <c r="AN831" s="56">
        <f>IF(AK831&gt;0,I831/AK831,-1)</f>
        <v/>
      </c>
      <c r="AO831" s="56">
        <f>IF(AND(OR(BR831="L1",BR831="L23"),AK831&gt;0),SUMIFS($AK$7:$AK$1570,$BR$7:$BR$1570,BR831,$AN$7:$AN$1570,"&gt;"&amp;AN831)+SUMIFS($AK$7:$AK$1570,$BR$7:$BR$1570,BR831,$AN$7:$AN$1570,AN831,$BL$7:$BL$1570,"&lt;="&amp;BL831),"")</f>
        <v/>
      </c>
      <c r="AP831" s="65">
        <f>IF(AO831="",0,MAX(0,MIN(1,(IF(BR831="L1",Parameter!$K$5,Parameter!$K$6+Parameter!$K$7)-(AO831-AK831))/AK831)))</f>
        <v/>
      </c>
      <c r="AQ831" s="55">
        <f>IF(LEFT(Cockpit!$O$5,1)="A",G831,IF(BT831=1,BU831,IF(LEFT(Cockpit!$O$5,1)="B",AU831,MAX(AU831,G831))))</f>
        <v/>
      </c>
      <c r="AR831" s="55">
        <f>IF(BO831=1,0,ROUNDUP(AQ831/BN831,0))</f>
        <v/>
      </c>
      <c r="AS831" s="64">
        <f>IF(BO831=1,IF(AQ831&lt;=0,0,BP831*MAX(1,IF(G831&gt;0,AQ831/G831,1))),AR831*Q831)</f>
        <v/>
      </c>
      <c r="AT831" s="55">
        <f>AQ831*F831</f>
        <v/>
      </c>
      <c r="AU831" s="55">
        <f>ROUNDUP(MAX(I831/IF(BS831&gt;0,BS831,MAX(0.1,N(Cockpit!$O$6))),BV831)/BN831,0)*BN831</f>
        <v/>
      </c>
      <c r="AV831" s="56">
        <f>IF(AS831&gt;0,I831/AS831,-1)</f>
        <v/>
      </c>
      <c r="AW831" s="56">
        <f>IF(AND(OR(BR831="L1",BR831="L23"),AS831&gt;0),SUMIFS($AS$7:$AS$1570,$BR$7:$BR$1570,BR831,$AV$7:$AV$1570,"&gt;"&amp;AV831)+SUMIFS($AS$7:$AS$1570,$BR$7:$BR$1570,BR831,$AV$7:$AV$1570,AV831,$BL$7:$BL$1570,"&lt;="&amp;BL831),"")</f>
        <v/>
      </c>
      <c r="AX831" s="65">
        <f>IF(AW831="",0,MAX(0,MIN(1,(IF(BR831="L1",Parameter!$K$5,Parameter!$K$6+Parameter!$K$7)-(AW831-AS831))/AS831)))</f>
        <v/>
      </c>
      <c r="AY831" s="53">
        <f>IF(AC831&lt;=0,"",IF(BR831="Aussen","Aussenlager",IF(BR831="-","Nicht im Lift",IF(AH831&gt;=1,"Lift",IF(AH831&lt;=0,"Aussenlager","teilweise")))))</f>
        <v/>
      </c>
      <c r="AZ831" s="53">
        <f>IF(AK831&lt;=0,"",IF(BR831="Aussen","Aussenlager",IF(BR831="-","Nicht im Lift",IF(AP831&gt;=1,"Lift",IF(AP831&lt;=0,"Aussenlager","teilweise")))))</f>
        <v/>
      </c>
      <c r="BA831" s="53">
        <f>IF(AS831&lt;=0,"",IF(BR831="Aussen","Aussenlager",IF(BR831="-","Nicht im Lift",IF(AX831&gt;=1,"Lift",IF(AX831&lt;=0,"Aussenlager","teilweise")))))</f>
        <v/>
      </c>
      <c r="BB831" s="53">
        <f>IF(A831="","",IF(BK831=1,"Neu; ","")&amp;IF(AND(BK831=0,BF831&lt;0),"negativer Bestand (Export "&amp;BF831&amp;"); ","")&amp;IF(I831&lt;=0,"Kein Verbrauch; ","")&amp;IF(BO831=1,"Lose – Fläche geschätzt; ","")&amp;IF(G831&gt;AM831,"Überbestand "&amp;ROUND(G831-AM831,0)&amp;" Stk / CHF "&amp;ROUND((G831-AM831)*F831,0)&amp;"; ","")&amp;IF(AND(BT831=1,BU831&lt;BV831),"MAX &lt; MB+LG; ","")&amp;IF(AND(BZ831&gt;0,BY831*10&gt;BZ831),"zu hoch für Tablar; ","")&amp;IF(AND(BK831=0,OR(BT831=1,V831&lt;&gt;"",S831&lt;&gt;"",T831&lt;&gt;"",W831&lt;&gt;"")),"manuell übersteuert; ","")&amp;IF(AND(BO831=0,Q831=0),"Gebinde unbekannt; ","")&amp;IF(AND(BO831=0,N(T831)&lt;=0,N(P831)&lt;=0),"Menge pro Gebinde fehlt (Ist = 1 Gebinde); ","")&amp;BJ831)</f>
        <v/>
      </c>
      <c r="BC831" s="53" t="n"/>
      <c r="BD831" s="53" t="n"/>
      <c r="BE831" s="61" t="n"/>
      <c r="BF831" s="55" t="n">
        <v>-10</v>
      </c>
      <c r="BG831" s="55" t="n">
        <v>10</v>
      </c>
      <c r="BH831" s="54" t="n">
        <v>-11</v>
      </c>
      <c r="BI831" s="55" t="n">
        <v>0</v>
      </c>
      <c r="BJ831" s="53" t="inlineStr"/>
      <c r="BK831" s="58" t="n">
        <v>0</v>
      </c>
      <c r="BL831" s="58" t="n">
        <v>831</v>
      </c>
      <c r="BM831" s="53">
        <f>IF(S831&lt;&gt;"",UPPER(TRIM(S831)),IF(O831="","LOSE",O831))</f>
        <v/>
      </c>
      <c r="BN831" s="55">
        <f>IF(BM831="LOSE",1,IF(N(T831)&gt;0,T831,IF(N(P831)&gt;0,P831,MAX(1,G831))))</f>
        <v/>
      </c>
      <c r="BO831" s="58">
        <f>IF(BM831="LOSE",1,0)</f>
        <v/>
      </c>
      <c r="BP831" s="64">
        <f>IF(BO831=0,0,IF(N(R831)&gt;0,R831,IFERROR(VLOOKUP(D831,Parameter!$A$35:$C$64,3,0)+0,0)))</f>
        <v/>
      </c>
      <c r="BQ831" s="53">
        <f>IF(V831&lt;&gt;"",V831,U831)</f>
        <v/>
      </c>
      <c r="BR831" s="53">
        <f>IF(BQ831=1,"L1",IF(OR(BQ831=2,BQ831=3),"L23",IF(BQ831="Aussen","Aussen","-")))</f>
        <v/>
      </c>
      <c r="BS831" s="66">
        <f>IF(N(W831)&gt;0,W831,0)</f>
        <v/>
      </c>
      <c r="BT831" s="58">
        <f>IF(ISNUMBER(Z831),1,0)</f>
        <v/>
      </c>
      <c r="BU831" s="55">
        <f>N(Z831)</f>
        <v/>
      </c>
      <c r="BV831" s="55">
        <f>N(L831)+N(M831)</f>
        <v/>
      </c>
      <c r="BW831" s="55">
        <f>ROUNDUP(G831/BN831,0)</f>
        <v/>
      </c>
      <c r="BX831" s="55">
        <f>ROUNDUP(BU831/BN831,0)</f>
        <v/>
      </c>
      <c r="BY831" s="58">
        <f>IF(BO831=1,0,IFERROR(VLOOKUP(BM831,'Gebinde-Kategorie'!$A$5:$G$45,5,0)+0,0))</f>
        <v/>
      </c>
      <c r="BZ831" s="58">
        <f>IFERROR(IF(OR(BQ831=1,BQ831=2,BQ831=3),N(INDEX(Parameter!$I$5:$I$7,BQ831)),0),0)</f>
        <v/>
      </c>
    </row>
    <row r="832">
      <c r="A832" s="53" t="inlineStr">
        <is>
          <t>002074</t>
        </is>
      </c>
      <c r="B832" s="53" t="inlineStr">
        <is>
          <t>Batterie AAA</t>
        </is>
      </c>
      <c r="C832" s="53" t="inlineStr">
        <is>
          <t>F</t>
        </is>
      </c>
      <c r="D832" s="53" t="inlineStr">
        <is>
          <t>KTL</t>
        </is>
      </c>
      <c r="E832" s="53" t="inlineStr">
        <is>
          <t>C</t>
        </is>
      </c>
      <c r="F832" s="54" t="n">
        <v>1.13</v>
      </c>
      <c r="G832" s="55">
        <f>MAX(0,IF(Parameter!$B$20="Jahresanfang 2025 + Export",BG832+BF832,BF832))</f>
        <v/>
      </c>
      <c r="H832" s="55">
        <f>G832*F832</f>
        <v/>
      </c>
      <c r="I832" s="55">
        <f>BI832*Parameter!$B$18</f>
        <v/>
      </c>
      <c r="J832" s="56" t="n">
        <v>17.5</v>
      </c>
      <c r="K832" s="57" t="n">
        <v>0.4</v>
      </c>
      <c r="L832" s="55" t="n">
        <v>0</v>
      </c>
      <c r="M832" s="55" t="n">
        <v>10</v>
      </c>
      <c r="N832" s="58" t="n">
        <v>14</v>
      </c>
      <c r="O832" s="53" t="inlineStr">
        <is>
          <t>S22</t>
        </is>
      </c>
      <c r="P832" s="55" t="n">
        <v>20</v>
      </c>
      <c r="Q832" s="59">
        <f>IF(BO832=1,0,IFERROR(VLOOKUP(BM832,'Gebinde-Kategorie'!$A$5:$G$45,6,0)+0,0))</f>
        <v/>
      </c>
      <c r="R832" s="60" t="n"/>
      <c r="S832" s="61" t="n"/>
      <c r="T832" s="61" t="n"/>
      <c r="U832" s="53">
        <f>IF(A832="","",IF(IFERROR(VLOOKUP(D832,Parameter!$A$35:$C$64,2,0),"Nein")="2+3",IF(ISNUMBER(SEARCH("grosser Artikel",BJ832)),2,IFERROR(VLOOKUP(BM832,Parameter!$F$35:$G$64,2,0),2)),IF(OR(IFERROR(VLOOKUP(D832,Parameter!$A$35:$C$64,2,0),"Nein")="Nein",IFERROR(VLOOKUP(D832,Parameter!$A$35:$C$64,2,0),"Nein")=""),"-",VLOOKUP(D832,Parameter!$A$35:$C$64,2,0))))</f>
        <v/>
      </c>
      <c r="V832" s="61" t="n"/>
      <c r="W832" s="62" t="n"/>
      <c r="X832" s="55">
        <f>AM832</f>
        <v/>
      </c>
      <c r="Y832" s="55">
        <f>MAX(AM832,G832)</f>
        <v/>
      </c>
      <c r="Z832" s="63" t="n"/>
      <c r="AA832" s="55">
        <f>IF(LEFT(Cockpit!$C$5,1)="A",G832,IF(BT832=1,BU832,IF(LEFT(Cockpit!$C$5,1)="B",AE832,MAX(AE832,G832))))</f>
        <v/>
      </c>
      <c r="AB832" s="55">
        <f>IF(BO832=1,0,ROUNDUP(AA832/BN832,0))</f>
        <v/>
      </c>
      <c r="AC832" s="64">
        <f>IF(BO832=1,IF(AA832&lt;=0,0,BP832*MAX(1,IF(G832&gt;0,AA832/G832,1))),AB832*Q832)</f>
        <v/>
      </c>
      <c r="AD832" s="55">
        <f>AA832*F832</f>
        <v/>
      </c>
      <c r="AE832" s="55">
        <f>ROUNDUP(MAX(I832/IF(BS832&gt;0,BS832,MAX(0.1,N(Cockpit!$C$6))),BV832)/BN832,0)*BN832</f>
        <v/>
      </c>
      <c r="AF832" s="56">
        <f>IF(AC832&gt;0,I832/AC832,-1)</f>
        <v/>
      </c>
      <c r="AG832" s="56">
        <f>IF(AND(OR(BR832="L1",BR832="L23"),AC832&gt;0),SUMIFS($AC$7:$AC$1570,$BR$7:$BR$1570,BR832,$AF$7:$AF$1570,"&gt;"&amp;AF832)+SUMIFS($AC$7:$AC$1570,$BR$7:$BR$1570,BR832,$AF$7:$AF$1570,AF832,$BL$7:$BL$1570,"&lt;="&amp;BL832),"")</f>
        <v/>
      </c>
      <c r="AH832" s="65">
        <f>IF(AG832="",0,MAX(0,MIN(1,(IF(BR832="L1",Parameter!$K$5,Parameter!$K$6+Parameter!$K$7)-(AG832-AC832))/AC832)))</f>
        <v/>
      </c>
      <c r="AI832" s="55">
        <f>IF(LEFT(Cockpit!$I$5,1)="A",G832,IF(BT832=1,BU832,IF(LEFT(Cockpit!$I$5,1)="B",AM832,MAX(AM832,G832))))</f>
        <v/>
      </c>
      <c r="AJ832" s="55">
        <f>IF(BO832=1,0,ROUNDUP(AI832/BN832,0))</f>
        <v/>
      </c>
      <c r="AK832" s="64">
        <f>IF(BO832=1,IF(AI832&lt;=0,0,BP832*MAX(1,IF(G832&gt;0,AI832/G832,1))),AJ832*Q832)</f>
        <v/>
      </c>
      <c r="AL832" s="55">
        <f>AI832*F832</f>
        <v/>
      </c>
      <c r="AM832" s="55">
        <f>ROUNDUP(MAX(I832/IF(BS832&gt;0,BS832,MAX(0.1,N(Cockpit!$I$6))),BV832)/BN832,0)*BN832</f>
        <v/>
      </c>
      <c r="AN832" s="56">
        <f>IF(AK832&gt;0,I832/AK832,-1)</f>
        <v/>
      </c>
      <c r="AO832" s="56">
        <f>IF(AND(OR(BR832="L1",BR832="L23"),AK832&gt;0),SUMIFS($AK$7:$AK$1570,$BR$7:$BR$1570,BR832,$AN$7:$AN$1570,"&gt;"&amp;AN832)+SUMIFS($AK$7:$AK$1570,$BR$7:$BR$1570,BR832,$AN$7:$AN$1570,AN832,$BL$7:$BL$1570,"&lt;="&amp;BL832),"")</f>
        <v/>
      </c>
      <c r="AP832" s="65">
        <f>IF(AO832="",0,MAX(0,MIN(1,(IF(BR832="L1",Parameter!$K$5,Parameter!$K$6+Parameter!$K$7)-(AO832-AK832))/AK832)))</f>
        <v/>
      </c>
      <c r="AQ832" s="55">
        <f>IF(LEFT(Cockpit!$O$5,1)="A",G832,IF(BT832=1,BU832,IF(LEFT(Cockpit!$O$5,1)="B",AU832,MAX(AU832,G832))))</f>
        <v/>
      </c>
      <c r="AR832" s="55">
        <f>IF(BO832=1,0,ROUNDUP(AQ832/BN832,0))</f>
        <v/>
      </c>
      <c r="AS832" s="64">
        <f>IF(BO832=1,IF(AQ832&lt;=0,0,BP832*MAX(1,IF(G832&gt;0,AQ832/G832,1))),AR832*Q832)</f>
        <v/>
      </c>
      <c r="AT832" s="55">
        <f>AQ832*F832</f>
        <v/>
      </c>
      <c r="AU832" s="55">
        <f>ROUNDUP(MAX(I832/IF(BS832&gt;0,BS832,MAX(0.1,N(Cockpit!$O$6))),BV832)/BN832,0)*BN832</f>
        <v/>
      </c>
      <c r="AV832" s="56">
        <f>IF(AS832&gt;0,I832/AS832,-1)</f>
        <v/>
      </c>
      <c r="AW832" s="56">
        <f>IF(AND(OR(BR832="L1",BR832="L23"),AS832&gt;0),SUMIFS($AS$7:$AS$1570,$BR$7:$BR$1570,BR832,$AV$7:$AV$1570,"&gt;"&amp;AV832)+SUMIFS($AS$7:$AS$1570,$BR$7:$BR$1570,BR832,$AV$7:$AV$1570,AV832,$BL$7:$BL$1570,"&lt;="&amp;BL832),"")</f>
        <v/>
      </c>
      <c r="AX832" s="65">
        <f>IF(AW832="",0,MAX(0,MIN(1,(IF(BR832="L1",Parameter!$K$5,Parameter!$K$6+Parameter!$K$7)-(AW832-AS832))/AS832)))</f>
        <v/>
      </c>
      <c r="AY832" s="53">
        <f>IF(AC832&lt;=0,"",IF(BR832="Aussen","Aussenlager",IF(BR832="-","Nicht im Lift",IF(AH832&gt;=1,"Lift",IF(AH832&lt;=0,"Aussenlager","teilweise")))))</f>
        <v/>
      </c>
      <c r="AZ832" s="53">
        <f>IF(AK832&lt;=0,"",IF(BR832="Aussen","Aussenlager",IF(BR832="-","Nicht im Lift",IF(AP832&gt;=1,"Lift",IF(AP832&lt;=0,"Aussenlager","teilweise")))))</f>
        <v/>
      </c>
      <c r="BA832" s="53">
        <f>IF(AS832&lt;=0,"",IF(BR832="Aussen","Aussenlager",IF(BR832="-","Nicht im Lift",IF(AX832&gt;=1,"Lift",IF(AX832&lt;=0,"Aussenlager","teilweise")))))</f>
        <v/>
      </c>
      <c r="BB832" s="53">
        <f>IF(A832="","",IF(BK832=1,"Neu; ","")&amp;IF(AND(BK832=0,BF832&lt;0),"negativer Bestand (Export "&amp;BF832&amp;"); ","")&amp;IF(I832&lt;=0,"Kein Verbrauch; ","")&amp;IF(BO832=1,"Lose – Fläche geschätzt; ","")&amp;IF(G832&gt;AM832,"Überbestand "&amp;ROUND(G832-AM832,0)&amp;" Stk / CHF "&amp;ROUND((G832-AM832)*F832,0)&amp;"; ","")&amp;IF(AND(BT832=1,BU832&lt;BV832),"MAX &lt; MB+LG; ","")&amp;IF(AND(BZ832&gt;0,BY832*10&gt;BZ832),"zu hoch für Tablar; ","")&amp;IF(AND(BK832=0,OR(BT832=1,V832&lt;&gt;"",S832&lt;&gt;"",T832&lt;&gt;"",W832&lt;&gt;"")),"manuell übersteuert; ","")&amp;IF(AND(BO832=0,Q832=0),"Gebinde unbekannt; ","")&amp;IF(AND(BO832=0,N(T832)&lt;=0,N(P832)&lt;=0),"Menge pro Gebinde fehlt (Ist = 1 Gebinde); ","")&amp;BJ832)</f>
        <v/>
      </c>
      <c r="BC832" s="53" t="n"/>
      <c r="BD832" s="53" t="n"/>
      <c r="BE832" s="61" t="n"/>
      <c r="BF832" s="55" t="n">
        <v>-10</v>
      </c>
      <c r="BG832" s="55" t="n">
        <v>20</v>
      </c>
      <c r="BH832" s="54" t="n">
        <v>-11.1</v>
      </c>
      <c r="BI832" s="55" t="n">
        <v>7</v>
      </c>
      <c r="BJ832" s="53" t="inlineStr"/>
      <c r="BK832" s="58" t="n">
        <v>0</v>
      </c>
      <c r="BL832" s="58" t="n">
        <v>832</v>
      </c>
      <c r="BM832" s="53">
        <f>IF(S832&lt;&gt;"",UPPER(TRIM(S832)),IF(O832="","LOSE",O832))</f>
        <v/>
      </c>
      <c r="BN832" s="55">
        <f>IF(BM832="LOSE",1,IF(N(T832)&gt;0,T832,IF(N(P832)&gt;0,P832,MAX(1,G832))))</f>
        <v/>
      </c>
      <c r="BO832" s="58">
        <f>IF(BM832="LOSE",1,0)</f>
        <v/>
      </c>
      <c r="BP832" s="64">
        <f>IF(BO832=0,0,IF(N(R832)&gt;0,R832,IFERROR(VLOOKUP(D832,Parameter!$A$35:$C$64,3,0)+0,0)))</f>
        <v/>
      </c>
      <c r="BQ832" s="53">
        <f>IF(V832&lt;&gt;"",V832,U832)</f>
        <v/>
      </c>
      <c r="BR832" s="53">
        <f>IF(BQ832=1,"L1",IF(OR(BQ832=2,BQ832=3),"L23",IF(BQ832="Aussen","Aussen","-")))</f>
        <v/>
      </c>
      <c r="BS832" s="66">
        <f>IF(N(W832)&gt;0,W832,0)</f>
        <v/>
      </c>
      <c r="BT832" s="58">
        <f>IF(ISNUMBER(Z832),1,0)</f>
        <v/>
      </c>
      <c r="BU832" s="55">
        <f>N(Z832)</f>
        <v/>
      </c>
      <c r="BV832" s="55">
        <f>N(L832)+N(M832)</f>
        <v/>
      </c>
      <c r="BW832" s="55">
        <f>ROUNDUP(G832/BN832,0)</f>
        <v/>
      </c>
      <c r="BX832" s="55">
        <f>ROUNDUP(BU832/BN832,0)</f>
        <v/>
      </c>
      <c r="BY832" s="58">
        <f>IF(BO832=1,0,IFERROR(VLOOKUP(BM832,'Gebinde-Kategorie'!$A$5:$G$45,5,0)+0,0))</f>
        <v/>
      </c>
      <c r="BZ832" s="58">
        <f>IFERROR(IF(OR(BQ832=1,BQ832=2,BQ832=3),N(INDEX(Parameter!$I$5:$I$7,BQ832)),0),0)</f>
        <v/>
      </c>
    </row>
    <row r="833">
      <c r="A833" s="53" t="inlineStr">
        <is>
          <t>005639</t>
        </is>
      </c>
      <c r="B833" s="53" t="inlineStr">
        <is>
          <t>Netzwerkkabel</t>
        </is>
      </c>
      <c r="C833" s="53" t="inlineStr">
        <is>
          <t>F</t>
        </is>
      </c>
      <c r="D833" s="53" t="inlineStr">
        <is>
          <t>KTL</t>
        </is>
      </c>
      <c r="E833" s="53" t="inlineStr">
        <is>
          <t>C</t>
        </is>
      </c>
      <c r="F833" s="54" t="n">
        <v>3.91</v>
      </c>
      <c r="G833" s="55">
        <f>MAX(0,IF(Parameter!$B$20="Jahresanfang 2025 + Export",BG833+BF833,BF833))</f>
        <v/>
      </c>
      <c r="H833" s="55">
        <f>G833*F833</f>
        <v/>
      </c>
      <c r="I833" s="55">
        <f>BI833*Parameter!$B$18</f>
        <v/>
      </c>
      <c r="J833" s="56" t="n">
        <v>14</v>
      </c>
      <c r="K833" s="57" t="n">
        <v>0.3571428571428572</v>
      </c>
      <c r="L833" s="55" t="n">
        <v>0</v>
      </c>
      <c r="M833" s="55" t="n">
        <v>5</v>
      </c>
      <c r="N833" s="58" t="n">
        <v>14</v>
      </c>
      <c r="O833" s="53" t="inlineStr">
        <is>
          <t>LOSE</t>
        </is>
      </c>
      <c r="P833" s="55" t="n"/>
      <c r="Q833" s="59">
        <f>IF(BO833=1,0,IFERROR(VLOOKUP(BM833,'Gebinde-Kategorie'!$A$5:$G$45,6,0)+0,0))</f>
        <v/>
      </c>
      <c r="R833" s="60" t="n"/>
      <c r="S833" s="61" t="n"/>
      <c r="T833" s="61" t="n"/>
      <c r="U833" s="53">
        <f>IF(A833="","",IF(IFERROR(VLOOKUP(D833,Parameter!$A$35:$C$64,2,0),"Nein")="2+3",IF(ISNUMBER(SEARCH("grosser Artikel",BJ833)),2,IFERROR(VLOOKUP(BM833,Parameter!$F$35:$G$64,2,0),2)),IF(OR(IFERROR(VLOOKUP(D833,Parameter!$A$35:$C$64,2,0),"Nein")="Nein",IFERROR(VLOOKUP(D833,Parameter!$A$35:$C$64,2,0),"Nein")=""),"-",VLOOKUP(D833,Parameter!$A$35:$C$64,2,0))))</f>
        <v/>
      </c>
      <c r="V833" s="61" t="n"/>
      <c r="W833" s="62" t="n"/>
      <c r="X833" s="55">
        <f>AM833</f>
        <v/>
      </c>
      <c r="Y833" s="55">
        <f>MAX(AM833,G833)</f>
        <v/>
      </c>
      <c r="Z833" s="63" t="n"/>
      <c r="AA833" s="55">
        <f>IF(LEFT(Cockpit!$C$5,1)="A",G833,IF(BT833=1,BU833,IF(LEFT(Cockpit!$C$5,1)="B",AE833,MAX(AE833,G833))))</f>
        <v/>
      </c>
      <c r="AB833" s="55">
        <f>IF(BO833=1,0,ROUNDUP(AA833/BN833,0))</f>
        <v/>
      </c>
      <c r="AC833" s="64">
        <f>IF(BO833=1,IF(AA833&lt;=0,0,BP833*MAX(1,IF(G833&gt;0,AA833/G833,1))),AB833*Q833)</f>
        <v/>
      </c>
      <c r="AD833" s="55">
        <f>AA833*F833</f>
        <v/>
      </c>
      <c r="AE833" s="55">
        <f>ROUNDUP(MAX(I833/IF(BS833&gt;0,BS833,MAX(0.1,N(Cockpit!$C$6))),BV833)/BN833,0)*BN833</f>
        <v/>
      </c>
      <c r="AF833" s="56">
        <f>IF(AC833&gt;0,I833/AC833,-1)</f>
        <v/>
      </c>
      <c r="AG833" s="56">
        <f>IF(AND(OR(BR833="L1",BR833="L23"),AC833&gt;0),SUMIFS($AC$7:$AC$1570,$BR$7:$BR$1570,BR833,$AF$7:$AF$1570,"&gt;"&amp;AF833)+SUMIFS($AC$7:$AC$1570,$BR$7:$BR$1570,BR833,$AF$7:$AF$1570,AF833,$BL$7:$BL$1570,"&lt;="&amp;BL833),"")</f>
        <v/>
      </c>
      <c r="AH833" s="65">
        <f>IF(AG833="",0,MAX(0,MIN(1,(IF(BR833="L1",Parameter!$K$5,Parameter!$K$6+Parameter!$K$7)-(AG833-AC833))/AC833)))</f>
        <v/>
      </c>
      <c r="AI833" s="55">
        <f>IF(LEFT(Cockpit!$I$5,1)="A",G833,IF(BT833=1,BU833,IF(LEFT(Cockpit!$I$5,1)="B",AM833,MAX(AM833,G833))))</f>
        <v/>
      </c>
      <c r="AJ833" s="55">
        <f>IF(BO833=1,0,ROUNDUP(AI833/BN833,0))</f>
        <v/>
      </c>
      <c r="AK833" s="64">
        <f>IF(BO833=1,IF(AI833&lt;=0,0,BP833*MAX(1,IF(G833&gt;0,AI833/G833,1))),AJ833*Q833)</f>
        <v/>
      </c>
      <c r="AL833" s="55">
        <f>AI833*F833</f>
        <v/>
      </c>
      <c r="AM833" s="55">
        <f>ROUNDUP(MAX(I833/IF(BS833&gt;0,BS833,MAX(0.1,N(Cockpit!$I$6))),BV833)/BN833,0)*BN833</f>
        <v/>
      </c>
      <c r="AN833" s="56">
        <f>IF(AK833&gt;0,I833/AK833,-1)</f>
        <v/>
      </c>
      <c r="AO833" s="56">
        <f>IF(AND(OR(BR833="L1",BR833="L23"),AK833&gt;0),SUMIFS($AK$7:$AK$1570,$BR$7:$BR$1570,BR833,$AN$7:$AN$1570,"&gt;"&amp;AN833)+SUMIFS($AK$7:$AK$1570,$BR$7:$BR$1570,BR833,$AN$7:$AN$1570,AN833,$BL$7:$BL$1570,"&lt;="&amp;BL833),"")</f>
        <v/>
      </c>
      <c r="AP833" s="65">
        <f>IF(AO833="",0,MAX(0,MIN(1,(IF(BR833="L1",Parameter!$K$5,Parameter!$K$6+Parameter!$K$7)-(AO833-AK833))/AK833)))</f>
        <v/>
      </c>
      <c r="AQ833" s="55">
        <f>IF(LEFT(Cockpit!$O$5,1)="A",G833,IF(BT833=1,BU833,IF(LEFT(Cockpit!$O$5,1)="B",AU833,MAX(AU833,G833))))</f>
        <v/>
      </c>
      <c r="AR833" s="55">
        <f>IF(BO833=1,0,ROUNDUP(AQ833/BN833,0))</f>
        <v/>
      </c>
      <c r="AS833" s="64">
        <f>IF(BO833=1,IF(AQ833&lt;=0,0,BP833*MAX(1,IF(G833&gt;0,AQ833/G833,1))),AR833*Q833)</f>
        <v/>
      </c>
      <c r="AT833" s="55">
        <f>AQ833*F833</f>
        <v/>
      </c>
      <c r="AU833" s="55">
        <f>ROUNDUP(MAX(I833/IF(BS833&gt;0,BS833,MAX(0.1,N(Cockpit!$O$6))),BV833)/BN833,0)*BN833</f>
        <v/>
      </c>
      <c r="AV833" s="56">
        <f>IF(AS833&gt;0,I833/AS833,-1)</f>
        <v/>
      </c>
      <c r="AW833" s="56">
        <f>IF(AND(OR(BR833="L1",BR833="L23"),AS833&gt;0),SUMIFS($AS$7:$AS$1570,$BR$7:$BR$1570,BR833,$AV$7:$AV$1570,"&gt;"&amp;AV833)+SUMIFS($AS$7:$AS$1570,$BR$7:$BR$1570,BR833,$AV$7:$AV$1570,AV833,$BL$7:$BL$1570,"&lt;="&amp;BL833),"")</f>
        <v/>
      </c>
      <c r="AX833" s="65">
        <f>IF(AW833="",0,MAX(0,MIN(1,(IF(BR833="L1",Parameter!$K$5,Parameter!$K$6+Parameter!$K$7)-(AW833-AS833))/AS833)))</f>
        <v/>
      </c>
      <c r="AY833" s="53">
        <f>IF(AC833&lt;=0,"",IF(BR833="Aussen","Aussenlager",IF(BR833="-","Nicht im Lift",IF(AH833&gt;=1,"Lift",IF(AH833&lt;=0,"Aussenlager","teilweise")))))</f>
        <v/>
      </c>
      <c r="AZ833" s="53">
        <f>IF(AK833&lt;=0,"",IF(BR833="Aussen","Aussenlager",IF(BR833="-","Nicht im Lift",IF(AP833&gt;=1,"Lift",IF(AP833&lt;=0,"Aussenlager","teilweise")))))</f>
        <v/>
      </c>
      <c r="BA833" s="53">
        <f>IF(AS833&lt;=0,"",IF(BR833="Aussen","Aussenlager",IF(BR833="-","Nicht im Lift",IF(AX833&gt;=1,"Lift",IF(AX833&lt;=0,"Aussenlager","teilweise")))))</f>
        <v/>
      </c>
      <c r="BB833" s="53">
        <f>IF(A833="","",IF(BK833=1,"Neu; ","")&amp;IF(AND(BK833=0,BF833&lt;0),"negativer Bestand (Export "&amp;BF833&amp;"); ","")&amp;IF(I833&lt;=0,"Kein Verbrauch; ","")&amp;IF(BO833=1,"Lose – Fläche geschätzt; ","")&amp;IF(G833&gt;AM833,"Überbestand "&amp;ROUND(G833-AM833,0)&amp;" Stk / CHF "&amp;ROUND((G833-AM833)*F833,0)&amp;"; ","")&amp;IF(AND(BT833=1,BU833&lt;BV833),"MAX &lt; MB+LG; ","")&amp;IF(AND(BZ833&gt;0,BY833*10&gt;BZ833),"zu hoch für Tablar; ","")&amp;IF(AND(BK833=0,OR(BT833=1,V833&lt;&gt;"",S833&lt;&gt;"",T833&lt;&gt;"",W833&lt;&gt;"")),"manuell übersteuert; ","")&amp;IF(AND(BO833=0,Q833=0),"Gebinde unbekannt; ","")&amp;IF(AND(BO833=0,N(T833)&lt;=0,N(P833)&lt;=0),"Menge pro Gebinde fehlt (Ist = 1 Gebinde); ","")&amp;BJ833)</f>
        <v/>
      </c>
      <c r="BC833" s="53" t="n"/>
      <c r="BD833" s="53" t="n"/>
      <c r="BE833" s="61" t="n"/>
      <c r="BF833" s="55" t="n">
        <v>0</v>
      </c>
      <c r="BG833" s="55" t="n">
        <v>2</v>
      </c>
      <c r="BH833" s="54" t="n">
        <v>-11.25999999999999</v>
      </c>
      <c r="BI833" s="55" t="n">
        <v>5</v>
      </c>
      <c r="BJ833" s="53" t="inlineStr"/>
      <c r="BK833" s="58" t="n">
        <v>0</v>
      </c>
      <c r="BL833" s="58" t="n">
        <v>833</v>
      </c>
      <c r="BM833" s="53">
        <f>IF(S833&lt;&gt;"",UPPER(TRIM(S833)),IF(O833="","LOSE",O833))</f>
        <v/>
      </c>
      <c r="BN833" s="55">
        <f>IF(BM833="LOSE",1,IF(N(T833)&gt;0,T833,IF(N(P833)&gt;0,P833,MAX(1,G833))))</f>
        <v/>
      </c>
      <c r="BO833" s="58">
        <f>IF(BM833="LOSE",1,0)</f>
        <v/>
      </c>
      <c r="BP833" s="64">
        <f>IF(BO833=0,0,IF(N(R833)&gt;0,R833,IFERROR(VLOOKUP(D833,Parameter!$A$35:$C$64,3,0)+0,0)))</f>
        <v/>
      </c>
      <c r="BQ833" s="53">
        <f>IF(V833&lt;&gt;"",V833,U833)</f>
        <v/>
      </c>
      <c r="BR833" s="53">
        <f>IF(BQ833=1,"L1",IF(OR(BQ833=2,BQ833=3),"L23",IF(BQ833="Aussen","Aussen","-")))</f>
        <v/>
      </c>
      <c r="BS833" s="66">
        <f>IF(N(W833)&gt;0,W833,0)</f>
        <v/>
      </c>
      <c r="BT833" s="58">
        <f>IF(ISNUMBER(Z833),1,0)</f>
        <v/>
      </c>
      <c r="BU833" s="55">
        <f>N(Z833)</f>
        <v/>
      </c>
      <c r="BV833" s="55">
        <f>N(L833)+N(M833)</f>
        <v/>
      </c>
      <c r="BW833" s="55">
        <f>ROUNDUP(G833/BN833,0)</f>
        <v/>
      </c>
      <c r="BX833" s="55">
        <f>ROUNDUP(BU833/BN833,0)</f>
        <v/>
      </c>
      <c r="BY833" s="58">
        <f>IF(BO833=1,0,IFERROR(VLOOKUP(BM833,'Gebinde-Kategorie'!$A$5:$G$45,5,0)+0,0))</f>
        <v/>
      </c>
      <c r="BZ833" s="58">
        <f>IFERROR(IF(OR(BQ833=1,BQ833=2,BQ833=3),N(INDEX(Parameter!$I$5:$I$7,BQ833)),0),0)</f>
        <v/>
      </c>
    </row>
    <row r="834">
      <c r="A834" s="53" t="inlineStr">
        <is>
          <t>107103</t>
        </is>
      </c>
      <c r="B834" s="53" t="inlineStr">
        <is>
          <t>Sechskant Stifteinsatz</t>
        </is>
      </c>
      <c r="C834" s="53" t="inlineStr">
        <is>
          <t>F</t>
        </is>
      </c>
      <c r="D834" s="53" t="inlineStr">
        <is>
          <t>KTL</t>
        </is>
      </c>
      <c r="E834" s="53" t="inlineStr">
        <is>
          <t>C</t>
        </is>
      </c>
      <c r="F834" s="54" t="n">
        <v>11.59</v>
      </c>
      <c r="G834" s="55">
        <f>MAX(0,IF(Parameter!$B$20="Jahresanfang 2025 + Export",BG834+BF834,BF834))</f>
        <v/>
      </c>
      <c r="H834" s="55">
        <f>G834*F834</f>
        <v/>
      </c>
      <c r="I834" s="55">
        <f>BI834*Parameter!$B$18</f>
        <v/>
      </c>
      <c r="J834" s="56" t="n">
        <v>10.5</v>
      </c>
      <c r="K834" s="57" t="n">
        <v>0</v>
      </c>
      <c r="L834" s="55" t="n">
        <v>0</v>
      </c>
      <c r="M834" s="55" t="n">
        <v>1</v>
      </c>
      <c r="N834" s="58" t="n">
        <v>14</v>
      </c>
      <c r="O834" s="53" t="inlineStr">
        <is>
          <t>S21</t>
        </is>
      </c>
      <c r="P834" s="55" t="n">
        <v>11</v>
      </c>
      <c r="Q834" s="59">
        <f>IF(BO834=1,0,IFERROR(VLOOKUP(BM834,'Gebinde-Kategorie'!$A$5:$G$45,6,0)+0,0))</f>
        <v/>
      </c>
      <c r="R834" s="60" t="n"/>
      <c r="S834" s="61" t="n"/>
      <c r="T834" s="61" t="n"/>
      <c r="U834" s="53">
        <f>IF(A834="","",IF(IFERROR(VLOOKUP(D834,Parameter!$A$35:$C$64,2,0),"Nein")="2+3",IF(ISNUMBER(SEARCH("grosser Artikel",BJ834)),2,IFERROR(VLOOKUP(BM834,Parameter!$F$35:$G$64,2,0),2)),IF(OR(IFERROR(VLOOKUP(D834,Parameter!$A$35:$C$64,2,0),"Nein")="Nein",IFERROR(VLOOKUP(D834,Parameter!$A$35:$C$64,2,0),"Nein")=""),"-",VLOOKUP(D834,Parameter!$A$35:$C$64,2,0))))</f>
        <v/>
      </c>
      <c r="V834" s="61" t="n"/>
      <c r="W834" s="62" t="n"/>
      <c r="X834" s="55">
        <f>AM834</f>
        <v/>
      </c>
      <c r="Y834" s="55">
        <f>MAX(AM834,G834)</f>
        <v/>
      </c>
      <c r="Z834" s="63" t="n"/>
      <c r="AA834" s="55">
        <f>IF(LEFT(Cockpit!$C$5,1)="A",G834,IF(BT834=1,BU834,IF(LEFT(Cockpit!$C$5,1)="B",AE834,MAX(AE834,G834))))</f>
        <v/>
      </c>
      <c r="AB834" s="55">
        <f>IF(BO834=1,0,ROUNDUP(AA834/BN834,0))</f>
        <v/>
      </c>
      <c r="AC834" s="64">
        <f>IF(BO834=1,IF(AA834&lt;=0,0,BP834*MAX(1,IF(G834&gt;0,AA834/G834,1))),AB834*Q834)</f>
        <v/>
      </c>
      <c r="AD834" s="55">
        <f>AA834*F834</f>
        <v/>
      </c>
      <c r="AE834" s="55">
        <f>ROUNDUP(MAX(I834/IF(BS834&gt;0,BS834,MAX(0.1,N(Cockpit!$C$6))),BV834)/BN834,0)*BN834</f>
        <v/>
      </c>
      <c r="AF834" s="56">
        <f>IF(AC834&gt;0,I834/AC834,-1)</f>
        <v/>
      </c>
      <c r="AG834" s="56">
        <f>IF(AND(OR(BR834="L1",BR834="L23"),AC834&gt;0),SUMIFS($AC$7:$AC$1570,$BR$7:$BR$1570,BR834,$AF$7:$AF$1570,"&gt;"&amp;AF834)+SUMIFS($AC$7:$AC$1570,$BR$7:$BR$1570,BR834,$AF$7:$AF$1570,AF834,$BL$7:$BL$1570,"&lt;="&amp;BL834),"")</f>
        <v/>
      </c>
      <c r="AH834" s="65">
        <f>IF(AG834="",0,MAX(0,MIN(1,(IF(BR834="L1",Parameter!$K$5,Parameter!$K$6+Parameter!$K$7)-(AG834-AC834))/AC834)))</f>
        <v/>
      </c>
      <c r="AI834" s="55">
        <f>IF(LEFT(Cockpit!$I$5,1)="A",G834,IF(BT834=1,BU834,IF(LEFT(Cockpit!$I$5,1)="B",AM834,MAX(AM834,G834))))</f>
        <v/>
      </c>
      <c r="AJ834" s="55">
        <f>IF(BO834=1,0,ROUNDUP(AI834/BN834,0))</f>
        <v/>
      </c>
      <c r="AK834" s="64">
        <f>IF(BO834=1,IF(AI834&lt;=0,0,BP834*MAX(1,IF(G834&gt;0,AI834/G834,1))),AJ834*Q834)</f>
        <v/>
      </c>
      <c r="AL834" s="55">
        <f>AI834*F834</f>
        <v/>
      </c>
      <c r="AM834" s="55">
        <f>ROUNDUP(MAX(I834/IF(BS834&gt;0,BS834,MAX(0.1,N(Cockpit!$I$6))),BV834)/BN834,0)*BN834</f>
        <v/>
      </c>
      <c r="AN834" s="56">
        <f>IF(AK834&gt;0,I834/AK834,-1)</f>
        <v/>
      </c>
      <c r="AO834" s="56">
        <f>IF(AND(OR(BR834="L1",BR834="L23"),AK834&gt;0),SUMIFS($AK$7:$AK$1570,$BR$7:$BR$1570,BR834,$AN$7:$AN$1570,"&gt;"&amp;AN834)+SUMIFS($AK$7:$AK$1570,$BR$7:$BR$1570,BR834,$AN$7:$AN$1570,AN834,$BL$7:$BL$1570,"&lt;="&amp;BL834),"")</f>
        <v/>
      </c>
      <c r="AP834" s="65">
        <f>IF(AO834="",0,MAX(0,MIN(1,(IF(BR834="L1",Parameter!$K$5,Parameter!$K$6+Parameter!$K$7)-(AO834-AK834))/AK834)))</f>
        <v/>
      </c>
      <c r="AQ834" s="55">
        <f>IF(LEFT(Cockpit!$O$5,1)="A",G834,IF(BT834=1,BU834,IF(LEFT(Cockpit!$O$5,1)="B",AU834,MAX(AU834,G834))))</f>
        <v/>
      </c>
      <c r="AR834" s="55">
        <f>IF(BO834=1,0,ROUNDUP(AQ834/BN834,0))</f>
        <v/>
      </c>
      <c r="AS834" s="64">
        <f>IF(BO834=1,IF(AQ834&lt;=0,0,BP834*MAX(1,IF(G834&gt;0,AQ834/G834,1))),AR834*Q834)</f>
        <v/>
      </c>
      <c r="AT834" s="55">
        <f>AQ834*F834</f>
        <v/>
      </c>
      <c r="AU834" s="55">
        <f>ROUNDUP(MAX(I834/IF(BS834&gt;0,BS834,MAX(0.1,N(Cockpit!$O$6))),BV834)/BN834,0)*BN834</f>
        <v/>
      </c>
      <c r="AV834" s="56">
        <f>IF(AS834&gt;0,I834/AS834,-1)</f>
        <v/>
      </c>
      <c r="AW834" s="56">
        <f>IF(AND(OR(BR834="L1",BR834="L23"),AS834&gt;0),SUMIFS($AS$7:$AS$1570,$BR$7:$BR$1570,BR834,$AV$7:$AV$1570,"&gt;"&amp;AV834)+SUMIFS($AS$7:$AS$1570,$BR$7:$BR$1570,BR834,$AV$7:$AV$1570,AV834,$BL$7:$BL$1570,"&lt;="&amp;BL834),"")</f>
        <v/>
      </c>
      <c r="AX834" s="65">
        <f>IF(AW834="",0,MAX(0,MIN(1,(IF(BR834="L1",Parameter!$K$5,Parameter!$K$6+Parameter!$K$7)-(AW834-AS834))/AS834)))</f>
        <v/>
      </c>
      <c r="AY834" s="53">
        <f>IF(AC834&lt;=0,"",IF(BR834="Aussen","Aussenlager",IF(BR834="-","Nicht im Lift",IF(AH834&gt;=1,"Lift",IF(AH834&lt;=0,"Aussenlager","teilweise")))))</f>
        <v/>
      </c>
      <c r="AZ834" s="53">
        <f>IF(AK834&lt;=0,"",IF(BR834="Aussen","Aussenlager",IF(BR834="-","Nicht im Lift",IF(AP834&gt;=1,"Lift",IF(AP834&lt;=0,"Aussenlager","teilweise")))))</f>
        <v/>
      </c>
      <c r="BA834" s="53">
        <f>IF(AS834&lt;=0,"",IF(BR834="Aussen","Aussenlager",IF(BR834="-","Nicht im Lift",IF(AX834&gt;=1,"Lift",IF(AX834&lt;=0,"Aussenlager","teilweise")))))</f>
        <v/>
      </c>
      <c r="BB834" s="53">
        <f>IF(A834="","",IF(BK834=1,"Neu; ","")&amp;IF(AND(BK834=0,BF834&lt;0),"negativer Bestand (Export "&amp;BF834&amp;"); ","")&amp;IF(I834&lt;=0,"Kein Verbrauch; ","")&amp;IF(BO834=1,"Lose – Fläche geschätzt; ","")&amp;IF(G834&gt;AM834,"Überbestand "&amp;ROUND(G834-AM834,0)&amp;" Stk / CHF "&amp;ROUND((G834-AM834)*F834,0)&amp;"; ","")&amp;IF(AND(BT834=1,BU834&lt;BV834),"MAX &lt; MB+LG; ","")&amp;IF(AND(BZ834&gt;0,BY834*10&gt;BZ834),"zu hoch für Tablar; ","")&amp;IF(AND(BK834=0,OR(BT834=1,V834&lt;&gt;"",S834&lt;&gt;"",T834&lt;&gt;"",W834&lt;&gt;"")),"manuell übersteuert; ","")&amp;IF(AND(BO834=0,Q834=0),"Gebinde unbekannt; ","")&amp;IF(AND(BO834=0,N(T834)&lt;=0,N(P834)&lt;=0),"Menge pro Gebinde fehlt (Ist = 1 Gebinde); ","")&amp;BJ834)</f>
        <v/>
      </c>
      <c r="BC834" s="53" t="n"/>
      <c r="BD834" s="53" t="n"/>
      <c r="BE834" s="61" t="n"/>
      <c r="BF834" s="55" t="n">
        <v>-1</v>
      </c>
      <c r="BG834" s="55" t="n">
        <v>11</v>
      </c>
      <c r="BH834" s="54" t="n">
        <v>-11.59</v>
      </c>
      <c r="BI834" s="55" t="n">
        <v>0</v>
      </c>
      <c r="BJ834" s="53" t="inlineStr">
        <is>
          <t>Neu</t>
        </is>
      </c>
      <c r="BK834" s="58" t="n">
        <v>0</v>
      </c>
      <c r="BL834" s="58" t="n">
        <v>834</v>
      </c>
      <c r="BM834" s="53">
        <f>IF(S834&lt;&gt;"",UPPER(TRIM(S834)),IF(O834="","LOSE",O834))</f>
        <v/>
      </c>
      <c r="BN834" s="55">
        <f>IF(BM834="LOSE",1,IF(N(T834)&gt;0,T834,IF(N(P834)&gt;0,P834,MAX(1,G834))))</f>
        <v/>
      </c>
      <c r="BO834" s="58">
        <f>IF(BM834="LOSE",1,0)</f>
        <v/>
      </c>
      <c r="BP834" s="64">
        <f>IF(BO834=0,0,IF(N(R834)&gt;0,R834,IFERROR(VLOOKUP(D834,Parameter!$A$35:$C$64,3,0)+0,0)))</f>
        <v/>
      </c>
      <c r="BQ834" s="53">
        <f>IF(V834&lt;&gt;"",V834,U834)</f>
        <v/>
      </c>
      <c r="BR834" s="53">
        <f>IF(BQ834=1,"L1",IF(OR(BQ834=2,BQ834=3),"L23",IF(BQ834="Aussen","Aussen","-")))</f>
        <v/>
      </c>
      <c r="BS834" s="66">
        <f>IF(N(W834)&gt;0,W834,0)</f>
        <v/>
      </c>
      <c r="BT834" s="58">
        <f>IF(ISNUMBER(Z834),1,0)</f>
        <v/>
      </c>
      <c r="BU834" s="55">
        <f>N(Z834)</f>
        <v/>
      </c>
      <c r="BV834" s="55">
        <f>N(L834)+N(M834)</f>
        <v/>
      </c>
      <c r="BW834" s="55">
        <f>ROUNDUP(G834/BN834,0)</f>
        <v/>
      </c>
      <c r="BX834" s="55">
        <f>ROUNDUP(BU834/BN834,0)</f>
        <v/>
      </c>
      <c r="BY834" s="58">
        <f>IF(BO834=1,0,IFERROR(VLOOKUP(BM834,'Gebinde-Kategorie'!$A$5:$G$45,5,0)+0,0))</f>
        <v/>
      </c>
      <c r="BZ834" s="58">
        <f>IFERROR(IF(OR(BQ834=1,BQ834=2,BQ834=3),N(INDEX(Parameter!$I$5:$I$7,BQ834)),0),0)</f>
        <v/>
      </c>
    </row>
    <row r="835">
      <c r="A835" s="53" t="inlineStr">
        <is>
          <t>106905</t>
        </is>
      </c>
      <c r="B835" s="53" t="inlineStr">
        <is>
          <t>Gewindebolzen</t>
        </is>
      </c>
      <c r="C835" s="53" t="inlineStr">
        <is>
          <t>F</t>
        </is>
      </c>
      <c r="D835" s="53" t="inlineStr">
        <is>
          <t>KTL</t>
        </is>
      </c>
      <c r="E835" s="53" t="inlineStr">
        <is>
          <t>C</t>
        </is>
      </c>
      <c r="F835" s="54" t="n">
        <v>0.91</v>
      </c>
      <c r="G835" s="55">
        <f>MAX(0,IF(Parameter!$B$20="Jahresanfang 2025 + Export",BG835+BF835,BF835))</f>
        <v/>
      </c>
      <c r="H835" s="55">
        <f>G835*F835</f>
        <v/>
      </c>
      <c r="I835" s="55">
        <f>BI835*Parameter!$B$18</f>
        <v/>
      </c>
      <c r="J835" s="56" t="n">
        <v>34</v>
      </c>
      <c r="K835" s="57" t="n">
        <v>0.2941176470588235</v>
      </c>
      <c r="L835" s="55" t="n">
        <v>0</v>
      </c>
      <c r="M835" s="55" t="n">
        <v>10</v>
      </c>
      <c r="N835" s="58" t="n">
        <v>21</v>
      </c>
      <c r="O835" s="53" t="inlineStr">
        <is>
          <t>S33</t>
        </is>
      </c>
      <c r="P835" s="55" t="n">
        <v>65</v>
      </c>
      <c r="Q835" s="59">
        <f>IF(BO835=1,0,IFERROR(VLOOKUP(BM835,'Gebinde-Kategorie'!$A$5:$G$45,6,0)+0,0))</f>
        <v/>
      </c>
      <c r="R835" s="60" t="n"/>
      <c r="S835" s="61" t="n"/>
      <c r="T835" s="61" t="n"/>
      <c r="U835" s="53">
        <f>IF(A835="","",IF(IFERROR(VLOOKUP(D835,Parameter!$A$35:$C$64,2,0),"Nein")="2+3",IF(ISNUMBER(SEARCH("grosser Artikel",BJ835)),2,IFERROR(VLOOKUP(BM835,Parameter!$F$35:$G$64,2,0),2)),IF(OR(IFERROR(VLOOKUP(D835,Parameter!$A$35:$C$64,2,0),"Nein")="Nein",IFERROR(VLOOKUP(D835,Parameter!$A$35:$C$64,2,0),"Nein")=""),"-",VLOOKUP(D835,Parameter!$A$35:$C$64,2,0))))</f>
        <v/>
      </c>
      <c r="V835" s="61" t="n"/>
      <c r="W835" s="62" t="n"/>
      <c r="X835" s="55">
        <f>AM835</f>
        <v/>
      </c>
      <c r="Y835" s="55">
        <f>MAX(AM835,G835)</f>
        <v/>
      </c>
      <c r="Z835" s="63" t="n"/>
      <c r="AA835" s="55">
        <f>IF(LEFT(Cockpit!$C$5,1)="A",G835,IF(BT835=1,BU835,IF(LEFT(Cockpit!$C$5,1)="B",AE835,MAX(AE835,G835))))</f>
        <v/>
      </c>
      <c r="AB835" s="55">
        <f>IF(BO835=1,0,ROUNDUP(AA835/BN835,0))</f>
        <v/>
      </c>
      <c r="AC835" s="64">
        <f>IF(BO835=1,IF(AA835&lt;=0,0,BP835*MAX(1,IF(G835&gt;0,AA835/G835,1))),AB835*Q835)</f>
        <v/>
      </c>
      <c r="AD835" s="55">
        <f>AA835*F835</f>
        <v/>
      </c>
      <c r="AE835" s="55">
        <f>ROUNDUP(MAX(I835/IF(BS835&gt;0,BS835,MAX(0.1,N(Cockpit!$C$6))),BV835)/BN835,0)*BN835</f>
        <v/>
      </c>
      <c r="AF835" s="56">
        <f>IF(AC835&gt;0,I835/AC835,-1)</f>
        <v/>
      </c>
      <c r="AG835" s="56">
        <f>IF(AND(OR(BR835="L1",BR835="L23"),AC835&gt;0),SUMIFS($AC$7:$AC$1570,$BR$7:$BR$1570,BR835,$AF$7:$AF$1570,"&gt;"&amp;AF835)+SUMIFS($AC$7:$AC$1570,$BR$7:$BR$1570,BR835,$AF$7:$AF$1570,AF835,$BL$7:$BL$1570,"&lt;="&amp;BL835),"")</f>
        <v/>
      </c>
      <c r="AH835" s="65">
        <f>IF(AG835="",0,MAX(0,MIN(1,(IF(BR835="L1",Parameter!$K$5,Parameter!$K$6+Parameter!$K$7)-(AG835-AC835))/AC835)))</f>
        <v/>
      </c>
      <c r="AI835" s="55">
        <f>IF(LEFT(Cockpit!$I$5,1)="A",G835,IF(BT835=1,BU835,IF(LEFT(Cockpit!$I$5,1)="B",AM835,MAX(AM835,G835))))</f>
        <v/>
      </c>
      <c r="AJ835" s="55">
        <f>IF(BO835=1,0,ROUNDUP(AI835/BN835,0))</f>
        <v/>
      </c>
      <c r="AK835" s="64">
        <f>IF(BO835=1,IF(AI835&lt;=0,0,BP835*MAX(1,IF(G835&gt;0,AI835/G835,1))),AJ835*Q835)</f>
        <v/>
      </c>
      <c r="AL835" s="55">
        <f>AI835*F835</f>
        <v/>
      </c>
      <c r="AM835" s="55">
        <f>ROUNDUP(MAX(I835/IF(BS835&gt;0,BS835,MAX(0.1,N(Cockpit!$I$6))),BV835)/BN835,0)*BN835</f>
        <v/>
      </c>
      <c r="AN835" s="56">
        <f>IF(AK835&gt;0,I835/AK835,-1)</f>
        <v/>
      </c>
      <c r="AO835" s="56">
        <f>IF(AND(OR(BR835="L1",BR835="L23"),AK835&gt;0),SUMIFS($AK$7:$AK$1570,$BR$7:$BR$1570,BR835,$AN$7:$AN$1570,"&gt;"&amp;AN835)+SUMIFS($AK$7:$AK$1570,$BR$7:$BR$1570,BR835,$AN$7:$AN$1570,AN835,$BL$7:$BL$1570,"&lt;="&amp;BL835),"")</f>
        <v/>
      </c>
      <c r="AP835" s="65">
        <f>IF(AO835="",0,MAX(0,MIN(1,(IF(BR835="L1",Parameter!$K$5,Parameter!$K$6+Parameter!$K$7)-(AO835-AK835))/AK835)))</f>
        <v/>
      </c>
      <c r="AQ835" s="55">
        <f>IF(LEFT(Cockpit!$O$5,1)="A",G835,IF(BT835=1,BU835,IF(LEFT(Cockpit!$O$5,1)="B",AU835,MAX(AU835,G835))))</f>
        <v/>
      </c>
      <c r="AR835" s="55">
        <f>IF(BO835=1,0,ROUNDUP(AQ835/BN835,0))</f>
        <v/>
      </c>
      <c r="AS835" s="64">
        <f>IF(BO835=1,IF(AQ835&lt;=0,0,BP835*MAX(1,IF(G835&gt;0,AQ835/G835,1))),AR835*Q835)</f>
        <v/>
      </c>
      <c r="AT835" s="55">
        <f>AQ835*F835</f>
        <v/>
      </c>
      <c r="AU835" s="55">
        <f>ROUNDUP(MAX(I835/IF(BS835&gt;0,BS835,MAX(0.1,N(Cockpit!$O$6))),BV835)/BN835,0)*BN835</f>
        <v/>
      </c>
      <c r="AV835" s="56">
        <f>IF(AS835&gt;0,I835/AS835,-1)</f>
        <v/>
      </c>
      <c r="AW835" s="56">
        <f>IF(AND(OR(BR835="L1",BR835="L23"),AS835&gt;0),SUMIFS($AS$7:$AS$1570,$BR$7:$BR$1570,BR835,$AV$7:$AV$1570,"&gt;"&amp;AV835)+SUMIFS($AS$7:$AS$1570,$BR$7:$BR$1570,BR835,$AV$7:$AV$1570,AV835,$BL$7:$BL$1570,"&lt;="&amp;BL835),"")</f>
        <v/>
      </c>
      <c r="AX835" s="65">
        <f>IF(AW835="",0,MAX(0,MIN(1,(IF(BR835="L1",Parameter!$K$5,Parameter!$K$6+Parameter!$K$7)-(AW835-AS835))/AS835)))</f>
        <v/>
      </c>
      <c r="AY835" s="53">
        <f>IF(AC835&lt;=0,"",IF(BR835="Aussen","Aussenlager",IF(BR835="-","Nicht im Lift",IF(AH835&gt;=1,"Lift",IF(AH835&lt;=0,"Aussenlager","teilweise")))))</f>
        <v/>
      </c>
      <c r="AZ835" s="53">
        <f>IF(AK835&lt;=0,"",IF(BR835="Aussen","Aussenlager",IF(BR835="-","Nicht im Lift",IF(AP835&gt;=1,"Lift",IF(AP835&lt;=0,"Aussenlager","teilweise")))))</f>
        <v/>
      </c>
      <c r="BA835" s="53">
        <f>IF(AS835&lt;=0,"",IF(BR835="Aussen","Aussenlager",IF(BR835="-","Nicht im Lift",IF(AX835&gt;=1,"Lift",IF(AX835&lt;=0,"Aussenlager","teilweise")))))</f>
        <v/>
      </c>
      <c r="BB835" s="53">
        <f>IF(A835="","",IF(BK835=1,"Neu; ","")&amp;IF(AND(BK835=0,BF835&lt;0),"negativer Bestand (Export "&amp;BF835&amp;"); ","")&amp;IF(I835&lt;=0,"Kein Verbrauch; ","")&amp;IF(BO835=1,"Lose – Fläche geschätzt; ","")&amp;IF(G835&gt;AM835,"Überbestand "&amp;ROUND(G835-AM835,0)&amp;" Stk / CHF "&amp;ROUND((G835-AM835)*F835,0)&amp;"; ","")&amp;IF(AND(BT835=1,BU835&lt;BV835),"MAX &lt; MB+LG; ","")&amp;IF(AND(BZ835&gt;0,BY835*10&gt;BZ835),"zu hoch für Tablar; ","")&amp;IF(AND(BK835=0,OR(BT835=1,V835&lt;&gt;"",S835&lt;&gt;"",T835&lt;&gt;"",W835&lt;&gt;"")),"manuell übersteuert; ","")&amp;IF(AND(BO835=0,Q835=0),"Gebinde unbekannt; ","")&amp;IF(AND(BO835=0,N(T835)&lt;=0,N(P835)&lt;=0),"Menge pro Gebinde fehlt (Ist = 1 Gebinde); ","")&amp;BJ835)</f>
        <v/>
      </c>
      <c r="BC835" s="53" t="n"/>
      <c r="BD835" s="53" t="n"/>
      <c r="BE835" s="61" t="n"/>
      <c r="BF835" s="55" t="n">
        <v>-13</v>
      </c>
      <c r="BG835" s="55" t="n">
        <v>39</v>
      </c>
      <c r="BH835" s="54" t="n">
        <v>-11.83</v>
      </c>
      <c r="BI835" s="55" t="n">
        <v>10</v>
      </c>
      <c r="BJ835" s="53" t="inlineStr">
        <is>
          <t>Überbestand</t>
        </is>
      </c>
      <c r="BK835" s="58" t="n">
        <v>0</v>
      </c>
      <c r="BL835" s="58" t="n">
        <v>835</v>
      </c>
      <c r="BM835" s="53">
        <f>IF(S835&lt;&gt;"",UPPER(TRIM(S835)),IF(O835="","LOSE",O835))</f>
        <v/>
      </c>
      <c r="BN835" s="55">
        <f>IF(BM835="LOSE",1,IF(N(T835)&gt;0,T835,IF(N(P835)&gt;0,P835,MAX(1,G835))))</f>
        <v/>
      </c>
      <c r="BO835" s="58">
        <f>IF(BM835="LOSE",1,0)</f>
        <v/>
      </c>
      <c r="BP835" s="64">
        <f>IF(BO835=0,0,IF(N(R835)&gt;0,R835,IFERROR(VLOOKUP(D835,Parameter!$A$35:$C$64,3,0)+0,0)))</f>
        <v/>
      </c>
      <c r="BQ835" s="53">
        <f>IF(V835&lt;&gt;"",V835,U835)</f>
        <v/>
      </c>
      <c r="BR835" s="53">
        <f>IF(BQ835=1,"L1",IF(OR(BQ835=2,BQ835=3),"L23",IF(BQ835="Aussen","Aussen","-")))</f>
        <v/>
      </c>
      <c r="BS835" s="66">
        <f>IF(N(W835)&gt;0,W835,0)</f>
        <v/>
      </c>
      <c r="BT835" s="58">
        <f>IF(ISNUMBER(Z835),1,0)</f>
        <v/>
      </c>
      <c r="BU835" s="55">
        <f>N(Z835)</f>
        <v/>
      </c>
      <c r="BV835" s="55">
        <f>N(L835)+N(M835)</f>
        <v/>
      </c>
      <c r="BW835" s="55">
        <f>ROUNDUP(G835/BN835,0)</f>
        <v/>
      </c>
      <c r="BX835" s="55">
        <f>ROUNDUP(BU835/BN835,0)</f>
        <v/>
      </c>
      <c r="BY835" s="58">
        <f>IF(BO835=1,0,IFERROR(VLOOKUP(BM835,'Gebinde-Kategorie'!$A$5:$G$45,5,0)+0,0))</f>
        <v/>
      </c>
      <c r="BZ835" s="58">
        <f>IFERROR(IF(OR(BQ835=1,BQ835=2,BQ835=3),N(INDEX(Parameter!$I$5:$I$7,BQ835)),0),0)</f>
        <v/>
      </c>
    </row>
    <row r="836">
      <c r="A836" s="53" t="inlineStr">
        <is>
          <t>106591</t>
        </is>
      </c>
      <c r="B836" s="53" t="inlineStr">
        <is>
          <t>Zylinderschraube mit Innensechskant</t>
        </is>
      </c>
      <c r="C836" s="53" t="inlineStr">
        <is>
          <t>F</t>
        </is>
      </c>
      <c r="D836" s="53" t="inlineStr">
        <is>
          <t>PAL</t>
        </is>
      </c>
      <c r="E836" s="53" t="inlineStr">
        <is>
          <t>C</t>
        </is>
      </c>
      <c r="F836" s="54" t="n">
        <v>2.27</v>
      </c>
      <c r="G836" s="55">
        <f>MAX(0,IF(Parameter!$B$20="Jahresanfang 2025 + Export",BG836+BF836,BF836))</f>
        <v/>
      </c>
      <c r="H836" s="55">
        <f>G836*F836</f>
        <v/>
      </c>
      <c r="I836" s="55">
        <f>BI836*Parameter!$B$18</f>
        <v/>
      </c>
      <c r="J836" s="56" t="n">
        <v>1423.5</v>
      </c>
      <c r="K836" s="57" t="n">
        <v>1.597471022128556</v>
      </c>
      <c r="L836" s="55" t="n">
        <v>140</v>
      </c>
      <c r="M836" s="55" t="n">
        <v>500</v>
      </c>
      <c r="N836" s="58" t="n">
        <v>21</v>
      </c>
      <c r="O836" s="53" t="inlineStr">
        <is>
          <t>S63</t>
        </is>
      </c>
      <c r="P836" s="55" t="n">
        <v>200</v>
      </c>
      <c r="Q836" s="59">
        <f>IF(BO836=1,0,IFERROR(VLOOKUP(BM836,'Gebinde-Kategorie'!$A$5:$G$45,6,0)+0,0))</f>
        <v/>
      </c>
      <c r="R836" s="60" t="n"/>
      <c r="S836" s="61" t="n"/>
      <c r="T836" s="61" t="n"/>
      <c r="U836" s="53">
        <f>IF(A836="","",IF(IFERROR(VLOOKUP(D836,Parameter!$A$35:$C$64,2,0),"Nein")="2+3",IF(ISNUMBER(SEARCH("grosser Artikel",BJ836)),2,IFERROR(VLOOKUP(BM836,Parameter!$F$35:$G$64,2,0),2)),IF(OR(IFERROR(VLOOKUP(D836,Parameter!$A$35:$C$64,2,0),"Nein")="Nein",IFERROR(VLOOKUP(D836,Parameter!$A$35:$C$64,2,0),"Nein")=""),"-",VLOOKUP(D836,Parameter!$A$35:$C$64,2,0))))</f>
        <v/>
      </c>
      <c r="V836" s="61" t="n"/>
      <c r="W836" s="62" t="n"/>
      <c r="X836" s="55">
        <f>AM836</f>
        <v/>
      </c>
      <c r="Y836" s="55">
        <f>MAX(AM836,G836)</f>
        <v/>
      </c>
      <c r="Z836" s="63" t="n"/>
      <c r="AA836" s="55">
        <f>IF(LEFT(Cockpit!$C$5,1)="A",G836,IF(BT836=1,BU836,IF(LEFT(Cockpit!$C$5,1)="B",AE836,MAX(AE836,G836))))</f>
        <v/>
      </c>
      <c r="AB836" s="55">
        <f>IF(BO836=1,0,ROUNDUP(AA836/BN836,0))</f>
        <v/>
      </c>
      <c r="AC836" s="64">
        <f>IF(BO836=1,IF(AA836&lt;=0,0,BP836*MAX(1,IF(G836&gt;0,AA836/G836,1))),AB836*Q836)</f>
        <v/>
      </c>
      <c r="AD836" s="55">
        <f>AA836*F836</f>
        <v/>
      </c>
      <c r="AE836" s="55">
        <f>ROUNDUP(MAX(I836/IF(BS836&gt;0,BS836,MAX(0.1,N(Cockpit!$C$6))),BV836)/BN836,0)*BN836</f>
        <v/>
      </c>
      <c r="AF836" s="56">
        <f>IF(AC836&gt;0,I836/AC836,-1)</f>
        <v/>
      </c>
      <c r="AG836" s="56">
        <f>IF(AND(OR(BR836="L1",BR836="L23"),AC836&gt;0),SUMIFS($AC$7:$AC$1570,$BR$7:$BR$1570,BR836,$AF$7:$AF$1570,"&gt;"&amp;AF836)+SUMIFS($AC$7:$AC$1570,$BR$7:$BR$1570,BR836,$AF$7:$AF$1570,AF836,$BL$7:$BL$1570,"&lt;="&amp;BL836),"")</f>
        <v/>
      </c>
      <c r="AH836" s="65">
        <f>IF(AG836="",0,MAX(0,MIN(1,(IF(BR836="L1",Parameter!$K$5,Parameter!$K$6+Parameter!$K$7)-(AG836-AC836))/AC836)))</f>
        <v/>
      </c>
      <c r="AI836" s="55">
        <f>IF(LEFT(Cockpit!$I$5,1)="A",G836,IF(BT836=1,BU836,IF(LEFT(Cockpit!$I$5,1)="B",AM836,MAX(AM836,G836))))</f>
        <v/>
      </c>
      <c r="AJ836" s="55">
        <f>IF(BO836=1,0,ROUNDUP(AI836/BN836,0))</f>
        <v/>
      </c>
      <c r="AK836" s="64">
        <f>IF(BO836=1,IF(AI836&lt;=0,0,BP836*MAX(1,IF(G836&gt;0,AI836/G836,1))),AJ836*Q836)</f>
        <v/>
      </c>
      <c r="AL836" s="55">
        <f>AI836*F836</f>
        <v/>
      </c>
      <c r="AM836" s="55">
        <f>ROUNDUP(MAX(I836/IF(BS836&gt;0,BS836,MAX(0.1,N(Cockpit!$I$6))),BV836)/BN836,0)*BN836</f>
        <v/>
      </c>
      <c r="AN836" s="56">
        <f>IF(AK836&gt;0,I836/AK836,-1)</f>
        <v/>
      </c>
      <c r="AO836" s="56">
        <f>IF(AND(OR(BR836="L1",BR836="L23"),AK836&gt;0),SUMIFS($AK$7:$AK$1570,$BR$7:$BR$1570,BR836,$AN$7:$AN$1570,"&gt;"&amp;AN836)+SUMIFS($AK$7:$AK$1570,$BR$7:$BR$1570,BR836,$AN$7:$AN$1570,AN836,$BL$7:$BL$1570,"&lt;="&amp;BL836),"")</f>
        <v/>
      </c>
      <c r="AP836" s="65">
        <f>IF(AO836="",0,MAX(0,MIN(1,(IF(BR836="L1",Parameter!$K$5,Parameter!$K$6+Parameter!$K$7)-(AO836-AK836))/AK836)))</f>
        <v/>
      </c>
      <c r="AQ836" s="55">
        <f>IF(LEFT(Cockpit!$O$5,1)="A",G836,IF(BT836=1,BU836,IF(LEFT(Cockpit!$O$5,1)="B",AU836,MAX(AU836,G836))))</f>
        <v/>
      </c>
      <c r="AR836" s="55">
        <f>IF(BO836=1,0,ROUNDUP(AQ836/BN836,0))</f>
        <v/>
      </c>
      <c r="AS836" s="64">
        <f>IF(BO836=1,IF(AQ836&lt;=0,0,BP836*MAX(1,IF(G836&gt;0,AQ836/G836,1))),AR836*Q836)</f>
        <v/>
      </c>
      <c r="AT836" s="55">
        <f>AQ836*F836</f>
        <v/>
      </c>
      <c r="AU836" s="55">
        <f>ROUNDUP(MAX(I836/IF(BS836&gt;0,BS836,MAX(0.1,N(Cockpit!$O$6))),BV836)/BN836,0)*BN836</f>
        <v/>
      </c>
      <c r="AV836" s="56">
        <f>IF(AS836&gt;0,I836/AS836,-1)</f>
        <v/>
      </c>
      <c r="AW836" s="56">
        <f>IF(AND(OR(BR836="L1",BR836="L23"),AS836&gt;0),SUMIFS($AS$7:$AS$1570,$BR$7:$BR$1570,BR836,$AV$7:$AV$1570,"&gt;"&amp;AV836)+SUMIFS($AS$7:$AS$1570,$BR$7:$BR$1570,BR836,$AV$7:$AV$1570,AV836,$BL$7:$BL$1570,"&lt;="&amp;BL836),"")</f>
        <v/>
      </c>
      <c r="AX836" s="65">
        <f>IF(AW836="",0,MAX(0,MIN(1,(IF(BR836="L1",Parameter!$K$5,Parameter!$K$6+Parameter!$K$7)-(AW836-AS836))/AS836)))</f>
        <v/>
      </c>
      <c r="AY836" s="53">
        <f>IF(AC836&lt;=0,"",IF(BR836="Aussen","Aussenlager",IF(BR836="-","Nicht im Lift",IF(AH836&gt;=1,"Lift",IF(AH836&lt;=0,"Aussenlager","teilweise")))))</f>
        <v/>
      </c>
      <c r="AZ836" s="53">
        <f>IF(AK836&lt;=0,"",IF(BR836="Aussen","Aussenlager",IF(BR836="-","Nicht im Lift",IF(AP836&gt;=1,"Lift",IF(AP836&lt;=0,"Aussenlager","teilweise")))))</f>
        <v/>
      </c>
      <c r="BA836" s="53">
        <f>IF(AS836&lt;=0,"",IF(BR836="Aussen","Aussenlager",IF(BR836="-","Nicht im Lift",IF(AX836&gt;=1,"Lift",IF(AX836&lt;=0,"Aussenlager","teilweise")))))</f>
        <v/>
      </c>
      <c r="BB836" s="53">
        <f>IF(A836="","",IF(BK836=1,"Neu; ","")&amp;IF(AND(BK836=0,BF836&lt;0),"negativer Bestand (Export "&amp;BF836&amp;"); ","")&amp;IF(I836&lt;=0,"Kein Verbrauch; ","")&amp;IF(BO836=1,"Lose – Fläche geschätzt; ","")&amp;IF(G836&gt;AM836,"Überbestand "&amp;ROUND(G836-AM836,0)&amp;" Stk / CHF "&amp;ROUND((G836-AM836)*F836,0)&amp;"; ","")&amp;IF(AND(BT836=1,BU836&lt;BV836),"MAX &lt; MB+LG; ","")&amp;IF(AND(BZ836&gt;0,BY836*10&gt;BZ836),"zu hoch für Tablar; ","")&amp;IF(AND(BK836=0,OR(BT836=1,V836&lt;&gt;"",S836&lt;&gt;"",T836&lt;&gt;"",W836&lt;&gt;"")),"manuell übersteuert; ","")&amp;IF(AND(BO836=0,Q836=0),"Gebinde unbekannt; ","")&amp;IF(AND(BO836=0,N(T836)&lt;=0,N(P836)&lt;=0),"Menge pro Gebinde fehlt (Ist = 1 Gebinde); ","")&amp;BJ836)</f>
        <v/>
      </c>
      <c r="BC836" s="53" t="n"/>
      <c r="BD836" s="53" t="n"/>
      <c r="BE836" s="61" t="n"/>
      <c r="BF836" s="55" t="n">
        <v>-63</v>
      </c>
      <c r="BG836" s="55" t="n">
        <v>1493</v>
      </c>
      <c r="BH836" s="54" t="n">
        <v>-11.87999999999931</v>
      </c>
      <c r="BI836" s="55" t="n">
        <v>2274</v>
      </c>
      <c r="BJ836" s="53" t="inlineStr">
        <is>
          <t>grosse  Artikelmenge</t>
        </is>
      </c>
      <c r="BK836" s="58" t="n">
        <v>0</v>
      </c>
      <c r="BL836" s="58" t="n">
        <v>836</v>
      </c>
      <c r="BM836" s="53">
        <f>IF(S836&lt;&gt;"",UPPER(TRIM(S836)),IF(O836="","LOSE",O836))</f>
        <v/>
      </c>
      <c r="BN836" s="55">
        <f>IF(BM836="LOSE",1,IF(N(T836)&gt;0,T836,IF(N(P836)&gt;0,P836,MAX(1,G836))))</f>
        <v/>
      </c>
      <c r="BO836" s="58">
        <f>IF(BM836="LOSE",1,0)</f>
        <v/>
      </c>
      <c r="BP836" s="64">
        <f>IF(BO836=0,0,IF(N(R836)&gt;0,R836,IFERROR(VLOOKUP(D836,Parameter!$A$35:$C$64,3,0)+0,0)))</f>
        <v/>
      </c>
      <c r="BQ836" s="53">
        <f>IF(V836&lt;&gt;"",V836,U836)</f>
        <v/>
      </c>
      <c r="BR836" s="53">
        <f>IF(BQ836=1,"L1",IF(OR(BQ836=2,BQ836=3),"L23",IF(BQ836="Aussen","Aussen","-")))</f>
        <v/>
      </c>
      <c r="BS836" s="66">
        <f>IF(N(W836)&gt;0,W836,0)</f>
        <v/>
      </c>
      <c r="BT836" s="58">
        <f>IF(ISNUMBER(Z836),1,0)</f>
        <v/>
      </c>
      <c r="BU836" s="55">
        <f>N(Z836)</f>
        <v/>
      </c>
      <c r="BV836" s="55">
        <f>N(L836)+N(M836)</f>
        <v/>
      </c>
      <c r="BW836" s="55">
        <f>ROUNDUP(G836/BN836,0)</f>
        <v/>
      </c>
      <c r="BX836" s="55">
        <f>ROUNDUP(BU836/BN836,0)</f>
        <v/>
      </c>
      <c r="BY836" s="58">
        <f>IF(BO836=1,0,IFERROR(VLOOKUP(BM836,'Gebinde-Kategorie'!$A$5:$G$45,5,0)+0,0))</f>
        <v/>
      </c>
      <c r="BZ836" s="58">
        <f>IFERROR(IF(OR(BQ836=1,BQ836=2,BQ836=3),N(INDEX(Parameter!$I$5:$I$7,BQ836)),0),0)</f>
        <v/>
      </c>
    </row>
    <row r="837">
      <c r="A837" s="53" t="inlineStr">
        <is>
          <t>106745</t>
        </is>
      </c>
      <c r="B837" s="53" t="inlineStr">
        <is>
          <t>Sensorkabel</t>
        </is>
      </c>
      <c r="C837" s="53" t="inlineStr">
        <is>
          <t>A</t>
        </is>
      </c>
      <c r="D837" s="53" t="inlineStr">
        <is>
          <t>KTL</t>
        </is>
      </c>
      <c r="E837" s="53" t="inlineStr">
        <is>
          <t>C</t>
        </is>
      </c>
      <c r="F837" s="54" t="n">
        <v>12.09</v>
      </c>
      <c r="G837" s="55">
        <f>MAX(0,IF(Parameter!$B$20="Jahresanfang 2025 + Export",BG837+BF837,BF837))</f>
        <v/>
      </c>
      <c r="H837" s="55">
        <f>G837*F837</f>
        <v/>
      </c>
      <c r="I837" s="55">
        <f>BI837*Parameter!$B$18</f>
        <v/>
      </c>
      <c r="J837" s="56" t="n">
        <v>153.5</v>
      </c>
      <c r="K837" s="57" t="n">
        <v>0</v>
      </c>
      <c r="L837" s="55" t="n">
        <v>0</v>
      </c>
      <c r="M837" s="55" t="n">
        <v>1</v>
      </c>
      <c r="N837" s="58" t="n">
        <v>35</v>
      </c>
      <c r="O837" s="53" t="inlineStr">
        <is>
          <t>S62</t>
        </is>
      </c>
      <c r="P837" s="55" t="n">
        <v>169</v>
      </c>
      <c r="Q837" s="59">
        <f>IF(BO837=1,0,IFERROR(VLOOKUP(BM837,'Gebinde-Kategorie'!$A$5:$G$45,6,0)+0,0))</f>
        <v/>
      </c>
      <c r="R837" s="60" t="n"/>
      <c r="S837" s="61" t="n"/>
      <c r="T837" s="61" t="n"/>
      <c r="U837" s="53">
        <f>IF(A837="","",IF(IFERROR(VLOOKUP(D837,Parameter!$A$35:$C$64,2,0),"Nein")="2+3",IF(ISNUMBER(SEARCH("grosser Artikel",BJ837)),2,IFERROR(VLOOKUP(BM837,Parameter!$F$35:$G$64,2,0),2)),IF(OR(IFERROR(VLOOKUP(D837,Parameter!$A$35:$C$64,2,0),"Nein")="Nein",IFERROR(VLOOKUP(D837,Parameter!$A$35:$C$64,2,0),"Nein")=""),"-",VLOOKUP(D837,Parameter!$A$35:$C$64,2,0))))</f>
        <v/>
      </c>
      <c r="V837" s="61" t="n"/>
      <c r="W837" s="62" t="n"/>
      <c r="X837" s="55">
        <f>AM837</f>
        <v/>
      </c>
      <c r="Y837" s="55">
        <f>MAX(AM837,G837)</f>
        <v/>
      </c>
      <c r="Z837" s="63" t="n"/>
      <c r="AA837" s="55">
        <f>IF(LEFT(Cockpit!$C$5,1)="A",G837,IF(BT837=1,BU837,IF(LEFT(Cockpit!$C$5,1)="B",AE837,MAX(AE837,G837))))</f>
        <v/>
      </c>
      <c r="AB837" s="55">
        <f>IF(BO837=1,0,ROUNDUP(AA837/BN837,0))</f>
        <v/>
      </c>
      <c r="AC837" s="64">
        <f>IF(BO837=1,IF(AA837&lt;=0,0,BP837*MAX(1,IF(G837&gt;0,AA837/G837,1))),AB837*Q837)</f>
        <v/>
      </c>
      <c r="AD837" s="55">
        <f>AA837*F837</f>
        <v/>
      </c>
      <c r="AE837" s="55">
        <f>ROUNDUP(MAX(I837/IF(BS837&gt;0,BS837,MAX(0.1,N(Cockpit!$C$6))),BV837)/BN837,0)*BN837</f>
        <v/>
      </c>
      <c r="AF837" s="56">
        <f>IF(AC837&gt;0,I837/AC837,-1)</f>
        <v/>
      </c>
      <c r="AG837" s="56">
        <f>IF(AND(OR(BR837="L1",BR837="L23"),AC837&gt;0),SUMIFS($AC$7:$AC$1570,$BR$7:$BR$1570,BR837,$AF$7:$AF$1570,"&gt;"&amp;AF837)+SUMIFS($AC$7:$AC$1570,$BR$7:$BR$1570,BR837,$AF$7:$AF$1570,AF837,$BL$7:$BL$1570,"&lt;="&amp;BL837),"")</f>
        <v/>
      </c>
      <c r="AH837" s="65">
        <f>IF(AG837="",0,MAX(0,MIN(1,(IF(BR837="L1",Parameter!$K$5,Parameter!$K$6+Parameter!$K$7)-(AG837-AC837))/AC837)))</f>
        <v/>
      </c>
      <c r="AI837" s="55">
        <f>IF(LEFT(Cockpit!$I$5,1)="A",G837,IF(BT837=1,BU837,IF(LEFT(Cockpit!$I$5,1)="B",AM837,MAX(AM837,G837))))</f>
        <v/>
      </c>
      <c r="AJ837" s="55">
        <f>IF(BO837=1,0,ROUNDUP(AI837/BN837,0))</f>
        <v/>
      </c>
      <c r="AK837" s="64">
        <f>IF(BO837=1,IF(AI837&lt;=0,0,BP837*MAX(1,IF(G837&gt;0,AI837/G837,1))),AJ837*Q837)</f>
        <v/>
      </c>
      <c r="AL837" s="55">
        <f>AI837*F837</f>
        <v/>
      </c>
      <c r="AM837" s="55">
        <f>ROUNDUP(MAX(I837/IF(BS837&gt;0,BS837,MAX(0.1,N(Cockpit!$I$6))),BV837)/BN837,0)*BN837</f>
        <v/>
      </c>
      <c r="AN837" s="56">
        <f>IF(AK837&gt;0,I837/AK837,-1)</f>
        <v/>
      </c>
      <c r="AO837" s="56">
        <f>IF(AND(OR(BR837="L1",BR837="L23"),AK837&gt;0),SUMIFS($AK$7:$AK$1570,$BR$7:$BR$1570,BR837,$AN$7:$AN$1570,"&gt;"&amp;AN837)+SUMIFS($AK$7:$AK$1570,$BR$7:$BR$1570,BR837,$AN$7:$AN$1570,AN837,$BL$7:$BL$1570,"&lt;="&amp;BL837),"")</f>
        <v/>
      </c>
      <c r="AP837" s="65">
        <f>IF(AO837="",0,MAX(0,MIN(1,(IF(BR837="L1",Parameter!$K$5,Parameter!$K$6+Parameter!$K$7)-(AO837-AK837))/AK837)))</f>
        <v/>
      </c>
      <c r="AQ837" s="55">
        <f>IF(LEFT(Cockpit!$O$5,1)="A",G837,IF(BT837=1,BU837,IF(LEFT(Cockpit!$O$5,1)="B",AU837,MAX(AU837,G837))))</f>
        <v/>
      </c>
      <c r="AR837" s="55">
        <f>IF(BO837=1,0,ROUNDUP(AQ837/BN837,0))</f>
        <v/>
      </c>
      <c r="AS837" s="64">
        <f>IF(BO837=1,IF(AQ837&lt;=0,0,BP837*MAX(1,IF(G837&gt;0,AQ837/G837,1))),AR837*Q837)</f>
        <v/>
      </c>
      <c r="AT837" s="55">
        <f>AQ837*F837</f>
        <v/>
      </c>
      <c r="AU837" s="55">
        <f>ROUNDUP(MAX(I837/IF(BS837&gt;0,BS837,MAX(0.1,N(Cockpit!$O$6))),BV837)/BN837,0)*BN837</f>
        <v/>
      </c>
      <c r="AV837" s="56">
        <f>IF(AS837&gt;0,I837/AS837,-1)</f>
        <v/>
      </c>
      <c r="AW837" s="56">
        <f>IF(AND(OR(BR837="L1",BR837="L23"),AS837&gt;0),SUMIFS($AS$7:$AS$1570,$BR$7:$BR$1570,BR837,$AV$7:$AV$1570,"&gt;"&amp;AV837)+SUMIFS($AS$7:$AS$1570,$BR$7:$BR$1570,BR837,$AV$7:$AV$1570,AV837,$BL$7:$BL$1570,"&lt;="&amp;BL837),"")</f>
        <v/>
      </c>
      <c r="AX837" s="65">
        <f>IF(AW837="",0,MAX(0,MIN(1,(IF(BR837="L1",Parameter!$K$5,Parameter!$K$6+Parameter!$K$7)-(AW837-AS837))/AS837)))</f>
        <v/>
      </c>
      <c r="AY837" s="53">
        <f>IF(AC837&lt;=0,"",IF(BR837="Aussen","Aussenlager",IF(BR837="-","Nicht im Lift",IF(AH837&gt;=1,"Lift",IF(AH837&lt;=0,"Aussenlager","teilweise")))))</f>
        <v/>
      </c>
      <c r="AZ837" s="53">
        <f>IF(AK837&lt;=0,"",IF(BR837="Aussen","Aussenlager",IF(BR837="-","Nicht im Lift",IF(AP837&gt;=1,"Lift",IF(AP837&lt;=0,"Aussenlager","teilweise")))))</f>
        <v/>
      </c>
      <c r="BA837" s="53">
        <f>IF(AS837&lt;=0,"",IF(BR837="Aussen","Aussenlager",IF(BR837="-","Nicht im Lift",IF(AX837&gt;=1,"Lift",IF(AX837&lt;=0,"Aussenlager","teilweise")))))</f>
        <v/>
      </c>
      <c r="BB837" s="53">
        <f>IF(A837="","",IF(BK837=1,"Neu; ","")&amp;IF(AND(BK837=0,BF837&lt;0),"negativer Bestand (Export "&amp;BF837&amp;"); ","")&amp;IF(I837&lt;=0,"Kein Verbrauch; ","")&amp;IF(BO837=1,"Lose – Fläche geschätzt; ","")&amp;IF(G837&gt;AM837,"Überbestand "&amp;ROUND(G837-AM837,0)&amp;" Stk / CHF "&amp;ROUND((G837-AM837)*F837,0)&amp;"; ","")&amp;IF(AND(BT837=1,BU837&lt;BV837),"MAX &lt; MB+LG; ","")&amp;IF(AND(BZ837&gt;0,BY837*10&gt;BZ837),"zu hoch für Tablar; ","")&amp;IF(AND(BK837=0,OR(BT837=1,V837&lt;&gt;"",S837&lt;&gt;"",T837&lt;&gt;"",W837&lt;&gt;"")),"manuell übersteuert; ","")&amp;IF(AND(BO837=0,Q837=0),"Gebinde unbekannt; ","")&amp;IF(AND(BO837=0,N(T837)&lt;=0,N(P837)&lt;=0),"Menge pro Gebinde fehlt (Ist = 1 Gebinde); ","")&amp;BJ837)</f>
        <v/>
      </c>
      <c r="BC837" s="53" t="n"/>
      <c r="BD837" s="53" t="n"/>
      <c r="BE837" s="61" t="n"/>
      <c r="BF837" s="55" t="n">
        <v>-1</v>
      </c>
      <c r="BG837" s="55" t="n">
        <v>154</v>
      </c>
      <c r="BH837" s="54" t="n">
        <v>-12.09</v>
      </c>
      <c r="BI837" s="55" t="n">
        <v>0</v>
      </c>
      <c r="BJ837" s="53" t="inlineStr"/>
      <c r="BK837" s="58" t="n">
        <v>0</v>
      </c>
      <c r="BL837" s="58" t="n">
        <v>837</v>
      </c>
      <c r="BM837" s="53">
        <f>IF(S837&lt;&gt;"",UPPER(TRIM(S837)),IF(O837="","LOSE",O837))</f>
        <v/>
      </c>
      <c r="BN837" s="55">
        <f>IF(BM837="LOSE",1,IF(N(T837)&gt;0,T837,IF(N(P837)&gt;0,P837,MAX(1,G837))))</f>
        <v/>
      </c>
      <c r="BO837" s="58">
        <f>IF(BM837="LOSE",1,0)</f>
        <v/>
      </c>
      <c r="BP837" s="64">
        <f>IF(BO837=0,0,IF(N(R837)&gt;0,R837,IFERROR(VLOOKUP(D837,Parameter!$A$35:$C$64,3,0)+0,0)))</f>
        <v/>
      </c>
      <c r="BQ837" s="53">
        <f>IF(V837&lt;&gt;"",V837,U837)</f>
        <v/>
      </c>
      <c r="BR837" s="53">
        <f>IF(BQ837=1,"L1",IF(OR(BQ837=2,BQ837=3),"L23",IF(BQ837="Aussen","Aussen","-")))</f>
        <v/>
      </c>
      <c r="BS837" s="66">
        <f>IF(N(W837)&gt;0,W837,0)</f>
        <v/>
      </c>
      <c r="BT837" s="58">
        <f>IF(ISNUMBER(Z837),1,0)</f>
        <v/>
      </c>
      <c r="BU837" s="55">
        <f>N(Z837)</f>
        <v/>
      </c>
      <c r="BV837" s="55">
        <f>N(L837)+N(M837)</f>
        <v/>
      </c>
      <c r="BW837" s="55">
        <f>ROUNDUP(G837/BN837,0)</f>
        <v/>
      </c>
      <c r="BX837" s="55">
        <f>ROUNDUP(BU837/BN837,0)</f>
        <v/>
      </c>
      <c r="BY837" s="58">
        <f>IF(BO837=1,0,IFERROR(VLOOKUP(BM837,'Gebinde-Kategorie'!$A$5:$G$45,5,0)+0,0))</f>
        <v/>
      </c>
      <c r="BZ837" s="58">
        <f>IFERROR(IF(OR(BQ837=1,BQ837=2,BQ837=3),N(INDEX(Parameter!$I$5:$I$7,BQ837)),0),0)</f>
        <v/>
      </c>
    </row>
    <row r="838">
      <c r="A838" s="53" t="inlineStr">
        <is>
          <t>101570</t>
        </is>
      </c>
      <c r="B838" s="53" t="inlineStr">
        <is>
          <t>Stützring</t>
        </is>
      </c>
      <c r="C838" s="53" t="inlineStr">
        <is>
          <t>F</t>
        </is>
      </c>
      <c r="D838" s="53" t="inlineStr">
        <is>
          <t>KTL</t>
        </is>
      </c>
      <c r="E838" s="53" t="inlineStr">
        <is>
          <t>C</t>
        </is>
      </c>
      <c r="F838" s="54" t="n">
        <v>1.53</v>
      </c>
      <c r="G838" s="55">
        <f>MAX(0,IF(Parameter!$B$20="Jahresanfang 2025 + Export",BG838+BF838,BF838))</f>
        <v/>
      </c>
      <c r="H838" s="55">
        <f>G838*F838</f>
        <v/>
      </c>
      <c r="I838" s="55">
        <f>BI838*Parameter!$B$18</f>
        <v/>
      </c>
      <c r="J838" s="56" t="n">
        <v>191.5</v>
      </c>
      <c r="K838" s="57" t="n">
        <v>1.378590078328982</v>
      </c>
      <c r="L838" s="55" t="n">
        <v>10</v>
      </c>
      <c r="M838" s="55" t="n">
        <v>200</v>
      </c>
      <c r="N838" s="58" t="n">
        <v>14</v>
      </c>
      <c r="O838" s="53" t="inlineStr">
        <is>
          <t>S32</t>
        </is>
      </c>
      <c r="P838" s="55" t="n">
        <v>513</v>
      </c>
      <c r="Q838" s="59">
        <f>IF(BO838=1,0,IFERROR(VLOOKUP(BM838,'Gebinde-Kategorie'!$A$5:$G$45,6,0)+0,0))</f>
        <v/>
      </c>
      <c r="R838" s="60" t="n"/>
      <c r="S838" s="61" t="n"/>
      <c r="T838" s="61" t="n"/>
      <c r="U838" s="53">
        <f>IF(A838="","",IF(IFERROR(VLOOKUP(D838,Parameter!$A$35:$C$64,2,0),"Nein")="2+3",IF(ISNUMBER(SEARCH("grosser Artikel",BJ838)),2,IFERROR(VLOOKUP(BM838,Parameter!$F$35:$G$64,2,0),2)),IF(OR(IFERROR(VLOOKUP(D838,Parameter!$A$35:$C$64,2,0),"Nein")="Nein",IFERROR(VLOOKUP(D838,Parameter!$A$35:$C$64,2,0),"Nein")=""),"-",VLOOKUP(D838,Parameter!$A$35:$C$64,2,0))))</f>
        <v/>
      </c>
      <c r="V838" s="61" t="n"/>
      <c r="W838" s="62" t="n"/>
      <c r="X838" s="55">
        <f>AM838</f>
        <v/>
      </c>
      <c r="Y838" s="55">
        <f>MAX(AM838,G838)</f>
        <v/>
      </c>
      <c r="Z838" s="63" t="n"/>
      <c r="AA838" s="55">
        <f>IF(LEFT(Cockpit!$C$5,1)="A",G838,IF(BT838=1,BU838,IF(LEFT(Cockpit!$C$5,1)="B",AE838,MAX(AE838,G838))))</f>
        <v/>
      </c>
      <c r="AB838" s="55">
        <f>IF(BO838=1,0,ROUNDUP(AA838/BN838,0))</f>
        <v/>
      </c>
      <c r="AC838" s="64">
        <f>IF(BO838=1,IF(AA838&lt;=0,0,BP838*MAX(1,IF(G838&gt;0,AA838/G838,1))),AB838*Q838)</f>
        <v/>
      </c>
      <c r="AD838" s="55">
        <f>AA838*F838</f>
        <v/>
      </c>
      <c r="AE838" s="55">
        <f>ROUNDUP(MAX(I838/IF(BS838&gt;0,BS838,MAX(0.1,N(Cockpit!$C$6))),BV838)/BN838,0)*BN838</f>
        <v/>
      </c>
      <c r="AF838" s="56">
        <f>IF(AC838&gt;0,I838/AC838,-1)</f>
        <v/>
      </c>
      <c r="AG838" s="56">
        <f>IF(AND(OR(BR838="L1",BR838="L23"),AC838&gt;0),SUMIFS($AC$7:$AC$1570,$BR$7:$BR$1570,BR838,$AF$7:$AF$1570,"&gt;"&amp;AF838)+SUMIFS($AC$7:$AC$1570,$BR$7:$BR$1570,BR838,$AF$7:$AF$1570,AF838,$BL$7:$BL$1570,"&lt;="&amp;BL838),"")</f>
        <v/>
      </c>
      <c r="AH838" s="65">
        <f>IF(AG838="",0,MAX(0,MIN(1,(IF(BR838="L1",Parameter!$K$5,Parameter!$K$6+Parameter!$K$7)-(AG838-AC838))/AC838)))</f>
        <v/>
      </c>
      <c r="AI838" s="55">
        <f>IF(LEFT(Cockpit!$I$5,1)="A",G838,IF(BT838=1,BU838,IF(LEFT(Cockpit!$I$5,1)="B",AM838,MAX(AM838,G838))))</f>
        <v/>
      </c>
      <c r="AJ838" s="55">
        <f>IF(BO838=1,0,ROUNDUP(AI838/BN838,0))</f>
        <v/>
      </c>
      <c r="AK838" s="64">
        <f>IF(BO838=1,IF(AI838&lt;=0,0,BP838*MAX(1,IF(G838&gt;0,AI838/G838,1))),AJ838*Q838)</f>
        <v/>
      </c>
      <c r="AL838" s="55">
        <f>AI838*F838</f>
        <v/>
      </c>
      <c r="AM838" s="55">
        <f>ROUNDUP(MAX(I838/IF(BS838&gt;0,BS838,MAX(0.1,N(Cockpit!$I$6))),BV838)/BN838,0)*BN838</f>
        <v/>
      </c>
      <c r="AN838" s="56">
        <f>IF(AK838&gt;0,I838/AK838,-1)</f>
        <v/>
      </c>
      <c r="AO838" s="56">
        <f>IF(AND(OR(BR838="L1",BR838="L23"),AK838&gt;0),SUMIFS($AK$7:$AK$1570,$BR$7:$BR$1570,BR838,$AN$7:$AN$1570,"&gt;"&amp;AN838)+SUMIFS($AK$7:$AK$1570,$BR$7:$BR$1570,BR838,$AN$7:$AN$1570,AN838,$BL$7:$BL$1570,"&lt;="&amp;BL838),"")</f>
        <v/>
      </c>
      <c r="AP838" s="65">
        <f>IF(AO838="",0,MAX(0,MIN(1,(IF(BR838="L1",Parameter!$K$5,Parameter!$K$6+Parameter!$K$7)-(AO838-AK838))/AK838)))</f>
        <v/>
      </c>
      <c r="AQ838" s="55">
        <f>IF(LEFT(Cockpit!$O$5,1)="A",G838,IF(BT838=1,BU838,IF(LEFT(Cockpit!$O$5,1)="B",AU838,MAX(AU838,G838))))</f>
        <v/>
      </c>
      <c r="AR838" s="55">
        <f>IF(BO838=1,0,ROUNDUP(AQ838/BN838,0))</f>
        <v/>
      </c>
      <c r="AS838" s="64">
        <f>IF(BO838=1,IF(AQ838&lt;=0,0,BP838*MAX(1,IF(G838&gt;0,AQ838/G838,1))),AR838*Q838)</f>
        <v/>
      </c>
      <c r="AT838" s="55">
        <f>AQ838*F838</f>
        <v/>
      </c>
      <c r="AU838" s="55">
        <f>ROUNDUP(MAX(I838/IF(BS838&gt;0,BS838,MAX(0.1,N(Cockpit!$O$6))),BV838)/BN838,0)*BN838</f>
        <v/>
      </c>
      <c r="AV838" s="56">
        <f>IF(AS838&gt;0,I838/AS838,-1)</f>
        <v/>
      </c>
      <c r="AW838" s="56">
        <f>IF(AND(OR(BR838="L1",BR838="L23"),AS838&gt;0),SUMIFS($AS$7:$AS$1570,$BR$7:$BR$1570,BR838,$AV$7:$AV$1570,"&gt;"&amp;AV838)+SUMIFS($AS$7:$AS$1570,$BR$7:$BR$1570,BR838,$AV$7:$AV$1570,AV838,$BL$7:$BL$1570,"&lt;="&amp;BL838),"")</f>
        <v/>
      </c>
      <c r="AX838" s="65">
        <f>IF(AW838="",0,MAX(0,MIN(1,(IF(BR838="L1",Parameter!$K$5,Parameter!$K$6+Parameter!$K$7)-(AW838-AS838))/AS838)))</f>
        <v/>
      </c>
      <c r="AY838" s="53">
        <f>IF(AC838&lt;=0,"",IF(BR838="Aussen","Aussenlager",IF(BR838="-","Nicht im Lift",IF(AH838&gt;=1,"Lift",IF(AH838&lt;=0,"Aussenlager","teilweise")))))</f>
        <v/>
      </c>
      <c r="AZ838" s="53">
        <f>IF(AK838&lt;=0,"",IF(BR838="Aussen","Aussenlager",IF(BR838="-","Nicht im Lift",IF(AP838&gt;=1,"Lift",IF(AP838&lt;=0,"Aussenlager","teilweise")))))</f>
        <v/>
      </c>
      <c r="BA838" s="53">
        <f>IF(AS838&lt;=0,"",IF(BR838="Aussen","Aussenlager",IF(BR838="-","Nicht im Lift",IF(AX838&gt;=1,"Lift",IF(AX838&lt;=0,"Aussenlager","teilweise")))))</f>
        <v/>
      </c>
      <c r="BB838" s="53">
        <f>IF(A838="","",IF(BK838=1,"Neu; ","")&amp;IF(AND(BK838=0,BF838&lt;0),"negativer Bestand (Export "&amp;BF838&amp;"); ","")&amp;IF(I838&lt;=0,"Kein Verbrauch; ","")&amp;IF(BO838=1,"Lose – Fläche geschätzt; ","")&amp;IF(G838&gt;AM838,"Überbestand "&amp;ROUND(G838-AM838,0)&amp;" Stk / CHF "&amp;ROUND((G838-AM838)*F838,0)&amp;"; ","")&amp;IF(AND(BT838=1,BU838&lt;BV838),"MAX &lt; MB+LG; ","")&amp;IF(AND(BZ838&gt;0,BY838*10&gt;BZ838),"zu hoch für Tablar; ","")&amp;IF(AND(BK838=0,OR(BT838=1,V838&lt;&gt;"",S838&lt;&gt;"",T838&lt;&gt;"",W838&lt;&gt;"")),"manuell übersteuert; ","")&amp;IF(AND(BO838=0,Q838=0),"Gebinde unbekannt; ","")&amp;IF(AND(BO838=0,N(T838)&lt;=0,N(P838)&lt;=0),"Menge pro Gebinde fehlt (Ist = 1 Gebinde); ","")&amp;BJ838)</f>
        <v/>
      </c>
      <c r="BC838" s="53" t="n"/>
      <c r="BD838" s="53" t="n"/>
      <c r="BE838" s="61" t="n"/>
      <c r="BF838" s="55" t="n">
        <v>-8</v>
      </c>
      <c r="BG838" s="55" t="n">
        <v>222</v>
      </c>
      <c r="BH838" s="54" t="n">
        <v>-12.15999999999981</v>
      </c>
      <c r="BI838" s="55" t="n">
        <v>264</v>
      </c>
      <c r="BJ838" s="53" t="inlineStr"/>
      <c r="BK838" s="58" t="n">
        <v>0</v>
      </c>
      <c r="BL838" s="58" t="n">
        <v>838</v>
      </c>
      <c r="BM838" s="53">
        <f>IF(S838&lt;&gt;"",UPPER(TRIM(S838)),IF(O838="","LOSE",O838))</f>
        <v/>
      </c>
      <c r="BN838" s="55">
        <f>IF(BM838="LOSE",1,IF(N(T838)&gt;0,T838,IF(N(P838)&gt;0,P838,MAX(1,G838))))</f>
        <v/>
      </c>
      <c r="BO838" s="58">
        <f>IF(BM838="LOSE",1,0)</f>
        <v/>
      </c>
      <c r="BP838" s="64">
        <f>IF(BO838=0,0,IF(N(R838)&gt;0,R838,IFERROR(VLOOKUP(D838,Parameter!$A$35:$C$64,3,0)+0,0)))</f>
        <v/>
      </c>
      <c r="BQ838" s="53">
        <f>IF(V838&lt;&gt;"",V838,U838)</f>
        <v/>
      </c>
      <c r="BR838" s="53">
        <f>IF(BQ838=1,"L1",IF(OR(BQ838=2,BQ838=3),"L23",IF(BQ838="Aussen","Aussen","-")))</f>
        <v/>
      </c>
      <c r="BS838" s="66">
        <f>IF(N(W838)&gt;0,W838,0)</f>
        <v/>
      </c>
      <c r="BT838" s="58">
        <f>IF(ISNUMBER(Z838),1,0)</f>
        <v/>
      </c>
      <c r="BU838" s="55">
        <f>N(Z838)</f>
        <v/>
      </c>
      <c r="BV838" s="55">
        <f>N(L838)+N(M838)</f>
        <v/>
      </c>
      <c r="BW838" s="55">
        <f>ROUNDUP(G838/BN838,0)</f>
        <v/>
      </c>
      <c r="BX838" s="55">
        <f>ROUNDUP(BU838/BN838,0)</f>
        <v/>
      </c>
      <c r="BY838" s="58">
        <f>IF(BO838=1,0,IFERROR(VLOOKUP(BM838,'Gebinde-Kategorie'!$A$5:$G$45,5,0)+0,0))</f>
        <v/>
      </c>
      <c r="BZ838" s="58">
        <f>IFERROR(IF(OR(BQ838=1,BQ838=2,BQ838=3),N(INDEX(Parameter!$I$5:$I$7,BQ838)),0),0)</f>
        <v/>
      </c>
    </row>
    <row r="839">
      <c r="A839" s="53" t="inlineStr">
        <is>
          <t>105855</t>
        </is>
      </c>
      <c r="B839" s="53" t="inlineStr">
        <is>
          <t>Dichtung</t>
        </is>
      </c>
      <c r="C839" s="53" t="inlineStr">
        <is>
          <t>F</t>
        </is>
      </c>
      <c r="D839" s="53" t="inlineStr">
        <is>
          <t>KTL</t>
        </is>
      </c>
      <c r="E839" s="53" t="inlineStr">
        <is>
          <t>C</t>
        </is>
      </c>
      <c r="F839" s="54" t="n">
        <v>15.42</v>
      </c>
      <c r="G839" s="55">
        <f>MAX(0,IF(Parameter!$B$20="Jahresanfang 2025 + Export",BG839+BF839,BF839))</f>
        <v/>
      </c>
      <c r="H839" s="55">
        <f>G839*F839</f>
        <v/>
      </c>
      <c r="I839" s="55">
        <f>BI839*Parameter!$B$18</f>
        <v/>
      </c>
      <c r="J839" s="56" t="n">
        <v>30.5</v>
      </c>
      <c r="K839" s="57" t="n">
        <v>0.9836065573770492</v>
      </c>
      <c r="L839" s="55" t="n">
        <v>2</v>
      </c>
      <c r="M839" s="55" t="n">
        <v>30</v>
      </c>
      <c r="N839" s="58" t="n">
        <v>35</v>
      </c>
      <c r="O839" s="53" t="inlineStr">
        <is>
          <t>S62</t>
        </is>
      </c>
      <c r="P839" s="55" t="n">
        <v>11</v>
      </c>
      <c r="Q839" s="59">
        <f>IF(BO839=1,0,IFERROR(VLOOKUP(BM839,'Gebinde-Kategorie'!$A$5:$G$45,6,0)+0,0))</f>
        <v/>
      </c>
      <c r="R839" s="60" t="n"/>
      <c r="S839" s="61" t="n"/>
      <c r="T839" s="61" t="n"/>
      <c r="U839" s="53">
        <f>IF(A839="","",IF(IFERROR(VLOOKUP(D839,Parameter!$A$35:$C$64,2,0),"Nein")="2+3",IF(ISNUMBER(SEARCH("grosser Artikel",BJ839)),2,IFERROR(VLOOKUP(BM839,Parameter!$F$35:$G$64,2,0),2)),IF(OR(IFERROR(VLOOKUP(D839,Parameter!$A$35:$C$64,2,0),"Nein")="Nein",IFERROR(VLOOKUP(D839,Parameter!$A$35:$C$64,2,0),"Nein")=""),"-",VLOOKUP(D839,Parameter!$A$35:$C$64,2,0))))</f>
        <v/>
      </c>
      <c r="V839" s="61" t="n"/>
      <c r="W839" s="62" t="n"/>
      <c r="X839" s="55">
        <f>AM839</f>
        <v/>
      </c>
      <c r="Y839" s="55">
        <f>MAX(AM839,G839)</f>
        <v/>
      </c>
      <c r="Z839" s="63" t="n"/>
      <c r="AA839" s="55">
        <f>IF(LEFT(Cockpit!$C$5,1)="A",G839,IF(BT839=1,BU839,IF(LEFT(Cockpit!$C$5,1)="B",AE839,MAX(AE839,G839))))</f>
        <v/>
      </c>
      <c r="AB839" s="55">
        <f>IF(BO839=1,0,ROUNDUP(AA839/BN839,0))</f>
        <v/>
      </c>
      <c r="AC839" s="64">
        <f>IF(BO839=1,IF(AA839&lt;=0,0,BP839*MAX(1,IF(G839&gt;0,AA839/G839,1))),AB839*Q839)</f>
        <v/>
      </c>
      <c r="AD839" s="55">
        <f>AA839*F839</f>
        <v/>
      </c>
      <c r="AE839" s="55">
        <f>ROUNDUP(MAX(I839/IF(BS839&gt;0,BS839,MAX(0.1,N(Cockpit!$C$6))),BV839)/BN839,0)*BN839</f>
        <v/>
      </c>
      <c r="AF839" s="56">
        <f>IF(AC839&gt;0,I839/AC839,-1)</f>
        <v/>
      </c>
      <c r="AG839" s="56">
        <f>IF(AND(OR(BR839="L1",BR839="L23"),AC839&gt;0),SUMIFS($AC$7:$AC$1570,$BR$7:$BR$1570,BR839,$AF$7:$AF$1570,"&gt;"&amp;AF839)+SUMIFS($AC$7:$AC$1570,$BR$7:$BR$1570,BR839,$AF$7:$AF$1570,AF839,$BL$7:$BL$1570,"&lt;="&amp;BL839),"")</f>
        <v/>
      </c>
      <c r="AH839" s="65">
        <f>IF(AG839="",0,MAX(0,MIN(1,(IF(BR839="L1",Parameter!$K$5,Parameter!$K$6+Parameter!$K$7)-(AG839-AC839))/AC839)))</f>
        <v/>
      </c>
      <c r="AI839" s="55">
        <f>IF(LEFT(Cockpit!$I$5,1)="A",G839,IF(BT839=1,BU839,IF(LEFT(Cockpit!$I$5,1)="B",AM839,MAX(AM839,G839))))</f>
        <v/>
      </c>
      <c r="AJ839" s="55">
        <f>IF(BO839=1,0,ROUNDUP(AI839/BN839,0))</f>
        <v/>
      </c>
      <c r="AK839" s="64">
        <f>IF(BO839=1,IF(AI839&lt;=0,0,BP839*MAX(1,IF(G839&gt;0,AI839/G839,1))),AJ839*Q839)</f>
        <v/>
      </c>
      <c r="AL839" s="55">
        <f>AI839*F839</f>
        <v/>
      </c>
      <c r="AM839" s="55">
        <f>ROUNDUP(MAX(I839/IF(BS839&gt;0,BS839,MAX(0.1,N(Cockpit!$I$6))),BV839)/BN839,0)*BN839</f>
        <v/>
      </c>
      <c r="AN839" s="56">
        <f>IF(AK839&gt;0,I839/AK839,-1)</f>
        <v/>
      </c>
      <c r="AO839" s="56">
        <f>IF(AND(OR(BR839="L1",BR839="L23"),AK839&gt;0),SUMIFS($AK$7:$AK$1570,$BR$7:$BR$1570,BR839,$AN$7:$AN$1570,"&gt;"&amp;AN839)+SUMIFS($AK$7:$AK$1570,$BR$7:$BR$1570,BR839,$AN$7:$AN$1570,AN839,$BL$7:$BL$1570,"&lt;="&amp;BL839),"")</f>
        <v/>
      </c>
      <c r="AP839" s="65">
        <f>IF(AO839="",0,MAX(0,MIN(1,(IF(BR839="L1",Parameter!$K$5,Parameter!$K$6+Parameter!$K$7)-(AO839-AK839))/AK839)))</f>
        <v/>
      </c>
      <c r="AQ839" s="55">
        <f>IF(LEFT(Cockpit!$O$5,1)="A",G839,IF(BT839=1,BU839,IF(LEFT(Cockpit!$O$5,1)="B",AU839,MAX(AU839,G839))))</f>
        <v/>
      </c>
      <c r="AR839" s="55">
        <f>IF(BO839=1,0,ROUNDUP(AQ839/BN839,0))</f>
        <v/>
      </c>
      <c r="AS839" s="64">
        <f>IF(BO839=1,IF(AQ839&lt;=0,0,BP839*MAX(1,IF(G839&gt;0,AQ839/G839,1))),AR839*Q839)</f>
        <v/>
      </c>
      <c r="AT839" s="55">
        <f>AQ839*F839</f>
        <v/>
      </c>
      <c r="AU839" s="55">
        <f>ROUNDUP(MAX(I839/IF(BS839&gt;0,BS839,MAX(0.1,N(Cockpit!$O$6))),BV839)/BN839,0)*BN839</f>
        <v/>
      </c>
      <c r="AV839" s="56">
        <f>IF(AS839&gt;0,I839/AS839,-1)</f>
        <v/>
      </c>
      <c r="AW839" s="56">
        <f>IF(AND(OR(BR839="L1",BR839="L23"),AS839&gt;0),SUMIFS($AS$7:$AS$1570,$BR$7:$BR$1570,BR839,$AV$7:$AV$1570,"&gt;"&amp;AV839)+SUMIFS($AS$7:$AS$1570,$BR$7:$BR$1570,BR839,$AV$7:$AV$1570,AV839,$BL$7:$BL$1570,"&lt;="&amp;BL839),"")</f>
        <v/>
      </c>
      <c r="AX839" s="65">
        <f>IF(AW839="",0,MAX(0,MIN(1,(IF(BR839="L1",Parameter!$K$5,Parameter!$K$6+Parameter!$K$7)-(AW839-AS839))/AS839)))</f>
        <v/>
      </c>
      <c r="AY839" s="53">
        <f>IF(AC839&lt;=0,"",IF(BR839="Aussen","Aussenlager",IF(BR839="-","Nicht im Lift",IF(AH839&gt;=1,"Lift",IF(AH839&lt;=0,"Aussenlager","teilweise")))))</f>
        <v/>
      </c>
      <c r="AZ839" s="53">
        <f>IF(AK839&lt;=0,"",IF(BR839="Aussen","Aussenlager",IF(BR839="-","Nicht im Lift",IF(AP839&gt;=1,"Lift",IF(AP839&lt;=0,"Aussenlager","teilweise")))))</f>
        <v/>
      </c>
      <c r="BA839" s="53">
        <f>IF(AS839&lt;=0,"",IF(BR839="Aussen","Aussenlager",IF(BR839="-","Nicht im Lift",IF(AX839&gt;=1,"Lift",IF(AX839&lt;=0,"Aussenlager","teilweise")))))</f>
        <v/>
      </c>
      <c r="BB839" s="53">
        <f>IF(A839="","",IF(BK839=1,"Neu; ","")&amp;IF(AND(BK839=0,BF839&lt;0),"negativer Bestand (Export "&amp;BF839&amp;"); ","")&amp;IF(I839&lt;=0,"Kein Verbrauch; ","")&amp;IF(BO839=1,"Lose – Fläche geschätzt; ","")&amp;IF(G839&gt;AM839,"Überbestand "&amp;ROUND(G839-AM839,0)&amp;" Stk / CHF "&amp;ROUND((G839-AM839)*F839,0)&amp;"; ","")&amp;IF(AND(BT839=1,BU839&lt;BV839),"MAX &lt; MB+LG; ","")&amp;IF(AND(BZ839&gt;0,BY839*10&gt;BZ839),"zu hoch für Tablar; ","")&amp;IF(AND(BK839=0,OR(BT839=1,V839&lt;&gt;"",S839&lt;&gt;"",T839&lt;&gt;"",W839&lt;&gt;"")),"manuell übersteuert; ","")&amp;IF(AND(BO839=0,Q839=0),"Gebinde unbekannt; ","")&amp;IF(AND(BO839=0,N(T839)&lt;=0,N(P839)&lt;=0),"Menge pro Gebinde fehlt (Ist = 1 Gebinde); ","")&amp;BJ839)</f>
        <v/>
      </c>
      <c r="BC839" s="53" t="n"/>
      <c r="BD839" s="53" t="n"/>
      <c r="BE839" s="61" t="n"/>
      <c r="BF839" s="55" t="n">
        <v>-2</v>
      </c>
      <c r="BG839" s="55" t="n">
        <v>46</v>
      </c>
      <c r="BH839" s="54" t="n">
        <v>-12.89999999999986</v>
      </c>
      <c r="BI839" s="55" t="n">
        <v>30</v>
      </c>
      <c r="BJ839" s="53" t="inlineStr"/>
      <c r="BK839" s="58" t="n">
        <v>0</v>
      </c>
      <c r="BL839" s="58" t="n">
        <v>839</v>
      </c>
      <c r="BM839" s="53">
        <f>IF(S839&lt;&gt;"",UPPER(TRIM(S839)),IF(O839="","LOSE",O839))</f>
        <v/>
      </c>
      <c r="BN839" s="55">
        <f>IF(BM839="LOSE",1,IF(N(T839)&gt;0,T839,IF(N(P839)&gt;0,P839,MAX(1,G839))))</f>
        <v/>
      </c>
      <c r="BO839" s="58">
        <f>IF(BM839="LOSE",1,0)</f>
        <v/>
      </c>
      <c r="BP839" s="64">
        <f>IF(BO839=0,0,IF(N(R839)&gt;0,R839,IFERROR(VLOOKUP(D839,Parameter!$A$35:$C$64,3,0)+0,0)))</f>
        <v/>
      </c>
      <c r="BQ839" s="53">
        <f>IF(V839&lt;&gt;"",V839,U839)</f>
        <v/>
      </c>
      <c r="BR839" s="53">
        <f>IF(BQ839=1,"L1",IF(OR(BQ839=2,BQ839=3),"L23",IF(BQ839="Aussen","Aussen","-")))</f>
        <v/>
      </c>
      <c r="BS839" s="66">
        <f>IF(N(W839)&gt;0,W839,0)</f>
        <v/>
      </c>
      <c r="BT839" s="58">
        <f>IF(ISNUMBER(Z839),1,0)</f>
        <v/>
      </c>
      <c r="BU839" s="55">
        <f>N(Z839)</f>
        <v/>
      </c>
      <c r="BV839" s="55">
        <f>N(L839)+N(M839)</f>
        <v/>
      </c>
      <c r="BW839" s="55">
        <f>ROUNDUP(G839/BN839,0)</f>
        <v/>
      </c>
      <c r="BX839" s="55">
        <f>ROUNDUP(BU839/BN839,0)</f>
        <v/>
      </c>
      <c r="BY839" s="58">
        <f>IF(BO839=1,0,IFERROR(VLOOKUP(BM839,'Gebinde-Kategorie'!$A$5:$G$45,5,0)+0,0))</f>
        <v/>
      </c>
      <c r="BZ839" s="58">
        <f>IFERROR(IF(OR(BQ839=1,BQ839=2,BQ839=3),N(INDEX(Parameter!$I$5:$I$7,BQ839)),0),0)</f>
        <v/>
      </c>
    </row>
    <row r="840">
      <c r="A840" s="53" t="inlineStr">
        <is>
          <t>102444</t>
        </is>
      </c>
      <c r="B840" s="53" t="inlineStr">
        <is>
          <t>Senkschraube mit Innensechskant</t>
        </is>
      </c>
      <c r="C840" s="53" t="inlineStr">
        <is>
          <t>F</t>
        </is>
      </c>
      <c r="D840" s="53" t="inlineStr">
        <is>
          <t>KTL</t>
        </is>
      </c>
      <c r="E840" s="53" t="inlineStr">
        <is>
          <t>C</t>
        </is>
      </c>
      <c r="F840" s="54" t="n">
        <v>0.06</v>
      </c>
      <c r="G840" s="55">
        <f>MAX(0,IF(Parameter!$B$20="Jahresanfang 2025 + Export",BG840+BF840,BF840))</f>
        <v/>
      </c>
      <c r="H840" s="55">
        <f>G840*F840</f>
        <v/>
      </c>
      <c r="I840" s="55">
        <f>BI840*Parameter!$B$18</f>
        <v/>
      </c>
      <c r="J840" s="56" t="n">
        <v>590</v>
      </c>
      <c r="K840" s="57" t="n">
        <v>0.1593220338983051</v>
      </c>
      <c r="L840" s="55" t="n">
        <v>5</v>
      </c>
      <c r="M840" s="55" t="n">
        <v>95</v>
      </c>
      <c r="N840" s="58" t="n">
        <v>21</v>
      </c>
      <c r="O840" s="53" t="inlineStr">
        <is>
          <t>S33</t>
        </is>
      </c>
      <c r="P840" s="55" t="n">
        <v>1050</v>
      </c>
      <c r="Q840" s="59">
        <f>IF(BO840=1,0,IFERROR(VLOOKUP(BM840,'Gebinde-Kategorie'!$A$5:$G$45,6,0)+0,0))</f>
        <v/>
      </c>
      <c r="R840" s="60" t="n"/>
      <c r="S840" s="61" t="n"/>
      <c r="T840" s="61" t="n"/>
      <c r="U840" s="53">
        <f>IF(A840="","",IF(IFERROR(VLOOKUP(D840,Parameter!$A$35:$C$64,2,0),"Nein")="2+3",IF(ISNUMBER(SEARCH("grosser Artikel",BJ840)),2,IFERROR(VLOOKUP(BM840,Parameter!$F$35:$G$64,2,0),2)),IF(OR(IFERROR(VLOOKUP(D840,Parameter!$A$35:$C$64,2,0),"Nein")="Nein",IFERROR(VLOOKUP(D840,Parameter!$A$35:$C$64,2,0),"Nein")=""),"-",VLOOKUP(D840,Parameter!$A$35:$C$64,2,0))))</f>
        <v/>
      </c>
      <c r="V840" s="61" t="n"/>
      <c r="W840" s="62" t="n"/>
      <c r="X840" s="55">
        <f>AM840</f>
        <v/>
      </c>
      <c r="Y840" s="55">
        <f>MAX(AM840,G840)</f>
        <v/>
      </c>
      <c r="Z840" s="63" t="n"/>
      <c r="AA840" s="55">
        <f>IF(LEFT(Cockpit!$C$5,1)="A",G840,IF(BT840=1,BU840,IF(LEFT(Cockpit!$C$5,1)="B",AE840,MAX(AE840,G840))))</f>
        <v/>
      </c>
      <c r="AB840" s="55">
        <f>IF(BO840=1,0,ROUNDUP(AA840/BN840,0))</f>
        <v/>
      </c>
      <c r="AC840" s="64">
        <f>IF(BO840=1,IF(AA840&lt;=0,0,BP840*MAX(1,IF(G840&gt;0,AA840/G840,1))),AB840*Q840)</f>
        <v/>
      </c>
      <c r="AD840" s="55">
        <f>AA840*F840</f>
        <v/>
      </c>
      <c r="AE840" s="55">
        <f>ROUNDUP(MAX(I840/IF(BS840&gt;0,BS840,MAX(0.1,N(Cockpit!$C$6))),BV840)/BN840,0)*BN840</f>
        <v/>
      </c>
      <c r="AF840" s="56">
        <f>IF(AC840&gt;0,I840/AC840,-1)</f>
        <v/>
      </c>
      <c r="AG840" s="56">
        <f>IF(AND(OR(BR840="L1",BR840="L23"),AC840&gt;0),SUMIFS($AC$7:$AC$1570,$BR$7:$BR$1570,BR840,$AF$7:$AF$1570,"&gt;"&amp;AF840)+SUMIFS($AC$7:$AC$1570,$BR$7:$BR$1570,BR840,$AF$7:$AF$1570,AF840,$BL$7:$BL$1570,"&lt;="&amp;BL840),"")</f>
        <v/>
      </c>
      <c r="AH840" s="65">
        <f>IF(AG840="",0,MAX(0,MIN(1,(IF(BR840="L1",Parameter!$K$5,Parameter!$K$6+Parameter!$K$7)-(AG840-AC840))/AC840)))</f>
        <v/>
      </c>
      <c r="AI840" s="55">
        <f>IF(LEFT(Cockpit!$I$5,1)="A",G840,IF(BT840=1,BU840,IF(LEFT(Cockpit!$I$5,1)="B",AM840,MAX(AM840,G840))))</f>
        <v/>
      </c>
      <c r="AJ840" s="55">
        <f>IF(BO840=1,0,ROUNDUP(AI840/BN840,0))</f>
        <v/>
      </c>
      <c r="AK840" s="64">
        <f>IF(BO840=1,IF(AI840&lt;=0,0,BP840*MAX(1,IF(G840&gt;0,AI840/G840,1))),AJ840*Q840)</f>
        <v/>
      </c>
      <c r="AL840" s="55">
        <f>AI840*F840</f>
        <v/>
      </c>
      <c r="AM840" s="55">
        <f>ROUNDUP(MAX(I840/IF(BS840&gt;0,BS840,MAX(0.1,N(Cockpit!$I$6))),BV840)/BN840,0)*BN840</f>
        <v/>
      </c>
      <c r="AN840" s="56">
        <f>IF(AK840&gt;0,I840/AK840,-1)</f>
        <v/>
      </c>
      <c r="AO840" s="56">
        <f>IF(AND(OR(BR840="L1",BR840="L23"),AK840&gt;0),SUMIFS($AK$7:$AK$1570,$BR$7:$BR$1570,BR840,$AN$7:$AN$1570,"&gt;"&amp;AN840)+SUMIFS($AK$7:$AK$1570,$BR$7:$BR$1570,BR840,$AN$7:$AN$1570,AN840,$BL$7:$BL$1570,"&lt;="&amp;BL840),"")</f>
        <v/>
      </c>
      <c r="AP840" s="65">
        <f>IF(AO840="",0,MAX(0,MIN(1,(IF(BR840="L1",Parameter!$K$5,Parameter!$K$6+Parameter!$K$7)-(AO840-AK840))/AK840)))</f>
        <v/>
      </c>
      <c r="AQ840" s="55">
        <f>IF(LEFT(Cockpit!$O$5,1)="A",G840,IF(BT840=1,BU840,IF(LEFT(Cockpit!$O$5,1)="B",AU840,MAX(AU840,G840))))</f>
        <v/>
      </c>
      <c r="AR840" s="55">
        <f>IF(BO840=1,0,ROUNDUP(AQ840/BN840,0))</f>
        <v/>
      </c>
      <c r="AS840" s="64">
        <f>IF(BO840=1,IF(AQ840&lt;=0,0,BP840*MAX(1,IF(G840&gt;0,AQ840/G840,1))),AR840*Q840)</f>
        <v/>
      </c>
      <c r="AT840" s="55">
        <f>AQ840*F840</f>
        <v/>
      </c>
      <c r="AU840" s="55">
        <f>ROUNDUP(MAX(I840/IF(BS840&gt;0,BS840,MAX(0.1,N(Cockpit!$O$6))),BV840)/BN840,0)*BN840</f>
        <v/>
      </c>
      <c r="AV840" s="56">
        <f>IF(AS840&gt;0,I840/AS840,-1)</f>
        <v/>
      </c>
      <c r="AW840" s="56">
        <f>IF(AND(OR(BR840="L1",BR840="L23"),AS840&gt;0),SUMIFS($AS$7:$AS$1570,$BR$7:$BR$1570,BR840,$AV$7:$AV$1570,"&gt;"&amp;AV840)+SUMIFS($AS$7:$AS$1570,$BR$7:$BR$1570,BR840,$AV$7:$AV$1570,AV840,$BL$7:$BL$1570,"&lt;="&amp;BL840),"")</f>
        <v/>
      </c>
      <c r="AX840" s="65">
        <f>IF(AW840="",0,MAX(0,MIN(1,(IF(BR840="L1",Parameter!$K$5,Parameter!$K$6+Parameter!$K$7)-(AW840-AS840))/AS840)))</f>
        <v/>
      </c>
      <c r="AY840" s="53">
        <f>IF(AC840&lt;=0,"",IF(BR840="Aussen","Aussenlager",IF(BR840="-","Nicht im Lift",IF(AH840&gt;=1,"Lift",IF(AH840&lt;=0,"Aussenlager","teilweise")))))</f>
        <v/>
      </c>
      <c r="AZ840" s="53">
        <f>IF(AK840&lt;=0,"",IF(BR840="Aussen","Aussenlager",IF(BR840="-","Nicht im Lift",IF(AP840&gt;=1,"Lift",IF(AP840&lt;=0,"Aussenlager","teilweise")))))</f>
        <v/>
      </c>
      <c r="BA840" s="53">
        <f>IF(AS840&lt;=0,"",IF(BR840="Aussen","Aussenlager",IF(BR840="-","Nicht im Lift",IF(AX840&gt;=1,"Lift",IF(AX840&lt;=0,"Aussenlager","teilweise")))))</f>
        <v/>
      </c>
      <c r="BB840" s="53">
        <f>IF(A840="","",IF(BK840=1,"Neu; ","")&amp;IF(AND(BK840=0,BF840&lt;0),"negativer Bestand (Export "&amp;BF840&amp;"); ","")&amp;IF(I840&lt;=0,"Kein Verbrauch; ","")&amp;IF(BO840=1,"Lose – Fläche geschätzt; ","")&amp;IF(G840&gt;AM840,"Überbestand "&amp;ROUND(G840-AM840,0)&amp;" Stk / CHF "&amp;ROUND((G840-AM840)*F840,0)&amp;"; ","")&amp;IF(AND(BT840=1,BU840&lt;BV840),"MAX &lt; MB+LG; ","")&amp;IF(AND(BZ840&gt;0,BY840*10&gt;BZ840),"zu hoch für Tablar; ","")&amp;IF(AND(BK840=0,OR(BT840=1,V840&lt;&gt;"",S840&lt;&gt;"",T840&lt;&gt;"",W840&lt;&gt;"")),"manuell übersteuert; ","")&amp;IF(AND(BO840=0,Q840=0),"Gebinde unbekannt; ","")&amp;IF(AND(BO840=0,N(T840)&lt;=0,N(P840)&lt;=0),"Menge pro Gebinde fehlt (Ist = 1 Gebinde); ","")&amp;BJ840)</f>
        <v/>
      </c>
      <c r="BC840" s="53" t="n"/>
      <c r="BD840" s="53" t="n"/>
      <c r="BE840" s="61" t="n"/>
      <c r="BF840" s="55" t="n">
        <v>-219</v>
      </c>
      <c r="BG840" s="55" t="n">
        <v>652</v>
      </c>
      <c r="BH840" s="54" t="n">
        <v>-13.14</v>
      </c>
      <c r="BI840" s="55" t="n">
        <v>94</v>
      </c>
      <c r="BJ840" s="53" t="inlineStr">
        <is>
          <t>Neu</t>
        </is>
      </c>
      <c r="BK840" s="58" t="n">
        <v>0</v>
      </c>
      <c r="BL840" s="58" t="n">
        <v>840</v>
      </c>
      <c r="BM840" s="53">
        <f>IF(S840&lt;&gt;"",UPPER(TRIM(S840)),IF(O840="","LOSE",O840))</f>
        <v/>
      </c>
      <c r="BN840" s="55">
        <f>IF(BM840="LOSE",1,IF(N(T840)&gt;0,T840,IF(N(P840)&gt;0,P840,MAX(1,G840))))</f>
        <v/>
      </c>
      <c r="BO840" s="58">
        <f>IF(BM840="LOSE",1,0)</f>
        <v/>
      </c>
      <c r="BP840" s="64">
        <f>IF(BO840=0,0,IF(N(R840)&gt;0,R840,IFERROR(VLOOKUP(D840,Parameter!$A$35:$C$64,3,0)+0,0)))</f>
        <v/>
      </c>
      <c r="BQ840" s="53">
        <f>IF(V840&lt;&gt;"",V840,U840)</f>
        <v/>
      </c>
      <c r="BR840" s="53">
        <f>IF(BQ840=1,"L1",IF(OR(BQ840=2,BQ840=3),"L23",IF(BQ840="Aussen","Aussen","-")))</f>
        <v/>
      </c>
      <c r="BS840" s="66">
        <f>IF(N(W840)&gt;0,W840,0)</f>
        <v/>
      </c>
      <c r="BT840" s="58">
        <f>IF(ISNUMBER(Z840),1,0)</f>
        <v/>
      </c>
      <c r="BU840" s="55">
        <f>N(Z840)</f>
        <v/>
      </c>
      <c r="BV840" s="55">
        <f>N(L840)+N(M840)</f>
        <v/>
      </c>
      <c r="BW840" s="55">
        <f>ROUNDUP(G840/BN840,0)</f>
        <v/>
      </c>
      <c r="BX840" s="55">
        <f>ROUNDUP(BU840/BN840,0)</f>
        <v/>
      </c>
      <c r="BY840" s="58">
        <f>IF(BO840=1,0,IFERROR(VLOOKUP(BM840,'Gebinde-Kategorie'!$A$5:$G$45,5,0)+0,0))</f>
        <v/>
      </c>
      <c r="BZ840" s="58">
        <f>IFERROR(IF(OR(BQ840=1,BQ840=2,BQ840=3),N(INDEX(Parameter!$I$5:$I$7,BQ840)),0),0)</f>
        <v/>
      </c>
    </row>
    <row r="841">
      <c r="A841" s="53" t="inlineStr">
        <is>
          <t>100381</t>
        </is>
      </c>
      <c r="B841" s="53" t="inlineStr">
        <is>
          <t>Federring</t>
        </is>
      </c>
      <c r="C841" s="53" t="inlineStr">
        <is>
          <t>F</t>
        </is>
      </c>
      <c r="D841" s="53" t="inlineStr">
        <is>
          <t>KTL</t>
        </is>
      </c>
      <c r="E841" s="53" t="inlineStr">
        <is>
          <t>C</t>
        </is>
      </c>
      <c r="F841" s="54" t="n">
        <v>0.02</v>
      </c>
      <c r="G841" s="55">
        <f>MAX(0,IF(Parameter!$B$20="Jahresanfang 2025 + Export",BG841+BF841,BF841))</f>
        <v/>
      </c>
      <c r="H841" s="55">
        <f>G841*F841</f>
        <v/>
      </c>
      <c r="I841" s="55">
        <f>BI841*Parameter!$B$18</f>
        <v/>
      </c>
      <c r="J841" s="56" t="n">
        <v>837</v>
      </c>
      <c r="K841" s="57" t="n">
        <v>0.3596176821983273</v>
      </c>
      <c r="L841" s="55" t="n">
        <v>17</v>
      </c>
      <c r="M841" s="55" t="n">
        <v>300</v>
      </c>
      <c r="N841" s="58" t="n">
        <v>21</v>
      </c>
      <c r="O841" s="53" t="inlineStr">
        <is>
          <t>S21</t>
        </is>
      </c>
      <c r="P841" s="55" t="n">
        <v>1000</v>
      </c>
      <c r="Q841" s="59">
        <f>IF(BO841=1,0,IFERROR(VLOOKUP(BM841,'Gebinde-Kategorie'!$A$5:$G$45,6,0)+0,0))</f>
        <v/>
      </c>
      <c r="R841" s="60" t="n"/>
      <c r="S841" s="61" t="n"/>
      <c r="T841" s="61" t="n"/>
      <c r="U841" s="53">
        <f>IF(A841="","",IF(IFERROR(VLOOKUP(D841,Parameter!$A$35:$C$64,2,0),"Nein")="2+3",IF(ISNUMBER(SEARCH("grosser Artikel",BJ841)),2,IFERROR(VLOOKUP(BM841,Parameter!$F$35:$G$64,2,0),2)),IF(OR(IFERROR(VLOOKUP(D841,Parameter!$A$35:$C$64,2,0),"Nein")="Nein",IFERROR(VLOOKUP(D841,Parameter!$A$35:$C$64,2,0),"Nein")=""),"-",VLOOKUP(D841,Parameter!$A$35:$C$64,2,0))))</f>
        <v/>
      </c>
      <c r="V841" s="61" t="n"/>
      <c r="W841" s="62" t="n"/>
      <c r="X841" s="55">
        <f>AM841</f>
        <v/>
      </c>
      <c r="Y841" s="55">
        <f>MAX(AM841,G841)</f>
        <v/>
      </c>
      <c r="Z841" s="63" t="n"/>
      <c r="AA841" s="55">
        <f>IF(LEFT(Cockpit!$C$5,1)="A",G841,IF(BT841=1,BU841,IF(LEFT(Cockpit!$C$5,1)="B",AE841,MAX(AE841,G841))))</f>
        <v/>
      </c>
      <c r="AB841" s="55">
        <f>IF(BO841=1,0,ROUNDUP(AA841/BN841,0))</f>
        <v/>
      </c>
      <c r="AC841" s="64">
        <f>IF(BO841=1,IF(AA841&lt;=0,0,BP841*MAX(1,IF(G841&gt;0,AA841/G841,1))),AB841*Q841)</f>
        <v/>
      </c>
      <c r="AD841" s="55">
        <f>AA841*F841</f>
        <v/>
      </c>
      <c r="AE841" s="55">
        <f>ROUNDUP(MAX(I841/IF(BS841&gt;0,BS841,MAX(0.1,N(Cockpit!$C$6))),BV841)/BN841,0)*BN841</f>
        <v/>
      </c>
      <c r="AF841" s="56">
        <f>IF(AC841&gt;0,I841/AC841,-1)</f>
        <v/>
      </c>
      <c r="AG841" s="56">
        <f>IF(AND(OR(BR841="L1",BR841="L23"),AC841&gt;0),SUMIFS($AC$7:$AC$1570,$BR$7:$BR$1570,BR841,$AF$7:$AF$1570,"&gt;"&amp;AF841)+SUMIFS($AC$7:$AC$1570,$BR$7:$BR$1570,BR841,$AF$7:$AF$1570,AF841,$BL$7:$BL$1570,"&lt;="&amp;BL841),"")</f>
        <v/>
      </c>
      <c r="AH841" s="65">
        <f>IF(AG841="",0,MAX(0,MIN(1,(IF(BR841="L1",Parameter!$K$5,Parameter!$K$6+Parameter!$K$7)-(AG841-AC841))/AC841)))</f>
        <v/>
      </c>
      <c r="AI841" s="55">
        <f>IF(LEFT(Cockpit!$I$5,1)="A",G841,IF(BT841=1,BU841,IF(LEFT(Cockpit!$I$5,1)="B",AM841,MAX(AM841,G841))))</f>
        <v/>
      </c>
      <c r="AJ841" s="55">
        <f>IF(BO841=1,0,ROUNDUP(AI841/BN841,0))</f>
        <v/>
      </c>
      <c r="AK841" s="64">
        <f>IF(BO841=1,IF(AI841&lt;=0,0,BP841*MAX(1,IF(G841&gt;0,AI841/G841,1))),AJ841*Q841)</f>
        <v/>
      </c>
      <c r="AL841" s="55">
        <f>AI841*F841</f>
        <v/>
      </c>
      <c r="AM841" s="55">
        <f>ROUNDUP(MAX(I841/IF(BS841&gt;0,BS841,MAX(0.1,N(Cockpit!$I$6))),BV841)/BN841,0)*BN841</f>
        <v/>
      </c>
      <c r="AN841" s="56">
        <f>IF(AK841&gt;0,I841/AK841,-1)</f>
        <v/>
      </c>
      <c r="AO841" s="56">
        <f>IF(AND(OR(BR841="L1",BR841="L23"),AK841&gt;0),SUMIFS($AK$7:$AK$1570,$BR$7:$BR$1570,BR841,$AN$7:$AN$1570,"&gt;"&amp;AN841)+SUMIFS($AK$7:$AK$1570,$BR$7:$BR$1570,BR841,$AN$7:$AN$1570,AN841,$BL$7:$BL$1570,"&lt;="&amp;BL841),"")</f>
        <v/>
      </c>
      <c r="AP841" s="65">
        <f>IF(AO841="",0,MAX(0,MIN(1,(IF(BR841="L1",Parameter!$K$5,Parameter!$K$6+Parameter!$K$7)-(AO841-AK841))/AK841)))</f>
        <v/>
      </c>
      <c r="AQ841" s="55">
        <f>IF(LEFT(Cockpit!$O$5,1)="A",G841,IF(BT841=1,BU841,IF(LEFT(Cockpit!$O$5,1)="B",AU841,MAX(AU841,G841))))</f>
        <v/>
      </c>
      <c r="AR841" s="55">
        <f>IF(BO841=1,0,ROUNDUP(AQ841/BN841,0))</f>
        <v/>
      </c>
      <c r="AS841" s="64">
        <f>IF(BO841=1,IF(AQ841&lt;=0,0,BP841*MAX(1,IF(G841&gt;0,AQ841/G841,1))),AR841*Q841)</f>
        <v/>
      </c>
      <c r="AT841" s="55">
        <f>AQ841*F841</f>
        <v/>
      </c>
      <c r="AU841" s="55">
        <f>ROUNDUP(MAX(I841/IF(BS841&gt;0,BS841,MAX(0.1,N(Cockpit!$O$6))),BV841)/BN841,0)*BN841</f>
        <v/>
      </c>
      <c r="AV841" s="56">
        <f>IF(AS841&gt;0,I841/AS841,-1)</f>
        <v/>
      </c>
      <c r="AW841" s="56">
        <f>IF(AND(OR(BR841="L1",BR841="L23"),AS841&gt;0),SUMIFS($AS$7:$AS$1570,$BR$7:$BR$1570,BR841,$AV$7:$AV$1570,"&gt;"&amp;AV841)+SUMIFS($AS$7:$AS$1570,$BR$7:$BR$1570,BR841,$AV$7:$AV$1570,AV841,$BL$7:$BL$1570,"&lt;="&amp;BL841),"")</f>
        <v/>
      </c>
      <c r="AX841" s="65">
        <f>IF(AW841="",0,MAX(0,MIN(1,(IF(BR841="L1",Parameter!$K$5,Parameter!$K$6+Parameter!$K$7)-(AW841-AS841))/AS841)))</f>
        <v/>
      </c>
      <c r="AY841" s="53">
        <f>IF(AC841&lt;=0,"",IF(BR841="Aussen","Aussenlager",IF(BR841="-","Nicht im Lift",IF(AH841&gt;=1,"Lift",IF(AH841&lt;=0,"Aussenlager","teilweise")))))</f>
        <v/>
      </c>
      <c r="AZ841" s="53">
        <f>IF(AK841&lt;=0,"",IF(BR841="Aussen","Aussenlager",IF(BR841="-","Nicht im Lift",IF(AP841&gt;=1,"Lift",IF(AP841&lt;=0,"Aussenlager","teilweise")))))</f>
        <v/>
      </c>
      <c r="BA841" s="53">
        <f>IF(AS841&lt;=0,"",IF(BR841="Aussen","Aussenlager",IF(BR841="-","Nicht im Lift",IF(AX841&gt;=1,"Lift",IF(AX841&lt;=0,"Aussenlager","teilweise")))))</f>
        <v/>
      </c>
      <c r="BB841" s="53">
        <f>IF(A841="","",IF(BK841=1,"Neu; ","")&amp;IF(AND(BK841=0,BF841&lt;0),"negativer Bestand (Export "&amp;BF841&amp;"); ","")&amp;IF(I841&lt;=0,"Kein Verbrauch; ","")&amp;IF(BO841=1,"Lose – Fläche geschätzt; ","")&amp;IF(G841&gt;AM841,"Überbestand "&amp;ROUND(G841-AM841,0)&amp;" Stk / CHF "&amp;ROUND((G841-AM841)*F841,0)&amp;"; ","")&amp;IF(AND(BT841=1,BU841&lt;BV841),"MAX &lt; MB+LG; ","")&amp;IF(AND(BZ841&gt;0,BY841*10&gt;BZ841),"zu hoch für Tablar; ","")&amp;IF(AND(BK841=0,OR(BT841=1,V841&lt;&gt;"",S841&lt;&gt;"",T841&lt;&gt;"",W841&lt;&gt;"")),"manuell übersteuert; ","")&amp;IF(AND(BO841=0,Q841=0),"Gebinde unbekannt; ","")&amp;IF(AND(BO841=0,N(T841)&lt;=0,N(P841)&lt;=0),"Menge pro Gebinde fehlt (Ist = 1 Gebinde); ","")&amp;BJ841)</f>
        <v/>
      </c>
      <c r="BC841" s="53" t="n"/>
      <c r="BD841" s="53" t="n"/>
      <c r="BE841" s="61" t="n"/>
      <c r="BF841" s="55" t="n">
        <v>-1393</v>
      </c>
      <c r="BG841" s="55" t="n">
        <v>1454</v>
      </c>
      <c r="BH841" s="54" t="n">
        <v>-13.32000000000001</v>
      </c>
      <c r="BI841" s="55" t="n">
        <v>301</v>
      </c>
      <c r="BJ841" s="53" t="inlineStr"/>
      <c r="BK841" s="58" t="n">
        <v>0</v>
      </c>
      <c r="BL841" s="58" t="n">
        <v>841</v>
      </c>
      <c r="BM841" s="53">
        <f>IF(S841&lt;&gt;"",UPPER(TRIM(S841)),IF(O841="","LOSE",O841))</f>
        <v/>
      </c>
      <c r="BN841" s="55">
        <f>IF(BM841="LOSE",1,IF(N(T841)&gt;0,T841,IF(N(P841)&gt;0,P841,MAX(1,G841))))</f>
        <v/>
      </c>
      <c r="BO841" s="58">
        <f>IF(BM841="LOSE",1,0)</f>
        <v/>
      </c>
      <c r="BP841" s="64">
        <f>IF(BO841=0,0,IF(N(R841)&gt;0,R841,IFERROR(VLOOKUP(D841,Parameter!$A$35:$C$64,3,0)+0,0)))</f>
        <v/>
      </c>
      <c r="BQ841" s="53">
        <f>IF(V841&lt;&gt;"",V841,U841)</f>
        <v/>
      </c>
      <c r="BR841" s="53">
        <f>IF(BQ841=1,"L1",IF(OR(BQ841=2,BQ841=3),"L23",IF(BQ841="Aussen","Aussen","-")))</f>
        <v/>
      </c>
      <c r="BS841" s="66">
        <f>IF(N(W841)&gt;0,W841,0)</f>
        <v/>
      </c>
      <c r="BT841" s="58">
        <f>IF(ISNUMBER(Z841),1,0)</f>
        <v/>
      </c>
      <c r="BU841" s="55">
        <f>N(Z841)</f>
        <v/>
      </c>
      <c r="BV841" s="55">
        <f>N(L841)+N(M841)</f>
        <v/>
      </c>
      <c r="BW841" s="55">
        <f>ROUNDUP(G841/BN841,0)</f>
        <v/>
      </c>
      <c r="BX841" s="55">
        <f>ROUNDUP(BU841/BN841,0)</f>
        <v/>
      </c>
      <c r="BY841" s="58">
        <f>IF(BO841=1,0,IFERROR(VLOOKUP(BM841,'Gebinde-Kategorie'!$A$5:$G$45,5,0)+0,0))</f>
        <v/>
      </c>
      <c r="BZ841" s="58">
        <f>IFERROR(IF(OR(BQ841=1,BQ841=2,BQ841=3),N(INDEX(Parameter!$I$5:$I$7,BQ841)),0),0)</f>
        <v/>
      </c>
    </row>
    <row r="842">
      <c r="A842" s="53" t="inlineStr">
        <is>
          <t>100041</t>
        </is>
      </c>
      <c r="B842" s="53" t="inlineStr">
        <is>
          <t>Sicherungsscheibe</t>
        </is>
      </c>
      <c r="C842" s="53" t="inlineStr">
        <is>
          <t>F</t>
        </is>
      </c>
      <c r="D842" s="53" t="inlineStr">
        <is>
          <t>KTL</t>
        </is>
      </c>
      <c r="E842" s="53" t="inlineStr">
        <is>
          <t>C</t>
        </is>
      </c>
      <c r="F842" s="54" t="n">
        <v>0.02</v>
      </c>
      <c r="G842" s="55">
        <f>MAX(0,IF(Parameter!$B$20="Jahresanfang 2025 + Export",BG842+BF842,BF842))</f>
        <v/>
      </c>
      <c r="H842" s="55">
        <f>G842*F842</f>
        <v/>
      </c>
      <c r="I842" s="55">
        <f>BI842*Parameter!$B$18</f>
        <v/>
      </c>
      <c r="J842" s="56" t="n">
        <v>2330.5</v>
      </c>
      <c r="K842" s="57" t="n">
        <v>3.07187298862905</v>
      </c>
      <c r="L842" s="55" t="n">
        <v>417</v>
      </c>
      <c r="M842" s="55" t="n">
        <v>2000</v>
      </c>
      <c r="N842" s="58" t="n">
        <v>21</v>
      </c>
      <c r="O842" s="53" t="inlineStr">
        <is>
          <t>S41</t>
        </is>
      </c>
      <c r="P842" s="55" t="n">
        <v>3706</v>
      </c>
      <c r="Q842" s="59">
        <f>IF(BO842=1,0,IFERROR(VLOOKUP(BM842,'Gebinde-Kategorie'!$A$5:$G$45,6,0)+0,0))</f>
        <v/>
      </c>
      <c r="R842" s="60" t="n"/>
      <c r="S842" s="61" t="n"/>
      <c r="T842" s="61" t="n"/>
      <c r="U842" s="53">
        <f>IF(A842="","",IF(IFERROR(VLOOKUP(D842,Parameter!$A$35:$C$64,2,0),"Nein")="2+3",IF(ISNUMBER(SEARCH("grosser Artikel",BJ842)),2,IFERROR(VLOOKUP(BM842,Parameter!$F$35:$G$64,2,0),2)),IF(OR(IFERROR(VLOOKUP(D842,Parameter!$A$35:$C$64,2,0),"Nein")="Nein",IFERROR(VLOOKUP(D842,Parameter!$A$35:$C$64,2,0),"Nein")=""),"-",VLOOKUP(D842,Parameter!$A$35:$C$64,2,0))))</f>
        <v/>
      </c>
      <c r="V842" s="61" t="n"/>
      <c r="W842" s="62" t="n"/>
      <c r="X842" s="55">
        <f>AM842</f>
        <v/>
      </c>
      <c r="Y842" s="55">
        <f>MAX(AM842,G842)</f>
        <v/>
      </c>
      <c r="Z842" s="63" t="n"/>
      <c r="AA842" s="55">
        <f>IF(LEFT(Cockpit!$C$5,1)="A",G842,IF(BT842=1,BU842,IF(LEFT(Cockpit!$C$5,1)="B",AE842,MAX(AE842,G842))))</f>
        <v/>
      </c>
      <c r="AB842" s="55">
        <f>IF(BO842=1,0,ROUNDUP(AA842/BN842,0))</f>
        <v/>
      </c>
      <c r="AC842" s="64">
        <f>IF(BO842=1,IF(AA842&lt;=0,0,BP842*MAX(1,IF(G842&gt;0,AA842/G842,1))),AB842*Q842)</f>
        <v/>
      </c>
      <c r="AD842" s="55">
        <f>AA842*F842</f>
        <v/>
      </c>
      <c r="AE842" s="55">
        <f>ROUNDUP(MAX(I842/IF(BS842&gt;0,BS842,MAX(0.1,N(Cockpit!$C$6))),BV842)/BN842,0)*BN842</f>
        <v/>
      </c>
      <c r="AF842" s="56">
        <f>IF(AC842&gt;0,I842/AC842,-1)</f>
        <v/>
      </c>
      <c r="AG842" s="56">
        <f>IF(AND(OR(BR842="L1",BR842="L23"),AC842&gt;0),SUMIFS($AC$7:$AC$1570,$BR$7:$BR$1570,BR842,$AF$7:$AF$1570,"&gt;"&amp;AF842)+SUMIFS($AC$7:$AC$1570,$BR$7:$BR$1570,BR842,$AF$7:$AF$1570,AF842,$BL$7:$BL$1570,"&lt;="&amp;BL842),"")</f>
        <v/>
      </c>
      <c r="AH842" s="65">
        <f>IF(AG842="",0,MAX(0,MIN(1,(IF(BR842="L1",Parameter!$K$5,Parameter!$K$6+Parameter!$K$7)-(AG842-AC842))/AC842)))</f>
        <v/>
      </c>
      <c r="AI842" s="55">
        <f>IF(LEFT(Cockpit!$I$5,1)="A",G842,IF(BT842=1,BU842,IF(LEFT(Cockpit!$I$5,1)="B",AM842,MAX(AM842,G842))))</f>
        <v/>
      </c>
      <c r="AJ842" s="55">
        <f>IF(BO842=1,0,ROUNDUP(AI842/BN842,0))</f>
        <v/>
      </c>
      <c r="AK842" s="64">
        <f>IF(BO842=1,IF(AI842&lt;=0,0,BP842*MAX(1,IF(G842&gt;0,AI842/G842,1))),AJ842*Q842)</f>
        <v/>
      </c>
      <c r="AL842" s="55">
        <f>AI842*F842</f>
        <v/>
      </c>
      <c r="AM842" s="55">
        <f>ROUNDUP(MAX(I842/IF(BS842&gt;0,BS842,MAX(0.1,N(Cockpit!$I$6))),BV842)/BN842,0)*BN842</f>
        <v/>
      </c>
      <c r="AN842" s="56">
        <f>IF(AK842&gt;0,I842/AK842,-1)</f>
        <v/>
      </c>
      <c r="AO842" s="56">
        <f>IF(AND(OR(BR842="L1",BR842="L23"),AK842&gt;0),SUMIFS($AK$7:$AK$1570,$BR$7:$BR$1570,BR842,$AN$7:$AN$1570,"&gt;"&amp;AN842)+SUMIFS($AK$7:$AK$1570,$BR$7:$BR$1570,BR842,$AN$7:$AN$1570,AN842,$BL$7:$BL$1570,"&lt;="&amp;BL842),"")</f>
        <v/>
      </c>
      <c r="AP842" s="65">
        <f>IF(AO842="",0,MAX(0,MIN(1,(IF(BR842="L1",Parameter!$K$5,Parameter!$K$6+Parameter!$K$7)-(AO842-AK842))/AK842)))</f>
        <v/>
      </c>
      <c r="AQ842" s="55">
        <f>IF(LEFT(Cockpit!$O$5,1)="A",G842,IF(BT842=1,BU842,IF(LEFT(Cockpit!$O$5,1)="B",AU842,MAX(AU842,G842))))</f>
        <v/>
      </c>
      <c r="AR842" s="55">
        <f>IF(BO842=1,0,ROUNDUP(AQ842/BN842,0))</f>
        <v/>
      </c>
      <c r="AS842" s="64">
        <f>IF(BO842=1,IF(AQ842&lt;=0,0,BP842*MAX(1,IF(G842&gt;0,AQ842/G842,1))),AR842*Q842)</f>
        <v/>
      </c>
      <c r="AT842" s="55">
        <f>AQ842*F842</f>
        <v/>
      </c>
      <c r="AU842" s="55">
        <f>ROUNDUP(MAX(I842/IF(BS842&gt;0,BS842,MAX(0.1,N(Cockpit!$O$6))),BV842)/BN842,0)*BN842</f>
        <v/>
      </c>
      <c r="AV842" s="56">
        <f>IF(AS842&gt;0,I842/AS842,-1)</f>
        <v/>
      </c>
      <c r="AW842" s="56">
        <f>IF(AND(OR(BR842="L1",BR842="L23"),AS842&gt;0),SUMIFS($AS$7:$AS$1570,$BR$7:$BR$1570,BR842,$AV$7:$AV$1570,"&gt;"&amp;AV842)+SUMIFS($AS$7:$AS$1570,$BR$7:$BR$1570,BR842,$AV$7:$AV$1570,AV842,$BL$7:$BL$1570,"&lt;="&amp;BL842),"")</f>
        <v/>
      </c>
      <c r="AX842" s="65">
        <f>IF(AW842="",0,MAX(0,MIN(1,(IF(BR842="L1",Parameter!$K$5,Parameter!$K$6+Parameter!$K$7)-(AW842-AS842))/AS842)))</f>
        <v/>
      </c>
      <c r="AY842" s="53">
        <f>IF(AC842&lt;=0,"",IF(BR842="Aussen","Aussenlager",IF(BR842="-","Nicht im Lift",IF(AH842&gt;=1,"Lift",IF(AH842&lt;=0,"Aussenlager","teilweise")))))</f>
        <v/>
      </c>
      <c r="AZ842" s="53">
        <f>IF(AK842&lt;=0,"",IF(BR842="Aussen","Aussenlager",IF(BR842="-","Nicht im Lift",IF(AP842&gt;=1,"Lift",IF(AP842&lt;=0,"Aussenlager","teilweise")))))</f>
        <v/>
      </c>
      <c r="BA842" s="53">
        <f>IF(AS842&lt;=0,"",IF(BR842="Aussen","Aussenlager",IF(BR842="-","Nicht im Lift",IF(AX842&gt;=1,"Lift",IF(AX842&lt;=0,"Aussenlager","teilweise")))))</f>
        <v/>
      </c>
      <c r="BB842" s="53">
        <f>IF(A842="","",IF(BK842=1,"Neu; ","")&amp;IF(AND(BK842=0,BF842&lt;0),"negativer Bestand (Export "&amp;BF842&amp;"); ","")&amp;IF(I842&lt;=0,"Kein Verbrauch; ","")&amp;IF(BO842=1,"Lose – Fläche geschätzt; ","")&amp;IF(G842&gt;AM842,"Überbestand "&amp;ROUND(G842-AM842,0)&amp;" Stk / CHF "&amp;ROUND((G842-AM842)*F842,0)&amp;"; ","")&amp;IF(AND(BT842=1,BU842&lt;BV842),"MAX &lt; MB+LG; ","")&amp;IF(AND(BZ842&gt;0,BY842*10&gt;BZ842),"zu hoch für Tablar; ","")&amp;IF(AND(BK842=0,OR(BT842=1,V842&lt;&gt;"",S842&lt;&gt;"",T842&lt;&gt;"",W842&lt;&gt;"")),"manuell übersteuert; ","")&amp;IF(AND(BO842=0,Q842=0),"Gebinde unbekannt; ","")&amp;IF(AND(BO842=0,N(T842)&lt;=0,N(P842)&lt;=0),"Menge pro Gebinde fehlt (Ist = 1 Gebinde); ","")&amp;BJ842)</f>
        <v/>
      </c>
      <c r="BC842" s="53" t="n"/>
      <c r="BD842" s="53" t="n"/>
      <c r="BE842" s="61" t="n"/>
      <c r="BF842" s="55" t="n">
        <v>-703</v>
      </c>
      <c r="BG842" s="55" t="n">
        <v>2200</v>
      </c>
      <c r="BH842" s="54" t="n">
        <v>-14.05999999999985</v>
      </c>
      <c r="BI842" s="55" t="n">
        <v>7159</v>
      </c>
      <c r="BJ842" s="53" t="inlineStr"/>
      <c r="BK842" s="58" t="n">
        <v>0</v>
      </c>
      <c r="BL842" s="58" t="n">
        <v>842</v>
      </c>
      <c r="BM842" s="53">
        <f>IF(S842&lt;&gt;"",UPPER(TRIM(S842)),IF(O842="","LOSE",O842))</f>
        <v/>
      </c>
      <c r="BN842" s="55">
        <f>IF(BM842="LOSE",1,IF(N(T842)&gt;0,T842,IF(N(P842)&gt;0,P842,MAX(1,G842))))</f>
        <v/>
      </c>
      <c r="BO842" s="58">
        <f>IF(BM842="LOSE",1,0)</f>
        <v/>
      </c>
      <c r="BP842" s="64">
        <f>IF(BO842=0,0,IF(N(R842)&gt;0,R842,IFERROR(VLOOKUP(D842,Parameter!$A$35:$C$64,3,0)+0,0)))</f>
        <v/>
      </c>
      <c r="BQ842" s="53">
        <f>IF(V842&lt;&gt;"",V842,U842)</f>
        <v/>
      </c>
      <c r="BR842" s="53">
        <f>IF(BQ842=1,"L1",IF(OR(BQ842=2,BQ842=3),"L23",IF(BQ842="Aussen","Aussen","-")))</f>
        <v/>
      </c>
      <c r="BS842" s="66">
        <f>IF(N(W842)&gt;0,W842,0)</f>
        <v/>
      </c>
      <c r="BT842" s="58">
        <f>IF(ISNUMBER(Z842),1,0)</f>
        <v/>
      </c>
      <c r="BU842" s="55">
        <f>N(Z842)</f>
        <v/>
      </c>
      <c r="BV842" s="55">
        <f>N(L842)+N(M842)</f>
        <v/>
      </c>
      <c r="BW842" s="55">
        <f>ROUNDUP(G842/BN842,0)</f>
        <v/>
      </c>
      <c r="BX842" s="55">
        <f>ROUNDUP(BU842/BN842,0)</f>
        <v/>
      </c>
      <c r="BY842" s="58">
        <f>IF(BO842=1,0,IFERROR(VLOOKUP(BM842,'Gebinde-Kategorie'!$A$5:$G$45,5,0)+0,0))</f>
        <v/>
      </c>
      <c r="BZ842" s="58">
        <f>IFERROR(IF(OR(BQ842=1,BQ842=2,BQ842=3),N(INDEX(Parameter!$I$5:$I$7,BQ842)),0),0)</f>
        <v/>
      </c>
    </row>
    <row r="843">
      <c r="A843" s="53" t="inlineStr">
        <is>
          <t>108520</t>
        </is>
      </c>
      <c r="B843" s="53" t="inlineStr">
        <is>
          <t>O-Ring</t>
        </is>
      </c>
      <c r="C843" s="53" t="inlineStr">
        <is>
          <t>F</t>
        </is>
      </c>
      <c r="D843" s="53" t="inlineStr">
        <is>
          <t>KTL</t>
        </is>
      </c>
      <c r="E843" s="53" t="inlineStr">
        <is>
          <t>C</t>
        </is>
      </c>
      <c r="F843" s="54" t="n">
        <v>0.11</v>
      </c>
      <c r="G843" s="55">
        <f>MAX(0,IF(Parameter!$B$20="Jahresanfang 2025 + Export",BG843+BF843,BF843))</f>
        <v/>
      </c>
      <c r="H843" s="55">
        <f>G843*F843</f>
        <v/>
      </c>
      <c r="I843" s="55">
        <f>BI843*Parameter!$B$18</f>
        <v/>
      </c>
      <c r="J843" s="56" t="n">
        <v>108</v>
      </c>
      <c r="K843" s="57" t="n">
        <v>0.8611111111111112</v>
      </c>
      <c r="L843" s="55" t="n">
        <v>4</v>
      </c>
      <c r="M843" s="55" t="n">
        <v>95</v>
      </c>
      <c r="N843" s="58" t="n">
        <v>14</v>
      </c>
      <c r="O843" s="53" t="inlineStr">
        <is>
          <t>S22</t>
        </is>
      </c>
      <c r="P843" s="55" t="n">
        <v>131</v>
      </c>
      <c r="Q843" s="59">
        <f>IF(BO843=1,0,IFERROR(VLOOKUP(BM843,'Gebinde-Kategorie'!$A$5:$G$45,6,0)+0,0))</f>
        <v/>
      </c>
      <c r="R843" s="60" t="n"/>
      <c r="S843" s="61" t="n"/>
      <c r="T843" s="61" t="n"/>
      <c r="U843" s="53">
        <f>IF(A843="","",IF(IFERROR(VLOOKUP(D843,Parameter!$A$35:$C$64,2,0),"Nein")="2+3",IF(ISNUMBER(SEARCH("grosser Artikel",BJ843)),2,IFERROR(VLOOKUP(BM843,Parameter!$F$35:$G$64,2,0),2)),IF(OR(IFERROR(VLOOKUP(D843,Parameter!$A$35:$C$64,2,0),"Nein")="Nein",IFERROR(VLOOKUP(D843,Parameter!$A$35:$C$64,2,0),"Nein")=""),"-",VLOOKUP(D843,Parameter!$A$35:$C$64,2,0))))</f>
        <v/>
      </c>
      <c r="V843" s="61" t="n"/>
      <c r="W843" s="62" t="n"/>
      <c r="X843" s="55">
        <f>AM843</f>
        <v/>
      </c>
      <c r="Y843" s="55">
        <f>MAX(AM843,G843)</f>
        <v/>
      </c>
      <c r="Z843" s="63" t="n"/>
      <c r="AA843" s="55">
        <f>IF(LEFT(Cockpit!$C$5,1)="A",G843,IF(BT843=1,BU843,IF(LEFT(Cockpit!$C$5,1)="B",AE843,MAX(AE843,G843))))</f>
        <v/>
      </c>
      <c r="AB843" s="55">
        <f>IF(BO843=1,0,ROUNDUP(AA843/BN843,0))</f>
        <v/>
      </c>
      <c r="AC843" s="64">
        <f>IF(BO843=1,IF(AA843&lt;=0,0,BP843*MAX(1,IF(G843&gt;0,AA843/G843,1))),AB843*Q843)</f>
        <v/>
      </c>
      <c r="AD843" s="55">
        <f>AA843*F843</f>
        <v/>
      </c>
      <c r="AE843" s="55">
        <f>ROUNDUP(MAX(I843/IF(BS843&gt;0,BS843,MAX(0.1,N(Cockpit!$C$6))),BV843)/BN843,0)*BN843</f>
        <v/>
      </c>
      <c r="AF843" s="56">
        <f>IF(AC843&gt;0,I843/AC843,-1)</f>
        <v/>
      </c>
      <c r="AG843" s="56">
        <f>IF(AND(OR(BR843="L1",BR843="L23"),AC843&gt;0),SUMIFS($AC$7:$AC$1570,$BR$7:$BR$1570,BR843,$AF$7:$AF$1570,"&gt;"&amp;AF843)+SUMIFS($AC$7:$AC$1570,$BR$7:$BR$1570,BR843,$AF$7:$AF$1570,AF843,$BL$7:$BL$1570,"&lt;="&amp;BL843),"")</f>
        <v/>
      </c>
      <c r="AH843" s="65">
        <f>IF(AG843="",0,MAX(0,MIN(1,(IF(BR843="L1",Parameter!$K$5,Parameter!$K$6+Parameter!$K$7)-(AG843-AC843))/AC843)))</f>
        <v/>
      </c>
      <c r="AI843" s="55">
        <f>IF(LEFT(Cockpit!$I$5,1)="A",G843,IF(BT843=1,BU843,IF(LEFT(Cockpit!$I$5,1)="B",AM843,MAX(AM843,G843))))</f>
        <v/>
      </c>
      <c r="AJ843" s="55">
        <f>IF(BO843=1,0,ROUNDUP(AI843/BN843,0))</f>
        <v/>
      </c>
      <c r="AK843" s="64">
        <f>IF(BO843=1,IF(AI843&lt;=0,0,BP843*MAX(1,IF(G843&gt;0,AI843/G843,1))),AJ843*Q843)</f>
        <v/>
      </c>
      <c r="AL843" s="55">
        <f>AI843*F843</f>
        <v/>
      </c>
      <c r="AM843" s="55">
        <f>ROUNDUP(MAX(I843/IF(BS843&gt;0,BS843,MAX(0.1,N(Cockpit!$I$6))),BV843)/BN843,0)*BN843</f>
        <v/>
      </c>
      <c r="AN843" s="56">
        <f>IF(AK843&gt;0,I843/AK843,-1)</f>
        <v/>
      </c>
      <c r="AO843" s="56">
        <f>IF(AND(OR(BR843="L1",BR843="L23"),AK843&gt;0),SUMIFS($AK$7:$AK$1570,$BR$7:$BR$1570,BR843,$AN$7:$AN$1570,"&gt;"&amp;AN843)+SUMIFS($AK$7:$AK$1570,$BR$7:$BR$1570,BR843,$AN$7:$AN$1570,AN843,$BL$7:$BL$1570,"&lt;="&amp;BL843),"")</f>
        <v/>
      </c>
      <c r="AP843" s="65">
        <f>IF(AO843="",0,MAX(0,MIN(1,(IF(BR843="L1",Parameter!$K$5,Parameter!$K$6+Parameter!$K$7)-(AO843-AK843))/AK843)))</f>
        <v/>
      </c>
      <c r="AQ843" s="55">
        <f>IF(LEFT(Cockpit!$O$5,1)="A",G843,IF(BT843=1,BU843,IF(LEFT(Cockpit!$O$5,1)="B",AU843,MAX(AU843,G843))))</f>
        <v/>
      </c>
      <c r="AR843" s="55">
        <f>IF(BO843=1,0,ROUNDUP(AQ843/BN843,0))</f>
        <v/>
      </c>
      <c r="AS843" s="64">
        <f>IF(BO843=1,IF(AQ843&lt;=0,0,BP843*MAX(1,IF(G843&gt;0,AQ843/G843,1))),AR843*Q843)</f>
        <v/>
      </c>
      <c r="AT843" s="55">
        <f>AQ843*F843</f>
        <v/>
      </c>
      <c r="AU843" s="55">
        <f>ROUNDUP(MAX(I843/IF(BS843&gt;0,BS843,MAX(0.1,N(Cockpit!$O$6))),BV843)/BN843,0)*BN843</f>
        <v/>
      </c>
      <c r="AV843" s="56">
        <f>IF(AS843&gt;0,I843/AS843,-1)</f>
        <v/>
      </c>
      <c r="AW843" s="56">
        <f>IF(AND(OR(BR843="L1",BR843="L23"),AS843&gt;0),SUMIFS($AS$7:$AS$1570,$BR$7:$BR$1570,BR843,$AV$7:$AV$1570,"&gt;"&amp;AV843)+SUMIFS($AS$7:$AS$1570,$BR$7:$BR$1570,BR843,$AV$7:$AV$1570,AV843,$BL$7:$BL$1570,"&lt;="&amp;BL843),"")</f>
        <v/>
      </c>
      <c r="AX843" s="65">
        <f>IF(AW843="",0,MAX(0,MIN(1,(IF(BR843="L1",Parameter!$K$5,Parameter!$K$6+Parameter!$K$7)-(AW843-AS843))/AS843)))</f>
        <v/>
      </c>
      <c r="AY843" s="53">
        <f>IF(AC843&lt;=0,"",IF(BR843="Aussen","Aussenlager",IF(BR843="-","Nicht im Lift",IF(AH843&gt;=1,"Lift",IF(AH843&lt;=0,"Aussenlager","teilweise")))))</f>
        <v/>
      </c>
      <c r="AZ843" s="53">
        <f>IF(AK843&lt;=0,"",IF(BR843="Aussen","Aussenlager",IF(BR843="-","Nicht im Lift",IF(AP843&gt;=1,"Lift",IF(AP843&lt;=0,"Aussenlager","teilweise")))))</f>
        <v/>
      </c>
      <c r="BA843" s="53">
        <f>IF(AS843&lt;=0,"",IF(BR843="Aussen","Aussenlager",IF(BR843="-","Nicht im Lift",IF(AX843&gt;=1,"Lift",IF(AX843&lt;=0,"Aussenlager","teilweise")))))</f>
        <v/>
      </c>
      <c r="BB843" s="53">
        <f>IF(A843="","",IF(BK843=1,"Neu; ","")&amp;IF(AND(BK843=0,BF843&lt;0),"negativer Bestand (Export "&amp;BF843&amp;"); ","")&amp;IF(I843&lt;=0,"Kein Verbrauch; ","")&amp;IF(BO843=1,"Lose – Fläche geschätzt; ","")&amp;IF(G843&gt;AM843,"Überbestand "&amp;ROUND(G843-AM843,0)&amp;" Stk / CHF "&amp;ROUND((G843-AM843)*F843,0)&amp;"; ","")&amp;IF(AND(BT843=1,BU843&lt;BV843),"MAX &lt; MB+LG; ","")&amp;IF(AND(BZ843&gt;0,BY843*10&gt;BZ843),"zu hoch für Tablar; ","")&amp;IF(AND(BK843=0,OR(BT843=1,V843&lt;&gt;"",S843&lt;&gt;"",T843&lt;&gt;"",W843&lt;&gt;"")),"manuell übersteuert; ","")&amp;IF(AND(BO843=0,Q843=0),"Gebinde unbekannt; ","")&amp;IF(AND(BO843=0,N(T843)&lt;=0,N(P843)&lt;=0),"Menge pro Gebinde fehlt (Ist = 1 Gebinde); ","")&amp;BJ843)</f>
        <v/>
      </c>
      <c r="BC843" s="53" t="n"/>
      <c r="BD843" s="53" t="n"/>
      <c r="BE843" s="61" t="n"/>
      <c r="BF843" s="55" t="n">
        <v>-134</v>
      </c>
      <c r="BG843" s="55" t="n">
        <v>155</v>
      </c>
      <c r="BH843" s="54" t="n">
        <v>-14.74</v>
      </c>
      <c r="BI843" s="55" t="n">
        <v>93</v>
      </c>
      <c r="BJ843" s="53" t="inlineStr">
        <is>
          <t>Neu</t>
        </is>
      </c>
      <c r="BK843" s="58" t="n">
        <v>0</v>
      </c>
      <c r="BL843" s="58" t="n">
        <v>843</v>
      </c>
      <c r="BM843" s="53">
        <f>IF(S843&lt;&gt;"",UPPER(TRIM(S843)),IF(O843="","LOSE",O843))</f>
        <v/>
      </c>
      <c r="BN843" s="55">
        <f>IF(BM843="LOSE",1,IF(N(T843)&gt;0,T843,IF(N(P843)&gt;0,P843,MAX(1,G843))))</f>
        <v/>
      </c>
      <c r="BO843" s="58">
        <f>IF(BM843="LOSE",1,0)</f>
        <v/>
      </c>
      <c r="BP843" s="64">
        <f>IF(BO843=0,0,IF(N(R843)&gt;0,R843,IFERROR(VLOOKUP(D843,Parameter!$A$35:$C$64,3,0)+0,0)))</f>
        <v/>
      </c>
      <c r="BQ843" s="53">
        <f>IF(V843&lt;&gt;"",V843,U843)</f>
        <v/>
      </c>
      <c r="BR843" s="53">
        <f>IF(BQ843=1,"L1",IF(OR(BQ843=2,BQ843=3),"L23",IF(BQ843="Aussen","Aussen","-")))</f>
        <v/>
      </c>
      <c r="BS843" s="66">
        <f>IF(N(W843)&gt;0,W843,0)</f>
        <v/>
      </c>
      <c r="BT843" s="58">
        <f>IF(ISNUMBER(Z843),1,0)</f>
        <v/>
      </c>
      <c r="BU843" s="55">
        <f>N(Z843)</f>
        <v/>
      </c>
      <c r="BV843" s="55">
        <f>N(L843)+N(M843)</f>
        <v/>
      </c>
      <c r="BW843" s="55">
        <f>ROUNDUP(G843/BN843,0)</f>
        <v/>
      </c>
      <c r="BX843" s="55">
        <f>ROUNDUP(BU843/BN843,0)</f>
        <v/>
      </c>
      <c r="BY843" s="58">
        <f>IF(BO843=1,0,IFERROR(VLOOKUP(BM843,'Gebinde-Kategorie'!$A$5:$G$45,5,0)+0,0))</f>
        <v/>
      </c>
      <c r="BZ843" s="58">
        <f>IFERROR(IF(OR(BQ843=1,BQ843=2,BQ843=3),N(INDEX(Parameter!$I$5:$I$7,BQ843)),0),0)</f>
        <v/>
      </c>
    </row>
    <row r="844">
      <c r="A844" s="53" t="inlineStr">
        <is>
          <t>001135</t>
        </is>
      </c>
      <c r="B844" s="53" t="inlineStr">
        <is>
          <t>Schraubendreher Einsatz SPAX T-Plus</t>
        </is>
      </c>
      <c r="C844" s="53" t="inlineStr">
        <is>
          <t>F</t>
        </is>
      </c>
      <c r="D844" s="53" t="inlineStr">
        <is>
          <t>KTL</t>
        </is>
      </c>
      <c r="E844" s="53" t="inlineStr">
        <is>
          <t>C</t>
        </is>
      </c>
      <c r="F844" s="54" t="n">
        <v>2.97</v>
      </c>
      <c r="G844" s="55">
        <f>MAX(0,IF(Parameter!$B$20="Jahresanfang 2025 + Export",BG844+BF844,BF844))</f>
        <v/>
      </c>
      <c r="H844" s="55">
        <f>G844*F844</f>
        <v/>
      </c>
      <c r="I844" s="55">
        <f>BI844*Parameter!$B$18</f>
        <v/>
      </c>
      <c r="J844" s="56" t="n">
        <v>12</v>
      </c>
      <c r="K844" s="57" t="n">
        <v>0</v>
      </c>
      <c r="L844" s="55" t="n">
        <v>0</v>
      </c>
      <c r="M844" s="55" t="n">
        <v>1</v>
      </c>
      <c r="N844" s="58" t="n">
        <v>14</v>
      </c>
      <c r="O844" s="53" t="inlineStr">
        <is>
          <t>S21</t>
        </is>
      </c>
      <c r="P844" s="55" t="n">
        <v>7</v>
      </c>
      <c r="Q844" s="59">
        <f>IF(BO844=1,0,IFERROR(VLOOKUP(BM844,'Gebinde-Kategorie'!$A$5:$G$45,6,0)+0,0))</f>
        <v/>
      </c>
      <c r="R844" s="60" t="n"/>
      <c r="S844" s="61" t="n"/>
      <c r="T844" s="61" t="n"/>
      <c r="U844" s="53">
        <f>IF(A844="","",IF(IFERROR(VLOOKUP(D844,Parameter!$A$35:$C$64,2,0),"Nein")="2+3",IF(ISNUMBER(SEARCH("grosser Artikel",BJ844)),2,IFERROR(VLOOKUP(BM844,Parameter!$F$35:$G$64,2,0),2)),IF(OR(IFERROR(VLOOKUP(D844,Parameter!$A$35:$C$64,2,0),"Nein")="Nein",IFERROR(VLOOKUP(D844,Parameter!$A$35:$C$64,2,0),"Nein")=""),"-",VLOOKUP(D844,Parameter!$A$35:$C$64,2,0))))</f>
        <v/>
      </c>
      <c r="V844" s="61" t="n"/>
      <c r="W844" s="62" t="n"/>
      <c r="X844" s="55">
        <f>AM844</f>
        <v/>
      </c>
      <c r="Y844" s="55">
        <f>MAX(AM844,G844)</f>
        <v/>
      </c>
      <c r="Z844" s="63" t="n"/>
      <c r="AA844" s="55">
        <f>IF(LEFT(Cockpit!$C$5,1)="A",G844,IF(BT844=1,BU844,IF(LEFT(Cockpit!$C$5,1)="B",AE844,MAX(AE844,G844))))</f>
        <v/>
      </c>
      <c r="AB844" s="55">
        <f>IF(BO844=1,0,ROUNDUP(AA844/BN844,0))</f>
        <v/>
      </c>
      <c r="AC844" s="64">
        <f>IF(BO844=1,IF(AA844&lt;=0,0,BP844*MAX(1,IF(G844&gt;0,AA844/G844,1))),AB844*Q844)</f>
        <v/>
      </c>
      <c r="AD844" s="55">
        <f>AA844*F844</f>
        <v/>
      </c>
      <c r="AE844" s="55">
        <f>ROUNDUP(MAX(I844/IF(BS844&gt;0,BS844,MAX(0.1,N(Cockpit!$C$6))),BV844)/BN844,0)*BN844</f>
        <v/>
      </c>
      <c r="AF844" s="56">
        <f>IF(AC844&gt;0,I844/AC844,-1)</f>
        <v/>
      </c>
      <c r="AG844" s="56">
        <f>IF(AND(OR(BR844="L1",BR844="L23"),AC844&gt;0),SUMIFS($AC$7:$AC$1570,$BR$7:$BR$1570,BR844,$AF$7:$AF$1570,"&gt;"&amp;AF844)+SUMIFS($AC$7:$AC$1570,$BR$7:$BR$1570,BR844,$AF$7:$AF$1570,AF844,$BL$7:$BL$1570,"&lt;="&amp;BL844),"")</f>
        <v/>
      </c>
      <c r="AH844" s="65">
        <f>IF(AG844="",0,MAX(0,MIN(1,(IF(BR844="L1",Parameter!$K$5,Parameter!$K$6+Parameter!$K$7)-(AG844-AC844))/AC844)))</f>
        <v/>
      </c>
      <c r="AI844" s="55">
        <f>IF(LEFT(Cockpit!$I$5,1)="A",G844,IF(BT844=1,BU844,IF(LEFT(Cockpit!$I$5,1)="B",AM844,MAX(AM844,G844))))</f>
        <v/>
      </c>
      <c r="AJ844" s="55">
        <f>IF(BO844=1,0,ROUNDUP(AI844/BN844,0))</f>
        <v/>
      </c>
      <c r="AK844" s="64">
        <f>IF(BO844=1,IF(AI844&lt;=0,0,BP844*MAX(1,IF(G844&gt;0,AI844/G844,1))),AJ844*Q844)</f>
        <v/>
      </c>
      <c r="AL844" s="55">
        <f>AI844*F844</f>
        <v/>
      </c>
      <c r="AM844" s="55">
        <f>ROUNDUP(MAX(I844/IF(BS844&gt;0,BS844,MAX(0.1,N(Cockpit!$I$6))),BV844)/BN844,0)*BN844</f>
        <v/>
      </c>
      <c r="AN844" s="56">
        <f>IF(AK844&gt;0,I844/AK844,-1)</f>
        <v/>
      </c>
      <c r="AO844" s="56">
        <f>IF(AND(OR(BR844="L1",BR844="L23"),AK844&gt;0),SUMIFS($AK$7:$AK$1570,$BR$7:$BR$1570,BR844,$AN$7:$AN$1570,"&gt;"&amp;AN844)+SUMIFS($AK$7:$AK$1570,$BR$7:$BR$1570,BR844,$AN$7:$AN$1570,AN844,$BL$7:$BL$1570,"&lt;="&amp;BL844),"")</f>
        <v/>
      </c>
      <c r="AP844" s="65">
        <f>IF(AO844="",0,MAX(0,MIN(1,(IF(BR844="L1",Parameter!$K$5,Parameter!$K$6+Parameter!$K$7)-(AO844-AK844))/AK844)))</f>
        <v/>
      </c>
      <c r="AQ844" s="55">
        <f>IF(LEFT(Cockpit!$O$5,1)="A",G844,IF(BT844=1,BU844,IF(LEFT(Cockpit!$O$5,1)="B",AU844,MAX(AU844,G844))))</f>
        <v/>
      </c>
      <c r="AR844" s="55">
        <f>IF(BO844=1,0,ROUNDUP(AQ844/BN844,0))</f>
        <v/>
      </c>
      <c r="AS844" s="64">
        <f>IF(BO844=1,IF(AQ844&lt;=0,0,BP844*MAX(1,IF(G844&gt;0,AQ844/G844,1))),AR844*Q844)</f>
        <v/>
      </c>
      <c r="AT844" s="55">
        <f>AQ844*F844</f>
        <v/>
      </c>
      <c r="AU844" s="55">
        <f>ROUNDUP(MAX(I844/IF(BS844&gt;0,BS844,MAX(0.1,N(Cockpit!$O$6))),BV844)/BN844,0)*BN844</f>
        <v/>
      </c>
      <c r="AV844" s="56">
        <f>IF(AS844&gt;0,I844/AS844,-1)</f>
        <v/>
      </c>
      <c r="AW844" s="56">
        <f>IF(AND(OR(BR844="L1",BR844="L23"),AS844&gt;0),SUMIFS($AS$7:$AS$1570,$BR$7:$BR$1570,BR844,$AV$7:$AV$1570,"&gt;"&amp;AV844)+SUMIFS($AS$7:$AS$1570,$BR$7:$BR$1570,BR844,$AV$7:$AV$1570,AV844,$BL$7:$BL$1570,"&lt;="&amp;BL844),"")</f>
        <v/>
      </c>
      <c r="AX844" s="65">
        <f>IF(AW844="",0,MAX(0,MIN(1,(IF(BR844="L1",Parameter!$K$5,Parameter!$K$6+Parameter!$K$7)-(AW844-AS844))/AS844)))</f>
        <v/>
      </c>
      <c r="AY844" s="53">
        <f>IF(AC844&lt;=0,"",IF(BR844="Aussen","Aussenlager",IF(BR844="-","Nicht im Lift",IF(AH844&gt;=1,"Lift",IF(AH844&lt;=0,"Aussenlager","teilweise")))))</f>
        <v/>
      </c>
      <c r="AZ844" s="53">
        <f>IF(AK844&lt;=0,"",IF(BR844="Aussen","Aussenlager",IF(BR844="-","Nicht im Lift",IF(AP844&gt;=1,"Lift",IF(AP844&lt;=0,"Aussenlager","teilweise")))))</f>
        <v/>
      </c>
      <c r="BA844" s="53">
        <f>IF(AS844&lt;=0,"",IF(BR844="Aussen","Aussenlager",IF(BR844="-","Nicht im Lift",IF(AX844&gt;=1,"Lift",IF(AX844&lt;=0,"Aussenlager","teilweise")))))</f>
        <v/>
      </c>
      <c r="BB844" s="53">
        <f>IF(A844="","",IF(BK844=1,"Neu; ","")&amp;IF(AND(BK844=0,BF844&lt;0),"negativer Bestand (Export "&amp;BF844&amp;"); ","")&amp;IF(I844&lt;=0,"Kein Verbrauch; ","")&amp;IF(BO844=1,"Lose – Fläche geschätzt; ","")&amp;IF(G844&gt;AM844,"Überbestand "&amp;ROUND(G844-AM844,0)&amp;" Stk / CHF "&amp;ROUND((G844-AM844)*F844,0)&amp;"; ","")&amp;IF(AND(BT844=1,BU844&lt;BV844),"MAX &lt; MB+LG; ","")&amp;IF(AND(BZ844&gt;0,BY844*10&gt;BZ844),"zu hoch für Tablar; ","")&amp;IF(AND(BK844=0,OR(BT844=1,V844&lt;&gt;"",S844&lt;&gt;"",T844&lt;&gt;"",W844&lt;&gt;"")),"manuell übersteuert; ","")&amp;IF(AND(BO844=0,Q844=0),"Gebinde unbekannt; ","")&amp;IF(AND(BO844=0,N(T844)&lt;=0,N(P844)&lt;=0),"Menge pro Gebinde fehlt (Ist = 1 Gebinde); ","")&amp;BJ844)</f>
        <v/>
      </c>
      <c r="BC844" s="53" t="n"/>
      <c r="BD844" s="53" t="n"/>
      <c r="BE844" s="61" t="n"/>
      <c r="BF844" s="55" t="n">
        <v>-5</v>
      </c>
      <c r="BG844" s="55" t="n">
        <v>12</v>
      </c>
      <c r="BH844" s="54" t="n">
        <v>-14.85</v>
      </c>
      <c r="BI844" s="55" t="n">
        <v>0</v>
      </c>
      <c r="BJ844" s="53" t="inlineStr"/>
      <c r="BK844" s="58" t="n">
        <v>0</v>
      </c>
      <c r="BL844" s="58" t="n">
        <v>844</v>
      </c>
      <c r="BM844" s="53">
        <f>IF(S844&lt;&gt;"",UPPER(TRIM(S844)),IF(O844="","LOSE",O844))</f>
        <v/>
      </c>
      <c r="BN844" s="55">
        <f>IF(BM844="LOSE",1,IF(N(T844)&gt;0,T844,IF(N(P844)&gt;0,P844,MAX(1,G844))))</f>
        <v/>
      </c>
      <c r="BO844" s="58">
        <f>IF(BM844="LOSE",1,0)</f>
        <v/>
      </c>
      <c r="BP844" s="64">
        <f>IF(BO844=0,0,IF(N(R844)&gt;0,R844,IFERROR(VLOOKUP(D844,Parameter!$A$35:$C$64,3,0)+0,0)))</f>
        <v/>
      </c>
      <c r="BQ844" s="53">
        <f>IF(V844&lt;&gt;"",V844,U844)</f>
        <v/>
      </c>
      <c r="BR844" s="53">
        <f>IF(BQ844=1,"L1",IF(OR(BQ844=2,BQ844=3),"L23",IF(BQ844="Aussen","Aussen","-")))</f>
        <v/>
      </c>
      <c r="BS844" s="66">
        <f>IF(N(W844)&gt;0,W844,0)</f>
        <v/>
      </c>
      <c r="BT844" s="58">
        <f>IF(ISNUMBER(Z844),1,0)</f>
        <v/>
      </c>
      <c r="BU844" s="55">
        <f>N(Z844)</f>
        <v/>
      </c>
      <c r="BV844" s="55">
        <f>N(L844)+N(M844)</f>
        <v/>
      </c>
      <c r="BW844" s="55">
        <f>ROUNDUP(G844/BN844,0)</f>
        <v/>
      </c>
      <c r="BX844" s="55">
        <f>ROUNDUP(BU844/BN844,0)</f>
        <v/>
      </c>
      <c r="BY844" s="58">
        <f>IF(BO844=1,0,IFERROR(VLOOKUP(BM844,'Gebinde-Kategorie'!$A$5:$G$45,5,0)+0,0))</f>
        <v/>
      </c>
      <c r="BZ844" s="58">
        <f>IFERROR(IF(OR(BQ844=1,BQ844=2,BQ844=3),N(INDEX(Parameter!$I$5:$I$7,BQ844)),0),0)</f>
        <v/>
      </c>
    </row>
    <row r="845">
      <c r="A845" s="53" t="inlineStr">
        <is>
          <t>005258</t>
        </is>
      </c>
      <c r="B845" s="53" t="inlineStr">
        <is>
          <t>Zylinderschraube mit Innensechskant</t>
        </is>
      </c>
      <c r="C845" s="53" t="inlineStr">
        <is>
          <t>F</t>
        </is>
      </c>
      <c r="D845" s="53" t="inlineStr">
        <is>
          <t>KTL</t>
        </is>
      </c>
      <c r="E845" s="53" t="inlineStr">
        <is>
          <t>C</t>
        </is>
      </c>
      <c r="F845" s="54" t="n">
        <v>0.11</v>
      </c>
      <c r="G845" s="55">
        <f>MAX(0,IF(Parameter!$B$20="Jahresanfang 2025 + Export",BG845+BF845,BF845))</f>
        <v/>
      </c>
      <c r="H845" s="55">
        <f>G845*F845</f>
        <v/>
      </c>
      <c r="I845" s="55">
        <f>BI845*Parameter!$B$18</f>
        <v/>
      </c>
      <c r="J845" s="56" t="n">
        <v>732</v>
      </c>
      <c r="K845" s="57" t="n">
        <v>0.01092896174863388</v>
      </c>
      <c r="L845" s="55" t="n">
        <v>0</v>
      </c>
      <c r="M845" s="55" t="n">
        <v>10</v>
      </c>
      <c r="N845" s="58" t="n">
        <v>21</v>
      </c>
      <c r="O845" s="53" t="inlineStr">
        <is>
          <t>S41</t>
        </is>
      </c>
      <c r="P845" s="55" t="n">
        <v>823</v>
      </c>
      <c r="Q845" s="59">
        <f>IF(BO845=1,0,IFERROR(VLOOKUP(BM845,'Gebinde-Kategorie'!$A$5:$G$45,6,0)+0,0))</f>
        <v/>
      </c>
      <c r="R845" s="60" t="n"/>
      <c r="S845" s="61" t="n"/>
      <c r="T845" s="61" t="n"/>
      <c r="U845" s="53">
        <f>IF(A845="","",IF(IFERROR(VLOOKUP(D845,Parameter!$A$35:$C$64,2,0),"Nein")="2+3",IF(ISNUMBER(SEARCH("grosser Artikel",BJ845)),2,IFERROR(VLOOKUP(BM845,Parameter!$F$35:$G$64,2,0),2)),IF(OR(IFERROR(VLOOKUP(D845,Parameter!$A$35:$C$64,2,0),"Nein")="Nein",IFERROR(VLOOKUP(D845,Parameter!$A$35:$C$64,2,0),"Nein")=""),"-",VLOOKUP(D845,Parameter!$A$35:$C$64,2,0))))</f>
        <v/>
      </c>
      <c r="V845" s="61" t="n"/>
      <c r="W845" s="62" t="n"/>
      <c r="X845" s="55">
        <f>AM845</f>
        <v/>
      </c>
      <c r="Y845" s="55">
        <f>MAX(AM845,G845)</f>
        <v/>
      </c>
      <c r="Z845" s="63" t="n"/>
      <c r="AA845" s="55">
        <f>IF(LEFT(Cockpit!$C$5,1)="A",G845,IF(BT845=1,BU845,IF(LEFT(Cockpit!$C$5,1)="B",AE845,MAX(AE845,G845))))</f>
        <v/>
      </c>
      <c r="AB845" s="55">
        <f>IF(BO845=1,0,ROUNDUP(AA845/BN845,0))</f>
        <v/>
      </c>
      <c r="AC845" s="64">
        <f>IF(BO845=1,IF(AA845&lt;=0,0,BP845*MAX(1,IF(G845&gt;0,AA845/G845,1))),AB845*Q845)</f>
        <v/>
      </c>
      <c r="AD845" s="55">
        <f>AA845*F845</f>
        <v/>
      </c>
      <c r="AE845" s="55">
        <f>ROUNDUP(MAX(I845/IF(BS845&gt;0,BS845,MAX(0.1,N(Cockpit!$C$6))),BV845)/BN845,0)*BN845</f>
        <v/>
      </c>
      <c r="AF845" s="56">
        <f>IF(AC845&gt;0,I845/AC845,-1)</f>
        <v/>
      </c>
      <c r="AG845" s="56">
        <f>IF(AND(OR(BR845="L1",BR845="L23"),AC845&gt;0),SUMIFS($AC$7:$AC$1570,$BR$7:$BR$1570,BR845,$AF$7:$AF$1570,"&gt;"&amp;AF845)+SUMIFS($AC$7:$AC$1570,$BR$7:$BR$1570,BR845,$AF$7:$AF$1570,AF845,$BL$7:$BL$1570,"&lt;="&amp;BL845),"")</f>
        <v/>
      </c>
      <c r="AH845" s="65">
        <f>IF(AG845="",0,MAX(0,MIN(1,(IF(BR845="L1",Parameter!$K$5,Parameter!$K$6+Parameter!$K$7)-(AG845-AC845))/AC845)))</f>
        <v/>
      </c>
      <c r="AI845" s="55">
        <f>IF(LEFT(Cockpit!$I$5,1)="A",G845,IF(BT845=1,BU845,IF(LEFT(Cockpit!$I$5,1)="B",AM845,MAX(AM845,G845))))</f>
        <v/>
      </c>
      <c r="AJ845" s="55">
        <f>IF(BO845=1,0,ROUNDUP(AI845/BN845,0))</f>
        <v/>
      </c>
      <c r="AK845" s="64">
        <f>IF(BO845=1,IF(AI845&lt;=0,0,BP845*MAX(1,IF(G845&gt;0,AI845/G845,1))),AJ845*Q845)</f>
        <v/>
      </c>
      <c r="AL845" s="55">
        <f>AI845*F845</f>
        <v/>
      </c>
      <c r="AM845" s="55">
        <f>ROUNDUP(MAX(I845/IF(BS845&gt;0,BS845,MAX(0.1,N(Cockpit!$I$6))),BV845)/BN845,0)*BN845</f>
        <v/>
      </c>
      <c r="AN845" s="56">
        <f>IF(AK845&gt;0,I845/AK845,-1)</f>
        <v/>
      </c>
      <c r="AO845" s="56">
        <f>IF(AND(OR(BR845="L1",BR845="L23"),AK845&gt;0),SUMIFS($AK$7:$AK$1570,$BR$7:$BR$1570,BR845,$AN$7:$AN$1570,"&gt;"&amp;AN845)+SUMIFS($AK$7:$AK$1570,$BR$7:$BR$1570,BR845,$AN$7:$AN$1570,AN845,$BL$7:$BL$1570,"&lt;="&amp;BL845),"")</f>
        <v/>
      </c>
      <c r="AP845" s="65">
        <f>IF(AO845="",0,MAX(0,MIN(1,(IF(BR845="L1",Parameter!$K$5,Parameter!$K$6+Parameter!$K$7)-(AO845-AK845))/AK845)))</f>
        <v/>
      </c>
      <c r="AQ845" s="55">
        <f>IF(LEFT(Cockpit!$O$5,1)="A",G845,IF(BT845=1,BU845,IF(LEFT(Cockpit!$O$5,1)="B",AU845,MAX(AU845,G845))))</f>
        <v/>
      </c>
      <c r="AR845" s="55">
        <f>IF(BO845=1,0,ROUNDUP(AQ845/BN845,0))</f>
        <v/>
      </c>
      <c r="AS845" s="64">
        <f>IF(BO845=1,IF(AQ845&lt;=0,0,BP845*MAX(1,IF(G845&gt;0,AQ845/G845,1))),AR845*Q845)</f>
        <v/>
      </c>
      <c r="AT845" s="55">
        <f>AQ845*F845</f>
        <v/>
      </c>
      <c r="AU845" s="55">
        <f>ROUNDUP(MAX(I845/IF(BS845&gt;0,BS845,MAX(0.1,N(Cockpit!$O$6))),BV845)/BN845,0)*BN845</f>
        <v/>
      </c>
      <c r="AV845" s="56">
        <f>IF(AS845&gt;0,I845/AS845,-1)</f>
        <v/>
      </c>
      <c r="AW845" s="56">
        <f>IF(AND(OR(BR845="L1",BR845="L23"),AS845&gt;0),SUMIFS($AS$7:$AS$1570,$BR$7:$BR$1570,BR845,$AV$7:$AV$1570,"&gt;"&amp;AV845)+SUMIFS($AS$7:$AS$1570,$BR$7:$BR$1570,BR845,$AV$7:$AV$1570,AV845,$BL$7:$BL$1570,"&lt;="&amp;BL845),"")</f>
        <v/>
      </c>
      <c r="AX845" s="65">
        <f>IF(AW845="",0,MAX(0,MIN(1,(IF(BR845="L1",Parameter!$K$5,Parameter!$K$6+Parameter!$K$7)-(AW845-AS845))/AS845)))</f>
        <v/>
      </c>
      <c r="AY845" s="53">
        <f>IF(AC845&lt;=0,"",IF(BR845="Aussen","Aussenlager",IF(BR845="-","Nicht im Lift",IF(AH845&gt;=1,"Lift",IF(AH845&lt;=0,"Aussenlager","teilweise")))))</f>
        <v/>
      </c>
      <c r="AZ845" s="53">
        <f>IF(AK845&lt;=0,"",IF(BR845="Aussen","Aussenlager",IF(BR845="-","Nicht im Lift",IF(AP845&gt;=1,"Lift",IF(AP845&lt;=0,"Aussenlager","teilweise")))))</f>
        <v/>
      </c>
      <c r="BA845" s="53">
        <f>IF(AS845&lt;=0,"",IF(BR845="Aussen","Aussenlager",IF(BR845="-","Nicht im Lift",IF(AX845&gt;=1,"Lift",IF(AX845&lt;=0,"Aussenlager","teilweise")))))</f>
        <v/>
      </c>
      <c r="BB845" s="53">
        <f>IF(A845="","",IF(BK845=1,"Neu; ","")&amp;IF(AND(BK845=0,BF845&lt;0),"negativer Bestand (Export "&amp;BF845&amp;"); ","")&amp;IF(I845&lt;=0,"Kein Verbrauch; ","")&amp;IF(BO845=1,"Lose – Fläche geschätzt; ","")&amp;IF(G845&gt;AM845,"Überbestand "&amp;ROUND(G845-AM845,0)&amp;" Stk / CHF "&amp;ROUND((G845-AM845)*F845,0)&amp;"; ","")&amp;IF(AND(BT845=1,BU845&lt;BV845),"MAX &lt; MB+LG; ","")&amp;IF(AND(BZ845&gt;0,BY845*10&gt;BZ845),"zu hoch für Tablar; ","")&amp;IF(AND(BK845=0,OR(BT845=1,V845&lt;&gt;"",S845&lt;&gt;"",T845&lt;&gt;"",W845&lt;&gt;"")),"manuell übersteuert; ","")&amp;IF(AND(BO845=0,Q845=0),"Gebinde unbekannt; ","")&amp;IF(AND(BO845=0,N(T845)&lt;=0,N(P845)&lt;=0),"Menge pro Gebinde fehlt (Ist = 1 Gebinde); ","")&amp;BJ845)</f>
        <v/>
      </c>
      <c r="BC845" s="53" t="n"/>
      <c r="BD845" s="53" t="n"/>
      <c r="BE845" s="61" t="n"/>
      <c r="BF845" s="55" t="n">
        <v>-137</v>
      </c>
      <c r="BG845" s="55" t="n">
        <v>780</v>
      </c>
      <c r="BH845" s="54" t="n">
        <v>-15.07</v>
      </c>
      <c r="BI845" s="55" t="n">
        <v>8</v>
      </c>
      <c r="BJ845" s="53" t="inlineStr">
        <is>
          <t>Überbestand</t>
        </is>
      </c>
      <c r="BK845" s="58" t="n">
        <v>0</v>
      </c>
      <c r="BL845" s="58" t="n">
        <v>845</v>
      </c>
      <c r="BM845" s="53">
        <f>IF(S845&lt;&gt;"",UPPER(TRIM(S845)),IF(O845="","LOSE",O845))</f>
        <v/>
      </c>
      <c r="BN845" s="55">
        <f>IF(BM845="LOSE",1,IF(N(T845)&gt;0,T845,IF(N(P845)&gt;0,P845,MAX(1,G845))))</f>
        <v/>
      </c>
      <c r="BO845" s="58">
        <f>IF(BM845="LOSE",1,0)</f>
        <v/>
      </c>
      <c r="BP845" s="64">
        <f>IF(BO845=0,0,IF(N(R845)&gt;0,R845,IFERROR(VLOOKUP(D845,Parameter!$A$35:$C$64,3,0)+0,0)))</f>
        <v/>
      </c>
      <c r="BQ845" s="53">
        <f>IF(V845&lt;&gt;"",V845,U845)</f>
        <v/>
      </c>
      <c r="BR845" s="53">
        <f>IF(BQ845=1,"L1",IF(OR(BQ845=2,BQ845=3),"L23",IF(BQ845="Aussen","Aussen","-")))</f>
        <v/>
      </c>
      <c r="BS845" s="66">
        <f>IF(N(W845)&gt;0,W845,0)</f>
        <v/>
      </c>
      <c r="BT845" s="58">
        <f>IF(ISNUMBER(Z845),1,0)</f>
        <v/>
      </c>
      <c r="BU845" s="55">
        <f>N(Z845)</f>
        <v/>
      </c>
      <c r="BV845" s="55">
        <f>N(L845)+N(M845)</f>
        <v/>
      </c>
      <c r="BW845" s="55">
        <f>ROUNDUP(G845/BN845,0)</f>
        <v/>
      </c>
      <c r="BX845" s="55">
        <f>ROUNDUP(BU845/BN845,0)</f>
        <v/>
      </c>
      <c r="BY845" s="58">
        <f>IF(BO845=1,0,IFERROR(VLOOKUP(BM845,'Gebinde-Kategorie'!$A$5:$G$45,5,0)+0,0))</f>
        <v/>
      </c>
      <c r="BZ845" s="58">
        <f>IFERROR(IF(OR(BQ845=1,BQ845=2,BQ845=3),N(INDEX(Parameter!$I$5:$I$7,BQ845)),0),0)</f>
        <v/>
      </c>
    </row>
    <row r="846">
      <c r="A846" s="53" t="inlineStr">
        <is>
          <t>107765</t>
        </is>
      </c>
      <c r="B846" s="53" t="inlineStr">
        <is>
          <t>Unterlage</t>
        </is>
      </c>
      <c r="C846" s="53" t="inlineStr">
        <is>
          <t>F</t>
        </is>
      </c>
      <c r="D846" s="53" t="inlineStr">
        <is>
          <t>KTL</t>
        </is>
      </c>
      <c r="E846" s="53" t="inlineStr">
        <is>
          <t>C</t>
        </is>
      </c>
      <c r="F846" s="54" t="n">
        <v>3.14</v>
      </c>
      <c r="G846" s="55">
        <f>MAX(0,IF(Parameter!$B$20="Jahresanfang 2025 + Export",BG846+BF846,BF846))</f>
        <v/>
      </c>
      <c r="H846" s="55">
        <f>G846*F846</f>
        <v/>
      </c>
      <c r="I846" s="55">
        <f>BI846*Parameter!$B$18</f>
        <v/>
      </c>
      <c r="J846" s="56" t="n">
        <v>91</v>
      </c>
      <c r="K846" s="57" t="n">
        <v>0.6593406593406593</v>
      </c>
      <c r="L846" s="55" t="n">
        <v>4</v>
      </c>
      <c r="M846" s="55" t="n">
        <v>60</v>
      </c>
      <c r="N846" s="58" t="n">
        <v>28</v>
      </c>
      <c r="O846" s="53" t="inlineStr">
        <is>
          <t>S32</t>
        </is>
      </c>
      <c r="P846" s="55" t="n">
        <v>25</v>
      </c>
      <c r="Q846" s="59">
        <f>IF(BO846=1,0,IFERROR(VLOOKUP(BM846,'Gebinde-Kategorie'!$A$5:$G$45,6,0)+0,0))</f>
        <v/>
      </c>
      <c r="R846" s="60" t="n"/>
      <c r="S846" s="61" t="n"/>
      <c r="T846" s="61" t="n"/>
      <c r="U846" s="53">
        <f>IF(A846="","",IF(IFERROR(VLOOKUP(D846,Parameter!$A$35:$C$64,2,0),"Nein")="2+3",IF(ISNUMBER(SEARCH("grosser Artikel",BJ846)),2,IFERROR(VLOOKUP(BM846,Parameter!$F$35:$G$64,2,0),2)),IF(OR(IFERROR(VLOOKUP(D846,Parameter!$A$35:$C$64,2,0),"Nein")="Nein",IFERROR(VLOOKUP(D846,Parameter!$A$35:$C$64,2,0),"Nein")=""),"-",VLOOKUP(D846,Parameter!$A$35:$C$64,2,0))))</f>
        <v/>
      </c>
      <c r="V846" s="61" t="n"/>
      <c r="W846" s="62" t="n"/>
      <c r="X846" s="55">
        <f>AM846</f>
        <v/>
      </c>
      <c r="Y846" s="55">
        <f>MAX(AM846,G846)</f>
        <v/>
      </c>
      <c r="Z846" s="63" t="n"/>
      <c r="AA846" s="55">
        <f>IF(LEFT(Cockpit!$C$5,1)="A",G846,IF(BT846=1,BU846,IF(LEFT(Cockpit!$C$5,1)="B",AE846,MAX(AE846,G846))))</f>
        <v/>
      </c>
      <c r="AB846" s="55">
        <f>IF(BO846=1,0,ROUNDUP(AA846/BN846,0))</f>
        <v/>
      </c>
      <c r="AC846" s="64">
        <f>IF(BO846=1,IF(AA846&lt;=0,0,BP846*MAX(1,IF(G846&gt;0,AA846/G846,1))),AB846*Q846)</f>
        <v/>
      </c>
      <c r="AD846" s="55">
        <f>AA846*F846</f>
        <v/>
      </c>
      <c r="AE846" s="55">
        <f>ROUNDUP(MAX(I846/IF(BS846&gt;0,BS846,MAX(0.1,N(Cockpit!$C$6))),BV846)/BN846,0)*BN846</f>
        <v/>
      </c>
      <c r="AF846" s="56">
        <f>IF(AC846&gt;0,I846/AC846,-1)</f>
        <v/>
      </c>
      <c r="AG846" s="56">
        <f>IF(AND(OR(BR846="L1",BR846="L23"),AC846&gt;0),SUMIFS($AC$7:$AC$1570,$BR$7:$BR$1570,BR846,$AF$7:$AF$1570,"&gt;"&amp;AF846)+SUMIFS($AC$7:$AC$1570,$BR$7:$BR$1570,BR846,$AF$7:$AF$1570,AF846,$BL$7:$BL$1570,"&lt;="&amp;BL846),"")</f>
        <v/>
      </c>
      <c r="AH846" s="65">
        <f>IF(AG846="",0,MAX(0,MIN(1,(IF(BR846="L1",Parameter!$K$5,Parameter!$K$6+Parameter!$K$7)-(AG846-AC846))/AC846)))</f>
        <v/>
      </c>
      <c r="AI846" s="55">
        <f>IF(LEFT(Cockpit!$I$5,1)="A",G846,IF(BT846=1,BU846,IF(LEFT(Cockpit!$I$5,1)="B",AM846,MAX(AM846,G846))))</f>
        <v/>
      </c>
      <c r="AJ846" s="55">
        <f>IF(BO846=1,0,ROUNDUP(AI846/BN846,0))</f>
        <v/>
      </c>
      <c r="AK846" s="64">
        <f>IF(BO846=1,IF(AI846&lt;=0,0,BP846*MAX(1,IF(G846&gt;0,AI846/G846,1))),AJ846*Q846)</f>
        <v/>
      </c>
      <c r="AL846" s="55">
        <f>AI846*F846</f>
        <v/>
      </c>
      <c r="AM846" s="55">
        <f>ROUNDUP(MAX(I846/IF(BS846&gt;0,BS846,MAX(0.1,N(Cockpit!$I$6))),BV846)/BN846,0)*BN846</f>
        <v/>
      </c>
      <c r="AN846" s="56">
        <f>IF(AK846&gt;0,I846/AK846,-1)</f>
        <v/>
      </c>
      <c r="AO846" s="56">
        <f>IF(AND(OR(BR846="L1",BR846="L23"),AK846&gt;0),SUMIFS($AK$7:$AK$1570,$BR$7:$BR$1570,BR846,$AN$7:$AN$1570,"&gt;"&amp;AN846)+SUMIFS($AK$7:$AK$1570,$BR$7:$BR$1570,BR846,$AN$7:$AN$1570,AN846,$BL$7:$BL$1570,"&lt;="&amp;BL846),"")</f>
        <v/>
      </c>
      <c r="AP846" s="65">
        <f>IF(AO846="",0,MAX(0,MIN(1,(IF(BR846="L1",Parameter!$K$5,Parameter!$K$6+Parameter!$K$7)-(AO846-AK846))/AK846)))</f>
        <v/>
      </c>
      <c r="AQ846" s="55">
        <f>IF(LEFT(Cockpit!$O$5,1)="A",G846,IF(BT846=1,BU846,IF(LEFT(Cockpit!$O$5,1)="B",AU846,MAX(AU846,G846))))</f>
        <v/>
      </c>
      <c r="AR846" s="55">
        <f>IF(BO846=1,0,ROUNDUP(AQ846/BN846,0))</f>
        <v/>
      </c>
      <c r="AS846" s="64">
        <f>IF(BO846=1,IF(AQ846&lt;=0,0,BP846*MAX(1,IF(G846&gt;0,AQ846/G846,1))),AR846*Q846)</f>
        <v/>
      </c>
      <c r="AT846" s="55">
        <f>AQ846*F846</f>
        <v/>
      </c>
      <c r="AU846" s="55">
        <f>ROUNDUP(MAX(I846/IF(BS846&gt;0,BS846,MAX(0.1,N(Cockpit!$O$6))),BV846)/BN846,0)*BN846</f>
        <v/>
      </c>
      <c r="AV846" s="56">
        <f>IF(AS846&gt;0,I846/AS846,-1)</f>
        <v/>
      </c>
      <c r="AW846" s="56">
        <f>IF(AND(OR(BR846="L1",BR846="L23"),AS846&gt;0),SUMIFS($AS$7:$AS$1570,$BR$7:$BR$1570,BR846,$AV$7:$AV$1570,"&gt;"&amp;AV846)+SUMIFS($AS$7:$AS$1570,$BR$7:$BR$1570,BR846,$AV$7:$AV$1570,AV846,$BL$7:$BL$1570,"&lt;="&amp;BL846),"")</f>
        <v/>
      </c>
      <c r="AX846" s="65">
        <f>IF(AW846="",0,MAX(0,MIN(1,(IF(BR846="L1",Parameter!$K$5,Parameter!$K$6+Parameter!$K$7)-(AW846-AS846))/AS846)))</f>
        <v/>
      </c>
      <c r="AY846" s="53">
        <f>IF(AC846&lt;=0,"",IF(BR846="Aussen","Aussenlager",IF(BR846="-","Nicht im Lift",IF(AH846&gt;=1,"Lift",IF(AH846&lt;=0,"Aussenlager","teilweise")))))</f>
        <v/>
      </c>
      <c r="AZ846" s="53">
        <f>IF(AK846&lt;=0,"",IF(BR846="Aussen","Aussenlager",IF(BR846="-","Nicht im Lift",IF(AP846&gt;=1,"Lift",IF(AP846&lt;=0,"Aussenlager","teilweise")))))</f>
        <v/>
      </c>
      <c r="BA846" s="53">
        <f>IF(AS846&lt;=0,"",IF(BR846="Aussen","Aussenlager",IF(BR846="-","Nicht im Lift",IF(AX846&gt;=1,"Lift",IF(AX846&lt;=0,"Aussenlager","teilweise")))))</f>
        <v/>
      </c>
      <c r="BB846" s="53">
        <f>IF(A846="","",IF(BK846=1,"Neu; ","")&amp;IF(AND(BK846=0,BF846&lt;0),"negativer Bestand (Export "&amp;BF846&amp;"); ","")&amp;IF(I846&lt;=0,"Kein Verbrauch; ","")&amp;IF(BO846=1,"Lose – Fläche geschätzt; ","")&amp;IF(G846&gt;AM846,"Überbestand "&amp;ROUND(G846-AM846,0)&amp;" Stk / CHF "&amp;ROUND((G846-AM846)*F846,0)&amp;"; ","")&amp;IF(AND(BT846=1,BU846&lt;BV846),"MAX &lt; MB+LG; ","")&amp;IF(AND(BZ846&gt;0,BY846*10&gt;BZ846),"zu hoch für Tablar; ","")&amp;IF(AND(BK846=0,OR(BT846=1,V846&lt;&gt;"",S846&lt;&gt;"",T846&lt;&gt;"",W846&lt;&gt;"")),"manuell übersteuert; ","")&amp;IF(AND(BO846=0,Q846=0),"Gebinde unbekannt; ","")&amp;IF(AND(BO846=0,N(T846)&lt;=0,N(P846)&lt;=0),"Menge pro Gebinde fehlt (Ist = 1 Gebinde); ","")&amp;BJ846)</f>
        <v/>
      </c>
      <c r="BC846" s="53" t="n"/>
      <c r="BD846" s="53" t="n"/>
      <c r="BE846" s="61" t="n"/>
      <c r="BF846" s="55" t="n">
        <v>-29</v>
      </c>
      <c r="BG846" s="55" t="n">
        <v>72</v>
      </c>
      <c r="BH846" s="54" t="n">
        <v>-15.4599999999997</v>
      </c>
      <c r="BI846" s="55" t="n">
        <v>60</v>
      </c>
      <c r="BJ846" s="53" t="inlineStr"/>
      <c r="BK846" s="58" t="n">
        <v>0</v>
      </c>
      <c r="BL846" s="58" t="n">
        <v>846</v>
      </c>
      <c r="BM846" s="53">
        <f>IF(S846&lt;&gt;"",UPPER(TRIM(S846)),IF(O846="","LOSE",O846))</f>
        <v/>
      </c>
      <c r="BN846" s="55">
        <f>IF(BM846="LOSE",1,IF(N(T846)&gt;0,T846,IF(N(P846)&gt;0,P846,MAX(1,G846))))</f>
        <v/>
      </c>
      <c r="BO846" s="58">
        <f>IF(BM846="LOSE",1,0)</f>
        <v/>
      </c>
      <c r="BP846" s="64">
        <f>IF(BO846=0,0,IF(N(R846)&gt;0,R846,IFERROR(VLOOKUP(D846,Parameter!$A$35:$C$64,3,0)+0,0)))</f>
        <v/>
      </c>
      <c r="BQ846" s="53">
        <f>IF(V846&lt;&gt;"",V846,U846)</f>
        <v/>
      </c>
      <c r="BR846" s="53">
        <f>IF(BQ846=1,"L1",IF(OR(BQ846=2,BQ846=3),"L23",IF(BQ846="Aussen","Aussen","-")))</f>
        <v/>
      </c>
      <c r="BS846" s="66">
        <f>IF(N(W846)&gt;0,W846,0)</f>
        <v/>
      </c>
      <c r="BT846" s="58">
        <f>IF(ISNUMBER(Z846),1,0)</f>
        <v/>
      </c>
      <c r="BU846" s="55">
        <f>N(Z846)</f>
        <v/>
      </c>
      <c r="BV846" s="55">
        <f>N(L846)+N(M846)</f>
        <v/>
      </c>
      <c r="BW846" s="55">
        <f>ROUNDUP(G846/BN846,0)</f>
        <v/>
      </c>
      <c r="BX846" s="55">
        <f>ROUNDUP(BU846/BN846,0)</f>
        <v/>
      </c>
      <c r="BY846" s="58">
        <f>IF(BO846=1,0,IFERROR(VLOOKUP(BM846,'Gebinde-Kategorie'!$A$5:$G$45,5,0)+0,0))</f>
        <v/>
      </c>
      <c r="BZ846" s="58">
        <f>IFERROR(IF(OR(BQ846=1,BQ846=2,BQ846=3),N(INDEX(Parameter!$I$5:$I$7,BQ846)),0),0)</f>
        <v/>
      </c>
    </row>
    <row r="847">
      <c r="A847" s="53" t="inlineStr">
        <is>
          <t>107542</t>
        </is>
      </c>
      <c r="B847" s="53" t="inlineStr">
        <is>
          <t>Schutzkappe</t>
        </is>
      </c>
      <c r="C847" s="53" t="inlineStr">
        <is>
          <t>F</t>
        </is>
      </c>
      <c r="D847" s="53" t="inlineStr">
        <is>
          <t>KTL</t>
        </is>
      </c>
      <c r="E847" s="53" t="inlineStr">
        <is>
          <t>C</t>
        </is>
      </c>
      <c r="F847" s="54" t="n">
        <v>0.85</v>
      </c>
      <c r="G847" s="55">
        <f>MAX(0,IF(Parameter!$B$20="Jahresanfang 2025 + Export",BG847+BF847,BF847))</f>
        <v/>
      </c>
      <c r="H847" s="55">
        <f>G847*F847</f>
        <v/>
      </c>
      <c r="I847" s="55">
        <f>BI847*Parameter!$B$18</f>
        <v/>
      </c>
      <c r="J847" s="56" t="n">
        <v>30.5</v>
      </c>
      <c r="K847" s="57" t="n">
        <v>0.9508196721311475</v>
      </c>
      <c r="L847" s="55" t="n">
        <v>1</v>
      </c>
      <c r="M847" s="55" t="n">
        <v>30</v>
      </c>
      <c r="N847" s="58" t="n">
        <v>21</v>
      </c>
      <c r="O847" s="53" t="inlineStr">
        <is>
          <t>S63</t>
        </is>
      </c>
      <c r="P847" s="55" t="n">
        <v>65</v>
      </c>
      <c r="Q847" s="59">
        <f>IF(BO847=1,0,IFERROR(VLOOKUP(BM847,'Gebinde-Kategorie'!$A$5:$G$45,6,0)+0,0))</f>
        <v/>
      </c>
      <c r="R847" s="60" t="n"/>
      <c r="S847" s="61" t="n"/>
      <c r="T847" s="61" t="n"/>
      <c r="U847" s="53">
        <f>IF(A847="","",IF(IFERROR(VLOOKUP(D847,Parameter!$A$35:$C$64,2,0),"Nein")="2+3",IF(ISNUMBER(SEARCH("grosser Artikel",BJ847)),2,IFERROR(VLOOKUP(BM847,Parameter!$F$35:$G$64,2,0),2)),IF(OR(IFERROR(VLOOKUP(D847,Parameter!$A$35:$C$64,2,0),"Nein")="Nein",IFERROR(VLOOKUP(D847,Parameter!$A$35:$C$64,2,0),"Nein")=""),"-",VLOOKUP(D847,Parameter!$A$35:$C$64,2,0))))</f>
        <v/>
      </c>
      <c r="V847" s="61" t="n"/>
      <c r="W847" s="62" t="n"/>
      <c r="X847" s="55">
        <f>AM847</f>
        <v/>
      </c>
      <c r="Y847" s="55">
        <f>MAX(AM847,G847)</f>
        <v/>
      </c>
      <c r="Z847" s="63" t="n"/>
      <c r="AA847" s="55">
        <f>IF(LEFT(Cockpit!$C$5,1)="A",G847,IF(BT847=1,BU847,IF(LEFT(Cockpit!$C$5,1)="B",AE847,MAX(AE847,G847))))</f>
        <v/>
      </c>
      <c r="AB847" s="55">
        <f>IF(BO847=1,0,ROUNDUP(AA847/BN847,0))</f>
        <v/>
      </c>
      <c r="AC847" s="64">
        <f>IF(BO847=1,IF(AA847&lt;=0,0,BP847*MAX(1,IF(G847&gt;0,AA847/G847,1))),AB847*Q847)</f>
        <v/>
      </c>
      <c r="AD847" s="55">
        <f>AA847*F847</f>
        <v/>
      </c>
      <c r="AE847" s="55">
        <f>ROUNDUP(MAX(I847/IF(BS847&gt;0,BS847,MAX(0.1,N(Cockpit!$C$6))),BV847)/BN847,0)*BN847</f>
        <v/>
      </c>
      <c r="AF847" s="56">
        <f>IF(AC847&gt;0,I847/AC847,-1)</f>
        <v/>
      </c>
      <c r="AG847" s="56">
        <f>IF(AND(OR(BR847="L1",BR847="L23"),AC847&gt;0),SUMIFS($AC$7:$AC$1570,$BR$7:$BR$1570,BR847,$AF$7:$AF$1570,"&gt;"&amp;AF847)+SUMIFS($AC$7:$AC$1570,$BR$7:$BR$1570,BR847,$AF$7:$AF$1570,AF847,$BL$7:$BL$1570,"&lt;="&amp;BL847),"")</f>
        <v/>
      </c>
      <c r="AH847" s="65">
        <f>IF(AG847="",0,MAX(0,MIN(1,(IF(BR847="L1",Parameter!$K$5,Parameter!$K$6+Parameter!$K$7)-(AG847-AC847))/AC847)))</f>
        <v/>
      </c>
      <c r="AI847" s="55">
        <f>IF(LEFT(Cockpit!$I$5,1)="A",G847,IF(BT847=1,BU847,IF(LEFT(Cockpit!$I$5,1)="B",AM847,MAX(AM847,G847))))</f>
        <v/>
      </c>
      <c r="AJ847" s="55">
        <f>IF(BO847=1,0,ROUNDUP(AI847/BN847,0))</f>
        <v/>
      </c>
      <c r="AK847" s="64">
        <f>IF(BO847=1,IF(AI847&lt;=0,0,BP847*MAX(1,IF(G847&gt;0,AI847/G847,1))),AJ847*Q847)</f>
        <v/>
      </c>
      <c r="AL847" s="55">
        <f>AI847*F847</f>
        <v/>
      </c>
      <c r="AM847" s="55">
        <f>ROUNDUP(MAX(I847/IF(BS847&gt;0,BS847,MAX(0.1,N(Cockpit!$I$6))),BV847)/BN847,0)*BN847</f>
        <v/>
      </c>
      <c r="AN847" s="56">
        <f>IF(AK847&gt;0,I847/AK847,-1)</f>
        <v/>
      </c>
      <c r="AO847" s="56">
        <f>IF(AND(OR(BR847="L1",BR847="L23"),AK847&gt;0),SUMIFS($AK$7:$AK$1570,$BR$7:$BR$1570,BR847,$AN$7:$AN$1570,"&gt;"&amp;AN847)+SUMIFS($AK$7:$AK$1570,$BR$7:$BR$1570,BR847,$AN$7:$AN$1570,AN847,$BL$7:$BL$1570,"&lt;="&amp;BL847),"")</f>
        <v/>
      </c>
      <c r="AP847" s="65">
        <f>IF(AO847="",0,MAX(0,MIN(1,(IF(BR847="L1",Parameter!$K$5,Parameter!$K$6+Parameter!$K$7)-(AO847-AK847))/AK847)))</f>
        <v/>
      </c>
      <c r="AQ847" s="55">
        <f>IF(LEFT(Cockpit!$O$5,1)="A",G847,IF(BT847=1,BU847,IF(LEFT(Cockpit!$O$5,1)="B",AU847,MAX(AU847,G847))))</f>
        <v/>
      </c>
      <c r="AR847" s="55">
        <f>IF(BO847=1,0,ROUNDUP(AQ847/BN847,0))</f>
        <v/>
      </c>
      <c r="AS847" s="64">
        <f>IF(BO847=1,IF(AQ847&lt;=0,0,BP847*MAX(1,IF(G847&gt;0,AQ847/G847,1))),AR847*Q847)</f>
        <v/>
      </c>
      <c r="AT847" s="55">
        <f>AQ847*F847</f>
        <v/>
      </c>
      <c r="AU847" s="55">
        <f>ROUNDUP(MAX(I847/IF(BS847&gt;0,BS847,MAX(0.1,N(Cockpit!$O$6))),BV847)/BN847,0)*BN847</f>
        <v/>
      </c>
      <c r="AV847" s="56">
        <f>IF(AS847&gt;0,I847/AS847,-1)</f>
        <v/>
      </c>
      <c r="AW847" s="56">
        <f>IF(AND(OR(BR847="L1",BR847="L23"),AS847&gt;0),SUMIFS($AS$7:$AS$1570,$BR$7:$BR$1570,BR847,$AV$7:$AV$1570,"&gt;"&amp;AV847)+SUMIFS($AS$7:$AS$1570,$BR$7:$BR$1570,BR847,$AV$7:$AV$1570,AV847,$BL$7:$BL$1570,"&lt;="&amp;BL847),"")</f>
        <v/>
      </c>
      <c r="AX847" s="65">
        <f>IF(AW847="",0,MAX(0,MIN(1,(IF(BR847="L1",Parameter!$K$5,Parameter!$K$6+Parameter!$K$7)-(AW847-AS847))/AS847)))</f>
        <v/>
      </c>
      <c r="AY847" s="53">
        <f>IF(AC847&lt;=0,"",IF(BR847="Aussen","Aussenlager",IF(BR847="-","Nicht im Lift",IF(AH847&gt;=1,"Lift",IF(AH847&lt;=0,"Aussenlager","teilweise")))))</f>
        <v/>
      </c>
      <c r="AZ847" s="53">
        <f>IF(AK847&lt;=0,"",IF(BR847="Aussen","Aussenlager",IF(BR847="-","Nicht im Lift",IF(AP847&gt;=1,"Lift",IF(AP847&lt;=0,"Aussenlager","teilweise")))))</f>
        <v/>
      </c>
      <c r="BA847" s="53">
        <f>IF(AS847&lt;=0,"",IF(BR847="Aussen","Aussenlager",IF(BR847="-","Nicht im Lift",IF(AX847&gt;=1,"Lift",IF(AX847&lt;=0,"Aussenlager","teilweise")))))</f>
        <v/>
      </c>
      <c r="BB847" s="53">
        <f>IF(A847="","",IF(BK847=1,"Neu; ","")&amp;IF(AND(BK847=0,BF847&lt;0),"negativer Bestand (Export "&amp;BF847&amp;"); ","")&amp;IF(I847&lt;=0,"Kein Verbrauch; ","")&amp;IF(BO847=1,"Lose – Fläche geschätzt; ","")&amp;IF(G847&gt;AM847,"Überbestand "&amp;ROUND(G847-AM847,0)&amp;" Stk / CHF "&amp;ROUND((G847-AM847)*F847,0)&amp;"; ","")&amp;IF(AND(BT847=1,BU847&lt;BV847),"MAX &lt; MB+LG; ","")&amp;IF(AND(BZ847&gt;0,BY847*10&gt;BZ847),"zu hoch für Tablar; ","")&amp;IF(AND(BK847=0,OR(BT847=1,V847&lt;&gt;"",S847&lt;&gt;"",T847&lt;&gt;"",W847&lt;&gt;"")),"manuell übersteuert; ","")&amp;IF(AND(BO847=0,Q847=0),"Gebinde unbekannt; ","")&amp;IF(AND(BO847=0,N(T847)&lt;=0,N(P847)&lt;=0),"Menge pro Gebinde fehlt (Ist = 1 Gebinde); ","")&amp;BJ847)</f>
        <v/>
      </c>
      <c r="BC847" s="53" t="n"/>
      <c r="BD847" s="53" t="n"/>
      <c r="BE847" s="61" t="n"/>
      <c r="BF847" s="55" t="n">
        <v>-22</v>
      </c>
      <c r="BG847" s="55" t="n">
        <v>31</v>
      </c>
      <c r="BH847" s="54" t="n">
        <v>-15.90999999999999</v>
      </c>
      <c r="BI847" s="55" t="n">
        <v>29</v>
      </c>
      <c r="BJ847" s="53" t="inlineStr"/>
      <c r="BK847" s="58" t="n">
        <v>0</v>
      </c>
      <c r="BL847" s="58" t="n">
        <v>847</v>
      </c>
      <c r="BM847" s="53">
        <f>IF(S847&lt;&gt;"",UPPER(TRIM(S847)),IF(O847="","LOSE",O847))</f>
        <v/>
      </c>
      <c r="BN847" s="55">
        <f>IF(BM847="LOSE",1,IF(N(T847)&gt;0,T847,IF(N(P847)&gt;0,P847,MAX(1,G847))))</f>
        <v/>
      </c>
      <c r="BO847" s="58">
        <f>IF(BM847="LOSE",1,0)</f>
        <v/>
      </c>
      <c r="BP847" s="64">
        <f>IF(BO847=0,0,IF(N(R847)&gt;0,R847,IFERROR(VLOOKUP(D847,Parameter!$A$35:$C$64,3,0)+0,0)))</f>
        <v/>
      </c>
      <c r="BQ847" s="53">
        <f>IF(V847&lt;&gt;"",V847,U847)</f>
        <v/>
      </c>
      <c r="BR847" s="53">
        <f>IF(BQ847=1,"L1",IF(OR(BQ847=2,BQ847=3),"L23",IF(BQ847="Aussen","Aussen","-")))</f>
        <v/>
      </c>
      <c r="BS847" s="66">
        <f>IF(N(W847)&gt;0,W847,0)</f>
        <v/>
      </c>
      <c r="BT847" s="58">
        <f>IF(ISNUMBER(Z847),1,0)</f>
        <v/>
      </c>
      <c r="BU847" s="55">
        <f>N(Z847)</f>
        <v/>
      </c>
      <c r="BV847" s="55">
        <f>N(L847)+N(M847)</f>
        <v/>
      </c>
      <c r="BW847" s="55">
        <f>ROUNDUP(G847/BN847,0)</f>
        <v/>
      </c>
      <c r="BX847" s="55">
        <f>ROUNDUP(BU847/BN847,0)</f>
        <v/>
      </c>
      <c r="BY847" s="58">
        <f>IF(BO847=1,0,IFERROR(VLOOKUP(BM847,'Gebinde-Kategorie'!$A$5:$G$45,5,0)+0,0))</f>
        <v/>
      </c>
      <c r="BZ847" s="58">
        <f>IFERROR(IF(OR(BQ847=1,BQ847=2,BQ847=3),N(INDEX(Parameter!$I$5:$I$7,BQ847)),0),0)</f>
        <v/>
      </c>
    </row>
    <row r="848">
      <c r="A848" s="53" t="inlineStr">
        <is>
          <t>106824</t>
        </is>
      </c>
      <c r="B848" s="53" t="inlineStr">
        <is>
          <t>Zylinderschraube mit Innensechskant</t>
        </is>
      </c>
      <c r="C848" s="53" t="inlineStr">
        <is>
          <t>F</t>
        </is>
      </c>
      <c r="D848" s="53" t="inlineStr">
        <is>
          <t>KTL</t>
        </is>
      </c>
      <c r="E848" s="53" t="inlineStr">
        <is>
          <t>C</t>
        </is>
      </c>
      <c r="F848" s="54" t="n">
        <v>0.37</v>
      </c>
      <c r="G848" s="55">
        <f>MAX(0,IF(Parameter!$B$20="Jahresanfang 2025 + Export",BG848+BF848,BF848))</f>
        <v/>
      </c>
      <c r="H848" s="55">
        <f>G848*F848</f>
        <v/>
      </c>
      <c r="I848" s="55">
        <f>BI848*Parameter!$B$18</f>
        <v/>
      </c>
      <c r="J848" s="56" t="n">
        <v>758.5</v>
      </c>
      <c r="K848" s="57" t="n">
        <v>0.06328279499011207</v>
      </c>
      <c r="L848" s="55" t="n">
        <v>1</v>
      </c>
      <c r="M848" s="55" t="n">
        <v>50</v>
      </c>
      <c r="N848" s="58" t="n">
        <v>14</v>
      </c>
      <c r="O848" s="53" t="inlineStr">
        <is>
          <t>S63</t>
        </is>
      </c>
      <c r="P848" s="55" t="n">
        <v>601</v>
      </c>
      <c r="Q848" s="59">
        <f>IF(BO848=1,0,IFERROR(VLOOKUP(BM848,'Gebinde-Kategorie'!$A$5:$G$45,6,0)+0,0))</f>
        <v/>
      </c>
      <c r="R848" s="60" t="n"/>
      <c r="S848" s="61" t="n"/>
      <c r="T848" s="61" t="n"/>
      <c r="U848" s="53">
        <f>IF(A848="","",IF(IFERROR(VLOOKUP(D848,Parameter!$A$35:$C$64,2,0),"Nein")="2+3",IF(ISNUMBER(SEARCH("grosser Artikel",BJ848)),2,IFERROR(VLOOKUP(BM848,Parameter!$F$35:$G$64,2,0),2)),IF(OR(IFERROR(VLOOKUP(D848,Parameter!$A$35:$C$64,2,0),"Nein")="Nein",IFERROR(VLOOKUP(D848,Parameter!$A$35:$C$64,2,0),"Nein")=""),"-",VLOOKUP(D848,Parameter!$A$35:$C$64,2,0))))</f>
        <v/>
      </c>
      <c r="V848" s="61" t="n"/>
      <c r="W848" s="62" t="n"/>
      <c r="X848" s="55">
        <f>AM848</f>
        <v/>
      </c>
      <c r="Y848" s="55">
        <f>MAX(AM848,G848)</f>
        <v/>
      </c>
      <c r="Z848" s="63" t="n"/>
      <c r="AA848" s="55">
        <f>IF(LEFT(Cockpit!$C$5,1)="A",G848,IF(BT848=1,BU848,IF(LEFT(Cockpit!$C$5,1)="B",AE848,MAX(AE848,G848))))</f>
        <v/>
      </c>
      <c r="AB848" s="55">
        <f>IF(BO848=1,0,ROUNDUP(AA848/BN848,0))</f>
        <v/>
      </c>
      <c r="AC848" s="64">
        <f>IF(BO848=1,IF(AA848&lt;=0,0,BP848*MAX(1,IF(G848&gt;0,AA848/G848,1))),AB848*Q848)</f>
        <v/>
      </c>
      <c r="AD848" s="55">
        <f>AA848*F848</f>
        <v/>
      </c>
      <c r="AE848" s="55">
        <f>ROUNDUP(MAX(I848/IF(BS848&gt;0,BS848,MAX(0.1,N(Cockpit!$C$6))),BV848)/BN848,0)*BN848</f>
        <v/>
      </c>
      <c r="AF848" s="56">
        <f>IF(AC848&gt;0,I848/AC848,-1)</f>
        <v/>
      </c>
      <c r="AG848" s="56">
        <f>IF(AND(OR(BR848="L1",BR848="L23"),AC848&gt;0),SUMIFS($AC$7:$AC$1570,$BR$7:$BR$1570,BR848,$AF$7:$AF$1570,"&gt;"&amp;AF848)+SUMIFS($AC$7:$AC$1570,$BR$7:$BR$1570,BR848,$AF$7:$AF$1570,AF848,$BL$7:$BL$1570,"&lt;="&amp;BL848),"")</f>
        <v/>
      </c>
      <c r="AH848" s="65">
        <f>IF(AG848="",0,MAX(0,MIN(1,(IF(BR848="L1",Parameter!$K$5,Parameter!$K$6+Parameter!$K$7)-(AG848-AC848))/AC848)))</f>
        <v/>
      </c>
      <c r="AI848" s="55">
        <f>IF(LEFT(Cockpit!$I$5,1)="A",G848,IF(BT848=1,BU848,IF(LEFT(Cockpit!$I$5,1)="B",AM848,MAX(AM848,G848))))</f>
        <v/>
      </c>
      <c r="AJ848" s="55">
        <f>IF(BO848=1,0,ROUNDUP(AI848/BN848,0))</f>
        <v/>
      </c>
      <c r="AK848" s="64">
        <f>IF(BO848=1,IF(AI848&lt;=0,0,BP848*MAX(1,IF(G848&gt;0,AI848/G848,1))),AJ848*Q848)</f>
        <v/>
      </c>
      <c r="AL848" s="55">
        <f>AI848*F848</f>
        <v/>
      </c>
      <c r="AM848" s="55">
        <f>ROUNDUP(MAX(I848/IF(BS848&gt;0,BS848,MAX(0.1,N(Cockpit!$I$6))),BV848)/BN848,0)*BN848</f>
        <v/>
      </c>
      <c r="AN848" s="56">
        <f>IF(AK848&gt;0,I848/AK848,-1)</f>
        <v/>
      </c>
      <c r="AO848" s="56">
        <f>IF(AND(OR(BR848="L1",BR848="L23"),AK848&gt;0),SUMIFS($AK$7:$AK$1570,$BR$7:$BR$1570,BR848,$AN$7:$AN$1570,"&gt;"&amp;AN848)+SUMIFS($AK$7:$AK$1570,$BR$7:$BR$1570,BR848,$AN$7:$AN$1570,AN848,$BL$7:$BL$1570,"&lt;="&amp;BL848),"")</f>
        <v/>
      </c>
      <c r="AP848" s="65">
        <f>IF(AO848="",0,MAX(0,MIN(1,(IF(BR848="L1",Parameter!$K$5,Parameter!$K$6+Parameter!$K$7)-(AO848-AK848))/AK848)))</f>
        <v/>
      </c>
      <c r="AQ848" s="55">
        <f>IF(LEFT(Cockpit!$O$5,1)="A",G848,IF(BT848=1,BU848,IF(LEFT(Cockpit!$O$5,1)="B",AU848,MAX(AU848,G848))))</f>
        <v/>
      </c>
      <c r="AR848" s="55">
        <f>IF(BO848=1,0,ROUNDUP(AQ848/BN848,0))</f>
        <v/>
      </c>
      <c r="AS848" s="64">
        <f>IF(BO848=1,IF(AQ848&lt;=0,0,BP848*MAX(1,IF(G848&gt;0,AQ848/G848,1))),AR848*Q848)</f>
        <v/>
      </c>
      <c r="AT848" s="55">
        <f>AQ848*F848</f>
        <v/>
      </c>
      <c r="AU848" s="55">
        <f>ROUNDUP(MAX(I848/IF(BS848&gt;0,BS848,MAX(0.1,N(Cockpit!$O$6))),BV848)/BN848,0)*BN848</f>
        <v/>
      </c>
      <c r="AV848" s="56">
        <f>IF(AS848&gt;0,I848/AS848,-1)</f>
        <v/>
      </c>
      <c r="AW848" s="56">
        <f>IF(AND(OR(BR848="L1",BR848="L23"),AS848&gt;0),SUMIFS($AS$7:$AS$1570,$BR$7:$BR$1570,BR848,$AV$7:$AV$1570,"&gt;"&amp;AV848)+SUMIFS($AS$7:$AS$1570,$BR$7:$BR$1570,BR848,$AV$7:$AV$1570,AV848,$BL$7:$BL$1570,"&lt;="&amp;BL848),"")</f>
        <v/>
      </c>
      <c r="AX848" s="65">
        <f>IF(AW848="",0,MAX(0,MIN(1,(IF(BR848="L1",Parameter!$K$5,Parameter!$K$6+Parameter!$K$7)-(AW848-AS848))/AS848)))</f>
        <v/>
      </c>
      <c r="AY848" s="53">
        <f>IF(AC848&lt;=0,"",IF(BR848="Aussen","Aussenlager",IF(BR848="-","Nicht im Lift",IF(AH848&gt;=1,"Lift",IF(AH848&lt;=0,"Aussenlager","teilweise")))))</f>
        <v/>
      </c>
      <c r="AZ848" s="53">
        <f>IF(AK848&lt;=0,"",IF(BR848="Aussen","Aussenlager",IF(BR848="-","Nicht im Lift",IF(AP848&gt;=1,"Lift",IF(AP848&lt;=0,"Aussenlager","teilweise")))))</f>
        <v/>
      </c>
      <c r="BA848" s="53">
        <f>IF(AS848&lt;=0,"",IF(BR848="Aussen","Aussenlager",IF(BR848="-","Nicht im Lift",IF(AX848&gt;=1,"Lift",IF(AX848&lt;=0,"Aussenlager","teilweise")))))</f>
        <v/>
      </c>
      <c r="BB848" s="53">
        <f>IF(A848="","",IF(BK848=1,"Neu; ","")&amp;IF(AND(BK848=0,BF848&lt;0),"negativer Bestand (Export "&amp;BF848&amp;"); ","")&amp;IF(I848&lt;=0,"Kein Verbrauch; ","")&amp;IF(BO848=1,"Lose – Fläche geschätzt; ","")&amp;IF(G848&gt;AM848,"Überbestand "&amp;ROUND(G848-AM848,0)&amp;" Stk / CHF "&amp;ROUND((G848-AM848)*F848,0)&amp;"; ","")&amp;IF(AND(BT848=1,BU848&lt;BV848),"MAX &lt; MB+LG; ","")&amp;IF(AND(BZ848&gt;0,BY848*10&gt;BZ848),"zu hoch für Tablar; ","")&amp;IF(AND(BK848=0,OR(BT848=1,V848&lt;&gt;"",S848&lt;&gt;"",T848&lt;&gt;"",W848&lt;&gt;"")),"manuell übersteuert; ","")&amp;IF(AND(BO848=0,Q848=0),"Gebinde unbekannt; ","")&amp;IF(AND(BO848=0,N(T848)&lt;=0,N(P848)&lt;=0),"Menge pro Gebinde fehlt (Ist = 1 Gebinde); ","")&amp;BJ848)</f>
        <v/>
      </c>
      <c r="BC848" s="53" t="n"/>
      <c r="BD848" s="53" t="n"/>
      <c r="BE848" s="61" t="n"/>
      <c r="BF848" s="55" t="n">
        <v>-43</v>
      </c>
      <c r="BG848" s="55" t="n">
        <v>780</v>
      </c>
      <c r="BH848" s="54" t="n">
        <v>-15.91</v>
      </c>
      <c r="BI848" s="55" t="n">
        <v>48</v>
      </c>
      <c r="BJ848" s="53" t="inlineStr">
        <is>
          <t>Überbestand</t>
        </is>
      </c>
      <c r="BK848" s="58" t="n">
        <v>0</v>
      </c>
      <c r="BL848" s="58" t="n">
        <v>848</v>
      </c>
      <c r="BM848" s="53">
        <f>IF(S848&lt;&gt;"",UPPER(TRIM(S848)),IF(O848="","LOSE",O848))</f>
        <v/>
      </c>
      <c r="BN848" s="55">
        <f>IF(BM848="LOSE",1,IF(N(T848)&gt;0,T848,IF(N(P848)&gt;0,P848,MAX(1,G848))))</f>
        <v/>
      </c>
      <c r="BO848" s="58">
        <f>IF(BM848="LOSE",1,0)</f>
        <v/>
      </c>
      <c r="BP848" s="64">
        <f>IF(BO848=0,0,IF(N(R848)&gt;0,R848,IFERROR(VLOOKUP(D848,Parameter!$A$35:$C$64,3,0)+0,0)))</f>
        <v/>
      </c>
      <c r="BQ848" s="53">
        <f>IF(V848&lt;&gt;"",V848,U848)</f>
        <v/>
      </c>
      <c r="BR848" s="53">
        <f>IF(BQ848=1,"L1",IF(OR(BQ848=2,BQ848=3),"L23",IF(BQ848="Aussen","Aussen","-")))</f>
        <v/>
      </c>
      <c r="BS848" s="66">
        <f>IF(N(W848)&gt;0,W848,0)</f>
        <v/>
      </c>
      <c r="BT848" s="58">
        <f>IF(ISNUMBER(Z848),1,0)</f>
        <v/>
      </c>
      <c r="BU848" s="55">
        <f>N(Z848)</f>
        <v/>
      </c>
      <c r="BV848" s="55">
        <f>N(L848)+N(M848)</f>
        <v/>
      </c>
      <c r="BW848" s="55">
        <f>ROUNDUP(G848/BN848,0)</f>
        <v/>
      </c>
      <c r="BX848" s="55">
        <f>ROUNDUP(BU848/BN848,0)</f>
        <v/>
      </c>
      <c r="BY848" s="58">
        <f>IF(BO848=1,0,IFERROR(VLOOKUP(BM848,'Gebinde-Kategorie'!$A$5:$G$45,5,0)+0,0))</f>
        <v/>
      </c>
      <c r="BZ848" s="58">
        <f>IFERROR(IF(OR(BQ848=1,BQ848=2,BQ848=3),N(INDEX(Parameter!$I$5:$I$7,BQ848)),0),0)</f>
        <v/>
      </c>
    </row>
    <row r="849">
      <c r="A849" s="53" t="inlineStr">
        <is>
          <t>108544</t>
        </is>
      </c>
      <c r="B849" s="53" t="inlineStr">
        <is>
          <t>Verschlussstopfen</t>
        </is>
      </c>
      <c r="C849" s="53" t="inlineStr">
        <is>
          <t>F</t>
        </is>
      </c>
      <c r="D849" s="53" t="inlineStr">
        <is>
          <t>KTL</t>
        </is>
      </c>
      <c r="E849" s="53" t="inlineStr">
        <is>
          <t>C</t>
        </is>
      </c>
      <c r="F849" s="54" t="n">
        <v>2.55</v>
      </c>
      <c r="G849" s="55">
        <f>MAX(0,IF(Parameter!$B$20="Jahresanfang 2025 + Export",BG849+BF849,BF849))</f>
        <v/>
      </c>
      <c r="H849" s="55">
        <f>G849*F849</f>
        <v/>
      </c>
      <c r="I849" s="55">
        <f>BI849*Parameter!$B$18</f>
        <v/>
      </c>
      <c r="J849" s="56" t="n">
        <v>58.5</v>
      </c>
      <c r="K849" s="57" t="n">
        <v>0.9230769230769231</v>
      </c>
      <c r="L849" s="55" t="n">
        <v>2</v>
      </c>
      <c r="M849" s="55" t="n">
        <v>55</v>
      </c>
      <c r="N849" s="58" t="n">
        <v>14</v>
      </c>
      <c r="O849" s="53" t="inlineStr">
        <is>
          <t>S32</t>
        </is>
      </c>
      <c r="P849" s="55" t="n">
        <v>46</v>
      </c>
      <c r="Q849" s="59">
        <f>IF(BO849=1,0,IFERROR(VLOOKUP(BM849,'Gebinde-Kategorie'!$A$5:$G$45,6,0)+0,0))</f>
        <v/>
      </c>
      <c r="R849" s="60" t="n"/>
      <c r="S849" s="61" t="n"/>
      <c r="T849" s="61" t="n"/>
      <c r="U849" s="53">
        <f>IF(A849="","",IF(IFERROR(VLOOKUP(D849,Parameter!$A$35:$C$64,2,0),"Nein")="2+3",IF(ISNUMBER(SEARCH("grosser Artikel",BJ849)),2,IFERROR(VLOOKUP(BM849,Parameter!$F$35:$G$64,2,0),2)),IF(OR(IFERROR(VLOOKUP(D849,Parameter!$A$35:$C$64,2,0),"Nein")="Nein",IFERROR(VLOOKUP(D849,Parameter!$A$35:$C$64,2,0),"Nein")=""),"-",VLOOKUP(D849,Parameter!$A$35:$C$64,2,0))))</f>
        <v/>
      </c>
      <c r="V849" s="61" t="n"/>
      <c r="W849" s="62" t="n"/>
      <c r="X849" s="55">
        <f>AM849</f>
        <v/>
      </c>
      <c r="Y849" s="55">
        <f>MAX(AM849,G849)</f>
        <v/>
      </c>
      <c r="Z849" s="63" t="n"/>
      <c r="AA849" s="55">
        <f>IF(LEFT(Cockpit!$C$5,1)="A",G849,IF(BT849=1,BU849,IF(LEFT(Cockpit!$C$5,1)="B",AE849,MAX(AE849,G849))))</f>
        <v/>
      </c>
      <c r="AB849" s="55">
        <f>IF(BO849=1,0,ROUNDUP(AA849/BN849,0))</f>
        <v/>
      </c>
      <c r="AC849" s="64">
        <f>IF(BO849=1,IF(AA849&lt;=0,0,BP849*MAX(1,IF(G849&gt;0,AA849/G849,1))),AB849*Q849)</f>
        <v/>
      </c>
      <c r="AD849" s="55">
        <f>AA849*F849</f>
        <v/>
      </c>
      <c r="AE849" s="55">
        <f>ROUNDUP(MAX(I849/IF(BS849&gt;0,BS849,MAX(0.1,N(Cockpit!$C$6))),BV849)/BN849,0)*BN849</f>
        <v/>
      </c>
      <c r="AF849" s="56">
        <f>IF(AC849&gt;0,I849/AC849,-1)</f>
        <v/>
      </c>
      <c r="AG849" s="56">
        <f>IF(AND(OR(BR849="L1",BR849="L23"),AC849&gt;0),SUMIFS($AC$7:$AC$1570,$BR$7:$BR$1570,BR849,$AF$7:$AF$1570,"&gt;"&amp;AF849)+SUMIFS($AC$7:$AC$1570,$BR$7:$BR$1570,BR849,$AF$7:$AF$1570,AF849,$BL$7:$BL$1570,"&lt;="&amp;BL849),"")</f>
        <v/>
      </c>
      <c r="AH849" s="65">
        <f>IF(AG849="",0,MAX(0,MIN(1,(IF(BR849="L1",Parameter!$K$5,Parameter!$K$6+Parameter!$K$7)-(AG849-AC849))/AC849)))</f>
        <v/>
      </c>
      <c r="AI849" s="55">
        <f>IF(LEFT(Cockpit!$I$5,1)="A",G849,IF(BT849=1,BU849,IF(LEFT(Cockpit!$I$5,1)="B",AM849,MAX(AM849,G849))))</f>
        <v/>
      </c>
      <c r="AJ849" s="55">
        <f>IF(BO849=1,0,ROUNDUP(AI849/BN849,0))</f>
        <v/>
      </c>
      <c r="AK849" s="64">
        <f>IF(BO849=1,IF(AI849&lt;=0,0,BP849*MAX(1,IF(G849&gt;0,AI849/G849,1))),AJ849*Q849)</f>
        <v/>
      </c>
      <c r="AL849" s="55">
        <f>AI849*F849</f>
        <v/>
      </c>
      <c r="AM849" s="55">
        <f>ROUNDUP(MAX(I849/IF(BS849&gt;0,BS849,MAX(0.1,N(Cockpit!$I$6))),BV849)/BN849,0)*BN849</f>
        <v/>
      </c>
      <c r="AN849" s="56">
        <f>IF(AK849&gt;0,I849/AK849,-1)</f>
        <v/>
      </c>
      <c r="AO849" s="56">
        <f>IF(AND(OR(BR849="L1",BR849="L23"),AK849&gt;0),SUMIFS($AK$7:$AK$1570,$BR$7:$BR$1570,BR849,$AN$7:$AN$1570,"&gt;"&amp;AN849)+SUMIFS($AK$7:$AK$1570,$BR$7:$BR$1570,BR849,$AN$7:$AN$1570,AN849,$BL$7:$BL$1570,"&lt;="&amp;BL849),"")</f>
        <v/>
      </c>
      <c r="AP849" s="65">
        <f>IF(AO849="",0,MAX(0,MIN(1,(IF(BR849="L1",Parameter!$K$5,Parameter!$K$6+Parameter!$K$7)-(AO849-AK849))/AK849)))</f>
        <v/>
      </c>
      <c r="AQ849" s="55">
        <f>IF(LEFT(Cockpit!$O$5,1)="A",G849,IF(BT849=1,BU849,IF(LEFT(Cockpit!$O$5,1)="B",AU849,MAX(AU849,G849))))</f>
        <v/>
      </c>
      <c r="AR849" s="55">
        <f>IF(BO849=1,0,ROUNDUP(AQ849/BN849,0))</f>
        <v/>
      </c>
      <c r="AS849" s="64">
        <f>IF(BO849=1,IF(AQ849&lt;=0,0,BP849*MAX(1,IF(G849&gt;0,AQ849/G849,1))),AR849*Q849)</f>
        <v/>
      </c>
      <c r="AT849" s="55">
        <f>AQ849*F849</f>
        <v/>
      </c>
      <c r="AU849" s="55">
        <f>ROUNDUP(MAX(I849/IF(BS849&gt;0,BS849,MAX(0.1,N(Cockpit!$O$6))),BV849)/BN849,0)*BN849</f>
        <v/>
      </c>
      <c r="AV849" s="56">
        <f>IF(AS849&gt;0,I849/AS849,-1)</f>
        <v/>
      </c>
      <c r="AW849" s="56">
        <f>IF(AND(OR(BR849="L1",BR849="L23"),AS849&gt;0),SUMIFS($AS$7:$AS$1570,$BR$7:$BR$1570,BR849,$AV$7:$AV$1570,"&gt;"&amp;AV849)+SUMIFS($AS$7:$AS$1570,$BR$7:$BR$1570,BR849,$AV$7:$AV$1570,AV849,$BL$7:$BL$1570,"&lt;="&amp;BL849),"")</f>
        <v/>
      </c>
      <c r="AX849" s="65">
        <f>IF(AW849="",0,MAX(0,MIN(1,(IF(BR849="L1",Parameter!$K$5,Parameter!$K$6+Parameter!$K$7)-(AW849-AS849))/AS849)))</f>
        <v/>
      </c>
      <c r="AY849" s="53">
        <f>IF(AC849&lt;=0,"",IF(BR849="Aussen","Aussenlager",IF(BR849="-","Nicht im Lift",IF(AH849&gt;=1,"Lift",IF(AH849&lt;=0,"Aussenlager","teilweise")))))</f>
        <v/>
      </c>
      <c r="AZ849" s="53">
        <f>IF(AK849&lt;=0,"",IF(BR849="Aussen","Aussenlager",IF(BR849="-","Nicht im Lift",IF(AP849&gt;=1,"Lift",IF(AP849&lt;=0,"Aussenlager","teilweise")))))</f>
        <v/>
      </c>
      <c r="BA849" s="53">
        <f>IF(AS849&lt;=0,"",IF(BR849="Aussen","Aussenlager",IF(BR849="-","Nicht im Lift",IF(AX849&gt;=1,"Lift",IF(AX849&lt;=0,"Aussenlager","teilweise")))))</f>
        <v/>
      </c>
      <c r="BB849" s="53">
        <f>IF(A849="","",IF(BK849=1,"Neu; ","")&amp;IF(AND(BK849=0,BF849&lt;0),"negativer Bestand (Export "&amp;BF849&amp;"); ","")&amp;IF(I849&lt;=0,"Kein Verbrauch; ","")&amp;IF(BO849=1,"Lose – Fläche geschätzt; ","")&amp;IF(G849&gt;AM849,"Überbestand "&amp;ROUND(G849-AM849,0)&amp;" Stk / CHF "&amp;ROUND((G849-AM849)*F849,0)&amp;"; ","")&amp;IF(AND(BT849=1,BU849&lt;BV849),"MAX &lt; MB+LG; ","")&amp;IF(AND(BZ849&gt;0,BY849*10&gt;BZ849),"zu hoch für Tablar; ","")&amp;IF(AND(BK849=0,OR(BT849=1,V849&lt;&gt;"",S849&lt;&gt;"",T849&lt;&gt;"",W849&lt;&gt;"")),"manuell übersteuert; ","")&amp;IF(AND(BO849=0,Q849=0),"Gebinde unbekannt; ","")&amp;IF(AND(BO849=0,N(T849)&lt;=0,N(P849)&lt;=0),"Menge pro Gebinde fehlt (Ist = 1 Gebinde); ","")&amp;BJ849)</f>
        <v/>
      </c>
      <c r="BC849" s="53" t="n"/>
      <c r="BD849" s="53" t="n"/>
      <c r="BE849" s="61" t="n"/>
      <c r="BF849" s="55" t="n">
        <v>0</v>
      </c>
      <c r="BG849" s="55" t="n">
        <v>29</v>
      </c>
      <c r="BH849" s="54" t="n">
        <v>-15.95000000000022</v>
      </c>
      <c r="BI849" s="55" t="n">
        <v>54</v>
      </c>
      <c r="BJ849" s="53" t="inlineStr"/>
      <c r="BK849" s="58" t="n">
        <v>0</v>
      </c>
      <c r="BL849" s="58" t="n">
        <v>849</v>
      </c>
      <c r="BM849" s="53">
        <f>IF(S849&lt;&gt;"",UPPER(TRIM(S849)),IF(O849="","LOSE",O849))</f>
        <v/>
      </c>
      <c r="BN849" s="55">
        <f>IF(BM849="LOSE",1,IF(N(T849)&gt;0,T849,IF(N(P849)&gt;0,P849,MAX(1,G849))))</f>
        <v/>
      </c>
      <c r="BO849" s="58">
        <f>IF(BM849="LOSE",1,0)</f>
        <v/>
      </c>
      <c r="BP849" s="64">
        <f>IF(BO849=0,0,IF(N(R849)&gt;0,R849,IFERROR(VLOOKUP(D849,Parameter!$A$35:$C$64,3,0)+0,0)))</f>
        <v/>
      </c>
      <c r="BQ849" s="53">
        <f>IF(V849&lt;&gt;"",V849,U849)</f>
        <v/>
      </c>
      <c r="BR849" s="53">
        <f>IF(BQ849=1,"L1",IF(OR(BQ849=2,BQ849=3),"L23",IF(BQ849="Aussen","Aussen","-")))</f>
        <v/>
      </c>
      <c r="BS849" s="66">
        <f>IF(N(W849)&gt;0,W849,0)</f>
        <v/>
      </c>
      <c r="BT849" s="58">
        <f>IF(ISNUMBER(Z849),1,0)</f>
        <v/>
      </c>
      <c r="BU849" s="55">
        <f>N(Z849)</f>
        <v/>
      </c>
      <c r="BV849" s="55">
        <f>N(L849)+N(M849)</f>
        <v/>
      </c>
      <c r="BW849" s="55">
        <f>ROUNDUP(G849/BN849,0)</f>
        <v/>
      </c>
      <c r="BX849" s="55">
        <f>ROUNDUP(BU849/BN849,0)</f>
        <v/>
      </c>
      <c r="BY849" s="58">
        <f>IF(BO849=1,0,IFERROR(VLOOKUP(BM849,'Gebinde-Kategorie'!$A$5:$G$45,5,0)+0,0))</f>
        <v/>
      </c>
      <c r="BZ849" s="58">
        <f>IFERROR(IF(OR(BQ849=1,BQ849=2,BQ849=3),N(INDEX(Parameter!$I$5:$I$7,BQ849)),0),0)</f>
        <v/>
      </c>
    </row>
    <row r="850">
      <c r="A850" s="53" t="inlineStr">
        <is>
          <t>103031</t>
        </is>
      </c>
      <c r="B850" s="53" t="inlineStr">
        <is>
          <t>Zylinderschraube mit Innensechskant</t>
        </is>
      </c>
      <c r="C850" s="53" t="inlineStr">
        <is>
          <t>F</t>
        </is>
      </c>
      <c r="D850" s="53" t="inlineStr">
        <is>
          <t>KTL</t>
        </is>
      </c>
      <c r="E850" s="53" t="inlineStr">
        <is>
          <t>C</t>
        </is>
      </c>
      <c r="F850" s="54" t="n">
        <v>0.64</v>
      </c>
      <c r="G850" s="55">
        <f>MAX(0,IF(Parameter!$B$20="Jahresanfang 2025 + Export",BG850+BF850,BF850))</f>
        <v/>
      </c>
      <c r="H850" s="55">
        <f>G850*F850</f>
        <v/>
      </c>
      <c r="I850" s="55">
        <f>BI850*Parameter!$B$18</f>
        <v/>
      </c>
      <c r="J850" s="56" t="n">
        <v>86.5</v>
      </c>
      <c r="K850" s="57" t="n">
        <v>2.936416184971098</v>
      </c>
      <c r="L850" s="55" t="n">
        <v>14</v>
      </c>
      <c r="M850" s="55" t="n">
        <v>255</v>
      </c>
      <c r="N850" s="58" t="n">
        <v>21</v>
      </c>
      <c r="O850" s="53" t="inlineStr">
        <is>
          <t>S51</t>
        </is>
      </c>
      <c r="P850" s="55" t="n">
        <v>126</v>
      </c>
      <c r="Q850" s="59">
        <f>IF(BO850=1,0,IFERROR(VLOOKUP(BM850,'Gebinde-Kategorie'!$A$5:$G$45,6,0)+0,0))</f>
        <v/>
      </c>
      <c r="R850" s="60" t="n"/>
      <c r="S850" s="61" t="n"/>
      <c r="T850" s="61" t="n"/>
      <c r="U850" s="53">
        <f>IF(A850="","",IF(IFERROR(VLOOKUP(D850,Parameter!$A$35:$C$64,2,0),"Nein")="2+3",IF(ISNUMBER(SEARCH("grosser Artikel",BJ850)),2,IFERROR(VLOOKUP(BM850,Parameter!$F$35:$G$64,2,0),2)),IF(OR(IFERROR(VLOOKUP(D850,Parameter!$A$35:$C$64,2,0),"Nein")="Nein",IFERROR(VLOOKUP(D850,Parameter!$A$35:$C$64,2,0),"Nein")=""),"-",VLOOKUP(D850,Parameter!$A$35:$C$64,2,0))))</f>
        <v/>
      </c>
      <c r="V850" s="61" t="n"/>
      <c r="W850" s="62" t="n"/>
      <c r="X850" s="55">
        <f>AM850</f>
        <v/>
      </c>
      <c r="Y850" s="55">
        <f>MAX(AM850,G850)</f>
        <v/>
      </c>
      <c r="Z850" s="63" t="n"/>
      <c r="AA850" s="55">
        <f>IF(LEFT(Cockpit!$C$5,1)="A",G850,IF(BT850=1,BU850,IF(LEFT(Cockpit!$C$5,1)="B",AE850,MAX(AE850,G850))))</f>
        <v/>
      </c>
      <c r="AB850" s="55">
        <f>IF(BO850=1,0,ROUNDUP(AA850/BN850,0))</f>
        <v/>
      </c>
      <c r="AC850" s="64">
        <f>IF(BO850=1,IF(AA850&lt;=0,0,BP850*MAX(1,IF(G850&gt;0,AA850/G850,1))),AB850*Q850)</f>
        <v/>
      </c>
      <c r="AD850" s="55">
        <f>AA850*F850</f>
        <v/>
      </c>
      <c r="AE850" s="55">
        <f>ROUNDUP(MAX(I850/IF(BS850&gt;0,BS850,MAX(0.1,N(Cockpit!$C$6))),BV850)/BN850,0)*BN850</f>
        <v/>
      </c>
      <c r="AF850" s="56">
        <f>IF(AC850&gt;0,I850/AC850,-1)</f>
        <v/>
      </c>
      <c r="AG850" s="56">
        <f>IF(AND(OR(BR850="L1",BR850="L23"),AC850&gt;0),SUMIFS($AC$7:$AC$1570,$BR$7:$BR$1570,BR850,$AF$7:$AF$1570,"&gt;"&amp;AF850)+SUMIFS($AC$7:$AC$1570,$BR$7:$BR$1570,BR850,$AF$7:$AF$1570,AF850,$BL$7:$BL$1570,"&lt;="&amp;BL850),"")</f>
        <v/>
      </c>
      <c r="AH850" s="65">
        <f>IF(AG850="",0,MAX(0,MIN(1,(IF(BR850="L1",Parameter!$K$5,Parameter!$K$6+Parameter!$K$7)-(AG850-AC850))/AC850)))</f>
        <v/>
      </c>
      <c r="AI850" s="55">
        <f>IF(LEFT(Cockpit!$I$5,1)="A",G850,IF(BT850=1,BU850,IF(LEFT(Cockpit!$I$5,1)="B",AM850,MAX(AM850,G850))))</f>
        <v/>
      </c>
      <c r="AJ850" s="55">
        <f>IF(BO850=1,0,ROUNDUP(AI850/BN850,0))</f>
        <v/>
      </c>
      <c r="AK850" s="64">
        <f>IF(BO850=1,IF(AI850&lt;=0,0,BP850*MAX(1,IF(G850&gt;0,AI850/G850,1))),AJ850*Q850)</f>
        <v/>
      </c>
      <c r="AL850" s="55">
        <f>AI850*F850</f>
        <v/>
      </c>
      <c r="AM850" s="55">
        <f>ROUNDUP(MAX(I850/IF(BS850&gt;0,BS850,MAX(0.1,N(Cockpit!$I$6))),BV850)/BN850,0)*BN850</f>
        <v/>
      </c>
      <c r="AN850" s="56">
        <f>IF(AK850&gt;0,I850/AK850,-1)</f>
        <v/>
      </c>
      <c r="AO850" s="56">
        <f>IF(AND(OR(BR850="L1",BR850="L23"),AK850&gt;0),SUMIFS($AK$7:$AK$1570,$BR$7:$BR$1570,BR850,$AN$7:$AN$1570,"&gt;"&amp;AN850)+SUMIFS($AK$7:$AK$1570,$BR$7:$BR$1570,BR850,$AN$7:$AN$1570,AN850,$BL$7:$BL$1570,"&lt;="&amp;BL850),"")</f>
        <v/>
      </c>
      <c r="AP850" s="65">
        <f>IF(AO850="",0,MAX(0,MIN(1,(IF(BR850="L1",Parameter!$K$5,Parameter!$K$6+Parameter!$K$7)-(AO850-AK850))/AK850)))</f>
        <v/>
      </c>
      <c r="AQ850" s="55">
        <f>IF(LEFT(Cockpit!$O$5,1)="A",G850,IF(BT850=1,BU850,IF(LEFT(Cockpit!$O$5,1)="B",AU850,MAX(AU850,G850))))</f>
        <v/>
      </c>
      <c r="AR850" s="55">
        <f>IF(BO850=1,0,ROUNDUP(AQ850/BN850,0))</f>
        <v/>
      </c>
      <c r="AS850" s="64">
        <f>IF(BO850=1,IF(AQ850&lt;=0,0,BP850*MAX(1,IF(G850&gt;0,AQ850/G850,1))),AR850*Q850)</f>
        <v/>
      </c>
      <c r="AT850" s="55">
        <f>AQ850*F850</f>
        <v/>
      </c>
      <c r="AU850" s="55">
        <f>ROUNDUP(MAX(I850/IF(BS850&gt;0,BS850,MAX(0.1,N(Cockpit!$O$6))),BV850)/BN850,0)*BN850</f>
        <v/>
      </c>
      <c r="AV850" s="56">
        <f>IF(AS850&gt;0,I850/AS850,-1)</f>
        <v/>
      </c>
      <c r="AW850" s="56">
        <f>IF(AND(OR(BR850="L1",BR850="L23"),AS850&gt;0),SUMIFS($AS$7:$AS$1570,$BR$7:$BR$1570,BR850,$AV$7:$AV$1570,"&gt;"&amp;AV850)+SUMIFS($AS$7:$AS$1570,$BR$7:$BR$1570,BR850,$AV$7:$AV$1570,AV850,$BL$7:$BL$1570,"&lt;="&amp;BL850),"")</f>
        <v/>
      </c>
      <c r="AX850" s="65">
        <f>IF(AW850="",0,MAX(0,MIN(1,(IF(BR850="L1",Parameter!$K$5,Parameter!$K$6+Parameter!$K$7)-(AW850-AS850))/AS850)))</f>
        <v/>
      </c>
      <c r="AY850" s="53">
        <f>IF(AC850&lt;=0,"",IF(BR850="Aussen","Aussenlager",IF(BR850="-","Nicht im Lift",IF(AH850&gt;=1,"Lift",IF(AH850&lt;=0,"Aussenlager","teilweise")))))</f>
        <v/>
      </c>
      <c r="AZ850" s="53">
        <f>IF(AK850&lt;=0,"",IF(BR850="Aussen","Aussenlager",IF(BR850="-","Nicht im Lift",IF(AP850&gt;=1,"Lift",IF(AP850&lt;=0,"Aussenlager","teilweise")))))</f>
        <v/>
      </c>
      <c r="BA850" s="53">
        <f>IF(AS850&lt;=0,"",IF(BR850="Aussen","Aussenlager",IF(BR850="-","Nicht im Lift",IF(AX850&gt;=1,"Lift",IF(AX850&lt;=0,"Aussenlager","teilweise")))))</f>
        <v/>
      </c>
      <c r="BB850" s="53">
        <f>IF(A850="","",IF(BK850=1,"Neu; ","")&amp;IF(AND(BK850=0,BF850&lt;0),"negativer Bestand (Export "&amp;BF850&amp;"); ","")&amp;IF(I850&lt;=0,"Kein Verbrauch; ","")&amp;IF(BO850=1,"Lose – Fläche geschätzt; ","")&amp;IF(G850&gt;AM850,"Überbestand "&amp;ROUND(G850-AM850,0)&amp;" Stk / CHF "&amp;ROUND((G850-AM850)*F850,0)&amp;"; ","")&amp;IF(AND(BT850=1,BU850&lt;BV850),"MAX &lt; MB+LG; ","")&amp;IF(AND(BZ850&gt;0,BY850*10&gt;BZ850),"zu hoch für Tablar; ","")&amp;IF(AND(BK850=0,OR(BT850=1,V850&lt;&gt;"",S850&lt;&gt;"",T850&lt;&gt;"",W850&lt;&gt;"")),"manuell übersteuert; ","")&amp;IF(AND(BO850=0,Q850=0),"Gebinde unbekannt; ","")&amp;IF(AND(BO850=0,N(T850)&lt;=0,N(P850)&lt;=0),"Menge pro Gebinde fehlt (Ist = 1 Gebinde); ","")&amp;BJ850)</f>
        <v/>
      </c>
      <c r="BC850" s="53" t="n"/>
      <c r="BD850" s="53" t="n"/>
      <c r="BE850" s="61" t="n"/>
      <c r="BF850" s="55" t="n">
        <v>-37</v>
      </c>
      <c r="BG850" s="55" t="n">
        <v>120</v>
      </c>
      <c r="BH850" s="54" t="n">
        <v>-16.47999999999999</v>
      </c>
      <c r="BI850" s="55" t="n">
        <v>254</v>
      </c>
      <c r="BJ850" s="53" t="inlineStr"/>
      <c r="BK850" s="58" t="n">
        <v>0</v>
      </c>
      <c r="BL850" s="58" t="n">
        <v>850</v>
      </c>
      <c r="BM850" s="53">
        <f>IF(S850&lt;&gt;"",UPPER(TRIM(S850)),IF(O850="","LOSE",O850))</f>
        <v/>
      </c>
      <c r="BN850" s="55">
        <f>IF(BM850="LOSE",1,IF(N(T850)&gt;0,T850,IF(N(P850)&gt;0,P850,MAX(1,G850))))</f>
        <v/>
      </c>
      <c r="BO850" s="58">
        <f>IF(BM850="LOSE",1,0)</f>
        <v/>
      </c>
      <c r="BP850" s="64">
        <f>IF(BO850=0,0,IF(N(R850)&gt;0,R850,IFERROR(VLOOKUP(D850,Parameter!$A$35:$C$64,3,0)+0,0)))</f>
        <v/>
      </c>
      <c r="BQ850" s="53">
        <f>IF(V850&lt;&gt;"",V850,U850)</f>
        <v/>
      </c>
      <c r="BR850" s="53">
        <f>IF(BQ850=1,"L1",IF(OR(BQ850=2,BQ850=3),"L23",IF(BQ850="Aussen","Aussen","-")))</f>
        <v/>
      </c>
      <c r="BS850" s="66">
        <f>IF(N(W850)&gt;0,W850,0)</f>
        <v/>
      </c>
      <c r="BT850" s="58">
        <f>IF(ISNUMBER(Z850),1,0)</f>
        <v/>
      </c>
      <c r="BU850" s="55">
        <f>N(Z850)</f>
        <v/>
      </c>
      <c r="BV850" s="55">
        <f>N(L850)+N(M850)</f>
        <v/>
      </c>
      <c r="BW850" s="55">
        <f>ROUNDUP(G850/BN850,0)</f>
        <v/>
      </c>
      <c r="BX850" s="55">
        <f>ROUNDUP(BU850/BN850,0)</f>
        <v/>
      </c>
      <c r="BY850" s="58">
        <f>IF(BO850=1,0,IFERROR(VLOOKUP(BM850,'Gebinde-Kategorie'!$A$5:$G$45,5,0)+0,0))</f>
        <v/>
      </c>
      <c r="BZ850" s="58">
        <f>IFERROR(IF(OR(BQ850=1,BQ850=2,BQ850=3),N(INDEX(Parameter!$I$5:$I$7,BQ850)),0),0)</f>
        <v/>
      </c>
    </row>
    <row r="851">
      <c r="A851" s="53" t="inlineStr">
        <is>
          <t>005452</t>
        </is>
      </c>
      <c r="B851" s="53" t="inlineStr">
        <is>
          <t>Aderendhülse isoliert gelb</t>
        </is>
      </c>
      <c r="C851" s="53" t="inlineStr">
        <is>
          <t>F</t>
        </is>
      </c>
      <c r="D851" s="53" t="inlineStr">
        <is>
          <t>KTL</t>
        </is>
      </c>
      <c r="E851" s="53" t="inlineStr">
        <is>
          <t>C</t>
        </is>
      </c>
      <c r="F851" s="54" t="n">
        <v>0.03</v>
      </c>
      <c r="G851" s="55">
        <f>MAX(0,IF(Parameter!$B$20="Jahresanfang 2025 + Export",BG851+BF851,BF851))</f>
        <v/>
      </c>
      <c r="H851" s="55">
        <f>G851*F851</f>
        <v/>
      </c>
      <c r="I851" s="55">
        <f>BI851*Parameter!$B$18</f>
        <v/>
      </c>
      <c r="J851" s="56" t="n">
        <v>800</v>
      </c>
      <c r="K851" s="57" t="n">
        <v>0.1875</v>
      </c>
      <c r="L851" s="55" t="n">
        <v>5</v>
      </c>
      <c r="M851" s="55" t="n">
        <v>150</v>
      </c>
      <c r="N851" s="58" t="n">
        <v>14</v>
      </c>
      <c r="O851" s="53" t="inlineStr">
        <is>
          <t>S21</t>
        </is>
      </c>
      <c r="P851" s="55" t="n">
        <v>500</v>
      </c>
      <c r="Q851" s="59">
        <f>IF(BO851=1,0,IFERROR(VLOOKUP(BM851,'Gebinde-Kategorie'!$A$5:$G$45,6,0)+0,0))</f>
        <v/>
      </c>
      <c r="R851" s="60" t="n"/>
      <c r="S851" s="61" t="n"/>
      <c r="T851" s="61" t="n"/>
      <c r="U851" s="53">
        <f>IF(A851="","",IF(IFERROR(VLOOKUP(D851,Parameter!$A$35:$C$64,2,0),"Nein")="2+3",IF(ISNUMBER(SEARCH("grosser Artikel",BJ851)),2,IFERROR(VLOOKUP(BM851,Parameter!$F$35:$G$64,2,0),2)),IF(OR(IFERROR(VLOOKUP(D851,Parameter!$A$35:$C$64,2,0),"Nein")="Nein",IFERROR(VLOOKUP(D851,Parameter!$A$35:$C$64,2,0),"Nein")=""),"-",VLOOKUP(D851,Parameter!$A$35:$C$64,2,0))))</f>
        <v/>
      </c>
      <c r="V851" s="61" t="n"/>
      <c r="W851" s="62" t="n"/>
      <c r="X851" s="55">
        <f>AM851</f>
        <v/>
      </c>
      <c r="Y851" s="55">
        <f>MAX(AM851,G851)</f>
        <v/>
      </c>
      <c r="Z851" s="63" t="n"/>
      <c r="AA851" s="55">
        <f>IF(LEFT(Cockpit!$C$5,1)="A",G851,IF(BT851=1,BU851,IF(LEFT(Cockpit!$C$5,1)="B",AE851,MAX(AE851,G851))))</f>
        <v/>
      </c>
      <c r="AB851" s="55">
        <f>IF(BO851=1,0,ROUNDUP(AA851/BN851,0))</f>
        <v/>
      </c>
      <c r="AC851" s="64">
        <f>IF(BO851=1,IF(AA851&lt;=0,0,BP851*MAX(1,IF(G851&gt;0,AA851/G851,1))),AB851*Q851)</f>
        <v/>
      </c>
      <c r="AD851" s="55">
        <f>AA851*F851</f>
        <v/>
      </c>
      <c r="AE851" s="55">
        <f>ROUNDUP(MAX(I851/IF(BS851&gt;0,BS851,MAX(0.1,N(Cockpit!$C$6))),BV851)/BN851,0)*BN851</f>
        <v/>
      </c>
      <c r="AF851" s="56">
        <f>IF(AC851&gt;0,I851/AC851,-1)</f>
        <v/>
      </c>
      <c r="AG851" s="56">
        <f>IF(AND(OR(BR851="L1",BR851="L23"),AC851&gt;0),SUMIFS($AC$7:$AC$1570,$BR$7:$BR$1570,BR851,$AF$7:$AF$1570,"&gt;"&amp;AF851)+SUMIFS($AC$7:$AC$1570,$BR$7:$BR$1570,BR851,$AF$7:$AF$1570,AF851,$BL$7:$BL$1570,"&lt;="&amp;BL851),"")</f>
        <v/>
      </c>
      <c r="AH851" s="65">
        <f>IF(AG851="",0,MAX(0,MIN(1,(IF(BR851="L1",Parameter!$K$5,Parameter!$K$6+Parameter!$K$7)-(AG851-AC851))/AC851)))</f>
        <v/>
      </c>
      <c r="AI851" s="55">
        <f>IF(LEFT(Cockpit!$I$5,1)="A",G851,IF(BT851=1,BU851,IF(LEFT(Cockpit!$I$5,1)="B",AM851,MAX(AM851,G851))))</f>
        <v/>
      </c>
      <c r="AJ851" s="55">
        <f>IF(BO851=1,0,ROUNDUP(AI851/BN851,0))</f>
        <v/>
      </c>
      <c r="AK851" s="64">
        <f>IF(BO851=1,IF(AI851&lt;=0,0,BP851*MAX(1,IF(G851&gt;0,AI851/G851,1))),AJ851*Q851)</f>
        <v/>
      </c>
      <c r="AL851" s="55">
        <f>AI851*F851</f>
        <v/>
      </c>
      <c r="AM851" s="55">
        <f>ROUNDUP(MAX(I851/IF(BS851&gt;0,BS851,MAX(0.1,N(Cockpit!$I$6))),BV851)/BN851,0)*BN851</f>
        <v/>
      </c>
      <c r="AN851" s="56">
        <f>IF(AK851&gt;0,I851/AK851,-1)</f>
        <v/>
      </c>
      <c r="AO851" s="56">
        <f>IF(AND(OR(BR851="L1",BR851="L23"),AK851&gt;0),SUMIFS($AK$7:$AK$1570,$BR$7:$BR$1570,BR851,$AN$7:$AN$1570,"&gt;"&amp;AN851)+SUMIFS($AK$7:$AK$1570,$BR$7:$BR$1570,BR851,$AN$7:$AN$1570,AN851,$BL$7:$BL$1570,"&lt;="&amp;BL851),"")</f>
        <v/>
      </c>
      <c r="AP851" s="65">
        <f>IF(AO851="",0,MAX(0,MIN(1,(IF(BR851="L1",Parameter!$K$5,Parameter!$K$6+Parameter!$K$7)-(AO851-AK851))/AK851)))</f>
        <v/>
      </c>
      <c r="AQ851" s="55">
        <f>IF(LEFT(Cockpit!$O$5,1)="A",G851,IF(BT851=1,BU851,IF(LEFT(Cockpit!$O$5,1)="B",AU851,MAX(AU851,G851))))</f>
        <v/>
      </c>
      <c r="AR851" s="55">
        <f>IF(BO851=1,0,ROUNDUP(AQ851/BN851,0))</f>
        <v/>
      </c>
      <c r="AS851" s="64">
        <f>IF(BO851=1,IF(AQ851&lt;=0,0,BP851*MAX(1,IF(G851&gt;0,AQ851/G851,1))),AR851*Q851)</f>
        <v/>
      </c>
      <c r="AT851" s="55">
        <f>AQ851*F851</f>
        <v/>
      </c>
      <c r="AU851" s="55">
        <f>ROUNDUP(MAX(I851/IF(BS851&gt;0,BS851,MAX(0.1,N(Cockpit!$O$6))),BV851)/BN851,0)*BN851</f>
        <v/>
      </c>
      <c r="AV851" s="56">
        <f>IF(AS851&gt;0,I851/AS851,-1)</f>
        <v/>
      </c>
      <c r="AW851" s="56">
        <f>IF(AND(OR(BR851="L1",BR851="L23"),AS851&gt;0),SUMIFS($AS$7:$AS$1570,$BR$7:$BR$1570,BR851,$AV$7:$AV$1570,"&gt;"&amp;AV851)+SUMIFS($AS$7:$AS$1570,$BR$7:$BR$1570,BR851,$AV$7:$AV$1570,AV851,$BL$7:$BL$1570,"&lt;="&amp;BL851),"")</f>
        <v/>
      </c>
      <c r="AX851" s="65">
        <f>IF(AW851="",0,MAX(0,MIN(1,(IF(BR851="L1",Parameter!$K$5,Parameter!$K$6+Parameter!$K$7)-(AW851-AS851))/AS851)))</f>
        <v/>
      </c>
      <c r="AY851" s="53">
        <f>IF(AC851&lt;=0,"",IF(BR851="Aussen","Aussenlager",IF(BR851="-","Nicht im Lift",IF(AH851&gt;=1,"Lift",IF(AH851&lt;=0,"Aussenlager","teilweise")))))</f>
        <v/>
      </c>
      <c r="AZ851" s="53">
        <f>IF(AK851&lt;=0,"",IF(BR851="Aussen","Aussenlager",IF(BR851="-","Nicht im Lift",IF(AP851&gt;=1,"Lift",IF(AP851&lt;=0,"Aussenlager","teilweise")))))</f>
        <v/>
      </c>
      <c r="BA851" s="53">
        <f>IF(AS851&lt;=0,"",IF(BR851="Aussen","Aussenlager",IF(BR851="-","Nicht im Lift",IF(AX851&gt;=1,"Lift",IF(AX851&lt;=0,"Aussenlager","teilweise")))))</f>
        <v/>
      </c>
      <c r="BB851" s="53">
        <f>IF(A851="","",IF(BK851=1,"Neu; ","")&amp;IF(AND(BK851=0,BF851&lt;0),"negativer Bestand (Export "&amp;BF851&amp;"); ","")&amp;IF(I851&lt;=0,"Kein Verbrauch; ","")&amp;IF(BO851=1,"Lose – Fläche geschätzt; ","")&amp;IF(G851&gt;AM851,"Überbestand "&amp;ROUND(G851-AM851,0)&amp;" Stk / CHF "&amp;ROUND((G851-AM851)*F851,0)&amp;"; ","")&amp;IF(AND(BT851=1,BU851&lt;BV851),"MAX &lt; MB+LG; ","")&amp;IF(AND(BZ851&gt;0,BY851*10&gt;BZ851),"zu hoch für Tablar; ","")&amp;IF(AND(BK851=0,OR(BT851=1,V851&lt;&gt;"",S851&lt;&gt;"",T851&lt;&gt;"",W851&lt;&gt;"")),"manuell übersteuert; ","")&amp;IF(AND(BO851=0,Q851=0),"Gebinde unbekannt; ","")&amp;IF(AND(BO851=0,N(T851)&lt;=0,N(P851)&lt;=0),"Menge pro Gebinde fehlt (Ist = 1 Gebinde); ","")&amp;BJ851)</f>
        <v/>
      </c>
      <c r="BC851" s="53" t="n"/>
      <c r="BD851" s="53" t="n"/>
      <c r="BE851" s="61" t="n"/>
      <c r="BF851" s="55" t="n">
        <v>-550</v>
      </c>
      <c r="BG851" s="55" t="n">
        <v>900</v>
      </c>
      <c r="BH851" s="54" t="n">
        <v>-16.5</v>
      </c>
      <c r="BI851" s="55" t="n">
        <v>150</v>
      </c>
      <c r="BJ851" s="53" t="inlineStr"/>
      <c r="BK851" s="58" t="n">
        <v>0</v>
      </c>
      <c r="BL851" s="58" t="n">
        <v>851</v>
      </c>
      <c r="BM851" s="53">
        <f>IF(S851&lt;&gt;"",UPPER(TRIM(S851)),IF(O851="","LOSE",O851))</f>
        <v/>
      </c>
      <c r="BN851" s="55">
        <f>IF(BM851="LOSE",1,IF(N(T851)&gt;0,T851,IF(N(P851)&gt;0,P851,MAX(1,G851))))</f>
        <v/>
      </c>
      <c r="BO851" s="58">
        <f>IF(BM851="LOSE",1,0)</f>
        <v/>
      </c>
      <c r="BP851" s="64">
        <f>IF(BO851=0,0,IF(N(R851)&gt;0,R851,IFERROR(VLOOKUP(D851,Parameter!$A$35:$C$64,3,0)+0,0)))</f>
        <v/>
      </c>
      <c r="BQ851" s="53">
        <f>IF(V851&lt;&gt;"",V851,U851)</f>
        <v/>
      </c>
      <c r="BR851" s="53">
        <f>IF(BQ851=1,"L1",IF(OR(BQ851=2,BQ851=3),"L23",IF(BQ851="Aussen","Aussen","-")))</f>
        <v/>
      </c>
      <c r="BS851" s="66">
        <f>IF(N(W851)&gt;0,W851,0)</f>
        <v/>
      </c>
      <c r="BT851" s="58">
        <f>IF(ISNUMBER(Z851),1,0)</f>
        <v/>
      </c>
      <c r="BU851" s="55">
        <f>N(Z851)</f>
        <v/>
      </c>
      <c r="BV851" s="55">
        <f>N(L851)+N(M851)</f>
        <v/>
      </c>
      <c r="BW851" s="55">
        <f>ROUNDUP(G851/BN851,0)</f>
        <v/>
      </c>
      <c r="BX851" s="55">
        <f>ROUNDUP(BU851/BN851,0)</f>
        <v/>
      </c>
      <c r="BY851" s="58">
        <f>IF(BO851=1,0,IFERROR(VLOOKUP(BM851,'Gebinde-Kategorie'!$A$5:$G$45,5,0)+0,0))</f>
        <v/>
      </c>
      <c r="BZ851" s="58">
        <f>IFERROR(IF(OR(BQ851=1,BQ851=2,BQ851=3),N(INDEX(Parameter!$I$5:$I$7,BQ851)),0),0)</f>
        <v/>
      </c>
    </row>
    <row r="852">
      <c r="A852" s="53" t="inlineStr">
        <is>
          <t>103517</t>
        </is>
      </c>
      <c r="B852" s="53" t="inlineStr">
        <is>
          <t>T-Griff</t>
        </is>
      </c>
      <c r="C852" s="53" t="inlineStr">
        <is>
          <t>F</t>
        </is>
      </c>
      <c r="D852" s="53" t="inlineStr">
        <is>
          <t>KTL</t>
        </is>
      </c>
      <c r="E852" s="53" t="inlineStr">
        <is>
          <t>C</t>
        </is>
      </c>
      <c r="F852" s="54" t="n">
        <v>8.460000000000001</v>
      </c>
      <c r="G852" s="55">
        <f>MAX(0,IF(Parameter!$B$20="Jahresanfang 2025 + Export",BG852+BF852,BF852))</f>
        <v/>
      </c>
      <c r="H852" s="55">
        <f>G852*F852</f>
        <v/>
      </c>
      <c r="I852" s="55">
        <f>BI852*Parameter!$B$18</f>
        <v/>
      </c>
      <c r="J852" s="56" t="n">
        <v>25.5</v>
      </c>
      <c r="K852" s="57" t="n">
        <v>0.1568627450980392</v>
      </c>
      <c r="L852" s="55" t="n">
        <v>0</v>
      </c>
      <c r="M852" s="55" t="n">
        <v>5</v>
      </c>
      <c r="N852" s="58" t="n">
        <v>14</v>
      </c>
      <c r="O852" s="53" t="inlineStr">
        <is>
          <t>S41</t>
        </is>
      </c>
      <c r="P852" s="55" t="n">
        <v>28</v>
      </c>
      <c r="Q852" s="59">
        <f>IF(BO852=1,0,IFERROR(VLOOKUP(BM852,'Gebinde-Kategorie'!$A$5:$G$45,6,0)+0,0))</f>
        <v/>
      </c>
      <c r="R852" s="60" t="n"/>
      <c r="S852" s="61" t="n"/>
      <c r="T852" s="61" t="n"/>
      <c r="U852" s="53">
        <f>IF(A852="","",IF(IFERROR(VLOOKUP(D852,Parameter!$A$35:$C$64,2,0),"Nein")="2+3",IF(ISNUMBER(SEARCH("grosser Artikel",BJ852)),2,IFERROR(VLOOKUP(BM852,Parameter!$F$35:$G$64,2,0),2)),IF(OR(IFERROR(VLOOKUP(D852,Parameter!$A$35:$C$64,2,0),"Nein")="Nein",IFERROR(VLOOKUP(D852,Parameter!$A$35:$C$64,2,0),"Nein")=""),"-",VLOOKUP(D852,Parameter!$A$35:$C$64,2,0))))</f>
        <v/>
      </c>
      <c r="V852" s="61" t="n"/>
      <c r="W852" s="62" t="n"/>
      <c r="X852" s="55">
        <f>AM852</f>
        <v/>
      </c>
      <c r="Y852" s="55">
        <f>MAX(AM852,G852)</f>
        <v/>
      </c>
      <c r="Z852" s="63" t="n"/>
      <c r="AA852" s="55">
        <f>IF(LEFT(Cockpit!$C$5,1)="A",G852,IF(BT852=1,BU852,IF(LEFT(Cockpit!$C$5,1)="B",AE852,MAX(AE852,G852))))</f>
        <v/>
      </c>
      <c r="AB852" s="55">
        <f>IF(BO852=1,0,ROUNDUP(AA852/BN852,0))</f>
        <v/>
      </c>
      <c r="AC852" s="64">
        <f>IF(BO852=1,IF(AA852&lt;=0,0,BP852*MAX(1,IF(G852&gt;0,AA852/G852,1))),AB852*Q852)</f>
        <v/>
      </c>
      <c r="AD852" s="55">
        <f>AA852*F852</f>
        <v/>
      </c>
      <c r="AE852" s="55">
        <f>ROUNDUP(MAX(I852/IF(BS852&gt;0,BS852,MAX(0.1,N(Cockpit!$C$6))),BV852)/BN852,0)*BN852</f>
        <v/>
      </c>
      <c r="AF852" s="56">
        <f>IF(AC852&gt;0,I852/AC852,-1)</f>
        <v/>
      </c>
      <c r="AG852" s="56">
        <f>IF(AND(OR(BR852="L1",BR852="L23"),AC852&gt;0),SUMIFS($AC$7:$AC$1570,$BR$7:$BR$1570,BR852,$AF$7:$AF$1570,"&gt;"&amp;AF852)+SUMIFS($AC$7:$AC$1570,$BR$7:$BR$1570,BR852,$AF$7:$AF$1570,AF852,$BL$7:$BL$1570,"&lt;="&amp;BL852),"")</f>
        <v/>
      </c>
      <c r="AH852" s="65">
        <f>IF(AG852="",0,MAX(0,MIN(1,(IF(BR852="L1",Parameter!$K$5,Parameter!$K$6+Parameter!$K$7)-(AG852-AC852))/AC852)))</f>
        <v/>
      </c>
      <c r="AI852" s="55">
        <f>IF(LEFT(Cockpit!$I$5,1)="A",G852,IF(BT852=1,BU852,IF(LEFT(Cockpit!$I$5,1)="B",AM852,MAX(AM852,G852))))</f>
        <v/>
      </c>
      <c r="AJ852" s="55">
        <f>IF(BO852=1,0,ROUNDUP(AI852/BN852,0))</f>
        <v/>
      </c>
      <c r="AK852" s="64">
        <f>IF(BO852=1,IF(AI852&lt;=0,0,BP852*MAX(1,IF(G852&gt;0,AI852/G852,1))),AJ852*Q852)</f>
        <v/>
      </c>
      <c r="AL852" s="55">
        <f>AI852*F852</f>
        <v/>
      </c>
      <c r="AM852" s="55">
        <f>ROUNDUP(MAX(I852/IF(BS852&gt;0,BS852,MAX(0.1,N(Cockpit!$I$6))),BV852)/BN852,0)*BN852</f>
        <v/>
      </c>
      <c r="AN852" s="56">
        <f>IF(AK852&gt;0,I852/AK852,-1)</f>
        <v/>
      </c>
      <c r="AO852" s="56">
        <f>IF(AND(OR(BR852="L1",BR852="L23"),AK852&gt;0),SUMIFS($AK$7:$AK$1570,$BR$7:$BR$1570,BR852,$AN$7:$AN$1570,"&gt;"&amp;AN852)+SUMIFS($AK$7:$AK$1570,$BR$7:$BR$1570,BR852,$AN$7:$AN$1570,AN852,$BL$7:$BL$1570,"&lt;="&amp;BL852),"")</f>
        <v/>
      </c>
      <c r="AP852" s="65">
        <f>IF(AO852="",0,MAX(0,MIN(1,(IF(BR852="L1",Parameter!$K$5,Parameter!$K$6+Parameter!$K$7)-(AO852-AK852))/AK852)))</f>
        <v/>
      </c>
      <c r="AQ852" s="55">
        <f>IF(LEFT(Cockpit!$O$5,1)="A",G852,IF(BT852=1,BU852,IF(LEFT(Cockpit!$O$5,1)="B",AU852,MAX(AU852,G852))))</f>
        <v/>
      </c>
      <c r="AR852" s="55">
        <f>IF(BO852=1,0,ROUNDUP(AQ852/BN852,0))</f>
        <v/>
      </c>
      <c r="AS852" s="64">
        <f>IF(BO852=1,IF(AQ852&lt;=0,0,BP852*MAX(1,IF(G852&gt;0,AQ852/G852,1))),AR852*Q852)</f>
        <v/>
      </c>
      <c r="AT852" s="55">
        <f>AQ852*F852</f>
        <v/>
      </c>
      <c r="AU852" s="55">
        <f>ROUNDUP(MAX(I852/IF(BS852&gt;0,BS852,MAX(0.1,N(Cockpit!$O$6))),BV852)/BN852,0)*BN852</f>
        <v/>
      </c>
      <c r="AV852" s="56">
        <f>IF(AS852&gt;0,I852/AS852,-1)</f>
        <v/>
      </c>
      <c r="AW852" s="56">
        <f>IF(AND(OR(BR852="L1",BR852="L23"),AS852&gt;0),SUMIFS($AS$7:$AS$1570,$BR$7:$BR$1570,BR852,$AV$7:$AV$1570,"&gt;"&amp;AV852)+SUMIFS($AS$7:$AS$1570,$BR$7:$BR$1570,BR852,$AV$7:$AV$1570,AV852,$BL$7:$BL$1570,"&lt;="&amp;BL852),"")</f>
        <v/>
      </c>
      <c r="AX852" s="65">
        <f>IF(AW852="",0,MAX(0,MIN(1,(IF(BR852="L1",Parameter!$K$5,Parameter!$K$6+Parameter!$K$7)-(AW852-AS852))/AS852)))</f>
        <v/>
      </c>
      <c r="AY852" s="53">
        <f>IF(AC852&lt;=0,"",IF(BR852="Aussen","Aussenlager",IF(BR852="-","Nicht im Lift",IF(AH852&gt;=1,"Lift",IF(AH852&lt;=0,"Aussenlager","teilweise")))))</f>
        <v/>
      </c>
      <c r="AZ852" s="53">
        <f>IF(AK852&lt;=0,"",IF(BR852="Aussen","Aussenlager",IF(BR852="-","Nicht im Lift",IF(AP852&gt;=1,"Lift",IF(AP852&lt;=0,"Aussenlager","teilweise")))))</f>
        <v/>
      </c>
      <c r="BA852" s="53">
        <f>IF(AS852&lt;=0,"",IF(BR852="Aussen","Aussenlager",IF(BR852="-","Nicht im Lift",IF(AX852&gt;=1,"Lift",IF(AX852&lt;=0,"Aussenlager","teilweise")))))</f>
        <v/>
      </c>
      <c r="BB852" s="53">
        <f>IF(A852="","",IF(BK852=1,"Neu; ","")&amp;IF(AND(BK852=0,BF852&lt;0),"negativer Bestand (Export "&amp;BF852&amp;"); ","")&amp;IF(I852&lt;=0,"Kein Verbrauch; ","")&amp;IF(BO852=1,"Lose – Fläche geschätzt; ","")&amp;IF(G852&gt;AM852,"Überbestand "&amp;ROUND(G852-AM852,0)&amp;" Stk / CHF "&amp;ROUND((G852-AM852)*F852,0)&amp;"; ","")&amp;IF(AND(BT852=1,BU852&lt;BV852),"MAX &lt; MB+LG; ","")&amp;IF(AND(BZ852&gt;0,BY852*10&gt;BZ852),"zu hoch für Tablar; ","")&amp;IF(AND(BK852=0,OR(BT852=1,V852&lt;&gt;"",S852&lt;&gt;"",T852&lt;&gt;"",W852&lt;&gt;"")),"manuell übersteuert; ","")&amp;IF(AND(BO852=0,Q852=0),"Gebinde unbekannt; ","")&amp;IF(AND(BO852=0,N(T852)&lt;=0,N(P852)&lt;=0),"Menge pro Gebinde fehlt (Ist = 1 Gebinde); ","")&amp;BJ852)</f>
        <v/>
      </c>
      <c r="BC852" s="53" t="n"/>
      <c r="BD852" s="53" t="n"/>
      <c r="BE852" s="61" t="n"/>
      <c r="BF852" s="55" t="n">
        <v>-2</v>
      </c>
      <c r="BG852" s="55" t="n">
        <v>27</v>
      </c>
      <c r="BH852" s="54" t="n">
        <v>-16.92</v>
      </c>
      <c r="BI852" s="55" t="n">
        <v>4</v>
      </c>
      <c r="BJ852" s="53" t="inlineStr"/>
      <c r="BK852" s="58" t="n">
        <v>0</v>
      </c>
      <c r="BL852" s="58" t="n">
        <v>852</v>
      </c>
      <c r="BM852" s="53">
        <f>IF(S852&lt;&gt;"",UPPER(TRIM(S852)),IF(O852="","LOSE",O852))</f>
        <v/>
      </c>
      <c r="BN852" s="55">
        <f>IF(BM852="LOSE",1,IF(N(T852)&gt;0,T852,IF(N(P852)&gt;0,P852,MAX(1,G852))))</f>
        <v/>
      </c>
      <c r="BO852" s="58">
        <f>IF(BM852="LOSE",1,0)</f>
        <v/>
      </c>
      <c r="BP852" s="64">
        <f>IF(BO852=0,0,IF(N(R852)&gt;0,R852,IFERROR(VLOOKUP(D852,Parameter!$A$35:$C$64,3,0)+0,0)))</f>
        <v/>
      </c>
      <c r="BQ852" s="53">
        <f>IF(V852&lt;&gt;"",V852,U852)</f>
        <v/>
      </c>
      <c r="BR852" s="53">
        <f>IF(BQ852=1,"L1",IF(OR(BQ852=2,BQ852=3),"L23",IF(BQ852="Aussen","Aussen","-")))</f>
        <v/>
      </c>
      <c r="BS852" s="66">
        <f>IF(N(W852)&gt;0,W852,0)</f>
        <v/>
      </c>
      <c r="BT852" s="58">
        <f>IF(ISNUMBER(Z852),1,0)</f>
        <v/>
      </c>
      <c r="BU852" s="55">
        <f>N(Z852)</f>
        <v/>
      </c>
      <c r="BV852" s="55">
        <f>N(L852)+N(M852)</f>
        <v/>
      </c>
      <c r="BW852" s="55">
        <f>ROUNDUP(G852/BN852,0)</f>
        <v/>
      </c>
      <c r="BX852" s="55">
        <f>ROUNDUP(BU852/BN852,0)</f>
        <v/>
      </c>
      <c r="BY852" s="58">
        <f>IF(BO852=1,0,IFERROR(VLOOKUP(BM852,'Gebinde-Kategorie'!$A$5:$G$45,5,0)+0,0))</f>
        <v/>
      </c>
      <c r="BZ852" s="58">
        <f>IFERROR(IF(OR(BQ852=1,BQ852=2,BQ852=3),N(INDEX(Parameter!$I$5:$I$7,BQ852)),0),0)</f>
        <v/>
      </c>
    </row>
    <row r="853">
      <c r="A853" s="53" t="inlineStr">
        <is>
          <t>102441</t>
        </is>
      </c>
      <c r="B853" s="53" t="inlineStr">
        <is>
          <t>Senkschraube mit Innensechskant</t>
        </is>
      </c>
      <c r="C853" s="53" t="inlineStr">
        <is>
          <t>F</t>
        </is>
      </c>
      <c r="D853" s="53" t="inlineStr">
        <is>
          <t>KTL</t>
        </is>
      </c>
      <c r="E853" s="53" t="inlineStr">
        <is>
          <t>C</t>
        </is>
      </c>
      <c r="F853" s="54" t="n">
        <v>0.07000000000000001</v>
      </c>
      <c r="G853" s="55">
        <f>MAX(0,IF(Parameter!$B$20="Jahresanfang 2025 + Export",BG853+BF853,BF853))</f>
        <v/>
      </c>
      <c r="H853" s="55">
        <f>G853*F853</f>
        <v/>
      </c>
      <c r="I853" s="55">
        <f>BI853*Parameter!$B$18</f>
        <v/>
      </c>
      <c r="J853" s="56" t="n">
        <v>461</v>
      </c>
      <c r="K853" s="57" t="n">
        <v>0.2689804772234273</v>
      </c>
      <c r="L853" s="55" t="n">
        <v>7</v>
      </c>
      <c r="M853" s="55" t="n">
        <v>125</v>
      </c>
      <c r="N853" s="58" t="n">
        <v>21</v>
      </c>
      <c r="O853" s="53" t="inlineStr">
        <is>
          <t>S22</t>
        </is>
      </c>
      <c r="P853" s="55" t="n">
        <v>300</v>
      </c>
      <c r="Q853" s="59">
        <f>IF(BO853=1,0,IFERROR(VLOOKUP(BM853,'Gebinde-Kategorie'!$A$5:$G$45,6,0)+0,0))</f>
        <v/>
      </c>
      <c r="R853" s="60" t="n"/>
      <c r="S853" s="61" t="n"/>
      <c r="T853" s="61" t="n"/>
      <c r="U853" s="53">
        <f>IF(A853="","",IF(IFERROR(VLOOKUP(D853,Parameter!$A$35:$C$64,2,0),"Nein")="2+3",IF(ISNUMBER(SEARCH("grosser Artikel",BJ853)),2,IFERROR(VLOOKUP(BM853,Parameter!$F$35:$G$64,2,0),2)),IF(OR(IFERROR(VLOOKUP(D853,Parameter!$A$35:$C$64,2,0),"Nein")="Nein",IFERROR(VLOOKUP(D853,Parameter!$A$35:$C$64,2,0),"Nein")=""),"-",VLOOKUP(D853,Parameter!$A$35:$C$64,2,0))))</f>
        <v/>
      </c>
      <c r="V853" s="61" t="n"/>
      <c r="W853" s="62" t="n"/>
      <c r="X853" s="55">
        <f>AM853</f>
        <v/>
      </c>
      <c r="Y853" s="55">
        <f>MAX(AM853,G853)</f>
        <v/>
      </c>
      <c r="Z853" s="63" t="n"/>
      <c r="AA853" s="55">
        <f>IF(LEFT(Cockpit!$C$5,1)="A",G853,IF(BT853=1,BU853,IF(LEFT(Cockpit!$C$5,1)="B",AE853,MAX(AE853,G853))))</f>
        <v/>
      </c>
      <c r="AB853" s="55">
        <f>IF(BO853=1,0,ROUNDUP(AA853/BN853,0))</f>
        <v/>
      </c>
      <c r="AC853" s="64">
        <f>IF(BO853=1,IF(AA853&lt;=0,0,BP853*MAX(1,IF(G853&gt;0,AA853/G853,1))),AB853*Q853)</f>
        <v/>
      </c>
      <c r="AD853" s="55">
        <f>AA853*F853</f>
        <v/>
      </c>
      <c r="AE853" s="55">
        <f>ROUNDUP(MAX(I853/IF(BS853&gt;0,BS853,MAX(0.1,N(Cockpit!$C$6))),BV853)/BN853,0)*BN853</f>
        <v/>
      </c>
      <c r="AF853" s="56">
        <f>IF(AC853&gt;0,I853/AC853,-1)</f>
        <v/>
      </c>
      <c r="AG853" s="56">
        <f>IF(AND(OR(BR853="L1",BR853="L23"),AC853&gt;0),SUMIFS($AC$7:$AC$1570,$BR$7:$BR$1570,BR853,$AF$7:$AF$1570,"&gt;"&amp;AF853)+SUMIFS($AC$7:$AC$1570,$BR$7:$BR$1570,BR853,$AF$7:$AF$1570,AF853,$BL$7:$BL$1570,"&lt;="&amp;BL853),"")</f>
        <v/>
      </c>
      <c r="AH853" s="65">
        <f>IF(AG853="",0,MAX(0,MIN(1,(IF(BR853="L1",Parameter!$K$5,Parameter!$K$6+Parameter!$K$7)-(AG853-AC853))/AC853)))</f>
        <v/>
      </c>
      <c r="AI853" s="55">
        <f>IF(LEFT(Cockpit!$I$5,1)="A",G853,IF(BT853=1,BU853,IF(LEFT(Cockpit!$I$5,1)="B",AM853,MAX(AM853,G853))))</f>
        <v/>
      </c>
      <c r="AJ853" s="55">
        <f>IF(BO853=1,0,ROUNDUP(AI853/BN853,0))</f>
        <v/>
      </c>
      <c r="AK853" s="64">
        <f>IF(BO853=1,IF(AI853&lt;=0,0,BP853*MAX(1,IF(G853&gt;0,AI853/G853,1))),AJ853*Q853)</f>
        <v/>
      </c>
      <c r="AL853" s="55">
        <f>AI853*F853</f>
        <v/>
      </c>
      <c r="AM853" s="55">
        <f>ROUNDUP(MAX(I853/IF(BS853&gt;0,BS853,MAX(0.1,N(Cockpit!$I$6))),BV853)/BN853,0)*BN853</f>
        <v/>
      </c>
      <c r="AN853" s="56">
        <f>IF(AK853&gt;0,I853/AK853,-1)</f>
        <v/>
      </c>
      <c r="AO853" s="56">
        <f>IF(AND(OR(BR853="L1",BR853="L23"),AK853&gt;0),SUMIFS($AK$7:$AK$1570,$BR$7:$BR$1570,BR853,$AN$7:$AN$1570,"&gt;"&amp;AN853)+SUMIFS($AK$7:$AK$1570,$BR$7:$BR$1570,BR853,$AN$7:$AN$1570,AN853,$BL$7:$BL$1570,"&lt;="&amp;BL853),"")</f>
        <v/>
      </c>
      <c r="AP853" s="65">
        <f>IF(AO853="",0,MAX(0,MIN(1,(IF(BR853="L1",Parameter!$K$5,Parameter!$K$6+Parameter!$K$7)-(AO853-AK853))/AK853)))</f>
        <v/>
      </c>
      <c r="AQ853" s="55">
        <f>IF(LEFT(Cockpit!$O$5,1)="A",G853,IF(BT853=1,BU853,IF(LEFT(Cockpit!$O$5,1)="B",AU853,MAX(AU853,G853))))</f>
        <v/>
      </c>
      <c r="AR853" s="55">
        <f>IF(BO853=1,0,ROUNDUP(AQ853/BN853,0))</f>
        <v/>
      </c>
      <c r="AS853" s="64">
        <f>IF(BO853=1,IF(AQ853&lt;=0,0,BP853*MAX(1,IF(G853&gt;0,AQ853/G853,1))),AR853*Q853)</f>
        <v/>
      </c>
      <c r="AT853" s="55">
        <f>AQ853*F853</f>
        <v/>
      </c>
      <c r="AU853" s="55">
        <f>ROUNDUP(MAX(I853/IF(BS853&gt;0,BS853,MAX(0.1,N(Cockpit!$O$6))),BV853)/BN853,0)*BN853</f>
        <v/>
      </c>
      <c r="AV853" s="56">
        <f>IF(AS853&gt;0,I853/AS853,-1)</f>
        <v/>
      </c>
      <c r="AW853" s="56">
        <f>IF(AND(OR(BR853="L1",BR853="L23"),AS853&gt;0),SUMIFS($AS$7:$AS$1570,$BR$7:$BR$1570,BR853,$AV$7:$AV$1570,"&gt;"&amp;AV853)+SUMIFS($AS$7:$AS$1570,$BR$7:$BR$1570,BR853,$AV$7:$AV$1570,AV853,$BL$7:$BL$1570,"&lt;="&amp;BL853),"")</f>
        <v/>
      </c>
      <c r="AX853" s="65">
        <f>IF(AW853="",0,MAX(0,MIN(1,(IF(BR853="L1",Parameter!$K$5,Parameter!$K$6+Parameter!$K$7)-(AW853-AS853))/AS853)))</f>
        <v/>
      </c>
      <c r="AY853" s="53">
        <f>IF(AC853&lt;=0,"",IF(BR853="Aussen","Aussenlager",IF(BR853="-","Nicht im Lift",IF(AH853&gt;=1,"Lift",IF(AH853&lt;=0,"Aussenlager","teilweise")))))</f>
        <v/>
      </c>
      <c r="AZ853" s="53">
        <f>IF(AK853&lt;=0,"",IF(BR853="Aussen","Aussenlager",IF(BR853="-","Nicht im Lift",IF(AP853&gt;=1,"Lift",IF(AP853&lt;=0,"Aussenlager","teilweise")))))</f>
        <v/>
      </c>
      <c r="BA853" s="53">
        <f>IF(AS853&lt;=0,"",IF(BR853="Aussen","Aussenlager",IF(BR853="-","Nicht im Lift",IF(AX853&gt;=1,"Lift",IF(AX853&lt;=0,"Aussenlager","teilweise")))))</f>
        <v/>
      </c>
      <c r="BB853" s="53">
        <f>IF(A853="","",IF(BK853=1,"Neu; ","")&amp;IF(AND(BK853=0,BF853&lt;0),"negativer Bestand (Export "&amp;BF853&amp;"); ","")&amp;IF(I853&lt;=0,"Kein Verbrauch; ","")&amp;IF(BO853=1,"Lose – Fläche geschätzt; ","")&amp;IF(G853&gt;AM853,"Überbestand "&amp;ROUND(G853-AM853,0)&amp;" Stk / CHF "&amp;ROUND((G853-AM853)*F853,0)&amp;"; ","")&amp;IF(AND(BT853=1,BU853&lt;BV853),"MAX &lt; MB+LG; ","")&amp;IF(AND(BZ853&gt;0,BY853*10&gt;BZ853),"zu hoch für Tablar; ","")&amp;IF(AND(BK853=0,OR(BT853=1,V853&lt;&gt;"",S853&lt;&gt;"",T853&lt;&gt;"",W853&lt;&gt;"")),"manuell übersteuert; ","")&amp;IF(AND(BO853=0,Q853=0),"Gebinde unbekannt; ","")&amp;IF(AND(BO853=0,N(T853)&lt;=0,N(P853)&lt;=0),"Menge pro Gebinde fehlt (Ist = 1 Gebinde); ","")&amp;BJ853)</f>
        <v/>
      </c>
      <c r="BC853" s="53" t="n"/>
      <c r="BD853" s="53" t="n"/>
      <c r="BE853" s="61" t="n"/>
      <c r="BF853" s="55" t="n">
        <v>-252</v>
      </c>
      <c r="BG853" s="55" t="n">
        <v>539</v>
      </c>
      <c r="BH853" s="54" t="n">
        <v>-17.64</v>
      </c>
      <c r="BI853" s="55" t="n">
        <v>124</v>
      </c>
      <c r="BJ853" s="53" t="inlineStr"/>
      <c r="BK853" s="58" t="n">
        <v>0</v>
      </c>
      <c r="BL853" s="58" t="n">
        <v>853</v>
      </c>
      <c r="BM853" s="53">
        <f>IF(S853&lt;&gt;"",UPPER(TRIM(S853)),IF(O853="","LOSE",O853))</f>
        <v/>
      </c>
      <c r="BN853" s="55">
        <f>IF(BM853="LOSE",1,IF(N(T853)&gt;0,T853,IF(N(P853)&gt;0,P853,MAX(1,G853))))</f>
        <v/>
      </c>
      <c r="BO853" s="58">
        <f>IF(BM853="LOSE",1,0)</f>
        <v/>
      </c>
      <c r="BP853" s="64">
        <f>IF(BO853=0,0,IF(N(R853)&gt;0,R853,IFERROR(VLOOKUP(D853,Parameter!$A$35:$C$64,3,0)+0,0)))</f>
        <v/>
      </c>
      <c r="BQ853" s="53">
        <f>IF(V853&lt;&gt;"",V853,U853)</f>
        <v/>
      </c>
      <c r="BR853" s="53">
        <f>IF(BQ853=1,"L1",IF(OR(BQ853=2,BQ853=3),"L23",IF(BQ853="Aussen","Aussen","-")))</f>
        <v/>
      </c>
      <c r="BS853" s="66">
        <f>IF(N(W853)&gt;0,W853,0)</f>
        <v/>
      </c>
      <c r="BT853" s="58">
        <f>IF(ISNUMBER(Z853),1,0)</f>
        <v/>
      </c>
      <c r="BU853" s="55">
        <f>N(Z853)</f>
        <v/>
      </c>
      <c r="BV853" s="55">
        <f>N(L853)+N(M853)</f>
        <v/>
      </c>
      <c r="BW853" s="55">
        <f>ROUNDUP(G853/BN853,0)</f>
        <v/>
      </c>
      <c r="BX853" s="55">
        <f>ROUNDUP(BU853/BN853,0)</f>
        <v/>
      </c>
      <c r="BY853" s="58">
        <f>IF(BO853=1,0,IFERROR(VLOOKUP(BM853,'Gebinde-Kategorie'!$A$5:$G$45,5,0)+0,0))</f>
        <v/>
      </c>
      <c r="BZ853" s="58">
        <f>IFERROR(IF(OR(BQ853=1,BQ853=2,BQ853=3),N(INDEX(Parameter!$I$5:$I$7,BQ853)),0),0)</f>
        <v/>
      </c>
    </row>
    <row r="854">
      <c r="A854" s="53" t="inlineStr">
        <is>
          <t>100895</t>
        </is>
      </c>
      <c r="B854" s="53" t="inlineStr">
        <is>
          <t>Sechskantschraube</t>
        </is>
      </c>
      <c r="C854" s="53" t="inlineStr">
        <is>
          <t>F</t>
        </is>
      </c>
      <c r="D854" s="53" t="inlineStr">
        <is>
          <t>KTL</t>
        </is>
      </c>
      <c r="E854" s="53" t="inlineStr">
        <is>
          <t>C</t>
        </is>
      </c>
      <c r="F854" s="54" t="n">
        <v>0.34</v>
      </c>
      <c r="G854" s="55">
        <f>MAX(0,IF(Parameter!$B$20="Jahresanfang 2025 + Export",BG854+BF854,BF854))</f>
        <v/>
      </c>
      <c r="H854" s="55">
        <f>G854*F854</f>
        <v/>
      </c>
      <c r="I854" s="55">
        <f>BI854*Parameter!$B$18</f>
        <v/>
      </c>
      <c r="J854" s="56" t="n">
        <v>178</v>
      </c>
      <c r="K854" s="57" t="n">
        <v>2.247191011235955</v>
      </c>
      <c r="L854" s="55" t="n">
        <v>23</v>
      </c>
      <c r="M854" s="55" t="n">
        <v>400</v>
      </c>
      <c r="N854" s="58" t="n">
        <v>21</v>
      </c>
      <c r="O854" s="53" t="inlineStr">
        <is>
          <t>S63</t>
        </is>
      </c>
      <c r="P854" s="55" t="n">
        <v>555</v>
      </c>
      <c r="Q854" s="59">
        <f>IF(BO854=1,0,IFERROR(VLOOKUP(BM854,'Gebinde-Kategorie'!$A$5:$G$45,6,0)+0,0))</f>
        <v/>
      </c>
      <c r="R854" s="60" t="n"/>
      <c r="S854" s="61" t="n"/>
      <c r="T854" s="61" t="n"/>
      <c r="U854" s="53">
        <f>IF(A854="","",IF(IFERROR(VLOOKUP(D854,Parameter!$A$35:$C$64,2,0),"Nein")="2+3",IF(ISNUMBER(SEARCH("grosser Artikel",BJ854)),2,IFERROR(VLOOKUP(BM854,Parameter!$F$35:$G$64,2,0),2)),IF(OR(IFERROR(VLOOKUP(D854,Parameter!$A$35:$C$64,2,0),"Nein")="Nein",IFERROR(VLOOKUP(D854,Parameter!$A$35:$C$64,2,0),"Nein")=""),"-",VLOOKUP(D854,Parameter!$A$35:$C$64,2,0))))</f>
        <v/>
      </c>
      <c r="V854" s="61" t="n"/>
      <c r="W854" s="62" t="n"/>
      <c r="X854" s="55">
        <f>AM854</f>
        <v/>
      </c>
      <c r="Y854" s="55">
        <f>MAX(AM854,G854)</f>
        <v/>
      </c>
      <c r="Z854" s="63" t="n"/>
      <c r="AA854" s="55">
        <f>IF(LEFT(Cockpit!$C$5,1)="A",G854,IF(BT854=1,BU854,IF(LEFT(Cockpit!$C$5,1)="B",AE854,MAX(AE854,G854))))</f>
        <v/>
      </c>
      <c r="AB854" s="55">
        <f>IF(BO854=1,0,ROUNDUP(AA854/BN854,0))</f>
        <v/>
      </c>
      <c r="AC854" s="64">
        <f>IF(BO854=1,IF(AA854&lt;=0,0,BP854*MAX(1,IF(G854&gt;0,AA854/G854,1))),AB854*Q854)</f>
        <v/>
      </c>
      <c r="AD854" s="55">
        <f>AA854*F854</f>
        <v/>
      </c>
      <c r="AE854" s="55">
        <f>ROUNDUP(MAX(I854/IF(BS854&gt;0,BS854,MAX(0.1,N(Cockpit!$C$6))),BV854)/BN854,0)*BN854</f>
        <v/>
      </c>
      <c r="AF854" s="56">
        <f>IF(AC854&gt;0,I854/AC854,-1)</f>
        <v/>
      </c>
      <c r="AG854" s="56">
        <f>IF(AND(OR(BR854="L1",BR854="L23"),AC854&gt;0),SUMIFS($AC$7:$AC$1570,$BR$7:$BR$1570,BR854,$AF$7:$AF$1570,"&gt;"&amp;AF854)+SUMIFS($AC$7:$AC$1570,$BR$7:$BR$1570,BR854,$AF$7:$AF$1570,AF854,$BL$7:$BL$1570,"&lt;="&amp;BL854),"")</f>
        <v/>
      </c>
      <c r="AH854" s="65">
        <f>IF(AG854="",0,MAX(0,MIN(1,(IF(BR854="L1",Parameter!$K$5,Parameter!$K$6+Parameter!$K$7)-(AG854-AC854))/AC854)))</f>
        <v/>
      </c>
      <c r="AI854" s="55">
        <f>IF(LEFT(Cockpit!$I$5,1)="A",G854,IF(BT854=1,BU854,IF(LEFT(Cockpit!$I$5,1)="B",AM854,MAX(AM854,G854))))</f>
        <v/>
      </c>
      <c r="AJ854" s="55">
        <f>IF(BO854=1,0,ROUNDUP(AI854/BN854,0))</f>
        <v/>
      </c>
      <c r="AK854" s="64">
        <f>IF(BO854=1,IF(AI854&lt;=0,0,BP854*MAX(1,IF(G854&gt;0,AI854/G854,1))),AJ854*Q854)</f>
        <v/>
      </c>
      <c r="AL854" s="55">
        <f>AI854*F854</f>
        <v/>
      </c>
      <c r="AM854" s="55">
        <f>ROUNDUP(MAX(I854/IF(BS854&gt;0,BS854,MAX(0.1,N(Cockpit!$I$6))),BV854)/BN854,0)*BN854</f>
        <v/>
      </c>
      <c r="AN854" s="56">
        <f>IF(AK854&gt;0,I854/AK854,-1)</f>
        <v/>
      </c>
      <c r="AO854" s="56">
        <f>IF(AND(OR(BR854="L1",BR854="L23"),AK854&gt;0),SUMIFS($AK$7:$AK$1570,$BR$7:$BR$1570,BR854,$AN$7:$AN$1570,"&gt;"&amp;AN854)+SUMIFS($AK$7:$AK$1570,$BR$7:$BR$1570,BR854,$AN$7:$AN$1570,AN854,$BL$7:$BL$1570,"&lt;="&amp;BL854),"")</f>
        <v/>
      </c>
      <c r="AP854" s="65">
        <f>IF(AO854="",0,MAX(0,MIN(1,(IF(BR854="L1",Parameter!$K$5,Parameter!$K$6+Parameter!$K$7)-(AO854-AK854))/AK854)))</f>
        <v/>
      </c>
      <c r="AQ854" s="55">
        <f>IF(LEFT(Cockpit!$O$5,1)="A",G854,IF(BT854=1,BU854,IF(LEFT(Cockpit!$O$5,1)="B",AU854,MAX(AU854,G854))))</f>
        <v/>
      </c>
      <c r="AR854" s="55">
        <f>IF(BO854=1,0,ROUNDUP(AQ854/BN854,0))</f>
        <v/>
      </c>
      <c r="AS854" s="64">
        <f>IF(BO854=1,IF(AQ854&lt;=0,0,BP854*MAX(1,IF(G854&gt;0,AQ854/G854,1))),AR854*Q854)</f>
        <v/>
      </c>
      <c r="AT854" s="55">
        <f>AQ854*F854</f>
        <v/>
      </c>
      <c r="AU854" s="55">
        <f>ROUNDUP(MAX(I854/IF(BS854&gt;0,BS854,MAX(0.1,N(Cockpit!$O$6))),BV854)/BN854,0)*BN854</f>
        <v/>
      </c>
      <c r="AV854" s="56">
        <f>IF(AS854&gt;0,I854/AS854,-1)</f>
        <v/>
      </c>
      <c r="AW854" s="56">
        <f>IF(AND(OR(BR854="L1",BR854="L23"),AS854&gt;0),SUMIFS($AS$7:$AS$1570,$BR$7:$BR$1570,BR854,$AV$7:$AV$1570,"&gt;"&amp;AV854)+SUMIFS($AS$7:$AS$1570,$BR$7:$BR$1570,BR854,$AV$7:$AV$1570,AV854,$BL$7:$BL$1570,"&lt;="&amp;BL854),"")</f>
        <v/>
      </c>
      <c r="AX854" s="65">
        <f>IF(AW854="",0,MAX(0,MIN(1,(IF(BR854="L1",Parameter!$K$5,Parameter!$K$6+Parameter!$K$7)-(AW854-AS854))/AS854)))</f>
        <v/>
      </c>
      <c r="AY854" s="53">
        <f>IF(AC854&lt;=0,"",IF(BR854="Aussen","Aussenlager",IF(BR854="-","Nicht im Lift",IF(AH854&gt;=1,"Lift",IF(AH854&lt;=0,"Aussenlager","teilweise")))))</f>
        <v/>
      </c>
      <c r="AZ854" s="53">
        <f>IF(AK854&lt;=0,"",IF(BR854="Aussen","Aussenlager",IF(BR854="-","Nicht im Lift",IF(AP854&gt;=1,"Lift",IF(AP854&lt;=0,"Aussenlager","teilweise")))))</f>
        <v/>
      </c>
      <c r="BA854" s="53">
        <f>IF(AS854&lt;=0,"",IF(BR854="Aussen","Aussenlager",IF(BR854="-","Nicht im Lift",IF(AX854&gt;=1,"Lift",IF(AX854&lt;=0,"Aussenlager","teilweise")))))</f>
        <v/>
      </c>
      <c r="BB854" s="53">
        <f>IF(A854="","",IF(BK854=1,"Neu; ","")&amp;IF(AND(BK854=0,BF854&lt;0),"negativer Bestand (Export "&amp;BF854&amp;"); ","")&amp;IF(I854&lt;=0,"Kein Verbrauch; ","")&amp;IF(BO854=1,"Lose – Fläche geschätzt; ","")&amp;IF(G854&gt;AM854,"Überbestand "&amp;ROUND(G854-AM854,0)&amp;" Stk / CHF "&amp;ROUND((G854-AM854)*F854,0)&amp;"; ","")&amp;IF(AND(BT854=1,BU854&lt;BV854),"MAX &lt; MB+LG; ","")&amp;IF(AND(BZ854&gt;0,BY854*10&gt;BZ854),"zu hoch für Tablar; ","")&amp;IF(AND(BK854=0,OR(BT854=1,V854&lt;&gt;"",S854&lt;&gt;"",T854&lt;&gt;"",W854&lt;&gt;"")),"manuell übersteuert; ","")&amp;IF(AND(BO854=0,Q854=0),"Gebinde unbekannt; ","")&amp;IF(AND(BO854=0,N(T854)&lt;=0,N(P854)&lt;=0),"Menge pro Gebinde fehlt (Ist = 1 Gebinde); ","")&amp;BJ854)</f>
        <v/>
      </c>
      <c r="BC854" s="53" t="n"/>
      <c r="BD854" s="53" t="n"/>
      <c r="BE854" s="61" t="n"/>
      <c r="BF854" s="55" t="n">
        <v>-56</v>
      </c>
      <c r="BG854" s="55" t="n">
        <v>106</v>
      </c>
      <c r="BH854" s="54" t="n">
        <v>-17.98000000000002</v>
      </c>
      <c r="BI854" s="55" t="n">
        <v>400</v>
      </c>
      <c r="BJ854" s="53" t="inlineStr"/>
      <c r="BK854" s="58" t="n">
        <v>0</v>
      </c>
      <c r="BL854" s="58" t="n">
        <v>854</v>
      </c>
      <c r="BM854" s="53">
        <f>IF(S854&lt;&gt;"",UPPER(TRIM(S854)),IF(O854="","LOSE",O854))</f>
        <v/>
      </c>
      <c r="BN854" s="55">
        <f>IF(BM854="LOSE",1,IF(N(T854)&gt;0,T854,IF(N(P854)&gt;0,P854,MAX(1,G854))))</f>
        <v/>
      </c>
      <c r="BO854" s="58">
        <f>IF(BM854="LOSE",1,0)</f>
        <v/>
      </c>
      <c r="BP854" s="64">
        <f>IF(BO854=0,0,IF(N(R854)&gt;0,R854,IFERROR(VLOOKUP(D854,Parameter!$A$35:$C$64,3,0)+0,0)))</f>
        <v/>
      </c>
      <c r="BQ854" s="53">
        <f>IF(V854&lt;&gt;"",V854,U854)</f>
        <v/>
      </c>
      <c r="BR854" s="53">
        <f>IF(BQ854=1,"L1",IF(OR(BQ854=2,BQ854=3),"L23",IF(BQ854="Aussen","Aussen","-")))</f>
        <v/>
      </c>
      <c r="BS854" s="66">
        <f>IF(N(W854)&gt;0,W854,0)</f>
        <v/>
      </c>
      <c r="BT854" s="58">
        <f>IF(ISNUMBER(Z854),1,0)</f>
        <v/>
      </c>
      <c r="BU854" s="55">
        <f>N(Z854)</f>
        <v/>
      </c>
      <c r="BV854" s="55">
        <f>N(L854)+N(M854)</f>
        <v/>
      </c>
      <c r="BW854" s="55">
        <f>ROUNDUP(G854/BN854,0)</f>
        <v/>
      </c>
      <c r="BX854" s="55">
        <f>ROUNDUP(BU854/BN854,0)</f>
        <v/>
      </c>
      <c r="BY854" s="58">
        <f>IF(BO854=1,0,IFERROR(VLOOKUP(BM854,'Gebinde-Kategorie'!$A$5:$G$45,5,0)+0,0))</f>
        <v/>
      </c>
      <c r="BZ854" s="58">
        <f>IFERROR(IF(OR(BQ854=1,BQ854=2,BQ854=3),N(INDEX(Parameter!$I$5:$I$7,BQ854)),0),0)</f>
        <v/>
      </c>
    </row>
    <row r="855">
      <c r="A855" s="53" t="inlineStr">
        <is>
          <t>005398</t>
        </is>
      </c>
      <c r="B855" s="53" t="inlineStr">
        <is>
          <t>Korundtuch</t>
        </is>
      </c>
      <c r="C855" s="53" t="inlineStr">
        <is>
          <t>F</t>
        </is>
      </c>
      <c r="D855" s="53" t="inlineStr">
        <is>
          <t>KTL</t>
        </is>
      </c>
      <c r="E855" s="53" t="inlineStr">
        <is>
          <t>C</t>
        </is>
      </c>
      <c r="F855" s="54" t="n">
        <v>0.77</v>
      </c>
      <c r="G855" s="55">
        <f>MAX(0,IF(Parameter!$B$20="Jahresanfang 2025 + Export",BG855+BF855,BF855))</f>
        <v/>
      </c>
      <c r="H855" s="55">
        <f>G855*F855</f>
        <v/>
      </c>
      <c r="I855" s="55">
        <f>BI855*Parameter!$B$18</f>
        <v/>
      </c>
      <c r="J855" s="56" t="n">
        <v>16</v>
      </c>
      <c r="K855" s="57" t="n">
        <v>0.125</v>
      </c>
      <c r="L855" s="55" t="n">
        <v>0</v>
      </c>
      <c r="M855" s="55" t="n">
        <v>1</v>
      </c>
      <c r="N855" s="58" t="n">
        <v>14</v>
      </c>
      <c r="O855" s="53" t="inlineStr">
        <is>
          <t>LOSE</t>
        </is>
      </c>
      <c r="P855" s="55" t="n"/>
      <c r="Q855" s="59">
        <f>IF(BO855=1,0,IFERROR(VLOOKUP(BM855,'Gebinde-Kategorie'!$A$5:$G$45,6,0)+0,0))</f>
        <v/>
      </c>
      <c r="R855" s="60" t="n"/>
      <c r="S855" s="61" t="n"/>
      <c r="T855" s="61" t="n"/>
      <c r="U855" s="53">
        <f>IF(A855="","",IF(IFERROR(VLOOKUP(D855,Parameter!$A$35:$C$64,2,0),"Nein")="2+3",IF(ISNUMBER(SEARCH("grosser Artikel",BJ855)),2,IFERROR(VLOOKUP(BM855,Parameter!$F$35:$G$64,2,0),2)),IF(OR(IFERROR(VLOOKUP(D855,Parameter!$A$35:$C$64,2,0),"Nein")="Nein",IFERROR(VLOOKUP(D855,Parameter!$A$35:$C$64,2,0),"Nein")=""),"-",VLOOKUP(D855,Parameter!$A$35:$C$64,2,0))))</f>
        <v/>
      </c>
      <c r="V855" s="61" t="n"/>
      <c r="W855" s="62" t="n"/>
      <c r="X855" s="55">
        <f>AM855</f>
        <v/>
      </c>
      <c r="Y855" s="55">
        <f>MAX(AM855,G855)</f>
        <v/>
      </c>
      <c r="Z855" s="63" t="n"/>
      <c r="AA855" s="55">
        <f>IF(LEFT(Cockpit!$C$5,1)="A",G855,IF(BT855=1,BU855,IF(LEFT(Cockpit!$C$5,1)="B",AE855,MAX(AE855,G855))))</f>
        <v/>
      </c>
      <c r="AB855" s="55">
        <f>IF(BO855=1,0,ROUNDUP(AA855/BN855,0))</f>
        <v/>
      </c>
      <c r="AC855" s="64">
        <f>IF(BO855=1,IF(AA855&lt;=0,0,BP855*MAX(1,IF(G855&gt;0,AA855/G855,1))),AB855*Q855)</f>
        <v/>
      </c>
      <c r="AD855" s="55">
        <f>AA855*F855</f>
        <v/>
      </c>
      <c r="AE855" s="55">
        <f>ROUNDUP(MAX(I855/IF(BS855&gt;0,BS855,MAX(0.1,N(Cockpit!$C$6))),BV855)/BN855,0)*BN855</f>
        <v/>
      </c>
      <c r="AF855" s="56">
        <f>IF(AC855&gt;0,I855/AC855,-1)</f>
        <v/>
      </c>
      <c r="AG855" s="56">
        <f>IF(AND(OR(BR855="L1",BR855="L23"),AC855&gt;0),SUMIFS($AC$7:$AC$1570,$BR$7:$BR$1570,BR855,$AF$7:$AF$1570,"&gt;"&amp;AF855)+SUMIFS($AC$7:$AC$1570,$BR$7:$BR$1570,BR855,$AF$7:$AF$1570,AF855,$BL$7:$BL$1570,"&lt;="&amp;BL855),"")</f>
        <v/>
      </c>
      <c r="AH855" s="65">
        <f>IF(AG855="",0,MAX(0,MIN(1,(IF(BR855="L1",Parameter!$K$5,Parameter!$K$6+Parameter!$K$7)-(AG855-AC855))/AC855)))</f>
        <v/>
      </c>
      <c r="AI855" s="55">
        <f>IF(LEFT(Cockpit!$I$5,1)="A",G855,IF(BT855=1,BU855,IF(LEFT(Cockpit!$I$5,1)="B",AM855,MAX(AM855,G855))))</f>
        <v/>
      </c>
      <c r="AJ855" s="55">
        <f>IF(BO855=1,0,ROUNDUP(AI855/BN855,0))</f>
        <v/>
      </c>
      <c r="AK855" s="64">
        <f>IF(BO855=1,IF(AI855&lt;=0,0,BP855*MAX(1,IF(G855&gt;0,AI855/G855,1))),AJ855*Q855)</f>
        <v/>
      </c>
      <c r="AL855" s="55">
        <f>AI855*F855</f>
        <v/>
      </c>
      <c r="AM855" s="55">
        <f>ROUNDUP(MAX(I855/IF(BS855&gt;0,BS855,MAX(0.1,N(Cockpit!$I$6))),BV855)/BN855,0)*BN855</f>
        <v/>
      </c>
      <c r="AN855" s="56">
        <f>IF(AK855&gt;0,I855/AK855,-1)</f>
        <v/>
      </c>
      <c r="AO855" s="56">
        <f>IF(AND(OR(BR855="L1",BR855="L23"),AK855&gt;0),SUMIFS($AK$7:$AK$1570,$BR$7:$BR$1570,BR855,$AN$7:$AN$1570,"&gt;"&amp;AN855)+SUMIFS($AK$7:$AK$1570,$BR$7:$BR$1570,BR855,$AN$7:$AN$1570,AN855,$BL$7:$BL$1570,"&lt;="&amp;BL855),"")</f>
        <v/>
      </c>
      <c r="AP855" s="65">
        <f>IF(AO855="",0,MAX(0,MIN(1,(IF(BR855="L1",Parameter!$K$5,Parameter!$K$6+Parameter!$K$7)-(AO855-AK855))/AK855)))</f>
        <v/>
      </c>
      <c r="AQ855" s="55">
        <f>IF(LEFT(Cockpit!$O$5,1)="A",G855,IF(BT855=1,BU855,IF(LEFT(Cockpit!$O$5,1)="B",AU855,MAX(AU855,G855))))</f>
        <v/>
      </c>
      <c r="AR855" s="55">
        <f>IF(BO855=1,0,ROUNDUP(AQ855/BN855,0))</f>
        <v/>
      </c>
      <c r="AS855" s="64">
        <f>IF(BO855=1,IF(AQ855&lt;=0,0,BP855*MAX(1,IF(G855&gt;0,AQ855/G855,1))),AR855*Q855)</f>
        <v/>
      </c>
      <c r="AT855" s="55">
        <f>AQ855*F855</f>
        <v/>
      </c>
      <c r="AU855" s="55">
        <f>ROUNDUP(MAX(I855/IF(BS855&gt;0,BS855,MAX(0.1,N(Cockpit!$O$6))),BV855)/BN855,0)*BN855</f>
        <v/>
      </c>
      <c r="AV855" s="56">
        <f>IF(AS855&gt;0,I855/AS855,-1)</f>
        <v/>
      </c>
      <c r="AW855" s="56">
        <f>IF(AND(OR(BR855="L1",BR855="L23"),AS855&gt;0),SUMIFS($AS$7:$AS$1570,$BR$7:$BR$1570,BR855,$AV$7:$AV$1570,"&gt;"&amp;AV855)+SUMIFS($AS$7:$AS$1570,$BR$7:$BR$1570,BR855,$AV$7:$AV$1570,AV855,$BL$7:$BL$1570,"&lt;="&amp;BL855),"")</f>
        <v/>
      </c>
      <c r="AX855" s="65">
        <f>IF(AW855="",0,MAX(0,MIN(1,(IF(BR855="L1",Parameter!$K$5,Parameter!$K$6+Parameter!$K$7)-(AW855-AS855))/AS855)))</f>
        <v/>
      </c>
      <c r="AY855" s="53">
        <f>IF(AC855&lt;=0,"",IF(BR855="Aussen","Aussenlager",IF(BR855="-","Nicht im Lift",IF(AH855&gt;=1,"Lift",IF(AH855&lt;=0,"Aussenlager","teilweise")))))</f>
        <v/>
      </c>
      <c r="AZ855" s="53">
        <f>IF(AK855&lt;=0,"",IF(BR855="Aussen","Aussenlager",IF(BR855="-","Nicht im Lift",IF(AP855&gt;=1,"Lift",IF(AP855&lt;=0,"Aussenlager","teilweise")))))</f>
        <v/>
      </c>
      <c r="BA855" s="53">
        <f>IF(AS855&lt;=0,"",IF(BR855="Aussen","Aussenlager",IF(BR855="-","Nicht im Lift",IF(AX855&gt;=1,"Lift",IF(AX855&lt;=0,"Aussenlager","teilweise")))))</f>
        <v/>
      </c>
      <c r="BB855" s="53">
        <f>IF(A855="","",IF(BK855=1,"Neu; ","")&amp;IF(AND(BK855=0,BF855&lt;0),"negativer Bestand (Export "&amp;BF855&amp;"); ","")&amp;IF(I855&lt;=0,"Kein Verbrauch; ","")&amp;IF(BO855=1,"Lose – Fläche geschätzt; ","")&amp;IF(G855&gt;AM855,"Überbestand "&amp;ROUND(G855-AM855,0)&amp;" Stk / CHF "&amp;ROUND((G855-AM855)*F855,0)&amp;"; ","")&amp;IF(AND(BT855=1,BU855&lt;BV855),"MAX &lt; MB+LG; ","")&amp;IF(AND(BZ855&gt;0,BY855*10&gt;BZ855),"zu hoch für Tablar; ","")&amp;IF(AND(BK855=0,OR(BT855=1,V855&lt;&gt;"",S855&lt;&gt;"",T855&lt;&gt;"",W855&lt;&gt;"")),"manuell übersteuert; ","")&amp;IF(AND(BO855=0,Q855=0),"Gebinde unbekannt; ","")&amp;IF(AND(BO855=0,N(T855)&lt;=0,N(P855)&lt;=0),"Menge pro Gebinde fehlt (Ist = 1 Gebinde); ","")&amp;BJ855)</f>
        <v/>
      </c>
      <c r="BC855" s="53" t="n"/>
      <c r="BD855" s="53" t="n"/>
      <c r="BE855" s="61" t="n"/>
      <c r="BF855" s="55" t="n">
        <v>-24</v>
      </c>
      <c r="BG855" s="55" t="n">
        <v>29</v>
      </c>
      <c r="BH855" s="54" t="n">
        <v>-18.48</v>
      </c>
      <c r="BI855" s="55" t="n">
        <v>2</v>
      </c>
      <c r="BJ855" s="53" t="inlineStr">
        <is>
          <t>Überbestand; nicht im KTL vorhanden</t>
        </is>
      </c>
      <c r="BK855" s="58" t="n">
        <v>0</v>
      </c>
      <c r="BL855" s="58" t="n">
        <v>855</v>
      </c>
      <c r="BM855" s="53">
        <f>IF(S855&lt;&gt;"",UPPER(TRIM(S855)),IF(O855="","LOSE",O855))</f>
        <v/>
      </c>
      <c r="BN855" s="55">
        <f>IF(BM855="LOSE",1,IF(N(T855)&gt;0,T855,IF(N(P855)&gt;0,P855,MAX(1,G855))))</f>
        <v/>
      </c>
      <c r="BO855" s="58">
        <f>IF(BM855="LOSE",1,0)</f>
        <v/>
      </c>
      <c r="BP855" s="64">
        <f>IF(BO855=0,0,IF(N(R855)&gt;0,R855,IFERROR(VLOOKUP(D855,Parameter!$A$35:$C$64,3,0)+0,0)))</f>
        <v/>
      </c>
      <c r="BQ855" s="53">
        <f>IF(V855&lt;&gt;"",V855,U855)</f>
        <v/>
      </c>
      <c r="BR855" s="53">
        <f>IF(BQ855=1,"L1",IF(OR(BQ855=2,BQ855=3),"L23",IF(BQ855="Aussen","Aussen","-")))</f>
        <v/>
      </c>
      <c r="BS855" s="66">
        <f>IF(N(W855)&gt;0,W855,0)</f>
        <v/>
      </c>
      <c r="BT855" s="58">
        <f>IF(ISNUMBER(Z855),1,0)</f>
        <v/>
      </c>
      <c r="BU855" s="55">
        <f>N(Z855)</f>
        <v/>
      </c>
      <c r="BV855" s="55">
        <f>N(L855)+N(M855)</f>
        <v/>
      </c>
      <c r="BW855" s="55">
        <f>ROUNDUP(G855/BN855,0)</f>
        <v/>
      </c>
      <c r="BX855" s="55">
        <f>ROUNDUP(BU855/BN855,0)</f>
        <v/>
      </c>
      <c r="BY855" s="58">
        <f>IF(BO855=1,0,IFERROR(VLOOKUP(BM855,'Gebinde-Kategorie'!$A$5:$G$45,5,0)+0,0))</f>
        <v/>
      </c>
      <c r="BZ855" s="58">
        <f>IFERROR(IF(OR(BQ855=1,BQ855=2,BQ855=3),N(INDEX(Parameter!$I$5:$I$7,BQ855)),0),0)</f>
        <v/>
      </c>
    </row>
    <row r="856">
      <c r="A856" s="53" t="inlineStr">
        <is>
          <t>005808</t>
        </is>
      </c>
      <c r="B856" s="53" t="inlineStr">
        <is>
          <t>Schutzkappe</t>
        </is>
      </c>
      <c r="C856" s="53" t="inlineStr">
        <is>
          <t>F</t>
        </is>
      </c>
      <c r="D856" s="53" t="inlineStr">
        <is>
          <t>KTL</t>
        </is>
      </c>
      <c r="E856" s="53" t="inlineStr">
        <is>
          <t>C</t>
        </is>
      </c>
      <c r="F856" s="54" t="n">
        <v>0.72</v>
      </c>
      <c r="G856" s="55">
        <f>MAX(0,IF(Parameter!$B$20="Jahresanfang 2025 + Export",BG856+BF856,BF856))</f>
        <v/>
      </c>
      <c r="H856" s="55">
        <f>G856*F856</f>
        <v/>
      </c>
      <c r="I856" s="55">
        <f>BI856*Parameter!$B$18</f>
        <v/>
      </c>
      <c r="J856" s="56" t="n">
        <v>519.5</v>
      </c>
      <c r="K856" s="57" t="n">
        <v>0.1154956689124158</v>
      </c>
      <c r="L856" s="55" t="n">
        <v>2</v>
      </c>
      <c r="M856" s="55" t="n">
        <v>60</v>
      </c>
      <c r="N856" s="58" t="n">
        <v>14</v>
      </c>
      <c r="O856" s="53" t="inlineStr">
        <is>
          <t>S52</t>
        </is>
      </c>
      <c r="P856" s="55" t="n">
        <v>831</v>
      </c>
      <c r="Q856" s="59">
        <f>IF(BO856=1,0,IFERROR(VLOOKUP(BM856,'Gebinde-Kategorie'!$A$5:$G$45,6,0)+0,0))</f>
        <v/>
      </c>
      <c r="R856" s="60" t="n"/>
      <c r="S856" s="61" t="n"/>
      <c r="T856" s="61" t="n"/>
      <c r="U856" s="53">
        <f>IF(A856="","",IF(IFERROR(VLOOKUP(D856,Parameter!$A$35:$C$64,2,0),"Nein")="2+3",IF(ISNUMBER(SEARCH("grosser Artikel",BJ856)),2,IFERROR(VLOOKUP(BM856,Parameter!$F$35:$G$64,2,0),2)),IF(OR(IFERROR(VLOOKUP(D856,Parameter!$A$35:$C$64,2,0),"Nein")="Nein",IFERROR(VLOOKUP(D856,Parameter!$A$35:$C$64,2,0),"Nein")=""),"-",VLOOKUP(D856,Parameter!$A$35:$C$64,2,0))))</f>
        <v/>
      </c>
      <c r="V856" s="61" t="n"/>
      <c r="W856" s="62" t="n"/>
      <c r="X856" s="55">
        <f>AM856</f>
        <v/>
      </c>
      <c r="Y856" s="55">
        <f>MAX(AM856,G856)</f>
        <v/>
      </c>
      <c r="Z856" s="63" t="n"/>
      <c r="AA856" s="55">
        <f>IF(LEFT(Cockpit!$C$5,1)="A",G856,IF(BT856=1,BU856,IF(LEFT(Cockpit!$C$5,1)="B",AE856,MAX(AE856,G856))))</f>
        <v/>
      </c>
      <c r="AB856" s="55">
        <f>IF(BO856=1,0,ROUNDUP(AA856/BN856,0))</f>
        <v/>
      </c>
      <c r="AC856" s="64">
        <f>IF(BO856=1,IF(AA856&lt;=0,0,BP856*MAX(1,IF(G856&gt;0,AA856/G856,1))),AB856*Q856)</f>
        <v/>
      </c>
      <c r="AD856" s="55">
        <f>AA856*F856</f>
        <v/>
      </c>
      <c r="AE856" s="55">
        <f>ROUNDUP(MAX(I856/IF(BS856&gt;0,BS856,MAX(0.1,N(Cockpit!$C$6))),BV856)/BN856,0)*BN856</f>
        <v/>
      </c>
      <c r="AF856" s="56">
        <f>IF(AC856&gt;0,I856/AC856,-1)</f>
        <v/>
      </c>
      <c r="AG856" s="56">
        <f>IF(AND(OR(BR856="L1",BR856="L23"),AC856&gt;0),SUMIFS($AC$7:$AC$1570,$BR$7:$BR$1570,BR856,$AF$7:$AF$1570,"&gt;"&amp;AF856)+SUMIFS($AC$7:$AC$1570,$BR$7:$BR$1570,BR856,$AF$7:$AF$1570,AF856,$BL$7:$BL$1570,"&lt;="&amp;BL856),"")</f>
        <v/>
      </c>
      <c r="AH856" s="65">
        <f>IF(AG856="",0,MAX(0,MIN(1,(IF(BR856="L1",Parameter!$K$5,Parameter!$K$6+Parameter!$K$7)-(AG856-AC856))/AC856)))</f>
        <v/>
      </c>
      <c r="AI856" s="55">
        <f>IF(LEFT(Cockpit!$I$5,1)="A",G856,IF(BT856=1,BU856,IF(LEFT(Cockpit!$I$5,1)="B",AM856,MAX(AM856,G856))))</f>
        <v/>
      </c>
      <c r="AJ856" s="55">
        <f>IF(BO856=1,0,ROUNDUP(AI856/BN856,0))</f>
        <v/>
      </c>
      <c r="AK856" s="64">
        <f>IF(BO856=1,IF(AI856&lt;=0,0,BP856*MAX(1,IF(G856&gt;0,AI856/G856,1))),AJ856*Q856)</f>
        <v/>
      </c>
      <c r="AL856" s="55">
        <f>AI856*F856</f>
        <v/>
      </c>
      <c r="AM856" s="55">
        <f>ROUNDUP(MAX(I856/IF(BS856&gt;0,BS856,MAX(0.1,N(Cockpit!$I$6))),BV856)/BN856,0)*BN856</f>
        <v/>
      </c>
      <c r="AN856" s="56">
        <f>IF(AK856&gt;0,I856/AK856,-1)</f>
        <v/>
      </c>
      <c r="AO856" s="56">
        <f>IF(AND(OR(BR856="L1",BR856="L23"),AK856&gt;0),SUMIFS($AK$7:$AK$1570,$BR$7:$BR$1570,BR856,$AN$7:$AN$1570,"&gt;"&amp;AN856)+SUMIFS($AK$7:$AK$1570,$BR$7:$BR$1570,BR856,$AN$7:$AN$1570,AN856,$BL$7:$BL$1570,"&lt;="&amp;BL856),"")</f>
        <v/>
      </c>
      <c r="AP856" s="65">
        <f>IF(AO856="",0,MAX(0,MIN(1,(IF(BR856="L1",Parameter!$K$5,Parameter!$K$6+Parameter!$K$7)-(AO856-AK856))/AK856)))</f>
        <v/>
      </c>
      <c r="AQ856" s="55">
        <f>IF(LEFT(Cockpit!$O$5,1)="A",G856,IF(BT856=1,BU856,IF(LEFT(Cockpit!$O$5,1)="B",AU856,MAX(AU856,G856))))</f>
        <v/>
      </c>
      <c r="AR856" s="55">
        <f>IF(BO856=1,0,ROUNDUP(AQ856/BN856,0))</f>
        <v/>
      </c>
      <c r="AS856" s="64">
        <f>IF(BO856=1,IF(AQ856&lt;=0,0,BP856*MAX(1,IF(G856&gt;0,AQ856/G856,1))),AR856*Q856)</f>
        <v/>
      </c>
      <c r="AT856" s="55">
        <f>AQ856*F856</f>
        <v/>
      </c>
      <c r="AU856" s="55">
        <f>ROUNDUP(MAX(I856/IF(BS856&gt;0,BS856,MAX(0.1,N(Cockpit!$O$6))),BV856)/BN856,0)*BN856</f>
        <v/>
      </c>
      <c r="AV856" s="56">
        <f>IF(AS856&gt;0,I856/AS856,-1)</f>
        <v/>
      </c>
      <c r="AW856" s="56">
        <f>IF(AND(OR(BR856="L1",BR856="L23"),AS856&gt;0),SUMIFS($AS$7:$AS$1570,$BR$7:$BR$1570,BR856,$AV$7:$AV$1570,"&gt;"&amp;AV856)+SUMIFS($AS$7:$AS$1570,$BR$7:$BR$1570,BR856,$AV$7:$AV$1570,AV856,$BL$7:$BL$1570,"&lt;="&amp;BL856),"")</f>
        <v/>
      </c>
      <c r="AX856" s="65">
        <f>IF(AW856="",0,MAX(0,MIN(1,(IF(BR856="L1",Parameter!$K$5,Parameter!$K$6+Parameter!$K$7)-(AW856-AS856))/AS856)))</f>
        <v/>
      </c>
      <c r="AY856" s="53">
        <f>IF(AC856&lt;=0,"",IF(BR856="Aussen","Aussenlager",IF(BR856="-","Nicht im Lift",IF(AH856&gt;=1,"Lift",IF(AH856&lt;=0,"Aussenlager","teilweise")))))</f>
        <v/>
      </c>
      <c r="AZ856" s="53">
        <f>IF(AK856&lt;=0,"",IF(BR856="Aussen","Aussenlager",IF(BR856="-","Nicht im Lift",IF(AP856&gt;=1,"Lift",IF(AP856&lt;=0,"Aussenlager","teilweise")))))</f>
        <v/>
      </c>
      <c r="BA856" s="53">
        <f>IF(AS856&lt;=0,"",IF(BR856="Aussen","Aussenlager",IF(BR856="-","Nicht im Lift",IF(AX856&gt;=1,"Lift",IF(AX856&lt;=0,"Aussenlager","teilweise")))))</f>
        <v/>
      </c>
      <c r="BB856" s="53">
        <f>IF(A856="","",IF(BK856=1,"Neu; ","")&amp;IF(AND(BK856=0,BF856&lt;0),"negativer Bestand (Export "&amp;BF856&amp;"); ","")&amp;IF(I856&lt;=0,"Kein Verbrauch; ","")&amp;IF(BO856=1,"Lose – Fläche geschätzt; ","")&amp;IF(G856&gt;AM856,"Überbestand "&amp;ROUND(G856-AM856,0)&amp;" Stk / CHF "&amp;ROUND((G856-AM856)*F856,0)&amp;"; ","")&amp;IF(AND(BT856=1,BU856&lt;BV856),"MAX &lt; MB+LG; ","")&amp;IF(AND(BZ856&gt;0,BY856*10&gt;BZ856),"zu hoch für Tablar; ","")&amp;IF(AND(BK856=0,OR(BT856=1,V856&lt;&gt;"",S856&lt;&gt;"",T856&lt;&gt;"",W856&lt;&gt;"")),"manuell übersteuert; ","")&amp;IF(AND(BO856=0,Q856=0),"Gebinde unbekannt; ","")&amp;IF(AND(BO856=0,N(T856)&lt;=0,N(P856)&lt;=0),"Menge pro Gebinde fehlt (Ist = 1 Gebinde); ","")&amp;BJ856)</f>
        <v/>
      </c>
      <c r="BC856" s="53" t="n"/>
      <c r="BD856" s="53" t="n"/>
      <c r="BE856" s="61" t="n"/>
      <c r="BF856" s="55" t="n">
        <v>-26</v>
      </c>
      <c r="BG856" s="55" t="n">
        <v>490</v>
      </c>
      <c r="BH856" s="54" t="n">
        <v>-18.71999999999993</v>
      </c>
      <c r="BI856" s="55" t="n">
        <v>60</v>
      </c>
      <c r="BJ856" s="53" t="inlineStr">
        <is>
          <t>Überbestand</t>
        </is>
      </c>
      <c r="BK856" s="58" t="n">
        <v>0</v>
      </c>
      <c r="BL856" s="58" t="n">
        <v>856</v>
      </c>
      <c r="BM856" s="53">
        <f>IF(S856&lt;&gt;"",UPPER(TRIM(S856)),IF(O856="","LOSE",O856))</f>
        <v/>
      </c>
      <c r="BN856" s="55">
        <f>IF(BM856="LOSE",1,IF(N(T856)&gt;0,T856,IF(N(P856)&gt;0,P856,MAX(1,G856))))</f>
        <v/>
      </c>
      <c r="BO856" s="58">
        <f>IF(BM856="LOSE",1,0)</f>
        <v/>
      </c>
      <c r="BP856" s="64">
        <f>IF(BO856=0,0,IF(N(R856)&gt;0,R856,IFERROR(VLOOKUP(D856,Parameter!$A$35:$C$64,3,0)+0,0)))</f>
        <v/>
      </c>
      <c r="BQ856" s="53">
        <f>IF(V856&lt;&gt;"",V856,U856)</f>
        <v/>
      </c>
      <c r="BR856" s="53">
        <f>IF(BQ856=1,"L1",IF(OR(BQ856=2,BQ856=3),"L23",IF(BQ856="Aussen","Aussen","-")))</f>
        <v/>
      </c>
      <c r="BS856" s="66">
        <f>IF(N(W856)&gt;0,W856,0)</f>
        <v/>
      </c>
      <c r="BT856" s="58">
        <f>IF(ISNUMBER(Z856),1,0)</f>
        <v/>
      </c>
      <c r="BU856" s="55">
        <f>N(Z856)</f>
        <v/>
      </c>
      <c r="BV856" s="55">
        <f>N(L856)+N(M856)</f>
        <v/>
      </c>
      <c r="BW856" s="55">
        <f>ROUNDUP(G856/BN856,0)</f>
        <v/>
      </c>
      <c r="BX856" s="55">
        <f>ROUNDUP(BU856/BN856,0)</f>
        <v/>
      </c>
      <c r="BY856" s="58">
        <f>IF(BO856=1,0,IFERROR(VLOOKUP(BM856,'Gebinde-Kategorie'!$A$5:$G$45,5,0)+0,0))</f>
        <v/>
      </c>
      <c r="BZ856" s="58">
        <f>IFERROR(IF(OR(BQ856=1,BQ856=2,BQ856=3),N(INDEX(Parameter!$I$5:$I$7,BQ856)),0),0)</f>
        <v/>
      </c>
    </row>
    <row r="857">
      <c r="A857" s="53" t="inlineStr">
        <is>
          <t>109200</t>
        </is>
      </c>
      <c r="B857" s="53" t="inlineStr">
        <is>
          <t>Deckel GISKB II</t>
        </is>
      </c>
      <c r="C857" s="53" t="inlineStr">
        <is>
          <t>F</t>
        </is>
      </c>
      <c r="D857" s="53" t="inlineStr">
        <is>
          <t>PAL</t>
        </is>
      </c>
      <c r="E857" s="53" t="inlineStr">
        <is>
          <t>C</t>
        </is>
      </c>
      <c r="F857" s="54" t="n">
        <v>13.44</v>
      </c>
      <c r="G857" s="55">
        <f>MAX(0,IF(Parameter!$B$20="Jahresanfang 2025 + Export",BG857+BF857,BF857))</f>
        <v/>
      </c>
      <c r="H857" s="55">
        <f>G857*F857</f>
        <v/>
      </c>
      <c r="I857" s="55">
        <f>BI857*Parameter!$B$18</f>
        <v/>
      </c>
      <c r="J857" s="56" t="n">
        <v>47</v>
      </c>
      <c r="K857" s="57" t="n">
        <v>3.106382978723404</v>
      </c>
      <c r="L857" s="55" t="n">
        <v>5</v>
      </c>
      <c r="M857" s="55" t="n">
        <v>25</v>
      </c>
      <c r="N857" s="58" t="n">
        <v>14</v>
      </c>
      <c r="O857" s="53" t="inlineStr">
        <is>
          <t>S71</t>
        </is>
      </c>
      <c r="P857" s="55" t="n">
        <v>80</v>
      </c>
      <c r="Q857" s="59">
        <f>IF(BO857=1,0,IFERROR(VLOOKUP(BM857,'Gebinde-Kategorie'!$A$5:$G$45,6,0)+0,0))</f>
        <v/>
      </c>
      <c r="R857" s="60" t="n"/>
      <c r="S857" s="61" t="n"/>
      <c r="T857" s="61" t="n"/>
      <c r="U857" s="53">
        <f>IF(A857="","",IF(IFERROR(VLOOKUP(D857,Parameter!$A$35:$C$64,2,0),"Nein")="2+3",IF(ISNUMBER(SEARCH("grosser Artikel",BJ857)),2,IFERROR(VLOOKUP(BM857,Parameter!$F$35:$G$64,2,0),2)),IF(OR(IFERROR(VLOOKUP(D857,Parameter!$A$35:$C$64,2,0),"Nein")="Nein",IFERROR(VLOOKUP(D857,Parameter!$A$35:$C$64,2,0),"Nein")=""),"-",VLOOKUP(D857,Parameter!$A$35:$C$64,2,0))))</f>
        <v/>
      </c>
      <c r="V857" s="61" t="n"/>
      <c r="W857" s="62" t="n"/>
      <c r="X857" s="55">
        <f>AM857</f>
        <v/>
      </c>
      <c r="Y857" s="55">
        <f>MAX(AM857,G857)</f>
        <v/>
      </c>
      <c r="Z857" s="63" t="n"/>
      <c r="AA857" s="55">
        <f>IF(LEFT(Cockpit!$C$5,1)="A",G857,IF(BT857=1,BU857,IF(LEFT(Cockpit!$C$5,1)="B",AE857,MAX(AE857,G857))))</f>
        <v/>
      </c>
      <c r="AB857" s="55">
        <f>IF(BO857=1,0,ROUNDUP(AA857/BN857,0))</f>
        <v/>
      </c>
      <c r="AC857" s="64">
        <f>IF(BO857=1,IF(AA857&lt;=0,0,BP857*MAX(1,IF(G857&gt;0,AA857/G857,1))),AB857*Q857)</f>
        <v/>
      </c>
      <c r="AD857" s="55">
        <f>AA857*F857</f>
        <v/>
      </c>
      <c r="AE857" s="55">
        <f>ROUNDUP(MAX(I857/IF(BS857&gt;0,BS857,MAX(0.1,N(Cockpit!$C$6))),BV857)/BN857,0)*BN857</f>
        <v/>
      </c>
      <c r="AF857" s="56">
        <f>IF(AC857&gt;0,I857/AC857,-1)</f>
        <v/>
      </c>
      <c r="AG857" s="56">
        <f>IF(AND(OR(BR857="L1",BR857="L23"),AC857&gt;0),SUMIFS($AC$7:$AC$1570,$BR$7:$BR$1570,BR857,$AF$7:$AF$1570,"&gt;"&amp;AF857)+SUMIFS($AC$7:$AC$1570,$BR$7:$BR$1570,BR857,$AF$7:$AF$1570,AF857,$BL$7:$BL$1570,"&lt;="&amp;BL857),"")</f>
        <v/>
      </c>
      <c r="AH857" s="65">
        <f>IF(AG857="",0,MAX(0,MIN(1,(IF(BR857="L1",Parameter!$K$5,Parameter!$K$6+Parameter!$K$7)-(AG857-AC857))/AC857)))</f>
        <v/>
      </c>
      <c r="AI857" s="55">
        <f>IF(LEFT(Cockpit!$I$5,1)="A",G857,IF(BT857=1,BU857,IF(LEFT(Cockpit!$I$5,1)="B",AM857,MAX(AM857,G857))))</f>
        <v/>
      </c>
      <c r="AJ857" s="55">
        <f>IF(BO857=1,0,ROUNDUP(AI857/BN857,0))</f>
        <v/>
      </c>
      <c r="AK857" s="64">
        <f>IF(BO857=1,IF(AI857&lt;=0,0,BP857*MAX(1,IF(G857&gt;0,AI857/G857,1))),AJ857*Q857)</f>
        <v/>
      </c>
      <c r="AL857" s="55">
        <f>AI857*F857</f>
        <v/>
      </c>
      <c r="AM857" s="55">
        <f>ROUNDUP(MAX(I857/IF(BS857&gt;0,BS857,MAX(0.1,N(Cockpit!$I$6))),BV857)/BN857,0)*BN857</f>
        <v/>
      </c>
      <c r="AN857" s="56">
        <f>IF(AK857&gt;0,I857/AK857,-1)</f>
        <v/>
      </c>
      <c r="AO857" s="56">
        <f>IF(AND(OR(BR857="L1",BR857="L23"),AK857&gt;0),SUMIFS($AK$7:$AK$1570,$BR$7:$BR$1570,BR857,$AN$7:$AN$1570,"&gt;"&amp;AN857)+SUMIFS($AK$7:$AK$1570,$BR$7:$BR$1570,BR857,$AN$7:$AN$1570,AN857,$BL$7:$BL$1570,"&lt;="&amp;BL857),"")</f>
        <v/>
      </c>
      <c r="AP857" s="65">
        <f>IF(AO857="",0,MAX(0,MIN(1,(IF(BR857="L1",Parameter!$K$5,Parameter!$K$6+Parameter!$K$7)-(AO857-AK857))/AK857)))</f>
        <v/>
      </c>
      <c r="AQ857" s="55">
        <f>IF(LEFT(Cockpit!$O$5,1)="A",G857,IF(BT857=1,BU857,IF(LEFT(Cockpit!$O$5,1)="B",AU857,MAX(AU857,G857))))</f>
        <v/>
      </c>
      <c r="AR857" s="55">
        <f>IF(BO857=1,0,ROUNDUP(AQ857/BN857,0))</f>
        <v/>
      </c>
      <c r="AS857" s="64">
        <f>IF(BO857=1,IF(AQ857&lt;=0,0,BP857*MAX(1,IF(G857&gt;0,AQ857/G857,1))),AR857*Q857)</f>
        <v/>
      </c>
      <c r="AT857" s="55">
        <f>AQ857*F857</f>
        <v/>
      </c>
      <c r="AU857" s="55">
        <f>ROUNDUP(MAX(I857/IF(BS857&gt;0,BS857,MAX(0.1,N(Cockpit!$O$6))),BV857)/BN857,0)*BN857</f>
        <v/>
      </c>
      <c r="AV857" s="56">
        <f>IF(AS857&gt;0,I857/AS857,-1)</f>
        <v/>
      </c>
      <c r="AW857" s="56">
        <f>IF(AND(OR(BR857="L1",BR857="L23"),AS857&gt;0),SUMIFS($AS$7:$AS$1570,$BR$7:$BR$1570,BR857,$AV$7:$AV$1570,"&gt;"&amp;AV857)+SUMIFS($AS$7:$AS$1570,$BR$7:$BR$1570,BR857,$AV$7:$AV$1570,AV857,$BL$7:$BL$1570,"&lt;="&amp;BL857),"")</f>
        <v/>
      </c>
      <c r="AX857" s="65">
        <f>IF(AW857="",0,MAX(0,MIN(1,(IF(BR857="L1",Parameter!$K$5,Parameter!$K$6+Parameter!$K$7)-(AW857-AS857))/AS857)))</f>
        <v/>
      </c>
      <c r="AY857" s="53">
        <f>IF(AC857&lt;=0,"",IF(BR857="Aussen","Aussenlager",IF(BR857="-","Nicht im Lift",IF(AH857&gt;=1,"Lift",IF(AH857&lt;=0,"Aussenlager","teilweise")))))</f>
        <v/>
      </c>
      <c r="AZ857" s="53">
        <f>IF(AK857&lt;=0,"",IF(BR857="Aussen","Aussenlager",IF(BR857="-","Nicht im Lift",IF(AP857&gt;=1,"Lift",IF(AP857&lt;=0,"Aussenlager","teilweise")))))</f>
        <v/>
      </c>
      <c r="BA857" s="53">
        <f>IF(AS857&lt;=0,"",IF(BR857="Aussen","Aussenlager",IF(BR857="-","Nicht im Lift",IF(AX857&gt;=1,"Lift",IF(AX857&lt;=0,"Aussenlager","teilweise")))))</f>
        <v/>
      </c>
      <c r="BB857" s="53">
        <f>IF(A857="","",IF(BK857=1,"Neu; ","")&amp;IF(AND(BK857=0,BF857&lt;0),"negativer Bestand (Export "&amp;BF857&amp;"); ","")&amp;IF(I857&lt;=0,"Kein Verbrauch; ","")&amp;IF(BO857=1,"Lose – Fläche geschätzt; ","")&amp;IF(G857&gt;AM857,"Überbestand "&amp;ROUND(G857-AM857,0)&amp;" Stk / CHF "&amp;ROUND((G857-AM857)*F857,0)&amp;"; ","")&amp;IF(AND(BT857=1,BU857&lt;BV857),"MAX &lt; MB+LG; ","")&amp;IF(AND(BZ857&gt;0,BY857*10&gt;BZ857),"zu hoch für Tablar; ","")&amp;IF(AND(BK857=0,OR(BT857=1,V857&lt;&gt;"",S857&lt;&gt;"",T857&lt;&gt;"",W857&lt;&gt;"")),"manuell übersteuert; ","")&amp;IF(AND(BO857=0,Q857=0),"Gebinde unbekannt; ","")&amp;IF(AND(BO857=0,N(T857)&lt;=0,N(P857)&lt;=0),"Menge pro Gebinde fehlt (Ist = 1 Gebinde); ","")&amp;BJ857)</f>
        <v/>
      </c>
      <c r="BC857" s="53" t="n"/>
      <c r="BD857" s="53" t="n"/>
      <c r="BE857" s="61" t="n"/>
      <c r="BF857" s="55" t="n">
        <v>-2</v>
      </c>
      <c r="BG857" s="55" t="n">
        <v>44</v>
      </c>
      <c r="BH857" s="54" t="n">
        <v>-18.96000000000004</v>
      </c>
      <c r="BI857" s="55" t="n">
        <v>146</v>
      </c>
      <c r="BJ857" s="53" t="inlineStr"/>
      <c r="BK857" s="58" t="n">
        <v>0</v>
      </c>
      <c r="BL857" s="58" t="n">
        <v>857</v>
      </c>
      <c r="BM857" s="53">
        <f>IF(S857&lt;&gt;"",UPPER(TRIM(S857)),IF(O857="","LOSE",O857))</f>
        <v/>
      </c>
      <c r="BN857" s="55">
        <f>IF(BM857="LOSE",1,IF(N(T857)&gt;0,T857,IF(N(P857)&gt;0,P857,MAX(1,G857))))</f>
        <v/>
      </c>
      <c r="BO857" s="58">
        <f>IF(BM857="LOSE",1,0)</f>
        <v/>
      </c>
      <c r="BP857" s="64">
        <f>IF(BO857=0,0,IF(N(R857)&gt;0,R857,IFERROR(VLOOKUP(D857,Parameter!$A$35:$C$64,3,0)+0,0)))</f>
        <v/>
      </c>
      <c r="BQ857" s="53">
        <f>IF(V857&lt;&gt;"",V857,U857)</f>
        <v/>
      </c>
      <c r="BR857" s="53">
        <f>IF(BQ857=1,"L1",IF(OR(BQ857=2,BQ857=3),"L23",IF(BQ857="Aussen","Aussen","-")))</f>
        <v/>
      </c>
      <c r="BS857" s="66">
        <f>IF(N(W857)&gt;0,W857,0)</f>
        <v/>
      </c>
      <c r="BT857" s="58">
        <f>IF(ISNUMBER(Z857),1,0)</f>
        <v/>
      </c>
      <c r="BU857" s="55">
        <f>N(Z857)</f>
        <v/>
      </c>
      <c r="BV857" s="55">
        <f>N(L857)+N(M857)</f>
        <v/>
      </c>
      <c r="BW857" s="55">
        <f>ROUNDUP(G857/BN857,0)</f>
        <v/>
      </c>
      <c r="BX857" s="55">
        <f>ROUNDUP(BU857/BN857,0)</f>
        <v/>
      </c>
      <c r="BY857" s="58">
        <f>IF(BO857=1,0,IFERROR(VLOOKUP(BM857,'Gebinde-Kategorie'!$A$5:$G$45,5,0)+0,0))</f>
        <v/>
      </c>
      <c r="BZ857" s="58">
        <f>IFERROR(IF(OR(BQ857=1,BQ857=2,BQ857=3),N(INDEX(Parameter!$I$5:$I$7,BQ857)),0),0)</f>
        <v/>
      </c>
    </row>
    <row r="858">
      <c r="A858" s="53" t="inlineStr">
        <is>
          <t>108512</t>
        </is>
      </c>
      <c r="B858" s="53" t="inlineStr">
        <is>
          <t>Typenschild Servicetechniker-Set SPGr10</t>
        </is>
      </c>
      <c r="C858" s="53" t="inlineStr">
        <is>
          <t>F</t>
        </is>
      </c>
      <c r="D858" s="53" t="inlineStr">
        <is>
          <t>KTL</t>
        </is>
      </c>
      <c r="E858" s="53" t="inlineStr">
        <is>
          <t>C</t>
        </is>
      </c>
      <c r="F858" s="54" t="n">
        <v>19.39</v>
      </c>
      <c r="G858" s="55">
        <f>MAX(0,IF(Parameter!$B$20="Jahresanfang 2025 + Export",BG858+BF858,BF858))</f>
        <v/>
      </c>
      <c r="H858" s="55">
        <f>G858*F858</f>
        <v/>
      </c>
      <c r="I858" s="55">
        <f>BI858*Parameter!$B$18</f>
        <v/>
      </c>
      <c r="J858" s="56" t="n">
        <v>17</v>
      </c>
      <c r="K858" s="57" t="n">
        <v>0.1176470588235294</v>
      </c>
      <c r="L858" s="55" t="n">
        <v>0</v>
      </c>
      <c r="M858" s="55" t="n">
        <v>1</v>
      </c>
      <c r="N858" s="58" t="n">
        <v>21</v>
      </c>
      <c r="O858" s="53" t="inlineStr">
        <is>
          <t>S32</t>
        </is>
      </c>
      <c r="P858" s="55" t="n">
        <v>23</v>
      </c>
      <c r="Q858" s="59">
        <f>IF(BO858=1,0,IFERROR(VLOOKUP(BM858,'Gebinde-Kategorie'!$A$5:$G$45,6,0)+0,0))</f>
        <v/>
      </c>
      <c r="R858" s="60" t="n"/>
      <c r="S858" s="61" t="n"/>
      <c r="T858" s="61" t="n"/>
      <c r="U858" s="53">
        <f>IF(A858="","",IF(IFERROR(VLOOKUP(D858,Parameter!$A$35:$C$64,2,0),"Nein")="2+3",IF(ISNUMBER(SEARCH("grosser Artikel",BJ858)),2,IFERROR(VLOOKUP(BM858,Parameter!$F$35:$G$64,2,0),2)),IF(OR(IFERROR(VLOOKUP(D858,Parameter!$A$35:$C$64,2,0),"Nein")="Nein",IFERROR(VLOOKUP(D858,Parameter!$A$35:$C$64,2,0),"Nein")=""),"-",VLOOKUP(D858,Parameter!$A$35:$C$64,2,0))))</f>
        <v/>
      </c>
      <c r="V858" s="61" t="n"/>
      <c r="W858" s="62" t="n"/>
      <c r="X858" s="55">
        <f>AM858</f>
        <v/>
      </c>
      <c r="Y858" s="55">
        <f>MAX(AM858,G858)</f>
        <v/>
      </c>
      <c r="Z858" s="63" t="n"/>
      <c r="AA858" s="55">
        <f>IF(LEFT(Cockpit!$C$5,1)="A",G858,IF(BT858=1,BU858,IF(LEFT(Cockpit!$C$5,1)="B",AE858,MAX(AE858,G858))))</f>
        <v/>
      </c>
      <c r="AB858" s="55">
        <f>IF(BO858=1,0,ROUNDUP(AA858/BN858,0))</f>
        <v/>
      </c>
      <c r="AC858" s="64">
        <f>IF(BO858=1,IF(AA858&lt;=0,0,BP858*MAX(1,IF(G858&gt;0,AA858/G858,1))),AB858*Q858)</f>
        <v/>
      </c>
      <c r="AD858" s="55">
        <f>AA858*F858</f>
        <v/>
      </c>
      <c r="AE858" s="55">
        <f>ROUNDUP(MAX(I858/IF(BS858&gt;0,BS858,MAX(0.1,N(Cockpit!$C$6))),BV858)/BN858,0)*BN858</f>
        <v/>
      </c>
      <c r="AF858" s="56">
        <f>IF(AC858&gt;0,I858/AC858,-1)</f>
        <v/>
      </c>
      <c r="AG858" s="56">
        <f>IF(AND(OR(BR858="L1",BR858="L23"),AC858&gt;0),SUMIFS($AC$7:$AC$1570,$BR$7:$BR$1570,BR858,$AF$7:$AF$1570,"&gt;"&amp;AF858)+SUMIFS($AC$7:$AC$1570,$BR$7:$BR$1570,BR858,$AF$7:$AF$1570,AF858,$BL$7:$BL$1570,"&lt;="&amp;BL858),"")</f>
        <v/>
      </c>
      <c r="AH858" s="65">
        <f>IF(AG858="",0,MAX(0,MIN(1,(IF(BR858="L1",Parameter!$K$5,Parameter!$K$6+Parameter!$K$7)-(AG858-AC858))/AC858)))</f>
        <v/>
      </c>
      <c r="AI858" s="55">
        <f>IF(LEFT(Cockpit!$I$5,1)="A",G858,IF(BT858=1,BU858,IF(LEFT(Cockpit!$I$5,1)="B",AM858,MAX(AM858,G858))))</f>
        <v/>
      </c>
      <c r="AJ858" s="55">
        <f>IF(BO858=1,0,ROUNDUP(AI858/BN858,0))</f>
        <v/>
      </c>
      <c r="AK858" s="64">
        <f>IF(BO858=1,IF(AI858&lt;=0,0,BP858*MAX(1,IF(G858&gt;0,AI858/G858,1))),AJ858*Q858)</f>
        <v/>
      </c>
      <c r="AL858" s="55">
        <f>AI858*F858</f>
        <v/>
      </c>
      <c r="AM858" s="55">
        <f>ROUNDUP(MAX(I858/IF(BS858&gt;0,BS858,MAX(0.1,N(Cockpit!$I$6))),BV858)/BN858,0)*BN858</f>
        <v/>
      </c>
      <c r="AN858" s="56">
        <f>IF(AK858&gt;0,I858/AK858,-1)</f>
        <v/>
      </c>
      <c r="AO858" s="56">
        <f>IF(AND(OR(BR858="L1",BR858="L23"),AK858&gt;0),SUMIFS($AK$7:$AK$1570,$BR$7:$BR$1570,BR858,$AN$7:$AN$1570,"&gt;"&amp;AN858)+SUMIFS($AK$7:$AK$1570,$BR$7:$BR$1570,BR858,$AN$7:$AN$1570,AN858,$BL$7:$BL$1570,"&lt;="&amp;BL858),"")</f>
        <v/>
      </c>
      <c r="AP858" s="65">
        <f>IF(AO858="",0,MAX(0,MIN(1,(IF(BR858="L1",Parameter!$K$5,Parameter!$K$6+Parameter!$K$7)-(AO858-AK858))/AK858)))</f>
        <v/>
      </c>
      <c r="AQ858" s="55">
        <f>IF(LEFT(Cockpit!$O$5,1)="A",G858,IF(BT858=1,BU858,IF(LEFT(Cockpit!$O$5,1)="B",AU858,MAX(AU858,G858))))</f>
        <v/>
      </c>
      <c r="AR858" s="55">
        <f>IF(BO858=1,0,ROUNDUP(AQ858/BN858,0))</f>
        <v/>
      </c>
      <c r="AS858" s="64">
        <f>IF(BO858=1,IF(AQ858&lt;=0,0,BP858*MAX(1,IF(G858&gt;0,AQ858/G858,1))),AR858*Q858)</f>
        <v/>
      </c>
      <c r="AT858" s="55">
        <f>AQ858*F858</f>
        <v/>
      </c>
      <c r="AU858" s="55">
        <f>ROUNDUP(MAX(I858/IF(BS858&gt;0,BS858,MAX(0.1,N(Cockpit!$O$6))),BV858)/BN858,0)*BN858</f>
        <v/>
      </c>
      <c r="AV858" s="56">
        <f>IF(AS858&gt;0,I858/AS858,-1)</f>
        <v/>
      </c>
      <c r="AW858" s="56">
        <f>IF(AND(OR(BR858="L1",BR858="L23"),AS858&gt;0),SUMIFS($AS$7:$AS$1570,$BR$7:$BR$1570,BR858,$AV$7:$AV$1570,"&gt;"&amp;AV858)+SUMIFS($AS$7:$AS$1570,$BR$7:$BR$1570,BR858,$AV$7:$AV$1570,AV858,$BL$7:$BL$1570,"&lt;="&amp;BL858),"")</f>
        <v/>
      </c>
      <c r="AX858" s="65">
        <f>IF(AW858="",0,MAX(0,MIN(1,(IF(BR858="L1",Parameter!$K$5,Parameter!$K$6+Parameter!$K$7)-(AW858-AS858))/AS858)))</f>
        <v/>
      </c>
      <c r="AY858" s="53">
        <f>IF(AC858&lt;=0,"",IF(BR858="Aussen","Aussenlager",IF(BR858="-","Nicht im Lift",IF(AH858&gt;=1,"Lift",IF(AH858&lt;=0,"Aussenlager","teilweise")))))</f>
        <v/>
      </c>
      <c r="AZ858" s="53">
        <f>IF(AK858&lt;=0,"",IF(BR858="Aussen","Aussenlager",IF(BR858="-","Nicht im Lift",IF(AP858&gt;=1,"Lift",IF(AP858&lt;=0,"Aussenlager","teilweise")))))</f>
        <v/>
      </c>
      <c r="BA858" s="53">
        <f>IF(AS858&lt;=0,"",IF(BR858="Aussen","Aussenlager",IF(BR858="-","Nicht im Lift",IF(AX858&gt;=1,"Lift",IF(AX858&lt;=0,"Aussenlager","teilweise")))))</f>
        <v/>
      </c>
      <c r="BB858" s="53">
        <f>IF(A858="","",IF(BK858=1,"Neu; ","")&amp;IF(AND(BK858=0,BF858&lt;0),"negativer Bestand (Export "&amp;BF858&amp;"); ","")&amp;IF(I858&lt;=0,"Kein Verbrauch; ","")&amp;IF(BO858=1,"Lose – Fläche geschätzt; ","")&amp;IF(G858&gt;AM858,"Überbestand "&amp;ROUND(G858-AM858,0)&amp;" Stk / CHF "&amp;ROUND((G858-AM858)*F858,0)&amp;"; ","")&amp;IF(AND(BT858=1,BU858&lt;BV858),"MAX &lt; MB+LG; ","")&amp;IF(AND(BZ858&gt;0,BY858*10&gt;BZ858),"zu hoch für Tablar; ","")&amp;IF(AND(BK858=0,OR(BT858=1,V858&lt;&gt;"",S858&lt;&gt;"",T858&lt;&gt;"",W858&lt;&gt;"")),"manuell übersteuert; ","")&amp;IF(AND(BO858=0,Q858=0),"Gebinde unbekannt; ","")&amp;IF(AND(BO858=0,N(T858)&lt;=0,N(P858)&lt;=0),"Menge pro Gebinde fehlt (Ist = 1 Gebinde); ","")&amp;BJ858)</f>
        <v/>
      </c>
      <c r="BC858" s="53" t="n"/>
      <c r="BD858" s="53" t="n"/>
      <c r="BE858" s="61" t="n"/>
      <c r="BF858" s="55" t="n">
        <v>-1</v>
      </c>
      <c r="BG858" s="55" t="n">
        <v>18</v>
      </c>
      <c r="BH858" s="54" t="n">
        <v>-19.39</v>
      </c>
      <c r="BI858" s="55" t="n">
        <v>2</v>
      </c>
      <c r="BJ858" s="53" t="inlineStr"/>
      <c r="BK858" s="58" t="n">
        <v>0</v>
      </c>
      <c r="BL858" s="58" t="n">
        <v>858</v>
      </c>
      <c r="BM858" s="53">
        <f>IF(S858&lt;&gt;"",UPPER(TRIM(S858)),IF(O858="","LOSE",O858))</f>
        <v/>
      </c>
      <c r="BN858" s="55">
        <f>IF(BM858="LOSE",1,IF(N(T858)&gt;0,T858,IF(N(P858)&gt;0,P858,MAX(1,G858))))</f>
        <v/>
      </c>
      <c r="BO858" s="58">
        <f>IF(BM858="LOSE",1,0)</f>
        <v/>
      </c>
      <c r="BP858" s="64">
        <f>IF(BO858=0,0,IF(N(R858)&gt;0,R858,IFERROR(VLOOKUP(D858,Parameter!$A$35:$C$64,3,0)+0,0)))</f>
        <v/>
      </c>
      <c r="BQ858" s="53">
        <f>IF(V858&lt;&gt;"",V858,U858)</f>
        <v/>
      </c>
      <c r="BR858" s="53">
        <f>IF(BQ858=1,"L1",IF(OR(BQ858=2,BQ858=3),"L23",IF(BQ858="Aussen","Aussen","-")))</f>
        <v/>
      </c>
      <c r="BS858" s="66">
        <f>IF(N(W858)&gt;0,W858,0)</f>
        <v/>
      </c>
      <c r="BT858" s="58">
        <f>IF(ISNUMBER(Z858),1,0)</f>
        <v/>
      </c>
      <c r="BU858" s="55">
        <f>N(Z858)</f>
        <v/>
      </c>
      <c r="BV858" s="55">
        <f>N(L858)+N(M858)</f>
        <v/>
      </c>
      <c r="BW858" s="55">
        <f>ROUNDUP(G858/BN858,0)</f>
        <v/>
      </c>
      <c r="BX858" s="55">
        <f>ROUNDUP(BU858/BN858,0)</f>
        <v/>
      </c>
      <c r="BY858" s="58">
        <f>IF(BO858=1,0,IFERROR(VLOOKUP(BM858,'Gebinde-Kategorie'!$A$5:$G$45,5,0)+0,0))</f>
        <v/>
      </c>
      <c r="BZ858" s="58">
        <f>IFERROR(IF(OR(BQ858=1,BQ858=2,BQ858=3),N(INDEX(Parameter!$I$5:$I$7,BQ858)),0),0)</f>
        <v/>
      </c>
    </row>
    <row r="859">
      <c r="A859" s="53" t="inlineStr">
        <is>
          <t>108910</t>
        </is>
      </c>
      <c r="B859" s="53" t="inlineStr">
        <is>
          <t>Splint / Vorsteckfeder</t>
        </is>
      </c>
      <c r="C859" s="53" t="inlineStr">
        <is>
          <t>F</t>
        </is>
      </c>
      <c r="D859" s="53" t="inlineStr">
        <is>
          <t>KTL</t>
        </is>
      </c>
      <c r="E859" s="53" t="inlineStr">
        <is>
          <t>C</t>
        </is>
      </c>
      <c r="F859" s="54" t="n">
        <v>0.2</v>
      </c>
      <c r="G859" s="55">
        <f>MAX(0,IF(Parameter!$B$20="Jahresanfang 2025 + Export",BG859+BF859,BF859))</f>
        <v/>
      </c>
      <c r="H859" s="55">
        <f>G859*F859</f>
        <v/>
      </c>
      <c r="I859" s="55">
        <f>BI859*Parameter!$B$18</f>
        <v/>
      </c>
      <c r="J859" s="56" t="n">
        <v>291.5</v>
      </c>
      <c r="K859" s="57" t="n">
        <v>0.5591766723842195</v>
      </c>
      <c r="L859" s="55" t="n">
        <v>9</v>
      </c>
      <c r="M859" s="55" t="n">
        <v>250</v>
      </c>
      <c r="N859" s="58" t="n">
        <v>21</v>
      </c>
      <c r="O859" s="53" t="inlineStr">
        <is>
          <t>S33</t>
        </is>
      </c>
      <c r="P859" s="55" t="n">
        <v>125</v>
      </c>
      <c r="Q859" s="59">
        <f>IF(BO859=1,0,IFERROR(VLOOKUP(BM859,'Gebinde-Kategorie'!$A$5:$G$45,6,0)+0,0))</f>
        <v/>
      </c>
      <c r="R859" s="60" t="n"/>
      <c r="S859" s="61" t="n"/>
      <c r="T859" s="61" t="n"/>
      <c r="U859" s="53">
        <f>IF(A859="","",IF(IFERROR(VLOOKUP(D859,Parameter!$A$35:$C$64,2,0),"Nein")="2+3",IF(ISNUMBER(SEARCH("grosser Artikel",BJ859)),2,IFERROR(VLOOKUP(BM859,Parameter!$F$35:$G$64,2,0),2)),IF(OR(IFERROR(VLOOKUP(D859,Parameter!$A$35:$C$64,2,0),"Nein")="Nein",IFERROR(VLOOKUP(D859,Parameter!$A$35:$C$64,2,0),"Nein")=""),"-",VLOOKUP(D859,Parameter!$A$35:$C$64,2,0))))</f>
        <v/>
      </c>
      <c r="V859" s="61" t="n"/>
      <c r="W859" s="62" t="n"/>
      <c r="X859" s="55">
        <f>AM859</f>
        <v/>
      </c>
      <c r="Y859" s="55">
        <f>MAX(AM859,G859)</f>
        <v/>
      </c>
      <c r="Z859" s="63" t="n"/>
      <c r="AA859" s="55">
        <f>IF(LEFT(Cockpit!$C$5,1)="A",G859,IF(BT859=1,BU859,IF(LEFT(Cockpit!$C$5,1)="B",AE859,MAX(AE859,G859))))</f>
        <v/>
      </c>
      <c r="AB859" s="55">
        <f>IF(BO859=1,0,ROUNDUP(AA859/BN859,0))</f>
        <v/>
      </c>
      <c r="AC859" s="64">
        <f>IF(BO859=1,IF(AA859&lt;=0,0,BP859*MAX(1,IF(G859&gt;0,AA859/G859,1))),AB859*Q859)</f>
        <v/>
      </c>
      <c r="AD859" s="55">
        <f>AA859*F859</f>
        <v/>
      </c>
      <c r="AE859" s="55">
        <f>ROUNDUP(MAX(I859/IF(BS859&gt;0,BS859,MAX(0.1,N(Cockpit!$C$6))),BV859)/BN859,0)*BN859</f>
        <v/>
      </c>
      <c r="AF859" s="56">
        <f>IF(AC859&gt;0,I859/AC859,-1)</f>
        <v/>
      </c>
      <c r="AG859" s="56">
        <f>IF(AND(OR(BR859="L1",BR859="L23"),AC859&gt;0),SUMIFS($AC$7:$AC$1570,$BR$7:$BR$1570,BR859,$AF$7:$AF$1570,"&gt;"&amp;AF859)+SUMIFS($AC$7:$AC$1570,$BR$7:$BR$1570,BR859,$AF$7:$AF$1570,AF859,$BL$7:$BL$1570,"&lt;="&amp;BL859),"")</f>
        <v/>
      </c>
      <c r="AH859" s="65">
        <f>IF(AG859="",0,MAX(0,MIN(1,(IF(BR859="L1",Parameter!$K$5,Parameter!$K$6+Parameter!$K$7)-(AG859-AC859))/AC859)))</f>
        <v/>
      </c>
      <c r="AI859" s="55">
        <f>IF(LEFT(Cockpit!$I$5,1)="A",G859,IF(BT859=1,BU859,IF(LEFT(Cockpit!$I$5,1)="B",AM859,MAX(AM859,G859))))</f>
        <v/>
      </c>
      <c r="AJ859" s="55">
        <f>IF(BO859=1,0,ROUNDUP(AI859/BN859,0))</f>
        <v/>
      </c>
      <c r="AK859" s="64">
        <f>IF(BO859=1,IF(AI859&lt;=0,0,BP859*MAX(1,IF(G859&gt;0,AI859/G859,1))),AJ859*Q859)</f>
        <v/>
      </c>
      <c r="AL859" s="55">
        <f>AI859*F859</f>
        <v/>
      </c>
      <c r="AM859" s="55">
        <f>ROUNDUP(MAX(I859/IF(BS859&gt;0,BS859,MAX(0.1,N(Cockpit!$I$6))),BV859)/BN859,0)*BN859</f>
        <v/>
      </c>
      <c r="AN859" s="56">
        <f>IF(AK859&gt;0,I859/AK859,-1)</f>
        <v/>
      </c>
      <c r="AO859" s="56">
        <f>IF(AND(OR(BR859="L1",BR859="L23"),AK859&gt;0),SUMIFS($AK$7:$AK$1570,$BR$7:$BR$1570,BR859,$AN$7:$AN$1570,"&gt;"&amp;AN859)+SUMIFS($AK$7:$AK$1570,$BR$7:$BR$1570,BR859,$AN$7:$AN$1570,AN859,$BL$7:$BL$1570,"&lt;="&amp;BL859),"")</f>
        <v/>
      </c>
      <c r="AP859" s="65">
        <f>IF(AO859="",0,MAX(0,MIN(1,(IF(BR859="L1",Parameter!$K$5,Parameter!$K$6+Parameter!$K$7)-(AO859-AK859))/AK859)))</f>
        <v/>
      </c>
      <c r="AQ859" s="55">
        <f>IF(LEFT(Cockpit!$O$5,1)="A",G859,IF(BT859=1,BU859,IF(LEFT(Cockpit!$O$5,1)="B",AU859,MAX(AU859,G859))))</f>
        <v/>
      </c>
      <c r="AR859" s="55">
        <f>IF(BO859=1,0,ROUNDUP(AQ859/BN859,0))</f>
        <v/>
      </c>
      <c r="AS859" s="64">
        <f>IF(BO859=1,IF(AQ859&lt;=0,0,BP859*MAX(1,IF(G859&gt;0,AQ859/G859,1))),AR859*Q859)</f>
        <v/>
      </c>
      <c r="AT859" s="55">
        <f>AQ859*F859</f>
        <v/>
      </c>
      <c r="AU859" s="55">
        <f>ROUNDUP(MAX(I859/IF(BS859&gt;0,BS859,MAX(0.1,N(Cockpit!$O$6))),BV859)/BN859,0)*BN859</f>
        <v/>
      </c>
      <c r="AV859" s="56">
        <f>IF(AS859&gt;0,I859/AS859,-1)</f>
        <v/>
      </c>
      <c r="AW859" s="56">
        <f>IF(AND(OR(BR859="L1",BR859="L23"),AS859&gt;0),SUMIFS($AS$7:$AS$1570,$BR$7:$BR$1570,BR859,$AV$7:$AV$1570,"&gt;"&amp;AV859)+SUMIFS($AS$7:$AS$1570,$BR$7:$BR$1570,BR859,$AV$7:$AV$1570,AV859,$BL$7:$BL$1570,"&lt;="&amp;BL859),"")</f>
        <v/>
      </c>
      <c r="AX859" s="65">
        <f>IF(AW859="",0,MAX(0,MIN(1,(IF(BR859="L1",Parameter!$K$5,Parameter!$K$6+Parameter!$K$7)-(AW859-AS859))/AS859)))</f>
        <v/>
      </c>
      <c r="AY859" s="53">
        <f>IF(AC859&lt;=0,"",IF(BR859="Aussen","Aussenlager",IF(BR859="-","Nicht im Lift",IF(AH859&gt;=1,"Lift",IF(AH859&lt;=0,"Aussenlager","teilweise")))))</f>
        <v/>
      </c>
      <c r="AZ859" s="53">
        <f>IF(AK859&lt;=0,"",IF(BR859="Aussen","Aussenlager",IF(BR859="-","Nicht im Lift",IF(AP859&gt;=1,"Lift",IF(AP859&lt;=0,"Aussenlager","teilweise")))))</f>
        <v/>
      </c>
      <c r="BA859" s="53">
        <f>IF(AS859&lt;=0,"",IF(BR859="Aussen","Aussenlager",IF(BR859="-","Nicht im Lift",IF(AX859&gt;=1,"Lift",IF(AX859&lt;=0,"Aussenlager","teilweise")))))</f>
        <v/>
      </c>
      <c r="BB859" s="53">
        <f>IF(A859="","",IF(BK859=1,"Neu; ","")&amp;IF(AND(BK859=0,BF859&lt;0),"negativer Bestand (Export "&amp;BF859&amp;"); ","")&amp;IF(I859&lt;=0,"Kein Verbrauch; ","")&amp;IF(BO859=1,"Lose – Fläche geschätzt; ","")&amp;IF(G859&gt;AM859,"Überbestand "&amp;ROUND(G859-AM859,0)&amp;" Stk / CHF "&amp;ROUND((G859-AM859)*F859,0)&amp;"; ","")&amp;IF(AND(BT859=1,BU859&lt;BV859),"MAX &lt; MB+LG; ","")&amp;IF(AND(BZ859&gt;0,BY859*10&gt;BZ859),"zu hoch für Tablar; ","")&amp;IF(AND(BK859=0,OR(BT859=1,V859&lt;&gt;"",S859&lt;&gt;"",T859&lt;&gt;"",W859&lt;&gt;"")),"manuell übersteuert; ","")&amp;IF(AND(BO859=0,Q859=0),"Gebinde unbekannt; ","")&amp;IF(AND(BO859=0,N(T859)&lt;=0,N(P859)&lt;=0),"Menge pro Gebinde fehlt (Ist = 1 Gebinde); ","")&amp;BJ859)</f>
        <v/>
      </c>
      <c r="BC859" s="53" t="n"/>
      <c r="BD859" s="53" t="n"/>
      <c r="BE859" s="61" t="n"/>
      <c r="BF859" s="55" t="n">
        <v>-223</v>
      </c>
      <c r="BG859" s="55" t="n">
        <v>332</v>
      </c>
      <c r="BH859" s="54" t="n">
        <v>-19.87999999999996</v>
      </c>
      <c r="BI859" s="55" t="n">
        <v>163</v>
      </c>
      <c r="BJ859" s="53" t="inlineStr"/>
      <c r="BK859" s="58" t="n">
        <v>0</v>
      </c>
      <c r="BL859" s="58" t="n">
        <v>859</v>
      </c>
      <c r="BM859" s="53">
        <f>IF(S859&lt;&gt;"",UPPER(TRIM(S859)),IF(O859="","LOSE",O859))</f>
        <v/>
      </c>
      <c r="BN859" s="55">
        <f>IF(BM859="LOSE",1,IF(N(T859)&gt;0,T859,IF(N(P859)&gt;0,P859,MAX(1,G859))))</f>
        <v/>
      </c>
      <c r="BO859" s="58">
        <f>IF(BM859="LOSE",1,0)</f>
        <v/>
      </c>
      <c r="BP859" s="64">
        <f>IF(BO859=0,0,IF(N(R859)&gt;0,R859,IFERROR(VLOOKUP(D859,Parameter!$A$35:$C$64,3,0)+0,0)))</f>
        <v/>
      </c>
      <c r="BQ859" s="53">
        <f>IF(V859&lt;&gt;"",V859,U859)</f>
        <v/>
      </c>
      <c r="BR859" s="53">
        <f>IF(BQ859=1,"L1",IF(OR(BQ859=2,BQ859=3),"L23",IF(BQ859="Aussen","Aussen","-")))</f>
        <v/>
      </c>
      <c r="BS859" s="66">
        <f>IF(N(W859)&gt;0,W859,0)</f>
        <v/>
      </c>
      <c r="BT859" s="58">
        <f>IF(ISNUMBER(Z859),1,0)</f>
        <v/>
      </c>
      <c r="BU859" s="55">
        <f>N(Z859)</f>
        <v/>
      </c>
      <c r="BV859" s="55">
        <f>N(L859)+N(M859)</f>
        <v/>
      </c>
      <c r="BW859" s="55">
        <f>ROUNDUP(G859/BN859,0)</f>
        <v/>
      </c>
      <c r="BX859" s="55">
        <f>ROUNDUP(BU859/BN859,0)</f>
        <v/>
      </c>
      <c r="BY859" s="58">
        <f>IF(BO859=1,0,IFERROR(VLOOKUP(BM859,'Gebinde-Kategorie'!$A$5:$G$45,5,0)+0,0))</f>
        <v/>
      </c>
      <c r="BZ859" s="58">
        <f>IFERROR(IF(OR(BQ859=1,BQ859=2,BQ859=3),N(INDEX(Parameter!$I$5:$I$7,BQ859)),0),0)</f>
        <v/>
      </c>
    </row>
    <row r="860">
      <c r="A860" s="53" t="inlineStr">
        <is>
          <t>109624</t>
        </is>
      </c>
      <c r="B860" s="53" t="inlineStr">
        <is>
          <t>Einfach - Rohrschelle PP</t>
        </is>
      </c>
      <c r="C860" s="53" t="inlineStr">
        <is>
          <t>G</t>
        </is>
      </c>
      <c r="D860" s="53" t="inlineStr">
        <is>
          <t>KTL</t>
        </is>
      </c>
      <c r="E860" s="53" t="inlineStr">
        <is>
          <t>C</t>
        </is>
      </c>
      <c r="F860" s="54" t="n">
        <v>1.25</v>
      </c>
      <c r="G860" s="55">
        <f>MAX(0,IF(Parameter!$B$20="Jahresanfang 2025 + Export",BG860+BF860,BF860))</f>
        <v/>
      </c>
      <c r="H860" s="55">
        <f>G860*F860</f>
        <v/>
      </c>
      <c r="I860" s="55">
        <f>BI860*Parameter!$B$18</f>
        <v/>
      </c>
      <c r="J860" s="56" t="n">
        <v>16</v>
      </c>
      <c r="K860" s="57" t="n">
        <v>1</v>
      </c>
      <c r="L860" s="55" t="n">
        <v>0</v>
      </c>
      <c r="M860" s="55" t="n">
        <v>15</v>
      </c>
      <c r="N860" s="58" t="n">
        <v>21</v>
      </c>
      <c r="O860" s="53" t="inlineStr">
        <is>
          <t>LOSE</t>
        </is>
      </c>
      <c r="P860" s="55" t="n"/>
      <c r="Q860" s="59">
        <f>IF(BO860=1,0,IFERROR(VLOOKUP(BM860,'Gebinde-Kategorie'!$A$5:$G$45,6,0)+0,0))</f>
        <v/>
      </c>
      <c r="R860" s="60" t="n"/>
      <c r="S860" s="61" t="n"/>
      <c r="T860" s="61" t="n"/>
      <c r="U860" s="53">
        <f>IF(A860="","",IF(IFERROR(VLOOKUP(D860,Parameter!$A$35:$C$64,2,0),"Nein")="2+3",IF(ISNUMBER(SEARCH("grosser Artikel",BJ860)),2,IFERROR(VLOOKUP(BM860,Parameter!$F$35:$G$64,2,0),2)),IF(OR(IFERROR(VLOOKUP(D860,Parameter!$A$35:$C$64,2,0),"Nein")="Nein",IFERROR(VLOOKUP(D860,Parameter!$A$35:$C$64,2,0),"Nein")=""),"-",VLOOKUP(D860,Parameter!$A$35:$C$64,2,0))))</f>
        <v/>
      </c>
      <c r="V860" s="61" t="n"/>
      <c r="W860" s="62" t="n"/>
      <c r="X860" s="55">
        <f>AM860</f>
        <v/>
      </c>
      <c r="Y860" s="55">
        <f>MAX(AM860,G860)</f>
        <v/>
      </c>
      <c r="Z860" s="63" t="n"/>
      <c r="AA860" s="55">
        <f>IF(LEFT(Cockpit!$C$5,1)="A",G860,IF(BT860=1,BU860,IF(LEFT(Cockpit!$C$5,1)="B",AE860,MAX(AE860,G860))))</f>
        <v/>
      </c>
      <c r="AB860" s="55">
        <f>IF(BO860=1,0,ROUNDUP(AA860/BN860,0))</f>
        <v/>
      </c>
      <c r="AC860" s="64">
        <f>IF(BO860=1,IF(AA860&lt;=0,0,BP860*MAX(1,IF(G860&gt;0,AA860/G860,1))),AB860*Q860)</f>
        <v/>
      </c>
      <c r="AD860" s="55">
        <f>AA860*F860</f>
        <v/>
      </c>
      <c r="AE860" s="55">
        <f>ROUNDUP(MAX(I860/IF(BS860&gt;0,BS860,MAX(0.1,N(Cockpit!$C$6))),BV860)/BN860,0)*BN860</f>
        <v/>
      </c>
      <c r="AF860" s="56">
        <f>IF(AC860&gt;0,I860/AC860,-1)</f>
        <v/>
      </c>
      <c r="AG860" s="56">
        <f>IF(AND(OR(BR860="L1",BR860="L23"),AC860&gt;0),SUMIFS($AC$7:$AC$1570,$BR$7:$BR$1570,BR860,$AF$7:$AF$1570,"&gt;"&amp;AF860)+SUMIFS($AC$7:$AC$1570,$BR$7:$BR$1570,BR860,$AF$7:$AF$1570,AF860,$BL$7:$BL$1570,"&lt;="&amp;BL860),"")</f>
        <v/>
      </c>
      <c r="AH860" s="65">
        <f>IF(AG860="",0,MAX(0,MIN(1,(IF(BR860="L1",Parameter!$K$5,Parameter!$K$6+Parameter!$K$7)-(AG860-AC860))/AC860)))</f>
        <v/>
      </c>
      <c r="AI860" s="55">
        <f>IF(LEFT(Cockpit!$I$5,1)="A",G860,IF(BT860=1,BU860,IF(LEFT(Cockpit!$I$5,1)="B",AM860,MAX(AM860,G860))))</f>
        <v/>
      </c>
      <c r="AJ860" s="55">
        <f>IF(BO860=1,0,ROUNDUP(AI860/BN860,0))</f>
        <v/>
      </c>
      <c r="AK860" s="64">
        <f>IF(BO860=1,IF(AI860&lt;=0,0,BP860*MAX(1,IF(G860&gt;0,AI860/G860,1))),AJ860*Q860)</f>
        <v/>
      </c>
      <c r="AL860" s="55">
        <f>AI860*F860</f>
        <v/>
      </c>
      <c r="AM860" s="55">
        <f>ROUNDUP(MAX(I860/IF(BS860&gt;0,BS860,MAX(0.1,N(Cockpit!$I$6))),BV860)/BN860,0)*BN860</f>
        <v/>
      </c>
      <c r="AN860" s="56">
        <f>IF(AK860&gt;0,I860/AK860,-1)</f>
        <v/>
      </c>
      <c r="AO860" s="56">
        <f>IF(AND(OR(BR860="L1",BR860="L23"),AK860&gt;0),SUMIFS($AK$7:$AK$1570,$BR$7:$BR$1570,BR860,$AN$7:$AN$1570,"&gt;"&amp;AN860)+SUMIFS($AK$7:$AK$1570,$BR$7:$BR$1570,BR860,$AN$7:$AN$1570,AN860,$BL$7:$BL$1570,"&lt;="&amp;BL860),"")</f>
        <v/>
      </c>
      <c r="AP860" s="65">
        <f>IF(AO860="",0,MAX(0,MIN(1,(IF(BR860="L1",Parameter!$K$5,Parameter!$K$6+Parameter!$K$7)-(AO860-AK860))/AK860)))</f>
        <v/>
      </c>
      <c r="AQ860" s="55">
        <f>IF(LEFT(Cockpit!$O$5,1)="A",G860,IF(BT860=1,BU860,IF(LEFT(Cockpit!$O$5,1)="B",AU860,MAX(AU860,G860))))</f>
        <v/>
      </c>
      <c r="AR860" s="55">
        <f>IF(BO860=1,0,ROUNDUP(AQ860/BN860,0))</f>
        <v/>
      </c>
      <c r="AS860" s="64">
        <f>IF(BO860=1,IF(AQ860&lt;=0,0,BP860*MAX(1,IF(G860&gt;0,AQ860/G860,1))),AR860*Q860)</f>
        <v/>
      </c>
      <c r="AT860" s="55">
        <f>AQ860*F860</f>
        <v/>
      </c>
      <c r="AU860" s="55">
        <f>ROUNDUP(MAX(I860/IF(BS860&gt;0,BS860,MAX(0.1,N(Cockpit!$O$6))),BV860)/BN860,0)*BN860</f>
        <v/>
      </c>
      <c r="AV860" s="56">
        <f>IF(AS860&gt;0,I860/AS860,-1)</f>
        <v/>
      </c>
      <c r="AW860" s="56">
        <f>IF(AND(OR(BR860="L1",BR860="L23"),AS860&gt;0),SUMIFS($AS$7:$AS$1570,$BR$7:$BR$1570,BR860,$AV$7:$AV$1570,"&gt;"&amp;AV860)+SUMIFS($AS$7:$AS$1570,$BR$7:$BR$1570,BR860,$AV$7:$AV$1570,AV860,$BL$7:$BL$1570,"&lt;="&amp;BL860),"")</f>
        <v/>
      </c>
      <c r="AX860" s="65">
        <f>IF(AW860="",0,MAX(0,MIN(1,(IF(BR860="L1",Parameter!$K$5,Parameter!$K$6+Parameter!$K$7)-(AW860-AS860))/AS860)))</f>
        <v/>
      </c>
      <c r="AY860" s="53">
        <f>IF(AC860&lt;=0,"",IF(BR860="Aussen","Aussenlager",IF(BR860="-","Nicht im Lift",IF(AH860&gt;=1,"Lift",IF(AH860&lt;=0,"Aussenlager","teilweise")))))</f>
        <v/>
      </c>
      <c r="AZ860" s="53">
        <f>IF(AK860&lt;=0,"",IF(BR860="Aussen","Aussenlager",IF(BR860="-","Nicht im Lift",IF(AP860&gt;=1,"Lift",IF(AP860&lt;=0,"Aussenlager","teilweise")))))</f>
        <v/>
      </c>
      <c r="BA860" s="53">
        <f>IF(AS860&lt;=0,"",IF(BR860="Aussen","Aussenlager",IF(BR860="-","Nicht im Lift",IF(AX860&gt;=1,"Lift",IF(AX860&lt;=0,"Aussenlager","teilweise")))))</f>
        <v/>
      </c>
      <c r="BB860" s="53">
        <f>IF(A860="","",IF(BK860=1,"Neu; ","")&amp;IF(AND(BK860=0,BF860&lt;0),"negativer Bestand (Export "&amp;BF860&amp;"); ","")&amp;IF(I860&lt;=0,"Kein Verbrauch; ","")&amp;IF(BO860=1,"Lose – Fläche geschätzt; ","")&amp;IF(G860&gt;AM860,"Überbestand "&amp;ROUND(G860-AM860,0)&amp;" Stk / CHF "&amp;ROUND((G860-AM860)*F860,0)&amp;"; ","")&amp;IF(AND(BT860=1,BU860&lt;BV860),"MAX &lt; MB+LG; ","")&amp;IF(AND(BZ860&gt;0,BY860*10&gt;BZ860),"zu hoch für Tablar; ","")&amp;IF(AND(BK860=0,OR(BT860=1,V860&lt;&gt;"",S860&lt;&gt;"",T860&lt;&gt;"",W860&lt;&gt;"")),"manuell übersteuert; ","")&amp;IF(AND(BO860=0,Q860=0),"Gebinde unbekannt; ","")&amp;IF(AND(BO860=0,N(T860)&lt;=0,N(P860)&lt;=0),"Menge pro Gebinde fehlt (Ist = 1 Gebinde); ","")&amp;BJ860)</f>
        <v/>
      </c>
      <c r="BC860" s="53" t="n"/>
      <c r="BD860" s="53" t="n"/>
      <c r="BE860" s="61" t="n"/>
      <c r="BF860" s="55" t="n">
        <v>-16</v>
      </c>
      <c r="BG860" s="55" t="n">
        <v>32</v>
      </c>
      <c r="BH860" s="54" t="n">
        <v>-20</v>
      </c>
      <c r="BI860" s="55" t="n">
        <v>16</v>
      </c>
      <c r="BJ860" s="53" t="inlineStr"/>
      <c r="BK860" s="58" t="n">
        <v>0</v>
      </c>
      <c r="BL860" s="58" t="n">
        <v>860</v>
      </c>
      <c r="BM860" s="53">
        <f>IF(S860&lt;&gt;"",UPPER(TRIM(S860)),IF(O860="","LOSE",O860))</f>
        <v/>
      </c>
      <c r="BN860" s="55">
        <f>IF(BM860="LOSE",1,IF(N(T860)&gt;0,T860,IF(N(P860)&gt;0,P860,MAX(1,G860))))</f>
        <v/>
      </c>
      <c r="BO860" s="58">
        <f>IF(BM860="LOSE",1,0)</f>
        <v/>
      </c>
      <c r="BP860" s="64">
        <f>IF(BO860=0,0,IF(N(R860)&gt;0,R860,IFERROR(VLOOKUP(D860,Parameter!$A$35:$C$64,3,0)+0,0)))</f>
        <v/>
      </c>
      <c r="BQ860" s="53">
        <f>IF(V860&lt;&gt;"",V860,U860)</f>
        <v/>
      </c>
      <c r="BR860" s="53">
        <f>IF(BQ860=1,"L1",IF(OR(BQ860=2,BQ860=3),"L23",IF(BQ860="Aussen","Aussen","-")))</f>
        <v/>
      </c>
      <c r="BS860" s="66">
        <f>IF(N(W860)&gt;0,W860,0)</f>
        <v/>
      </c>
      <c r="BT860" s="58">
        <f>IF(ISNUMBER(Z860),1,0)</f>
        <v/>
      </c>
      <c r="BU860" s="55">
        <f>N(Z860)</f>
        <v/>
      </c>
      <c r="BV860" s="55">
        <f>N(L860)+N(M860)</f>
        <v/>
      </c>
      <c r="BW860" s="55">
        <f>ROUNDUP(G860/BN860,0)</f>
        <v/>
      </c>
      <c r="BX860" s="55">
        <f>ROUNDUP(BU860/BN860,0)</f>
        <v/>
      </c>
      <c r="BY860" s="58">
        <f>IF(BO860=1,0,IFERROR(VLOOKUP(BM860,'Gebinde-Kategorie'!$A$5:$G$45,5,0)+0,0))</f>
        <v/>
      </c>
      <c r="BZ860" s="58">
        <f>IFERROR(IF(OR(BQ860=1,BQ860=2,BQ860=3),N(INDEX(Parameter!$I$5:$I$7,BQ860)),0),0)</f>
        <v/>
      </c>
    </row>
    <row r="861">
      <c r="A861" s="53" t="inlineStr">
        <is>
          <t>002006</t>
        </is>
      </c>
      <c r="B861" s="53" t="inlineStr">
        <is>
          <t>Schraubenzieher flach</t>
        </is>
      </c>
      <c r="C861" s="53" t="inlineStr">
        <is>
          <t>F</t>
        </is>
      </c>
      <c r="D861" s="53" t="inlineStr">
        <is>
          <t>KTL</t>
        </is>
      </c>
      <c r="E861" s="53" t="inlineStr">
        <is>
          <t>C</t>
        </is>
      </c>
      <c r="F861" s="54" t="n">
        <v>4.13</v>
      </c>
      <c r="G861" s="55">
        <f>MAX(0,IF(Parameter!$B$20="Jahresanfang 2025 + Export",BG861+BF861,BF861))</f>
        <v/>
      </c>
      <c r="H861" s="55">
        <f>G861*F861</f>
        <v/>
      </c>
      <c r="I861" s="55">
        <f>BI861*Parameter!$B$18</f>
        <v/>
      </c>
      <c r="J861" s="56" t="n">
        <v>10.5</v>
      </c>
      <c r="K861" s="57" t="n">
        <v>0.9523809523809523</v>
      </c>
      <c r="L861" s="55" t="n">
        <v>0</v>
      </c>
      <c r="M861" s="55" t="n">
        <v>10</v>
      </c>
      <c r="N861" s="58" t="n">
        <v>14</v>
      </c>
      <c r="O861" s="53" t="inlineStr">
        <is>
          <t>S32</t>
        </is>
      </c>
      <c r="P861" s="55" t="n">
        <v>20</v>
      </c>
      <c r="Q861" s="59">
        <f>IF(BO861=1,0,IFERROR(VLOOKUP(BM861,'Gebinde-Kategorie'!$A$5:$G$45,6,0)+0,0))</f>
        <v/>
      </c>
      <c r="R861" s="60" t="n"/>
      <c r="S861" s="61" t="n"/>
      <c r="T861" s="61" t="n"/>
      <c r="U861" s="53">
        <f>IF(A861="","",IF(IFERROR(VLOOKUP(D861,Parameter!$A$35:$C$64,2,0),"Nein")="2+3",IF(ISNUMBER(SEARCH("grosser Artikel",BJ861)),2,IFERROR(VLOOKUP(BM861,Parameter!$F$35:$G$64,2,0),2)),IF(OR(IFERROR(VLOOKUP(D861,Parameter!$A$35:$C$64,2,0),"Nein")="Nein",IFERROR(VLOOKUP(D861,Parameter!$A$35:$C$64,2,0),"Nein")=""),"-",VLOOKUP(D861,Parameter!$A$35:$C$64,2,0))))</f>
        <v/>
      </c>
      <c r="V861" s="61" t="n"/>
      <c r="W861" s="62" t="n"/>
      <c r="X861" s="55">
        <f>AM861</f>
        <v/>
      </c>
      <c r="Y861" s="55">
        <f>MAX(AM861,G861)</f>
        <v/>
      </c>
      <c r="Z861" s="63" t="n"/>
      <c r="AA861" s="55">
        <f>IF(LEFT(Cockpit!$C$5,1)="A",G861,IF(BT861=1,BU861,IF(LEFT(Cockpit!$C$5,1)="B",AE861,MAX(AE861,G861))))</f>
        <v/>
      </c>
      <c r="AB861" s="55">
        <f>IF(BO861=1,0,ROUNDUP(AA861/BN861,0))</f>
        <v/>
      </c>
      <c r="AC861" s="64">
        <f>IF(BO861=1,IF(AA861&lt;=0,0,BP861*MAX(1,IF(G861&gt;0,AA861/G861,1))),AB861*Q861)</f>
        <v/>
      </c>
      <c r="AD861" s="55">
        <f>AA861*F861</f>
        <v/>
      </c>
      <c r="AE861" s="55">
        <f>ROUNDUP(MAX(I861/IF(BS861&gt;0,BS861,MAX(0.1,N(Cockpit!$C$6))),BV861)/BN861,0)*BN861</f>
        <v/>
      </c>
      <c r="AF861" s="56">
        <f>IF(AC861&gt;0,I861/AC861,-1)</f>
        <v/>
      </c>
      <c r="AG861" s="56">
        <f>IF(AND(OR(BR861="L1",BR861="L23"),AC861&gt;0),SUMIFS($AC$7:$AC$1570,$BR$7:$BR$1570,BR861,$AF$7:$AF$1570,"&gt;"&amp;AF861)+SUMIFS($AC$7:$AC$1570,$BR$7:$BR$1570,BR861,$AF$7:$AF$1570,AF861,$BL$7:$BL$1570,"&lt;="&amp;BL861),"")</f>
        <v/>
      </c>
      <c r="AH861" s="65">
        <f>IF(AG861="",0,MAX(0,MIN(1,(IF(BR861="L1",Parameter!$K$5,Parameter!$K$6+Parameter!$K$7)-(AG861-AC861))/AC861)))</f>
        <v/>
      </c>
      <c r="AI861" s="55">
        <f>IF(LEFT(Cockpit!$I$5,1)="A",G861,IF(BT861=1,BU861,IF(LEFT(Cockpit!$I$5,1)="B",AM861,MAX(AM861,G861))))</f>
        <v/>
      </c>
      <c r="AJ861" s="55">
        <f>IF(BO861=1,0,ROUNDUP(AI861/BN861,0))</f>
        <v/>
      </c>
      <c r="AK861" s="64">
        <f>IF(BO861=1,IF(AI861&lt;=0,0,BP861*MAX(1,IF(G861&gt;0,AI861/G861,1))),AJ861*Q861)</f>
        <v/>
      </c>
      <c r="AL861" s="55">
        <f>AI861*F861</f>
        <v/>
      </c>
      <c r="AM861" s="55">
        <f>ROUNDUP(MAX(I861/IF(BS861&gt;0,BS861,MAX(0.1,N(Cockpit!$I$6))),BV861)/BN861,0)*BN861</f>
        <v/>
      </c>
      <c r="AN861" s="56">
        <f>IF(AK861&gt;0,I861/AK861,-1)</f>
        <v/>
      </c>
      <c r="AO861" s="56">
        <f>IF(AND(OR(BR861="L1",BR861="L23"),AK861&gt;0),SUMIFS($AK$7:$AK$1570,$BR$7:$BR$1570,BR861,$AN$7:$AN$1570,"&gt;"&amp;AN861)+SUMIFS($AK$7:$AK$1570,$BR$7:$BR$1570,BR861,$AN$7:$AN$1570,AN861,$BL$7:$BL$1570,"&lt;="&amp;BL861),"")</f>
        <v/>
      </c>
      <c r="AP861" s="65">
        <f>IF(AO861="",0,MAX(0,MIN(1,(IF(BR861="L1",Parameter!$K$5,Parameter!$K$6+Parameter!$K$7)-(AO861-AK861))/AK861)))</f>
        <v/>
      </c>
      <c r="AQ861" s="55">
        <f>IF(LEFT(Cockpit!$O$5,1)="A",G861,IF(BT861=1,BU861,IF(LEFT(Cockpit!$O$5,1)="B",AU861,MAX(AU861,G861))))</f>
        <v/>
      </c>
      <c r="AR861" s="55">
        <f>IF(BO861=1,0,ROUNDUP(AQ861/BN861,0))</f>
        <v/>
      </c>
      <c r="AS861" s="64">
        <f>IF(BO861=1,IF(AQ861&lt;=0,0,BP861*MAX(1,IF(G861&gt;0,AQ861/G861,1))),AR861*Q861)</f>
        <v/>
      </c>
      <c r="AT861" s="55">
        <f>AQ861*F861</f>
        <v/>
      </c>
      <c r="AU861" s="55">
        <f>ROUNDUP(MAX(I861/IF(BS861&gt;0,BS861,MAX(0.1,N(Cockpit!$O$6))),BV861)/BN861,0)*BN861</f>
        <v/>
      </c>
      <c r="AV861" s="56">
        <f>IF(AS861&gt;0,I861/AS861,-1)</f>
        <v/>
      </c>
      <c r="AW861" s="56">
        <f>IF(AND(OR(BR861="L1",BR861="L23"),AS861&gt;0),SUMIFS($AS$7:$AS$1570,$BR$7:$BR$1570,BR861,$AV$7:$AV$1570,"&gt;"&amp;AV861)+SUMIFS($AS$7:$AS$1570,$BR$7:$BR$1570,BR861,$AV$7:$AV$1570,AV861,$BL$7:$BL$1570,"&lt;="&amp;BL861),"")</f>
        <v/>
      </c>
      <c r="AX861" s="65">
        <f>IF(AW861="",0,MAX(0,MIN(1,(IF(BR861="L1",Parameter!$K$5,Parameter!$K$6+Parameter!$K$7)-(AW861-AS861))/AS861)))</f>
        <v/>
      </c>
      <c r="AY861" s="53">
        <f>IF(AC861&lt;=0,"",IF(BR861="Aussen","Aussenlager",IF(BR861="-","Nicht im Lift",IF(AH861&gt;=1,"Lift",IF(AH861&lt;=0,"Aussenlager","teilweise")))))</f>
        <v/>
      </c>
      <c r="AZ861" s="53">
        <f>IF(AK861&lt;=0,"",IF(BR861="Aussen","Aussenlager",IF(BR861="-","Nicht im Lift",IF(AP861&gt;=1,"Lift",IF(AP861&lt;=0,"Aussenlager","teilweise")))))</f>
        <v/>
      </c>
      <c r="BA861" s="53">
        <f>IF(AS861&lt;=0,"",IF(BR861="Aussen","Aussenlager",IF(BR861="-","Nicht im Lift",IF(AX861&gt;=1,"Lift",IF(AX861&lt;=0,"Aussenlager","teilweise")))))</f>
        <v/>
      </c>
      <c r="BB861" s="53">
        <f>IF(A861="","",IF(BK861=1,"Neu; ","")&amp;IF(AND(BK861=0,BF861&lt;0),"negativer Bestand (Export "&amp;BF861&amp;"); ","")&amp;IF(I861&lt;=0,"Kein Verbrauch; ","")&amp;IF(BO861=1,"Lose – Fläche geschätzt; ","")&amp;IF(G861&gt;AM861,"Überbestand "&amp;ROUND(G861-AM861,0)&amp;" Stk / CHF "&amp;ROUND((G861-AM861)*F861,0)&amp;"; ","")&amp;IF(AND(BT861=1,BU861&lt;BV861),"MAX &lt; MB+LG; ","")&amp;IF(AND(BZ861&gt;0,BY861*10&gt;BZ861),"zu hoch für Tablar; ","")&amp;IF(AND(BK861=0,OR(BT861=1,V861&lt;&gt;"",S861&lt;&gt;"",T861&lt;&gt;"",W861&lt;&gt;"")),"manuell übersteuert; ","")&amp;IF(AND(BO861=0,Q861=0),"Gebinde unbekannt; ","")&amp;IF(AND(BO861=0,N(T861)&lt;=0,N(P861)&lt;=0),"Menge pro Gebinde fehlt (Ist = 1 Gebinde); ","")&amp;BJ861)</f>
        <v/>
      </c>
      <c r="BC861" s="53" t="n"/>
      <c r="BD861" s="53" t="n"/>
      <c r="BE861" s="61" t="n"/>
      <c r="BF861" s="55" t="n">
        <v>-5</v>
      </c>
      <c r="BG861" s="55" t="n">
        <v>11</v>
      </c>
      <c r="BH861" s="54" t="n">
        <v>-20.43</v>
      </c>
      <c r="BI861" s="55" t="n">
        <v>10</v>
      </c>
      <c r="BJ861" s="53" t="inlineStr"/>
      <c r="BK861" s="58" t="n">
        <v>0</v>
      </c>
      <c r="BL861" s="58" t="n">
        <v>861</v>
      </c>
      <c r="BM861" s="53">
        <f>IF(S861&lt;&gt;"",UPPER(TRIM(S861)),IF(O861="","LOSE",O861))</f>
        <v/>
      </c>
      <c r="BN861" s="55">
        <f>IF(BM861="LOSE",1,IF(N(T861)&gt;0,T861,IF(N(P861)&gt;0,P861,MAX(1,G861))))</f>
        <v/>
      </c>
      <c r="BO861" s="58">
        <f>IF(BM861="LOSE",1,0)</f>
        <v/>
      </c>
      <c r="BP861" s="64">
        <f>IF(BO861=0,0,IF(N(R861)&gt;0,R861,IFERROR(VLOOKUP(D861,Parameter!$A$35:$C$64,3,0)+0,0)))</f>
        <v/>
      </c>
      <c r="BQ861" s="53">
        <f>IF(V861&lt;&gt;"",V861,U861)</f>
        <v/>
      </c>
      <c r="BR861" s="53">
        <f>IF(BQ861=1,"L1",IF(OR(BQ861=2,BQ861=3),"L23",IF(BQ861="Aussen","Aussen","-")))</f>
        <v/>
      </c>
      <c r="BS861" s="66">
        <f>IF(N(W861)&gt;0,W861,0)</f>
        <v/>
      </c>
      <c r="BT861" s="58">
        <f>IF(ISNUMBER(Z861),1,0)</f>
        <v/>
      </c>
      <c r="BU861" s="55">
        <f>N(Z861)</f>
        <v/>
      </c>
      <c r="BV861" s="55">
        <f>N(L861)+N(M861)</f>
        <v/>
      </c>
      <c r="BW861" s="55">
        <f>ROUNDUP(G861/BN861,0)</f>
        <v/>
      </c>
      <c r="BX861" s="55">
        <f>ROUNDUP(BU861/BN861,0)</f>
        <v/>
      </c>
      <c r="BY861" s="58">
        <f>IF(BO861=1,0,IFERROR(VLOOKUP(BM861,'Gebinde-Kategorie'!$A$5:$G$45,5,0)+0,0))</f>
        <v/>
      </c>
      <c r="BZ861" s="58">
        <f>IFERROR(IF(OR(BQ861=1,BQ861=2,BQ861=3),N(INDEX(Parameter!$I$5:$I$7,BQ861)),0),0)</f>
        <v/>
      </c>
    </row>
    <row r="862">
      <c r="A862" s="53" t="inlineStr">
        <is>
          <t>005343</t>
        </is>
      </c>
      <c r="B862" s="53" t="inlineStr">
        <is>
          <t>Durchschlag</t>
        </is>
      </c>
      <c r="C862" s="53" t="inlineStr">
        <is>
          <t>F</t>
        </is>
      </c>
      <c r="D862" s="53" t="inlineStr">
        <is>
          <t>KTL</t>
        </is>
      </c>
      <c r="E862" s="53" t="inlineStr">
        <is>
          <t>C</t>
        </is>
      </c>
      <c r="F862" s="54" t="n">
        <v>20.5</v>
      </c>
      <c r="G862" s="55">
        <f>MAX(0,IF(Parameter!$B$20="Jahresanfang 2025 + Export",BG862+BF862,BF862))</f>
        <v/>
      </c>
      <c r="H862" s="55">
        <f>G862*F862</f>
        <v/>
      </c>
      <c r="I862" s="55">
        <f>BI862*Parameter!$B$18</f>
        <v/>
      </c>
      <c r="J862" s="56" t="n">
        <v>12.5</v>
      </c>
      <c r="K862" s="57" t="n">
        <v>0.08</v>
      </c>
      <c r="L862" s="55" t="n">
        <v>0</v>
      </c>
      <c r="M862" s="55" t="n">
        <v>1</v>
      </c>
      <c r="N862" s="58" t="n">
        <v>42</v>
      </c>
      <c r="O862" s="53" t="inlineStr">
        <is>
          <t>S33</t>
        </is>
      </c>
      <c r="P862" s="55" t="n">
        <v>22</v>
      </c>
      <c r="Q862" s="59">
        <f>IF(BO862=1,0,IFERROR(VLOOKUP(BM862,'Gebinde-Kategorie'!$A$5:$G$45,6,0)+0,0))</f>
        <v/>
      </c>
      <c r="R862" s="60" t="n"/>
      <c r="S862" s="61" t="n"/>
      <c r="T862" s="61" t="n"/>
      <c r="U862" s="53">
        <f>IF(A862="","",IF(IFERROR(VLOOKUP(D862,Parameter!$A$35:$C$64,2,0),"Nein")="2+3",IF(ISNUMBER(SEARCH("grosser Artikel",BJ862)),2,IFERROR(VLOOKUP(BM862,Parameter!$F$35:$G$64,2,0),2)),IF(OR(IFERROR(VLOOKUP(D862,Parameter!$A$35:$C$64,2,0),"Nein")="Nein",IFERROR(VLOOKUP(D862,Parameter!$A$35:$C$64,2,0),"Nein")=""),"-",VLOOKUP(D862,Parameter!$A$35:$C$64,2,0))))</f>
        <v/>
      </c>
      <c r="V862" s="61" t="n"/>
      <c r="W862" s="62" t="n"/>
      <c r="X862" s="55">
        <f>AM862</f>
        <v/>
      </c>
      <c r="Y862" s="55">
        <f>MAX(AM862,G862)</f>
        <v/>
      </c>
      <c r="Z862" s="63" t="n"/>
      <c r="AA862" s="55">
        <f>IF(LEFT(Cockpit!$C$5,1)="A",G862,IF(BT862=1,BU862,IF(LEFT(Cockpit!$C$5,1)="B",AE862,MAX(AE862,G862))))</f>
        <v/>
      </c>
      <c r="AB862" s="55">
        <f>IF(BO862=1,0,ROUNDUP(AA862/BN862,0))</f>
        <v/>
      </c>
      <c r="AC862" s="64">
        <f>IF(BO862=1,IF(AA862&lt;=0,0,BP862*MAX(1,IF(G862&gt;0,AA862/G862,1))),AB862*Q862)</f>
        <v/>
      </c>
      <c r="AD862" s="55">
        <f>AA862*F862</f>
        <v/>
      </c>
      <c r="AE862" s="55">
        <f>ROUNDUP(MAX(I862/IF(BS862&gt;0,BS862,MAX(0.1,N(Cockpit!$C$6))),BV862)/BN862,0)*BN862</f>
        <v/>
      </c>
      <c r="AF862" s="56">
        <f>IF(AC862&gt;0,I862/AC862,-1)</f>
        <v/>
      </c>
      <c r="AG862" s="56">
        <f>IF(AND(OR(BR862="L1",BR862="L23"),AC862&gt;0),SUMIFS($AC$7:$AC$1570,$BR$7:$BR$1570,BR862,$AF$7:$AF$1570,"&gt;"&amp;AF862)+SUMIFS($AC$7:$AC$1570,$BR$7:$BR$1570,BR862,$AF$7:$AF$1570,AF862,$BL$7:$BL$1570,"&lt;="&amp;BL862),"")</f>
        <v/>
      </c>
      <c r="AH862" s="65">
        <f>IF(AG862="",0,MAX(0,MIN(1,(IF(BR862="L1",Parameter!$K$5,Parameter!$K$6+Parameter!$K$7)-(AG862-AC862))/AC862)))</f>
        <v/>
      </c>
      <c r="AI862" s="55">
        <f>IF(LEFT(Cockpit!$I$5,1)="A",G862,IF(BT862=1,BU862,IF(LEFT(Cockpit!$I$5,1)="B",AM862,MAX(AM862,G862))))</f>
        <v/>
      </c>
      <c r="AJ862" s="55">
        <f>IF(BO862=1,0,ROUNDUP(AI862/BN862,0))</f>
        <v/>
      </c>
      <c r="AK862" s="64">
        <f>IF(BO862=1,IF(AI862&lt;=0,0,BP862*MAX(1,IF(G862&gt;0,AI862/G862,1))),AJ862*Q862)</f>
        <v/>
      </c>
      <c r="AL862" s="55">
        <f>AI862*F862</f>
        <v/>
      </c>
      <c r="AM862" s="55">
        <f>ROUNDUP(MAX(I862/IF(BS862&gt;0,BS862,MAX(0.1,N(Cockpit!$I$6))),BV862)/BN862,0)*BN862</f>
        <v/>
      </c>
      <c r="AN862" s="56">
        <f>IF(AK862&gt;0,I862/AK862,-1)</f>
        <v/>
      </c>
      <c r="AO862" s="56">
        <f>IF(AND(OR(BR862="L1",BR862="L23"),AK862&gt;0),SUMIFS($AK$7:$AK$1570,$BR$7:$BR$1570,BR862,$AN$7:$AN$1570,"&gt;"&amp;AN862)+SUMIFS($AK$7:$AK$1570,$BR$7:$BR$1570,BR862,$AN$7:$AN$1570,AN862,$BL$7:$BL$1570,"&lt;="&amp;BL862),"")</f>
        <v/>
      </c>
      <c r="AP862" s="65">
        <f>IF(AO862="",0,MAX(0,MIN(1,(IF(BR862="L1",Parameter!$K$5,Parameter!$K$6+Parameter!$K$7)-(AO862-AK862))/AK862)))</f>
        <v/>
      </c>
      <c r="AQ862" s="55">
        <f>IF(LEFT(Cockpit!$O$5,1)="A",G862,IF(BT862=1,BU862,IF(LEFT(Cockpit!$O$5,1)="B",AU862,MAX(AU862,G862))))</f>
        <v/>
      </c>
      <c r="AR862" s="55">
        <f>IF(BO862=1,0,ROUNDUP(AQ862/BN862,0))</f>
        <v/>
      </c>
      <c r="AS862" s="64">
        <f>IF(BO862=1,IF(AQ862&lt;=0,0,BP862*MAX(1,IF(G862&gt;0,AQ862/G862,1))),AR862*Q862)</f>
        <v/>
      </c>
      <c r="AT862" s="55">
        <f>AQ862*F862</f>
        <v/>
      </c>
      <c r="AU862" s="55">
        <f>ROUNDUP(MAX(I862/IF(BS862&gt;0,BS862,MAX(0.1,N(Cockpit!$O$6))),BV862)/BN862,0)*BN862</f>
        <v/>
      </c>
      <c r="AV862" s="56">
        <f>IF(AS862&gt;0,I862/AS862,-1)</f>
        <v/>
      </c>
      <c r="AW862" s="56">
        <f>IF(AND(OR(BR862="L1",BR862="L23"),AS862&gt;0),SUMIFS($AS$7:$AS$1570,$BR$7:$BR$1570,BR862,$AV$7:$AV$1570,"&gt;"&amp;AV862)+SUMIFS($AS$7:$AS$1570,$BR$7:$BR$1570,BR862,$AV$7:$AV$1570,AV862,$BL$7:$BL$1570,"&lt;="&amp;BL862),"")</f>
        <v/>
      </c>
      <c r="AX862" s="65">
        <f>IF(AW862="",0,MAX(0,MIN(1,(IF(BR862="L1",Parameter!$K$5,Parameter!$K$6+Parameter!$K$7)-(AW862-AS862))/AS862)))</f>
        <v/>
      </c>
      <c r="AY862" s="53">
        <f>IF(AC862&lt;=0,"",IF(BR862="Aussen","Aussenlager",IF(BR862="-","Nicht im Lift",IF(AH862&gt;=1,"Lift",IF(AH862&lt;=0,"Aussenlager","teilweise")))))</f>
        <v/>
      </c>
      <c r="AZ862" s="53">
        <f>IF(AK862&lt;=0,"",IF(BR862="Aussen","Aussenlager",IF(BR862="-","Nicht im Lift",IF(AP862&gt;=1,"Lift",IF(AP862&lt;=0,"Aussenlager","teilweise")))))</f>
        <v/>
      </c>
      <c r="BA862" s="53">
        <f>IF(AS862&lt;=0,"",IF(BR862="Aussen","Aussenlager",IF(BR862="-","Nicht im Lift",IF(AX862&gt;=1,"Lift",IF(AX862&lt;=0,"Aussenlager","teilweise")))))</f>
        <v/>
      </c>
      <c r="BB862" s="53">
        <f>IF(A862="","",IF(BK862=1,"Neu; ","")&amp;IF(AND(BK862=0,BF862&lt;0),"negativer Bestand (Export "&amp;BF862&amp;"); ","")&amp;IF(I862&lt;=0,"Kein Verbrauch; ","")&amp;IF(BO862=1,"Lose – Fläche geschätzt; ","")&amp;IF(G862&gt;AM862,"Überbestand "&amp;ROUND(G862-AM862,0)&amp;" Stk / CHF "&amp;ROUND((G862-AM862)*F862,0)&amp;"; ","")&amp;IF(AND(BT862=1,BU862&lt;BV862),"MAX &lt; MB+LG; ","")&amp;IF(AND(BZ862&gt;0,BY862*10&gt;BZ862),"zu hoch für Tablar; ","")&amp;IF(AND(BK862=0,OR(BT862=1,V862&lt;&gt;"",S862&lt;&gt;"",T862&lt;&gt;"",W862&lt;&gt;"")),"manuell übersteuert; ","")&amp;IF(AND(BO862=0,Q862=0),"Gebinde unbekannt; ","")&amp;IF(AND(BO862=0,N(T862)&lt;=0,N(P862)&lt;=0),"Menge pro Gebinde fehlt (Ist = 1 Gebinde); ","")&amp;BJ862)</f>
        <v/>
      </c>
      <c r="BC862" s="53" t="n"/>
      <c r="BD862" s="53" t="n"/>
      <c r="BE862" s="61" t="n"/>
      <c r="BF862" s="55" t="n">
        <v>-1</v>
      </c>
      <c r="BG862" s="55" t="n">
        <v>13</v>
      </c>
      <c r="BH862" s="54" t="n">
        <v>-20.5</v>
      </c>
      <c r="BI862" s="55" t="n">
        <v>1</v>
      </c>
      <c r="BJ862" s="53" t="inlineStr"/>
      <c r="BK862" s="58" t="n">
        <v>0</v>
      </c>
      <c r="BL862" s="58" t="n">
        <v>862</v>
      </c>
      <c r="BM862" s="53">
        <f>IF(S862&lt;&gt;"",UPPER(TRIM(S862)),IF(O862="","LOSE",O862))</f>
        <v/>
      </c>
      <c r="BN862" s="55">
        <f>IF(BM862="LOSE",1,IF(N(T862)&gt;0,T862,IF(N(P862)&gt;0,P862,MAX(1,G862))))</f>
        <v/>
      </c>
      <c r="BO862" s="58">
        <f>IF(BM862="LOSE",1,0)</f>
        <v/>
      </c>
      <c r="BP862" s="64">
        <f>IF(BO862=0,0,IF(N(R862)&gt;0,R862,IFERROR(VLOOKUP(D862,Parameter!$A$35:$C$64,3,0)+0,0)))</f>
        <v/>
      </c>
      <c r="BQ862" s="53">
        <f>IF(V862&lt;&gt;"",V862,U862)</f>
        <v/>
      </c>
      <c r="BR862" s="53">
        <f>IF(BQ862=1,"L1",IF(OR(BQ862=2,BQ862=3),"L23",IF(BQ862="Aussen","Aussen","-")))</f>
        <v/>
      </c>
      <c r="BS862" s="66">
        <f>IF(N(W862)&gt;0,W862,0)</f>
        <v/>
      </c>
      <c r="BT862" s="58">
        <f>IF(ISNUMBER(Z862),1,0)</f>
        <v/>
      </c>
      <c r="BU862" s="55">
        <f>N(Z862)</f>
        <v/>
      </c>
      <c r="BV862" s="55">
        <f>N(L862)+N(M862)</f>
        <v/>
      </c>
      <c r="BW862" s="55">
        <f>ROUNDUP(G862/BN862,0)</f>
        <v/>
      </c>
      <c r="BX862" s="55">
        <f>ROUNDUP(BU862/BN862,0)</f>
        <v/>
      </c>
      <c r="BY862" s="58">
        <f>IF(BO862=1,0,IFERROR(VLOOKUP(BM862,'Gebinde-Kategorie'!$A$5:$G$45,5,0)+0,0))</f>
        <v/>
      </c>
      <c r="BZ862" s="58">
        <f>IFERROR(IF(OR(BQ862=1,BQ862=2,BQ862=3),N(INDEX(Parameter!$I$5:$I$7,BQ862)),0),0)</f>
        <v/>
      </c>
    </row>
    <row r="863">
      <c r="A863" s="53" t="inlineStr">
        <is>
          <t>100038</t>
        </is>
      </c>
      <c r="B863" s="53" t="inlineStr">
        <is>
          <t>Sicherungsscheibe</t>
        </is>
      </c>
      <c r="C863" s="53" t="inlineStr">
        <is>
          <t>F</t>
        </is>
      </c>
      <c r="D863" s="53" t="inlineStr">
        <is>
          <t>KTL</t>
        </is>
      </c>
      <c r="E863" s="53" t="inlineStr">
        <is>
          <t>C</t>
        </is>
      </c>
      <c r="F863" s="54" t="n">
        <v>0.24</v>
      </c>
      <c r="G863" s="55">
        <f>MAX(0,IF(Parameter!$B$20="Jahresanfang 2025 + Export",BG863+BF863,BF863))</f>
        <v/>
      </c>
      <c r="H863" s="55">
        <f>G863*F863</f>
        <v/>
      </c>
      <c r="I863" s="55">
        <f>BI863*Parameter!$B$18</f>
        <v/>
      </c>
      <c r="J863" s="56" t="n">
        <v>2296</v>
      </c>
      <c r="K863" s="57" t="n">
        <v>3.14198606271777</v>
      </c>
      <c r="L863" s="55" t="n">
        <v>281</v>
      </c>
      <c r="M863" s="55" t="n">
        <v>2000</v>
      </c>
      <c r="N863" s="58" t="n">
        <v>14</v>
      </c>
      <c r="O863" s="53" t="inlineStr">
        <is>
          <t>S51</t>
        </is>
      </c>
      <c r="P863" s="55" t="n">
        <v>1444</v>
      </c>
      <c r="Q863" s="59">
        <f>IF(BO863=1,0,IFERROR(VLOOKUP(BM863,'Gebinde-Kategorie'!$A$5:$G$45,6,0)+0,0))</f>
        <v/>
      </c>
      <c r="R863" s="60" t="n"/>
      <c r="S863" s="61" t="n"/>
      <c r="T863" s="61" t="n"/>
      <c r="U863" s="53">
        <f>IF(A863="","",IF(IFERROR(VLOOKUP(D863,Parameter!$A$35:$C$64,2,0),"Nein")="2+3",IF(ISNUMBER(SEARCH("grosser Artikel",BJ863)),2,IFERROR(VLOOKUP(BM863,Parameter!$F$35:$G$64,2,0),2)),IF(OR(IFERROR(VLOOKUP(D863,Parameter!$A$35:$C$64,2,0),"Nein")="Nein",IFERROR(VLOOKUP(D863,Parameter!$A$35:$C$64,2,0),"Nein")=""),"-",VLOOKUP(D863,Parameter!$A$35:$C$64,2,0))))</f>
        <v/>
      </c>
      <c r="V863" s="61" t="n"/>
      <c r="W863" s="62" t="n"/>
      <c r="X863" s="55">
        <f>AM863</f>
        <v/>
      </c>
      <c r="Y863" s="55">
        <f>MAX(AM863,G863)</f>
        <v/>
      </c>
      <c r="Z863" s="63" t="n"/>
      <c r="AA863" s="55">
        <f>IF(LEFT(Cockpit!$C$5,1)="A",G863,IF(BT863=1,BU863,IF(LEFT(Cockpit!$C$5,1)="B",AE863,MAX(AE863,G863))))</f>
        <v/>
      </c>
      <c r="AB863" s="55">
        <f>IF(BO863=1,0,ROUNDUP(AA863/BN863,0))</f>
        <v/>
      </c>
      <c r="AC863" s="64">
        <f>IF(BO863=1,IF(AA863&lt;=0,0,BP863*MAX(1,IF(G863&gt;0,AA863/G863,1))),AB863*Q863)</f>
        <v/>
      </c>
      <c r="AD863" s="55">
        <f>AA863*F863</f>
        <v/>
      </c>
      <c r="AE863" s="55">
        <f>ROUNDUP(MAX(I863/IF(BS863&gt;0,BS863,MAX(0.1,N(Cockpit!$C$6))),BV863)/BN863,0)*BN863</f>
        <v/>
      </c>
      <c r="AF863" s="56">
        <f>IF(AC863&gt;0,I863/AC863,-1)</f>
        <v/>
      </c>
      <c r="AG863" s="56">
        <f>IF(AND(OR(BR863="L1",BR863="L23"),AC863&gt;0),SUMIFS($AC$7:$AC$1570,$BR$7:$BR$1570,BR863,$AF$7:$AF$1570,"&gt;"&amp;AF863)+SUMIFS($AC$7:$AC$1570,$BR$7:$BR$1570,BR863,$AF$7:$AF$1570,AF863,$BL$7:$BL$1570,"&lt;="&amp;BL863),"")</f>
        <v/>
      </c>
      <c r="AH863" s="65">
        <f>IF(AG863="",0,MAX(0,MIN(1,(IF(BR863="L1",Parameter!$K$5,Parameter!$K$6+Parameter!$K$7)-(AG863-AC863))/AC863)))</f>
        <v/>
      </c>
      <c r="AI863" s="55">
        <f>IF(LEFT(Cockpit!$I$5,1)="A",G863,IF(BT863=1,BU863,IF(LEFT(Cockpit!$I$5,1)="B",AM863,MAX(AM863,G863))))</f>
        <v/>
      </c>
      <c r="AJ863" s="55">
        <f>IF(BO863=1,0,ROUNDUP(AI863/BN863,0))</f>
        <v/>
      </c>
      <c r="AK863" s="64">
        <f>IF(BO863=1,IF(AI863&lt;=0,0,BP863*MAX(1,IF(G863&gt;0,AI863/G863,1))),AJ863*Q863)</f>
        <v/>
      </c>
      <c r="AL863" s="55">
        <f>AI863*F863</f>
        <v/>
      </c>
      <c r="AM863" s="55">
        <f>ROUNDUP(MAX(I863/IF(BS863&gt;0,BS863,MAX(0.1,N(Cockpit!$I$6))),BV863)/BN863,0)*BN863</f>
        <v/>
      </c>
      <c r="AN863" s="56">
        <f>IF(AK863&gt;0,I863/AK863,-1)</f>
        <v/>
      </c>
      <c r="AO863" s="56">
        <f>IF(AND(OR(BR863="L1",BR863="L23"),AK863&gt;0),SUMIFS($AK$7:$AK$1570,$BR$7:$BR$1570,BR863,$AN$7:$AN$1570,"&gt;"&amp;AN863)+SUMIFS($AK$7:$AK$1570,$BR$7:$BR$1570,BR863,$AN$7:$AN$1570,AN863,$BL$7:$BL$1570,"&lt;="&amp;BL863),"")</f>
        <v/>
      </c>
      <c r="AP863" s="65">
        <f>IF(AO863="",0,MAX(0,MIN(1,(IF(BR863="L1",Parameter!$K$5,Parameter!$K$6+Parameter!$K$7)-(AO863-AK863))/AK863)))</f>
        <v/>
      </c>
      <c r="AQ863" s="55">
        <f>IF(LEFT(Cockpit!$O$5,1)="A",G863,IF(BT863=1,BU863,IF(LEFT(Cockpit!$O$5,1)="B",AU863,MAX(AU863,G863))))</f>
        <v/>
      </c>
      <c r="AR863" s="55">
        <f>IF(BO863=1,0,ROUNDUP(AQ863/BN863,0))</f>
        <v/>
      </c>
      <c r="AS863" s="64">
        <f>IF(BO863=1,IF(AQ863&lt;=0,0,BP863*MAX(1,IF(G863&gt;0,AQ863/G863,1))),AR863*Q863)</f>
        <v/>
      </c>
      <c r="AT863" s="55">
        <f>AQ863*F863</f>
        <v/>
      </c>
      <c r="AU863" s="55">
        <f>ROUNDUP(MAX(I863/IF(BS863&gt;0,BS863,MAX(0.1,N(Cockpit!$O$6))),BV863)/BN863,0)*BN863</f>
        <v/>
      </c>
      <c r="AV863" s="56">
        <f>IF(AS863&gt;0,I863/AS863,-1)</f>
        <v/>
      </c>
      <c r="AW863" s="56">
        <f>IF(AND(OR(BR863="L1",BR863="L23"),AS863&gt;0),SUMIFS($AS$7:$AS$1570,$BR$7:$BR$1570,BR863,$AV$7:$AV$1570,"&gt;"&amp;AV863)+SUMIFS($AS$7:$AS$1570,$BR$7:$BR$1570,BR863,$AV$7:$AV$1570,AV863,$BL$7:$BL$1570,"&lt;="&amp;BL863),"")</f>
        <v/>
      </c>
      <c r="AX863" s="65">
        <f>IF(AW863="",0,MAX(0,MIN(1,(IF(BR863="L1",Parameter!$K$5,Parameter!$K$6+Parameter!$K$7)-(AW863-AS863))/AS863)))</f>
        <v/>
      </c>
      <c r="AY863" s="53">
        <f>IF(AC863&lt;=0,"",IF(BR863="Aussen","Aussenlager",IF(BR863="-","Nicht im Lift",IF(AH863&gt;=1,"Lift",IF(AH863&lt;=0,"Aussenlager","teilweise")))))</f>
        <v/>
      </c>
      <c r="AZ863" s="53">
        <f>IF(AK863&lt;=0,"",IF(BR863="Aussen","Aussenlager",IF(BR863="-","Nicht im Lift",IF(AP863&gt;=1,"Lift",IF(AP863&lt;=0,"Aussenlager","teilweise")))))</f>
        <v/>
      </c>
      <c r="BA863" s="53">
        <f>IF(AS863&lt;=0,"",IF(BR863="Aussen","Aussenlager",IF(BR863="-","Nicht im Lift",IF(AX863&gt;=1,"Lift",IF(AX863&lt;=0,"Aussenlager","teilweise")))))</f>
        <v/>
      </c>
      <c r="BB863" s="53">
        <f>IF(A863="","",IF(BK863=1,"Neu; ","")&amp;IF(AND(BK863=0,BF863&lt;0),"negativer Bestand (Export "&amp;BF863&amp;"); ","")&amp;IF(I863&lt;=0,"Kein Verbrauch; ","")&amp;IF(BO863=1,"Lose – Fläche geschätzt; ","")&amp;IF(G863&gt;AM863,"Überbestand "&amp;ROUND(G863-AM863,0)&amp;" Stk / CHF "&amp;ROUND((G863-AM863)*F863,0)&amp;"; ","")&amp;IF(AND(BT863=1,BU863&lt;BV863),"MAX &lt; MB+LG; ","")&amp;IF(AND(BZ863&gt;0,BY863*10&gt;BZ863),"zu hoch für Tablar; ","")&amp;IF(AND(BK863=0,OR(BT863=1,V863&lt;&gt;"",S863&lt;&gt;"",T863&lt;&gt;"",W863&lt;&gt;"")),"manuell übersteuert; ","")&amp;IF(AND(BO863=0,Q863=0),"Gebinde unbekannt; ","")&amp;IF(AND(BO863=0,N(T863)&lt;=0,N(P863)&lt;=0),"Menge pro Gebinde fehlt (Ist = 1 Gebinde); ","")&amp;BJ863)</f>
        <v/>
      </c>
      <c r="BC863" s="53" t="n"/>
      <c r="BD863" s="53" t="n"/>
      <c r="BE863" s="61" t="n"/>
      <c r="BF863" s="55" t="n">
        <v>-164</v>
      </c>
      <c r="BG863" s="55" t="n">
        <v>1962</v>
      </c>
      <c r="BH863" s="54" t="n">
        <v>-20.96000000000018</v>
      </c>
      <c r="BI863" s="55" t="n">
        <v>7214</v>
      </c>
      <c r="BJ863" s="53" t="inlineStr"/>
      <c r="BK863" s="58" t="n">
        <v>0</v>
      </c>
      <c r="BL863" s="58" t="n">
        <v>863</v>
      </c>
      <c r="BM863" s="53">
        <f>IF(S863&lt;&gt;"",UPPER(TRIM(S863)),IF(O863="","LOSE",O863))</f>
        <v/>
      </c>
      <c r="BN863" s="55">
        <f>IF(BM863="LOSE",1,IF(N(T863)&gt;0,T863,IF(N(P863)&gt;0,P863,MAX(1,G863))))</f>
        <v/>
      </c>
      <c r="BO863" s="58">
        <f>IF(BM863="LOSE",1,0)</f>
        <v/>
      </c>
      <c r="BP863" s="64">
        <f>IF(BO863=0,0,IF(N(R863)&gt;0,R863,IFERROR(VLOOKUP(D863,Parameter!$A$35:$C$64,3,0)+0,0)))</f>
        <v/>
      </c>
      <c r="BQ863" s="53">
        <f>IF(V863&lt;&gt;"",V863,U863)</f>
        <v/>
      </c>
      <c r="BR863" s="53">
        <f>IF(BQ863=1,"L1",IF(OR(BQ863=2,BQ863=3),"L23",IF(BQ863="Aussen","Aussen","-")))</f>
        <v/>
      </c>
      <c r="BS863" s="66">
        <f>IF(N(W863)&gt;0,W863,0)</f>
        <v/>
      </c>
      <c r="BT863" s="58">
        <f>IF(ISNUMBER(Z863),1,0)</f>
        <v/>
      </c>
      <c r="BU863" s="55">
        <f>N(Z863)</f>
        <v/>
      </c>
      <c r="BV863" s="55">
        <f>N(L863)+N(M863)</f>
        <v/>
      </c>
      <c r="BW863" s="55">
        <f>ROUNDUP(G863/BN863,0)</f>
        <v/>
      </c>
      <c r="BX863" s="55">
        <f>ROUNDUP(BU863/BN863,0)</f>
        <v/>
      </c>
      <c r="BY863" s="58">
        <f>IF(BO863=1,0,IFERROR(VLOOKUP(BM863,'Gebinde-Kategorie'!$A$5:$G$45,5,0)+0,0))</f>
        <v/>
      </c>
      <c r="BZ863" s="58">
        <f>IFERROR(IF(OR(BQ863=1,BQ863=2,BQ863=3),N(INDEX(Parameter!$I$5:$I$7,BQ863)),0),0)</f>
        <v/>
      </c>
    </row>
    <row r="864">
      <c r="A864" s="53" t="inlineStr">
        <is>
          <t>107095</t>
        </is>
      </c>
      <c r="B864" s="53" t="inlineStr">
        <is>
          <t>Ringgabelschlüssel</t>
        </is>
      </c>
      <c r="C864" s="53" t="inlineStr">
        <is>
          <t>F</t>
        </is>
      </c>
      <c r="D864" s="53" t="inlineStr">
        <is>
          <t>KTL</t>
        </is>
      </c>
      <c r="E864" s="53" t="inlineStr">
        <is>
          <t>C</t>
        </is>
      </c>
      <c r="F864" s="54" t="n">
        <v>9.369999999999999</v>
      </c>
      <c r="G864" s="55">
        <f>MAX(0,IF(Parameter!$B$20="Jahresanfang 2025 + Export",BG864+BF864,BF864))</f>
        <v/>
      </c>
      <c r="H864" s="55">
        <f>G864*F864</f>
        <v/>
      </c>
      <c r="I864" s="55">
        <f>BI864*Parameter!$B$18</f>
        <v/>
      </c>
      <c r="J864" s="56" t="n">
        <v>3.5</v>
      </c>
      <c r="K864" s="57" t="n">
        <v>2.285714285714286</v>
      </c>
      <c r="L864" s="55" t="n">
        <v>0</v>
      </c>
      <c r="M864" s="55" t="n">
        <v>10</v>
      </c>
      <c r="N864" s="58" t="n">
        <v>18</v>
      </c>
      <c r="O864" s="53" t="inlineStr">
        <is>
          <t>S32</t>
        </is>
      </c>
      <c r="P864" s="55" t="n">
        <v>16</v>
      </c>
      <c r="Q864" s="59">
        <f>IF(BO864=1,0,IFERROR(VLOOKUP(BM864,'Gebinde-Kategorie'!$A$5:$G$45,6,0)+0,0))</f>
        <v/>
      </c>
      <c r="R864" s="60" t="n"/>
      <c r="S864" s="61" t="n"/>
      <c r="T864" s="61" t="n"/>
      <c r="U864" s="53">
        <f>IF(A864="","",IF(IFERROR(VLOOKUP(D864,Parameter!$A$35:$C$64,2,0),"Nein")="2+3",IF(ISNUMBER(SEARCH("grosser Artikel",BJ864)),2,IFERROR(VLOOKUP(BM864,Parameter!$F$35:$G$64,2,0),2)),IF(OR(IFERROR(VLOOKUP(D864,Parameter!$A$35:$C$64,2,0),"Nein")="Nein",IFERROR(VLOOKUP(D864,Parameter!$A$35:$C$64,2,0),"Nein")=""),"-",VLOOKUP(D864,Parameter!$A$35:$C$64,2,0))))</f>
        <v/>
      </c>
      <c r="V864" s="61" t="n"/>
      <c r="W864" s="62" t="n"/>
      <c r="X864" s="55">
        <f>AM864</f>
        <v/>
      </c>
      <c r="Y864" s="55">
        <f>MAX(AM864,G864)</f>
        <v/>
      </c>
      <c r="Z864" s="63" t="n"/>
      <c r="AA864" s="55">
        <f>IF(LEFT(Cockpit!$C$5,1)="A",G864,IF(BT864=1,BU864,IF(LEFT(Cockpit!$C$5,1)="B",AE864,MAX(AE864,G864))))</f>
        <v/>
      </c>
      <c r="AB864" s="55">
        <f>IF(BO864=1,0,ROUNDUP(AA864/BN864,0))</f>
        <v/>
      </c>
      <c r="AC864" s="64">
        <f>IF(BO864=1,IF(AA864&lt;=0,0,BP864*MAX(1,IF(G864&gt;0,AA864/G864,1))),AB864*Q864)</f>
        <v/>
      </c>
      <c r="AD864" s="55">
        <f>AA864*F864</f>
        <v/>
      </c>
      <c r="AE864" s="55">
        <f>ROUNDUP(MAX(I864/IF(BS864&gt;0,BS864,MAX(0.1,N(Cockpit!$C$6))),BV864)/BN864,0)*BN864</f>
        <v/>
      </c>
      <c r="AF864" s="56">
        <f>IF(AC864&gt;0,I864/AC864,-1)</f>
        <v/>
      </c>
      <c r="AG864" s="56">
        <f>IF(AND(OR(BR864="L1",BR864="L23"),AC864&gt;0),SUMIFS($AC$7:$AC$1570,$BR$7:$BR$1570,BR864,$AF$7:$AF$1570,"&gt;"&amp;AF864)+SUMIFS($AC$7:$AC$1570,$BR$7:$BR$1570,BR864,$AF$7:$AF$1570,AF864,$BL$7:$BL$1570,"&lt;="&amp;BL864),"")</f>
        <v/>
      </c>
      <c r="AH864" s="65">
        <f>IF(AG864="",0,MAX(0,MIN(1,(IF(BR864="L1",Parameter!$K$5,Parameter!$K$6+Parameter!$K$7)-(AG864-AC864))/AC864)))</f>
        <v/>
      </c>
      <c r="AI864" s="55">
        <f>IF(LEFT(Cockpit!$I$5,1)="A",G864,IF(BT864=1,BU864,IF(LEFT(Cockpit!$I$5,1)="B",AM864,MAX(AM864,G864))))</f>
        <v/>
      </c>
      <c r="AJ864" s="55">
        <f>IF(BO864=1,0,ROUNDUP(AI864/BN864,0))</f>
        <v/>
      </c>
      <c r="AK864" s="64">
        <f>IF(BO864=1,IF(AI864&lt;=0,0,BP864*MAX(1,IF(G864&gt;0,AI864/G864,1))),AJ864*Q864)</f>
        <v/>
      </c>
      <c r="AL864" s="55">
        <f>AI864*F864</f>
        <v/>
      </c>
      <c r="AM864" s="55">
        <f>ROUNDUP(MAX(I864/IF(BS864&gt;0,BS864,MAX(0.1,N(Cockpit!$I$6))),BV864)/BN864,0)*BN864</f>
        <v/>
      </c>
      <c r="AN864" s="56">
        <f>IF(AK864&gt;0,I864/AK864,-1)</f>
        <v/>
      </c>
      <c r="AO864" s="56">
        <f>IF(AND(OR(BR864="L1",BR864="L23"),AK864&gt;0),SUMIFS($AK$7:$AK$1570,$BR$7:$BR$1570,BR864,$AN$7:$AN$1570,"&gt;"&amp;AN864)+SUMIFS($AK$7:$AK$1570,$BR$7:$BR$1570,BR864,$AN$7:$AN$1570,AN864,$BL$7:$BL$1570,"&lt;="&amp;BL864),"")</f>
        <v/>
      </c>
      <c r="AP864" s="65">
        <f>IF(AO864="",0,MAX(0,MIN(1,(IF(BR864="L1",Parameter!$K$5,Parameter!$K$6+Parameter!$K$7)-(AO864-AK864))/AK864)))</f>
        <v/>
      </c>
      <c r="AQ864" s="55">
        <f>IF(LEFT(Cockpit!$O$5,1)="A",G864,IF(BT864=1,BU864,IF(LEFT(Cockpit!$O$5,1)="B",AU864,MAX(AU864,G864))))</f>
        <v/>
      </c>
      <c r="AR864" s="55">
        <f>IF(BO864=1,0,ROUNDUP(AQ864/BN864,0))</f>
        <v/>
      </c>
      <c r="AS864" s="64">
        <f>IF(BO864=1,IF(AQ864&lt;=0,0,BP864*MAX(1,IF(G864&gt;0,AQ864/G864,1))),AR864*Q864)</f>
        <v/>
      </c>
      <c r="AT864" s="55">
        <f>AQ864*F864</f>
        <v/>
      </c>
      <c r="AU864" s="55">
        <f>ROUNDUP(MAX(I864/IF(BS864&gt;0,BS864,MAX(0.1,N(Cockpit!$O$6))),BV864)/BN864,0)*BN864</f>
        <v/>
      </c>
      <c r="AV864" s="56">
        <f>IF(AS864&gt;0,I864/AS864,-1)</f>
        <v/>
      </c>
      <c r="AW864" s="56">
        <f>IF(AND(OR(BR864="L1",BR864="L23"),AS864&gt;0),SUMIFS($AS$7:$AS$1570,$BR$7:$BR$1570,BR864,$AV$7:$AV$1570,"&gt;"&amp;AV864)+SUMIFS($AS$7:$AS$1570,$BR$7:$BR$1570,BR864,$AV$7:$AV$1570,AV864,$BL$7:$BL$1570,"&lt;="&amp;BL864),"")</f>
        <v/>
      </c>
      <c r="AX864" s="65">
        <f>IF(AW864="",0,MAX(0,MIN(1,(IF(BR864="L1",Parameter!$K$5,Parameter!$K$6+Parameter!$K$7)-(AW864-AS864))/AS864)))</f>
        <v/>
      </c>
      <c r="AY864" s="53">
        <f>IF(AC864&lt;=0,"",IF(BR864="Aussen","Aussenlager",IF(BR864="-","Nicht im Lift",IF(AH864&gt;=1,"Lift",IF(AH864&lt;=0,"Aussenlager","teilweise")))))</f>
        <v/>
      </c>
      <c r="AZ864" s="53">
        <f>IF(AK864&lt;=0,"",IF(BR864="Aussen","Aussenlager",IF(BR864="-","Nicht im Lift",IF(AP864&gt;=1,"Lift",IF(AP864&lt;=0,"Aussenlager","teilweise")))))</f>
        <v/>
      </c>
      <c r="BA864" s="53">
        <f>IF(AS864&lt;=0,"",IF(BR864="Aussen","Aussenlager",IF(BR864="-","Nicht im Lift",IF(AX864&gt;=1,"Lift",IF(AX864&lt;=0,"Aussenlager","teilweise")))))</f>
        <v/>
      </c>
      <c r="BB864" s="53">
        <f>IF(A864="","",IF(BK864=1,"Neu; ","")&amp;IF(AND(BK864=0,BF864&lt;0),"negativer Bestand (Export "&amp;BF864&amp;"); ","")&amp;IF(I864&lt;=0,"Kein Verbrauch; ","")&amp;IF(BO864=1,"Lose – Fläche geschätzt; ","")&amp;IF(G864&gt;AM864,"Überbestand "&amp;ROUND(G864-AM864,0)&amp;" Stk / CHF "&amp;ROUND((G864-AM864)*F864,0)&amp;"; ","")&amp;IF(AND(BT864=1,BU864&lt;BV864),"MAX &lt; MB+LG; ","")&amp;IF(AND(BZ864&gt;0,BY864*10&gt;BZ864),"zu hoch für Tablar; ","")&amp;IF(AND(BK864=0,OR(BT864=1,V864&lt;&gt;"",S864&lt;&gt;"",T864&lt;&gt;"",W864&lt;&gt;"")),"manuell übersteuert; ","")&amp;IF(AND(BO864=0,Q864=0),"Gebinde unbekannt; ","")&amp;IF(AND(BO864=0,N(T864)&lt;=0,N(P864)&lt;=0),"Menge pro Gebinde fehlt (Ist = 1 Gebinde); ","")&amp;BJ864)</f>
        <v/>
      </c>
      <c r="BC864" s="53" t="n"/>
      <c r="BD864" s="53" t="n"/>
      <c r="BE864" s="61" t="n"/>
      <c r="BF864" s="55" t="n">
        <v>-2</v>
      </c>
      <c r="BG864" s="55" t="n">
        <v>5</v>
      </c>
      <c r="BH864" s="54" t="n">
        <v>-21.03999999999999</v>
      </c>
      <c r="BI864" s="55" t="n">
        <v>8</v>
      </c>
      <c r="BJ864" s="53" t="inlineStr"/>
      <c r="BK864" s="58" t="n">
        <v>0</v>
      </c>
      <c r="BL864" s="58" t="n">
        <v>864</v>
      </c>
      <c r="BM864" s="53">
        <f>IF(S864&lt;&gt;"",UPPER(TRIM(S864)),IF(O864="","LOSE",O864))</f>
        <v/>
      </c>
      <c r="BN864" s="55">
        <f>IF(BM864="LOSE",1,IF(N(T864)&gt;0,T864,IF(N(P864)&gt;0,P864,MAX(1,G864))))</f>
        <v/>
      </c>
      <c r="BO864" s="58">
        <f>IF(BM864="LOSE",1,0)</f>
        <v/>
      </c>
      <c r="BP864" s="64">
        <f>IF(BO864=0,0,IF(N(R864)&gt;0,R864,IFERROR(VLOOKUP(D864,Parameter!$A$35:$C$64,3,0)+0,0)))</f>
        <v/>
      </c>
      <c r="BQ864" s="53">
        <f>IF(V864&lt;&gt;"",V864,U864)</f>
        <v/>
      </c>
      <c r="BR864" s="53">
        <f>IF(BQ864=1,"L1",IF(OR(BQ864=2,BQ864=3),"L23",IF(BQ864="Aussen","Aussen","-")))</f>
        <v/>
      </c>
      <c r="BS864" s="66">
        <f>IF(N(W864)&gt;0,W864,0)</f>
        <v/>
      </c>
      <c r="BT864" s="58">
        <f>IF(ISNUMBER(Z864),1,0)</f>
        <v/>
      </c>
      <c r="BU864" s="55">
        <f>N(Z864)</f>
        <v/>
      </c>
      <c r="BV864" s="55">
        <f>N(L864)+N(M864)</f>
        <v/>
      </c>
      <c r="BW864" s="55">
        <f>ROUNDUP(G864/BN864,0)</f>
        <v/>
      </c>
      <c r="BX864" s="55">
        <f>ROUNDUP(BU864/BN864,0)</f>
        <v/>
      </c>
      <c r="BY864" s="58">
        <f>IF(BO864=1,0,IFERROR(VLOOKUP(BM864,'Gebinde-Kategorie'!$A$5:$G$45,5,0)+0,0))</f>
        <v/>
      </c>
      <c r="BZ864" s="58">
        <f>IFERROR(IF(OR(BQ864=1,BQ864=2,BQ864=3),N(INDEX(Parameter!$I$5:$I$7,BQ864)),0),0)</f>
        <v/>
      </c>
    </row>
    <row r="865">
      <c r="A865" s="53" t="inlineStr">
        <is>
          <t>108732</t>
        </is>
      </c>
      <c r="B865" s="53" t="inlineStr">
        <is>
          <t>Zylinderschraube mit Innensechskant</t>
        </is>
      </c>
      <c r="C865" s="53" t="inlineStr">
        <is>
          <t>F</t>
        </is>
      </c>
      <c r="D865" s="53" t="inlineStr">
        <is>
          <t>KTL</t>
        </is>
      </c>
      <c r="E865" s="53" t="inlineStr">
        <is>
          <t>C</t>
        </is>
      </c>
      <c r="F865" s="54" t="n">
        <v>0.88</v>
      </c>
      <c r="G865" s="55">
        <f>MAX(0,IF(Parameter!$B$20="Jahresanfang 2025 + Export",BG865+BF865,BF865))</f>
        <v/>
      </c>
      <c r="H865" s="55">
        <f>G865*F865</f>
        <v/>
      </c>
      <c r="I865" s="55">
        <f>BI865*Parameter!$B$18</f>
        <v/>
      </c>
      <c r="J865" s="56" t="n">
        <v>91</v>
      </c>
      <c r="K865" s="57" t="n">
        <v>0.2637362637362637</v>
      </c>
      <c r="L865" s="55" t="n">
        <v>0</v>
      </c>
      <c r="M865" s="55" t="n">
        <v>25</v>
      </c>
      <c r="N865" s="58" t="n">
        <v>14</v>
      </c>
      <c r="O865" s="53" t="inlineStr">
        <is>
          <t>S51</t>
        </is>
      </c>
      <c r="P865" s="55" t="n">
        <v>177</v>
      </c>
      <c r="Q865" s="59">
        <f>IF(BO865=1,0,IFERROR(VLOOKUP(BM865,'Gebinde-Kategorie'!$A$5:$G$45,6,0)+0,0))</f>
        <v/>
      </c>
      <c r="R865" s="60" t="n"/>
      <c r="S865" s="61" t="n"/>
      <c r="T865" s="61" t="n"/>
      <c r="U865" s="53">
        <f>IF(A865="","",IF(IFERROR(VLOOKUP(D865,Parameter!$A$35:$C$64,2,0),"Nein")="2+3",IF(ISNUMBER(SEARCH("grosser Artikel",BJ865)),2,IFERROR(VLOOKUP(BM865,Parameter!$F$35:$G$64,2,0),2)),IF(OR(IFERROR(VLOOKUP(D865,Parameter!$A$35:$C$64,2,0),"Nein")="Nein",IFERROR(VLOOKUP(D865,Parameter!$A$35:$C$64,2,0),"Nein")=""),"-",VLOOKUP(D865,Parameter!$A$35:$C$64,2,0))))</f>
        <v/>
      </c>
      <c r="V865" s="61" t="n"/>
      <c r="W865" s="62" t="n"/>
      <c r="X865" s="55">
        <f>AM865</f>
        <v/>
      </c>
      <c r="Y865" s="55">
        <f>MAX(AM865,G865)</f>
        <v/>
      </c>
      <c r="Z865" s="63" t="n"/>
      <c r="AA865" s="55">
        <f>IF(LEFT(Cockpit!$C$5,1)="A",G865,IF(BT865=1,BU865,IF(LEFT(Cockpit!$C$5,1)="B",AE865,MAX(AE865,G865))))</f>
        <v/>
      </c>
      <c r="AB865" s="55">
        <f>IF(BO865=1,0,ROUNDUP(AA865/BN865,0))</f>
        <v/>
      </c>
      <c r="AC865" s="64">
        <f>IF(BO865=1,IF(AA865&lt;=0,0,BP865*MAX(1,IF(G865&gt;0,AA865/G865,1))),AB865*Q865)</f>
        <v/>
      </c>
      <c r="AD865" s="55">
        <f>AA865*F865</f>
        <v/>
      </c>
      <c r="AE865" s="55">
        <f>ROUNDUP(MAX(I865/IF(BS865&gt;0,BS865,MAX(0.1,N(Cockpit!$C$6))),BV865)/BN865,0)*BN865</f>
        <v/>
      </c>
      <c r="AF865" s="56">
        <f>IF(AC865&gt;0,I865/AC865,-1)</f>
        <v/>
      </c>
      <c r="AG865" s="56">
        <f>IF(AND(OR(BR865="L1",BR865="L23"),AC865&gt;0),SUMIFS($AC$7:$AC$1570,$BR$7:$BR$1570,BR865,$AF$7:$AF$1570,"&gt;"&amp;AF865)+SUMIFS($AC$7:$AC$1570,$BR$7:$BR$1570,BR865,$AF$7:$AF$1570,AF865,$BL$7:$BL$1570,"&lt;="&amp;BL865),"")</f>
        <v/>
      </c>
      <c r="AH865" s="65">
        <f>IF(AG865="",0,MAX(0,MIN(1,(IF(BR865="L1",Parameter!$K$5,Parameter!$K$6+Parameter!$K$7)-(AG865-AC865))/AC865)))</f>
        <v/>
      </c>
      <c r="AI865" s="55">
        <f>IF(LEFT(Cockpit!$I$5,1)="A",G865,IF(BT865=1,BU865,IF(LEFT(Cockpit!$I$5,1)="B",AM865,MAX(AM865,G865))))</f>
        <v/>
      </c>
      <c r="AJ865" s="55">
        <f>IF(BO865=1,0,ROUNDUP(AI865/BN865,0))</f>
        <v/>
      </c>
      <c r="AK865" s="64">
        <f>IF(BO865=1,IF(AI865&lt;=0,0,BP865*MAX(1,IF(G865&gt;0,AI865/G865,1))),AJ865*Q865)</f>
        <v/>
      </c>
      <c r="AL865" s="55">
        <f>AI865*F865</f>
        <v/>
      </c>
      <c r="AM865" s="55">
        <f>ROUNDUP(MAX(I865/IF(BS865&gt;0,BS865,MAX(0.1,N(Cockpit!$I$6))),BV865)/BN865,0)*BN865</f>
        <v/>
      </c>
      <c r="AN865" s="56">
        <f>IF(AK865&gt;0,I865/AK865,-1)</f>
        <v/>
      </c>
      <c r="AO865" s="56">
        <f>IF(AND(OR(BR865="L1",BR865="L23"),AK865&gt;0),SUMIFS($AK$7:$AK$1570,$BR$7:$BR$1570,BR865,$AN$7:$AN$1570,"&gt;"&amp;AN865)+SUMIFS($AK$7:$AK$1570,$BR$7:$BR$1570,BR865,$AN$7:$AN$1570,AN865,$BL$7:$BL$1570,"&lt;="&amp;BL865),"")</f>
        <v/>
      </c>
      <c r="AP865" s="65">
        <f>IF(AO865="",0,MAX(0,MIN(1,(IF(BR865="L1",Parameter!$K$5,Parameter!$K$6+Parameter!$K$7)-(AO865-AK865))/AK865)))</f>
        <v/>
      </c>
      <c r="AQ865" s="55">
        <f>IF(LEFT(Cockpit!$O$5,1)="A",G865,IF(BT865=1,BU865,IF(LEFT(Cockpit!$O$5,1)="B",AU865,MAX(AU865,G865))))</f>
        <v/>
      </c>
      <c r="AR865" s="55">
        <f>IF(BO865=1,0,ROUNDUP(AQ865/BN865,0))</f>
        <v/>
      </c>
      <c r="AS865" s="64">
        <f>IF(BO865=1,IF(AQ865&lt;=0,0,BP865*MAX(1,IF(G865&gt;0,AQ865/G865,1))),AR865*Q865)</f>
        <v/>
      </c>
      <c r="AT865" s="55">
        <f>AQ865*F865</f>
        <v/>
      </c>
      <c r="AU865" s="55">
        <f>ROUNDUP(MAX(I865/IF(BS865&gt;0,BS865,MAX(0.1,N(Cockpit!$O$6))),BV865)/BN865,0)*BN865</f>
        <v/>
      </c>
      <c r="AV865" s="56">
        <f>IF(AS865&gt;0,I865/AS865,-1)</f>
        <v/>
      </c>
      <c r="AW865" s="56">
        <f>IF(AND(OR(BR865="L1",BR865="L23"),AS865&gt;0),SUMIFS($AS$7:$AS$1570,$BR$7:$BR$1570,BR865,$AV$7:$AV$1570,"&gt;"&amp;AV865)+SUMIFS($AS$7:$AS$1570,$BR$7:$BR$1570,BR865,$AV$7:$AV$1570,AV865,$BL$7:$BL$1570,"&lt;="&amp;BL865),"")</f>
        <v/>
      </c>
      <c r="AX865" s="65">
        <f>IF(AW865="",0,MAX(0,MIN(1,(IF(BR865="L1",Parameter!$K$5,Parameter!$K$6+Parameter!$K$7)-(AW865-AS865))/AS865)))</f>
        <v/>
      </c>
      <c r="AY865" s="53">
        <f>IF(AC865&lt;=0,"",IF(BR865="Aussen","Aussenlager",IF(BR865="-","Nicht im Lift",IF(AH865&gt;=1,"Lift",IF(AH865&lt;=0,"Aussenlager","teilweise")))))</f>
        <v/>
      </c>
      <c r="AZ865" s="53">
        <f>IF(AK865&lt;=0,"",IF(BR865="Aussen","Aussenlager",IF(BR865="-","Nicht im Lift",IF(AP865&gt;=1,"Lift",IF(AP865&lt;=0,"Aussenlager","teilweise")))))</f>
        <v/>
      </c>
      <c r="BA865" s="53">
        <f>IF(AS865&lt;=0,"",IF(BR865="Aussen","Aussenlager",IF(BR865="-","Nicht im Lift",IF(AX865&gt;=1,"Lift",IF(AX865&lt;=0,"Aussenlager","teilweise")))))</f>
        <v/>
      </c>
      <c r="BB865" s="53">
        <f>IF(A865="","",IF(BK865=1,"Neu; ","")&amp;IF(AND(BK865=0,BF865&lt;0),"negativer Bestand (Export "&amp;BF865&amp;"); ","")&amp;IF(I865&lt;=0,"Kein Verbrauch; ","")&amp;IF(BO865=1,"Lose – Fläche geschätzt; ","")&amp;IF(G865&gt;AM865,"Überbestand "&amp;ROUND(G865-AM865,0)&amp;" Stk / CHF "&amp;ROUND((G865-AM865)*F865,0)&amp;"; ","")&amp;IF(AND(BT865=1,BU865&lt;BV865),"MAX &lt; MB+LG; ","")&amp;IF(AND(BZ865&gt;0,BY865*10&gt;BZ865),"zu hoch für Tablar; ","")&amp;IF(AND(BK865=0,OR(BT865=1,V865&lt;&gt;"",S865&lt;&gt;"",T865&lt;&gt;"",W865&lt;&gt;"")),"manuell übersteuert; ","")&amp;IF(AND(BO865=0,Q865=0),"Gebinde unbekannt; ","")&amp;IF(AND(BO865=0,N(T865)&lt;=0,N(P865)&lt;=0),"Menge pro Gebinde fehlt (Ist = 1 Gebinde); ","")&amp;BJ865)</f>
        <v/>
      </c>
      <c r="BC865" s="53" t="n"/>
      <c r="BD865" s="53" t="n"/>
      <c r="BE865" s="61" t="n"/>
      <c r="BF865" s="55" t="n">
        <v>-24</v>
      </c>
      <c r="BG865" s="55" t="n">
        <v>103</v>
      </c>
      <c r="BH865" s="54" t="n">
        <v>-21.12</v>
      </c>
      <c r="BI865" s="55" t="n">
        <v>24</v>
      </c>
      <c r="BJ865" s="53" t="inlineStr">
        <is>
          <t>Neu</t>
        </is>
      </c>
      <c r="BK865" s="58" t="n">
        <v>0</v>
      </c>
      <c r="BL865" s="58" t="n">
        <v>865</v>
      </c>
      <c r="BM865" s="53">
        <f>IF(S865&lt;&gt;"",UPPER(TRIM(S865)),IF(O865="","LOSE",O865))</f>
        <v/>
      </c>
      <c r="BN865" s="55">
        <f>IF(BM865="LOSE",1,IF(N(T865)&gt;0,T865,IF(N(P865)&gt;0,P865,MAX(1,G865))))</f>
        <v/>
      </c>
      <c r="BO865" s="58">
        <f>IF(BM865="LOSE",1,0)</f>
        <v/>
      </c>
      <c r="BP865" s="64">
        <f>IF(BO865=0,0,IF(N(R865)&gt;0,R865,IFERROR(VLOOKUP(D865,Parameter!$A$35:$C$64,3,0)+0,0)))</f>
        <v/>
      </c>
      <c r="BQ865" s="53">
        <f>IF(V865&lt;&gt;"",V865,U865)</f>
        <v/>
      </c>
      <c r="BR865" s="53">
        <f>IF(BQ865=1,"L1",IF(OR(BQ865=2,BQ865=3),"L23",IF(BQ865="Aussen","Aussen","-")))</f>
        <v/>
      </c>
      <c r="BS865" s="66">
        <f>IF(N(W865)&gt;0,W865,0)</f>
        <v/>
      </c>
      <c r="BT865" s="58">
        <f>IF(ISNUMBER(Z865),1,0)</f>
        <v/>
      </c>
      <c r="BU865" s="55">
        <f>N(Z865)</f>
        <v/>
      </c>
      <c r="BV865" s="55">
        <f>N(L865)+N(M865)</f>
        <v/>
      </c>
      <c r="BW865" s="55">
        <f>ROUNDUP(G865/BN865,0)</f>
        <v/>
      </c>
      <c r="BX865" s="55">
        <f>ROUNDUP(BU865/BN865,0)</f>
        <v/>
      </c>
      <c r="BY865" s="58">
        <f>IF(BO865=1,0,IFERROR(VLOOKUP(BM865,'Gebinde-Kategorie'!$A$5:$G$45,5,0)+0,0))</f>
        <v/>
      </c>
      <c r="BZ865" s="58">
        <f>IFERROR(IF(OR(BQ865=1,BQ865=2,BQ865=3),N(INDEX(Parameter!$I$5:$I$7,BQ865)),0),0)</f>
        <v/>
      </c>
    </row>
    <row r="866">
      <c r="A866" s="53" t="inlineStr">
        <is>
          <t>109770</t>
        </is>
      </c>
      <c r="B866" s="53" t="inlineStr">
        <is>
          <t>Zylinderschraube mit Innensechskant</t>
        </is>
      </c>
      <c r="C866" s="53" t="inlineStr">
        <is>
          <t>G</t>
        </is>
      </c>
      <c r="D866" s="53" t="inlineStr">
        <is>
          <t>KTL</t>
        </is>
      </c>
      <c r="E866" s="53" t="inlineStr">
        <is>
          <t>C</t>
        </is>
      </c>
      <c r="F866" s="54" t="n">
        <v>0.11</v>
      </c>
      <c r="G866" s="55">
        <f>MAX(0,IF(Parameter!$B$20="Jahresanfang 2025 + Export",BG866+BF866,BF866))</f>
        <v/>
      </c>
      <c r="H866" s="55">
        <f>G866*F866</f>
        <v/>
      </c>
      <c r="I866" s="55">
        <f>BI866*Parameter!$B$18</f>
        <v/>
      </c>
      <c r="J866" s="56" t="n">
        <v>196</v>
      </c>
      <c r="K866" s="57" t="n">
        <v>1</v>
      </c>
      <c r="L866" s="55" t="n">
        <v>7</v>
      </c>
      <c r="M866" s="55" t="n">
        <v>195</v>
      </c>
      <c r="N866" s="58" t="n">
        <v>14</v>
      </c>
      <c r="O866" s="53" t="inlineStr">
        <is>
          <t>LOSE</t>
        </is>
      </c>
      <c r="P866" s="55" t="n"/>
      <c r="Q866" s="59">
        <f>IF(BO866=1,0,IFERROR(VLOOKUP(BM866,'Gebinde-Kategorie'!$A$5:$G$45,6,0)+0,0))</f>
        <v/>
      </c>
      <c r="R866" s="60" t="n"/>
      <c r="S866" s="61" t="n"/>
      <c r="T866" s="61" t="n"/>
      <c r="U866" s="53">
        <f>IF(A866="","",IF(IFERROR(VLOOKUP(D866,Parameter!$A$35:$C$64,2,0),"Nein")="2+3",IF(ISNUMBER(SEARCH("grosser Artikel",BJ866)),2,IFERROR(VLOOKUP(BM866,Parameter!$F$35:$G$64,2,0),2)),IF(OR(IFERROR(VLOOKUP(D866,Parameter!$A$35:$C$64,2,0),"Nein")="Nein",IFERROR(VLOOKUP(D866,Parameter!$A$35:$C$64,2,0),"Nein")=""),"-",VLOOKUP(D866,Parameter!$A$35:$C$64,2,0))))</f>
        <v/>
      </c>
      <c r="V866" s="61" t="n"/>
      <c r="W866" s="62" t="n"/>
      <c r="X866" s="55">
        <f>AM866</f>
        <v/>
      </c>
      <c r="Y866" s="55">
        <f>MAX(AM866,G866)</f>
        <v/>
      </c>
      <c r="Z866" s="63" t="n"/>
      <c r="AA866" s="55">
        <f>IF(LEFT(Cockpit!$C$5,1)="A",G866,IF(BT866=1,BU866,IF(LEFT(Cockpit!$C$5,1)="B",AE866,MAX(AE866,G866))))</f>
        <v/>
      </c>
      <c r="AB866" s="55">
        <f>IF(BO866=1,0,ROUNDUP(AA866/BN866,0))</f>
        <v/>
      </c>
      <c r="AC866" s="64">
        <f>IF(BO866=1,IF(AA866&lt;=0,0,BP866*MAX(1,IF(G866&gt;0,AA866/G866,1))),AB866*Q866)</f>
        <v/>
      </c>
      <c r="AD866" s="55">
        <f>AA866*F866</f>
        <v/>
      </c>
      <c r="AE866" s="55">
        <f>ROUNDUP(MAX(I866/IF(BS866&gt;0,BS866,MAX(0.1,N(Cockpit!$C$6))),BV866)/BN866,0)*BN866</f>
        <v/>
      </c>
      <c r="AF866" s="56">
        <f>IF(AC866&gt;0,I866/AC866,-1)</f>
        <v/>
      </c>
      <c r="AG866" s="56">
        <f>IF(AND(OR(BR866="L1",BR866="L23"),AC866&gt;0),SUMIFS($AC$7:$AC$1570,$BR$7:$BR$1570,BR866,$AF$7:$AF$1570,"&gt;"&amp;AF866)+SUMIFS($AC$7:$AC$1570,$BR$7:$BR$1570,BR866,$AF$7:$AF$1570,AF866,$BL$7:$BL$1570,"&lt;="&amp;BL866),"")</f>
        <v/>
      </c>
      <c r="AH866" s="65">
        <f>IF(AG866="",0,MAX(0,MIN(1,(IF(BR866="L1",Parameter!$K$5,Parameter!$K$6+Parameter!$K$7)-(AG866-AC866))/AC866)))</f>
        <v/>
      </c>
      <c r="AI866" s="55">
        <f>IF(LEFT(Cockpit!$I$5,1)="A",G866,IF(BT866=1,BU866,IF(LEFT(Cockpit!$I$5,1)="B",AM866,MAX(AM866,G866))))</f>
        <v/>
      </c>
      <c r="AJ866" s="55">
        <f>IF(BO866=1,0,ROUNDUP(AI866/BN866,0))</f>
        <v/>
      </c>
      <c r="AK866" s="64">
        <f>IF(BO866=1,IF(AI866&lt;=0,0,BP866*MAX(1,IF(G866&gt;0,AI866/G866,1))),AJ866*Q866)</f>
        <v/>
      </c>
      <c r="AL866" s="55">
        <f>AI866*F866</f>
        <v/>
      </c>
      <c r="AM866" s="55">
        <f>ROUNDUP(MAX(I866/IF(BS866&gt;0,BS866,MAX(0.1,N(Cockpit!$I$6))),BV866)/BN866,0)*BN866</f>
        <v/>
      </c>
      <c r="AN866" s="56">
        <f>IF(AK866&gt;0,I866/AK866,-1)</f>
        <v/>
      </c>
      <c r="AO866" s="56">
        <f>IF(AND(OR(BR866="L1",BR866="L23"),AK866&gt;0),SUMIFS($AK$7:$AK$1570,$BR$7:$BR$1570,BR866,$AN$7:$AN$1570,"&gt;"&amp;AN866)+SUMIFS($AK$7:$AK$1570,$BR$7:$BR$1570,BR866,$AN$7:$AN$1570,AN866,$BL$7:$BL$1570,"&lt;="&amp;BL866),"")</f>
        <v/>
      </c>
      <c r="AP866" s="65">
        <f>IF(AO866="",0,MAX(0,MIN(1,(IF(BR866="L1",Parameter!$K$5,Parameter!$K$6+Parameter!$K$7)-(AO866-AK866))/AK866)))</f>
        <v/>
      </c>
      <c r="AQ866" s="55">
        <f>IF(LEFT(Cockpit!$O$5,1)="A",G866,IF(BT866=1,BU866,IF(LEFT(Cockpit!$O$5,1)="B",AU866,MAX(AU866,G866))))</f>
        <v/>
      </c>
      <c r="AR866" s="55">
        <f>IF(BO866=1,0,ROUNDUP(AQ866/BN866,0))</f>
        <v/>
      </c>
      <c r="AS866" s="64">
        <f>IF(BO866=1,IF(AQ866&lt;=0,0,BP866*MAX(1,IF(G866&gt;0,AQ866/G866,1))),AR866*Q866)</f>
        <v/>
      </c>
      <c r="AT866" s="55">
        <f>AQ866*F866</f>
        <v/>
      </c>
      <c r="AU866" s="55">
        <f>ROUNDUP(MAX(I866/IF(BS866&gt;0,BS866,MAX(0.1,N(Cockpit!$O$6))),BV866)/BN866,0)*BN866</f>
        <v/>
      </c>
      <c r="AV866" s="56">
        <f>IF(AS866&gt;0,I866/AS866,-1)</f>
        <v/>
      </c>
      <c r="AW866" s="56">
        <f>IF(AND(OR(BR866="L1",BR866="L23"),AS866&gt;0),SUMIFS($AS$7:$AS$1570,$BR$7:$BR$1570,BR866,$AV$7:$AV$1570,"&gt;"&amp;AV866)+SUMIFS($AS$7:$AS$1570,$BR$7:$BR$1570,BR866,$AV$7:$AV$1570,AV866,$BL$7:$BL$1570,"&lt;="&amp;BL866),"")</f>
        <v/>
      </c>
      <c r="AX866" s="65">
        <f>IF(AW866="",0,MAX(0,MIN(1,(IF(BR866="L1",Parameter!$K$5,Parameter!$K$6+Parameter!$K$7)-(AW866-AS866))/AS866)))</f>
        <v/>
      </c>
      <c r="AY866" s="53">
        <f>IF(AC866&lt;=0,"",IF(BR866="Aussen","Aussenlager",IF(BR866="-","Nicht im Lift",IF(AH866&gt;=1,"Lift",IF(AH866&lt;=0,"Aussenlager","teilweise")))))</f>
        <v/>
      </c>
      <c r="AZ866" s="53">
        <f>IF(AK866&lt;=0,"",IF(BR866="Aussen","Aussenlager",IF(BR866="-","Nicht im Lift",IF(AP866&gt;=1,"Lift",IF(AP866&lt;=0,"Aussenlager","teilweise")))))</f>
        <v/>
      </c>
      <c r="BA866" s="53">
        <f>IF(AS866&lt;=0,"",IF(BR866="Aussen","Aussenlager",IF(BR866="-","Nicht im Lift",IF(AX866&gt;=1,"Lift",IF(AX866&lt;=0,"Aussenlager","teilweise")))))</f>
        <v/>
      </c>
      <c r="BB866" s="53">
        <f>IF(A866="","",IF(BK866=1,"Neu; ","")&amp;IF(AND(BK866=0,BF866&lt;0),"negativer Bestand (Export "&amp;BF866&amp;"); ","")&amp;IF(I866&lt;=0,"Kein Verbrauch; ","")&amp;IF(BO866=1,"Lose – Fläche geschätzt; ","")&amp;IF(G866&gt;AM866,"Überbestand "&amp;ROUND(G866-AM866,0)&amp;" Stk / CHF "&amp;ROUND((G866-AM866)*F866,0)&amp;"; ","")&amp;IF(AND(BT866=1,BU866&lt;BV866),"MAX &lt; MB+LG; ","")&amp;IF(AND(BZ866&gt;0,BY866*10&gt;BZ866),"zu hoch für Tablar; ","")&amp;IF(AND(BK866=0,OR(BT866=1,V866&lt;&gt;"",S866&lt;&gt;"",T866&lt;&gt;"",W866&lt;&gt;"")),"manuell übersteuert; ","")&amp;IF(AND(BO866=0,Q866=0),"Gebinde unbekannt; ","")&amp;IF(AND(BO866=0,N(T866)&lt;=0,N(P866)&lt;=0),"Menge pro Gebinde fehlt (Ist = 1 Gebinde); ","")&amp;BJ866)</f>
        <v/>
      </c>
      <c r="BC866" s="53" t="n"/>
      <c r="BD866" s="53" t="n"/>
      <c r="BE866" s="61" t="n"/>
      <c r="BF866" s="55" t="n">
        <v>-196</v>
      </c>
      <c r="BG866" s="55" t="n">
        <v>392</v>
      </c>
      <c r="BH866" s="54" t="n">
        <v>-21.56</v>
      </c>
      <c r="BI866" s="55" t="n">
        <v>196</v>
      </c>
      <c r="BJ866" s="53" t="inlineStr"/>
      <c r="BK866" s="58" t="n">
        <v>0</v>
      </c>
      <c r="BL866" s="58" t="n">
        <v>866</v>
      </c>
      <c r="BM866" s="53">
        <f>IF(S866&lt;&gt;"",UPPER(TRIM(S866)),IF(O866="","LOSE",O866))</f>
        <v/>
      </c>
      <c r="BN866" s="55">
        <f>IF(BM866="LOSE",1,IF(N(T866)&gt;0,T866,IF(N(P866)&gt;0,P866,MAX(1,G866))))</f>
        <v/>
      </c>
      <c r="BO866" s="58">
        <f>IF(BM866="LOSE",1,0)</f>
        <v/>
      </c>
      <c r="BP866" s="64">
        <f>IF(BO866=0,0,IF(N(R866)&gt;0,R866,IFERROR(VLOOKUP(D866,Parameter!$A$35:$C$64,3,0)+0,0)))</f>
        <v/>
      </c>
      <c r="BQ866" s="53">
        <f>IF(V866&lt;&gt;"",V866,U866)</f>
        <v/>
      </c>
      <c r="BR866" s="53">
        <f>IF(BQ866=1,"L1",IF(OR(BQ866=2,BQ866=3),"L23",IF(BQ866="Aussen","Aussen","-")))</f>
        <v/>
      </c>
      <c r="BS866" s="66">
        <f>IF(N(W866)&gt;0,W866,0)</f>
        <v/>
      </c>
      <c r="BT866" s="58">
        <f>IF(ISNUMBER(Z866),1,0)</f>
        <v/>
      </c>
      <c r="BU866" s="55">
        <f>N(Z866)</f>
        <v/>
      </c>
      <c r="BV866" s="55">
        <f>N(L866)+N(M866)</f>
        <v/>
      </c>
      <c r="BW866" s="55">
        <f>ROUNDUP(G866/BN866,0)</f>
        <v/>
      </c>
      <c r="BX866" s="55">
        <f>ROUNDUP(BU866/BN866,0)</f>
        <v/>
      </c>
      <c r="BY866" s="58">
        <f>IF(BO866=1,0,IFERROR(VLOOKUP(BM866,'Gebinde-Kategorie'!$A$5:$G$45,5,0)+0,0))</f>
        <v/>
      </c>
      <c r="BZ866" s="58">
        <f>IFERROR(IF(OR(BQ866=1,BQ866=2,BQ866=3),N(INDEX(Parameter!$I$5:$I$7,BQ866)),0),0)</f>
        <v/>
      </c>
    </row>
    <row r="867">
      <c r="A867" s="53" t="inlineStr">
        <is>
          <t>106945</t>
        </is>
      </c>
      <c r="B867" s="53" t="inlineStr">
        <is>
          <t>Busmodul für X20 SafeIO Module</t>
        </is>
      </c>
      <c r="C867" s="53" t="inlineStr">
        <is>
          <t>F</t>
        </is>
      </c>
      <c r="D867" s="53" t="inlineStr">
        <is>
          <t>KTL</t>
        </is>
      </c>
      <c r="E867" s="53" t="inlineStr">
        <is>
          <t>C</t>
        </is>
      </c>
      <c r="F867" s="54" t="n">
        <v>10.9</v>
      </c>
      <c r="G867" s="55">
        <f>MAX(0,IF(Parameter!$B$20="Jahresanfang 2025 + Export",BG867+BF867,BF867))</f>
        <v/>
      </c>
      <c r="H867" s="55">
        <f>G867*F867</f>
        <v/>
      </c>
      <c r="I867" s="55">
        <f>BI867*Parameter!$B$18</f>
        <v/>
      </c>
      <c r="J867" s="56" t="n">
        <v>55</v>
      </c>
      <c r="K867" s="57" t="n">
        <v>0.01818181818181818</v>
      </c>
      <c r="L867" s="55" t="n">
        <v>0</v>
      </c>
      <c r="M867" s="55" t="n">
        <v>1</v>
      </c>
      <c r="N867" s="58" t="n">
        <v>70</v>
      </c>
      <c r="O867" s="53" t="inlineStr">
        <is>
          <t>S51</t>
        </is>
      </c>
      <c r="P867" s="55" t="n">
        <v>54</v>
      </c>
      <c r="Q867" s="59">
        <f>IF(BO867=1,0,IFERROR(VLOOKUP(BM867,'Gebinde-Kategorie'!$A$5:$G$45,6,0)+0,0))</f>
        <v/>
      </c>
      <c r="R867" s="60" t="n"/>
      <c r="S867" s="61" t="n"/>
      <c r="T867" s="61" t="n"/>
      <c r="U867" s="53">
        <f>IF(A867="","",IF(IFERROR(VLOOKUP(D867,Parameter!$A$35:$C$64,2,0),"Nein")="2+3",IF(ISNUMBER(SEARCH("grosser Artikel",BJ867)),2,IFERROR(VLOOKUP(BM867,Parameter!$F$35:$G$64,2,0),2)),IF(OR(IFERROR(VLOOKUP(D867,Parameter!$A$35:$C$64,2,0),"Nein")="Nein",IFERROR(VLOOKUP(D867,Parameter!$A$35:$C$64,2,0),"Nein")=""),"-",VLOOKUP(D867,Parameter!$A$35:$C$64,2,0))))</f>
        <v/>
      </c>
      <c r="V867" s="61" t="n"/>
      <c r="W867" s="62" t="n"/>
      <c r="X867" s="55">
        <f>AM867</f>
        <v/>
      </c>
      <c r="Y867" s="55">
        <f>MAX(AM867,G867)</f>
        <v/>
      </c>
      <c r="Z867" s="63" t="n"/>
      <c r="AA867" s="55">
        <f>IF(LEFT(Cockpit!$C$5,1)="A",G867,IF(BT867=1,BU867,IF(LEFT(Cockpit!$C$5,1)="B",AE867,MAX(AE867,G867))))</f>
        <v/>
      </c>
      <c r="AB867" s="55">
        <f>IF(BO867=1,0,ROUNDUP(AA867/BN867,0))</f>
        <v/>
      </c>
      <c r="AC867" s="64">
        <f>IF(BO867=1,IF(AA867&lt;=0,0,BP867*MAX(1,IF(G867&gt;0,AA867/G867,1))),AB867*Q867)</f>
        <v/>
      </c>
      <c r="AD867" s="55">
        <f>AA867*F867</f>
        <v/>
      </c>
      <c r="AE867" s="55">
        <f>ROUNDUP(MAX(I867/IF(BS867&gt;0,BS867,MAX(0.1,N(Cockpit!$C$6))),BV867)/BN867,0)*BN867</f>
        <v/>
      </c>
      <c r="AF867" s="56">
        <f>IF(AC867&gt;0,I867/AC867,-1)</f>
        <v/>
      </c>
      <c r="AG867" s="56">
        <f>IF(AND(OR(BR867="L1",BR867="L23"),AC867&gt;0),SUMIFS($AC$7:$AC$1570,$BR$7:$BR$1570,BR867,$AF$7:$AF$1570,"&gt;"&amp;AF867)+SUMIFS($AC$7:$AC$1570,$BR$7:$BR$1570,BR867,$AF$7:$AF$1570,AF867,$BL$7:$BL$1570,"&lt;="&amp;BL867),"")</f>
        <v/>
      </c>
      <c r="AH867" s="65">
        <f>IF(AG867="",0,MAX(0,MIN(1,(IF(BR867="L1",Parameter!$K$5,Parameter!$K$6+Parameter!$K$7)-(AG867-AC867))/AC867)))</f>
        <v/>
      </c>
      <c r="AI867" s="55">
        <f>IF(LEFT(Cockpit!$I$5,1)="A",G867,IF(BT867=1,BU867,IF(LEFT(Cockpit!$I$5,1)="B",AM867,MAX(AM867,G867))))</f>
        <v/>
      </c>
      <c r="AJ867" s="55">
        <f>IF(BO867=1,0,ROUNDUP(AI867/BN867,0))</f>
        <v/>
      </c>
      <c r="AK867" s="64">
        <f>IF(BO867=1,IF(AI867&lt;=0,0,BP867*MAX(1,IF(G867&gt;0,AI867/G867,1))),AJ867*Q867)</f>
        <v/>
      </c>
      <c r="AL867" s="55">
        <f>AI867*F867</f>
        <v/>
      </c>
      <c r="AM867" s="55">
        <f>ROUNDUP(MAX(I867/IF(BS867&gt;0,BS867,MAX(0.1,N(Cockpit!$I$6))),BV867)/BN867,0)*BN867</f>
        <v/>
      </c>
      <c r="AN867" s="56">
        <f>IF(AK867&gt;0,I867/AK867,-1)</f>
        <v/>
      </c>
      <c r="AO867" s="56">
        <f>IF(AND(OR(BR867="L1",BR867="L23"),AK867&gt;0),SUMIFS($AK$7:$AK$1570,$BR$7:$BR$1570,BR867,$AN$7:$AN$1570,"&gt;"&amp;AN867)+SUMIFS($AK$7:$AK$1570,$BR$7:$BR$1570,BR867,$AN$7:$AN$1570,AN867,$BL$7:$BL$1570,"&lt;="&amp;BL867),"")</f>
        <v/>
      </c>
      <c r="AP867" s="65">
        <f>IF(AO867="",0,MAX(0,MIN(1,(IF(BR867="L1",Parameter!$K$5,Parameter!$K$6+Parameter!$K$7)-(AO867-AK867))/AK867)))</f>
        <v/>
      </c>
      <c r="AQ867" s="55">
        <f>IF(LEFT(Cockpit!$O$5,1)="A",G867,IF(BT867=1,BU867,IF(LEFT(Cockpit!$O$5,1)="B",AU867,MAX(AU867,G867))))</f>
        <v/>
      </c>
      <c r="AR867" s="55">
        <f>IF(BO867=1,0,ROUNDUP(AQ867/BN867,0))</f>
        <v/>
      </c>
      <c r="AS867" s="64">
        <f>IF(BO867=1,IF(AQ867&lt;=0,0,BP867*MAX(1,IF(G867&gt;0,AQ867/G867,1))),AR867*Q867)</f>
        <v/>
      </c>
      <c r="AT867" s="55">
        <f>AQ867*F867</f>
        <v/>
      </c>
      <c r="AU867" s="55">
        <f>ROUNDUP(MAX(I867/IF(BS867&gt;0,BS867,MAX(0.1,N(Cockpit!$O$6))),BV867)/BN867,0)*BN867</f>
        <v/>
      </c>
      <c r="AV867" s="56">
        <f>IF(AS867&gt;0,I867/AS867,-1)</f>
        <v/>
      </c>
      <c r="AW867" s="56">
        <f>IF(AND(OR(BR867="L1",BR867="L23"),AS867&gt;0),SUMIFS($AS$7:$AS$1570,$BR$7:$BR$1570,BR867,$AV$7:$AV$1570,"&gt;"&amp;AV867)+SUMIFS($AS$7:$AS$1570,$BR$7:$BR$1570,BR867,$AV$7:$AV$1570,AV867,$BL$7:$BL$1570,"&lt;="&amp;BL867),"")</f>
        <v/>
      </c>
      <c r="AX867" s="65">
        <f>IF(AW867="",0,MAX(0,MIN(1,(IF(BR867="L1",Parameter!$K$5,Parameter!$K$6+Parameter!$K$7)-(AW867-AS867))/AS867)))</f>
        <v/>
      </c>
      <c r="AY867" s="53">
        <f>IF(AC867&lt;=0,"",IF(BR867="Aussen","Aussenlager",IF(BR867="-","Nicht im Lift",IF(AH867&gt;=1,"Lift",IF(AH867&lt;=0,"Aussenlager","teilweise")))))</f>
        <v/>
      </c>
      <c r="AZ867" s="53">
        <f>IF(AK867&lt;=0,"",IF(BR867="Aussen","Aussenlager",IF(BR867="-","Nicht im Lift",IF(AP867&gt;=1,"Lift",IF(AP867&lt;=0,"Aussenlager","teilweise")))))</f>
        <v/>
      </c>
      <c r="BA867" s="53">
        <f>IF(AS867&lt;=0,"",IF(BR867="Aussen","Aussenlager",IF(BR867="-","Nicht im Lift",IF(AX867&gt;=1,"Lift",IF(AX867&lt;=0,"Aussenlager","teilweise")))))</f>
        <v/>
      </c>
      <c r="BB867" s="53">
        <f>IF(A867="","",IF(BK867=1,"Neu; ","")&amp;IF(AND(BK867=0,BF867&lt;0),"negativer Bestand (Export "&amp;BF867&amp;"); ","")&amp;IF(I867&lt;=0,"Kein Verbrauch; ","")&amp;IF(BO867=1,"Lose – Fläche geschätzt; ","")&amp;IF(G867&gt;AM867,"Überbestand "&amp;ROUND(G867-AM867,0)&amp;" Stk / CHF "&amp;ROUND((G867-AM867)*F867,0)&amp;"; ","")&amp;IF(AND(BT867=1,BU867&lt;BV867),"MAX &lt; MB+LG; ","")&amp;IF(AND(BZ867&gt;0,BY867*10&gt;BZ867),"zu hoch für Tablar; ","")&amp;IF(AND(BK867=0,OR(BT867=1,V867&lt;&gt;"",S867&lt;&gt;"",T867&lt;&gt;"",W867&lt;&gt;"")),"manuell übersteuert; ","")&amp;IF(AND(BO867=0,Q867=0),"Gebinde unbekannt; ","")&amp;IF(AND(BO867=0,N(T867)&lt;=0,N(P867)&lt;=0),"Menge pro Gebinde fehlt (Ist = 1 Gebinde); ","")&amp;BJ867)</f>
        <v/>
      </c>
      <c r="BC867" s="53" t="n"/>
      <c r="BD867" s="53" t="n"/>
      <c r="BE867" s="61" t="n"/>
      <c r="BF867" s="55" t="n">
        <v>-2</v>
      </c>
      <c r="BG867" s="55" t="n">
        <v>56</v>
      </c>
      <c r="BH867" s="54" t="n">
        <v>-21.8</v>
      </c>
      <c r="BI867" s="55" t="n">
        <v>1</v>
      </c>
      <c r="BJ867" s="53" t="inlineStr">
        <is>
          <t>i.o</t>
        </is>
      </c>
      <c r="BK867" s="58" t="n">
        <v>0</v>
      </c>
      <c r="BL867" s="58" t="n">
        <v>867</v>
      </c>
      <c r="BM867" s="53">
        <f>IF(S867&lt;&gt;"",UPPER(TRIM(S867)),IF(O867="","LOSE",O867))</f>
        <v/>
      </c>
      <c r="BN867" s="55">
        <f>IF(BM867="LOSE",1,IF(N(T867)&gt;0,T867,IF(N(P867)&gt;0,P867,MAX(1,G867))))</f>
        <v/>
      </c>
      <c r="BO867" s="58">
        <f>IF(BM867="LOSE",1,0)</f>
        <v/>
      </c>
      <c r="BP867" s="64">
        <f>IF(BO867=0,0,IF(N(R867)&gt;0,R867,IFERROR(VLOOKUP(D867,Parameter!$A$35:$C$64,3,0)+0,0)))</f>
        <v/>
      </c>
      <c r="BQ867" s="53">
        <f>IF(V867&lt;&gt;"",V867,U867)</f>
        <v/>
      </c>
      <c r="BR867" s="53">
        <f>IF(BQ867=1,"L1",IF(OR(BQ867=2,BQ867=3),"L23",IF(BQ867="Aussen","Aussen","-")))</f>
        <v/>
      </c>
      <c r="BS867" s="66">
        <f>IF(N(W867)&gt;0,W867,0)</f>
        <v/>
      </c>
      <c r="BT867" s="58">
        <f>IF(ISNUMBER(Z867),1,0)</f>
        <v/>
      </c>
      <c r="BU867" s="55">
        <f>N(Z867)</f>
        <v/>
      </c>
      <c r="BV867" s="55">
        <f>N(L867)+N(M867)</f>
        <v/>
      </c>
      <c r="BW867" s="55">
        <f>ROUNDUP(G867/BN867,0)</f>
        <v/>
      </c>
      <c r="BX867" s="55">
        <f>ROUNDUP(BU867/BN867,0)</f>
        <v/>
      </c>
      <c r="BY867" s="58">
        <f>IF(BO867=1,0,IFERROR(VLOOKUP(BM867,'Gebinde-Kategorie'!$A$5:$G$45,5,0)+0,0))</f>
        <v/>
      </c>
      <c r="BZ867" s="58">
        <f>IFERROR(IF(OR(BQ867=1,BQ867=2,BQ867=3),N(INDEX(Parameter!$I$5:$I$7,BQ867)),0),0)</f>
        <v/>
      </c>
    </row>
    <row r="868">
      <c r="A868" s="53" t="inlineStr">
        <is>
          <t>002007</t>
        </is>
      </c>
      <c r="B868" s="53" t="inlineStr">
        <is>
          <t>Wasserpumpenzange</t>
        </is>
      </c>
      <c r="C868" s="53" t="inlineStr">
        <is>
          <t>F</t>
        </is>
      </c>
      <c r="D868" s="53" t="inlineStr">
        <is>
          <t>KTL</t>
        </is>
      </c>
      <c r="E868" s="53" t="inlineStr">
        <is>
          <t>C</t>
        </is>
      </c>
      <c r="F868" s="54" t="n">
        <v>39.04</v>
      </c>
      <c r="G868" s="55">
        <f>MAX(0,IF(Parameter!$B$20="Jahresanfang 2025 + Export",BG868+BF868,BF868))</f>
        <v/>
      </c>
      <c r="H868" s="55">
        <f>G868*F868</f>
        <v/>
      </c>
      <c r="I868" s="55">
        <f>BI868*Parameter!$B$18</f>
        <v/>
      </c>
      <c r="J868" s="56" t="n">
        <v>5</v>
      </c>
      <c r="K868" s="57" t="n">
        <v>1.2</v>
      </c>
      <c r="L868" s="55" t="n">
        <v>0</v>
      </c>
      <c r="M868" s="55" t="n">
        <v>5</v>
      </c>
      <c r="N868" s="58" t="n">
        <v>21</v>
      </c>
      <c r="O868" s="53" t="inlineStr">
        <is>
          <t>S33</t>
        </is>
      </c>
      <c r="P868" s="55" t="n">
        <v>10</v>
      </c>
      <c r="Q868" s="59">
        <f>IF(BO868=1,0,IFERROR(VLOOKUP(BM868,'Gebinde-Kategorie'!$A$5:$G$45,6,0)+0,0))</f>
        <v/>
      </c>
      <c r="R868" s="60" t="n"/>
      <c r="S868" s="61" t="n"/>
      <c r="T868" s="61" t="n"/>
      <c r="U868" s="53">
        <f>IF(A868="","",IF(IFERROR(VLOOKUP(D868,Parameter!$A$35:$C$64,2,0),"Nein")="2+3",IF(ISNUMBER(SEARCH("grosser Artikel",BJ868)),2,IFERROR(VLOOKUP(BM868,Parameter!$F$35:$G$64,2,0),2)),IF(OR(IFERROR(VLOOKUP(D868,Parameter!$A$35:$C$64,2,0),"Nein")="Nein",IFERROR(VLOOKUP(D868,Parameter!$A$35:$C$64,2,0),"Nein")=""),"-",VLOOKUP(D868,Parameter!$A$35:$C$64,2,0))))</f>
        <v/>
      </c>
      <c r="V868" s="61" t="n"/>
      <c r="W868" s="62" t="n"/>
      <c r="X868" s="55">
        <f>AM868</f>
        <v/>
      </c>
      <c r="Y868" s="55">
        <f>MAX(AM868,G868)</f>
        <v/>
      </c>
      <c r="Z868" s="63" t="n"/>
      <c r="AA868" s="55">
        <f>IF(LEFT(Cockpit!$C$5,1)="A",G868,IF(BT868=1,BU868,IF(LEFT(Cockpit!$C$5,1)="B",AE868,MAX(AE868,G868))))</f>
        <v/>
      </c>
      <c r="AB868" s="55">
        <f>IF(BO868=1,0,ROUNDUP(AA868/BN868,0))</f>
        <v/>
      </c>
      <c r="AC868" s="64">
        <f>IF(BO868=1,IF(AA868&lt;=0,0,BP868*MAX(1,IF(G868&gt;0,AA868/G868,1))),AB868*Q868)</f>
        <v/>
      </c>
      <c r="AD868" s="55">
        <f>AA868*F868</f>
        <v/>
      </c>
      <c r="AE868" s="55">
        <f>ROUNDUP(MAX(I868/IF(BS868&gt;0,BS868,MAX(0.1,N(Cockpit!$C$6))),BV868)/BN868,0)*BN868</f>
        <v/>
      </c>
      <c r="AF868" s="56">
        <f>IF(AC868&gt;0,I868/AC868,-1)</f>
        <v/>
      </c>
      <c r="AG868" s="56">
        <f>IF(AND(OR(BR868="L1",BR868="L23"),AC868&gt;0),SUMIFS($AC$7:$AC$1570,$BR$7:$BR$1570,BR868,$AF$7:$AF$1570,"&gt;"&amp;AF868)+SUMIFS($AC$7:$AC$1570,$BR$7:$BR$1570,BR868,$AF$7:$AF$1570,AF868,$BL$7:$BL$1570,"&lt;="&amp;BL868),"")</f>
        <v/>
      </c>
      <c r="AH868" s="65">
        <f>IF(AG868="",0,MAX(0,MIN(1,(IF(BR868="L1",Parameter!$K$5,Parameter!$K$6+Parameter!$K$7)-(AG868-AC868))/AC868)))</f>
        <v/>
      </c>
      <c r="AI868" s="55">
        <f>IF(LEFT(Cockpit!$I$5,1)="A",G868,IF(BT868=1,BU868,IF(LEFT(Cockpit!$I$5,1)="B",AM868,MAX(AM868,G868))))</f>
        <v/>
      </c>
      <c r="AJ868" s="55">
        <f>IF(BO868=1,0,ROUNDUP(AI868/BN868,0))</f>
        <v/>
      </c>
      <c r="AK868" s="64">
        <f>IF(BO868=1,IF(AI868&lt;=0,0,BP868*MAX(1,IF(G868&gt;0,AI868/G868,1))),AJ868*Q868)</f>
        <v/>
      </c>
      <c r="AL868" s="55">
        <f>AI868*F868</f>
        <v/>
      </c>
      <c r="AM868" s="55">
        <f>ROUNDUP(MAX(I868/IF(BS868&gt;0,BS868,MAX(0.1,N(Cockpit!$I$6))),BV868)/BN868,0)*BN868</f>
        <v/>
      </c>
      <c r="AN868" s="56">
        <f>IF(AK868&gt;0,I868/AK868,-1)</f>
        <v/>
      </c>
      <c r="AO868" s="56">
        <f>IF(AND(OR(BR868="L1",BR868="L23"),AK868&gt;0),SUMIFS($AK$7:$AK$1570,$BR$7:$BR$1570,BR868,$AN$7:$AN$1570,"&gt;"&amp;AN868)+SUMIFS($AK$7:$AK$1570,$BR$7:$BR$1570,BR868,$AN$7:$AN$1570,AN868,$BL$7:$BL$1570,"&lt;="&amp;BL868),"")</f>
        <v/>
      </c>
      <c r="AP868" s="65">
        <f>IF(AO868="",0,MAX(0,MIN(1,(IF(BR868="L1",Parameter!$K$5,Parameter!$K$6+Parameter!$K$7)-(AO868-AK868))/AK868)))</f>
        <v/>
      </c>
      <c r="AQ868" s="55">
        <f>IF(LEFT(Cockpit!$O$5,1)="A",G868,IF(BT868=1,BU868,IF(LEFT(Cockpit!$O$5,1)="B",AU868,MAX(AU868,G868))))</f>
        <v/>
      </c>
      <c r="AR868" s="55">
        <f>IF(BO868=1,0,ROUNDUP(AQ868/BN868,0))</f>
        <v/>
      </c>
      <c r="AS868" s="64">
        <f>IF(BO868=1,IF(AQ868&lt;=0,0,BP868*MAX(1,IF(G868&gt;0,AQ868/G868,1))),AR868*Q868)</f>
        <v/>
      </c>
      <c r="AT868" s="55">
        <f>AQ868*F868</f>
        <v/>
      </c>
      <c r="AU868" s="55">
        <f>ROUNDUP(MAX(I868/IF(BS868&gt;0,BS868,MAX(0.1,N(Cockpit!$O$6))),BV868)/BN868,0)*BN868</f>
        <v/>
      </c>
      <c r="AV868" s="56">
        <f>IF(AS868&gt;0,I868/AS868,-1)</f>
        <v/>
      </c>
      <c r="AW868" s="56">
        <f>IF(AND(OR(BR868="L1",BR868="L23"),AS868&gt;0),SUMIFS($AS$7:$AS$1570,$BR$7:$BR$1570,BR868,$AV$7:$AV$1570,"&gt;"&amp;AV868)+SUMIFS($AS$7:$AS$1570,$BR$7:$BR$1570,BR868,$AV$7:$AV$1570,AV868,$BL$7:$BL$1570,"&lt;="&amp;BL868),"")</f>
        <v/>
      </c>
      <c r="AX868" s="65">
        <f>IF(AW868="",0,MAX(0,MIN(1,(IF(BR868="L1",Parameter!$K$5,Parameter!$K$6+Parameter!$K$7)-(AW868-AS868))/AS868)))</f>
        <v/>
      </c>
      <c r="AY868" s="53">
        <f>IF(AC868&lt;=0,"",IF(BR868="Aussen","Aussenlager",IF(BR868="-","Nicht im Lift",IF(AH868&gt;=1,"Lift",IF(AH868&lt;=0,"Aussenlager","teilweise")))))</f>
        <v/>
      </c>
      <c r="AZ868" s="53">
        <f>IF(AK868&lt;=0,"",IF(BR868="Aussen","Aussenlager",IF(BR868="-","Nicht im Lift",IF(AP868&gt;=1,"Lift",IF(AP868&lt;=0,"Aussenlager","teilweise")))))</f>
        <v/>
      </c>
      <c r="BA868" s="53">
        <f>IF(AS868&lt;=0,"",IF(BR868="Aussen","Aussenlager",IF(BR868="-","Nicht im Lift",IF(AX868&gt;=1,"Lift",IF(AX868&lt;=0,"Aussenlager","teilweise")))))</f>
        <v/>
      </c>
      <c r="BB868" s="53">
        <f>IF(A868="","",IF(BK868=1,"Neu; ","")&amp;IF(AND(BK868=0,BF868&lt;0),"negativer Bestand (Export "&amp;BF868&amp;"); ","")&amp;IF(I868&lt;=0,"Kein Verbrauch; ","")&amp;IF(BO868=1,"Lose – Fläche geschätzt; ","")&amp;IF(G868&gt;AM868,"Überbestand "&amp;ROUND(G868-AM868,0)&amp;" Stk / CHF "&amp;ROUND((G868-AM868)*F868,0)&amp;"; ","")&amp;IF(AND(BT868=1,BU868&lt;BV868),"MAX &lt; MB+LG; ","")&amp;IF(AND(BZ868&gt;0,BY868*10&gt;BZ868),"zu hoch für Tablar; ","")&amp;IF(AND(BK868=0,OR(BT868=1,V868&lt;&gt;"",S868&lt;&gt;"",T868&lt;&gt;"",W868&lt;&gt;"")),"manuell übersteuert; ","")&amp;IF(AND(BO868=0,Q868=0),"Gebinde unbekannt; ","")&amp;IF(AND(BO868=0,N(T868)&lt;=0,N(P868)&lt;=0),"Menge pro Gebinde fehlt (Ist = 1 Gebinde); ","")&amp;BJ868)</f>
        <v/>
      </c>
      <c r="BC868" s="53" t="n"/>
      <c r="BD868" s="53" t="n"/>
      <c r="BE868" s="61" t="n"/>
      <c r="BF868" s="55" t="n">
        <v>-1</v>
      </c>
      <c r="BG868" s="55" t="n">
        <v>3</v>
      </c>
      <c r="BH868" s="54" t="n">
        <v>-21.88</v>
      </c>
      <c r="BI868" s="55" t="n">
        <v>6</v>
      </c>
      <c r="BJ868" s="53" t="inlineStr"/>
      <c r="BK868" s="58" t="n">
        <v>0</v>
      </c>
      <c r="BL868" s="58" t="n">
        <v>868</v>
      </c>
      <c r="BM868" s="53">
        <f>IF(S868&lt;&gt;"",UPPER(TRIM(S868)),IF(O868="","LOSE",O868))</f>
        <v/>
      </c>
      <c r="BN868" s="55">
        <f>IF(BM868="LOSE",1,IF(N(T868)&gt;0,T868,IF(N(P868)&gt;0,P868,MAX(1,G868))))</f>
        <v/>
      </c>
      <c r="BO868" s="58">
        <f>IF(BM868="LOSE",1,0)</f>
        <v/>
      </c>
      <c r="BP868" s="64">
        <f>IF(BO868=0,0,IF(N(R868)&gt;0,R868,IFERROR(VLOOKUP(D868,Parameter!$A$35:$C$64,3,0)+0,0)))</f>
        <v/>
      </c>
      <c r="BQ868" s="53">
        <f>IF(V868&lt;&gt;"",V868,U868)</f>
        <v/>
      </c>
      <c r="BR868" s="53">
        <f>IF(BQ868=1,"L1",IF(OR(BQ868=2,BQ868=3),"L23",IF(BQ868="Aussen","Aussen","-")))</f>
        <v/>
      </c>
      <c r="BS868" s="66">
        <f>IF(N(W868)&gt;0,W868,0)</f>
        <v/>
      </c>
      <c r="BT868" s="58">
        <f>IF(ISNUMBER(Z868),1,0)</f>
        <v/>
      </c>
      <c r="BU868" s="55">
        <f>N(Z868)</f>
        <v/>
      </c>
      <c r="BV868" s="55">
        <f>N(L868)+N(M868)</f>
        <v/>
      </c>
      <c r="BW868" s="55">
        <f>ROUNDUP(G868/BN868,0)</f>
        <v/>
      </c>
      <c r="BX868" s="55">
        <f>ROUNDUP(BU868/BN868,0)</f>
        <v/>
      </c>
      <c r="BY868" s="58">
        <f>IF(BO868=1,0,IFERROR(VLOOKUP(BM868,'Gebinde-Kategorie'!$A$5:$G$45,5,0)+0,0))</f>
        <v/>
      </c>
      <c r="BZ868" s="58">
        <f>IFERROR(IF(OR(BQ868=1,BQ868=2,BQ868=3),N(INDEX(Parameter!$I$5:$I$7,BQ868)),0),0)</f>
        <v/>
      </c>
    </row>
    <row r="869">
      <c r="A869" s="53" t="inlineStr">
        <is>
          <t>109612</t>
        </is>
      </c>
      <c r="B869" s="53" t="inlineStr">
        <is>
          <t>Blende</t>
        </is>
      </c>
      <c r="C869" s="53" t="inlineStr">
        <is>
          <t>F</t>
        </is>
      </c>
      <c r="D869" s="53" t="inlineStr">
        <is>
          <t>KTL</t>
        </is>
      </c>
      <c r="E869" s="53" t="inlineStr">
        <is>
          <t>C</t>
        </is>
      </c>
      <c r="F869" s="54" t="n">
        <v>2.2</v>
      </c>
      <c r="G869" s="55">
        <f>MAX(0,IF(Parameter!$B$20="Jahresanfang 2025 + Export",BG869+BF869,BF869))</f>
        <v/>
      </c>
      <c r="H869" s="55">
        <f>G869*F869</f>
        <v/>
      </c>
      <c r="I869" s="55">
        <f>BI869*Parameter!$B$18</f>
        <v/>
      </c>
      <c r="J869" s="56" t="n">
        <v>21.5</v>
      </c>
      <c r="K869" s="57" t="n">
        <v>0.04651162790697674</v>
      </c>
      <c r="L869" s="55" t="n">
        <v>0</v>
      </c>
      <c r="M869" s="55" t="n">
        <v>1</v>
      </c>
      <c r="N869" s="58" t="n">
        <v>14</v>
      </c>
      <c r="O869" s="53" t="inlineStr">
        <is>
          <t>S21</t>
        </is>
      </c>
      <c r="P869" s="55" t="n">
        <v>22</v>
      </c>
      <c r="Q869" s="59">
        <f>IF(BO869=1,0,IFERROR(VLOOKUP(BM869,'Gebinde-Kategorie'!$A$5:$G$45,6,0)+0,0))</f>
        <v/>
      </c>
      <c r="R869" s="60" t="n"/>
      <c r="S869" s="61" t="n"/>
      <c r="T869" s="61" t="n"/>
      <c r="U869" s="53">
        <f>IF(A869="","",IF(IFERROR(VLOOKUP(D869,Parameter!$A$35:$C$64,2,0),"Nein")="2+3",IF(ISNUMBER(SEARCH("grosser Artikel",BJ869)),2,IFERROR(VLOOKUP(BM869,Parameter!$F$35:$G$64,2,0),2)),IF(OR(IFERROR(VLOOKUP(D869,Parameter!$A$35:$C$64,2,0),"Nein")="Nein",IFERROR(VLOOKUP(D869,Parameter!$A$35:$C$64,2,0),"Nein")=""),"-",VLOOKUP(D869,Parameter!$A$35:$C$64,2,0))))</f>
        <v/>
      </c>
      <c r="V869" s="61" t="n"/>
      <c r="W869" s="62" t="n"/>
      <c r="X869" s="55">
        <f>AM869</f>
        <v/>
      </c>
      <c r="Y869" s="55">
        <f>MAX(AM869,G869)</f>
        <v/>
      </c>
      <c r="Z869" s="63" t="n"/>
      <c r="AA869" s="55">
        <f>IF(LEFT(Cockpit!$C$5,1)="A",G869,IF(BT869=1,BU869,IF(LEFT(Cockpit!$C$5,1)="B",AE869,MAX(AE869,G869))))</f>
        <v/>
      </c>
      <c r="AB869" s="55">
        <f>IF(BO869=1,0,ROUNDUP(AA869/BN869,0))</f>
        <v/>
      </c>
      <c r="AC869" s="64">
        <f>IF(BO869=1,IF(AA869&lt;=0,0,BP869*MAX(1,IF(G869&gt;0,AA869/G869,1))),AB869*Q869)</f>
        <v/>
      </c>
      <c r="AD869" s="55">
        <f>AA869*F869</f>
        <v/>
      </c>
      <c r="AE869" s="55">
        <f>ROUNDUP(MAX(I869/IF(BS869&gt;0,BS869,MAX(0.1,N(Cockpit!$C$6))),BV869)/BN869,0)*BN869</f>
        <v/>
      </c>
      <c r="AF869" s="56">
        <f>IF(AC869&gt;0,I869/AC869,-1)</f>
        <v/>
      </c>
      <c r="AG869" s="56">
        <f>IF(AND(OR(BR869="L1",BR869="L23"),AC869&gt;0),SUMIFS($AC$7:$AC$1570,$BR$7:$BR$1570,BR869,$AF$7:$AF$1570,"&gt;"&amp;AF869)+SUMIFS($AC$7:$AC$1570,$BR$7:$BR$1570,BR869,$AF$7:$AF$1570,AF869,$BL$7:$BL$1570,"&lt;="&amp;BL869),"")</f>
        <v/>
      </c>
      <c r="AH869" s="65">
        <f>IF(AG869="",0,MAX(0,MIN(1,(IF(BR869="L1",Parameter!$K$5,Parameter!$K$6+Parameter!$K$7)-(AG869-AC869))/AC869)))</f>
        <v/>
      </c>
      <c r="AI869" s="55">
        <f>IF(LEFT(Cockpit!$I$5,1)="A",G869,IF(BT869=1,BU869,IF(LEFT(Cockpit!$I$5,1)="B",AM869,MAX(AM869,G869))))</f>
        <v/>
      </c>
      <c r="AJ869" s="55">
        <f>IF(BO869=1,0,ROUNDUP(AI869/BN869,0))</f>
        <v/>
      </c>
      <c r="AK869" s="64">
        <f>IF(BO869=1,IF(AI869&lt;=0,0,BP869*MAX(1,IF(G869&gt;0,AI869/G869,1))),AJ869*Q869)</f>
        <v/>
      </c>
      <c r="AL869" s="55">
        <f>AI869*F869</f>
        <v/>
      </c>
      <c r="AM869" s="55">
        <f>ROUNDUP(MAX(I869/IF(BS869&gt;0,BS869,MAX(0.1,N(Cockpit!$I$6))),BV869)/BN869,0)*BN869</f>
        <v/>
      </c>
      <c r="AN869" s="56">
        <f>IF(AK869&gt;0,I869/AK869,-1)</f>
        <v/>
      </c>
      <c r="AO869" s="56">
        <f>IF(AND(OR(BR869="L1",BR869="L23"),AK869&gt;0),SUMIFS($AK$7:$AK$1570,$BR$7:$BR$1570,BR869,$AN$7:$AN$1570,"&gt;"&amp;AN869)+SUMIFS($AK$7:$AK$1570,$BR$7:$BR$1570,BR869,$AN$7:$AN$1570,AN869,$BL$7:$BL$1570,"&lt;="&amp;BL869),"")</f>
        <v/>
      </c>
      <c r="AP869" s="65">
        <f>IF(AO869="",0,MAX(0,MIN(1,(IF(BR869="L1",Parameter!$K$5,Parameter!$K$6+Parameter!$K$7)-(AO869-AK869))/AK869)))</f>
        <v/>
      </c>
      <c r="AQ869" s="55">
        <f>IF(LEFT(Cockpit!$O$5,1)="A",G869,IF(BT869=1,BU869,IF(LEFT(Cockpit!$O$5,1)="B",AU869,MAX(AU869,G869))))</f>
        <v/>
      </c>
      <c r="AR869" s="55">
        <f>IF(BO869=1,0,ROUNDUP(AQ869/BN869,0))</f>
        <v/>
      </c>
      <c r="AS869" s="64">
        <f>IF(BO869=1,IF(AQ869&lt;=0,0,BP869*MAX(1,IF(G869&gt;0,AQ869/G869,1))),AR869*Q869)</f>
        <v/>
      </c>
      <c r="AT869" s="55">
        <f>AQ869*F869</f>
        <v/>
      </c>
      <c r="AU869" s="55">
        <f>ROUNDUP(MAX(I869/IF(BS869&gt;0,BS869,MAX(0.1,N(Cockpit!$O$6))),BV869)/BN869,0)*BN869</f>
        <v/>
      </c>
      <c r="AV869" s="56">
        <f>IF(AS869&gt;0,I869/AS869,-1)</f>
        <v/>
      </c>
      <c r="AW869" s="56">
        <f>IF(AND(OR(BR869="L1",BR869="L23"),AS869&gt;0),SUMIFS($AS$7:$AS$1570,$BR$7:$BR$1570,BR869,$AV$7:$AV$1570,"&gt;"&amp;AV869)+SUMIFS($AS$7:$AS$1570,$BR$7:$BR$1570,BR869,$AV$7:$AV$1570,AV869,$BL$7:$BL$1570,"&lt;="&amp;BL869),"")</f>
        <v/>
      </c>
      <c r="AX869" s="65">
        <f>IF(AW869="",0,MAX(0,MIN(1,(IF(BR869="L1",Parameter!$K$5,Parameter!$K$6+Parameter!$K$7)-(AW869-AS869))/AS869)))</f>
        <v/>
      </c>
      <c r="AY869" s="53">
        <f>IF(AC869&lt;=0,"",IF(BR869="Aussen","Aussenlager",IF(BR869="-","Nicht im Lift",IF(AH869&gt;=1,"Lift",IF(AH869&lt;=0,"Aussenlager","teilweise")))))</f>
        <v/>
      </c>
      <c r="AZ869" s="53">
        <f>IF(AK869&lt;=0,"",IF(BR869="Aussen","Aussenlager",IF(BR869="-","Nicht im Lift",IF(AP869&gt;=1,"Lift",IF(AP869&lt;=0,"Aussenlager","teilweise")))))</f>
        <v/>
      </c>
      <c r="BA869" s="53">
        <f>IF(AS869&lt;=0,"",IF(BR869="Aussen","Aussenlager",IF(BR869="-","Nicht im Lift",IF(AX869&gt;=1,"Lift",IF(AX869&lt;=0,"Aussenlager","teilweise")))))</f>
        <v/>
      </c>
      <c r="BB869" s="53">
        <f>IF(A869="","",IF(BK869=1,"Neu; ","")&amp;IF(AND(BK869=0,BF869&lt;0),"negativer Bestand (Export "&amp;BF869&amp;"); ","")&amp;IF(I869&lt;=0,"Kein Verbrauch; ","")&amp;IF(BO869=1,"Lose – Fläche geschätzt; ","")&amp;IF(G869&gt;AM869,"Überbestand "&amp;ROUND(G869-AM869,0)&amp;" Stk / CHF "&amp;ROUND((G869-AM869)*F869,0)&amp;"; ","")&amp;IF(AND(BT869=1,BU869&lt;BV869),"MAX &lt; MB+LG; ","")&amp;IF(AND(BZ869&gt;0,BY869*10&gt;BZ869),"zu hoch für Tablar; ","")&amp;IF(AND(BK869=0,OR(BT869=1,V869&lt;&gt;"",S869&lt;&gt;"",T869&lt;&gt;"",W869&lt;&gt;"")),"manuell übersteuert; ","")&amp;IF(AND(BO869=0,Q869=0),"Gebinde unbekannt; ","")&amp;IF(AND(BO869=0,N(T869)&lt;=0,N(P869)&lt;=0),"Menge pro Gebinde fehlt (Ist = 1 Gebinde); ","")&amp;BJ869)</f>
        <v/>
      </c>
      <c r="BC869" s="53" t="n"/>
      <c r="BD869" s="53" t="n"/>
      <c r="BE869" s="61" t="n"/>
      <c r="BF869" s="55" t="n">
        <v>-10</v>
      </c>
      <c r="BG869" s="55" t="n">
        <v>22</v>
      </c>
      <c r="BH869" s="54" t="n">
        <v>-22</v>
      </c>
      <c r="BI869" s="55" t="n">
        <v>1</v>
      </c>
      <c r="BJ869" s="53" t="inlineStr"/>
      <c r="BK869" s="58" t="n">
        <v>0</v>
      </c>
      <c r="BL869" s="58" t="n">
        <v>869</v>
      </c>
      <c r="BM869" s="53">
        <f>IF(S869&lt;&gt;"",UPPER(TRIM(S869)),IF(O869="","LOSE",O869))</f>
        <v/>
      </c>
      <c r="BN869" s="55">
        <f>IF(BM869="LOSE",1,IF(N(T869)&gt;0,T869,IF(N(P869)&gt;0,P869,MAX(1,G869))))</f>
        <v/>
      </c>
      <c r="BO869" s="58">
        <f>IF(BM869="LOSE",1,0)</f>
        <v/>
      </c>
      <c r="BP869" s="64">
        <f>IF(BO869=0,0,IF(N(R869)&gt;0,R869,IFERROR(VLOOKUP(D869,Parameter!$A$35:$C$64,3,0)+0,0)))</f>
        <v/>
      </c>
      <c r="BQ869" s="53">
        <f>IF(V869&lt;&gt;"",V869,U869)</f>
        <v/>
      </c>
      <c r="BR869" s="53">
        <f>IF(BQ869=1,"L1",IF(OR(BQ869=2,BQ869=3),"L23",IF(BQ869="Aussen","Aussen","-")))</f>
        <v/>
      </c>
      <c r="BS869" s="66">
        <f>IF(N(W869)&gt;0,W869,0)</f>
        <v/>
      </c>
      <c r="BT869" s="58">
        <f>IF(ISNUMBER(Z869),1,0)</f>
        <v/>
      </c>
      <c r="BU869" s="55">
        <f>N(Z869)</f>
        <v/>
      </c>
      <c r="BV869" s="55">
        <f>N(L869)+N(M869)</f>
        <v/>
      </c>
      <c r="BW869" s="55">
        <f>ROUNDUP(G869/BN869,0)</f>
        <v/>
      </c>
      <c r="BX869" s="55">
        <f>ROUNDUP(BU869/BN869,0)</f>
        <v/>
      </c>
      <c r="BY869" s="58">
        <f>IF(BO869=1,0,IFERROR(VLOOKUP(BM869,'Gebinde-Kategorie'!$A$5:$G$45,5,0)+0,0))</f>
        <v/>
      </c>
      <c r="BZ869" s="58">
        <f>IFERROR(IF(OR(BQ869=1,BQ869=2,BQ869=3),N(INDEX(Parameter!$I$5:$I$7,BQ869)),0),0)</f>
        <v/>
      </c>
    </row>
    <row r="870">
      <c r="A870" s="53" t="inlineStr">
        <is>
          <t>109319</t>
        </is>
      </c>
      <c r="B870" s="53" t="inlineStr">
        <is>
          <t>Leuchtdrucktaster</t>
        </is>
      </c>
      <c r="C870" s="53" t="inlineStr">
        <is>
          <t>F</t>
        </is>
      </c>
      <c r="D870" s="53" t="inlineStr">
        <is>
          <t>KTL</t>
        </is>
      </c>
      <c r="E870" s="53" t="inlineStr">
        <is>
          <t>C</t>
        </is>
      </c>
      <c r="F870" s="54" t="n">
        <v>7.13</v>
      </c>
      <c r="G870" s="55">
        <f>MAX(0,IF(Parameter!$B$20="Jahresanfang 2025 + Export",BG870+BF870,BF870))</f>
        <v/>
      </c>
      <c r="H870" s="55">
        <f>G870*F870</f>
        <v/>
      </c>
      <c r="I870" s="55">
        <f>BI870*Parameter!$B$18</f>
        <v/>
      </c>
      <c r="J870" s="56" t="n">
        <v>3</v>
      </c>
      <c r="K870" s="57" t="n">
        <v>1</v>
      </c>
      <c r="L870" s="55" t="n">
        <v>0</v>
      </c>
      <c r="M870" s="55" t="n">
        <v>5</v>
      </c>
      <c r="N870" s="58" t="n">
        <v>28</v>
      </c>
      <c r="O870" s="53" t="inlineStr">
        <is>
          <t>LOSE</t>
        </is>
      </c>
      <c r="P870" s="55" t="n"/>
      <c r="Q870" s="59">
        <f>IF(BO870=1,0,IFERROR(VLOOKUP(BM870,'Gebinde-Kategorie'!$A$5:$G$45,6,0)+0,0))</f>
        <v/>
      </c>
      <c r="R870" s="60" t="n"/>
      <c r="S870" s="61" t="n"/>
      <c r="T870" s="61" t="n"/>
      <c r="U870" s="53">
        <f>IF(A870="","",IF(IFERROR(VLOOKUP(D870,Parameter!$A$35:$C$64,2,0),"Nein")="2+3",IF(ISNUMBER(SEARCH("grosser Artikel",BJ870)),2,IFERROR(VLOOKUP(BM870,Parameter!$F$35:$G$64,2,0),2)),IF(OR(IFERROR(VLOOKUP(D870,Parameter!$A$35:$C$64,2,0),"Nein")="Nein",IFERROR(VLOOKUP(D870,Parameter!$A$35:$C$64,2,0),"Nein")=""),"-",VLOOKUP(D870,Parameter!$A$35:$C$64,2,0))))</f>
        <v/>
      </c>
      <c r="V870" s="61" t="n"/>
      <c r="W870" s="62" t="n"/>
      <c r="X870" s="55">
        <f>AM870</f>
        <v/>
      </c>
      <c r="Y870" s="55">
        <f>MAX(AM870,G870)</f>
        <v/>
      </c>
      <c r="Z870" s="63" t="n"/>
      <c r="AA870" s="55">
        <f>IF(LEFT(Cockpit!$C$5,1)="A",G870,IF(BT870=1,BU870,IF(LEFT(Cockpit!$C$5,1)="B",AE870,MAX(AE870,G870))))</f>
        <v/>
      </c>
      <c r="AB870" s="55">
        <f>IF(BO870=1,0,ROUNDUP(AA870/BN870,0))</f>
        <v/>
      </c>
      <c r="AC870" s="64">
        <f>IF(BO870=1,IF(AA870&lt;=0,0,BP870*MAX(1,IF(G870&gt;0,AA870/G870,1))),AB870*Q870)</f>
        <v/>
      </c>
      <c r="AD870" s="55">
        <f>AA870*F870</f>
        <v/>
      </c>
      <c r="AE870" s="55">
        <f>ROUNDUP(MAX(I870/IF(BS870&gt;0,BS870,MAX(0.1,N(Cockpit!$C$6))),BV870)/BN870,0)*BN870</f>
        <v/>
      </c>
      <c r="AF870" s="56">
        <f>IF(AC870&gt;0,I870/AC870,-1)</f>
        <v/>
      </c>
      <c r="AG870" s="56">
        <f>IF(AND(OR(BR870="L1",BR870="L23"),AC870&gt;0),SUMIFS($AC$7:$AC$1570,$BR$7:$BR$1570,BR870,$AF$7:$AF$1570,"&gt;"&amp;AF870)+SUMIFS($AC$7:$AC$1570,$BR$7:$BR$1570,BR870,$AF$7:$AF$1570,AF870,$BL$7:$BL$1570,"&lt;="&amp;BL870),"")</f>
        <v/>
      </c>
      <c r="AH870" s="65">
        <f>IF(AG870="",0,MAX(0,MIN(1,(IF(BR870="L1",Parameter!$K$5,Parameter!$K$6+Parameter!$K$7)-(AG870-AC870))/AC870)))</f>
        <v/>
      </c>
      <c r="AI870" s="55">
        <f>IF(LEFT(Cockpit!$I$5,1)="A",G870,IF(BT870=1,BU870,IF(LEFT(Cockpit!$I$5,1)="B",AM870,MAX(AM870,G870))))</f>
        <v/>
      </c>
      <c r="AJ870" s="55">
        <f>IF(BO870=1,0,ROUNDUP(AI870/BN870,0))</f>
        <v/>
      </c>
      <c r="AK870" s="64">
        <f>IF(BO870=1,IF(AI870&lt;=0,0,BP870*MAX(1,IF(G870&gt;0,AI870/G870,1))),AJ870*Q870)</f>
        <v/>
      </c>
      <c r="AL870" s="55">
        <f>AI870*F870</f>
        <v/>
      </c>
      <c r="AM870" s="55">
        <f>ROUNDUP(MAX(I870/IF(BS870&gt;0,BS870,MAX(0.1,N(Cockpit!$I$6))),BV870)/BN870,0)*BN870</f>
        <v/>
      </c>
      <c r="AN870" s="56">
        <f>IF(AK870&gt;0,I870/AK870,-1)</f>
        <v/>
      </c>
      <c r="AO870" s="56">
        <f>IF(AND(OR(BR870="L1",BR870="L23"),AK870&gt;0),SUMIFS($AK$7:$AK$1570,$BR$7:$BR$1570,BR870,$AN$7:$AN$1570,"&gt;"&amp;AN870)+SUMIFS($AK$7:$AK$1570,$BR$7:$BR$1570,BR870,$AN$7:$AN$1570,AN870,$BL$7:$BL$1570,"&lt;="&amp;BL870),"")</f>
        <v/>
      </c>
      <c r="AP870" s="65">
        <f>IF(AO870="",0,MAX(0,MIN(1,(IF(BR870="L1",Parameter!$K$5,Parameter!$K$6+Parameter!$K$7)-(AO870-AK870))/AK870)))</f>
        <v/>
      </c>
      <c r="AQ870" s="55">
        <f>IF(LEFT(Cockpit!$O$5,1)="A",G870,IF(BT870=1,BU870,IF(LEFT(Cockpit!$O$5,1)="B",AU870,MAX(AU870,G870))))</f>
        <v/>
      </c>
      <c r="AR870" s="55">
        <f>IF(BO870=1,0,ROUNDUP(AQ870/BN870,0))</f>
        <v/>
      </c>
      <c r="AS870" s="64">
        <f>IF(BO870=1,IF(AQ870&lt;=0,0,BP870*MAX(1,IF(G870&gt;0,AQ870/G870,1))),AR870*Q870)</f>
        <v/>
      </c>
      <c r="AT870" s="55">
        <f>AQ870*F870</f>
        <v/>
      </c>
      <c r="AU870" s="55">
        <f>ROUNDUP(MAX(I870/IF(BS870&gt;0,BS870,MAX(0.1,N(Cockpit!$O$6))),BV870)/BN870,0)*BN870</f>
        <v/>
      </c>
      <c r="AV870" s="56">
        <f>IF(AS870&gt;0,I870/AS870,-1)</f>
        <v/>
      </c>
      <c r="AW870" s="56">
        <f>IF(AND(OR(BR870="L1",BR870="L23"),AS870&gt;0),SUMIFS($AS$7:$AS$1570,$BR$7:$BR$1570,BR870,$AV$7:$AV$1570,"&gt;"&amp;AV870)+SUMIFS($AS$7:$AS$1570,$BR$7:$BR$1570,BR870,$AV$7:$AV$1570,AV870,$BL$7:$BL$1570,"&lt;="&amp;BL870),"")</f>
        <v/>
      </c>
      <c r="AX870" s="65">
        <f>IF(AW870="",0,MAX(0,MIN(1,(IF(BR870="L1",Parameter!$K$5,Parameter!$K$6+Parameter!$K$7)-(AW870-AS870))/AS870)))</f>
        <v/>
      </c>
      <c r="AY870" s="53">
        <f>IF(AC870&lt;=0,"",IF(BR870="Aussen","Aussenlager",IF(BR870="-","Nicht im Lift",IF(AH870&gt;=1,"Lift",IF(AH870&lt;=0,"Aussenlager","teilweise")))))</f>
        <v/>
      </c>
      <c r="AZ870" s="53">
        <f>IF(AK870&lt;=0,"",IF(BR870="Aussen","Aussenlager",IF(BR870="-","Nicht im Lift",IF(AP870&gt;=1,"Lift",IF(AP870&lt;=0,"Aussenlager","teilweise")))))</f>
        <v/>
      </c>
      <c r="BA870" s="53">
        <f>IF(AS870&lt;=0,"",IF(BR870="Aussen","Aussenlager",IF(BR870="-","Nicht im Lift",IF(AX870&gt;=1,"Lift",IF(AX870&lt;=0,"Aussenlager","teilweise")))))</f>
        <v/>
      </c>
      <c r="BB870" s="53">
        <f>IF(A870="","",IF(BK870=1,"Neu; ","")&amp;IF(AND(BK870=0,BF870&lt;0),"negativer Bestand (Export "&amp;BF870&amp;"); ","")&amp;IF(I870&lt;=0,"Kein Verbrauch; ","")&amp;IF(BO870=1,"Lose – Fläche geschätzt; ","")&amp;IF(G870&gt;AM870,"Überbestand "&amp;ROUND(G870-AM870,0)&amp;" Stk / CHF "&amp;ROUND((G870-AM870)*F870,0)&amp;"; ","")&amp;IF(AND(BT870=1,BU870&lt;BV870),"MAX &lt; MB+LG; ","")&amp;IF(AND(BZ870&gt;0,BY870*10&gt;BZ870),"zu hoch für Tablar; ","")&amp;IF(AND(BK870=0,OR(BT870=1,V870&lt;&gt;"",S870&lt;&gt;"",T870&lt;&gt;"",W870&lt;&gt;"")),"manuell übersteuert; ","")&amp;IF(AND(BO870=0,Q870=0),"Gebinde unbekannt; ","")&amp;IF(AND(BO870=0,N(T870)&lt;=0,N(P870)&lt;=0),"Menge pro Gebinde fehlt (Ist = 1 Gebinde); ","")&amp;BJ870)</f>
        <v/>
      </c>
      <c r="BC870" s="53" t="n"/>
      <c r="BD870" s="53" t="n"/>
      <c r="BE870" s="61" t="n"/>
      <c r="BF870" s="55" t="n">
        <v>-2</v>
      </c>
      <c r="BG870" s="55" t="n">
        <v>3</v>
      </c>
      <c r="BH870" s="54" t="n">
        <v>-22.45</v>
      </c>
      <c r="BI870" s="55" t="n">
        <v>3</v>
      </c>
      <c r="BJ870" s="53" t="inlineStr"/>
      <c r="BK870" s="58" t="n">
        <v>0</v>
      </c>
      <c r="BL870" s="58" t="n">
        <v>870</v>
      </c>
      <c r="BM870" s="53">
        <f>IF(S870&lt;&gt;"",UPPER(TRIM(S870)),IF(O870="","LOSE",O870))</f>
        <v/>
      </c>
      <c r="BN870" s="55">
        <f>IF(BM870="LOSE",1,IF(N(T870)&gt;0,T870,IF(N(P870)&gt;0,P870,MAX(1,G870))))</f>
        <v/>
      </c>
      <c r="BO870" s="58">
        <f>IF(BM870="LOSE",1,0)</f>
        <v/>
      </c>
      <c r="BP870" s="64">
        <f>IF(BO870=0,0,IF(N(R870)&gt;0,R870,IFERROR(VLOOKUP(D870,Parameter!$A$35:$C$64,3,0)+0,0)))</f>
        <v/>
      </c>
      <c r="BQ870" s="53">
        <f>IF(V870&lt;&gt;"",V870,U870)</f>
        <v/>
      </c>
      <c r="BR870" s="53">
        <f>IF(BQ870=1,"L1",IF(OR(BQ870=2,BQ870=3),"L23",IF(BQ870="Aussen","Aussen","-")))</f>
        <v/>
      </c>
      <c r="BS870" s="66">
        <f>IF(N(W870)&gt;0,W870,0)</f>
        <v/>
      </c>
      <c r="BT870" s="58">
        <f>IF(ISNUMBER(Z870),1,0)</f>
        <v/>
      </c>
      <c r="BU870" s="55">
        <f>N(Z870)</f>
        <v/>
      </c>
      <c r="BV870" s="55">
        <f>N(L870)+N(M870)</f>
        <v/>
      </c>
      <c r="BW870" s="55">
        <f>ROUNDUP(G870/BN870,0)</f>
        <v/>
      </c>
      <c r="BX870" s="55">
        <f>ROUNDUP(BU870/BN870,0)</f>
        <v/>
      </c>
      <c r="BY870" s="58">
        <f>IF(BO870=1,0,IFERROR(VLOOKUP(BM870,'Gebinde-Kategorie'!$A$5:$G$45,5,0)+0,0))</f>
        <v/>
      </c>
      <c r="BZ870" s="58">
        <f>IFERROR(IF(OR(BQ870=1,BQ870=2,BQ870=3),N(INDEX(Parameter!$I$5:$I$7,BQ870)),0),0)</f>
        <v/>
      </c>
    </row>
    <row r="871">
      <c r="A871" s="53" t="inlineStr">
        <is>
          <t>101762</t>
        </is>
      </c>
      <c r="B871" s="53" t="inlineStr">
        <is>
          <t>Schäkel</t>
        </is>
      </c>
      <c r="C871" s="53" t="inlineStr">
        <is>
          <t>F</t>
        </is>
      </c>
      <c r="D871" s="53" t="inlineStr">
        <is>
          <t>KTL</t>
        </is>
      </c>
      <c r="E871" s="53" t="inlineStr">
        <is>
          <t>C</t>
        </is>
      </c>
      <c r="F871" s="54" t="n">
        <v>5.66</v>
      </c>
      <c r="G871" s="55">
        <f>MAX(0,IF(Parameter!$B$20="Jahresanfang 2025 + Export",BG871+BF871,BF871))</f>
        <v/>
      </c>
      <c r="H871" s="55">
        <f>G871*F871</f>
        <v/>
      </c>
      <c r="I871" s="55">
        <f>BI871*Parameter!$B$18</f>
        <v/>
      </c>
      <c r="J871" s="56" t="n">
        <v>3</v>
      </c>
      <c r="K871" s="57" t="n">
        <v>0.6666666666666666</v>
      </c>
      <c r="L871" s="55" t="n">
        <v>0</v>
      </c>
      <c r="M871" s="55" t="n">
        <v>1</v>
      </c>
      <c r="N871" s="58" t="n">
        <v>28</v>
      </c>
      <c r="O871" s="53" t="inlineStr">
        <is>
          <t>S22</t>
        </is>
      </c>
      <c r="P871" s="55" t="n">
        <v>5</v>
      </c>
      <c r="Q871" s="59">
        <f>IF(BO871=1,0,IFERROR(VLOOKUP(BM871,'Gebinde-Kategorie'!$A$5:$G$45,6,0)+0,0))</f>
        <v/>
      </c>
      <c r="R871" s="60" t="n"/>
      <c r="S871" s="61" t="n"/>
      <c r="T871" s="61" t="n"/>
      <c r="U871" s="53">
        <f>IF(A871="","",IF(IFERROR(VLOOKUP(D871,Parameter!$A$35:$C$64,2,0),"Nein")="2+3",IF(ISNUMBER(SEARCH("grosser Artikel",BJ871)),2,IFERROR(VLOOKUP(BM871,Parameter!$F$35:$G$64,2,0),2)),IF(OR(IFERROR(VLOOKUP(D871,Parameter!$A$35:$C$64,2,0),"Nein")="Nein",IFERROR(VLOOKUP(D871,Parameter!$A$35:$C$64,2,0),"Nein")=""),"-",VLOOKUP(D871,Parameter!$A$35:$C$64,2,0))))</f>
        <v/>
      </c>
      <c r="V871" s="61" t="n"/>
      <c r="W871" s="62" t="n"/>
      <c r="X871" s="55">
        <f>AM871</f>
        <v/>
      </c>
      <c r="Y871" s="55">
        <f>MAX(AM871,G871)</f>
        <v/>
      </c>
      <c r="Z871" s="63" t="n"/>
      <c r="AA871" s="55">
        <f>IF(LEFT(Cockpit!$C$5,1)="A",G871,IF(BT871=1,BU871,IF(LEFT(Cockpit!$C$5,1)="B",AE871,MAX(AE871,G871))))</f>
        <v/>
      </c>
      <c r="AB871" s="55">
        <f>IF(BO871=1,0,ROUNDUP(AA871/BN871,0))</f>
        <v/>
      </c>
      <c r="AC871" s="64">
        <f>IF(BO871=1,IF(AA871&lt;=0,0,BP871*MAX(1,IF(G871&gt;0,AA871/G871,1))),AB871*Q871)</f>
        <v/>
      </c>
      <c r="AD871" s="55">
        <f>AA871*F871</f>
        <v/>
      </c>
      <c r="AE871" s="55">
        <f>ROUNDUP(MAX(I871/IF(BS871&gt;0,BS871,MAX(0.1,N(Cockpit!$C$6))),BV871)/BN871,0)*BN871</f>
        <v/>
      </c>
      <c r="AF871" s="56">
        <f>IF(AC871&gt;0,I871/AC871,-1)</f>
        <v/>
      </c>
      <c r="AG871" s="56">
        <f>IF(AND(OR(BR871="L1",BR871="L23"),AC871&gt;0),SUMIFS($AC$7:$AC$1570,$BR$7:$BR$1570,BR871,$AF$7:$AF$1570,"&gt;"&amp;AF871)+SUMIFS($AC$7:$AC$1570,$BR$7:$BR$1570,BR871,$AF$7:$AF$1570,AF871,$BL$7:$BL$1570,"&lt;="&amp;BL871),"")</f>
        <v/>
      </c>
      <c r="AH871" s="65">
        <f>IF(AG871="",0,MAX(0,MIN(1,(IF(BR871="L1",Parameter!$K$5,Parameter!$K$6+Parameter!$K$7)-(AG871-AC871))/AC871)))</f>
        <v/>
      </c>
      <c r="AI871" s="55">
        <f>IF(LEFT(Cockpit!$I$5,1)="A",G871,IF(BT871=1,BU871,IF(LEFT(Cockpit!$I$5,1)="B",AM871,MAX(AM871,G871))))</f>
        <v/>
      </c>
      <c r="AJ871" s="55">
        <f>IF(BO871=1,0,ROUNDUP(AI871/BN871,0))</f>
        <v/>
      </c>
      <c r="AK871" s="64">
        <f>IF(BO871=1,IF(AI871&lt;=0,0,BP871*MAX(1,IF(G871&gt;0,AI871/G871,1))),AJ871*Q871)</f>
        <v/>
      </c>
      <c r="AL871" s="55">
        <f>AI871*F871</f>
        <v/>
      </c>
      <c r="AM871" s="55">
        <f>ROUNDUP(MAX(I871/IF(BS871&gt;0,BS871,MAX(0.1,N(Cockpit!$I$6))),BV871)/BN871,0)*BN871</f>
        <v/>
      </c>
      <c r="AN871" s="56">
        <f>IF(AK871&gt;0,I871/AK871,-1)</f>
        <v/>
      </c>
      <c r="AO871" s="56">
        <f>IF(AND(OR(BR871="L1",BR871="L23"),AK871&gt;0),SUMIFS($AK$7:$AK$1570,$BR$7:$BR$1570,BR871,$AN$7:$AN$1570,"&gt;"&amp;AN871)+SUMIFS($AK$7:$AK$1570,$BR$7:$BR$1570,BR871,$AN$7:$AN$1570,AN871,$BL$7:$BL$1570,"&lt;="&amp;BL871),"")</f>
        <v/>
      </c>
      <c r="AP871" s="65">
        <f>IF(AO871="",0,MAX(0,MIN(1,(IF(BR871="L1",Parameter!$K$5,Parameter!$K$6+Parameter!$K$7)-(AO871-AK871))/AK871)))</f>
        <v/>
      </c>
      <c r="AQ871" s="55">
        <f>IF(LEFT(Cockpit!$O$5,1)="A",G871,IF(BT871=1,BU871,IF(LEFT(Cockpit!$O$5,1)="B",AU871,MAX(AU871,G871))))</f>
        <v/>
      </c>
      <c r="AR871" s="55">
        <f>IF(BO871=1,0,ROUNDUP(AQ871/BN871,0))</f>
        <v/>
      </c>
      <c r="AS871" s="64">
        <f>IF(BO871=1,IF(AQ871&lt;=0,0,BP871*MAX(1,IF(G871&gt;0,AQ871/G871,1))),AR871*Q871)</f>
        <v/>
      </c>
      <c r="AT871" s="55">
        <f>AQ871*F871</f>
        <v/>
      </c>
      <c r="AU871" s="55">
        <f>ROUNDUP(MAX(I871/IF(BS871&gt;0,BS871,MAX(0.1,N(Cockpit!$O$6))),BV871)/BN871,0)*BN871</f>
        <v/>
      </c>
      <c r="AV871" s="56">
        <f>IF(AS871&gt;0,I871/AS871,-1)</f>
        <v/>
      </c>
      <c r="AW871" s="56">
        <f>IF(AND(OR(BR871="L1",BR871="L23"),AS871&gt;0),SUMIFS($AS$7:$AS$1570,$BR$7:$BR$1570,BR871,$AV$7:$AV$1570,"&gt;"&amp;AV871)+SUMIFS($AS$7:$AS$1570,$BR$7:$BR$1570,BR871,$AV$7:$AV$1570,AV871,$BL$7:$BL$1570,"&lt;="&amp;BL871),"")</f>
        <v/>
      </c>
      <c r="AX871" s="65">
        <f>IF(AW871="",0,MAX(0,MIN(1,(IF(BR871="L1",Parameter!$K$5,Parameter!$K$6+Parameter!$K$7)-(AW871-AS871))/AS871)))</f>
        <v/>
      </c>
      <c r="AY871" s="53">
        <f>IF(AC871&lt;=0,"",IF(BR871="Aussen","Aussenlager",IF(BR871="-","Nicht im Lift",IF(AH871&gt;=1,"Lift",IF(AH871&lt;=0,"Aussenlager","teilweise")))))</f>
        <v/>
      </c>
      <c r="AZ871" s="53">
        <f>IF(AK871&lt;=0,"",IF(BR871="Aussen","Aussenlager",IF(BR871="-","Nicht im Lift",IF(AP871&gt;=1,"Lift",IF(AP871&lt;=0,"Aussenlager","teilweise")))))</f>
        <v/>
      </c>
      <c r="BA871" s="53">
        <f>IF(AS871&lt;=0,"",IF(BR871="Aussen","Aussenlager",IF(BR871="-","Nicht im Lift",IF(AX871&gt;=1,"Lift",IF(AX871&lt;=0,"Aussenlager","teilweise")))))</f>
        <v/>
      </c>
      <c r="BB871" s="53">
        <f>IF(A871="","",IF(BK871=1,"Neu; ","")&amp;IF(AND(BK871=0,BF871&lt;0),"negativer Bestand (Export "&amp;BF871&amp;"); ","")&amp;IF(I871&lt;=0,"Kein Verbrauch; ","")&amp;IF(BO871=1,"Lose – Fläche geschätzt; ","")&amp;IF(G871&gt;AM871,"Überbestand "&amp;ROUND(G871-AM871,0)&amp;" Stk / CHF "&amp;ROUND((G871-AM871)*F871,0)&amp;"; ","")&amp;IF(AND(BT871=1,BU871&lt;BV871),"MAX &lt; MB+LG; ","")&amp;IF(AND(BZ871&gt;0,BY871*10&gt;BZ871),"zu hoch für Tablar; ","")&amp;IF(AND(BK871=0,OR(BT871=1,V871&lt;&gt;"",S871&lt;&gt;"",T871&lt;&gt;"",W871&lt;&gt;"")),"manuell übersteuert; ","")&amp;IF(AND(BO871=0,Q871=0),"Gebinde unbekannt; ","")&amp;IF(AND(BO871=0,N(T871)&lt;=0,N(P871)&lt;=0),"Menge pro Gebinde fehlt (Ist = 1 Gebinde); ","")&amp;BJ871)</f>
        <v/>
      </c>
      <c r="BC871" s="53" t="n"/>
      <c r="BD871" s="53" t="n"/>
      <c r="BE871" s="61" t="n"/>
      <c r="BF871" s="55" t="n">
        <v>-4</v>
      </c>
      <c r="BG871" s="55" t="n">
        <v>4</v>
      </c>
      <c r="BH871" s="54" t="n">
        <v>-23.48</v>
      </c>
      <c r="BI871" s="55" t="n">
        <v>2</v>
      </c>
      <c r="BJ871" s="53" t="inlineStr"/>
      <c r="BK871" s="58" t="n">
        <v>0</v>
      </c>
      <c r="BL871" s="58" t="n">
        <v>871</v>
      </c>
      <c r="BM871" s="53">
        <f>IF(S871&lt;&gt;"",UPPER(TRIM(S871)),IF(O871="","LOSE",O871))</f>
        <v/>
      </c>
      <c r="BN871" s="55">
        <f>IF(BM871="LOSE",1,IF(N(T871)&gt;0,T871,IF(N(P871)&gt;0,P871,MAX(1,G871))))</f>
        <v/>
      </c>
      <c r="BO871" s="58">
        <f>IF(BM871="LOSE",1,0)</f>
        <v/>
      </c>
      <c r="BP871" s="64">
        <f>IF(BO871=0,0,IF(N(R871)&gt;0,R871,IFERROR(VLOOKUP(D871,Parameter!$A$35:$C$64,3,0)+0,0)))</f>
        <v/>
      </c>
      <c r="BQ871" s="53">
        <f>IF(V871&lt;&gt;"",V871,U871)</f>
        <v/>
      </c>
      <c r="BR871" s="53">
        <f>IF(BQ871=1,"L1",IF(OR(BQ871=2,BQ871=3),"L23",IF(BQ871="Aussen","Aussen","-")))</f>
        <v/>
      </c>
      <c r="BS871" s="66">
        <f>IF(N(W871)&gt;0,W871,0)</f>
        <v/>
      </c>
      <c r="BT871" s="58">
        <f>IF(ISNUMBER(Z871),1,0)</f>
        <v/>
      </c>
      <c r="BU871" s="55">
        <f>N(Z871)</f>
        <v/>
      </c>
      <c r="BV871" s="55">
        <f>N(L871)+N(M871)</f>
        <v/>
      </c>
      <c r="BW871" s="55">
        <f>ROUNDUP(G871/BN871,0)</f>
        <v/>
      </c>
      <c r="BX871" s="55">
        <f>ROUNDUP(BU871/BN871,0)</f>
        <v/>
      </c>
      <c r="BY871" s="58">
        <f>IF(BO871=1,0,IFERROR(VLOOKUP(BM871,'Gebinde-Kategorie'!$A$5:$G$45,5,0)+0,0))</f>
        <v/>
      </c>
      <c r="BZ871" s="58">
        <f>IFERROR(IF(OR(BQ871=1,BQ871=2,BQ871=3),N(INDEX(Parameter!$I$5:$I$7,BQ871)),0),0)</f>
        <v/>
      </c>
    </row>
    <row r="872">
      <c r="A872" s="53" t="inlineStr">
        <is>
          <t>104282</t>
        </is>
      </c>
      <c r="B872" s="53" t="inlineStr">
        <is>
          <t>Blinddeckel</t>
        </is>
      </c>
      <c r="C872" s="53" t="inlineStr">
        <is>
          <t>F</t>
        </is>
      </c>
      <c r="D872" s="53" t="inlineStr">
        <is>
          <t>KTL</t>
        </is>
      </c>
      <c r="E872" s="53" t="inlineStr">
        <is>
          <t>C</t>
        </is>
      </c>
      <c r="F872" s="54" t="n">
        <v>36.4</v>
      </c>
      <c r="G872" s="55">
        <f>MAX(0,IF(Parameter!$B$20="Jahresanfang 2025 + Export",BG872+BF872,BF872))</f>
        <v/>
      </c>
      <c r="H872" s="55">
        <f>G872*F872</f>
        <v/>
      </c>
      <c r="I872" s="55">
        <f>BI872*Parameter!$B$18</f>
        <v/>
      </c>
      <c r="J872" s="56" t="n">
        <v>20.5</v>
      </c>
      <c r="K872" s="57" t="n">
        <v>3.51219512195122</v>
      </c>
      <c r="L872" s="55" t="n">
        <v>10</v>
      </c>
      <c r="M872" s="55" t="n">
        <v>70</v>
      </c>
      <c r="N872" s="58" t="n">
        <v>50</v>
      </c>
      <c r="O872" s="53" t="inlineStr">
        <is>
          <t>S62</t>
        </is>
      </c>
      <c r="P872" s="55" t="n">
        <v>45</v>
      </c>
      <c r="Q872" s="59">
        <f>IF(BO872=1,0,IFERROR(VLOOKUP(BM872,'Gebinde-Kategorie'!$A$5:$G$45,6,0)+0,0))</f>
        <v/>
      </c>
      <c r="R872" s="60" t="n"/>
      <c r="S872" s="61" t="n"/>
      <c r="T872" s="61" t="n"/>
      <c r="U872" s="53">
        <f>IF(A872="","",IF(IFERROR(VLOOKUP(D872,Parameter!$A$35:$C$64,2,0),"Nein")="2+3",IF(ISNUMBER(SEARCH("grosser Artikel",BJ872)),2,IFERROR(VLOOKUP(BM872,Parameter!$F$35:$G$64,2,0),2)),IF(OR(IFERROR(VLOOKUP(D872,Parameter!$A$35:$C$64,2,0),"Nein")="Nein",IFERROR(VLOOKUP(D872,Parameter!$A$35:$C$64,2,0),"Nein")=""),"-",VLOOKUP(D872,Parameter!$A$35:$C$64,2,0))))</f>
        <v/>
      </c>
      <c r="V872" s="61" t="n"/>
      <c r="W872" s="62" t="n"/>
      <c r="X872" s="55">
        <f>AM872</f>
        <v/>
      </c>
      <c r="Y872" s="55">
        <f>MAX(AM872,G872)</f>
        <v/>
      </c>
      <c r="Z872" s="63" t="n"/>
      <c r="AA872" s="55">
        <f>IF(LEFT(Cockpit!$C$5,1)="A",G872,IF(BT872=1,BU872,IF(LEFT(Cockpit!$C$5,1)="B",AE872,MAX(AE872,G872))))</f>
        <v/>
      </c>
      <c r="AB872" s="55">
        <f>IF(BO872=1,0,ROUNDUP(AA872/BN872,0))</f>
        <v/>
      </c>
      <c r="AC872" s="64">
        <f>IF(BO872=1,IF(AA872&lt;=0,0,BP872*MAX(1,IF(G872&gt;0,AA872/G872,1))),AB872*Q872)</f>
        <v/>
      </c>
      <c r="AD872" s="55">
        <f>AA872*F872</f>
        <v/>
      </c>
      <c r="AE872" s="55">
        <f>ROUNDUP(MAX(I872/IF(BS872&gt;0,BS872,MAX(0.1,N(Cockpit!$C$6))),BV872)/BN872,0)*BN872</f>
        <v/>
      </c>
      <c r="AF872" s="56">
        <f>IF(AC872&gt;0,I872/AC872,-1)</f>
        <v/>
      </c>
      <c r="AG872" s="56">
        <f>IF(AND(OR(BR872="L1",BR872="L23"),AC872&gt;0),SUMIFS($AC$7:$AC$1570,$BR$7:$BR$1570,BR872,$AF$7:$AF$1570,"&gt;"&amp;AF872)+SUMIFS($AC$7:$AC$1570,$BR$7:$BR$1570,BR872,$AF$7:$AF$1570,AF872,$BL$7:$BL$1570,"&lt;="&amp;BL872),"")</f>
        <v/>
      </c>
      <c r="AH872" s="65">
        <f>IF(AG872="",0,MAX(0,MIN(1,(IF(BR872="L1",Parameter!$K$5,Parameter!$K$6+Parameter!$K$7)-(AG872-AC872))/AC872)))</f>
        <v/>
      </c>
      <c r="AI872" s="55">
        <f>IF(LEFT(Cockpit!$I$5,1)="A",G872,IF(BT872=1,BU872,IF(LEFT(Cockpit!$I$5,1)="B",AM872,MAX(AM872,G872))))</f>
        <v/>
      </c>
      <c r="AJ872" s="55">
        <f>IF(BO872=1,0,ROUNDUP(AI872/BN872,0))</f>
        <v/>
      </c>
      <c r="AK872" s="64">
        <f>IF(BO872=1,IF(AI872&lt;=0,0,BP872*MAX(1,IF(G872&gt;0,AI872/G872,1))),AJ872*Q872)</f>
        <v/>
      </c>
      <c r="AL872" s="55">
        <f>AI872*F872</f>
        <v/>
      </c>
      <c r="AM872" s="55">
        <f>ROUNDUP(MAX(I872/IF(BS872&gt;0,BS872,MAX(0.1,N(Cockpit!$I$6))),BV872)/BN872,0)*BN872</f>
        <v/>
      </c>
      <c r="AN872" s="56">
        <f>IF(AK872&gt;0,I872/AK872,-1)</f>
        <v/>
      </c>
      <c r="AO872" s="56">
        <f>IF(AND(OR(BR872="L1",BR872="L23"),AK872&gt;0),SUMIFS($AK$7:$AK$1570,$BR$7:$BR$1570,BR872,$AN$7:$AN$1570,"&gt;"&amp;AN872)+SUMIFS($AK$7:$AK$1570,$BR$7:$BR$1570,BR872,$AN$7:$AN$1570,AN872,$BL$7:$BL$1570,"&lt;="&amp;BL872),"")</f>
        <v/>
      </c>
      <c r="AP872" s="65">
        <f>IF(AO872="",0,MAX(0,MIN(1,(IF(BR872="L1",Parameter!$K$5,Parameter!$K$6+Parameter!$K$7)-(AO872-AK872))/AK872)))</f>
        <v/>
      </c>
      <c r="AQ872" s="55">
        <f>IF(LEFT(Cockpit!$O$5,1)="A",G872,IF(BT872=1,BU872,IF(LEFT(Cockpit!$O$5,1)="B",AU872,MAX(AU872,G872))))</f>
        <v/>
      </c>
      <c r="AR872" s="55">
        <f>IF(BO872=1,0,ROUNDUP(AQ872/BN872,0))</f>
        <v/>
      </c>
      <c r="AS872" s="64">
        <f>IF(BO872=1,IF(AQ872&lt;=0,0,BP872*MAX(1,IF(G872&gt;0,AQ872/G872,1))),AR872*Q872)</f>
        <v/>
      </c>
      <c r="AT872" s="55">
        <f>AQ872*F872</f>
        <v/>
      </c>
      <c r="AU872" s="55">
        <f>ROUNDUP(MAX(I872/IF(BS872&gt;0,BS872,MAX(0.1,N(Cockpit!$O$6))),BV872)/BN872,0)*BN872</f>
        <v/>
      </c>
      <c r="AV872" s="56">
        <f>IF(AS872&gt;0,I872/AS872,-1)</f>
        <v/>
      </c>
      <c r="AW872" s="56">
        <f>IF(AND(OR(BR872="L1",BR872="L23"),AS872&gt;0),SUMIFS($AS$7:$AS$1570,$BR$7:$BR$1570,BR872,$AV$7:$AV$1570,"&gt;"&amp;AV872)+SUMIFS($AS$7:$AS$1570,$BR$7:$BR$1570,BR872,$AV$7:$AV$1570,AV872,$BL$7:$BL$1570,"&lt;="&amp;BL872),"")</f>
        <v/>
      </c>
      <c r="AX872" s="65">
        <f>IF(AW872="",0,MAX(0,MIN(1,(IF(BR872="L1",Parameter!$K$5,Parameter!$K$6+Parameter!$K$7)-(AW872-AS872))/AS872)))</f>
        <v/>
      </c>
      <c r="AY872" s="53">
        <f>IF(AC872&lt;=0,"",IF(BR872="Aussen","Aussenlager",IF(BR872="-","Nicht im Lift",IF(AH872&gt;=1,"Lift",IF(AH872&lt;=0,"Aussenlager","teilweise")))))</f>
        <v/>
      </c>
      <c r="AZ872" s="53">
        <f>IF(AK872&lt;=0,"",IF(BR872="Aussen","Aussenlager",IF(BR872="-","Nicht im Lift",IF(AP872&gt;=1,"Lift",IF(AP872&lt;=0,"Aussenlager","teilweise")))))</f>
        <v/>
      </c>
      <c r="BA872" s="53">
        <f>IF(AS872&lt;=0,"",IF(BR872="Aussen","Aussenlager",IF(BR872="-","Nicht im Lift",IF(AX872&gt;=1,"Lift",IF(AX872&lt;=0,"Aussenlager","teilweise")))))</f>
        <v/>
      </c>
      <c r="BB872" s="53">
        <f>IF(A872="","",IF(BK872=1,"Neu; ","")&amp;IF(AND(BK872=0,BF872&lt;0),"negativer Bestand (Export "&amp;BF872&amp;"); ","")&amp;IF(I872&lt;=0,"Kein Verbrauch; ","")&amp;IF(BO872=1,"Lose – Fläche geschätzt; ","")&amp;IF(G872&gt;AM872,"Überbestand "&amp;ROUND(G872-AM872,0)&amp;" Stk / CHF "&amp;ROUND((G872-AM872)*F872,0)&amp;"; ","")&amp;IF(AND(BT872=1,BU872&lt;BV872),"MAX &lt; MB+LG; ","")&amp;IF(AND(BZ872&gt;0,BY872*10&gt;BZ872),"zu hoch für Tablar; ","")&amp;IF(AND(BK872=0,OR(BT872=1,V872&lt;&gt;"",S872&lt;&gt;"",T872&lt;&gt;"",W872&lt;&gt;"")),"manuell übersteuert; ","")&amp;IF(AND(BO872=0,Q872=0),"Gebinde unbekannt; ","")&amp;IF(AND(BO872=0,N(T872)&lt;=0,N(P872)&lt;=0),"Menge pro Gebinde fehlt (Ist = 1 Gebinde); ","")&amp;BJ872)</f>
        <v/>
      </c>
      <c r="BC872" s="53" t="n"/>
      <c r="BD872" s="53" t="n"/>
      <c r="BE872" s="61" t="n"/>
      <c r="BF872" s="55" t="n">
        <v>14</v>
      </c>
      <c r="BG872" s="55" t="n">
        <v>26</v>
      </c>
      <c r="BH872" s="54" t="n">
        <v>-23.92000000000166</v>
      </c>
      <c r="BI872" s="55" t="n">
        <v>72</v>
      </c>
      <c r="BJ872" s="53" t="inlineStr"/>
      <c r="BK872" s="58" t="n">
        <v>0</v>
      </c>
      <c r="BL872" s="58" t="n">
        <v>872</v>
      </c>
      <c r="BM872" s="53">
        <f>IF(S872&lt;&gt;"",UPPER(TRIM(S872)),IF(O872="","LOSE",O872))</f>
        <v/>
      </c>
      <c r="BN872" s="55">
        <f>IF(BM872="LOSE",1,IF(N(T872)&gt;0,T872,IF(N(P872)&gt;0,P872,MAX(1,G872))))</f>
        <v/>
      </c>
      <c r="BO872" s="58">
        <f>IF(BM872="LOSE",1,0)</f>
        <v/>
      </c>
      <c r="BP872" s="64">
        <f>IF(BO872=0,0,IF(N(R872)&gt;0,R872,IFERROR(VLOOKUP(D872,Parameter!$A$35:$C$64,3,0)+0,0)))</f>
        <v/>
      </c>
      <c r="BQ872" s="53">
        <f>IF(V872&lt;&gt;"",V872,U872)</f>
        <v/>
      </c>
      <c r="BR872" s="53">
        <f>IF(BQ872=1,"L1",IF(OR(BQ872=2,BQ872=3),"L23",IF(BQ872="Aussen","Aussen","-")))</f>
        <v/>
      </c>
      <c r="BS872" s="66">
        <f>IF(N(W872)&gt;0,W872,0)</f>
        <v/>
      </c>
      <c r="BT872" s="58">
        <f>IF(ISNUMBER(Z872),1,0)</f>
        <v/>
      </c>
      <c r="BU872" s="55">
        <f>N(Z872)</f>
        <v/>
      </c>
      <c r="BV872" s="55">
        <f>N(L872)+N(M872)</f>
        <v/>
      </c>
      <c r="BW872" s="55">
        <f>ROUNDUP(G872/BN872,0)</f>
        <v/>
      </c>
      <c r="BX872" s="55">
        <f>ROUNDUP(BU872/BN872,0)</f>
        <v/>
      </c>
      <c r="BY872" s="58">
        <f>IF(BO872=1,0,IFERROR(VLOOKUP(BM872,'Gebinde-Kategorie'!$A$5:$G$45,5,0)+0,0))</f>
        <v/>
      </c>
      <c r="BZ872" s="58">
        <f>IFERROR(IF(OR(BQ872=1,BQ872=2,BQ872=3),N(INDEX(Parameter!$I$5:$I$7,BQ872)),0),0)</f>
        <v/>
      </c>
    </row>
    <row r="873">
      <c r="A873" s="53" t="inlineStr">
        <is>
          <t>109037</t>
        </is>
      </c>
      <c r="B873" s="53" t="inlineStr">
        <is>
          <t>Tüllengehäuse B6</t>
        </is>
      </c>
      <c r="C873" s="53" t="inlineStr">
        <is>
          <t>F</t>
        </is>
      </c>
      <c r="D873" s="53" t="inlineStr">
        <is>
          <t>KTL</t>
        </is>
      </c>
      <c r="E873" s="53" t="inlineStr">
        <is>
          <t>C</t>
        </is>
      </c>
      <c r="F873" s="54" t="n">
        <v>4.8</v>
      </c>
      <c r="G873" s="55">
        <f>MAX(0,IF(Parameter!$B$20="Jahresanfang 2025 + Export",BG873+BF873,BF873))</f>
        <v/>
      </c>
      <c r="H873" s="55">
        <f>G873*F873</f>
        <v/>
      </c>
      <c r="I873" s="55">
        <f>BI873*Parameter!$B$18</f>
        <v/>
      </c>
      <c r="J873" s="56" t="n">
        <v>30</v>
      </c>
      <c r="K873" s="57" t="n">
        <v>0.03333333333333333</v>
      </c>
      <c r="L873" s="55" t="n">
        <v>0</v>
      </c>
      <c r="M873" s="55" t="n">
        <v>1</v>
      </c>
      <c r="N873" s="58" t="n">
        <v>28</v>
      </c>
      <c r="O873" s="53" t="inlineStr">
        <is>
          <t>LOSE</t>
        </is>
      </c>
      <c r="P873" s="55" t="n"/>
      <c r="Q873" s="59">
        <f>IF(BO873=1,0,IFERROR(VLOOKUP(BM873,'Gebinde-Kategorie'!$A$5:$G$45,6,0)+0,0))</f>
        <v/>
      </c>
      <c r="R873" s="60" t="n"/>
      <c r="S873" s="61" t="n"/>
      <c r="T873" s="61" t="n"/>
      <c r="U873" s="53">
        <f>IF(A873="","",IF(IFERROR(VLOOKUP(D873,Parameter!$A$35:$C$64,2,0),"Nein")="2+3",IF(ISNUMBER(SEARCH("grosser Artikel",BJ873)),2,IFERROR(VLOOKUP(BM873,Parameter!$F$35:$G$64,2,0),2)),IF(OR(IFERROR(VLOOKUP(D873,Parameter!$A$35:$C$64,2,0),"Nein")="Nein",IFERROR(VLOOKUP(D873,Parameter!$A$35:$C$64,2,0),"Nein")=""),"-",VLOOKUP(D873,Parameter!$A$35:$C$64,2,0))))</f>
        <v/>
      </c>
      <c r="V873" s="61" t="n"/>
      <c r="W873" s="62" t="n"/>
      <c r="X873" s="55">
        <f>AM873</f>
        <v/>
      </c>
      <c r="Y873" s="55">
        <f>MAX(AM873,G873)</f>
        <v/>
      </c>
      <c r="Z873" s="63" t="n"/>
      <c r="AA873" s="55">
        <f>IF(LEFT(Cockpit!$C$5,1)="A",G873,IF(BT873=1,BU873,IF(LEFT(Cockpit!$C$5,1)="B",AE873,MAX(AE873,G873))))</f>
        <v/>
      </c>
      <c r="AB873" s="55">
        <f>IF(BO873=1,0,ROUNDUP(AA873/BN873,0))</f>
        <v/>
      </c>
      <c r="AC873" s="64">
        <f>IF(BO873=1,IF(AA873&lt;=0,0,BP873*MAX(1,IF(G873&gt;0,AA873/G873,1))),AB873*Q873)</f>
        <v/>
      </c>
      <c r="AD873" s="55">
        <f>AA873*F873</f>
        <v/>
      </c>
      <c r="AE873" s="55">
        <f>ROUNDUP(MAX(I873/IF(BS873&gt;0,BS873,MAX(0.1,N(Cockpit!$C$6))),BV873)/BN873,0)*BN873</f>
        <v/>
      </c>
      <c r="AF873" s="56">
        <f>IF(AC873&gt;0,I873/AC873,-1)</f>
        <v/>
      </c>
      <c r="AG873" s="56">
        <f>IF(AND(OR(BR873="L1",BR873="L23"),AC873&gt;0),SUMIFS($AC$7:$AC$1570,$BR$7:$BR$1570,BR873,$AF$7:$AF$1570,"&gt;"&amp;AF873)+SUMIFS($AC$7:$AC$1570,$BR$7:$BR$1570,BR873,$AF$7:$AF$1570,AF873,$BL$7:$BL$1570,"&lt;="&amp;BL873),"")</f>
        <v/>
      </c>
      <c r="AH873" s="65">
        <f>IF(AG873="",0,MAX(0,MIN(1,(IF(BR873="L1",Parameter!$K$5,Parameter!$K$6+Parameter!$K$7)-(AG873-AC873))/AC873)))</f>
        <v/>
      </c>
      <c r="AI873" s="55">
        <f>IF(LEFT(Cockpit!$I$5,1)="A",G873,IF(BT873=1,BU873,IF(LEFT(Cockpit!$I$5,1)="B",AM873,MAX(AM873,G873))))</f>
        <v/>
      </c>
      <c r="AJ873" s="55">
        <f>IF(BO873=1,0,ROUNDUP(AI873/BN873,0))</f>
        <v/>
      </c>
      <c r="AK873" s="64">
        <f>IF(BO873=1,IF(AI873&lt;=0,0,BP873*MAX(1,IF(G873&gt;0,AI873/G873,1))),AJ873*Q873)</f>
        <v/>
      </c>
      <c r="AL873" s="55">
        <f>AI873*F873</f>
        <v/>
      </c>
      <c r="AM873" s="55">
        <f>ROUNDUP(MAX(I873/IF(BS873&gt;0,BS873,MAX(0.1,N(Cockpit!$I$6))),BV873)/BN873,0)*BN873</f>
        <v/>
      </c>
      <c r="AN873" s="56">
        <f>IF(AK873&gt;0,I873/AK873,-1)</f>
        <v/>
      </c>
      <c r="AO873" s="56">
        <f>IF(AND(OR(BR873="L1",BR873="L23"),AK873&gt;0),SUMIFS($AK$7:$AK$1570,$BR$7:$BR$1570,BR873,$AN$7:$AN$1570,"&gt;"&amp;AN873)+SUMIFS($AK$7:$AK$1570,$BR$7:$BR$1570,BR873,$AN$7:$AN$1570,AN873,$BL$7:$BL$1570,"&lt;="&amp;BL873),"")</f>
        <v/>
      </c>
      <c r="AP873" s="65">
        <f>IF(AO873="",0,MAX(0,MIN(1,(IF(BR873="L1",Parameter!$K$5,Parameter!$K$6+Parameter!$K$7)-(AO873-AK873))/AK873)))</f>
        <v/>
      </c>
      <c r="AQ873" s="55">
        <f>IF(LEFT(Cockpit!$O$5,1)="A",G873,IF(BT873=1,BU873,IF(LEFT(Cockpit!$O$5,1)="B",AU873,MAX(AU873,G873))))</f>
        <v/>
      </c>
      <c r="AR873" s="55">
        <f>IF(BO873=1,0,ROUNDUP(AQ873/BN873,0))</f>
        <v/>
      </c>
      <c r="AS873" s="64">
        <f>IF(BO873=1,IF(AQ873&lt;=0,0,BP873*MAX(1,IF(G873&gt;0,AQ873/G873,1))),AR873*Q873)</f>
        <v/>
      </c>
      <c r="AT873" s="55">
        <f>AQ873*F873</f>
        <v/>
      </c>
      <c r="AU873" s="55">
        <f>ROUNDUP(MAX(I873/IF(BS873&gt;0,BS873,MAX(0.1,N(Cockpit!$O$6))),BV873)/BN873,0)*BN873</f>
        <v/>
      </c>
      <c r="AV873" s="56">
        <f>IF(AS873&gt;0,I873/AS873,-1)</f>
        <v/>
      </c>
      <c r="AW873" s="56">
        <f>IF(AND(OR(BR873="L1",BR873="L23"),AS873&gt;0),SUMIFS($AS$7:$AS$1570,$BR$7:$BR$1570,BR873,$AV$7:$AV$1570,"&gt;"&amp;AV873)+SUMIFS($AS$7:$AS$1570,$BR$7:$BR$1570,BR873,$AV$7:$AV$1570,AV873,$BL$7:$BL$1570,"&lt;="&amp;BL873),"")</f>
        <v/>
      </c>
      <c r="AX873" s="65">
        <f>IF(AW873="",0,MAX(0,MIN(1,(IF(BR873="L1",Parameter!$K$5,Parameter!$K$6+Parameter!$K$7)-(AW873-AS873))/AS873)))</f>
        <v/>
      </c>
      <c r="AY873" s="53">
        <f>IF(AC873&lt;=0,"",IF(BR873="Aussen","Aussenlager",IF(BR873="-","Nicht im Lift",IF(AH873&gt;=1,"Lift",IF(AH873&lt;=0,"Aussenlager","teilweise")))))</f>
        <v/>
      </c>
      <c r="AZ873" s="53">
        <f>IF(AK873&lt;=0,"",IF(BR873="Aussen","Aussenlager",IF(BR873="-","Nicht im Lift",IF(AP873&gt;=1,"Lift",IF(AP873&lt;=0,"Aussenlager","teilweise")))))</f>
        <v/>
      </c>
      <c r="BA873" s="53">
        <f>IF(AS873&lt;=0,"",IF(BR873="Aussen","Aussenlager",IF(BR873="-","Nicht im Lift",IF(AX873&gt;=1,"Lift",IF(AX873&lt;=0,"Aussenlager","teilweise")))))</f>
        <v/>
      </c>
      <c r="BB873" s="53">
        <f>IF(A873="","",IF(BK873=1,"Neu; ","")&amp;IF(AND(BK873=0,BF873&lt;0),"negativer Bestand (Export "&amp;BF873&amp;"); ","")&amp;IF(I873&lt;=0,"Kein Verbrauch; ","")&amp;IF(BO873=1,"Lose – Fläche geschätzt; ","")&amp;IF(G873&gt;AM873,"Überbestand "&amp;ROUND(G873-AM873,0)&amp;" Stk / CHF "&amp;ROUND((G873-AM873)*F873,0)&amp;"; ","")&amp;IF(AND(BT873=1,BU873&lt;BV873),"MAX &lt; MB+LG; ","")&amp;IF(AND(BZ873&gt;0,BY873*10&gt;BZ873),"zu hoch für Tablar; ","")&amp;IF(AND(BK873=0,OR(BT873=1,V873&lt;&gt;"",S873&lt;&gt;"",T873&lt;&gt;"",W873&lt;&gt;"")),"manuell übersteuert; ","")&amp;IF(AND(BO873=0,Q873=0),"Gebinde unbekannt; ","")&amp;IF(AND(BO873=0,N(T873)&lt;=0,N(P873)&lt;=0),"Menge pro Gebinde fehlt (Ist = 1 Gebinde); ","")&amp;BJ873)</f>
        <v/>
      </c>
      <c r="BC873" s="53" t="n"/>
      <c r="BD873" s="53" t="n"/>
      <c r="BE873" s="61" t="n"/>
      <c r="BF873" s="55" t="n">
        <v>-5</v>
      </c>
      <c r="BG873" s="55" t="n">
        <v>32</v>
      </c>
      <c r="BH873" s="54" t="n">
        <v>-24</v>
      </c>
      <c r="BI873" s="55" t="n">
        <v>1</v>
      </c>
      <c r="BJ873" s="53" t="inlineStr"/>
      <c r="BK873" s="58" t="n">
        <v>0</v>
      </c>
      <c r="BL873" s="58" t="n">
        <v>873</v>
      </c>
      <c r="BM873" s="53">
        <f>IF(S873&lt;&gt;"",UPPER(TRIM(S873)),IF(O873="","LOSE",O873))</f>
        <v/>
      </c>
      <c r="BN873" s="55">
        <f>IF(BM873="LOSE",1,IF(N(T873)&gt;0,T873,IF(N(P873)&gt;0,P873,MAX(1,G873))))</f>
        <v/>
      </c>
      <c r="BO873" s="58">
        <f>IF(BM873="LOSE",1,0)</f>
        <v/>
      </c>
      <c r="BP873" s="64">
        <f>IF(BO873=0,0,IF(N(R873)&gt;0,R873,IFERROR(VLOOKUP(D873,Parameter!$A$35:$C$64,3,0)+0,0)))</f>
        <v/>
      </c>
      <c r="BQ873" s="53">
        <f>IF(V873&lt;&gt;"",V873,U873)</f>
        <v/>
      </c>
      <c r="BR873" s="53">
        <f>IF(BQ873=1,"L1",IF(OR(BQ873=2,BQ873=3),"L23",IF(BQ873="Aussen","Aussen","-")))</f>
        <v/>
      </c>
      <c r="BS873" s="66">
        <f>IF(N(W873)&gt;0,W873,0)</f>
        <v/>
      </c>
      <c r="BT873" s="58">
        <f>IF(ISNUMBER(Z873),1,0)</f>
        <v/>
      </c>
      <c r="BU873" s="55">
        <f>N(Z873)</f>
        <v/>
      </c>
      <c r="BV873" s="55">
        <f>N(L873)+N(M873)</f>
        <v/>
      </c>
      <c r="BW873" s="55">
        <f>ROUNDUP(G873/BN873,0)</f>
        <v/>
      </c>
      <c r="BX873" s="55">
        <f>ROUNDUP(BU873/BN873,0)</f>
        <v/>
      </c>
      <c r="BY873" s="58">
        <f>IF(BO873=1,0,IFERROR(VLOOKUP(BM873,'Gebinde-Kategorie'!$A$5:$G$45,5,0)+0,0))</f>
        <v/>
      </c>
      <c r="BZ873" s="58">
        <f>IFERROR(IF(OR(BQ873=1,BQ873=2,BQ873=3),N(INDEX(Parameter!$I$5:$I$7,BQ873)),0),0)</f>
        <v/>
      </c>
    </row>
    <row r="874">
      <c r="A874" s="53" t="inlineStr">
        <is>
          <t>109791</t>
        </is>
      </c>
      <c r="B874" s="53" t="inlineStr">
        <is>
          <t>Adapter</t>
        </is>
      </c>
      <c r="C874" s="53" t="inlineStr">
        <is>
          <t>F</t>
        </is>
      </c>
      <c r="D874" s="53" t="inlineStr">
        <is>
          <t>KTL</t>
        </is>
      </c>
      <c r="E874" s="53" t="inlineStr">
        <is>
          <t>C</t>
        </is>
      </c>
      <c r="F874" s="54" t="n">
        <v>24.36</v>
      </c>
      <c r="G874" s="55">
        <f>MAX(0,IF(Parameter!$B$20="Jahresanfang 2025 + Export",BG874+BF874,BF874))</f>
        <v/>
      </c>
      <c r="H874" s="55">
        <f>G874*F874</f>
        <v/>
      </c>
      <c r="I874" s="55">
        <f>BI874*Parameter!$B$18</f>
        <v/>
      </c>
      <c r="J874" s="56" t="n">
        <v>2.5</v>
      </c>
      <c r="K874" s="57" t="n">
        <v>0.4</v>
      </c>
      <c r="L874" s="55" t="n">
        <v>0</v>
      </c>
      <c r="M874" s="55" t="n">
        <v>1</v>
      </c>
      <c r="N874" s="58" t="n">
        <v>28</v>
      </c>
      <c r="O874" s="53" t="inlineStr">
        <is>
          <t>S21</t>
        </is>
      </c>
      <c r="P874" s="55" t="n">
        <v>5</v>
      </c>
      <c r="Q874" s="59">
        <f>IF(BO874=1,0,IFERROR(VLOOKUP(BM874,'Gebinde-Kategorie'!$A$5:$G$45,6,0)+0,0))</f>
        <v/>
      </c>
      <c r="R874" s="60" t="n"/>
      <c r="S874" s="61" t="n"/>
      <c r="T874" s="61" t="n"/>
      <c r="U874" s="53">
        <f>IF(A874="","",IF(IFERROR(VLOOKUP(D874,Parameter!$A$35:$C$64,2,0),"Nein")="2+3",IF(ISNUMBER(SEARCH("grosser Artikel",BJ874)),2,IFERROR(VLOOKUP(BM874,Parameter!$F$35:$G$64,2,0),2)),IF(OR(IFERROR(VLOOKUP(D874,Parameter!$A$35:$C$64,2,0),"Nein")="Nein",IFERROR(VLOOKUP(D874,Parameter!$A$35:$C$64,2,0),"Nein")=""),"-",VLOOKUP(D874,Parameter!$A$35:$C$64,2,0))))</f>
        <v/>
      </c>
      <c r="V874" s="61" t="n"/>
      <c r="W874" s="62" t="n"/>
      <c r="X874" s="55">
        <f>AM874</f>
        <v/>
      </c>
      <c r="Y874" s="55">
        <f>MAX(AM874,G874)</f>
        <v/>
      </c>
      <c r="Z874" s="63" t="n"/>
      <c r="AA874" s="55">
        <f>IF(LEFT(Cockpit!$C$5,1)="A",G874,IF(BT874=1,BU874,IF(LEFT(Cockpit!$C$5,1)="B",AE874,MAX(AE874,G874))))</f>
        <v/>
      </c>
      <c r="AB874" s="55">
        <f>IF(BO874=1,0,ROUNDUP(AA874/BN874,0))</f>
        <v/>
      </c>
      <c r="AC874" s="64">
        <f>IF(BO874=1,IF(AA874&lt;=0,0,BP874*MAX(1,IF(G874&gt;0,AA874/G874,1))),AB874*Q874)</f>
        <v/>
      </c>
      <c r="AD874" s="55">
        <f>AA874*F874</f>
        <v/>
      </c>
      <c r="AE874" s="55">
        <f>ROUNDUP(MAX(I874/IF(BS874&gt;0,BS874,MAX(0.1,N(Cockpit!$C$6))),BV874)/BN874,0)*BN874</f>
        <v/>
      </c>
      <c r="AF874" s="56">
        <f>IF(AC874&gt;0,I874/AC874,-1)</f>
        <v/>
      </c>
      <c r="AG874" s="56">
        <f>IF(AND(OR(BR874="L1",BR874="L23"),AC874&gt;0),SUMIFS($AC$7:$AC$1570,$BR$7:$BR$1570,BR874,$AF$7:$AF$1570,"&gt;"&amp;AF874)+SUMIFS($AC$7:$AC$1570,$BR$7:$BR$1570,BR874,$AF$7:$AF$1570,AF874,$BL$7:$BL$1570,"&lt;="&amp;BL874),"")</f>
        <v/>
      </c>
      <c r="AH874" s="65">
        <f>IF(AG874="",0,MAX(0,MIN(1,(IF(BR874="L1",Parameter!$K$5,Parameter!$K$6+Parameter!$K$7)-(AG874-AC874))/AC874)))</f>
        <v/>
      </c>
      <c r="AI874" s="55">
        <f>IF(LEFT(Cockpit!$I$5,1)="A",G874,IF(BT874=1,BU874,IF(LEFT(Cockpit!$I$5,1)="B",AM874,MAX(AM874,G874))))</f>
        <v/>
      </c>
      <c r="AJ874" s="55">
        <f>IF(BO874=1,0,ROUNDUP(AI874/BN874,0))</f>
        <v/>
      </c>
      <c r="AK874" s="64">
        <f>IF(BO874=1,IF(AI874&lt;=0,0,BP874*MAX(1,IF(G874&gt;0,AI874/G874,1))),AJ874*Q874)</f>
        <v/>
      </c>
      <c r="AL874" s="55">
        <f>AI874*F874</f>
        <v/>
      </c>
      <c r="AM874" s="55">
        <f>ROUNDUP(MAX(I874/IF(BS874&gt;0,BS874,MAX(0.1,N(Cockpit!$I$6))),BV874)/BN874,0)*BN874</f>
        <v/>
      </c>
      <c r="AN874" s="56">
        <f>IF(AK874&gt;0,I874/AK874,-1)</f>
        <v/>
      </c>
      <c r="AO874" s="56">
        <f>IF(AND(OR(BR874="L1",BR874="L23"),AK874&gt;0),SUMIFS($AK$7:$AK$1570,$BR$7:$BR$1570,BR874,$AN$7:$AN$1570,"&gt;"&amp;AN874)+SUMIFS($AK$7:$AK$1570,$BR$7:$BR$1570,BR874,$AN$7:$AN$1570,AN874,$BL$7:$BL$1570,"&lt;="&amp;BL874),"")</f>
        <v/>
      </c>
      <c r="AP874" s="65">
        <f>IF(AO874="",0,MAX(0,MIN(1,(IF(BR874="L1",Parameter!$K$5,Parameter!$K$6+Parameter!$K$7)-(AO874-AK874))/AK874)))</f>
        <v/>
      </c>
      <c r="AQ874" s="55">
        <f>IF(LEFT(Cockpit!$O$5,1)="A",G874,IF(BT874=1,BU874,IF(LEFT(Cockpit!$O$5,1)="B",AU874,MAX(AU874,G874))))</f>
        <v/>
      </c>
      <c r="AR874" s="55">
        <f>IF(BO874=1,0,ROUNDUP(AQ874/BN874,0))</f>
        <v/>
      </c>
      <c r="AS874" s="64">
        <f>IF(BO874=1,IF(AQ874&lt;=0,0,BP874*MAX(1,IF(G874&gt;0,AQ874/G874,1))),AR874*Q874)</f>
        <v/>
      </c>
      <c r="AT874" s="55">
        <f>AQ874*F874</f>
        <v/>
      </c>
      <c r="AU874" s="55">
        <f>ROUNDUP(MAX(I874/IF(BS874&gt;0,BS874,MAX(0.1,N(Cockpit!$O$6))),BV874)/BN874,0)*BN874</f>
        <v/>
      </c>
      <c r="AV874" s="56">
        <f>IF(AS874&gt;0,I874/AS874,-1)</f>
        <v/>
      </c>
      <c r="AW874" s="56">
        <f>IF(AND(OR(BR874="L1",BR874="L23"),AS874&gt;0),SUMIFS($AS$7:$AS$1570,$BR$7:$BR$1570,BR874,$AV$7:$AV$1570,"&gt;"&amp;AV874)+SUMIFS($AS$7:$AS$1570,$BR$7:$BR$1570,BR874,$AV$7:$AV$1570,AV874,$BL$7:$BL$1570,"&lt;="&amp;BL874),"")</f>
        <v/>
      </c>
      <c r="AX874" s="65">
        <f>IF(AW874="",0,MAX(0,MIN(1,(IF(BR874="L1",Parameter!$K$5,Parameter!$K$6+Parameter!$K$7)-(AW874-AS874))/AS874)))</f>
        <v/>
      </c>
      <c r="AY874" s="53">
        <f>IF(AC874&lt;=0,"",IF(BR874="Aussen","Aussenlager",IF(BR874="-","Nicht im Lift",IF(AH874&gt;=1,"Lift",IF(AH874&lt;=0,"Aussenlager","teilweise")))))</f>
        <v/>
      </c>
      <c r="AZ874" s="53">
        <f>IF(AK874&lt;=0,"",IF(BR874="Aussen","Aussenlager",IF(BR874="-","Nicht im Lift",IF(AP874&gt;=1,"Lift",IF(AP874&lt;=0,"Aussenlager","teilweise")))))</f>
        <v/>
      </c>
      <c r="BA874" s="53">
        <f>IF(AS874&lt;=0,"",IF(BR874="Aussen","Aussenlager",IF(BR874="-","Nicht im Lift",IF(AX874&gt;=1,"Lift",IF(AX874&lt;=0,"Aussenlager","teilweise")))))</f>
        <v/>
      </c>
      <c r="BB874" s="53">
        <f>IF(A874="","",IF(BK874=1,"Neu; ","")&amp;IF(AND(BK874=0,BF874&lt;0),"negativer Bestand (Export "&amp;BF874&amp;"); ","")&amp;IF(I874&lt;=0,"Kein Verbrauch; ","")&amp;IF(BO874=1,"Lose – Fläche geschätzt; ","")&amp;IF(G874&gt;AM874,"Überbestand "&amp;ROUND(G874-AM874,0)&amp;" Stk / CHF "&amp;ROUND((G874-AM874)*F874,0)&amp;"; ","")&amp;IF(AND(BT874=1,BU874&lt;BV874),"MAX &lt; MB+LG; ","")&amp;IF(AND(BZ874&gt;0,BY874*10&gt;BZ874),"zu hoch für Tablar; ","")&amp;IF(AND(BK874=0,OR(BT874=1,V874&lt;&gt;"",S874&lt;&gt;"",T874&lt;&gt;"",W874&lt;&gt;"")),"manuell übersteuert; ","")&amp;IF(AND(BO874=0,Q874=0),"Gebinde unbekannt; ","")&amp;IF(AND(BO874=0,N(T874)&lt;=0,N(P874)&lt;=0),"Menge pro Gebinde fehlt (Ist = 1 Gebinde); ","")&amp;BJ874)</f>
        <v/>
      </c>
      <c r="BC874" s="53" t="n"/>
      <c r="BD874" s="53" t="n"/>
      <c r="BE874" s="61" t="n"/>
      <c r="BF874" s="55" t="n">
        <v>-1</v>
      </c>
      <c r="BG874" s="55" t="n">
        <v>3</v>
      </c>
      <c r="BH874" s="54" t="n">
        <v>-24.36</v>
      </c>
      <c r="BI874" s="55" t="n">
        <v>1</v>
      </c>
      <c r="BJ874" s="53" t="inlineStr"/>
      <c r="BK874" s="58" t="n">
        <v>0</v>
      </c>
      <c r="BL874" s="58" t="n">
        <v>874</v>
      </c>
      <c r="BM874" s="53">
        <f>IF(S874&lt;&gt;"",UPPER(TRIM(S874)),IF(O874="","LOSE",O874))</f>
        <v/>
      </c>
      <c r="BN874" s="55">
        <f>IF(BM874="LOSE",1,IF(N(T874)&gt;0,T874,IF(N(P874)&gt;0,P874,MAX(1,G874))))</f>
        <v/>
      </c>
      <c r="BO874" s="58">
        <f>IF(BM874="LOSE",1,0)</f>
        <v/>
      </c>
      <c r="BP874" s="64">
        <f>IF(BO874=0,0,IF(N(R874)&gt;0,R874,IFERROR(VLOOKUP(D874,Parameter!$A$35:$C$64,3,0)+0,0)))</f>
        <v/>
      </c>
      <c r="BQ874" s="53">
        <f>IF(V874&lt;&gt;"",V874,U874)</f>
        <v/>
      </c>
      <c r="BR874" s="53">
        <f>IF(BQ874=1,"L1",IF(OR(BQ874=2,BQ874=3),"L23",IF(BQ874="Aussen","Aussen","-")))</f>
        <v/>
      </c>
      <c r="BS874" s="66">
        <f>IF(N(W874)&gt;0,W874,0)</f>
        <v/>
      </c>
      <c r="BT874" s="58">
        <f>IF(ISNUMBER(Z874),1,0)</f>
        <v/>
      </c>
      <c r="BU874" s="55">
        <f>N(Z874)</f>
        <v/>
      </c>
      <c r="BV874" s="55">
        <f>N(L874)+N(M874)</f>
        <v/>
      </c>
      <c r="BW874" s="55">
        <f>ROUNDUP(G874/BN874,0)</f>
        <v/>
      </c>
      <c r="BX874" s="55">
        <f>ROUNDUP(BU874/BN874,0)</f>
        <v/>
      </c>
      <c r="BY874" s="58">
        <f>IF(BO874=1,0,IFERROR(VLOOKUP(BM874,'Gebinde-Kategorie'!$A$5:$G$45,5,0)+0,0))</f>
        <v/>
      </c>
      <c r="BZ874" s="58">
        <f>IFERROR(IF(OR(BQ874=1,BQ874=2,BQ874=3),N(INDEX(Parameter!$I$5:$I$7,BQ874)),0),0)</f>
        <v/>
      </c>
    </row>
    <row r="875">
      <c r="A875" s="53" t="inlineStr">
        <is>
          <t>109911</t>
        </is>
      </c>
      <c r="B875" s="53" t="inlineStr">
        <is>
          <t>Stecker verdrahtet</t>
        </is>
      </c>
      <c r="C875" s="53" t="inlineStr">
        <is>
          <t>F</t>
        </is>
      </c>
      <c r="D875" s="53" t="inlineStr">
        <is>
          <t>KTL</t>
        </is>
      </c>
      <c r="E875" s="53" t="inlineStr">
        <is>
          <t>C</t>
        </is>
      </c>
      <c r="F875" s="54" t="n">
        <v>24.52</v>
      </c>
      <c r="G875" s="55">
        <f>MAX(0,IF(Parameter!$B$20="Jahresanfang 2025 + Export",BG875+BF875,BF875))</f>
        <v/>
      </c>
      <c r="H875" s="55">
        <f>G875*F875</f>
        <v/>
      </c>
      <c r="I875" s="55">
        <f>BI875*Parameter!$B$18</f>
        <v/>
      </c>
      <c r="J875" s="56" t="n">
        <v>15</v>
      </c>
      <c r="K875" s="57" t="n">
        <v>0</v>
      </c>
      <c r="L875" s="55" t="n">
        <v>0</v>
      </c>
      <c r="M875" s="55" t="n">
        <v>1</v>
      </c>
      <c r="N875" s="58" t="n">
        <v>35</v>
      </c>
      <c r="O875" s="53" t="inlineStr">
        <is>
          <t>S32</t>
        </is>
      </c>
      <c r="P875" s="55" t="n">
        <v>15</v>
      </c>
      <c r="Q875" s="59">
        <f>IF(BO875=1,0,IFERROR(VLOOKUP(BM875,'Gebinde-Kategorie'!$A$5:$G$45,6,0)+0,0))</f>
        <v/>
      </c>
      <c r="R875" s="60" t="n"/>
      <c r="S875" s="61" t="n"/>
      <c r="T875" s="61" t="n"/>
      <c r="U875" s="53">
        <f>IF(A875="","",IF(IFERROR(VLOOKUP(D875,Parameter!$A$35:$C$64,2,0),"Nein")="2+3",IF(ISNUMBER(SEARCH("grosser Artikel",BJ875)),2,IFERROR(VLOOKUP(BM875,Parameter!$F$35:$G$64,2,0),2)),IF(OR(IFERROR(VLOOKUP(D875,Parameter!$A$35:$C$64,2,0),"Nein")="Nein",IFERROR(VLOOKUP(D875,Parameter!$A$35:$C$64,2,0),"Nein")=""),"-",VLOOKUP(D875,Parameter!$A$35:$C$64,2,0))))</f>
        <v/>
      </c>
      <c r="V875" s="61" t="n"/>
      <c r="W875" s="62" t="n"/>
      <c r="X875" s="55">
        <f>AM875</f>
        <v/>
      </c>
      <c r="Y875" s="55">
        <f>MAX(AM875,G875)</f>
        <v/>
      </c>
      <c r="Z875" s="63" t="n"/>
      <c r="AA875" s="55">
        <f>IF(LEFT(Cockpit!$C$5,1)="A",G875,IF(BT875=1,BU875,IF(LEFT(Cockpit!$C$5,1)="B",AE875,MAX(AE875,G875))))</f>
        <v/>
      </c>
      <c r="AB875" s="55">
        <f>IF(BO875=1,0,ROUNDUP(AA875/BN875,0))</f>
        <v/>
      </c>
      <c r="AC875" s="64">
        <f>IF(BO875=1,IF(AA875&lt;=0,0,BP875*MAX(1,IF(G875&gt;0,AA875/G875,1))),AB875*Q875)</f>
        <v/>
      </c>
      <c r="AD875" s="55">
        <f>AA875*F875</f>
        <v/>
      </c>
      <c r="AE875" s="55">
        <f>ROUNDUP(MAX(I875/IF(BS875&gt;0,BS875,MAX(0.1,N(Cockpit!$C$6))),BV875)/BN875,0)*BN875</f>
        <v/>
      </c>
      <c r="AF875" s="56">
        <f>IF(AC875&gt;0,I875/AC875,-1)</f>
        <v/>
      </c>
      <c r="AG875" s="56">
        <f>IF(AND(OR(BR875="L1",BR875="L23"),AC875&gt;0),SUMIFS($AC$7:$AC$1570,$BR$7:$BR$1570,BR875,$AF$7:$AF$1570,"&gt;"&amp;AF875)+SUMIFS($AC$7:$AC$1570,$BR$7:$BR$1570,BR875,$AF$7:$AF$1570,AF875,$BL$7:$BL$1570,"&lt;="&amp;BL875),"")</f>
        <v/>
      </c>
      <c r="AH875" s="65">
        <f>IF(AG875="",0,MAX(0,MIN(1,(IF(BR875="L1",Parameter!$K$5,Parameter!$K$6+Parameter!$K$7)-(AG875-AC875))/AC875)))</f>
        <v/>
      </c>
      <c r="AI875" s="55">
        <f>IF(LEFT(Cockpit!$I$5,1)="A",G875,IF(BT875=1,BU875,IF(LEFT(Cockpit!$I$5,1)="B",AM875,MAX(AM875,G875))))</f>
        <v/>
      </c>
      <c r="AJ875" s="55">
        <f>IF(BO875=1,0,ROUNDUP(AI875/BN875,0))</f>
        <v/>
      </c>
      <c r="AK875" s="64">
        <f>IF(BO875=1,IF(AI875&lt;=0,0,BP875*MAX(1,IF(G875&gt;0,AI875/G875,1))),AJ875*Q875)</f>
        <v/>
      </c>
      <c r="AL875" s="55">
        <f>AI875*F875</f>
        <v/>
      </c>
      <c r="AM875" s="55">
        <f>ROUNDUP(MAX(I875/IF(BS875&gt;0,BS875,MAX(0.1,N(Cockpit!$I$6))),BV875)/BN875,0)*BN875</f>
        <v/>
      </c>
      <c r="AN875" s="56">
        <f>IF(AK875&gt;0,I875/AK875,-1)</f>
        <v/>
      </c>
      <c r="AO875" s="56">
        <f>IF(AND(OR(BR875="L1",BR875="L23"),AK875&gt;0),SUMIFS($AK$7:$AK$1570,$BR$7:$BR$1570,BR875,$AN$7:$AN$1570,"&gt;"&amp;AN875)+SUMIFS($AK$7:$AK$1570,$BR$7:$BR$1570,BR875,$AN$7:$AN$1570,AN875,$BL$7:$BL$1570,"&lt;="&amp;BL875),"")</f>
        <v/>
      </c>
      <c r="AP875" s="65">
        <f>IF(AO875="",0,MAX(0,MIN(1,(IF(BR875="L1",Parameter!$K$5,Parameter!$K$6+Parameter!$K$7)-(AO875-AK875))/AK875)))</f>
        <v/>
      </c>
      <c r="AQ875" s="55">
        <f>IF(LEFT(Cockpit!$O$5,1)="A",G875,IF(BT875=1,BU875,IF(LEFT(Cockpit!$O$5,1)="B",AU875,MAX(AU875,G875))))</f>
        <v/>
      </c>
      <c r="AR875" s="55">
        <f>IF(BO875=1,0,ROUNDUP(AQ875/BN875,0))</f>
        <v/>
      </c>
      <c r="AS875" s="64">
        <f>IF(BO875=1,IF(AQ875&lt;=0,0,BP875*MAX(1,IF(G875&gt;0,AQ875/G875,1))),AR875*Q875)</f>
        <v/>
      </c>
      <c r="AT875" s="55">
        <f>AQ875*F875</f>
        <v/>
      </c>
      <c r="AU875" s="55">
        <f>ROUNDUP(MAX(I875/IF(BS875&gt;0,BS875,MAX(0.1,N(Cockpit!$O$6))),BV875)/BN875,0)*BN875</f>
        <v/>
      </c>
      <c r="AV875" s="56">
        <f>IF(AS875&gt;0,I875/AS875,-1)</f>
        <v/>
      </c>
      <c r="AW875" s="56">
        <f>IF(AND(OR(BR875="L1",BR875="L23"),AS875&gt;0),SUMIFS($AS$7:$AS$1570,$BR$7:$BR$1570,BR875,$AV$7:$AV$1570,"&gt;"&amp;AV875)+SUMIFS($AS$7:$AS$1570,$BR$7:$BR$1570,BR875,$AV$7:$AV$1570,AV875,$BL$7:$BL$1570,"&lt;="&amp;BL875),"")</f>
        <v/>
      </c>
      <c r="AX875" s="65">
        <f>IF(AW875="",0,MAX(0,MIN(1,(IF(BR875="L1",Parameter!$K$5,Parameter!$K$6+Parameter!$K$7)-(AW875-AS875))/AS875)))</f>
        <v/>
      </c>
      <c r="AY875" s="53">
        <f>IF(AC875&lt;=0,"",IF(BR875="Aussen","Aussenlager",IF(BR875="-","Nicht im Lift",IF(AH875&gt;=1,"Lift",IF(AH875&lt;=0,"Aussenlager","teilweise")))))</f>
        <v/>
      </c>
      <c r="AZ875" s="53">
        <f>IF(AK875&lt;=0,"",IF(BR875="Aussen","Aussenlager",IF(BR875="-","Nicht im Lift",IF(AP875&gt;=1,"Lift",IF(AP875&lt;=0,"Aussenlager","teilweise")))))</f>
        <v/>
      </c>
      <c r="BA875" s="53">
        <f>IF(AS875&lt;=0,"",IF(BR875="Aussen","Aussenlager",IF(BR875="-","Nicht im Lift",IF(AX875&gt;=1,"Lift",IF(AX875&lt;=0,"Aussenlager","teilweise")))))</f>
        <v/>
      </c>
      <c r="BB875" s="53">
        <f>IF(A875="","",IF(BK875=1,"Neu; ","")&amp;IF(AND(BK875=0,BF875&lt;0),"negativer Bestand (Export "&amp;BF875&amp;"); ","")&amp;IF(I875&lt;=0,"Kein Verbrauch; ","")&amp;IF(BO875=1,"Lose – Fläche geschätzt; ","")&amp;IF(G875&gt;AM875,"Überbestand "&amp;ROUND(G875-AM875,0)&amp;" Stk / CHF "&amp;ROUND((G875-AM875)*F875,0)&amp;"; ","")&amp;IF(AND(BT875=1,BU875&lt;BV875),"MAX &lt; MB+LG; ","")&amp;IF(AND(BZ875&gt;0,BY875*10&gt;BZ875),"zu hoch für Tablar; ","")&amp;IF(AND(BK875=0,OR(BT875=1,V875&lt;&gt;"",S875&lt;&gt;"",T875&lt;&gt;"",W875&lt;&gt;"")),"manuell übersteuert; ","")&amp;IF(AND(BO875=0,Q875=0),"Gebinde unbekannt; ","")&amp;IF(AND(BO875=0,N(T875)&lt;=0,N(P875)&lt;=0),"Menge pro Gebinde fehlt (Ist = 1 Gebinde); ","")&amp;BJ875)</f>
        <v/>
      </c>
      <c r="BC875" s="53" t="n"/>
      <c r="BD875" s="53" t="n"/>
      <c r="BE875" s="61" t="n"/>
      <c r="BF875" s="55" t="n">
        <v>-1</v>
      </c>
      <c r="BG875" s="55" t="n">
        <v>15</v>
      </c>
      <c r="BH875" s="54" t="n">
        <v>-24.52</v>
      </c>
      <c r="BI875" s="55" t="n">
        <v>0</v>
      </c>
      <c r="BJ875" s="53" t="inlineStr"/>
      <c r="BK875" s="58" t="n">
        <v>0</v>
      </c>
      <c r="BL875" s="58" t="n">
        <v>875</v>
      </c>
      <c r="BM875" s="53">
        <f>IF(S875&lt;&gt;"",UPPER(TRIM(S875)),IF(O875="","LOSE",O875))</f>
        <v/>
      </c>
      <c r="BN875" s="55">
        <f>IF(BM875="LOSE",1,IF(N(T875)&gt;0,T875,IF(N(P875)&gt;0,P875,MAX(1,G875))))</f>
        <v/>
      </c>
      <c r="BO875" s="58">
        <f>IF(BM875="LOSE",1,0)</f>
        <v/>
      </c>
      <c r="BP875" s="64">
        <f>IF(BO875=0,0,IF(N(R875)&gt;0,R875,IFERROR(VLOOKUP(D875,Parameter!$A$35:$C$64,3,0)+0,0)))</f>
        <v/>
      </c>
      <c r="BQ875" s="53">
        <f>IF(V875&lt;&gt;"",V875,U875)</f>
        <v/>
      </c>
      <c r="BR875" s="53">
        <f>IF(BQ875=1,"L1",IF(OR(BQ875=2,BQ875=3),"L23",IF(BQ875="Aussen","Aussen","-")))</f>
        <v/>
      </c>
      <c r="BS875" s="66">
        <f>IF(N(W875)&gt;0,W875,0)</f>
        <v/>
      </c>
      <c r="BT875" s="58">
        <f>IF(ISNUMBER(Z875),1,0)</f>
        <v/>
      </c>
      <c r="BU875" s="55">
        <f>N(Z875)</f>
        <v/>
      </c>
      <c r="BV875" s="55">
        <f>N(L875)+N(M875)</f>
        <v/>
      </c>
      <c r="BW875" s="55">
        <f>ROUNDUP(G875/BN875,0)</f>
        <v/>
      </c>
      <c r="BX875" s="55">
        <f>ROUNDUP(BU875/BN875,0)</f>
        <v/>
      </c>
      <c r="BY875" s="58">
        <f>IF(BO875=1,0,IFERROR(VLOOKUP(BM875,'Gebinde-Kategorie'!$A$5:$G$45,5,0)+0,0))</f>
        <v/>
      </c>
      <c r="BZ875" s="58">
        <f>IFERROR(IF(OR(BQ875=1,BQ875=2,BQ875=3),N(INDEX(Parameter!$I$5:$I$7,BQ875)),0),0)</f>
        <v/>
      </c>
    </row>
    <row r="876">
      <c r="A876" s="53" t="inlineStr">
        <is>
          <t>002031</t>
        </is>
      </c>
      <c r="B876" s="53" t="inlineStr">
        <is>
          <t>Ringgabelschlüssel</t>
        </is>
      </c>
      <c r="C876" s="53" t="inlineStr">
        <is>
          <t>F</t>
        </is>
      </c>
      <c r="D876" s="53" t="inlineStr">
        <is>
          <t>KTL</t>
        </is>
      </c>
      <c r="E876" s="53" t="inlineStr">
        <is>
          <t>C</t>
        </is>
      </c>
      <c r="F876" s="54" t="n">
        <v>9.35</v>
      </c>
      <c r="G876" s="55">
        <f>MAX(0,IF(Parameter!$B$20="Jahresanfang 2025 + Export",BG876+BF876,BF876))</f>
        <v/>
      </c>
      <c r="H876" s="55">
        <f>G876*F876</f>
        <v/>
      </c>
      <c r="I876" s="55">
        <f>BI876*Parameter!$B$18</f>
        <v/>
      </c>
      <c r="J876" s="56" t="n">
        <v>4.5</v>
      </c>
      <c r="K876" s="57" t="n">
        <v>1.333333333333333</v>
      </c>
      <c r="L876" s="55" t="n">
        <v>0</v>
      </c>
      <c r="M876" s="55" t="n">
        <v>5</v>
      </c>
      <c r="N876" s="58" t="n">
        <v>18</v>
      </c>
      <c r="O876" s="53" t="inlineStr">
        <is>
          <t>S32</t>
        </is>
      </c>
      <c r="P876" s="55" t="n">
        <v>8</v>
      </c>
      <c r="Q876" s="59">
        <f>IF(BO876=1,0,IFERROR(VLOOKUP(BM876,'Gebinde-Kategorie'!$A$5:$G$45,6,0)+0,0))</f>
        <v/>
      </c>
      <c r="R876" s="60" t="n"/>
      <c r="S876" s="61" t="n"/>
      <c r="T876" s="61" t="n"/>
      <c r="U876" s="53">
        <f>IF(A876="","",IF(IFERROR(VLOOKUP(D876,Parameter!$A$35:$C$64,2,0),"Nein")="2+3",IF(ISNUMBER(SEARCH("grosser Artikel",BJ876)),2,IFERROR(VLOOKUP(BM876,Parameter!$F$35:$G$64,2,0),2)),IF(OR(IFERROR(VLOOKUP(D876,Parameter!$A$35:$C$64,2,0),"Nein")="Nein",IFERROR(VLOOKUP(D876,Parameter!$A$35:$C$64,2,0),"Nein")=""),"-",VLOOKUP(D876,Parameter!$A$35:$C$64,2,0))))</f>
        <v/>
      </c>
      <c r="V876" s="61" t="n"/>
      <c r="W876" s="62" t="n"/>
      <c r="X876" s="55">
        <f>AM876</f>
        <v/>
      </c>
      <c r="Y876" s="55">
        <f>MAX(AM876,G876)</f>
        <v/>
      </c>
      <c r="Z876" s="63" t="n"/>
      <c r="AA876" s="55">
        <f>IF(LEFT(Cockpit!$C$5,1)="A",G876,IF(BT876=1,BU876,IF(LEFT(Cockpit!$C$5,1)="B",AE876,MAX(AE876,G876))))</f>
        <v/>
      </c>
      <c r="AB876" s="55">
        <f>IF(BO876=1,0,ROUNDUP(AA876/BN876,0))</f>
        <v/>
      </c>
      <c r="AC876" s="64">
        <f>IF(BO876=1,IF(AA876&lt;=0,0,BP876*MAX(1,IF(G876&gt;0,AA876/G876,1))),AB876*Q876)</f>
        <v/>
      </c>
      <c r="AD876" s="55">
        <f>AA876*F876</f>
        <v/>
      </c>
      <c r="AE876" s="55">
        <f>ROUNDUP(MAX(I876/IF(BS876&gt;0,BS876,MAX(0.1,N(Cockpit!$C$6))),BV876)/BN876,0)*BN876</f>
        <v/>
      </c>
      <c r="AF876" s="56">
        <f>IF(AC876&gt;0,I876/AC876,-1)</f>
        <v/>
      </c>
      <c r="AG876" s="56">
        <f>IF(AND(OR(BR876="L1",BR876="L23"),AC876&gt;0),SUMIFS($AC$7:$AC$1570,$BR$7:$BR$1570,BR876,$AF$7:$AF$1570,"&gt;"&amp;AF876)+SUMIFS($AC$7:$AC$1570,$BR$7:$BR$1570,BR876,$AF$7:$AF$1570,AF876,$BL$7:$BL$1570,"&lt;="&amp;BL876),"")</f>
        <v/>
      </c>
      <c r="AH876" s="65">
        <f>IF(AG876="",0,MAX(0,MIN(1,(IF(BR876="L1",Parameter!$K$5,Parameter!$K$6+Parameter!$K$7)-(AG876-AC876))/AC876)))</f>
        <v/>
      </c>
      <c r="AI876" s="55">
        <f>IF(LEFT(Cockpit!$I$5,1)="A",G876,IF(BT876=1,BU876,IF(LEFT(Cockpit!$I$5,1)="B",AM876,MAX(AM876,G876))))</f>
        <v/>
      </c>
      <c r="AJ876" s="55">
        <f>IF(BO876=1,0,ROUNDUP(AI876/BN876,0))</f>
        <v/>
      </c>
      <c r="AK876" s="64">
        <f>IF(BO876=1,IF(AI876&lt;=0,0,BP876*MAX(1,IF(G876&gt;0,AI876/G876,1))),AJ876*Q876)</f>
        <v/>
      </c>
      <c r="AL876" s="55">
        <f>AI876*F876</f>
        <v/>
      </c>
      <c r="AM876" s="55">
        <f>ROUNDUP(MAX(I876/IF(BS876&gt;0,BS876,MAX(0.1,N(Cockpit!$I$6))),BV876)/BN876,0)*BN876</f>
        <v/>
      </c>
      <c r="AN876" s="56">
        <f>IF(AK876&gt;0,I876/AK876,-1)</f>
        <v/>
      </c>
      <c r="AO876" s="56">
        <f>IF(AND(OR(BR876="L1",BR876="L23"),AK876&gt;0),SUMIFS($AK$7:$AK$1570,$BR$7:$BR$1570,BR876,$AN$7:$AN$1570,"&gt;"&amp;AN876)+SUMIFS($AK$7:$AK$1570,$BR$7:$BR$1570,BR876,$AN$7:$AN$1570,AN876,$BL$7:$BL$1570,"&lt;="&amp;BL876),"")</f>
        <v/>
      </c>
      <c r="AP876" s="65">
        <f>IF(AO876="",0,MAX(0,MIN(1,(IF(BR876="L1",Parameter!$K$5,Parameter!$K$6+Parameter!$K$7)-(AO876-AK876))/AK876)))</f>
        <v/>
      </c>
      <c r="AQ876" s="55">
        <f>IF(LEFT(Cockpit!$O$5,1)="A",G876,IF(BT876=1,BU876,IF(LEFT(Cockpit!$O$5,1)="B",AU876,MAX(AU876,G876))))</f>
        <v/>
      </c>
      <c r="AR876" s="55">
        <f>IF(BO876=1,0,ROUNDUP(AQ876/BN876,0))</f>
        <v/>
      </c>
      <c r="AS876" s="64">
        <f>IF(BO876=1,IF(AQ876&lt;=0,0,BP876*MAX(1,IF(G876&gt;0,AQ876/G876,1))),AR876*Q876)</f>
        <v/>
      </c>
      <c r="AT876" s="55">
        <f>AQ876*F876</f>
        <v/>
      </c>
      <c r="AU876" s="55">
        <f>ROUNDUP(MAX(I876/IF(BS876&gt;0,BS876,MAX(0.1,N(Cockpit!$O$6))),BV876)/BN876,0)*BN876</f>
        <v/>
      </c>
      <c r="AV876" s="56">
        <f>IF(AS876&gt;0,I876/AS876,-1)</f>
        <v/>
      </c>
      <c r="AW876" s="56">
        <f>IF(AND(OR(BR876="L1",BR876="L23"),AS876&gt;0),SUMIFS($AS$7:$AS$1570,$BR$7:$BR$1570,BR876,$AV$7:$AV$1570,"&gt;"&amp;AV876)+SUMIFS($AS$7:$AS$1570,$BR$7:$BR$1570,BR876,$AV$7:$AV$1570,AV876,$BL$7:$BL$1570,"&lt;="&amp;BL876),"")</f>
        <v/>
      </c>
      <c r="AX876" s="65">
        <f>IF(AW876="",0,MAX(0,MIN(1,(IF(BR876="L1",Parameter!$K$5,Parameter!$K$6+Parameter!$K$7)-(AW876-AS876))/AS876)))</f>
        <v/>
      </c>
      <c r="AY876" s="53">
        <f>IF(AC876&lt;=0,"",IF(BR876="Aussen","Aussenlager",IF(BR876="-","Nicht im Lift",IF(AH876&gt;=1,"Lift",IF(AH876&lt;=0,"Aussenlager","teilweise")))))</f>
        <v/>
      </c>
      <c r="AZ876" s="53">
        <f>IF(AK876&lt;=0,"",IF(BR876="Aussen","Aussenlager",IF(BR876="-","Nicht im Lift",IF(AP876&gt;=1,"Lift",IF(AP876&lt;=0,"Aussenlager","teilweise")))))</f>
        <v/>
      </c>
      <c r="BA876" s="53">
        <f>IF(AS876&lt;=0,"",IF(BR876="Aussen","Aussenlager",IF(BR876="-","Nicht im Lift",IF(AX876&gt;=1,"Lift",IF(AX876&lt;=0,"Aussenlager","teilweise")))))</f>
        <v/>
      </c>
      <c r="BB876" s="53">
        <f>IF(A876="","",IF(BK876=1,"Neu; ","")&amp;IF(AND(BK876=0,BF876&lt;0),"negativer Bestand (Export "&amp;BF876&amp;"); ","")&amp;IF(I876&lt;=0,"Kein Verbrauch; ","")&amp;IF(BO876=1,"Lose – Fläche geschätzt; ","")&amp;IF(G876&gt;AM876,"Überbestand "&amp;ROUND(G876-AM876,0)&amp;" Stk / CHF "&amp;ROUND((G876-AM876)*F876,0)&amp;"; ","")&amp;IF(AND(BT876=1,BU876&lt;BV876),"MAX &lt; MB+LG; ","")&amp;IF(AND(BZ876&gt;0,BY876*10&gt;BZ876),"zu hoch für Tablar; ","")&amp;IF(AND(BK876=0,OR(BT876=1,V876&lt;&gt;"",S876&lt;&gt;"",T876&lt;&gt;"",W876&lt;&gt;"")),"manuell übersteuert; ","")&amp;IF(AND(BO876=0,Q876=0),"Gebinde unbekannt; ","")&amp;IF(AND(BO876=0,N(T876)&lt;=0,N(P876)&lt;=0),"Menge pro Gebinde fehlt (Ist = 1 Gebinde); ","")&amp;BJ876)</f>
        <v/>
      </c>
      <c r="BC876" s="53" t="n"/>
      <c r="BD876" s="53" t="n"/>
      <c r="BE876" s="61" t="n"/>
      <c r="BF876" s="55" t="n">
        <v>-3</v>
      </c>
      <c r="BG876" s="55" t="n">
        <v>6</v>
      </c>
      <c r="BH876" s="54" t="n">
        <v>-24.63</v>
      </c>
      <c r="BI876" s="55" t="n">
        <v>6</v>
      </c>
      <c r="BJ876" s="53" t="inlineStr"/>
      <c r="BK876" s="58" t="n">
        <v>0</v>
      </c>
      <c r="BL876" s="58" t="n">
        <v>876</v>
      </c>
      <c r="BM876" s="53">
        <f>IF(S876&lt;&gt;"",UPPER(TRIM(S876)),IF(O876="","LOSE",O876))</f>
        <v/>
      </c>
      <c r="BN876" s="55">
        <f>IF(BM876="LOSE",1,IF(N(T876)&gt;0,T876,IF(N(P876)&gt;0,P876,MAX(1,G876))))</f>
        <v/>
      </c>
      <c r="BO876" s="58">
        <f>IF(BM876="LOSE",1,0)</f>
        <v/>
      </c>
      <c r="BP876" s="64">
        <f>IF(BO876=0,0,IF(N(R876)&gt;0,R876,IFERROR(VLOOKUP(D876,Parameter!$A$35:$C$64,3,0)+0,0)))</f>
        <v/>
      </c>
      <c r="BQ876" s="53">
        <f>IF(V876&lt;&gt;"",V876,U876)</f>
        <v/>
      </c>
      <c r="BR876" s="53">
        <f>IF(BQ876=1,"L1",IF(OR(BQ876=2,BQ876=3),"L23",IF(BQ876="Aussen","Aussen","-")))</f>
        <v/>
      </c>
      <c r="BS876" s="66">
        <f>IF(N(W876)&gt;0,W876,0)</f>
        <v/>
      </c>
      <c r="BT876" s="58">
        <f>IF(ISNUMBER(Z876),1,0)</f>
        <v/>
      </c>
      <c r="BU876" s="55">
        <f>N(Z876)</f>
        <v/>
      </c>
      <c r="BV876" s="55">
        <f>N(L876)+N(M876)</f>
        <v/>
      </c>
      <c r="BW876" s="55">
        <f>ROUNDUP(G876/BN876,0)</f>
        <v/>
      </c>
      <c r="BX876" s="55">
        <f>ROUNDUP(BU876/BN876,0)</f>
        <v/>
      </c>
      <c r="BY876" s="58">
        <f>IF(BO876=1,0,IFERROR(VLOOKUP(BM876,'Gebinde-Kategorie'!$A$5:$G$45,5,0)+0,0))</f>
        <v/>
      </c>
      <c r="BZ876" s="58">
        <f>IFERROR(IF(OR(BQ876=1,BQ876=2,BQ876=3),N(INDEX(Parameter!$I$5:$I$7,BQ876)),0),0)</f>
        <v/>
      </c>
    </row>
    <row r="877">
      <c r="A877" s="53" t="inlineStr">
        <is>
          <t>105868</t>
        </is>
      </c>
      <c r="B877" s="53" t="inlineStr">
        <is>
          <t>Abdrückschraube</t>
        </is>
      </c>
      <c r="C877" s="53" t="inlineStr">
        <is>
          <t>F</t>
        </is>
      </c>
      <c r="D877" s="53" t="inlineStr">
        <is>
          <t>KTL</t>
        </is>
      </c>
      <c r="E877" s="53" t="inlineStr">
        <is>
          <t>C</t>
        </is>
      </c>
      <c r="F877" s="54" t="n">
        <v>0.5600000000000001</v>
      </c>
      <c r="G877" s="55">
        <f>MAX(0,IF(Parameter!$B$20="Jahresanfang 2025 + Export",BG877+BF877,BF877))</f>
        <v/>
      </c>
      <c r="H877" s="55">
        <f>G877*F877</f>
        <v/>
      </c>
      <c r="I877" s="55">
        <f>BI877*Parameter!$B$18</f>
        <v/>
      </c>
      <c r="J877" s="56" t="n">
        <v>466</v>
      </c>
      <c r="K877" s="57" t="n">
        <v>0.06008583690987124</v>
      </c>
      <c r="L877" s="55" t="n">
        <v>1</v>
      </c>
      <c r="M877" s="55" t="n">
        <v>30</v>
      </c>
      <c r="N877" s="58" t="n">
        <v>21</v>
      </c>
      <c r="O877" s="53" t="inlineStr">
        <is>
          <t>S51</t>
        </is>
      </c>
      <c r="P877" s="55" t="n">
        <v>471</v>
      </c>
      <c r="Q877" s="59">
        <f>IF(BO877=1,0,IFERROR(VLOOKUP(BM877,'Gebinde-Kategorie'!$A$5:$G$45,6,0)+0,0))</f>
        <v/>
      </c>
      <c r="R877" s="60" t="n"/>
      <c r="S877" s="61" t="n"/>
      <c r="T877" s="61" t="n"/>
      <c r="U877" s="53">
        <f>IF(A877="","",IF(IFERROR(VLOOKUP(D877,Parameter!$A$35:$C$64,2,0),"Nein")="2+3",IF(ISNUMBER(SEARCH("grosser Artikel",BJ877)),2,IFERROR(VLOOKUP(BM877,Parameter!$F$35:$G$64,2,0),2)),IF(OR(IFERROR(VLOOKUP(D877,Parameter!$A$35:$C$64,2,0),"Nein")="Nein",IFERROR(VLOOKUP(D877,Parameter!$A$35:$C$64,2,0),"Nein")=""),"-",VLOOKUP(D877,Parameter!$A$35:$C$64,2,0))))</f>
        <v/>
      </c>
      <c r="V877" s="61" t="n"/>
      <c r="W877" s="62" t="n"/>
      <c r="X877" s="55">
        <f>AM877</f>
        <v/>
      </c>
      <c r="Y877" s="55">
        <f>MAX(AM877,G877)</f>
        <v/>
      </c>
      <c r="Z877" s="63" t="n"/>
      <c r="AA877" s="55">
        <f>IF(LEFT(Cockpit!$C$5,1)="A",G877,IF(BT877=1,BU877,IF(LEFT(Cockpit!$C$5,1)="B",AE877,MAX(AE877,G877))))</f>
        <v/>
      </c>
      <c r="AB877" s="55">
        <f>IF(BO877=1,0,ROUNDUP(AA877/BN877,0))</f>
        <v/>
      </c>
      <c r="AC877" s="64">
        <f>IF(BO877=1,IF(AA877&lt;=0,0,BP877*MAX(1,IF(G877&gt;0,AA877/G877,1))),AB877*Q877)</f>
        <v/>
      </c>
      <c r="AD877" s="55">
        <f>AA877*F877</f>
        <v/>
      </c>
      <c r="AE877" s="55">
        <f>ROUNDUP(MAX(I877/IF(BS877&gt;0,BS877,MAX(0.1,N(Cockpit!$C$6))),BV877)/BN877,0)*BN877</f>
        <v/>
      </c>
      <c r="AF877" s="56">
        <f>IF(AC877&gt;0,I877/AC877,-1)</f>
        <v/>
      </c>
      <c r="AG877" s="56">
        <f>IF(AND(OR(BR877="L1",BR877="L23"),AC877&gt;0),SUMIFS($AC$7:$AC$1570,$BR$7:$BR$1570,BR877,$AF$7:$AF$1570,"&gt;"&amp;AF877)+SUMIFS($AC$7:$AC$1570,$BR$7:$BR$1570,BR877,$AF$7:$AF$1570,AF877,$BL$7:$BL$1570,"&lt;="&amp;BL877),"")</f>
        <v/>
      </c>
      <c r="AH877" s="65">
        <f>IF(AG877="",0,MAX(0,MIN(1,(IF(BR877="L1",Parameter!$K$5,Parameter!$K$6+Parameter!$K$7)-(AG877-AC877))/AC877)))</f>
        <v/>
      </c>
      <c r="AI877" s="55">
        <f>IF(LEFT(Cockpit!$I$5,1)="A",G877,IF(BT877=1,BU877,IF(LEFT(Cockpit!$I$5,1)="B",AM877,MAX(AM877,G877))))</f>
        <v/>
      </c>
      <c r="AJ877" s="55">
        <f>IF(BO877=1,0,ROUNDUP(AI877/BN877,0))</f>
        <v/>
      </c>
      <c r="AK877" s="64">
        <f>IF(BO877=1,IF(AI877&lt;=0,0,BP877*MAX(1,IF(G877&gt;0,AI877/G877,1))),AJ877*Q877)</f>
        <v/>
      </c>
      <c r="AL877" s="55">
        <f>AI877*F877</f>
        <v/>
      </c>
      <c r="AM877" s="55">
        <f>ROUNDUP(MAX(I877/IF(BS877&gt;0,BS877,MAX(0.1,N(Cockpit!$I$6))),BV877)/BN877,0)*BN877</f>
        <v/>
      </c>
      <c r="AN877" s="56">
        <f>IF(AK877&gt;0,I877/AK877,-1)</f>
        <v/>
      </c>
      <c r="AO877" s="56">
        <f>IF(AND(OR(BR877="L1",BR877="L23"),AK877&gt;0),SUMIFS($AK$7:$AK$1570,$BR$7:$BR$1570,BR877,$AN$7:$AN$1570,"&gt;"&amp;AN877)+SUMIFS($AK$7:$AK$1570,$BR$7:$BR$1570,BR877,$AN$7:$AN$1570,AN877,$BL$7:$BL$1570,"&lt;="&amp;BL877),"")</f>
        <v/>
      </c>
      <c r="AP877" s="65">
        <f>IF(AO877="",0,MAX(0,MIN(1,(IF(BR877="L1",Parameter!$K$5,Parameter!$K$6+Parameter!$K$7)-(AO877-AK877))/AK877)))</f>
        <v/>
      </c>
      <c r="AQ877" s="55">
        <f>IF(LEFT(Cockpit!$O$5,1)="A",G877,IF(BT877=1,BU877,IF(LEFT(Cockpit!$O$5,1)="B",AU877,MAX(AU877,G877))))</f>
        <v/>
      </c>
      <c r="AR877" s="55">
        <f>IF(BO877=1,0,ROUNDUP(AQ877/BN877,0))</f>
        <v/>
      </c>
      <c r="AS877" s="64">
        <f>IF(BO877=1,IF(AQ877&lt;=0,0,BP877*MAX(1,IF(G877&gt;0,AQ877/G877,1))),AR877*Q877)</f>
        <v/>
      </c>
      <c r="AT877" s="55">
        <f>AQ877*F877</f>
        <v/>
      </c>
      <c r="AU877" s="55">
        <f>ROUNDUP(MAX(I877/IF(BS877&gt;0,BS877,MAX(0.1,N(Cockpit!$O$6))),BV877)/BN877,0)*BN877</f>
        <v/>
      </c>
      <c r="AV877" s="56">
        <f>IF(AS877&gt;0,I877/AS877,-1)</f>
        <v/>
      </c>
      <c r="AW877" s="56">
        <f>IF(AND(OR(BR877="L1",BR877="L23"),AS877&gt;0),SUMIFS($AS$7:$AS$1570,$BR$7:$BR$1570,BR877,$AV$7:$AV$1570,"&gt;"&amp;AV877)+SUMIFS($AS$7:$AS$1570,$BR$7:$BR$1570,BR877,$AV$7:$AV$1570,AV877,$BL$7:$BL$1570,"&lt;="&amp;BL877),"")</f>
        <v/>
      </c>
      <c r="AX877" s="65">
        <f>IF(AW877="",0,MAX(0,MIN(1,(IF(BR877="L1",Parameter!$K$5,Parameter!$K$6+Parameter!$K$7)-(AW877-AS877))/AS877)))</f>
        <v/>
      </c>
      <c r="AY877" s="53">
        <f>IF(AC877&lt;=0,"",IF(BR877="Aussen","Aussenlager",IF(BR877="-","Nicht im Lift",IF(AH877&gt;=1,"Lift",IF(AH877&lt;=0,"Aussenlager","teilweise")))))</f>
        <v/>
      </c>
      <c r="AZ877" s="53">
        <f>IF(AK877&lt;=0,"",IF(BR877="Aussen","Aussenlager",IF(BR877="-","Nicht im Lift",IF(AP877&gt;=1,"Lift",IF(AP877&lt;=0,"Aussenlager","teilweise")))))</f>
        <v/>
      </c>
      <c r="BA877" s="53">
        <f>IF(AS877&lt;=0,"",IF(BR877="Aussen","Aussenlager",IF(BR877="-","Nicht im Lift",IF(AX877&gt;=1,"Lift",IF(AX877&lt;=0,"Aussenlager","teilweise")))))</f>
        <v/>
      </c>
      <c r="BB877" s="53">
        <f>IF(A877="","",IF(BK877=1,"Neu; ","")&amp;IF(AND(BK877=0,BF877&lt;0),"negativer Bestand (Export "&amp;BF877&amp;"); ","")&amp;IF(I877&lt;=0,"Kein Verbrauch; ","")&amp;IF(BO877=1,"Lose – Fläche geschätzt; ","")&amp;IF(G877&gt;AM877,"Überbestand "&amp;ROUND(G877-AM877,0)&amp;" Stk / CHF "&amp;ROUND((G877-AM877)*F877,0)&amp;"; ","")&amp;IF(AND(BT877=1,BU877&lt;BV877),"MAX &lt; MB+LG; ","")&amp;IF(AND(BZ877&gt;0,BY877*10&gt;BZ877),"zu hoch für Tablar; ","")&amp;IF(AND(BK877=0,OR(BT877=1,V877&lt;&gt;"",S877&lt;&gt;"",T877&lt;&gt;"",W877&lt;&gt;"")),"manuell übersteuert; ","")&amp;IF(AND(BO877=0,Q877=0),"Gebinde unbekannt; ","")&amp;IF(AND(BO877=0,N(T877)&lt;=0,N(P877)&lt;=0),"Menge pro Gebinde fehlt (Ist = 1 Gebinde); ","")&amp;BJ877)</f>
        <v/>
      </c>
      <c r="BC877" s="53" t="n"/>
      <c r="BD877" s="53" t="n"/>
      <c r="BE877" s="61" t="n"/>
      <c r="BF877" s="55" t="n">
        <v>-44</v>
      </c>
      <c r="BG877" s="55" t="n">
        <v>481</v>
      </c>
      <c r="BH877" s="54" t="n">
        <v>-24.64</v>
      </c>
      <c r="BI877" s="55" t="n">
        <v>28</v>
      </c>
      <c r="BJ877" s="53" t="inlineStr">
        <is>
          <t>Überbestand</t>
        </is>
      </c>
      <c r="BK877" s="58" t="n">
        <v>0</v>
      </c>
      <c r="BL877" s="58" t="n">
        <v>877</v>
      </c>
      <c r="BM877" s="53">
        <f>IF(S877&lt;&gt;"",UPPER(TRIM(S877)),IF(O877="","LOSE",O877))</f>
        <v/>
      </c>
      <c r="BN877" s="55">
        <f>IF(BM877="LOSE",1,IF(N(T877)&gt;0,T877,IF(N(P877)&gt;0,P877,MAX(1,G877))))</f>
        <v/>
      </c>
      <c r="BO877" s="58">
        <f>IF(BM877="LOSE",1,0)</f>
        <v/>
      </c>
      <c r="BP877" s="64">
        <f>IF(BO877=0,0,IF(N(R877)&gt;0,R877,IFERROR(VLOOKUP(D877,Parameter!$A$35:$C$64,3,0)+0,0)))</f>
        <v/>
      </c>
      <c r="BQ877" s="53">
        <f>IF(V877&lt;&gt;"",V877,U877)</f>
        <v/>
      </c>
      <c r="BR877" s="53">
        <f>IF(BQ877=1,"L1",IF(OR(BQ877=2,BQ877=3),"L23",IF(BQ877="Aussen","Aussen","-")))</f>
        <v/>
      </c>
      <c r="BS877" s="66">
        <f>IF(N(W877)&gt;0,W877,0)</f>
        <v/>
      </c>
      <c r="BT877" s="58">
        <f>IF(ISNUMBER(Z877),1,0)</f>
        <v/>
      </c>
      <c r="BU877" s="55">
        <f>N(Z877)</f>
        <v/>
      </c>
      <c r="BV877" s="55">
        <f>N(L877)+N(M877)</f>
        <v/>
      </c>
      <c r="BW877" s="55">
        <f>ROUNDUP(G877/BN877,0)</f>
        <v/>
      </c>
      <c r="BX877" s="55">
        <f>ROUNDUP(BU877/BN877,0)</f>
        <v/>
      </c>
      <c r="BY877" s="58">
        <f>IF(BO877=1,0,IFERROR(VLOOKUP(BM877,'Gebinde-Kategorie'!$A$5:$G$45,5,0)+0,0))</f>
        <v/>
      </c>
      <c r="BZ877" s="58">
        <f>IFERROR(IF(OR(BQ877=1,BQ877=2,BQ877=3),N(INDEX(Parameter!$I$5:$I$7,BQ877)),0),0)</f>
        <v/>
      </c>
    </row>
    <row r="878">
      <c r="A878" s="53" t="inlineStr">
        <is>
          <t>005760</t>
        </is>
      </c>
      <c r="B878" s="53" t="inlineStr">
        <is>
          <t>Zugfederklemme</t>
        </is>
      </c>
      <c r="C878" s="53" t="inlineStr">
        <is>
          <t>F</t>
        </is>
      </c>
      <c r="D878" s="53" t="inlineStr">
        <is>
          <t>KTL</t>
        </is>
      </c>
      <c r="E878" s="53" t="inlineStr">
        <is>
          <t>C</t>
        </is>
      </c>
      <c r="F878" s="54" t="n">
        <v>0.85</v>
      </c>
      <c r="G878" s="55">
        <f>MAX(0,IF(Parameter!$B$20="Jahresanfang 2025 + Export",BG878+BF878,BF878))</f>
        <v/>
      </c>
      <c r="H878" s="55">
        <f>G878*F878</f>
        <v/>
      </c>
      <c r="I878" s="55">
        <f>BI878*Parameter!$B$18</f>
        <v/>
      </c>
      <c r="J878" s="56" t="n">
        <v>32.5</v>
      </c>
      <c r="K878" s="57" t="n">
        <v>0</v>
      </c>
      <c r="L878" s="55" t="n">
        <v>0</v>
      </c>
      <c r="M878" s="55" t="n">
        <v>1</v>
      </c>
      <c r="N878" s="58" t="n">
        <v>42</v>
      </c>
      <c r="O878" s="53" t="inlineStr">
        <is>
          <t>S41</t>
        </is>
      </c>
      <c r="P878" s="55" t="n">
        <v>50</v>
      </c>
      <c r="Q878" s="59">
        <f>IF(BO878=1,0,IFERROR(VLOOKUP(BM878,'Gebinde-Kategorie'!$A$5:$G$45,6,0)+0,0))</f>
        <v/>
      </c>
      <c r="R878" s="60" t="n"/>
      <c r="S878" s="61" t="n"/>
      <c r="T878" s="61" t="n"/>
      <c r="U878" s="53">
        <f>IF(A878="","",IF(IFERROR(VLOOKUP(D878,Parameter!$A$35:$C$64,2,0),"Nein")="2+3",IF(ISNUMBER(SEARCH("grosser Artikel",BJ878)),2,IFERROR(VLOOKUP(BM878,Parameter!$F$35:$G$64,2,0),2)),IF(OR(IFERROR(VLOOKUP(D878,Parameter!$A$35:$C$64,2,0),"Nein")="Nein",IFERROR(VLOOKUP(D878,Parameter!$A$35:$C$64,2,0),"Nein")=""),"-",VLOOKUP(D878,Parameter!$A$35:$C$64,2,0))))</f>
        <v/>
      </c>
      <c r="V878" s="61" t="n"/>
      <c r="W878" s="62" t="n"/>
      <c r="X878" s="55">
        <f>AM878</f>
        <v/>
      </c>
      <c r="Y878" s="55">
        <f>MAX(AM878,G878)</f>
        <v/>
      </c>
      <c r="Z878" s="63" t="n"/>
      <c r="AA878" s="55">
        <f>IF(LEFT(Cockpit!$C$5,1)="A",G878,IF(BT878=1,BU878,IF(LEFT(Cockpit!$C$5,1)="B",AE878,MAX(AE878,G878))))</f>
        <v/>
      </c>
      <c r="AB878" s="55">
        <f>IF(BO878=1,0,ROUNDUP(AA878/BN878,0))</f>
        <v/>
      </c>
      <c r="AC878" s="64">
        <f>IF(BO878=1,IF(AA878&lt;=0,0,BP878*MAX(1,IF(G878&gt;0,AA878/G878,1))),AB878*Q878)</f>
        <v/>
      </c>
      <c r="AD878" s="55">
        <f>AA878*F878</f>
        <v/>
      </c>
      <c r="AE878" s="55">
        <f>ROUNDUP(MAX(I878/IF(BS878&gt;0,BS878,MAX(0.1,N(Cockpit!$C$6))),BV878)/BN878,0)*BN878</f>
        <v/>
      </c>
      <c r="AF878" s="56">
        <f>IF(AC878&gt;0,I878/AC878,-1)</f>
        <v/>
      </c>
      <c r="AG878" s="56">
        <f>IF(AND(OR(BR878="L1",BR878="L23"),AC878&gt;0),SUMIFS($AC$7:$AC$1570,$BR$7:$BR$1570,BR878,$AF$7:$AF$1570,"&gt;"&amp;AF878)+SUMIFS($AC$7:$AC$1570,$BR$7:$BR$1570,BR878,$AF$7:$AF$1570,AF878,$BL$7:$BL$1570,"&lt;="&amp;BL878),"")</f>
        <v/>
      </c>
      <c r="AH878" s="65">
        <f>IF(AG878="",0,MAX(0,MIN(1,(IF(BR878="L1",Parameter!$K$5,Parameter!$K$6+Parameter!$K$7)-(AG878-AC878))/AC878)))</f>
        <v/>
      </c>
      <c r="AI878" s="55">
        <f>IF(LEFT(Cockpit!$I$5,1)="A",G878,IF(BT878=1,BU878,IF(LEFT(Cockpit!$I$5,1)="B",AM878,MAX(AM878,G878))))</f>
        <v/>
      </c>
      <c r="AJ878" s="55">
        <f>IF(BO878=1,0,ROUNDUP(AI878/BN878,0))</f>
        <v/>
      </c>
      <c r="AK878" s="64">
        <f>IF(BO878=1,IF(AI878&lt;=0,0,BP878*MAX(1,IF(G878&gt;0,AI878/G878,1))),AJ878*Q878)</f>
        <v/>
      </c>
      <c r="AL878" s="55">
        <f>AI878*F878</f>
        <v/>
      </c>
      <c r="AM878" s="55">
        <f>ROUNDUP(MAX(I878/IF(BS878&gt;0,BS878,MAX(0.1,N(Cockpit!$I$6))),BV878)/BN878,0)*BN878</f>
        <v/>
      </c>
      <c r="AN878" s="56">
        <f>IF(AK878&gt;0,I878/AK878,-1)</f>
        <v/>
      </c>
      <c r="AO878" s="56">
        <f>IF(AND(OR(BR878="L1",BR878="L23"),AK878&gt;0),SUMIFS($AK$7:$AK$1570,$BR$7:$BR$1570,BR878,$AN$7:$AN$1570,"&gt;"&amp;AN878)+SUMIFS($AK$7:$AK$1570,$BR$7:$BR$1570,BR878,$AN$7:$AN$1570,AN878,$BL$7:$BL$1570,"&lt;="&amp;BL878),"")</f>
        <v/>
      </c>
      <c r="AP878" s="65">
        <f>IF(AO878="",0,MAX(0,MIN(1,(IF(BR878="L1",Parameter!$K$5,Parameter!$K$6+Parameter!$K$7)-(AO878-AK878))/AK878)))</f>
        <v/>
      </c>
      <c r="AQ878" s="55">
        <f>IF(LEFT(Cockpit!$O$5,1)="A",G878,IF(BT878=1,BU878,IF(LEFT(Cockpit!$O$5,1)="B",AU878,MAX(AU878,G878))))</f>
        <v/>
      </c>
      <c r="AR878" s="55">
        <f>IF(BO878=1,0,ROUNDUP(AQ878/BN878,0))</f>
        <v/>
      </c>
      <c r="AS878" s="64">
        <f>IF(BO878=1,IF(AQ878&lt;=0,0,BP878*MAX(1,IF(G878&gt;0,AQ878/G878,1))),AR878*Q878)</f>
        <v/>
      </c>
      <c r="AT878" s="55">
        <f>AQ878*F878</f>
        <v/>
      </c>
      <c r="AU878" s="55">
        <f>ROUNDUP(MAX(I878/IF(BS878&gt;0,BS878,MAX(0.1,N(Cockpit!$O$6))),BV878)/BN878,0)*BN878</f>
        <v/>
      </c>
      <c r="AV878" s="56">
        <f>IF(AS878&gt;0,I878/AS878,-1)</f>
        <v/>
      </c>
      <c r="AW878" s="56">
        <f>IF(AND(OR(BR878="L1",BR878="L23"),AS878&gt;0),SUMIFS($AS$7:$AS$1570,$BR$7:$BR$1570,BR878,$AV$7:$AV$1570,"&gt;"&amp;AV878)+SUMIFS($AS$7:$AS$1570,$BR$7:$BR$1570,BR878,$AV$7:$AV$1570,AV878,$BL$7:$BL$1570,"&lt;="&amp;BL878),"")</f>
        <v/>
      </c>
      <c r="AX878" s="65">
        <f>IF(AW878="",0,MAX(0,MIN(1,(IF(BR878="L1",Parameter!$K$5,Parameter!$K$6+Parameter!$K$7)-(AW878-AS878))/AS878)))</f>
        <v/>
      </c>
      <c r="AY878" s="53">
        <f>IF(AC878&lt;=0,"",IF(BR878="Aussen","Aussenlager",IF(BR878="-","Nicht im Lift",IF(AH878&gt;=1,"Lift",IF(AH878&lt;=0,"Aussenlager","teilweise")))))</f>
        <v/>
      </c>
      <c r="AZ878" s="53">
        <f>IF(AK878&lt;=0,"",IF(BR878="Aussen","Aussenlager",IF(BR878="-","Nicht im Lift",IF(AP878&gt;=1,"Lift",IF(AP878&lt;=0,"Aussenlager","teilweise")))))</f>
        <v/>
      </c>
      <c r="BA878" s="53">
        <f>IF(AS878&lt;=0,"",IF(BR878="Aussen","Aussenlager",IF(BR878="-","Nicht im Lift",IF(AX878&gt;=1,"Lift",IF(AX878&lt;=0,"Aussenlager","teilweise")))))</f>
        <v/>
      </c>
      <c r="BB878" s="53">
        <f>IF(A878="","",IF(BK878=1,"Neu; ","")&amp;IF(AND(BK878=0,BF878&lt;0),"negativer Bestand (Export "&amp;BF878&amp;"); ","")&amp;IF(I878&lt;=0,"Kein Verbrauch; ","")&amp;IF(BO878=1,"Lose – Fläche geschätzt; ","")&amp;IF(G878&gt;AM878,"Überbestand "&amp;ROUND(G878-AM878,0)&amp;" Stk / CHF "&amp;ROUND((G878-AM878)*F878,0)&amp;"; ","")&amp;IF(AND(BT878=1,BU878&lt;BV878),"MAX &lt; MB+LG; ","")&amp;IF(AND(BZ878&gt;0,BY878*10&gt;BZ878),"zu hoch für Tablar; ","")&amp;IF(AND(BK878=0,OR(BT878=1,V878&lt;&gt;"",S878&lt;&gt;"",T878&lt;&gt;"",W878&lt;&gt;"")),"manuell übersteuert; ","")&amp;IF(AND(BO878=0,Q878=0),"Gebinde unbekannt; ","")&amp;IF(AND(BO878=0,N(T878)&lt;=0,N(P878)&lt;=0),"Menge pro Gebinde fehlt (Ist = 1 Gebinde); ","")&amp;BJ878)</f>
        <v/>
      </c>
      <c r="BC878" s="53" t="n"/>
      <c r="BD878" s="53" t="n"/>
      <c r="BE878" s="61" t="n"/>
      <c r="BF878" s="55" t="n">
        <v>-35</v>
      </c>
      <c r="BG878" s="55" t="n">
        <v>50</v>
      </c>
      <c r="BH878" s="54" t="n">
        <v>-24.75</v>
      </c>
      <c r="BI878" s="55" t="n">
        <v>0</v>
      </c>
      <c r="BJ878" s="53" t="inlineStr">
        <is>
          <t>Überbestand</t>
        </is>
      </c>
      <c r="BK878" s="58" t="n">
        <v>0</v>
      </c>
      <c r="BL878" s="58" t="n">
        <v>878</v>
      </c>
      <c r="BM878" s="53">
        <f>IF(S878&lt;&gt;"",UPPER(TRIM(S878)),IF(O878="","LOSE",O878))</f>
        <v/>
      </c>
      <c r="BN878" s="55">
        <f>IF(BM878="LOSE",1,IF(N(T878)&gt;0,T878,IF(N(P878)&gt;0,P878,MAX(1,G878))))</f>
        <v/>
      </c>
      <c r="BO878" s="58">
        <f>IF(BM878="LOSE",1,0)</f>
        <v/>
      </c>
      <c r="BP878" s="64">
        <f>IF(BO878=0,0,IF(N(R878)&gt;0,R878,IFERROR(VLOOKUP(D878,Parameter!$A$35:$C$64,3,0)+0,0)))</f>
        <v/>
      </c>
      <c r="BQ878" s="53">
        <f>IF(V878&lt;&gt;"",V878,U878)</f>
        <v/>
      </c>
      <c r="BR878" s="53">
        <f>IF(BQ878=1,"L1",IF(OR(BQ878=2,BQ878=3),"L23",IF(BQ878="Aussen","Aussen","-")))</f>
        <v/>
      </c>
      <c r="BS878" s="66">
        <f>IF(N(W878)&gt;0,W878,0)</f>
        <v/>
      </c>
      <c r="BT878" s="58">
        <f>IF(ISNUMBER(Z878),1,0)</f>
        <v/>
      </c>
      <c r="BU878" s="55">
        <f>N(Z878)</f>
        <v/>
      </c>
      <c r="BV878" s="55">
        <f>N(L878)+N(M878)</f>
        <v/>
      </c>
      <c r="BW878" s="55">
        <f>ROUNDUP(G878/BN878,0)</f>
        <v/>
      </c>
      <c r="BX878" s="55">
        <f>ROUNDUP(BU878/BN878,0)</f>
        <v/>
      </c>
      <c r="BY878" s="58">
        <f>IF(BO878=1,0,IFERROR(VLOOKUP(BM878,'Gebinde-Kategorie'!$A$5:$G$45,5,0)+0,0))</f>
        <v/>
      </c>
      <c r="BZ878" s="58">
        <f>IFERROR(IF(OR(BQ878=1,BQ878=2,BQ878=3),N(INDEX(Parameter!$I$5:$I$7,BQ878)),0),0)</f>
        <v/>
      </c>
    </row>
    <row r="879">
      <c r="A879" s="53" t="inlineStr">
        <is>
          <t>100443</t>
        </is>
      </c>
      <c r="B879" s="53" t="inlineStr">
        <is>
          <t>Zylinderschraube mit Innensechskant</t>
        </is>
      </c>
      <c r="C879" s="53" t="inlineStr">
        <is>
          <t>F</t>
        </is>
      </c>
      <c r="D879" s="53" t="inlineStr">
        <is>
          <t>KTL</t>
        </is>
      </c>
      <c r="E879" s="53" t="inlineStr">
        <is>
          <t>C</t>
        </is>
      </c>
      <c r="F879" s="54" t="n">
        <v>0.04</v>
      </c>
      <c r="G879" s="55">
        <f>MAX(0,IF(Parameter!$B$20="Jahresanfang 2025 + Export",BG879+BF879,BF879))</f>
        <v/>
      </c>
      <c r="H879" s="55">
        <f>G879*F879</f>
        <v/>
      </c>
      <c r="I879" s="55">
        <f>BI879*Parameter!$B$18</f>
        <v/>
      </c>
      <c r="J879" s="56" t="n">
        <v>638.5</v>
      </c>
      <c r="K879" s="57" t="n">
        <v>0.557556773688332</v>
      </c>
      <c r="L879" s="55" t="n">
        <v>20</v>
      </c>
      <c r="M879" s="55" t="n">
        <v>355</v>
      </c>
      <c r="N879" s="58" t="n">
        <v>21</v>
      </c>
      <c r="O879" s="53" t="inlineStr">
        <is>
          <t>S32</t>
        </is>
      </c>
      <c r="P879" s="55" t="n">
        <v>1419</v>
      </c>
      <c r="Q879" s="59">
        <f>IF(BO879=1,0,IFERROR(VLOOKUP(BM879,'Gebinde-Kategorie'!$A$5:$G$45,6,0)+0,0))</f>
        <v/>
      </c>
      <c r="R879" s="60" t="n"/>
      <c r="S879" s="61" t="n"/>
      <c r="T879" s="61" t="n"/>
      <c r="U879" s="53">
        <f>IF(A879="","",IF(IFERROR(VLOOKUP(D879,Parameter!$A$35:$C$64,2,0),"Nein")="2+3",IF(ISNUMBER(SEARCH("grosser Artikel",BJ879)),2,IFERROR(VLOOKUP(BM879,Parameter!$F$35:$G$64,2,0),2)),IF(OR(IFERROR(VLOOKUP(D879,Parameter!$A$35:$C$64,2,0),"Nein")="Nein",IFERROR(VLOOKUP(D879,Parameter!$A$35:$C$64,2,0),"Nein")=""),"-",VLOOKUP(D879,Parameter!$A$35:$C$64,2,0))))</f>
        <v/>
      </c>
      <c r="V879" s="61" t="n"/>
      <c r="W879" s="62" t="n"/>
      <c r="X879" s="55">
        <f>AM879</f>
        <v/>
      </c>
      <c r="Y879" s="55">
        <f>MAX(AM879,G879)</f>
        <v/>
      </c>
      <c r="Z879" s="63" t="n"/>
      <c r="AA879" s="55">
        <f>IF(LEFT(Cockpit!$C$5,1)="A",G879,IF(BT879=1,BU879,IF(LEFT(Cockpit!$C$5,1)="B",AE879,MAX(AE879,G879))))</f>
        <v/>
      </c>
      <c r="AB879" s="55">
        <f>IF(BO879=1,0,ROUNDUP(AA879/BN879,0))</f>
        <v/>
      </c>
      <c r="AC879" s="64">
        <f>IF(BO879=1,IF(AA879&lt;=0,0,BP879*MAX(1,IF(G879&gt;0,AA879/G879,1))),AB879*Q879)</f>
        <v/>
      </c>
      <c r="AD879" s="55">
        <f>AA879*F879</f>
        <v/>
      </c>
      <c r="AE879" s="55">
        <f>ROUNDUP(MAX(I879/IF(BS879&gt;0,BS879,MAX(0.1,N(Cockpit!$C$6))),BV879)/BN879,0)*BN879</f>
        <v/>
      </c>
      <c r="AF879" s="56">
        <f>IF(AC879&gt;0,I879/AC879,-1)</f>
        <v/>
      </c>
      <c r="AG879" s="56">
        <f>IF(AND(OR(BR879="L1",BR879="L23"),AC879&gt;0),SUMIFS($AC$7:$AC$1570,$BR$7:$BR$1570,BR879,$AF$7:$AF$1570,"&gt;"&amp;AF879)+SUMIFS($AC$7:$AC$1570,$BR$7:$BR$1570,BR879,$AF$7:$AF$1570,AF879,$BL$7:$BL$1570,"&lt;="&amp;BL879),"")</f>
        <v/>
      </c>
      <c r="AH879" s="65">
        <f>IF(AG879="",0,MAX(0,MIN(1,(IF(BR879="L1",Parameter!$K$5,Parameter!$K$6+Parameter!$K$7)-(AG879-AC879))/AC879)))</f>
        <v/>
      </c>
      <c r="AI879" s="55">
        <f>IF(LEFT(Cockpit!$I$5,1)="A",G879,IF(BT879=1,BU879,IF(LEFT(Cockpit!$I$5,1)="B",AM879,MAX(AM879,G879))))</f>
        <v/>
      </c>
      <c r="AJ879" s="55">
        <f>IF(BO879=1,0,ROUNDUP(AI879/BN879,0))</f>
        <v/>
      </c>
      <c r="AK879" s="64">
        <f>IF(BO879=1,IF(AI879&lt;=0,0,BP879*MAX(1,IF(G879&gt;0,AI879/G879,1))),AJ879*Q879)</f>
        <v/>
      </c>
      <c r="AL879" s="55">
        <f>AI879*F879</f>
        <v/>
      </c>
      <c r="AM879" s="55">
        <f>ROUNDUP(MAX(I879/IF(BS879&gt;0,BS879,MAX(0.1,N(Cockpit!$I$6))),BV879)/BN879,0)*BN879</f>
        <v/>
      </c>
      <c r="AN879" s="56">
        <f>IF(AK879&gt;0,I879/AK879,-1)</f>
        <v/>
      </c>
      <c r="AO879" s="56">
        <f>IF(AND(OR(BR879="L1",BR879="L23"),AK879&gt;0),SUMIFS($AK$7:$AK$1570,$BR$7:$BR$1570,BR879,$AN$7:$AN$1570,"&gt;"&amp;AN879)+SUMIFS($AK$7:$AK$1570,$BR$7:$BR$1570,BR879,$AN$7:$AN$1570,AN879,$BL$7:$BL$1570,"&lt;="&amp;BL879),"")</f>
        <v/>
      </c>
      <c r="AP879" s="65">
        <f>IF(AO879="",0,MAX(0,MIN(1,(IF(BR879="L1",Parameter!$K$5,Parameter!$K$6+Parameter!$K$7)-(AO879-AK879))/AK879)))</f>
        <v/>
      </c>
      <c r="AQ879" s="55">
        <f>IF(LEFT(Cockpit!$O$5,1)="A",G879,IF(BT879=1,BU879,IF(LEFT(Cockpit!$O$5,1)="B",AU879,MAX(AU879,G879))))</f>
        <v/>
      </c>
      <c r="AR879" s="55">
        <f>IF(BO879=1,0,ROUNDUP(AQ879/BN879,0))</f>
        <v/>
      </c>
      <c r="AS879" s="64">
        <f>IF(BO879=1,IF(AQ879&lt;=0,0,BP879*MAX(1,IF(G879&gt;0,AQ879/G879,1))),AR879*Q879)</f>
        <v/>
      </c>
      <c r="AT879" s="55">
        <f>AQ879*F879</f>
        <v/>
      </c>
      <c r="AU879" s="55">
        <f>ROUNDUP(MAX(I879/IF(BS879&gt;0,BS879,MAX(0.1,N(Cockpit!$O$6))),BV879)/BN879,0)*BN879</f>
        <v/>
      </c>
      <c r="AV879" s="56">
        <f>IF(AS879&gt;0,I879/AS879,-1)</f>
        <v/>
      </c>
      <c r="AW879" s="56">
        <f>IF(AND(OR(BR879="L1",BR879="L23"),AS879&gt;0),SUMIFS($AS$7:$AS$1570,$BR$7:$BR$1570,BR879,$AV$7:$AV$1570,"&gt;"&amp;AV879)+SUMIFS($AS$7:$AS$1570,$BR$7:$BR$1570,BR879,$AV$7:$AV$1570,AV879,$BL$7:$BL$1570,"&lt;="&amp;BL879),"")</f>
        <v/>
      </c>
      <c r="AX879" s="65">
        <f>IF(AW879="",0,MAX(0,MIN(1,(IF(BR879="L1",Parameter!$K$5,Parameter!$K$6+Parameter!$K$7)-(AW879-AS879))/AS879)))</f>
        <v/>
      </c>
      <c r="AY879" s="53">
        <f>IF(AC879&lt;=0,"",IF(BR879="Aussen","Aussenlager",IF(BR879="-","Nicht im Lift",IF(AH879&gt;=1,"Lift",IF(AH879&lt;=0,"Aussenlager","teilweise")))))</f>
        <v/>
      </c>
      <c r="AZ879" s="53">
        <f>IF(AK879&lt;=0,"",IF(BR879="Aussen","Aussenlager",IF(BR879="-","Nicht im Lift",IF(AP879&gt;=1,"Lift",IF(AP879&lt;=0,"Aussenlager","teilweise")))))</f>
        <v/>
      </c>
      <c r="BA879" s="53">
        <f>IF(AS879&lt;=0,"",IF(BR879="Aussen","Aussenlager",IF(BR879="-","Nicht im Lift",IF(AX879&gt;=1,"Lift",IF(AX879&lt;=0,"Aussenlager","teilweise")))))</f>
        <v/>
      </c>
      <c r="BB879" s="53">
        <f>IF(A879="","",IF(BK879=1,"Neu; ","")&amp;IF(AND(BK879=0,BF879&lt;0),"negativer Bestand (Export "&amp;BF879&amp;"); ","")&amp;IF(I879&lt;=0,"Kein Verbrauch; ","")&amp;IF(BO879=1,"Lose – Fläche geschätzt; ","")&amp;IF(G879&gt;AM879,"Überbestand "&amp;ROUND(G879-AM879,0)&amp;" Stk / CHF "&amp;ROUND((G879-AM879)*F879,0)&amp;"; ","")&amp;IF(AND(BT879=1,BU879&lt;BV879),"MAX &lt; MB+LG; ","")&amp;IF(AND(BZ879&gt;0,BY879*10&gt;BZ879),"zu hoch für Tablar; ","")&amp;IF(AND(BK879=0,OR(BT879=1,V879&lt;&gt;"",S879&lt;&gt;"",T879&lt;&gt;"",W879&lt;&gt;"")),"manuell übersteuert; ","")&amp;IF(AND(BO879=0,Q879=0),"Gebinde unbekannt; ","")&amp;IF(AND(BO879=0,N(T879)&lt;=0,N(P879)&lt;=0),"Menge pro Gebinde fehlt (Ist = 1 Gebinde); ","")&amp;BJ879)</f>
        <v/>
      </c>
      <c r="BC879" s="53" t="n"/>
      <c r="BD879" s="53" t="n"/>
      <c r="BE879" s="61" t="n"/>
      <c r="BF879" s="55" t="n">
        <v>-657</v>
      </c>
      <c r="BG879" s="55" t="n">
        <v>1076</v>
      </c>
      <c r="BH879" s="54" t="n">
        <v>-26.28000000000001</v>
      </c>
      <c r="BI879" s="55" t="n">
        <v>356</v>
      </c>
      <c r="BJ879" s="53" t="inlineStr"/>
      <c r="BK879" s="58" t="n">
        <v>0</v>
      </c>
      <c r="BL879" s="58" t="n">
        <v>879</v>
      </c>
      <c r="BM879" s="53">
        <f>IF(S879&lt;&gt;"",UPPER(TRIM(S879)),IF(O879="","LOSE",O879))</f>
        <v/>
      </c>
      <c r="BN879" s="55">
        <f>IF(BM879="LOSE",1,IF(N(T879)&gt;0,T879,IF(N(P879)&gt;0,P879,MAX(1,G879))))</f>
        <v/>
      </c>
      <c r="BO879" s="58">
        <f>IF(BM879="LOSE",1,0)</f>
        <v/>
      </c>
      <c r="BP879" s="64">
        <f>IF(BO879=0,0,IF(N(R879)&gt;0,R879,IFERROR(VLOOKUP(D879,Parameter!$A$35:$C$64,3,0)+0,0)))</f>
        <v/>
      </c>
      <c r="BQ879" s="53">
        <f>IF(V879&lt;&gt;"",V879,U879)</f>
        <v/>
      </c>
      <c r="BR879" s="53">
        <f>IF(BQ879=1,"L1",IF(OR(BQ879=2,BQ879=3),"L23",IF(BQ879="Aussen","Aussen","-")))</f>
        <v/>
      </c>
      <c r="BS879" s="66">
        <f>IF(N(W879)&gt;0,W879,0)</f>
        <v/>
      </c>
      <c r="BT879" s="58">
        <f>IF(ISNUMBER(Z879),1,0)</f>
        <v/>
      </c>
      <c r="BU879" s="55">
        <f>N(Z879)</f>
        <v/>
      </c>
      <c r="BV879" s="55">
        <f>N(L879)+N(M879)</f>
        <v/>
      </c>
      <c r="BW879" s="55">
        <f>ROUNDUP(G879/BN879,0)</f>
        <v/>
      </c>
      <c r="BX879" s="55">
        <f>ROUNDUP(BU879/BN879,0)</f>
        <v/>
      </c>
      <c r="BY879" s="58">
        <f>IF(BO879=1,0,IFERROR(VLOOKUP(BM879,'Gebinde-Kategorie'!$A$5:$G$45,5,0)+0,0))</f>
        <v/>
      </c>
      <c r="BZ879" s="58">
        <f>IFERROR(IF(OR(BQ879=1,BQ879=2,BQ879=3),N(INDEX(Parameter!$I$5:$I$7,BQ879)),0),0)</f>
        <v/>
      </c>
    </row>
    <row r="880">
      <c r="A880" s="53" t="inlineStr">
        <is>
          <t>102279</t>
        </is>
      </c>
      <c r="B880" s="53" t="inlineStr">
        <is>
          <t>Spannschloss</t>
        </is>
      </c>
      <c r="C880" s="53" t="inlineStr">
        <is>
          <t>F</t>
        </is>
      </c>
      <c r="D880" s="53" t="inlineStr">
        <is>
          <t>KTL</t>
        </is>
      </c>
      <c r="E880" s="53" t="inlineStr">
        <is>
          <t>C</t>
        </is>
      </c>
      <c r="F880" s="54" t="n">
        <v>3.68</v>
      </c>
      <c r="G880" s="55">
        <f>MAX(0,IF(Parameter!$B$20="Jahresanfang 2025 + Export",BG880+BF880,BF880))</f>
        <v/>
      </c>
      <c r="H880" s="55">
        <f>G880*F880</f>
        <v/>
      </c>
      <c r="I880" s="55">
        <f>BI880*Parameter!$B$18</f>
        <v/>
      </c>
      <c r="J880" s="56" t="n">
        <v>50</v>
      </c>
      <c r="K880" s="57" t="n">
        <v>1.48</v>
      </c>
      <c r="L880" s="55" t="n">
        <v>4</v>
      </c>
      <c r="M880" s="55" t="n">
        <v>50</v>
      </c>
      <c r="N880" s="58" t="n">
        <v>30</v>
      </c>
      <c r="O880" s="53" t="inlineStr">
        <is>
          <t>S51</t>
        </is>
      </c>
      <c r="P880" s="55" t="n">
        <v>30</v>
      </c>
      <c r="Q880" s="59">
        <f>IF(BO880=1,0,IFERROR(VLOOKUP(BM880,'Gebinde-Kategorie'!$A$5:$G$45,6,0)+0,0))</f>
        <v/>
      </c>
      <c r="R880" s="60" t="n"/>
      <c r="S880" s="61" t="n"/>
      <c r="T880" s="61" t="n"/>
      <c r="U880" s="53">
        <f>IF(A880="","",IF(IFERROR(VLOOKUP(D880,Parameter!$A$35:$C$64,2,0),"Nein")="2+3",IF(ISNUMBER(SEARCH("grosser Artikel",BJ880)),2,IFERROR(VLOOKUP(BM880,Parameter!$F$35:$G$64,2,0),2)),IF(OR(IFERROR(VLOOKUP(D880,Parameter!$A$35:$C$64,2,0),"Nein")="Nein",IFERROR(VLOOKUP(D880,Parameter!$A$35:$C$64,2,0),"Nein")=""),"-",VLOOKUP(D880,Parameter!$A$35:$C$64,2,0))))</f>
        <v/>
      </c>
      <c r="V880" s="61" t="n"/>
      <c r="W880" s="62" t="n"/>
      <c r="X880" s="55">
        <f>AM880</f>
        <v/>
      </c>
      <c r="Y880" s="55">
        <f>MAX(AM880,G880)</f>
        <v/>
      </c>
      <c r="Z880" s="63" t="n"/>
      <c r="AA880" s="55">
        <f>IF(LEFT(Cockpit!$C$5,1)="A",G880,IF(BT880=1,BU880,IF(LEFT(Cockpit!$C$5,1)="B",AE880,MAX(AE880,G880))))</f>
        <v/>
      </c>
      <c r="AB880" s="55">
        <f>IF(BO880=1,0,ROUNDUP(AA880/BN880,0))</f>
        <v/>
      </c>
      <c r="AC880" s="64">
        <f>IF(BO880=1,IF(AA880&lt;=0,0,BP880*MAX(1,IF(G880&gt;0,AA880/G880,1))),AB880*Q880)</f>
        <v/>
      </c>
      <c r="AD880" s="55">
        <f>AA880*F880</f>
        <v/>
      </c>
      <c r="AE880" s="55">
        <f>ROUNDUP(MAX(I880/IF(BS880&gt;0,BS880,MAX(0.1,N(Cockpit!$C$6))),BV880)/BN880,0)*BN880</f>
        <v/>
      </c>
      <c r="AF880" s="56">
        <f>IF(AC880&gt;0,I880/AC880,-1)</f>
        <v/>
      </c>
      <c r="AG880" s="56">
        <f>IF(AND(OR(BR880="L1",BR880="L23"),AC880&gt;0),SUMIFS($AC$7:$AC$1570,$BR$7:$BR$1570,BR880,$AF$7:$AF$1570,"&gt;"&amp;AF880)+SUMIFS($AC$7:$AC$1570,$BR$7:$BR$1570,BR880,$AF$7:$AF$1570,AF880,$BL$7:$BL$1570,"&lt;="&amp;BL880),"")</f>
        <v/>
      </c>
      <c r="AH880" s="65">
        <f>IF(AG880="",0,MAX(0,MIN(1,(IF(BR880="L1",Parameter!$K$5,Parameter!$K$6+Parameter!$K$7)-(AG880-AC880))/AC880)))</f>
        <v/>
      </c>
      <c r="AI880" s="55">
        <f>IF(LEFT(Cockpit!$I$5,1)="A",G880,IF(BT880=1,BU880,IF(LEFT(Cockpit!$I$5,1)="B",AM880,MAX(AM880,G880))))</f>
        <v/>
      </c>
      <c r="AJ880" s="55">
        <f>IF(BO880=1,0,ROUNDUP(AI880/BN880,0))</f>
        <v/>
      </c>
      <c r="AK880" s="64">
        <f>IF(BO880=1,IF(AI880&lt;=0,0,BP880*MAX(1,IF(G880&gt;0,AI880/G880,1))),AJ880*Q880)</f>
        <v/>
      </c>
      <c r="AL880" s="55">
        <f>AI880*F880</f>
        <v/>
      </c>
      <c r="AM880" s="55">
        <f>ROUNDUP(MAX(I880/IF(BS880&gt;0,BS880,MAX(0.1,N(Cockpit!$I$6))),BV880)/BN880,0)*BN880</f>
        <v/>
      </c>
      <c r="AN880" s="56">
        <f>IF(AK880&gt;0,I880/AK880,-1)</f>
        <v/>
      </c>
      <c r="AO880" s="56">
        <f>IF(AND(OR(BR880="L1",BR880="L23"),AK880&gt;0),SUMIFS($AK$7:$AK$1570,$BR$7:$BR$1570,BR880,$AN$7:$AN$1570,"&gt;"&amp;AN880)+SUMIFS($AK$7:$AK$1570,$BR$7:$BR$1570,BR880,$AN$7:$AN$1570,AN880,$BL$7:$BL$1570,"&lt;="&amp;BL880),"")</f>
        <v/>
      </c>
      <c r="AP880" s="65">
        <f>IF(AO880="",0,MAX(0,MIN(1,(IF(BR880="L1",Parameter!$K$5,Parameter!$K$6+Parameter!$K$7)-(AO880-AK880))/AK880)))</f>
        <v/>
      </c>
      <c r="AQ880" s="55">
        <f>IF(LEFT(Cockpit!$O$5,1)="A",G880,IF(BT880=1,BU880,IF(LEFT(Cockpit!$O$5,1)="B",AU880,MAX(AU880,G880))))</f>
        <v/>
      </c>
      <c r="AR880" s="55">
        <f>IF(BO880=1,0,ROUNDUP(AQ880/BN880,0))</f>
        <v/>
      </c>
      <c r="AS880" s="64">
        <f>IF(BO880=1,IF(AQ880&lt;=0,0,BP880*MAX(1,IF(G880&gt;0,AQ880/G880,1))),AR880*Q880)</f>
        <v/>
      </c>
      <c r="AT880" s="55">
        <f>AQ880*F880</f>
        <v/>
      </c>
      <c r="AU880" s="55">
        <f>ROUNDUP(MAX(I880/IF(BS880&gt;0,BS880,MAX(0.1,N(Cockpit!$O$6))),BV880)/BN880,0)*BN880</f>
        <v/>
      </c>
      <c r="AV880" s="56">
        <f>IF(AS880&gt;0,I880/AS880,-1)</f>
        <v/>
      </c>
      <c r="AW880" s="56">
        <f>IF(AND(OR(BR880="L1",BR880="L23"),AS880&gt;0),SUMIFS($AS$7:$AS$1570,$BR$7:$BR$1570,BR880,$AV$7:$AV$1570,"&gt;"&amp;AV880)+SUMIFS($AS$7:$AS$1570,$BR$7:$BR$1570,BR880,$AV$7:$AV$1570,AV880,$BL$7:$BL$1570,"&lt;="&amp;BL880),"")</f>
        <v/>
      </c>
      <c r="AX880" s="65">
        <f>IF(AW880="",0,MAX(0,MIN(1,(IF(BR880="L1",Parameter!$K$5,Parameter!$K$6+Parameter!$K$7)-(AW880-AS880))/AS880)))</f>
        <v/>
      </c>
      <c r="AY880" s="53">
        <f>IF(AC880&lt;=0,"",IF(BR880="Aussen","Aussenlager",IF(BR880="-","Nicht im Lift",IF(AH880&gt;=1,"Lift",IF(AH880&lt;=0,"Aussenlager","teilweise")))))</f>
        <v/>
      </c>
      <c r="AZ880" s="53">
        <f>IF(AK880&lt;=0,"",IF(BR880="Aussen","Aussenlager",IF(BR880="-","Nicht im Lift",IF(AP880&gt;=1,"Lift",IF(AP880&lt;=0,"Aussenlager","teilweise")))))</f>
        <v/>
      </c>
      <c r="BA880" s="53">
        <f>IF(AS880&lt;=0,"",IF(BR880="Aussen","Aussenlager",IF(BR880="-","Nicht im Lift",IF(AX880&gt;=1,"Lift",IF(AX880&lt;=0,"Aussenlager","teilweise")))))</f>
        <v/>
      </c>
      <c r="BB880" s="53">
        <f>IF(A880="","",IF(BK880=1,"Neu; ","")&amp;IF(AND(BK880=0,BF880&lt;0),"negativer Bestand (Export "&amp;BF880&amp;"); ","")&amp;IF(I880&lt;=0,"Kein Verbrauch; ","")&amp;IF(BO880=1,"Lose – Fläche geschätzt; ","")&amp;IF(G880&gt;AM880,"Überbestand "&amp;ROUND(G880-AM880,0)&amp;" Stk / CHF "&amp;ROUND((G880-AM880)*F880,0)&amp;"; ","")&amp;IF(AND(BT880=1,BU880&lt;BV880),"MAX &lt; MB+LG; ","")&amp;IF(AND(BZ880&gt;0,BY880*10&gt;BZ880),"zu hoch für Tablar; ","")&amp;IF(AND(BK880=0,OR(BT880=1,V880&lt;&gt;"",S880&lt;&gt;"",T880&lt;&gt;"",W880&lt;&gt;"")),"manuell übersteuert; ","")&amp;IF(AND(BO880=0,Q880=0),"Gebinde unbekannt; ","")&amp;IF(AND(BO880=0,N(T880)&lt;=0,N(P880)&lt;=0),"Menge pro Gebinde fehlt (Ist = 1 Gebinde); ","")&amp;BJ880)</f>
        <v/>
      </c>
      <c r="BC880" s="53" t="n"/>
      <c r="BD880" s="53" t="n"/>
      <c r="BE880" s="61" t="n"/>
      <c r="BF880" s="55" t="n">
        <v>-8</v>
      </c>
      <c r="BG880" s="55" t="n">
        <v>37</v>
      </c>
      <c r="BH880" s="54" t="n">
        <v>-26.85000000000002</v>
      </c>
      <c r="BI880" s="55" t="n">
        <v>74</v>
      </c>
      <c r="BJ880" s="53" t="inlineStr"/>
      <c r="BK880" s="58" t="n">
        <v>0</v>
      </c>
      <c r="BL880" s="58" t="n">
        <v>880</v>
      </c>
      <c r="BM880" s="53">
        <f>IF(S880&lt;&gt;"",UPPER(TRIM(S880)),IF(O880="","LOSE",O880))</f>
        <v/>
      </c>
      <c r="BN880" s="55">
        <f>IF(BM880="LOSE",1,IF(N(T880)&gt;0,T880,IF(N(P880)&gt;0,P880,MAX(1,G880))))</f>
        <v/>
      </c>
      <c r="BO880" s="58">
        <f>IF(BM880="LOSE",1,0)</f>
        <v/>
      </c>
      <c r="BP880" s="64">
        <f>IF(BO880=0,0,IF(N(R880)&gt;0,R880,IFERROR(VLOOKUP(D880,Parameter!$A$35:$C$64,3,0)+0,0)))</f>
        <v/>
      </c>
      <c r="BQ880" s="53">
        <f>IF(V880&lt;&gt;"",V880,U880)</f>
        <v/>
      </c>
      <c r="BR880" s="53">
        <f>IF(BQ880=1,"L1",IF(OR(BQ880=2,BQ880=3),"L23",IF(BQ880="Aussen","Aussen","-")))</f>
        <v/>
      </c>
      <c r="BS880" s="66">
        <f>IF(N(W880)&gt;0,W880,0)</f>
        <v/>
      </c>
      <c r="BT880" s="58">
        <f>IF(ISNUMBER(Z880),1,0)</f>
        <v/>
      </c>
      <c r="BU880" s="55">
        <f>N(Z880)</f>
        <v/>
      </c>
      <c r="BV880" s="55">
        <f>N(L880)+N(M880)</f>
        <v/>
      </c>
      <c r="BW880" s="55">
        <f>ROUNDUP(G880/BN880,0)</f>
        <v/>
      </c>
      <c r="BX880" s="55">
        <f>ROUNDUP(BU880/BN880,0)</f>
        <v/>
      </c>
      <c r="BY880" s="58">
        <f>IF(BO880=1,0,IFERROR(VLOOKUP(BM880,'Gebinde-Kategorie'!$A$5:$G$45,5,0)+0,0))</f>
        <v/>
      </c>
      <c r="BZ880" s="58">
        <f>IFERROR(IF(OR(BQ880=1,BQ880=2,BQ880=3),N(INDEX(Parameter!$I$5:$I$7,BQ880)),0),0)</f>
        <v/>
      </c>
    </row>
    <row r="881">
      <c r="A881" s="53" t="inlineStr">
        <is>
          <t>001042</t>
        </is>
      </c>
      <c r="B881" s="53" t="inlineStr">
        <is>
          <t>Verschlussbeutel gross</t>
        </is>
      </c>
      <c r="C881" s="53" t="inlineStr">
        <is>
          <t>F</t>
        </is>
      </c>
      <c r="D881" s="53" t="inlineStr">
        <is>
          <t>KTL</t>
        </is>
      </c>
      <c r="E881" s="53" t="inlineStr">
        <is>
          <t>C</t>
        </is>
      </c>
      <c r="F881" s="54" t="n">
        <v>0.18</v>
      </c>
      <c r="G881" s="55">
        <f>MAX(0,IF(Parameter!$B$20="Jahresanfang 2025 + Export",BG881+BF881,BF881))</f>
        <v/>
      </c>
      <c r="H881" s="55">
        <f>G881*F881</f>
        <v/>
      </c>
      <c r="I881" s="55">
        <f>BI881*Parameter!$B$18</f>
        <v/>
      </c>
      <c r="J881" s="56" t="n">
        <v>675</v>
      </c>
      <c r="K881" s="57" t="n">
        <v>0.4444444444444444</v>
      </c>
      <c r="L881" s="55" t="n">
        <v>17</v>
      </c>
      <c r="M881" s="55" t="n">
        <v>1000</v>
      </c>
      <c r="N881" s="58" t="n">
        <v>21</v>
      </c>
      <c r="O881" s="53" t="inlineStr">
        <is>
          <t>S61</t>
        </is>
      </c>
      <c r="P881" s="55" t="n">
        <v>850</v>
      </c>
      <c r="Q881" s="59">
        <f>IF(BO881=1,0,IFERROR(VLOOKUP(BM881,'Gebinde-Kategorie'!$A$5:$G$45,6,0)+0,0))</f>
        <v/>
      </c>
      <c r="R881" s="60" t="n"/>
      <c r="S881" s="61" t="n"/>
      <c r="T881" s="61" t="n"/>
      <c r="U881" s="53">
        <f>IF(A881="","",IF(IFERROR(VLOOKUP(D881,Parameter!$A$35:$C$64,2,0),"Nein")="2+3",IF(ISNUMBER(SEARCH("grosser Artikel",BJ881)),2,IFERROR(VLOOKUP(BM881,Parameter!$F$35:$G$64,2,0),2)),IF(OR(IFERROR(VLOOKUP(D881,Parameter!$A$35:$C$64,2,0),"Nein")="Nein",IFERROR(VLOOKUP(D881,Parameter!$A$35:$C$64,2,0),"Nein")=""),"-",VLOOKUP(D881,Parameter!$A$35:$C$64,2,0))))</f>
        <v/>
      </c>
      <c r="V881" s="61" t="n"/>
      <c r="W881" s="62" t="n"/>
      <c r="X881" s="55">
        <f>AM881</f>
        <v/>
      </c>
      <c r="Y881" s="55">
        <f>MAX(AM881,G881)</f>
        <v/>
      </c>
      <c r="Z881" s="63" t="n"/>
      <c r="AA881" s="55">
        <f>IF(LEFT(Cockpit!$C$5,1)="A",G881,IF(BT881=1,BU881,IF(LEFT(Cockpit!$C$5,1)="B",AE881,MAX(AE881,G881))))</f>
        <v/>
      </c>
      <c r="AB881" s="55">
        <f>IF(BO881=1,0,ROUNDUP(AA881/BN881,0))</f>
        <v/>
      </c>
      <c r="AC881" s="64">
        <f>IF(BO881=1,IF(AA881&lt;=0,0,BP881*MAX(1,IF(G881&gt;0,AA881/G881,1))),AB881*Q881)</f>
        <v/>
      </c>
      <c r="AD881" s="55">
        <f>AA881*F881</f>
        <v/>
      </c>
      <c r="AE881" s="55">
        <f>ROUNDUP(MAX(I881/IF(BS881&gt;0,BS881,MAX(0.1,N(Cockpit!$C$6))),BV881)/BN881,0)*BN881</f>
        <v/>
      </c>
      <c r="AF881" s="56">
        <f>IF(AC881&gt;0,I881/AC881,-1)</f>
        <v/>
      </c>
      <c r="AG881" s="56">
        <f>IF(AND(OR(BR881="L1",BR881="L23"),AC881&gt;0),SUMIFS($AC$7:$AC$1570,$BR$7:$BR$1570,BR881,$AF$7:$AF$1570,"&gt;"&amp;AF881)+SUMIFS($AC$7:$AC$1570,$BR$7:$BR$1570,BR881,$AF$7:$AF$1570,AF881,$BL$7:$BL$1570,"&lt;="&amp;BL881),"")</f>
        <v/>
      </c>
      <c r="AH881" s="65">
        <f>IF(AG881="",0,MAX(0,MIN(1,(IF(BR881="L1",Parameter!$K$5,Parameter!$K$6+Parameter!$K$7)-(AG881-AC881))/AC881)))</f>
        <v/>
      </c>
      <c r="AI881" s="55">
        <f>IF(LEFT(Cockpit!$I$5,1)="A",G881,IF(BT881=1,BU881,IF(LEFT(Cockpit!$I$5,1)="B",AM881,MAX(AM881,G881))))</f>
        <v/>
      </c>
      <c r="AJ881" s="55">
        <f>IF(BO881=1,0,ROUNDUP(AI881/BN881,0))</f>
        <v/>
      </c>
      <c r="AK881" s="64">
        <f>IF(BO881=1,IF(AI881&lt;=0,0,BP881*MAX(1,IF(G881&gt;0,AI881/G881,1))),AJ881*Q881)</f>
        <v/>
      </c>
      <c r="AL881" s="55">
        <f>AI881*F881</f>
        <v/>
      </c>
      <c r="AM881" s="55">
        <f>ROUNDUP(MAX(I881/IF(BS881&gt;0,BS881,MAX(0.1,N(Cockpit!$I$6))),BV881)/BN881,0)*BN881</f>
        <v/>
      </c>
      <c r="AN881" s="56">
        <f>IF(AK881&gt;0,I881/AK881,-1)</f>
        <v/>
      </c>
      <c r="AO881" s="56">
        <f>IF(AND(OR(BR881="L1",BR881="L23"),AK881&gt;0),SUMIFS($AK$7:$AK$1570,$BR$7:$BR$1570,BR881,$AN$7:$AN$1570,"&gt;"&amp;AN881)+SUMIFS($AK$7:$AK$1570,$BR$7:$BR$1570,BR881,$AN$7:$AN$1570,AN881,$BL$7:$BL$1570,"&lt;="&amp;BL881),"")</f>
        <v/>
      </c>
      <c r="AP881" s="65">
        <f>IF(AO881="",0,MAX(0,MIN(1,(IF(BR881="L1",Parameter!$K$5,Parameter!$K$6+Parameter!$K$7)-(AO881-AK881))/AK881)))</f>
        <v/>
      </c>
      <c r="AQ881" s="55">
        <f>IF(LEFT(Cockpit!$O$5,1)="A",G881,IF(BT881=1,BU881,IF(LEFT(Cockpit!$O$5,1)="B",AU881,MAX(AU881,G881))))</f>
        <v/>
      </c>
      <c r="AR881" s="55">
        <f>IF(BO881=1,0,ROUNDUP(AQ881/BN881,0))</f>
        <v/>
      </c>
      <c r="AS881" s="64">
        <f>IF(BO881=1,IF(AQ881&lt;=0,0,BP881*MAX(1,IF(G881&gt;0,AQ881/G881,1))),AR881*Q881)</f>
        <v/>
      </c>
      <c r="AT881" s="55">
        <f>AQ881*F881</f>
        <v/>
      </c>
      <c r="AU881" s="55">
        <f>ROUNDUP(MAX(I881/IF(BS881&gt;0,BS881,MAX(0.1,N(Cockpit!$O$6))),BV881)/BN881,0)*BN881</f>
        <v/>
      </c>
      <c r="AV881" s="56">
        <f>IF(AS881&gt;0,I881/AS881,-1)</f>
        <v/>
      </c>
      <c r="AW881" s="56">
        <f>IF(AND(OR(BR881="L1",BR881="L23"),AS881&gt;0),SUMIFS($AS$7:$AS$1570,$BR$7:$BR$1570,BR881,$AV$7:$AV$1570,"&gt;"&amp;AV881)+SUMIFS($AS$7:$AS$1570,$BR$7:$BR$1570,BR881,$AV$7:$AV$1570,AV881,$BL$7:$BL$1570,"&lt;="&amp;BL881),"")</f>
        <v/>
      </c>
      <c r="AX881" s="65">
        <f>IF(AW881="",0,MAX(0,MIN(1,(IF(BR881="L1",Parameter!$K$5,Parameter!$K$6+Parameter!$K$7)-(AW881-AS881))/AS881)))</f>
        <v/>
      </c>
      <c r="AY881" s="53">
        <f>IF(AC881&lt;=0,"",IF(BR881="Aussen","Aussenlager",IF(BR881="-","Nicht im Lift",IF(AH881&gt;=1,"Lift",IF(AH881&lt;=0,"Aussenlager","teilweise")))))</f>
        <v/>
      </c>
      <c r="AZ881" s="53">
        <f>IF(AK881&lt;=0,"",IF(BR881="Aussen","Aussenlager",IF(BR881="-","Nicht im Lift",IF(AP881&gt;=1,"Lift",IF(AP881&lt;=0,"Aussenlager","teilweise")))))</f>
        <v/>
      </c>
      <c r="BA881" s="53">
        <f>IF(AS881&lt;=0,"",IF(BR881="Aussen","Aussenlager",IF(BR881="-","Nicht im Lift",IF(AX881&gt;=1,"Lift",IF(AX881&lt;=0,"Aussenlager","teilweise")))))</f>
        <v/>
      </c>
      <c r="BB881" s="53">
        <f>IF(A881="","",IF(BK881=1,"Neu; ","")&amp;IF(AND(BK881=0,BF881&lt;0),"negativer Bestand (Export "&amp;BF881&amp;"); ","")&amp;IF(I881&lt;=0,"Kein Verbrauch; ","")&amp;IF(BO881=1,"Lose – Fläche geschätzt; ","")&amp;IF(G881&gt;AM881,"Überbestand "&amp;ROUND(G881-AM881,0)&amp;" Stk / CHF "&amp;ROUND((G881-AM881)*F881,0)&amp;"; ","")&amp;IF(AND(BT881=1,BU881&lt;BV881),"MAX &lt; MB+LG; ","")&amp;IF(AND(BZ881&gt;0,BY881*10&gt;BZ881),"zu hoch für Tablar; ","")&amp;IF(AND(BK881=0,OR(BT881=1,V881&lt;&gt;"",S881&lt;&gt;"",T881&lt;&gt;"",W881&lt;&gt;"")),"manuell übersteuert; ","")&amp;IF(AND(BO881=0,Q881=0),"Gebinde unbekannt; ","")&amp;IF(AND(BO881=0,N(T881)&lt;=0,N(P881)&lt;=0),"Menge pro Gebinde fehlt (Ist = 1 Gebinde); ","")&amp;BJ881)</f>
        <v/>
      </c>
      <c r="BC881" s="53" t="n"/>
      <c r="BD881" s="53" t="n"/>
      <c r="BE881" s="61" t="n"/>
      <c r="BF881" s="55" t="n">
        <v>-151</v>
      </c>
      <c r="BG881" s="55" t="n">
        <v>1100</v>
      </c>
      <c r="BH881" s="54" t="n">
        <v>-27.18000000000001</v>
      </c>
      <c r="BI881" s="55" t="n">
        <v>300</v>
      </c>
      <c r="BJ881" s="53" t="inlineStr"/>
      <c r="BK881" s="58" t="n">
        <v>0</v>
      </c>
      <c r="BL881" s="58" t="n">
        <v>881</v>
      </c>
      <c r="BM881" s="53">
        <f>IF(S881&lt;&gt;"",UPPER(TRIM(S881)),IF(O881="","LOSE",O881))</f>
        <v/>
      </c>
      <c r="BN881" s="55">
        <f>IF(BM881="LOSE",1,IF(N(T881)&gt;0,T881,IF(N(P881)&gt;0,P881,MAX(1,G881))))</f>
        <v/>
      </c>
      <c r="BO881" s="58">
        <f>IF(BM881="LOSE",1,0)</f>
        <v/>
      </c>
      <c r="BP881" s="64">
        <f>IF(BO881=0,0,IF(N(R881)&gt;0,R881,IFERROR(VLOOKUP(D881,Parameter!$A$35:$C$64,3,0)+0,0)))</f>
        <v/>
      </c>
      <c r="BQ881" s="53">
        <f>IF(V881&lt;&gt;"",V881,U881)</f>
        <v/>
      </c>
      <c r="BR881" s="53">
        <f>IF(BQ881=1,"L1",IF(OR(BQ881=2,BQ881=3),"L23",IF(BQ881="Aussen","Aussen","-")))</f>
        <v/>
      </c>
      <c r="BS881" s="66">
        <f>IF(N(W881)&gt;0,W881,0)</f>
        <v/>
      </c>
      <c r="BT881" s="58">
        <f>IF(ISNUMBER(Z881),1,0)</f>
        <v/>
      </c>
      <c r="BU881" s="55">
        <f>N(Z881)</f>
        <v/>
      </c>
      <c r="BV881" s="55">
        <f>N(L881)+N(M881)</f>
        <v/>
      </c>
      <c r="BW881" s="55">
        <f>ROUNDUP(G881/BN881,0)</f>
        <v/>
      </c>
      <c r="BX881" s="55">
        <f>ROUNDUP(BU881/BN881,0)</f>
        <v/>
      </c>
      <c r="BY881" s="58">
        <f>IF(BO881=1,0,IFERROR(VLOOKUP(BM881,'Gebinde-Kategorie'!$A$5:$G$45,5,0)+0,0))</f>
        <v/>
      </c>
      <c r="BZ881" s="58">
        <f>IFERROR(IF(OR(BQ881=1,BQ881=2,BQ881=3),N(INDEX(Parameter!$I$5:$I$7,BQ881)),0),0)</f>
        <v/>
      </c>
    </row>
    <row r="882">
      <c r="A882" s="53" t="inlineStr">
        <is>
          <t>101573</t>
        </is>
      </c>
      <c r="B882" s="53" t="inlineStr">
        <is>
          <t>Stützring</t>
        </is>
      </c>
      <c r="C882" s="53" t="inlineStr">
        <is>
          <t>F</t>
        </is>
      </c>
      <c r="D882" s="53" t="inlineStr">
        <is>
          <t>KTL</t>
        </is>
      </c>
      <c r="E882" s="53" t="inlineStr">
        <is>
          <t>C</t>
        </is>
      </c>
      <c r="F882" s="54" t="n">
        <v>1.78</v>
      </c>
      <c r="G882" s="55">
        <f>MAX(0,IF(Parameter!$B$20="Jahresanfang 2025 + Export",BG882+BF882,BF882))</f>
        <v/>
      </c>
      <c r="H882" s="55">
        <f>G882*F882</f>
        <v/>
      </c>
      <c r="I882" s="55">
        <f>BI882*Parameter!$B$18</f>
        <v/>
      </c>
      <c r="J882" s="56" t="n">
        <v>180</v>
      </c>
      <c r="K882" s="57" t="n">
        <v>1.038888888888889</v>
      </c>
      <c r="L882" s="55" t="n">
        <v>7</v>
      </c>
      <c r="M882" s="55" t="n">
        <v>185</v>
      </c>
      <c r="N882" s="58" t="n">
        <v>14</v>
      </c>
      <c r="O882" s="53" t="inlineStr">
        <is>
          <t>S22</t>
        </is>
      </c>
      <c r="P882" s="55" t="n">
        <v>547</v>
      </c>
      <c r="Q882" s="59">
        <f>IF(BO882=1,0,IFERROR(VLOOKUP(BM882,'Gebinde-Kategorie'!$A$5:$G$45,6,0)+0,0))</f>
        <v/>
      </c>
      <c r="R882" s="60" t="n"/>
      <c r="S882" s="61" t="n"/>
      <c r="T882" s="61" t="n"/>
      <c r="U882" s="53">
        <f>IF(A882="","",IF(IFERROR(VLOOKUP(D882,Parameter!$A$35:$C$64,2,0),"Nein")="2+3",IF(ISNUMBER(SEARCH("grosser Artikel",BJ882)),2,IFERROR(VLOOKUP(BM882,Parameter!$F$35:$G$64,2,0),2)),IF(OR(IFERROR(VLOOKUP(D882,Parameter!$A$35:$C$64,2,0),"Nein")="Nein",IFERROR(VLOOKUP(D882,Parameter!$A$35:$C$64,2,0),"Nein")=""),"-",VLOOKUP(D882,Parameter!$A$35:$C$64,2,0))))</f>
        <v/>
      </c>
      <c r="V882" s="61" t="n"/>
      <c r="W882" s="62" t="n"/>
      <c r="X882" s="55">
        <f>AM882</f>
        <v/>
      </c>
      <c r="Y882" s="55">
        <f>MAX(AM882,G882)</f>
        <v/>
      </c>
      <c r="Z882" s="63" t="n"/>
      <c r="AA882" s="55">
        <f>IF(LEFT(Cockpit!$C$5,1)="A",G882,IF(BT882=1,BU882,IF(LEFT(Cockpit!$C$5,1)="B",AE882,MAX(AE882,G882))))</f>
        <v/>
      </c>
      <c r="AB882" s="55">
        <f>IF(BO882=1,0,ROUNDUP(AA882/BN882,0))</f>
        <v/>
      </c>
      <c r="AC882" s="64">
        <f>IF(BO882=1,IF(AA882&lt;=0,0,BP882*MAX(1,IF(G882&gt;0,AA882/G882,1))),AB882*Q882)</f>
        <v/>
      </c>
      <c r="AD882" s="55">
        <f>AA882*F882</f>
        <v/>
      </c>
      <c r="AE882" s="55">
        <f>ROUNDUP(MAX(I882/IF(BS882&gt;0,BS882,MAX(0.1,N(Cockpit!$C$6))),BV882)/BN882,0)*BN882</f>
        <v/>
      </c>
      <c r="AF882" s="56">
        <f>IF(AC882&gt;0,I882/AC882,-1)</f>
        <v/>
      </c>
      <c r="AG882" s="56">
        <f>IF(AND(OR(BR882="L1",BR882="L23"),AC882&gt;0),SUMIFS($AC$7:$AC$1570,$BR$7:$BR$1570,BR882,$AF$7:$AF$1570,"&gt;"&amp;AF882)+SUMIFS($AC$7:$AC$1570,$BR$7:$BR$1570,BR882,$AF$7:$AF$1570,AF882,$BL$7:$BL$1570,"&lt;="&amp;BL882),"")</f>
        <v/>
      </c>
      <c r="AH882" s="65">
        <f>IF(AG882="",0,MAX(0,MIN(1,(IF(BR882="L1",Parameter!$K$5,Parameter!$K$6+Parameter!$K$7)-(AG882-AC882))/AC882)))</f>
        <v/>
      </c>
      <c r="AI882" s="55">
        <f>IF(LEFT(Cockpit!$I$5,1)="A",G882,IF(BT882=1,BU882,IF(LEFT(Cockpit!$I$5,1)="B",AM882,MAX(AM882,G882))))</f>
        <v/>
      </c>
      <c r="AJ882" s="55">
        <f>IF(BO882=1,0,ROUNDUP(AI882/BN882,0))</f>
        <v/>
      </c>
      <c r="AK882" s="64">
        <f>IF(BO882=1,IF(AI882&lt;=0,0,BP882*MAX(1,IF(G882&gt;0,AI882/G882,1))),AJ882*Q882)</f>
        <v/>
      </c>
      <c r="AL882" s="55">
        <f>AI882*F882</f>
        <v/>
      </c>
      <c r="AM882" s="55">
        <f>ROUNDUP(MAX(I882/IF(BS882&gt;0,BS882,MAX(0.1,N(Cockpit!$I$6))),BV882)/BN882,0)*BN882</f>
        <v/>
      </c>
      <c r="AN882" s="56">
        <f>IF(AK882&gt;0,I882/AK882,-1)</f>
        <v/>
      </c>
      <c r="AO882" s="56">
        <f>IF(AND(OR(BR882="L1",BR882="L23"),AK882&gt;0),SUMIFS($AK$7:$AK$1570,$BR$7:$BR$1570,BR882,$AN$7:$AN$1570,"&gt;"&amp;AN882)+SUMIFS($AK$7:$AK$1570,$BR$7:$BR$1570,BR882,$AN$7:$AN$1570,AN882,$BL$7:$BL$1570,"&lt;="&amp;BL882),"")</f>
        <v/>
      </c>
      <c r="AP882" s="65">
        <f>IF(AO882="",0,MAX(0,MIN(1,(IF(BR882="L1",Parameter!$K$5,Parameter!$K$6+Parameter!$K$7)-(AO882-AK882))/AK882)))</f>
        <v/>
      </c>
      <c r="AQ882" s="55">
        <f>IF(LEFT(Cockpit!$O$5,1)="A",G882,IF(BT882=1,BU882,IF(LEFT(Cockpit!$O$5,1)="B",AU882,MAX(AU882,G882))))</f>
        <v/>
      </c>
      <c r="AR882" s="55">
        <f>IF(BO882=1,0,ROUNDUP(AQ882/BN882,0))</f>
        <v/>
      </c>
      <c r="AS882" s="64">
        <f>IF(BO882=1,IF(AQ882&lt;=0,0,BP882*MAX(1,IF(G882&gt;0,AQ882/G882,1))),AR882*Q882)</f>
        <v/>
      </c>
      <c r="AT882" s="55">
        <f>AQ882*F882</f>
        <v/>
      </c>
      <c r="AU882" s="55">
        <f>ROUNDUP(MAX(I882/IF(BS882&gt;0,BS882,MAX(0.1,N(Cockpit!$O$6))),BV882)/BN882,0)*BN882</f>
        <v/>
      </c>
      <c r="AV882" s="56">
        <f>IF(AS882&gt;0,I882/AS882,-1)</f>
        <v/>
      </c>
      <c r="AW882" s="56">
        <f>IF(AND(OR(BR882="L1",BR882="L23"),AS882&gt;0),SUMIFS($AS$7:$AS$1570,$BR$7:$BR$1570,BR882,$AV$7:$AV$1570,"&gt;"&amp;AV882)+SUMIFS($AS$7:$AS$1570,$BR$7:$BR$1570,BR882,$AV$7:$AV$1570,AV882,$BL$7:$BL$1570,"&lt;="&amp;BL882),"")</f>
        <v/>
      </c>
      <c r="AX882" s="65">
        <f>IF(AW882="",0,MAX(0,MIN(1,(IF(BR882="L1",Parameter!$K$5,Parameter!$K$6+Parameter!$K$7)-(AW882-AS882))/AS882)))</f>
        <v/>
      </c>
      <c r="AY882" s="53">
        <f>IF(AC882&lt;=0,"",IF(BR882="Aussen","Aussenlager",IF(BR882="-","Nicht im Lift",IF(AH882&gt;=1,"Lift",IF(AH882&lt;=0,"Aussenlager","teilweise")))))</f>
        <v/>
      </c>
      <c r="AZ882" s="53">
        <f>IF(AK882&lt;=0,"",IF(BR882="Aussen","Aussenlager",IF(BR882="-","Nicht im Lift",IF(AP882&gt;=1,"Lift",IF(AP882&lt;=0,"Aussenlager","teilweise")))))</f>
        <v/>
      </c>
      <c r="BA882" s="53">
        <f>IF(AS882&lt;=0,"",IF(BR882="Aussen","Aussenlager",IF(BR882="-","Nicht im Lift",IF(AX882&gt;=1,"Lift",IF(AX882&lt;=0,"Aussenlager","teilweise")))))</f>
        <v/>
      </c>
      <c r="BB882" s="53">
        <f>IF(A882="","",IF(BK882=1,"Neu; ","")&amp;IF(AND(BK882=0,BF882&lt;0),"negativer Bestand (Export "&amp;BF882&amp;"); ","")&amp;IF(I882&lt;=0,"Kein Verbrauch; ","")&amp;IF(BO882=1,"Lose – Fläche geschätzt; ","")&amp;IF(G882&gt;AM882,"Überbestand "&amp;ROUND(G882-AM882,0)&amp;" Stk / CHF "&amp;ROUND((G882-AM882)*F882,0)&amp;"; ","")&amp;IF(AND(BT882=1,BU882&lt;BV882),"MAX &lt; MB+LG; ","")&amp;IF(AND(BZ882&gt;0,BY882*10&gt;BZ882),"zu hoch für Tablar; ","")&amp;IF(AND(BK882=0,OR(BT882=1,V882&lt;&gt;"",S882&lt;&gt;"",T882&lt;&gt;"",W882&lt;&gt;"")),"manuell übersteuert; ","")&amp;IF(AND(BO882=0,Q882=0),"Gebinde unbekannt; ","")&amp;IF(AND(BO882=0,N(T882)&lt;=0,N(P882)&lt;=0),"Menge pro Gebinde fehlt (Ist = 1 Gebinde); ","")&amp;BJ882)</f>
        <v/>
      </c>
      <c r="BC882" s="53" t="n"/>
      <c r="BD882" s="53" t="n"/>
      <c r="BE882" s="61" t="n"/>
      <c r="BF882" s="55" t="n">
        <v>-14</v>
      </c>
      <c r="BG882" s="55" t="n">
        <v>118</v>
      </c>
      <c r="BH882" s="54" t="n">
        <v>-27.18000000000009</v>
      </c>
      <c r="BI882" s="55" t="n">
        <v>187</v>
      </c>
      <c r="BJ882" s="53" t="inlineStr"/>
      <c r="BK882" s="58" t="n">
        <v>0</v>
      </c>
      <c r="BL882" s="58" t="n">
        <v>882</v>
      </c>
      <c r="BM882" s="53">
        <f>IF(S882&lt;&gt;"",UPPER(TRIM(S882)),IF(O882="","LOSE",O882))</f>
        <v/>
      </c>
      <c r="BN882" s="55">
        <f>IF(BM882="LOSE",1,IF(N(T882)&gt;0,T882,IF(N(P882)&gt;0,P882,MAX(1,G882))))</f>
        <v/>
      </c>
      <c r="BO882" s="58">
        <f>IF(BM882="LOSE",1,0)</f>
        <v/>
      </c>
      <c r="BP882" s="64">
        <f>IF(BO882=0,0,IF(N(R882)&gt;0,R882,IFERROR(VLOOKUP(D882,Parameter!$A$35:$C$64,3,0)+0,0)))</f>
        <v/>
      </c>
      <c r="BQ882" s="53">
        <f>IF(V882&lt;&gt;"",V882,U882)</f>
        <v/>
      </c>
      <c r="BR882" s="53">
        <f>IF(BQ882=1,"L1",IF(OR(BQ882=2,BQ882=3),"L23",IF(BQ882="Aussen","Aussen","-")))</f>
        <v/>
      </c>
      <c r="BS882" s="66">
        <f>IF(N(W882)&gt;0,W882,0)</f>
        <v/>
      </c>
      <c r="BT882" s="58">
        <f>IF(ISNUMBER(Z882),1,0)</f>
        <v/>
      </c>
      <c r="BU882" s="55">
        <f>N(Z882)</f>
        <v/>
      </c>
      <c r="BV882" s="55">
        <f>N(L882)+N(M882)</f>
        <v/>
      </c>
      <c r="BW882" s="55">
        <f>ROUNDUP(G882/BN882,0)</f>
        <v/>
      </c>
      <c r="BX882" s="55">
        <f>ROUNDUP(BU882/BN882,0)</f>
        <v/>
      </c>
      <c r="BY882" s="58">
        <f>IF(BO882=1,0,IFERROR(VLOOKUP(BM882,'Gebinde-Kategorie'!$A$5:$G$45,5,0)+0,0))</f>
        <v/>
      </c>
      <c r="BZ882" s="58">
        <f>IFERROR(IF(OR(BQ882=1,BQ882=2,BQ882=3),N(INDEX(Parameter!$I$5:$I$7,BQ882)),0),0)</f>
        <v/>
      </c>
    </row>
    <row r="883">
      <c r="A883" s="53" t="inlineStr">
        <is>
          <t>108132</t>
        </is>
      </c>
      <c r="B883" s="53" t="inlineStr">
        <is>
          <t>Verschlussplatte zu Ventilblock</t>
        </is>
      </c>
      <c r="C883" s="53" t="inlineStr">
        <is>
          <t>F</t>
        </is>
      </c>
      <c r="D883" s="53" t="inlineStr">
        <is>
          <t>KTL</t>
        </is>
      </c>
      <c r="E883" s="53" t="inlineStr">
        <is>
          <t>C</t>
        </is>
      </c>
      <c r="F883" s="54" t="n">
        <v>27.73</v>
      </c>
      <c r="G883" s="55">
        <f>MAX(0,IF(Parameter!$B$20="Jahresanfang 2025 + Export",BG883+BF883,BF883))</f>
        <v/>
      </c>
      <c r="H883" s="55">
        <f>G883*F883</f>
        <v/>
      </c>
      <c r="I883" s="55">
        <f>BI883*Parameter!$B$18</f>
        <v/>
      </c>
      <c r="J883" s="56" t="n">
        <v>27.5</v>
      </c>
      <c r="K883" s="57" t="n">
        <v>0.03636363636363636</v>
      </c>
      <c r="L883" s="55" t="n">
        <v>0</v>
      </c>
      <c r="M883" s="55" t="n">
        <v>1</v>
      </c>
      <c r="N883" s="58" t="n">
        <v>21</v>
      </c>
      <c r="O883" s="53" t="inlineStr">
        <is>
          <t>S32</t>
        </is>
      </c>
      <c r="P883" s="55" t="n">
        <v>36</v>
      </c>
      <c r="Q883" s="59">
        <f>IF(BO883=1,0,IFERROR(VLOOKUP(BM883,'Gebinde-Kategorie'!$A$5:$G$45,6,0)+0,0))</f>
        <v/>
      </c>
      <c r="R883" s="60" t="n"/>
      <c r="S883" s="61" t="n"/>
      <c r="T883" s="61" t="n"/>
      <c r="U883" s="53">
        <f>IF(A883="","",IF(IFERROR(VLOOKUP(D883,Parameter!$A$35:$C$64,2,0),"Nein")="2+3",IF(ISNUMBER(SEARCH("grosser Artikel",BJ883)),2,IFERROR(VLOOKUP(BM883,Parameter!$F$35:$G$64,2,0),2)),IF(OR(IFERROR(VLOOKUP(D883,Parameter!$A$35:$C$64,2,0),"Nein")="Nein",IFERROR(VLOOKUP(D883,Parameter!$A$35:$C$64,2,0),"Nein")=""),"-",VLOOKUP(D883,Parameter!$A$35:$C$64,2,0))))</f>
        <v/>
      </c>
      <c r="V883" s="61" t="n"/>
      <c r="W883" s="62" t="n"/>
      <c r="X883" s="55">
        <f>AM883</f>
        <v/>
      </c>
      <c r="Y883" s="55">
        <f>MAX(AM883,G883)</f>
        <v/>
      </c>
      <c r="Z883" s="63" t="n"/>
      <c r="AA883" s="55">
        <f>IF(LEFT(Cockpit!$C$5,1)="A",G883,IF(BT883=1,BU883,IF(LEFT(Cockpit!$C$5,1)="B",AE883,MAX(AE883,G883))))</f>
        <v/>
      </c>
      <c r="AB883" s="55">
        <f>IF(BO883=1,0,ROUNDUP(AA883/BN883,0))</f>
        <v/>
      </c>
      <c r="AC883" s="64">
        <f>IF(BO883=1,IF(AA883&lt;=0,0,BP883*MAX(1,IF(G883&gt;0,AA883/G883,1))),AB883*Q883)</f>
        <v/>
      </c>
      <c r="AD883" s="55">
        <f>AA883*F883</f>
        <v/>
      </c>
      <c r="AE883" s="55">
        <f>ROUNDUP(MAX(I883/IF(BS883&gt;0,BS883,MAX(0.1,N(Cockpit!$C$6))),BV883)/BN883,0)*BN883</f>
        <v/>
      </c>
      <c r="AF883" s="56">
        <f>IF(AC883&gt;0,I883/AC883,-1)</f>
        <v/>
      </c>
      <c r="AG883" s="56">
        <f>IF(AND(OR(BR883="L1",BR883="L23"),AC883&gt;0),SUMIFS($AC$7:$AC$1570,$BR$7:$BR$1570,BR883,$AF$7:$AF$1570,"&gt;"&amp;AF883)+SUMIFS($AC$7:$AC$1570,$BR$7:$BR$1570,BR883,$AF$7:$AF$1570,AF883,$BL$7:$BL$1570,"&lt;="&amp;BL883),"")</f>
        <v/>
      </c>
      <c r="AH883" s="65">
        <f>IF(AG883="",0,MAX(0,MIN(1,(IF(BR883="L1",Parameter!$K$5,Parameter!$K$6+Parameter!$K$7)-(AG883-AC883))/AC883)))</f>
        <v/>
      </c>
      <c r="AI883" s="55">
        <f>IF(LEFT(Cockpit!$I$5,1)="A",G883,IF(BT883=1,BU883,IF(LEFT(Cockpit!$I$5,1)="B",AM883,MAX(AM883,G883))))</f>
        <v/>
      </c>
      <c r="AJ883" s="55">
        <f>IF(BO883=1,0,ROUNDUP(AI883/BN883,0))</f>
        <v/>
      </c>
      <c r="AK883" s="64">
        <f>IF(BO883=1,IF(AI883&lt;=0,0,BP883*MAX(1,IF(G883&gt;0,AI883/G883,1))),AJ883*Q883)</f>
        <v/>
      </c>
      <c r="AL883" s="55">
        <f>AI883*F883</f>
        <v/>
      </c>
      <c r="AM883" s="55">
        <f>ROUNDUP(MAX(I883/IF(BS883&gt;0,BS883,MAX(0.1,N(Cockpit!$I$6))),BV883)/BN883,0)*BN883</f>
        <v/>
      </c>
      <c r="AN883" s="56">
        <f>IF(AK883&gt;0,I883/AK883,-1)</f>
        <v/>
      </c>
      <c r="AO883" s="56">
        <f>IF(AND(OR(BR883="L1",BR883="L23"),AK883&gt;0),SUMIFS($AK$7:$AK$1570,$BR$7:$BR$1570,BR883,$AN$7:$AN$1570,"&gt;"&amp;AN883)+SUMIFS($AK$7:$AK$1570,$BR$7:$BR$1570,BR883,$AN$7:$AN$1570,AN883,$BL$7:$BL$1570,"&lt;="&amp;BL883),"")</f>
        <v/>
      </c>
      <c r="AP883" s="65">
        <f>IF(AO883="",0,MAX(0,MIN(1,(IF(BR883="L1",Parameter!$K$5,Parameter!$K$6+Parameter!$K$7)-(AO883-AK883))/AK883)))</f>
        <v/>
      </c>
      <c r="AQ883" s="55">
        <f>IF(LEFT(Cockpit!$O$5,1)="A",G883,IF(BT883=1,BU883,IF(LEFT(Cockpit!$O$5,1)="B",AU883,MAX(AU883,G883))))</f>
        <v/>
      </c>
      <c r="AR883" s="55">
        <f>IF(BO883=1,0,ROUNDUP(AQ883/BN883,0))</f>
        <v/>
      </c>
      <c r="AS883" s="64">
        <f>IF(BO883=1,IF(AQ883&lt;=0,0,BP883*MAX(1,IF(G883&gt;0,AQ883/G883,1))),AR883*Q883)</f>
        <v/>
      </c>
      <c r="AT883" s="55">
        <f>AQ883*F883</f>
        <v/>
      </c>
      <c r="AU883" s="55">
        <f>ROUNDUP(MAX(I883/IF(BS883&gt;0,BS883,MAX(0.1,N(Cockpit!$O$6))),BV883)/BN883,0)*BN883</f>
        <v/>
      </c>
      <c r="AV883" s="56">
        <f>IF(AS883&gt;0,I883/AS883,-1)</f>
        <v/>
      </c>
      <c r="AW883" s="56">
        <f>IF(AND(OR(BR883="L1",BR883="L23"),AS883&gt;0),SUMIFS($AS$7:$AS$1570,$BR$7:$BR$1570,BR883,$AV$7:$AV$1570,"&gt;"&amp;AV883)+SUMIFS($AS$7:$AS$1570,$BR$7:$BR$1570,BR883,$AV$7:$AV$1570,AV883,$BL$7:$BL$1570,"&lt;="&amp;BL883),"")</f>
        <v/>
      </c>
      <c r="AX883" s="65">
        <f>IF(AW883="",0,MAX(0,MIN(1,(IF(BR883="L1",Parameter!$K$5,Parameter!$K$6+Parameter!$K$7)-(AW883-AS883))/AS883)))</f>
        <v/>
      </c>
      <c r="AY883" s="53">
        <f>IF(AC883&lt;=0,"",IF(BR883="Aussen","Aussenlager",IF(BR883="-","Nicht im Lift",IF(AH883&gt;=1,"Lift",IF(AH883&lt;=0,"Aussenlager","teilweise")))))</f>
        <v/>
      </c>
      <c r="AZ883" s="53">
        <f>IF(AK883&lt;=0,"",IF(BR883="Aussen","Aussenlager",IF(BR883="-","Nicht im Lift",IF(AP883&gt;=1,"Lift",IF(AP883&lt;=0,"Aussenlager","teilweise")))))</f>
        <v/>
      </c>
      <c r="BA883" s="53">
        <f>IF(AS883&lt;=0,"",IF(BR883="Aussen","Aussenlager",IF(BR883="-","Nicht im Lift",IF(AX883&gt;=1,"Lift",IF(AX883&lt;=0,"Aussenlager","teilweise")))))</f>
        <v/>
      </c>
      <c r="BB883" s="53">
        <f>IF(A883="","",IF(BK883=1,"Neu; ","")&amp;IF(AND(BK883=0,BF883&lt;0),"negativer Bestand (Export "&amp;BF883&amp;"); ","")&amp;IF(I883&lt;=0,"Kein Verbrauch; ","")&amp;IF(BO883=1,"Lose – Fläche geschätzt; ","")&amp;IF(G883&gt;AM883,"Überbestand "&amp;ROUND(G883-AM883,0)&amp;" Stk / CHF "&amp;ROUND((G883-AM883)*F883,0)&amp;"; ","")&amp;IF(AND(BT883=1,BU883&lt;BV883),"MAX &lt; MB+LG; ","")&amp;IF(AND(BZ883&gt;0,BY883*10&gt;BZ883),"zu hoch für Tablar; ","")&amp;IF(AND(BK883=0,OR(BT883=1,V883&lt;&gt;"",S883&lt;&gt;"",T883&lt;&gt;"",W883&lt;&gt;"")),"manuell übersteuert; ","")&amp;IF(AND(BO883=0,Q883=0),"Gebinde unbekannt; ","")&amp;IF(AND(BO883=0,N(T883)&lt;=0,N(P883)&lt;=0),"Menge pro Gebinde fehlt (Ist = 1 Gebinde); ","")&amp;BJ883)</f>
        <v/>
      </c>
      <c r="BC883" s="53" t="n"/>
      <c r="BD883" s="53" t="n"/>
      <c r="BE883" s="61" t="n"/>
      <c r="BF883" s="55" t="n">
        <v>-1</v>
      </c>
      <c r="BG883" s="55" t="n">
        <v>28</v>
      </c>
      <c r="BH883" s="54" t="n">
        <v>-27.73</v>
      </c>
      <c r="BI883" s="55" t="n">
        <v>1</v>
      </c>
      <c r="BJ883" s="53" t="inlineStr">
        <is>
          <t>Neu</t>
        </is>
      </c>
      <c r="BK883" s="58" t="n">
        <v>0</v>
      </c>
      <c r="BL883" s="58" t="n">
        <v>883</v>
      </c>
      <c r="BM883" s="53">
        <f>IF(S883&lt;&gt;"",UPPER(TRIM(S883)),IF(O883="","LOSE",O883))</f>
        <v/>
      </c>
      <c r="BN883" s="55">
        <f>IF(BM883="LOSE",1,IF(N(T883)&gt;0,T883,IF(N(P883)&gt;0,P883,MAX(1,G883))))</f>
        <v/>
      </c>
      <c r="BO883" s="58">
        <f>IF(BM883="LOSE",1,0)</f>
        <v/>
      </c>
      <c r="BP883" s="64">
        <f>IF(BO883=0,0,IF(N(R883)&gt;0,R883,IFERROR(VLOOKUP(D883,Parameter!$A$35:$C$64,3,0)+0,0)))</f>
        <v/>
      </c>
      <c r="BQ883" s="53">
        <f>IF(V883&lt;&gt;"",V883,U883)</f>
        <v/>
      </c>
      <c r="BR883" s="53">
        <f>IF(BQ883=1,"L1",IF(OR(BQ883=2,BQ883=3),"L23",IF(BQ883="Aussen","Aussen","-")))</f>
        <v/>
      </c>
      <c r="BS883" s="66">
        <f>IF(N(W883)&gt;0,W883,0)</f>
        <v/>
      </c>
      <c r="BT883" s="58">
        <f>IF(ISNUMBER(Z883),1,0)</f>
        <v/>
      </c>
      <c r="BU883" s="55">
        <f>N(Z883)</f>
        <v/>
      </c>
      <c r="BV883" s="55">
        <f>N(L883)+N(M883)</f>
        <v/>
      </c>
      <c r="BW883" s="55">
        <f>ROUNDUP(G883/BN883,0)</f>
        <v/>
      </c>
      <c r="BX883" s="55">
        <f>ROUNDUP(BU883/BN883,0)</f>
        <v/>
      </c>
      <c r="BY883" s="58">
        <f>IF(BO883=1,0,IFERROR(VLOOKUP(BM883,'Gebinde-Kategorie'!$A$5:$G$45,5,0)+0,0))</f>
        <v/>
      </c>
      <c r="BZ883" s="58">
        <f>IFERROR(IF(OR(BQ883=1,BQ883=2,BQ883=3),N(INDEX(Parameter!$I$5:$I$7,BQ883)),0),0)</f>
        <v/>
      </c>
    </row>
    <row r="884">
      <c r="A884" s="53" t="inlineStr">
        <is>
          <t>005324</t>
        </is>
      </c>
      <c r="B884" s="53" t="inlineStr">
        <is>
          <t>Steckschlüsseleinsatz</t>
        </is>
      </c>
      <c r="C884" s="53" t="inlineStr">
        <is>
          <t>F</t>
        </is>
      </c>
      <c r="D884" s="53" t="inlineStr">
        <is>
          <t>KTL</t>
        </is>
      </c>
      <c r="E884" s="53" t="inlineStr">
        <is>
          <t>C</t>
        </is>
      </c>
      <c r="F884" s="54" t="n">
        <v>3.77</v>
      </c>
      <c r="G884" s="55">
        <f>MAX(0,IF(Parameter!$B$20="Jahresanfang 2025 + Export",BG884+BF884,BF884))</f>
        <v/>
      </c>
      <c r="H884" s="55">
        <f>G884*F884</f>
        <v/>
      </c>
      <c r="I884" s="55">
        <f>BI884*Parameter!$B$18</f>
        <v/>
      </c>
      <c r="J884" s="56" t="n">
        <v>10.5</v>
      </c>
      <c r="K884" s="57" t="n">
        <v>2.190476190476191</v>
      </c>
      <c r="L884" s="55" t="n">
        <v>0</v>
      </c>
      <c r="M884" s="55" t="n">
        <v>25</v>
      </c>
      <c r="N884" s="58" t="n">
        <v>14</v>
      </c>
      <c r="O884" s="53" t="inlineStr">
        <is>
          <t>S32</t>
        </is>
      </c>
      <c r="P884" s="55" t="n">
        <v>37</v>
      </c>
      <c r="Q884" s="59">
        <f>IF(BO884=1,0,IFERROR(VLOOKUP(BM884,'Gebinde-Kategorie'!$A$5:$G$45,6,0)+0,0))</f>
        <v/>
      </c>
      <c r="R884" s="60" t="n"/>
      <c r="S884" s="61" t="n"/>
      <c r="T884" s="61" t="n"/>
      <c r="U884" s="53">
        <f>IF(A884="","",IF(IFERROR(VLOOKUP(D884,Parameter!$A$35:$C$64,2,0),"Nein")="2+3",IF(ISNUMBER(SEARCH("grosser Artikel",BJ884)),2,IFERROR(VLOOKUP(BM884,Parameter!$F$35:$G$64,2,0),2)),IF(OR(IFERROR(VLOOKUP(D884,Parameter!$A$35:$C$64,2,0),"Nein")="Nein",IFERROR(VLOOKUP(D884,Parameter!$A$35:$C$64,2,0),"Nein")=""),"-",VLOOKUP(D884,Parameter!$A$35:$C$64,2,0))))</f>
        <v/>
      </c>
      <c r="V884" s="61" t="n"/>
      <c r="W884" s="62" t="n"/>
      <c r="X884" s="55">
        <f>AM884</f>
        <v/>
      </c>
      <c r="Y884" s="55">
        <f>MAX(AM884,G884)</f>
        <v/>
      </c>
      <c r="Z884" s="63" t="n"/>
      <c r="AA884" s="55">
        <f>IF(LEFT(Cockpit!$C$5,1)="A",G884,IF(BT884=1,BU884,IF(LEFT(Cockpit!$C$5,1)="B",AE884,MAX(AE884,G884))))</f>
        <v/>
      </c>
      <c r="AB884" s="55">
        <f>IF(BO884=1,0,ROUNDUP(AA884/BN884,0))</f>
        <v/>
      </c>
      <c r="AC884" s="64">
        <f>IF(BO884=1,IF(AA884&lt;=0,0,BP884*MAX(1,IF(G884&gt;0,AA884/G884,1))),AB884*Q884)</f>
        <v/>
      </c>
      <c r="AD884" s="55">
        <f>AA884*F884</f>
        <v/>
      </c>
      <c r="AE884" s="55">
        <f>ROUNDUP(MAX(I884/IF(BS884&gt;0,BS884,MAX(0.1,N(Cockpit!$C$6))),BV884)/BN884,0)*BN884</f>
        <v/>
      </c>
      <c r="AF884" s="56">
        <f>IF(AC884&gt;0,I884/AC884,-1)</f>
        <v/>
      </c>
      <c r="AG884" s="56">
        <f>IF(AND(OR(BR884="L1",BR884="L23"),AC884&gt;0),SUMIFS($AC$7:$AC$1570,$BR$7:$BR$1570,BR884,$AF$7:$AF$1570,"&gt;"&amp;AF884)+SUMIFS($AC$7:$AC$1570,$BR$7:$BR$1570,BR884,$AF$7:$AF$1570,AF884,$BL$7:$BL$1570,"&lt;="&amp;BL884),"")</f>
        <v/>
      </c>
      <c r="AH884" s="65">
        <f>IF(AG884="",0,MAX(0,MIN(1,(IF(BR884="L1",Parameter!$K$5,Parameter!$K$6+Parameter!$K$7)-(AG884-AC884))/AC884)))</f>
        <v/>
      </c>
      <c r="AI884" s="55">
        <f>IF(LEFT(Cockpit!$I$5,1)="A",G884,IF(BT884=1,BU884,IF(LEFT(Cockpit!$I$5,1)="B",AM884,MAX(AM884,G884))))</f>
        <v/>
      </c>
      <c r="AJ884" s="55">
        <f>IF(BO884=1,0,ROUNDUP(AI884/BN884,0))</f>
        <v/>
      </c>
      <c r="AK884" s="64">
        <f>IF(BO884=1,IF(AI884&lt;=0,0,BP884*MAX(1,IF(G884&gt;0,AI884/G884,1))),AJ884*Q884)</f>
        <v/>
      </c>
      <c r="AL884" s="55">
        <f>AI884*F884</f>
        <v/>
      </c>
      <c r="AM884" s="55">
        <f>ROUNDUP(MAX(I884/IF(BS884&gt;0,BS884,MAX(0.1,N(Cockpit!$I$6))),BV884)/BN884,0)*BN884</f>
        <v/>
      </c>
      <c r="AN884" s="56">
        <f>IF(AK884&gt;0,I884/AK884,-1)</f>
        <v/>
      </c>
      <c r="AO884" s="56">
        <f>IF(AND(OR(BR884="L1",BR884="L23"),AK884&gt;0),SUMIFS($AK$7:$AK$1570,$BR$7:$BR$1570,BR884,$AN$7:$AN$1570,"&gt;"&amp;AN884)+SUMIFS($AK$7:$AK$1570,$BR$7:$BR$1570,BR884,$AN$7:$AN$1570,AN884,$BL$7:$BL$1570,"&lt;="&amp;BL884),"")</f>
        <v/>
      </c>
      <c r="AP884" s="65">
        <f>IF(AO884="",0,MAX(0,MIN(1,(IF(BR884="L1",Parameter!$K$5,Parameter!$K$6+Parameter!$K$7)-(AO884-AK884))/AK884)))</f>
        <v/>
      </c>
      <c r="AQ884" s="55">
        <f>IF(LEFT(Cockpit!$O$5,1)="A",G884,IF(BT884=1,BU884,IF(LEFT(Cockpit!$O$5,1)="B",AU884,MAX(AU884,G884))))</f>
        <v/>
      </c>
      <c r="AR884" s="55">
        <f>IF(BO884=1,0,ROUNDUP(AQ884/BN884,0))</f>
        <v/>
      </c>
      <c r="AS884" s="64">
        <f>IF(BO884=1,IF(AQ884&lt;=0,0,BP884*MAX(1,IF(G884&gt;0,AQ884/G884,1))),AR884*Q884)</f>
        <v/>
      </c>
      <c r="AT884" s="55">
        <f>AQ884*F884</f>
        <v/>
      </c>
      <c r="AU884" s="55">
        <f>ROUNDUP(MAX(I884/IF(BS884&gt;0,BS884,MAX(0.1,N(Cockpit!$O$6))),BV884)/BN884,0)*BN884</f>
        <v/>
      </c>
      <c r="AV884" s="56">
        <f>IF(AS884&gt;0,I884/AS884,-1)</f>
        <v/>
      </c>
      <c r="AW884" s="56">
        <f>IF(AND(OR(BR884="L1",BR884="L23"),AS884&gt;0),SUMIFS($AS$7:$AS$1570,$BR$7:$BR$1570,BR884,$AV$7:$AV$1570,"&gt;"&amp;AV884)+SUMIFS($AS$7:$AS$1570,$BR$7:$BR$1570,BR884,$AV$7:$AV$1570,AV884,$BL$7:$BL$1570,"&lt;="&amp;BL884),"")</f>
        <v/>
      </c>
      <c r="AX884" s="65">
        <f>IF(AW884="",0,MAX(0,MIN(1,(IF(BR884="L1",Parameter!$K$5,Parameter!$K$6+Parameter!$K$7)-(AW884-AS884))/AS884)))</f>
        <v/>
      </c>
      <c r="AY884" s="53">
        <f>IF(AC884&lt;=0,"",IF(BR884="Aussen","Aussenlager",IF(BR884="-","Nicht im Lift",IF(AH884&gt;=1,"Lift",IF(AH884&lt;=0,"Aussenlager","teilweise")))))</f>
        <v/>
      </c>
      <c r="AZ884" s="53">
        <f>IF(AK884&lt;=0,"",IF(BR884="Aussen","Aussenlager",IF(BR884="-","Nicht im Lift",IF(AP884&gt;=1,"Lift",IF(AP884&lt;=0,"Aussenlager","teilweise")))))</f>
        <v/>
      </c>
      <c r="BA884" s="53">
        <f>IF(AS884&lt;=0,"",IF(BR884="Aussen","Aussenlager",IF(BR884="-","Nicht im Lift",IF(AX884&gt;=1,"Lift",IF(AX884&lt;=0,"Aussenlager","teilweise")))))</f>
        <v/>
      </c>
      <c r="BB884" s="53">
        <f>IF(A884="","",IF(BK884=1,"Neu; ","")&amp;IF(AND(BK884=0,BF884&lt;0),"negativer Bestand (Export "&amp;BF884&amp;"); ","")&amp;IF(I884&lt;=0,"Kein Verbrauch; ","")&amp;IF(BO884=1,"Lose – Fläche geschätzt; ","")&amp;IF(G884&gt;AM884,"Überbestand "&amp;ROUND(G884-AM884,0)&amp;" Stk / CHF "&amp;ROUND((G884-AM884)*F884,0)&amp;"; ","")&amp;IF(AND(BT884=1,BU884&lt;BV884),"MAX &lt; MB+LG; ","")&amp;IF(AND(BZ884&gt;0,BY884*10&gt;BZ884),"zu hoch für Tablar; ","")&amp;IF(AND(BK884=0,OR(BT884=1,V884&lt;&gt;"",S884&lt;&gt;"",T884&lt;&gt;"",W884&lt;&gt;"")),"manuell übersteuert; ","")&amp;IF(AND(BO884=0,Q884=0),"Gebinde unbekannt; ","")&amp;IF(AND(BO884=0,N(T884)&lt;=0,N(P884)&lt;=0),"Menge pro Gebinde fehlt (Ist = 1 Gebinde); ","")&amp;BJ884)</f>
        <v/>
      </c>
      <c r="BC884" s="53" t="n"/>
      <c r="BD884" s="53" t="n"/>
      <c r="BE884" s="61" t="n"/>
      <c r="BF884" s="55" t="n">
        <v>-8</v>
      </c>
      <c r="BG884" s="55" t="n">
        <v>12</v>
      </c>
      <c r="BH884" s="54" t="n">
        <v>-28.12</v>
      </c>
      <c r="BI884" s="55" t="n">
        <v>23</v>
      </c>
      <c r="BJ884" s="53" t="inlineStr"/>
      <c r="BK884" s="58" t="n">
        <v>0</v>
      </c>
      <c r="BL884" s="58" t="n">
        <v>884</v>
      </c>
      <c r="BM884" s="53">
        <f>IF(S884&lt;&gt;"",UPPER(TRIM(S884)),IF(O884="","LOSE",O884))</f>
        <v/>
      </c>
      <c r="BN884" s="55">
        <f>IF(BM884="LOSE",1,IF(N(T884)&gt;0,T884,IF(N(P884)&gt;0,P884,MAX(1,G884))))</f>
        <v/>
      </c>
      <c r="BO884" s="58">
        <f>IF(BM884="LOSE",1,0)</f>
        <v/>
      </c>
      <c r="BP884" s="64">
        <f>IF(BO884=0,0,IF(N(R884)&gt;0,R884,IFERROR(VLOOKUP(D884,Parameter!$A$35:$C$64,3,0)+0,0)))</f>
        <v/>
      </c>
      <c r="BQ884" s="53">
        <f>IF(V884&lt;&gt;"",V884,U884)</f>
        <v/>
      </c>
      <c r="BR884" s="53">
        <f>IF(BQ884=1,"L1",IF(OR(BQ884=2,BQ884=3),"L23",IF(BQ884="Aussen","Aussen","-")))</f>
        <v/>
      </c>
      <c r="BS884" s="66">
        <f>IF(N(W884)&gt;0,W884,0)</f>
        <v/>
      </c>
      <c r="BT884" s="58">
        <f>IF(ISNUMBER(Z884),1,0)</f>
        <v/>
      </c>
      <c r="BU884" s="55">
        <f>N(Z884)</f>
        <v/>
      </c>
      <c r="BV884" s="55">
        <f>N(L884)+N(M884)</f>
        <v/>
      </c>
      <c r="BW884" s="55">
        <f>ROUNDUP(G884/BN884,0)</f>
        <v/>
      </c>
      <c r="BX884" s="55">
        <f>ROUNDUP(BU884/BN884,0)</f>
        <v/>
      </c>
      <c r="BY884" s="58">
        <f>IF(BO884=1,0,IFERROR(VLOOKUP(BM884,'Gebinde-Kategorie'!$A$5:$G$45,5,0)+0,0))</f>
        <v/>
      </c>
      <c r="BZ884" s="58">
        <f>IFERROR(IF(OR(BQ884=1,BQ884=2,BQ884=3),N(INDEX(Parameter!$I$5:$I$7,BQ884)),0),0)</f>
        <v/>
      </c>
    </row>
    <row r="885">
      <c r="A885" s="53" t="inlineStr">
        <is>
          <t>002023</t>
        </is>
      </c>
      <c r="B885" s="53" t="inlineStr">
        <is>
          <t>Schraubenzieher kreuz</t>
        </is>
      </c>
      <c r="C885" s="53" t="inlineStr">
        <is>
          <t>F</t>
        </is>
      </c>
      <c r="D885" s="53" t="inlineStr">
        <is>
          <t>KTL</t>
        </is>
      </c>
      <c r="E885" s="53" t="inlineStr">
        <is>
          <t>C</t>
        </is>
      </c>
      <c r="F885" s="54" t="n">
        <v>7.34</v>
      </c>
      <c r="G885" s="55">
        <f>MAX(0,IF(Parameter!$B$20="Jahresanfang 2025 + Export",BG885+BF885,BF885))</f>
        <v/>
      </c>
      <c r="H885" s="55">
        <f>G885*F885</f>
        <v/>
      </c>
      <c r="I885" s="55">
        <f>BI885*Parameter!$B$18</f>
        <v/>
      </c>
      <c r="J885" s="56" t="n">
        <v>6.5</v>
      </c>
      <c r="K885" s="57" t="n">
        <v>0.9230769230769231</v>
      </c>
      <c r="L885" s="55" t="n">
        <v>0</v>
      </c>
      <c r="M885" s="55" t="n">
        <v>5</v>
      </c>
      <c r="N885" s="58" t="n">
        <v>14</v>
      </c>
      <c r="O885" s="53" t="inlineStr">
        <is>
          <t>S33</t>
        </is>
      </c>
      <c r="P885" s="55" t="n">
        <v>5</v>
      </c>
      <c r="Q885" s="59">
        <f>IF(BO885=1,0,IFERROR(VLOOKUP(BM885,'Gebinde-Kategorie'!$A$5:$G$45,6,0)+0,0))</f>
        <v/>
      </c>
      <c r="R885" s="60" t="n"/>
      <c r="S885" s="61" t="n"/>
      <c r="T885" s="61" t="n"/>
      <c r="U885" s="53">
        <f>IF(A885="","",IF(IFERROR(VLOOKUP(D885,Parameter!$A$35:$C$64,2,0),"Nein")="2+3",IF(ISNUMBER(SEARCH("grosser Artikel",BJ885)),2,IFERROR(VLOOKUP(BM885,Parameter!$F$35:$G$64,2,0),2)),IF(OR(IFERROR(VLOOKUP(D885,Parameter!$A$35:$C$64,2,0),"Nein")="Nein",IFERROR(VLOOKUP(D885,Parameter!$A$35:$C$64,2,0),"Nein")=""),"-",VLOOKUP(D885,Parameter!$A$35:$C$64,2,0))))</f>
        <v/>
      </c>
      <c r="V885" s="61" t="n"/>
      <c r="W885" s="62" t="n"/>
      <c r="X885" s="55">
        <f>AM885</f>
        <v/>
      </c>
      <c r="Y885" s="55">
        <f>MAX(AM885,G885)</f>
        <v/>
      </c>
      <c r="Z885" s="63" t="n"/>
      <c r="AA885" s="55">
        <f>IF(LEFT(Cockpit!$C$5,1)="A",G885,IF(BT885=1,BU885,IF(LEFT(Cockpit!$C$5,1)="B",AE885,MAX(AE885,G885))))</f>
        <v/>
      </c>
      <c r="AB885" s="55">
        <f>IF(BO885=1,0,ROUNDUP(AA885/BN885,0))</f>
        <v/>
      </c>
      <c r="AC885" s="64">
        <f>IF(BO885=1,IF(AA885&lt;=0,0,BP885*MAX(1,IF(G885&gt;0,AA885/G885,1))),AB885*Q885)</f>
        <v/>
      </c>
      <c r="AD885" s="55">
        <f>AA885*F885</f>
        <v/>
      </c>
      <c r="AE885" s="55">
        <f>ROUNDUP(MAX(I885/IF(BS885&gt;0,BS885,MAX(0.1,N(Cockpit!$C$6))),BV885)/BN885,0)*BN885</f>
        <v/>
      </c>
      <c r="AF885" s="56">
        <f>IF(AC885&gt;0,I885/AC885,-1)</f>
        <v/>
      </c>
      <c r="AG885" s="56">
        <f>IF(AND(OR(BR885="L1",BR885="L23"),AC885&gt;0),SUMIFS($AC$7:$AC$1570,$BR$7:$BR$1570,BR885,$AF$7:$AF$1570,"&gt;"&amp;AF885)+SUMIFS($AC$7:$AC$1570,$BR$7:$BR$1570,BR885,$AF$7:$AF$1570,AF885,$BL$7:$BL$1570,"&lt;="&amp;BL885),"")</f>
        <v/>
      </c>
      <c r="AH885" s="65">
        <f>IF(AG885="",0,MAX(0,MIN(1,(IF(BR885="L1",Parameter!$K$5,Parameter!$K$6+Parameter!$K$7)-(AG885-AC885))/AC885)))</f>
        <v/>
      </c>
      <c r="AI885" s="55">
        <f>IF(LEFT(Cockpit!$I$5,1)="A",G885,IF(BT885=1,BU885,IF(LEFT(Cockpit!$I$5,1)="B",AM885,MAX(AM885,G885))))</f>
        <v/>
      </c>
      <c r="AJ885" s="55">
        <f>IF(BO885=1,0,ROUNDUP(AI885/BN885,0))</f>
        <v/>
      </c>
      <c r="AK885" s="64">
        <f>IF(BO885=1,IF(AI885&lt;=0,0,BP885*MAX(1,IF(G885&gt;0,AI885/G885,1))),AJ885*Q885)</f>
        <v/>
      </c>
      <c r="AL885" s="55">
        <f>AI885*F885</f>
        <v/>
      </c>
      <c r="AM885" s="55">
        <f>ROUNDUP(MAX(I885/IF(BS885&gt;0,BS885,MAX(0.1,N(Cockpit!$I$6))),BV885)/BN885,0)*BN885</f>
        <v/>
      </c>
      <c r="AN885" s="56">
        <f>IF(AK885&gt;0,I885/AK885,-1)</f>
        <v/>
      </c>
      <c r="AO885" s="56">
        <f>IF(AND(OR(BR885="L1",BR885="L23"),AK885&gt;0),SUMIFS($AK$7:$AK$1570,$BR$7:$BR$1570,BR885,$AN$7:$AN$1570,"&gt;"&amp;AN885)+SUMIFS($AK$7:$AK$1570,$BR$7:$BR$1570,BR885,$AN$7:$AN$1570,AN885,$BL$7:$BL$1570,"&lt;="&amp;BL885),"")</f>
        <v/>
      </c>
      <c r="AP885" s="65">
        <f>IF(AO885="",0,MAX(0,MIN(1,(IF(BR885="L1",Parameter!$K$5,Parameter!$K$6+Parameter!$K$7)-(AO885-AK885))/AK885)))</f>
        <v/>
      </c>
      <c r="AQ885" s="55">
        <f>IF(LEFT(Cockpit!$O$5,1)="A",G885,IF(BT885=1,BU885,IF(LEFT(Cockpit!$O$5,1)="B",AU885,MAX(AU885,G885))))</f>
        <v/>
      </c>
      <c r="AR885" s="55">
        <f>IF(BO885=1,0,ROUNDUP(AQ885/BN885,0))</f>
        <v/>
      </c>
      <c r="AS885" s="64">
        <f>IF(BO885=1,IF(AQ885&lt;=0,0,BP885*MAX(1,IF(G885&gt;0,AQ885/G885,1))),AR885*Q885)</f>
        <v/>
      </c>
      <c r="AT885" s="55">
        <f>AQ885*F885</f>
        <v/>
      </c>
      <c r="AU885" s="55">
        <f>ROUNDUP(MAX(I885/IF(BS885&gt;0,BS885,MAX(0.1,N(Cockpit!$O$6))),BV885)/BN885,0)*BN885</f>
        <v/>
      </c>
      <c r="AV885" s="56">
        <f>IF(AS885&gt;0,I885/AS885,-1)</f>
        <v/>
      </c>
      <c r="AW885" s="56">
        <f>IF(AND(OR(BR885="L1",BR885="L23"),AS885&gt;0),SUMIFS($AS$7:$AS$1570,$BR$7:$BR$1570,BR885,$AV$7:$AV$1570,"&gt;"&amp;AV885)+SUMIFS($AS$7:$AS$1570,$BR$7:$BR$1570,BR885,$AV$7:$AV$1570,AV885,$BL$7:$BL$1570,"&lt;="&amp;BL885),"")</f>
        <v/>
      </c>
      <c r="AX885" s="65">
        <f>IF(AW885="",0,MAX(0,MIN(1,(IF(BR885="L1",Parameter!$K$5,Parameter!$K$6+Parameter!$K$7)-(AW885-AS885))/AS885)))</f>
        <v/>
      </c>
      <c r="AY885" s="53">
        <f>IF(AC885&lt;=0,"",IF(BR885="Aussen","Aussenlager",IF(BR885="-","Nicht im Lift",IF(AH885&gt;=1,"Lift",IF(AH885&lt;=0,"Aussenlager","teilweise")))))</f>
        <v/>
      </c>
      <c r="AZ885" s="53">
        <f>IF(AK885&lt;=0,"",IF(BR885="Aussen","Aussenlager",IF(BR885="-","Nicht im Lift",IF(AP885&gt;=1,"Lift",IF(AP885&lt;=0,"Aussenlager","teilweise")))))</f>
        <v/>
      </c>
      <c r="BA885" s="53">
        <f>IF(AS885&lt;=0,"",IF(BR885="Aussen","Aussenlager",IF(BR885="-","Nicht im Lift",IF(AX885&gt;=1,"Lift",IF(AX885&lt;=0,"Aussenlager","teilweise")))))</f>
        <v/>
      </c>
      <c r="BB885" s="53">
        <f>IF(A885="","",IF(BK885=1,"Neu; ","")&amp;IF(AND(BK885=0,BF885&lt;0),"negativer Bestand (Export "&amp;BF885&amp;"); ","")&amp;IF(I885&lt;=0,"Kein Verbrauch; ","")&amp;IF(BO885=1,"Lose – Fläche geschätzt; ","")&amp;IF(G885&gt;AM885,"Überbestand "&amp;ROUND(G885-AM885,0)&amp;" Stk / CHF "&amp;ROUND((G885-AM885)*F885,0)&amp;"; ","")&amp;IF(AND(BT885=1,BU885&lt;BV885),"MAX &lt; MB+LG; ","")&amp;IF(AND(BZ885&gt;0,BY885*10&gt;BZ885),"zu hoch für Tablar; ","")&amp;IF(AND(BK885=0,OR(BT885=1,V885&lt;&gt;"",S885&lt;&gt;"",T885&lt;&gt;"",W885&lt;&gt;"")),"manuell übersteuert; ","")&amp;IF(AND(BO885=0,Q885=0),"Gebinde unbekannt; ","")&amp;IF(AND(BO885=0,N(T885)&lt;=0,N(P885)&lt;=0),"Menge pro Gebinde fehlt (Ist = 1 Gebinde); ","")&amp;BJ885)</f>
        <v/>
      </c>
      <c r="BC885" s="53" t="n"/>
      <c r="BD885" s="53" t="n"/>
      <c r="BE885" s="61" t="n"/>
      <c r="BF885" s="55" t="n">
        <v>-4</v>
      </c>
      <c r="BG885" s="55" t="n">
        <v>7</v>
      </c>
      <c r="BH885" s="54" t="n">
        <v>-28.17000000000001</v>
      </c>
      <c r="BI885" s="55" t="n">
        <v>6</v>
      </c>
      <c r="BJ885" s="53" t="inlineStr"/>
      <c r="BK885" s="58" t="n">
        <v>0</v>
      </c>
      <c r="BL885" s="58" t="n">
        <v>885</v>
      </c>
      <c r="BM885" s="53">
        <f>IF(S885&lt;&gt;"",UPPER(TRIM(S885)),IF(O885="","LOSE",O885))</f>
        <v/>
      </c>
      <c r="BN885" s="55">
        <f>IF(BM885="LOSE",1,IF(N(T885)&gt;0,T885,IF(N(P885)&gt;0,P885,MAX(1,G885))))</f>
        <v/>
      </c>
      <c r="BO885" s="58">
        <f>IF(BM885="LOSE",1,0)</f>
        <v/>
      </c>
      <c r="BP885" s="64">
        <f>IF(BO885=0,0,IF(N(R885)&gt;0,R885,IFERROR(VLOOKUP(D885,Parameter!$A$35:$C$64,3,0)+0,0)))</f>
        <v/>
      </c>
      <c r="BQ885" s="53">
        <f>IF(V885&lt;&gt;"",V885,U885)</f>
        <v/>
      </c>
      <c r="BR885" s="53">
        <f>IF(BQ885=1,"L1",IF(OR(BQ885=2,BQ885=3),"L23",IF(BQ885="Aussen","Aussen","-")))</f>
        <v/>
      </c>
      <c r="BS885" s="66">
        <f>IF(N(W885)&gt;0,W885,0)</f>
        <v/>
      </c>
      <c r="BT885" s="58">
        <f>IF(ISNUMBER(Z885),1,0)</f>
        <v/>
      </c>
      <c r="BU885" s="55">
        <f>N(Z885)</f>
        <v/>
      </c>
      <c r="BV885" s="55">
        <f>N(L885)+N(M885)</f>
        <v/>
      </c>
      <c r="BW885" s="55">
        <f>ROUNDUP(G885/BN885,0)</f>
        <v/>
      </c>
      <c r="BX885" s="55">
        <f>ROUNDUP(BU885/BN885,0)</f>
        <v/>
      </c>
      <c r="BY885" s="58">
        <f>IF(BO885=1,0,IFERROR(VLOOKUP(BM885,'Gebinde-Kategorie'!$A$5:$G$45,5,0)+0,0))</f>
        <v/>
      </c>
      <c r="BZ885" s="58">
        <f>IFERROR(IF(OR(BQ885=1,BQ885=2,BQ885=3),N(INDEX(Parameter!$I$5:$I$7,BQ885)),0),0)</f>
        <v/>
      </c>
    </row>
    <row r="886">
      <c r="A886" s="53" t="inlineStr">
        <is>
          <t>106823</t>
        </is>
      </c>
      <c r="B886" s="53" t="inlineStr">
        <is>
          <t>Steckschlüsseleinsatz</t>
        </is>
      </c>
      <c r="C886" s="53" t="inlineStr">
        <is>
          <t>F</t>
        </is>
      </c>
      <c r="D886" s="53" t="inlineStr">
        <is>
          <t>KTL</t>
        </is>
      </c>
      <c r="E886" s="53" t="inlineStr">
        <is>
          <t>C</t>
        </is>
      </c>
      <c r="F886" s="54" t="n">
        <v>11.11</v>
      </c>
      <c r="G886" s="55">
        <f>MAX(0,IF(Parameter!$B$20="Jahresanfang 2025 + Export",BG886+BF886,BF886))</f>
        <v/>
      </c>
      <c r="H886" s="55">
        <f>G886*F886</f>
        <v/>
      </c>
      <c r="I886" s="55">
        <f>BI886*Parameter!$B$18</f>
        <v/>
      </c>
      <c r="J886" s="56" t="n">
        <v>11</v>
      </c>
      <c r="K886" s="57" t="n">
        <v>1.636363636363636</v>
      </c>
      <c r="L886" s="55" t="n">
        <v>0</v>
      </c>
      <c r="M886" s="55" t="n">
        <v>20</v>
      </c>
      <c r="N886" s="58" t="n">
        <v>14</v>
      </c>
      <c r="O886" s="53" t="inlineStr">
        <is>
          <t>S22</t>
        </is>
      </c>
      <c r="P886" s="55" t="n">
        <v>8</v>
      </c>
      <c r="Q886" s="59">
        <f>IF(BO886=1,0,IFERROR(VLOOKUP(BM886,'Gebinde-Kategorie'!$A$5:$G$45,6,0)+0,0))</f>
        <v/>
      </c>
      <c r="R886" s="60" t="n"/>
      <c r="S886" s="61" t="n"/>
      <c r="T886" s="61" t="n"/>
      <c r="U886" s="53">
        <f>IF(A886="","",IF(IFERROR(VLOOKUP(D886,Parameter!$A$35:$C$64,2,0),"Nein")="2+3",IF(ISNUMBER(SEARCH("grosser Artikel",BJ886)),2,IFERROR(VLOOKUP(BM886,Parameter!$F$35:$G$64,2,0),2)),IF(OR(IFERROR(VLOOKUP(D886,Parameter!$A$35:$C$64,2,0),"Nein")="Nein",IFERROR(VLOOKUP(D886,Parameter!$A$35:$C$64,2,0),"Nein")=""),"-",VLOOKUP(D886,Parameter!$A$35:$C$64,2,0))))</f>
        <v/>
      </c>
      <c r="V886" s="61" t="n"/>
      <c r="W886" s="62" t="n"/>
      <c r="X886" s="55">
        <f>AM886</f>
        <v/>
      </c>
      <c r="Y886" s="55">
        <f>MAX(AM886,G886)</f>
        <v/>
      </c>
      <c r="Z886" s="63" t="n"/>
      <c r="AA886" s="55">
        <f>IF(LEFT(Cockpit!$C$5,1)="A",G886,IF(BT886=1,BU886,IF(LEFT(Cockpit!$C$5,1)="B",AE886,MAX(AE886,G886))))</f>
        <v/>
      </c>
      <c r="AB886" s="55">
        <f>IF(BO886=1,0,ROUNDUP(AA886/BN886,0))</f>
        <v/>
      </c>
      <c r="AC886" s="64">
        <f>IF(BO886=1,IF(AA886&lt;=0,0,BP886*MAX(1,IF(G886&gt;0,AA886/G886,1))),AB886*Q886)</f>
        <v/>
      </c>
      <c r="AD886" s="55">
        <f>AA886*F886</f>
        <v/>
      </c>
      <c r="AE886" s="55">
        <f>ROUNDUP(MAX(I886/IF(BS886&gt;0,BS886,MAX(0.1,N(Cockpit!$C$6))),BV886)/BN886,0)*BN886</f>
        <v/>
      </c>
      <c r="AF886" s="56">
        <f>IF(AC886&gt;0,I886/AC886,-1)</f>
        <v/>
      </c>
      <c r="AG886" s="56">
        <f>IF(AND(OR(BR886="L1",BR886="L23"),AC886&gt;0),SUMIFS($AC$7:$AC$1570,$BR$7:$BR$1570,BR886,$AF$7:$AF$1570,"&gt;"&amp;AF886)+SUMIFS($AC$7:$AC$1570,$BR$7:$BR$1570,BR886,$AF$7:$AF$1570,AF886,$BL$7:$BL$1570,"&lt;="&amp;BL886),"")</f>
        <v/>
      </c>
      <c r="AH886" s="65">
        <f>IF(AG886="",0,MAX(0,MIN(1,(IF(BR886="L1",Parameter!$K$5,Parameter!$K$6+Parameter!$K$7)-(AG886-AC886))/AC886)))</f>
        <v/>
      </c>
      <c r="AI886" s="55">
        <f>IF(LEFT(Cockpit!$I$5,1)="A",G886,IF(BT886=1,BU886,IF(LEFT(Cockpit!$I$5,1)="B",AM886,MAX(AM886,G886))))</f>
        <v/>
      </c>
      <c r="AJ886" s="55">
        <f>IF(BO886=1,0,ROUNDUP(AI886/BN886,0))</f>
        <v/>
      </c>
      <c r="AK886" s="64">
        <f>IF(BO886=1,IF(AI886&lt;=0,0,BP886*MAX(1,IF(G886&gt;0,AI886/G886,1))),AJ886*Q886)</f>
        <v/>
      </c>
      <c r="AL886" s="55">
        <f>AI886*F886</f>
        <v/>
      </c>
      <c r="AM886" s="55">
        <f>ROUNDUP(MAX(I886/IF(BS886&gt;0,BS886,MAX(0.1,N(Cockpit!$I$6))),BV886)/BN886,0)*BN886</f>
        <v/>
      </c>
      <c r="AN886" s="56">
        <f>IF(AK886&gt;0,I886/AK886,-1)</f>
        <v/>
      </c>
      <c r="AO886" s="56">
        <f>IF(AND(OR(BR886="L1",BR886="L23"),AK886&gt;0),SUMIFS($AK$7:$AK$1570,$BR$7:$BR$1570,BR886,$AN$7:$AN$1570,"&gt;"&amp;AN886)+SUMIFS($AK$7:$AK$1570,$BR$7:$BR$1570,BR886,$AN$7:$AN$1570,AN886,$BL$7:$BL$1570,"&lt;="&amp;BL886),"")</f>
        <v/>
      </c>
      <c r="AP886" s="65">
        <f>IF(AO886="",0,MAX(0,MIN(1,(IF(BR886="L1",Parameter!$K$5,Parameter!$K$6+Parameter!$K$7)-(AO886-AK886))/AK886)))</f>
        <v/>
      </c>
      <c r="AQ886" s="55">
        <f>IF(LEFT(Cockpit!$O$5,1)="A",G886,IF(BT886=1,BU886,IF(LEFT(Cockpit!$O$5,1)="B",AU886,MAX(AU886,G886))))</f>
        <v/>
      </c>
      <c r="AR886" s="55">
        <f>IF(BO886=1,0,ROUNDUP(AQ886/BN886,0))</f>
        <v/>
      </c>
      <c r="AS886" s="64">
        <f>IF(BO886=1,IF(AQ886&lt;=0,0,BP886*MAX(1,IF(G886&gt;0,AQ886/G886,1))),AR886*Q886)</f>
        <v/>
      </c>
      <c r="AT886" s="55">
        <f>AQ886*F886</f>
        <v/>
      </c>
      <c r="AU886" s="55">
        <f>ROUNDUP(MAX(I886/IF(BS886&gt;0,BS886,MAX(0.1,N(Cockpit!$O$6))),BV886)/BN886,0)*BN886</f>
        <v/>
      </c>
      <c r="AV886" s="56">
        <f>IF(AS886&gt;0,I886/AS886,-1)</f>
        <v/>
      </c>
      <c r="AW886" s="56">
        <f>IF(AND(OR(BR886="L1",BR886="L23"),AS886&gt;0),SUMIFS($AS$7:$AS$1570,$BR$7:$BR$1570,BR886,$AV$7:$AV$1570,"&gt;"&amp;AV886)+SUMIFS($AS$7:$AS$1570,$BR$7:$BR$1570,BR886,$AV$7:$AV$1570,AV886,$BL$7:$BL$1570,"&lt;="&amp;BL886),"")</f>
        <v/>
      </c>
      <c r="AX886" s="65">
        <f>IF(AW886="",0,MAX(0,MIN(1,(IF(BR886="L1",Parameter!$K$5,Parameter!$K$6+Parameter!$K$7)-(AW886-AS886))/AS886)))</f>
        <v/>
      </c>
      <c r="AY886" s="53">
        <f>IF(AC886&lt;=0,"",IF(BR886="Aussen","Aussenlager",IF(BR886="-","Nicht im Lift",IF(AH886&gt;=1,"Lift",IF(AH886&lt;=0,"Aussenlager","teilweise")))))</f>
        <v/>
      </c>
      <c r="AZ886" s="53">
        <f>IF(AK886&lt;=0,"",IF(BR886="Aussen","Aussenlager",IF(BR886="-","Nicht im Lift",IF(AP886&gt;=1,"Lift",IF(AP886&lt;=0,"Aussenlager","teilweise")))))</f>
        <v/>
      </c>
      <c r="BA886" s="53">
        <f>IF(AS886&lt;=0,"",IF(BR886="Aussen","Aussenlager",IF(BR886="-","Nicht im Lift",IF(AX886&gt;=1,"Lift",IF(AX886&lt;=0,"Aussenlager","teilweise")))))</f>
        <v/>
      </c>
      <c r="BB886" s="53">
        <f>IF(A886="","",IF(BK886=1,"Neu; ","")&amp;IF(AND(BK886=0,BF886&lt;0),"negativer Bestand (Export "&amp;BF886&amp;"); ","")&amp;IF(I886&lt;=0,"Kein Verbrauch; ","")&amp;IF(BO886=1,"Lose – Fläche geschätzt; ","")&amp;IF(G886&gt;AM886,"Überbestand "&amp;ROUND(G886-AM886,0)&amp;" Stk / CHF "&amp;ROUND((G886-AM886)*F886,0)&amp;"; ","")&amp;IF(AND(BT886=1,BU886&lt;BV886),"MAX &lt; MB+LG; ","")&amp;IF(AND(BZ886&gt;0,BY886*10&gt;BZ886),"zu hoch für Tablar; ","")&amp;IF(AND(BK886=0,OR(BT886=1,V886&lt;&gt;"",S886&lt;&gt;"",T886&lt;&gt;"",W886&lt;&gt;"")),"manuell übersteuert; ","")&amp;IF(AND(BO886=0,Q886=0),"Gebinde unbekannt; ","")&amp;IF(AND(BO886=0,N(T886)&lt;=0,N(P886)&lt;=0),"Menge pro Gebinde fehlt (Ist = 1 Gebinde); ","")&amp;BJ886)</f>
        <v/>
      </c>
      <c r="BC886" s="53" t="n"/>
      <c r="BD886" s="53" t="n"/>
      <c r="BE886" s="61" t="n"/>
      <c r="BF886" s="55" t="n">
        <v>-3</v>
      </c>
      <c r="BG886" s="55" t="n">
        <v>10</v>
      </c>
      <c r="BH886" s="54" t="n">
        <v>-28.33000000000001</v>
      </c>
      <c r="BI886" s="55" t="n">
        <v>18</v>
      </c>
      <c r="BJ886" s="53" t="inlineStr"/>
      <c r="BK886" s="58" t="n">
        <v>0</v>
      </c>
      <c r="BL886" s="58" t="n">
        <v>886</v>
      </c>
      <c r="BM886" s="53">
        <f>IF(S886&lt;&gt;"",UPPER(TRIM(S886)),IF(O886="","LOSE",O886))</f>
        <v/>
      </c>
      <c r="BN886" s="55">
        <f>IF(BM886="LOSE",1,IF(N(T886)&gt;0,T886,IF(N(P886)&gt;0,P886,MAX(1,G886))))</f>
        <v/>
      </c>
      <c r="BO886" s="58">
        <f>IF(BM886="LOSE",1,0)</f>
        <v/>
      </c>
      <c r="BP886" s="64">
        <f>IF(BO886=0,0,IF(N(R886)&gt;0,R886,IFERROR(VLOOKUP(D886,Parameter!$A$35:$C$64,3,0)+0,0)))</f>
        <v/>
      </c>
      <c r="BQ886" s="53">
        <f>IF(V886&lt;&gt;"",V886,U886)</f>
        <v/>
      </c>
      <c r="BR886" s="53">
        <f>IF(BQ886=1,"L1",IF(OR(BQ886=2,BQ886=3),"L23",IF(BQ886="Aussen","Aussen","-")))</f>
        <v/>
      </c>
      <c r="BS886" s="66">
        <f>IF(N(W886)&gt;0,W886,0)</f>
        <v/>
      </c>
      <c r="BT886" s="58">
        <f>IF(ISNUMBER(Z886),1,0)</f>
        <v/>
      </c>
      <c r="BU886" s="55">
        <f>N(Z886)</f>
        <v/>
      </c>
      <c r="BV886" s="55">
        <f>N(L886)+N(M886)</f>
        <v/>
      </c>
      <c r="BW886" s="55">
        <f>ROUNDUP(G886/BN886,0)</f>
        <v/>
      </c>
      <c r="BX886" s="55">
        <f>ROUNDUP(BU886/BN886,0)</f>
        <v/>
      </c>
      <c r="BY886" s="58">
        <f>IF(BO886=1,0,IFERROR(VLOOKUP(BM886,'Gebinde-Kategorie'!$A$5:$G$45,5,0)+0,0))</f>
        <v/>
      </c>
      <c r="BZ886" s="58">
        <f>IFERROR(IF(OR(BQ886=1,BQ886=2,BQ886=3),N(INDEX(Parameter!$I$5:$I$7,BQ886)),0),0)</f>
        <v/>
      </c>
    </row>
    <row r="887">
      <c r="A887" s="53" t="inlineStr">
        <is>
          <t>110267</t>
        </is>
      </c>
      <c r="B887" s="53" t="inlineStr">
        <is>
          <t>Dichtring</t>
        </is>
      </c>
      <c r="C887" s="53" t="inlineStr">
        <is>
          <t>F</t>
        </is>
      </c>
      <c r="D887" s="53" t="inlineStr">
        <is>
          <t>KTL</t>
        </is>
      </c>
      <c r="E887" s="53" t="inlineStr">
        <is>
          <t>C</t>
        </is>
      </c>
      <c r="F887" s="54" t="n">
        <v>5.69</v>
      </c>
      <c r="G887" s="55">
        <f>MAX(0,IF(Parameter!$B$20="Jahresanfang 2025 + Export",BG887+BF887,BF887))</f>
        <v/>
      </c>
      <c r="H887" s="55">
        <f>G887*F887</f>
        <v/>
      </c>
      <c r="I887" s="55">
        <f>BI887*Parameter!$B$18</f>
        <v/>
      </c>
      <c r="J887" s="56" t="n">
        <v>12.5</v>
      </c>
      <c r="K887" s="57" t="n">
        <v>0.24</v>
      </c>
      <c r="L887" s="55" t="n">
        <v>0</v>
      </c>
      <c r="M887" s="55" t="n">
        <v>5</v>
      </c>
      <c r="N887" s="58" t="n">
        <v>28</v>
      </c>
      <c r="O887" s="53" t="inlineStr">
        <is>
          <t>S21</t>
        </is>
      </c>
      <c r="P887" s="55" t="n">
        <v>50</v>
      </c>
      <c r="Q887" s="59">
        <f>IF(BO887=1,0,IFERROR(VLOOKUP(BM887,'Gebinde-Kategorie'!$A$5:$G$45,6,0)+0,0))</f>
        <v/>
      </c>
      <c r="R887" s="60" t="n"/>
      <c r="S887" s="61" t="n"/>
      <c r="T887" s="61" t="n"/>
      <c r="U887" s="53">
        <f>IF(A887="","",IF(IFERROR(VLOOKUP(D887,Parameter!$A$35:$C$64,2,0),"Nein")="2+3",IF(ISNUMBER(SEARCH("grosser Artikel",BJ887)),2,IFERROR(VLOOKUP(BM887,Parameter!$F$35:$G$64,2,0),2)),IF(OR(IFERROR(VLOOKUP(D887,Parameter!$A$35:$C$64,2,0),"Nein")="Nein",IFERROR(VLOOKUP(D887,Parameter!$A$35:$C$64,2,0),"Nein")=""),"-",VLOOKUP(D887,Parameter!$A$35:$C$64,2,0))))</f>
        <v/>
      </c>
      <c r="V887" s="61" t="n"/>
      <c r="W887" s="62" t="n"/>
      <c r="X887" s="55">
        <f>AM887</f>
        <v/>
      </c>
      <c r="Y887" s="55">
        <f>MAX(AM887,G887)</f>
        <v/>
      </c>
      <c r="Z887" s="63" t="n"/>
      <c r="AA887" s="55">
        <f>IF(LEFT(Cockpit!$C$5,1)="A",G887,IF(BT887=1,BU887,IF(LEFT(Cockpit!$C$5,1)="B",AE887,MAX(AE887,G887))))</f>
        <v/>
      </c>
      <c r="AB887" s="55">
        <f>IF(BO887=1,0,ROUNDUP(AA887/BN887,0))</f>
        <v/>
      </c>
      <c r="AC887" s="64">
        <f>IF(BO887=1,IF(AA887&lt;=0,0,BP887*MAX(1,IF(G887&gt;0,AA887/G887,1))),AB887*Q887)</f>
        <v/>
      </c>
      <c r="AD887" s="55">
        <f>AA887*F887</f>
        <v/>
      </c>
      <c r="AE887" s="55">
        <f>ROUNDUP(MAX(I887/IF(BS887&gt;0,BS887,MAX(0.1,N(Cockpit!$C$6))),BV887)/BN887,0)*BN887</f>
        <v/>
      </c>
      <c r="AF887" s="56">
        <f>IF(AC887&gt;0,I887/AC887,-1)</f>
        <v/>
      </c>
      <c r="AG887" s="56">
        <f>IF(AND(OR(BR887="L1",BR887="L23"),AC887&gt;0),SUMIFS($AC$7:$AC$1570,$BR$7:$BR$1570,BR887,$AF$7:$AF$1570,"&gt;"&amp;AF887)+SUMIFS($AC$7:$AC$1570,$BR$7:$BR$1570,BR887,$AF$7:$AF$1570,AF887,$BL$7:$BL$1570,"&lt;="&amp;BL887),"")</f>
        <v/>
      </c>
      <c r="AH887" s="65">
        <f>IF(AG887="",0,MAX(0,MIN(1,(IF(BR887="L1",Parameter!$K$5,Parameter!$K$6+Parameter!$K$7)-(AG887-AC887))/AC887)))</f>
        <v/>
      </c>
      <c r="AI887" s="55">
        <f>IF(LEFT(Cockpit!$I$5,1)="A",G887,IF(BT887=1,BU887,IF(LEFT(Cockpit!$I$5,1)="B",AM887,MAX(AM887,G887))))</f>
        <v/>
      </c>
      <c r="AJ887" s="55">
        <f>IF(BO887=1,0,ROUNDUP(AI887/BN887,0))</f>
        <v/>
      </c>
      <c r="AK887" s="64">
        <f>IF(BO887=1,IF(AI887&lt;=0,0,BP887*MAX(1,IF(G887&gt;0,AI887/G887,1))),AJ887*Q887)</f>
        <v/>
      </c>
      <c r="AL887" s="55">
        <f>AI887*F887</f>
        <v/>
      </c>
      <c r="AM887" s="55">
        <f>ROUNDUP(MAX(I887/IF(BS887&gt;0,BS887,MAX(0.1,N(Cockpit!$I$6))),BV887)/BN887,0)*BN887</f>
        <v/>
      </c>
      <c r="AN887" s="56">
        <f>IF(AK887&gt;0,I887/AK887,-1)</f>
        <v/>
      </c>
      <c r="AO887" s="56">
        <f>IF(AND(OR(BR887="L1",BR887="L23"),AK887&gt;0),SUMIFS($AK$7:$AK$1570,$BR$7:$BR$1570,BR887,$AN$7:$AN$1570,"&gt;"&amp;AN887)+SUMIFS($AK$7:$AK$1570,$BR$7:$BR$1570,BR887,$AN$7:$AN$1570,AN887,$BL$7:$BL$1570,"&lt;="&amp;BL887),"")</f>
        <v/>
      </c>
      <c r="AP887" s="65">
        <f>IF(AO887="",0,MAX(0,MIN(1,(IF(BR887="L1",Parameter!$K$5,Parameter!$K$6+Parameter!$K$7)-(AO887-AK887))/AK887)))</f>
        <v/>
      </c>
      <c r="AQ887" s="55">
        <f>IF(LEFT(Cockpit!$O$5,1)="A",G887,IF(BT887=1,BU887,IF(LEFT(Cockpit!$O$5,1)="B",AU887,MAX(AU887,G887))))</f>
        <v/>
      </c>
      <c r="AR887" s="55">
        <f>IF(BO887=1,0,ROUNDUP(AQ887/BN887,0))</f>
        <v/>
      </c>
      <c r="AS887" s="64">
        <f>IF(BO887=1,IF(AQ887&lt;=0,0,BP887*MAX(1,IF(G887&gt;0,AQ887/G887,1))),AR887*Q887)</f>
        <v/>
      </c>
      <c r="AT887" s="55">
        <f>AQ887*F887</f>
        <v/>
      </c>
      <c r="AU887" s="55">
        <f>ROUNDUP(MAX(I887/IF(BS887&gt;0,BS887,MAX(0.1,N(Cockpit!$O$6))),BV887)/BN887,0)*BN887</f>
        <v/>
      </c>
      <c r="AV887" s="56">
        <f>IF(AS887&gt;0,I887/AS887,-1)</f>
        <v/>
      </c>
      <c r="AW887" s="56">
        <f>IF(AND(OR(BR887="L1",BR887="L23"),AS887&gt;0),SUMIFS($AS$7:$AS$1570,$BR$7:$BR$1570,BR887,$AV$7:$AV$1570,"&gt;"&amp;AV887)+SUMIFS($AS$7:$AS$1570,$BR$7:$BR$1570,BR887,$AV$7:$AV$1570,AV887,$BL$7:$BL$1570,"&lt;="&amp;BL887),"")</f>
        <v/>
      </c>
      <c r="AX887" s="65">
        <f>IF(AW887="",0,MAX(0,MIN(1,(IF(BR887="L1",Parameter!$K$5,Parameter!$K$6+Parameter!$K$7)-(AW887-AS887))/AS887)))</f>
        <v/>
      </c>
      <c r="AY887" s="53">
        <f>IF(AC887&lt;=0,"",IF(BR887="Aussen","Aussenlager",IF(BR887="-","Nicht im Lift",IF(AH887&gt;=1,"Lift",IF(AH887&lt;=0,"Aussenlager","teilweise")))))</f>
        <v/>
      </c>
      <c r="AZ887" s="53">
        <f>IF(AK887&lt;=0,"",IF(BR887="Aussen","Aussenlager",IF(BR887="-","Nicht im Lift",IF(AP887&gt;=1,"Lift",IF(AP887&lt;=0,"Aussenlager","teilweise")))))</f>
        <v/>
      </c>
      <c r="BA887" s="53">
        <f>IF(AS887&lt;=0,"",IF(BR887="Aussen","Aussenlager",IF(BR887="-","Nicht im Lift",IF(AX887&gt;=1,"Lift",IF(AX887&lt;=0,"Aussenlager","teilweise")))))</f>
        <v/>
      </c>
      <c r="BB887" s="53">
        <f>IF(A887="","",IF(BK887=1,"Neu; ","")&amp;IF(AND(BK887=0,BF887&lt;0),"negativer Bestand (Export "&amp;BF887&amp;"); ","")&amp;IF(I887&lt;=0,"Kein Verbrauch; ","")&amp;IF(BO887=1,"Lose – Fläche geschätzt; ","")&amp;IF(G887&gt;AM887,"Überbestand "&amp;ROUND(G887-AM887,0)&amp;" Stk / CHF "&amp;ROUND((G887-AM887)*F887,0)&amp;"; ","")&amp;IF(AND(BT887=1,BU887&lt;BV887),"MAX &lt; MB+LG; ","")&amp;IF(AND(BZ887&gt;0,BY887*10&gt;BZ887),"zu hoch für Tablar; ","")&amp;IF(AND(BK887=0,OR(BT887=1,V887&lt;&gt;"",S887&lt;&gt;"",T887&lt;&gt;"",W887&lt;&gt;"")),"manuell übersteuert; ","")&amp;IF(AND(BO887=0,Q887=0),"Gebinde unbekannt; ","")&amp;IF(AND(BO887=0,N(T887)&lt;=0,N(P887)&lt;=0),"Menge pro Gebinde fehlt (Ist = 1 Gebinde); ","")&amp;BJ887)</f>
        <v/>
      </c>
      <c r="BC887" s="53" t="n"/>
      <c r="BD887" s="53" t="n"/>
      <c r="BE887" s="61" t="n"/>
      <c r="BF887" s="55" t="n">
        <v>-5</v>
      </c>
      <c r="BG887" s="55" t="n">
        <v>15</v>
      </c>
      <c r="BH887" s="54" t="n">
        <v>-28.45</v>
      </c>
      <c r="BI887" s="55" t="n">
        <v>3</v>
      </c>
      <c r="BJ887" s="53" t="inlineStr"/>
      <c r="BK887" s="58" t="n">
        <v>0</v>
      </c>
      <c r="BL887" s="58" t="n">
        <v>887</v>
      </c>
      <c r="BM887" s="53">
        <f>IF(S887&lt;&gt;"",UPPER(TRIM(S887)),IF(O887="","LOSE",O887))</f>
        <v/>
      </c>
      <c r="BN887" s="55">
        <f>IF(BM887="LOSE",1,IF(N(T887)&gt;0,T887,IF(N(P887)&gt;0,P887,MAX(1,G887))))</f>
        <v/>
      </c>
      <c r="BO887" s="58">
        <f>IF(BM887="LOSE",1,0)</f>
        <v/>
      </c>
      <c r="BP887" s="64">
        <f>IF(BO887=0,0,IF(N(R887)&gt;0,R887,IFERROR(VLOOKUP(D887,Parameter!$A$35:$C$64,3,0)+0,0)))</f>
        <v/>
      </c>
      <c r="BQ887" s="53">
        <f>IF(V887&lt;&gt;"",V887,U887)</f>
        <v/>
      </c>
      <c r="BR887" s="53">
        <f>IF(BQ887=1,"L1",IF(OR(BQ887=2,BQ887=3),"L23",IF(BQ887="Aussen","Aussen","-")))</f>
        <v/>
      </c>
      <c r="BS887" s="66">
        <f>IF(N(W887)&gt;0,W887,0)</f>
        <v/>
      </c>
      <c r="BT887" s="58">
        <f>IF(ISNUMBER(Z887),1,0)</f>
        <v/>
      </c>
      <c r="BU887" s="55">
        <f>N(Z887)</f>
        <v/>
      </c>
      <c r="BV887" s="55">
        <f>N(L887)+N(M887)</f>
        <v/>
      </c>
      <c r="BW887" s="55">
        <f>ROUNDUP(G887/BN887,0)</f>
        <v/>
      </c>
      <c r="BX887" s="55">
        <f>ROUNDUP(BU887/BN887,0)</f>
        <v/>
      </c>
      <c r="BY887" s="58">
        <f>IF(BO887=1,0,IFERROR(VLOOKUP(BM887,'Gebinde-Kategorie'!$A$5:$G$45,5,0)+0,0))</f>
        <v/>
      </c>
      <c r="BZ887" s="58">
        <f>IFERROR(IF(OR(BQ887=1,BQ887=2,BQ887=3),N(INDEX(Parameter!$I$5:$I$7,BQ887)),0),0)</f>
        <v/>
      </c>
    </row>
    <row r="888">
      <c r="A888" s="53" t="inlineStr">
        <is>
          <t>107118</t>
        </is>
      </c>
      <c r="B888" s="53" t="inlineStr">
        <is>
          <t>Rohrbürste</t>
        </is>
      </c>
      <c r="C888" s="53" t="inlineStr">
        <is>
          <t>F</t>
        </is>
      </c>
      <c r="D888" s="53" t="inlineStr">
        <is>
          <t>KTL</t>
        </is>
      </c>
      <c r="E888" s="53" t="inlineStr">
        <is>
          <t>C</t>
        </is>
      </c>
      <c r="F888" s="54" t="n">
        <v>14.44</v>
      </c>
      <c r="G888" s="55">
        <f>MAX(0,IF(Parameter!$B$20="Jahresanfang 2025 + Export",BG888+BF888,BF888))</f>
        <v/>
      </c>
      <c r="H888" s="55">
        <f>G888*F888</f>
        <v/>
      </c>
      <c r="I888" s="55">
        <f>BI888*Parameter!$B$18</f>
        <v/>
      </c>
      <c r="J888" s="56" t="n">
        <v>2</v>
      </c>
      <c r="K888" s="57" t="n">
        <v>0</v>
      </c>
      <c r="L888" s="55" t="n">
        <v>0</v>
      </c>
      <c r="M888" s="55" t="n">
        <v>1</v>
      </c>
      <c r="N888" s="58" t="n">
        <v>14</v>
      </c>
      <c r="O888" s="53" t="inlineStr">
        <is>
          <t>LOSE</t>
        </is>
      </c>
      <c r="P888" s="55" t="n"/>
      <c r="Q888" s="59">
        <f>IF(BO888=1,0,IFERROR(VLOOKUP(BM888,'Gebinde-Kategorie'!$A$5:$G$45,6,0)+0,0))</f>
        <v/>
      </c>
      <c r="R888" s="60" t="n"/>
      <c r="S888" s="61" t="n"/>
      <c r="T888" s="61" t="n"/>
      <c r="U888" s="53">
        <f>IF(A888="","",IF(IFERROR(VLOOKUP(D888,Parameter!$A$35:$C$64,2,0),"Nein")="2+3",IF(ISNUMBER(SEARCH("grosser Artikel",BJ888)),2,IFERROR(VLOOKUP(BM888,Parameter!$F$35:$G$64,2,0),2)),IF(OR(IFERROR(VLOOKUP(D888,Parameter!$A$35:$C$64,2,0),"Nein")="Nein",IFERROR(VLOOKUP(D888,Parameter!$A$35:$C$64,2,0),"Nein")=""),"-",VLOOKUP(D888,Parameter!$A$35:$C$64,2,0))))</f>
        <v/>
      </c>
      <c r="V888" s="61" t="n"/>
      <c r="W888" s="62" t="n"/>
      <c r="X888" s="55">
        <f>AM888</f>
        <v/>
      </c>
      <c r="Y888" s="55">
        <f>MAX(AM888,G888)</f>
        <v/>
      </c>
      <c r="Z888" s="63" t="n"/>
      <c r="AA888" s="55">
        <f>IF(LEFT(Cockpit!$C$5,1)="A",G888,IF(BT888=1,BU888,IF(LEFT(Cockpit!$C$5,1)="B",AE888,MAX(AE888,G888))))</f>
        <v/>
      </c>
      <c r="AB888" s="55">
        <f>IF(BO888=1,0,ROUNDUP(AA888/BN888,0))</f>
        <v/>
      </c>
      <c r="AC888" s="64">
        <f>IF(BO888=1,IF(AA888&lt;=0,0,BP888*MAX(1,IF(G888&gt;0,AA888/G888,1))),AB888*Q888)</f>
        <v/>
      </c>
      <c r="AD888" s="55">
        <f>AA888*F888</f>
        <v/>
      </c>
      <c r="AE888" s="55">
        <f>ROUNDUP(MAX(I888/IF(BS888&gt;0,BS888,MAX(0.1,N(Cockpit!$C$6))),BV888)/BN888,0)*BN888</f>
        <v/>
      </c>
      <c r="AF888" s="56">
        <f>IF(AC888&gt;0,I888/AC888,-1)</f>
        <v/>
      </c>
      <c r="AG888" s="56">
        <f>IF(AND(OR(BR888="L1",BR888="L23"),AC888&gt;0),SUMIFS($AC$7:$AC$1570,$BR$7:$BR$1570,BR888,$AF$7:$AF$1570,"&gt;"&amp;AF888)+SUMIFS($AC$7:$AC$1570,$BR$7:$BR$1570,BR888,$AF$7:$AF$1570,AF888,$BL$7:$BL$1570,"&lt;="&amp;BL888),"")</f>
        <v/>
      </c>
      <c r="AH888" s="65">
        <f>IF(AG888="",0,MAX(0,MIN(1,(IF(BR888="L1",Parameter!$K$5,Parameter!$K$6+Parameter!$K$7)-(AG888-AC888))/AC888)))</f>
        <v/>
      </c>
      <c r="AI888" s="55">
        <f>IF(LEFT(Cockpit!$I$5,1)="A",G888,IF(BT888=1,BU888,IF(LEFT(Cockpit!$I$5,1)="B",AM888,MAX(AM888,G888))))</f>
        <v/>
      </c>
      <c r="AJ888" s="55">
        <f>IF(BO888=1,0,ROUNDUP(AI888/BN888,0))</f>
        <v/>
      </c>
      <c r="AK888" s="64">
        <f>IF(BO888=1,IF(AI888&lt;=0,0,BP888*MAX(1,IF(G888&gt;0,AI888/G888,1))),AJ888*Q888)</f>
        <v/>
      </c>
      <c r="AL888" s="55">
        <f>AI888*F888</f>
        <v/>
      </c>
      <c r="AM888" s="55">
        <f>ROUNDUP(MAX(I888/IF(BS888&gt;0,BS888,MAX(0.1,N(Cockpit!$I$6))),BV888)/BN888,0)*BN888</f>
        <v/>
      </c>
      <c r="AN888" s="56">
        <f>IF(AK888&gt;0,I888/AK888,-1)</f>
        <v/>
      </c>
      <c r="AO888" s="56">
        <f>IF(AND(OR(BR888="L1",BR888="L23"),AK888&gt;0),SUMIFS($AK$7:$AK$1570,$BR$7:$BR$1570,BR888,$AN$7:$AN$1570,"&gt;"&amp;AN888)+SUMIFS($AK$7:$AK$1570,$BR$7:$BR$1570,BR888,$AN$7:$AN$1570,AN888,$BL$7:$BL$1570,"&lt;="&amp;BL888),"")</f>
        <v/>
      </c>
      <c r="AP888" s="65">
        <f>IF(AO888="",0,MAX(0,MIN(1,(IF(BR888="L1",Parameter!$K$5,Parameter!$K$6+Parameter!$K$7)-(AO888-AK888))/AK888)))</f>
        <v/>
      </c>
      <c r="AQ888" s="55">
        <f>IF(LEFT(Cockpit!$O$5,1)="A",G888,IF(BT888=1,BU888,IF(LEFT(Cockpit!$O$5,1)="B",AU888,MAX(AU888,G888))))</f>
        <v/>
      </c>
      <c r="AR888" s="55">
        <f>IF(BO888=1,0,ROUNDUP(AQ888/BN888,0))</f>
        <v/>
      </c>
      <c r="AS888" s="64">
        <f>IF(BO888=1,IF(AQ888&lt;=0,0,BP888*MAX(1,IF(G888&gt;0,AQ888/G888,1))),AR888*Q888)</f>
        <v/>
      </c>
      <c r="AT888" s="55">
        <f>AQ888*F888</f>
        <v/>
      </c>
      <c r="AU888" s="55">
        <f>ROUNDUP(MAX(I888/IF(BS888&gt;0,BS888,MAX(0.1,N(Cockpit!$O$6))),BV888)/BN888,0)*BN888</f>
        <v/>
      </c>
      <c r="AV888" s="56">
        <f>IF(AS888&gt;0,I888/AS888,-1)</f>
        <v/>
      </c>
      <c r="AW888" s="56">
        <f>IF(AND(OR(BR888="L1",BR888="L23"),AS888&gt;0),SUMIFS($AS$7:$AS$1570,$BR$7:$BR$1570,BR888,$AV$7:$AV$1570,"&gt;"&amp;AV888)+SUMIFS($AS$7:$AS$1570,$BR$7:$BR$1570,BR888,$AV$7:$AV$1570,AV888,$BL$7:$BL$1570,"&lt;="&amp;BL888),"")</f>
        <v/>
      </c>
      <c r="AX888" s="65">
        <f>IF(AW888="",0,MAX(0,MIN(1,(IF(BR888="L1",Parameter!$K$5,Parameter!$K$6+Parameter!$K$7)-(AW888-AS888))/AS888)))</f>
        <v/>
      </c>
      <c r="AY888" s="53">
        <f>IF(AC888&lt;=0,"",IF(BR888="Aussen","Aussenlager",IF(BR888="-","Nicht im Lift",IF(AH888&gt;=1,"Lift",IF(AH888&lt;=0,"Aussenlager","teilweise")))))</f>
        <v/>
      </c>
      <c r="AZ888" s="53">
        <f>IF(AK888&lt;=0,"",IF(BR888="Aussen","Aussenlager",IF(BR888="-","Nicht im Lift",IF(AP888&gt;=1,"Lift",IF(AP888&lt;=0,"Aussenlager","teilweise")))))</f>
        <v/>
      </c>
      <c r="BA888" s="53">
        <f>IF(AS888&lt;=0,"",IF(BR888="Aussen","Aussenlager",IF(BR888="-","Nicht im Lift",IF(AX888&gt;=1,"Lift",IF(AX888&lt;=0,"Aussenlager","teilweise")))))</f>
        <v/>
      </c>
      <c r="BB888" s="53">
        <f>IF(A888="","",IF(BK888=1,"Neu; ","")&amp;IF(AND(BK888=0,BF888&lt;0),"negativer Bestand (Export "&amp;BF888&amp;"); ","")&amp;IF(I888&lt;=0,"Kein Verbrauch; ","")&amp;IF(BO888=1,"Lose – Fläche geschätzt; ","")&amp;IF(G888&gt;AM888,"Überbestand "&amp;ROUND(G888-AM888,0)&amp;" Stk / CHF "&amp;ROUND((G888-AM888)*F888,0)&amp;"; ","")&amp;IF(AND(BT888=1,BU888&lt;BV888),"MAX &lt; MB+LG; ","")&amp;IF(AND(BZ888&gt;0,BY888*10&gt;BZ888),"zu hoch für Tablar; ","")&amp;IF(AND(BK888=0,OR(BT888=1,V888&lt;&gt;"",S888&lt;&gt;"",T888&lt;&gt;"",W888&lt;&gt;"")),"manuell übersteuert; ","")&amp;IF(AND(BO888=0,Q888=0),"Gebinde unbekannt; ","")&amp;IF(AND(BO888=0,N(T888)&lt;=0,N(P888)&lt;=0),"Menge pro Gebinde fehlt (Ist = 1 Gebinde); ","")&amp;BJ888)</f>
        <v/>
      </c>
      <c r="BC888" s="53" t="n"/>
      <c r="BD888" s="53" t="n"/>
      <c r="BE888" s="61" t="n"/>
      <c r="BF888" s="55" t="n">
        <v>-2</v>
      </c>
      <c r="BG888" s="55" t="n">
        <v>2</v>
      </c>
      <c r="BH888" s="54" t="n">
        <v>-28.88</v>
      </c>
      <c r="BI888" s="55" t="n">
        <v>0</v>
      </c>
      <c r="BJ888" s="53" t="inlineStr"/>
      <c r="BK888" s="58" t="n">
        <v>0</v>
      </c>
      <c r="BL888" s="58" t="n">
        <v>888</v>
      </c>
      <c r="BM888" s="53">
        <f>IF(S888&lt;&gt;"",UPPER(TRIM(S888)),IF(O888="","LOSE",O888))</f>
        <v/>
      </c>
      <c r="BN888" s="55">
        <f>IF(BM888="LOSE",1,IF(N(T888)&gt;0,T888,IF(N(P888)&gt;0,P888,MAX(1,G888))))</f>
        <v/>
      </c>
      <c r="BO888" s="58">
        <f>IF(BM888="LOSE",1,0)</f>
        <v/>
      </c>
      <c r="BP888" s="64">
        <f>IF(BO888=0,0,IF(N(R888)&gt;0,R888,IFERROR(VLOOKUP(D888,Parameter!$A$35:$C$64,3,0)+0,0)))</f>
        <v/>
      </c>
      <c r="BQ888" s="53">
        <f>IF(V888&lt;&gt;"",V888,U888)</f>
        <v/>
      </c>
      <c r="BR888" s="53">
        <f>IF(BQ888=1,"L1",IF(OR(BQ888=2,BQ888=3),"L23",IF(BQ888="Aussen","Aussen","-")))</f>
        <v/>
      </c>
      <c r="BS888" s="66">
        <f>IF(N(W888)&gt;0,W888,0)</f>
        <v/>
      </c>
      <c r="BT888" s="58">
        <f>IF(ISNUMBER(Z888),1,0)</f>
        <v/>
      </c>
      <c r="BU888" s="55">
        <f>N(Z888)</f>
        <v/>
      </c>
      <c r="BV888" s="55">
        <f>N(L888)+N(M888)</f>
        <v/>
      </c>
      <c r="BW888" s="55">
        <f>ROUNDUP(G888/BN888,0)</f>
        <v/>
      </c>
      <c r="BX888" s="55">
        <f>ROUNDUP(BU888/BN888,0)</f>
        <v/>
      </c>
      <c r="BY888" s="58">
        <f>IF(BO888=1,0,IFERROR(VLOOKUP(BM888,'Gebinde-Kategorie'!$A$5:$G$45,5,0)+0,0))</f>
        <v/>
      </c>
      <c r="BZ888" s="58">
        <f>IFERROR(IF(OR(BQ888=1,BQ888=2,BQ888=3),N(INDEX(Parameter!$I$5:$I$7,BQ888)),0),0)</f>
        <v/>
      </c>
    </row>
    <row r="889">
      <c r="A889" s="53" t="inlineStr">
        <is>
          <t>108715</t>
        </is>
      </c>
      <c r="B889" s="53" t="inlineStr">
        <is>
          <t>Adapter für Sinterscheibe</t>
        </is>
      </c>
      <c r="C889" s="53" t="inlineStr">
        <is>
          <t>F</t>
        </is>
      </c>
      <c r="D889" s="53" t="inlineStr">
        <is>
          <t>KTL</t>
        </is>
      </c>
      <c r="E889" s="53" t="inlineStr">
        <is>
          <t>C</t>
        </is>
      </c>
      <c r="F889" s="54" t="n">
        <v>14.5</v>
      </c>
      <c r="G889" s="55">
        <f>MAX(0,IF(Parameter!$B$20="Jahresanfang 2025 + Export",BG889+BF889,BF889))</f>
        <v/>
      </c>
      <c r="H889" s="55">
        <f>G889*F889</f>
        <v/>
      </c>
      <c r="I889" s="55">
        <f>BI889*Parameter!$B$18</f>
        <v/>
      </c>
      <c r="J889" s="56" t="n">
        <v>54</v>
      </c>
      <c r="K889" s="57" t="n">
        <v>0</v>
      </c>
      <c r="L889" s="55" t="n">
        <v>0</v>
      </c>
      <c r="M889" s="55" t="n">
        <v>1</v>
      </c>
      <c r="N889" s="58" t="n">
        <v>28</v>
      </c>
      <c r="O889" s="53" t="inlineStr">
        <is>
          <t>S22</t>
        </is>
      </c>
      <c r="P889" s="55" t="n">
        <v>22</v>
      </c>
      <c r="Q889" s="59">
        <f>IF(BO889=1,0,IFERROR(VLOOKUP(BM889,'Gebinde-Kategorie'!$A$5:$G$45,6,0)+0,0))</f>
        <v/>
      </c>
      <c r="R889" s="60" t="n"/>
      <c r="S889" s="61" t="n"/>
      <c r="T889" s="61" t="n"/>
      <c r="U889" s="53">
        <f>IF(A889="","",IF(IFERROR(VLOOKUP(D889,Parameter!$A$35:$C$64,2,0),"Nein")="2+3",IF(ISNUMBER(SEARCH("grosser Artikel",BJ889)),2,IFERROR(VLOOKUP(BM889,Parameter!$F$35:$G$64,2,0),2)),IF(OR(IFERROR(VLOOKUP(D889,Parameter!$A$35:$C$64,2,0),"Nein")="Nein",IFERROR(VLOOKUP(D889,Parameter!$A$35:$C$64,2,0),"Nein")=""),"-",VLOOKUP(D889,Parameter!$A$35:$C$64,2,0))))</f>
        <v/>
      </c>
      <c r="V889" s="61" t="n"/>
      <c r="W889" s="62" t="n"/>
      <c r="X889" s="55">
        <f>AM889</f>
        <v/>
      </c>
      <c r="Y889" s="55">
        <f>MAX(AM889,G889)</f>
        <v/>
      </c>
      <c r="Z889" s="63" t="n"/>
      <c r="AA889" s="55">
        <f>IF(LEFT(Cockpit!$C$5,1)="A",G889,IF(BT889=1,BU889,IF(LEFT(Cockpit!$C$5,1)="B",AE889,MAX(AE889,G889))))</f>
        <v/>
      </c>
      <c r="AB889" s="55">
        <f>IF(BO889=1,0,ROUNDUP(AA889/BN889,0))</f>
        <v/>
      </c>
      <c r="AC889" s="64">
        <f>IF(BO889=1,IF(AA889&lt;=0,0,BP889*MAX(1,IF(G889&gt;0,AA889/G889,1))),AB889*Q889)</f>
        <v/>
      </c>
      <c r="AD889" s="55">
        <f>AA889*F889</f>
        <v/>
      </c>
      <c r="AE889" s="55">
        <f>ROUNDUP(MAX(I889/IF(BS889&gt;0,BS889,MAX(0.1,N(Cockpit!$C$6))),BV889)/BN889,0)*BN889</f>
        <v/>
      </c>
      <c r="AF889" s="56">
        <f>IF(AC889&gt;0,I889/AC889,-1)</f>
        <v/>
      </c>
      <c r="AG889" s="56">
        <f>IF(AND(OR(BR889="L1",BR889="L23"),AC889&gt;0),SUMIFS($AC$7:$AC$1570,$BR$7:$BR$1570,BR889,$AF$7:$AF$1570,"&gt;"&amp;AF889)+SUMIFS($AC$7:$AC$1570,$BR$7:$BR$1570,BR889,$AF$7:$AF$1570,AF889,$BL$7:$BL$1570,"&lt;="&amp;BL889),"")</f>
        <v/>
      </c>
      <c r="AH889" s="65">
        <f>IF(AG889="",0,MAX(0,MIN(1,(IF(BR889="L1",Parameter!$K$5,Parameter!$K$6+Parameter!$K$7)-(AG889-AC889))/AC889)))</f>
        <v/>
      </c>
      <c r="AI889" s="55">
        <f>IF(LEFT(Cockpit!$I$5,1)="A",G889,IF(BT889=1,BU889,IF(LEFT(Cockpit!$I$5,1)="B",AM889,MAX(AM889,G889))))</f>
        <v/>
      </c>
      <c r="AJ889" s="55">
        <f>IF(BO889=1,0,ROUNDUP(AI889/BN889,0))</f>
        <v/>
      </c>
      <c r="AK889" s="64">
        <f>IF(BO889=1,IF(AI889&lt;=0,0,BP889*MAX(1,IF(G889&gt;0,AI889/G889,1))),AJ889*Q889)</f>
        <v/>
      </c>
      <c r="AL889" s="55">
        <f>AI889*F889</f>
        <v/>
      </c>
      <c r="AM889" s="55">
        <f>ROUNDUP(MAX(I889/IF(BS889&gt;0,BS889,MAX(0.1,N(Cockpit!$I$6))),BV889)/BN889,0)*BN889</f>
        <v/>
      </c>
      <c r="AN889" s="56">
        <f>IF(AK889&gt;0,I889/AK889,-1)</f>
        <v/>
      </c>
      <c r="AO889" s="56">
        <f>IF(AND(OR(BR889="L1",BR889="L23"),AK889&gt;0),SUMIFS($AK$7:$AK$1570,$BR$7:$BR$1570,BR889,$AN$7:$AN$1570,"&gt;"&amp;AN889)+SUMIFS($AK$7:$AK$1570,$BR$7:$BR$1570,BR889,$AN$7:$AN$1570,AN889,$BL$7:$BL$1570,"&lt;="&amp;BL889),"")</f>
        <v/>
      </c>
      <c r="AP889" s="65">
        <f>IF(AO889="",0,MAX(0,MIN(1,(IF(BR889="L1",Parameter!$K$5,Parameter!$K$6+Parameter!$K$7)-(AO889-AK889))/AK889)))</f>
        <v/>
      </c>
      <c r="AQ889" s="55">
        <f>IF(LEFT(Cockpit!$O$5,1)="A",G889,IF(BT889=1,BU889,IF(LEFT(Cockpit!$O$5,1)="B",AU889,MAX(AU889,G889))))</f>
        <v/>
      </c>
      <c r="AR889" s="55">
        <f>IF(BO889=1,0,ROUNDUP(AQ889/BN889,0))</f>
        <v/>
      </c>
      <c r="AS889" s="64">
        <f>IF(BO889=1,IF(AQ889&lt;=0,0,BP889*MAX(1,IF(G889&gt;0,AQ889/G889,1))),AR889*Q889)</f>
        <v/>
      </c>
      <c r="AT889" s="55">
        <f>AQ889*F889</f>
        <v/>
      </c>
      <c r="AU889" s="55">
        <f>ROUNDUP(MAX(I889/IF(BS889&gt;0,BS889,MAX(0.1,N(Cockpit!$O$6))),BV889)/BN889,0)*BN889</f>
        <v/>
      </c>
      <c r="AV889" s="56">
        <f>IF(AS889&gt;0,I889/AS889,-1)</f>
        <v/>
      </c>
      <c r="AW889" s="56">
        <f>IF(AND(OR(BR889="L1",BR889="L23"),AS889&gt;0),SUMIFS($AS$7:$AS$1570,$BR$7:$BR$1570,BR889,$AV$7:$AV$1570,"&gt;"&amp;AV889)+SUMIFS($AS$7:$AS$1570,$BR$7:$BR$1570,BR889,$AV$7:$AV$1570,AV889,$BL$7:$BL$1570,"&lt;="&amp;BL889),"")</f>
        <v/>
      </c>
      <c r="AX889" s="65">
        <f>IF(AW889="",0,MAX(0,MIN(1,(IF(BR889="L1",Parameter!$K$5,Parameter!$K$6+Parameter!$K$7)-(AW889-AS889))/AS889)))</f>
        <v/>
      </c>
      <c r="AY889" s="53">
        <f>IF(AC889&lt;=0,"",IF(BR889="Aussen","Aussenlager",IF(BR889="-","Nicht im Lift",IF(AH889&gt;=1,"Lift",IF(AH889&lt;=0,"Aussenlager","teilweise")))))</f>
        <v/>
      </c>
      <c r="AZ889" s="53">
        <f>IF(AK889&lt;=0,"",IF(BR889="Aussen","Aussenlager",IF(BR889="-","Nicht im Lift",IF(AP889&gt;=1,"Lift",IF(AP889&lt;=0,"Aussenlager","teilweise")))))</f>
        <v/>
      </c>
      <c r="BA889" s="53">
        <f>IF(AS889&lt;=0,"",IF(BR889="Aussen","Aussenlager",IF(BR889="-","Nicht im Lift",IF(AX889&gt;=1,"Lift",IF(AX889&lt;=0,"Aussenlager","teilweise")))))</f>
        <v/>
      </c>
      <c r="BB889" s="53">
        <f>IF(A889="","",IF(BK889=1,"Neu; ","")&amp;IF(AND(BK889=0,BF889&lt;0),"negativer Bestand (Export "&amp;BF889&amp;"); ","")&amp;IF(I889&lt;=0,"Kein Verbrauch; ","")&amp;IF(BO889=1,"Lose – Fläche geschätzt; ","")&amp;IF(G889&gt;AM889,"Überbestand "&amp;ROUND(G889-AM889,0)&amp;" Stk / CHF "&amp;ROUND((G889-AM889)*F889,0)&amp;"; ","")&amp;IF(AND(BT889=1,BU889&lt;BV889),"MAX &lt; MB+LG; ","")&amp;IF(AND(BZ889&gt;0,BY889*10&gt;BZ889),"zu hoch für Tablar; ","")&amp;IF(AND(BK889=0,OR(BT889=1,V889&lt;&gt;"",S889&lt;&gt;"",T889&lt;&gt;"",W889&lt;&gt;"")),"manuell übersteuert; ","")&amp;IF(AND(BO889=0,Q889=0),"Gebinde unbekannt; ","")&amp;IF(AND(BO889=0,N(T889)&lt;=0,N(P889)&lt;=0),"Menge pro Gebinde fehlt (Ist = 1 Gebinde); ","")&amp;BJ889)</f>
        <v/>
      </c>
      <c r="BC889" s="53" t="n"/>
      <c r="BD889" s="53" t="n"/>
      <c r="BE889" s="61" t="n"/>
      <c r="BF889" s="55" t="n">
        <v>-2</v>
      </c>
      <c r="BG889" s="55" t="n">
        <v>55</v>
      </c>
      <c r="BH889" s="54" t="n">
        <v>-29</v>
      </c>
      <c r="BI889" s="55" t="n">
        <v>0</v>
      </c>
      <c r="BJ889" s="53" t="inlineStr"/>
      <c r="BK889" s="58" t="n">
        <v>0</v>
      </c>
      <c r="BL889" s="58" t="n">
        <v>889</v>
      </c>
      <c r="BM889" s="53">
        <f>IF(S889&lt;&gt;"",UPPER(TRIM(S889)),IF(O889="","LOSE",O889))</f>
        <v/>
      </c>
      <c r="BN889" s="55">
        <f>IF(BM889="LOSE",1,IF(N(T889)&gt;0,T889,IF(N(P889)&gt;0,P889,MAX(1,G889))))</f>
        <v/>
      </c>
      <c r="BO889" s="58">
        <f>IF(BM889="LOSE",1,0)</f>
        <v/>
      </c>
      <c r="BP889" s="64">
        <f>IF(BO889=0,0,IF(N(R889)&gt;0,R889,IFERROR(VLOOKUP(D889,Parameter!$A$35:$C$64,3,0)+0,0)))</f>
        <v/>
      </c>
      <c r="BQ889" s="53">
        <f>IF(V889&lt;&gt;"",V889,U889)</f>
        <v/>
      </c>
      <c r="BR889" s="53">
        <f>IF(BQ889=1,"L1",IF(OR(BQ889=2,BQ889=3),"L23",IF(BQ889="Aussen","Aussen","-")))</f>
        <v/>
      </c>
      <c r="BS889" s="66">
        <f>IF(N(W889)&gt;0,W889,0)</f>
        <v/>
      </c>
      <c r="BT889" s="58">
        <f>IF(ISNUMBER(Z889),1,0)</f>
        <v/>
      </c>
      <c r="BU889" s="55">
        <f>N(Z889)</f>
        <v/>
      </c>
      <c r="BV889" s="55">
        <f>N(L889)+N(M889)</f>
        <v/>
      </c>
      <c r="BW889" s="55">
        <f>ROUNDUP(G889/BN889,0)</f>
        <v/>
      </c>
      <c r="BX889" s="55">
        <f>ROUNDUP(BU889/BN889,0)</f>
        <v/>
      </c>
      <c r="BY889" s="58">
        <f>IF(BO889=1,0,IFERROR(VLOOKUP(BM889,'Gebinde-Kategorie'!$A$5:$G$45,5,0)+0,0))</f>
        <v/>
      </c>
      <c r="BZ889" s="58">
        <f>IFERROR(IF(OR(BQ889=1,BQ889=2,BQ889=3),N(INDEX(Parameter!$I$5:$I$7,BQ889)),0),0)</f>
        <v/>
      </c>
    </row>
    <row r="890">
      <c r="A890" s="53" t="inlineStr">
        <is>
          <t>110007</t>
        </is>
      </c>
      <c r="B890" s="53" t="inlineStr">
        <is>
          <t>Aufschraubadapter</t>
        </is>
      </c>
      <c r="C890" s="53" t="inlineStr">
        <is>
          <t>F</t>
        </is>
      </c>
      <c r="D890" s="53" t="inlineStr">
        <is>
          <t>KTL</t>
        </is>
      </c>
      <c r="E890" s="53" t="inlineStr">
        <is>
          <t>C</t>
        </is>
      </c>
      <c r="F890" s="54" t="n">
        <v>14.71</v>
      </c>
      <c r="G890" s="55">
        <f>MAX(0,IF(Parameter!$B$20="Jahresanfang 2025 + Export",BG890+BF890,BF890))</f>
        <v/>
      </c>
      <c r="H890" s="55">
        <f>G890*F890</f>
        <v/>
      </c>
      <c r="I890" s="55">
        <f>BI890*Parameter!$B$18</f>
        <v/>
      </c>
      <c r="J890" s="56" t="n">
        <v>5</v>
      </c>
      <c r="K890" s="57" t="n">
        <v>0</v>
      </c>
      <c r="L890" s="55" t="n">
        <v>0</v>
      </c>
      <c r="M890" s="55" t="n">
        <v>1</v>
      </c>
      <c r="N890" s="58" t="n">
        <v>14</v>
      </c>
      <c r="O890" s="53" t="inlineStr">
        <is>
          <t>S21</t>
        </is>
      </c>
      <c r="P890" s="55" t="n">
        <v>5</v>
      </c>
      <c r="Q890" s="59">
        <f>IF(BO890=1,0,IFERROR(VLOOKUP(BM890,'Gebinde-Kategorie'!$A$5:$G$45,6,0)+0,0))</f>
        <v/>
      </c>
      <c r="R890" s="60" t="n"/>
      <c r="S890" s="61" t="n"/>
      <c r="T890" s="61" t="n"/>
      <c r="U890" s="53">
        <f>IF(A890="","",IF(IFERROR(VLOOKUP(D890,Parameter!$A$35:$C$64,2,0),"Nein")="2+3",IF(ISNUMBER(SEARCH("grosser Artikel",BJ890)),2,IFERROR(VLOOKUP(BM890,Parameter!$F$35:$G$64,2,0),2)),IF(OR(IFERROR(VLOOKUP(D890,Parameter!$A$35:$C$64,2,0),"Nein")="Nein",IFERROR(VLOOKUP(D890,Parameter!$A$35:$C$64,2,0),"Nein")=""),"-",VLOOKUP(D890,Parameter!$A$35:$C$64,2,0))))</f>
        <v/>
      </c>
      <c r="V890" s="61" t="n"/>
      <c r="W890" s="62" t="n"/>
      <c r="X890" s="55">
        <f>AM890</f>
        <v/>
      </c>
      <c r="Y890" s="55">
        <f>MAX(AM890,G890)</f>
        <v/>
      </c>
      <c r="Z890" s="63" t="n"/>
      <c r="AA890" s="55">
        <f>IF(LEFT(Cockpit!$C$5,1)="A",G890,IF(BT890=1,BU890,IF(LEFT(Cockpit!$C$5,1)="B",AE890,MAX(AE890,G890))))</f>
        <v/>
      </c>
      <c r="AB890" s="55">
        <f>IF(BO890=1,0,ROUNDUP(AA890/BN890,0))</f>
        <v/>
      </c>
      <c r="AC890" s="64">
        <f>IF(BO890=1,IF(AA890&lt;=0,0,BP890*MAX(1,IF(G890&gt;0,AA890/G890,1))),AB890*Q890)</f>
        <v/>
      </c>
      <c r="AD890" s="55">
        <f>AA890*F890</f>
        <v/>
      </c>
      <c r="AE890" s="55">
        <f>ROUNDUP(MAX(I890/IF(BS890&gt;0,BS890,MAX(0.1,N(Cockpit!$C$6))),BV890)/BN890,0)*BN890</f>
        <v/>
      </c>
      <c r="AF890" s="56">
        <f>IF(AC890&gt;0,I890/AC890,-1)</f>
        <v/>
      </c>
      <c r="AG890" s="56">
        <f>IF(AND(OR(BR890="L1",BR890="L23"),AC890&gt;0),SUMIFS($AC$7:$AC$1570,$BR$7:$BR$1570,BR890,$AF$7:$AF$1570,"&gt;"&amp;AF890)+SUMIFS($AC$7:$AC$1570,$BR$7:$BR$1570,BR890,$AF$7:$AF$1570,AF890,$BL$7:$BL$1570,"&lt;="&amp;BL890),"")</f>
        <v/>
      </c>
      <c r="AH890" s="65">
        <f>IF(AG890="",0,MAX(0,MIN(1,(IF(BR890="L1",Parameter!$K$5,Parameter!$K$6+Parameter!$K$7)-(AG890-AC890))/AC890)))</f>
        <v/>
      </c>
      <c r="AI890" s="55">
        <f>IF(LEFT(Cockpit!$I$5,1)="A",G890,IF(BT890=1,BU890,IF(LEFT(Cockpit!$I$5,1)="B",AM890,MAX(AM890,G890))))</f>
        <v/>
      </c>
      <c r="AJ890" s="55">
        <f>IF(BO890=1,0,ROUNDUP(AI890/BN890,0))</f>
        <v/>
      </c>
      <c r="AK890" s="64">
        <f>IF(BO890=1,IF(AI890&lt;=0,0,BP890*MAX(1,IF(G890&gt;0,AI890/G890,1))),AJ890*Q890)</f>
        <v/>
      </c>
      <c r="AL890" s="55">
        <f>AI890*F890</f>
        <v/>
      </c>
      <c r="AM890" s="55">
        <f>ROUNDUP(MAX(I890/IF(BS890&gt;0,BS890,MAX(0.1,N(Cockpit!$I$6))),BV890)/BN890,0)*BN890</f>
        <v/>
      </c>
      <c r="AN890" s="56">
        <f>IF(AK890&gt;0,I890/AK890,-1)</f>
        <v/>
      </c>
      <c r="AO890" s="56">
        <f>IF(AND(OR(BR890="L1",BR890="L23"),AK890&gt;0),SUMIFS($AK$7:$AK$1570,$BR$7:$BR$1570,BR890,$AN$7:$AN$1570,"&gt;"&amp;AN890)+SUMIFS($AK$7:$AK$1570,$BR$7:$BR$1570,BR890,$AN$7:$AN$1570,AN890,$BL$7:$BL$1570,"&lt;="&amp;BL890),"")</f>
        <v/>
      </c>
      <c r="AP890" s="65">
        <f>IF(AO890="",0,MAX(0,MIN(1,(IF(BR890="L1",Parameter!$K$5,Parameter!$K$6+Parameter!$K$7)-(AO890-AK890))/AK890)))</f>
        <v/>
      </c>
      <c r="AQ890" s="55">
        <f>IF(LEFT(Cockpit!$O$5,1)="A",G890,IF(BT890=1,BU890,IF(LEFT(Cockpit!$O$5,1)="B",AU890,MAX(AU890,G890))))</f>
        <v/>
      </c>
      <c r="AR890" s="55">
        <f>IF(BO890=1,0,ROUNDUP(AQ890/BN890,0))</f>
        <v/>
      </c>
      <c r="AS890" s="64">
        <f>IF(BO890=1,IF(AQ890&lt;=0,0,BP890*MAX(1,IF(G890&gt;0,AQ890/G890,1))),AR890*Q890)</f>
        <v/>
      </c>
      <c r="AT890" s="55">
        <f>AQ890*F890</f>
        <v/>
      </c>
      <c r="AU890" s="55">
        <f>ROUNDUP(MAX(I890/IF(BS890&gt;0,BS890,MAX(0.1,N(Cockpit!$O$6))),BV890)/BN890,0)*BN890</f>
        <v/>
      </c>
      <c r="AV890" s="56">
        <f>IF(AS890&gt;0,I890/AS890,-1)</f>
        <v/>
      </c>
      <c r="AW890" s="56">
        <f>IF(AND(OR(BR890="L1",BR890="L23"),AS890&gt;0),SUMIFS($AS$7:$AS$1570,$BR$7:$BR$1570,BR890,$AV$7:$AV$1570,"&gt;"&amp;AV890)+SUMIFS($AS$7:$AS$1570,$BR$7:$BR$1570,BR890,$AV$7:$AV$1570,AV890,$BL$7:$BL$1570,"&lt;="&amp;BL890),"")</f>
        <v/>
      </c>
      <c r="AX890" s="65">
        <f>IF(AW890="",0,MAX(0,MIN(1,(IF(BR890="L1",Parameter!$K$5,Parameter!$K$6+Parameter!$K$7)-(AW890-AS890))/AS890)))</f>
        <v/>
      </c>
      <c r="AY890" s="53">
        <f>IF(AC890&lt;=0,"",IF(BR890="Aussen","Aussenlager",IF(BR890="-","Nicht im Lift",IF(AH890&gt;=1,"Lift",IF(AH890&lt;=0,"Aussenlager","teilweise")))))</f>
        <v/>
      </c>
      <c r="AZ890" s="53">
        <f>IF(AK890&lt;=0,"",IF(BR890="Aussen","Aussenlager",IF(BR890="-","Nicht im Lift",IF(AP890&gt;=1,"Lift",IF(AP890&lt;=0,"Aussenlager","teilweise")))))</f>
        <v/>
      </c>
      <c r="BA890" s="53">
        <f>IF(AS890&lt;=0,"",IF(BR890="Aussen","Aussenlager",IF(BR890="-","Nicht im Lift",IF(AX890&gt;=1,"Lift",IF(AX890&lt;=0,"Aussenlager","teilweise")))))</f>
        <v/>
      </c>
      <c r="BB890" s="53">
        <f>IF(A890="","",IF(BK890=1,"Neu; ","")&amp;IF(AND(BK890=0,BF890&lt;0),"negativer Bestand (Export "&amp;BF890&amp;"); ","")&amp;IF(I890&lt;=0,"Kein Verbrauch; ","")&amp;IF(BO890=1,"Lose – Fläche geschätzt; ","")&amp;IF(G890&gt;AM890,"Überbestand "&amp;ROUND(G890-AM890,0)&amp;" Stk / CHF "&amp;ROUND((G890-AM890)*F890,0)&amp;"; ","")&amp;IF(AND(BT890=1,BU890&lt;BV890),"MAX &lt; MB+LG; ","")&amp;IF(AND(BZ890&gt;0,BY890*10&gt;BZ890),"zu hoch für Tablar; ","")&amp;IF(AND(BK890=0,OR(BT890=1,V890&lt;&gt;"",S890&lt;&gt;"",T890&lt;&gt;"",W890&lt;&gt;"")),"manuell übersteuert; ","")&amp;IF(AND(BO890=0,Q890=0),"Gebinde unbekannt; ","")&amp;IF(AND(BO890=0,N(T890)&lt;=0,N(P890)&lt;=0),"Menge pro Gebinde fehlt (Ist = 1 Gebinde); ","")&amp;BJ890)</f>
        <v/>
      </c>
      <c r="BC890" s="53" t="n"/>
      <c r="BD890" s="53" t="n"/>
      <c r="BE890" s="61" t="n"/>
      <c r="BF890" s="55" t="n">
        <v>-2</v>
      </c>
      <c r="BG890" s="55" t="n">
        <v>6</v>
      </c>
      <c r="BH890" s="54" t="n">
        <v>-29.42</v>
      </c>
      <c r="BI890" s="55" t="n">
        <v>0</v>
      </c>
      <c r="BJ890" s="53" t="inlineStr"/>
      <c r="BK890" s="58" t="n">
        <v>0</v>
      </c>
      <c r="BL890" s="58" t="n">
        <v>890</v>
      </c>
      <c r="BM890" s="53">
        <f>IF(S890&lt;&gt;"",UPPER(TRIM(S890)),IF(O890="","LOSE",O890))</f>
        <v/>
      </c>
      <c r="BN890" s="55">
        <f>IF(BM890="LOSE",1,IF(N(T890)&gt;0,T890,IF(N(P890)&gt;0,P890,MAX(1,G890))))</f>
        <v/>
      </c>
      <c r="BO890" s="58">
        <f>IF(BM890="LOSE",1,0)</f>
        <v/>
      </c>
      <c r="BP890" s="64">
        <f>IF(BO890=0,0,IF(N(R890)&gt;0,R890,IFERROR(VLOOKUP(D890,Parameter!$A$35:$C$64,3,0)+0,0)))</f>
        <v/>
      </c>
      <c r="BQ890" s="53">
        <f>IF(V890&lt;&gt;"",V890,U890)</f>
        <v/>
      </c>
      <c r="BR890" s="53">
        <f>IF(BQ890=1,"L1",IF(OR(BQ890=2,BQ890=3),"L23",IF(BQ890="Aussen","Aussen","-")))</f>
        <v/>
      </c>
      <c r="BS890" s="66">
        <f>IF(N(W890)&gt;0,W890,0)</f>
        <v/>
      </c>
      <c r="BT890" s="58">
        <f>IF(ISNUMBER(Z890),1,0)</f>
        <v/>
      </c>
      <c r="BU890" s="55">
        <f>N(Z890)</f>
        <v/>
      </c>
      <c r="BV890" s="55">
        <f>N(L890)+N(M890)</f>
        <v/>
      </c>
      <c r="BW890" s="55">
        <f>ROUNDUP(G890/BN890,0)</f>
        <v/>
      </c>
      <c r="BX890" s="55">
        <f>ROUNDUP(BU890/BN890,0)</f>
        <v/>
      </c>
      <c r="BY890" s="58">
        <f>IF(BO890=1,0,IFERROR(VLOOKUP(BM890,'Gebinde-Kategorie'!$A$5:$G$45,5,0)+0,0))</f>
        <v/>
      </c>
      <c r="BZ890" s="58">
        <f>IFERROR(IF(OR(BQ890=1,BQ890=2,BQ890=3),N(INDEX(Parameter!$I$5:$I$7,BQ890)),0),0)</f>
        <v/>
      </c>
    </row>
    <row r="891">
      <c r="A891" s="53" t="inlineStr">
        <is>
          <t>005616</t>
        </is>
      </c>
      <c r="B891" s="53" t="inlineStr">
        <is>
          <t>Kabelverschraubung</t>
        </is>
      </c>
      <c r="C891" s="53" t="inlineStr">
        <is>
          <t>F</t>
        </is>
      </c>
      <c r="D891" s="53" t="inlineStr">
        <is>
          <t>KTL</t>
        </is>
      </c>
      <c r="E891" s="53" t="inlineStr">
        <is>
          <t>C</t>
        </is>
      </c>
      <c r="F891" s="54" t="n">
        <v>2.79</v>
      </c>
      <c r="G891" s="55">
        <f>MAX(0,IF(Parameter!$B$20="Jahresanfang 2025 + Export",BG891+BF891,BF891))</f>
        <v/>
      </c>
      <c r="H891" s="55">
        <f>G891*F891</f>
        <v/>
      </c>
      <c r="I891" s="55">
        <f>BI891*Parameter!$B$18</f>
        <v/>
      </c>
      <c r="J891" s="56" t="n">
        <v>60.5</v>
      </c>
      <c r="K891" s="57" t="n">
        <v>0</v>
      </c>
      <c r="L891" s="55" t="n">
        <v>0</v>
      </c>
      <c r="M891" s="55" t="n">
        <v>1</v>
      </c>
      <c r="N891" s="58" t="n">
        <v>14</v>
      </c>
      <c r="O891" s="53" t="inlineStr">
        <is>
          <t>LOSE</t>
        </is>
      </c>
      <c r="P891" s="55" t="n"/>
      <c r="Q891" s="59">
        <f>IF(BO891=1,0,IFERROR(VLOOKUP(BM891,'Gebinde-Kategorie'!$A$5:$G$45,6,0)+0,0))</f>
        <v/>
      </c>
      <c r="R891" s="60" t="n"/>
      <c r="S891" s="61" t="n"/>
      <c r="T891" s="61" t="n"/>
      <c r="U891" s="53">
        <f>IF(A891="","",IF(IFERROR(VLOOKUP(D891,Parameter!$A$35:$C$64,2,0),"Nein")="2+3",IF(ISNUMBER(SEARCH("grosser Artikel",BJ891)),2,IFERROR(VLOOKUP(BM891,Parameter!$F$35:$G$64,2,0),2)),IF(OR(IFERROR(VLOOKUP(D891,Parameter!$A$35:$C$64,2,0),"Nein")="Nein",IFERROR(VLOOKUP(D891,Parameter!$A$35:$C$64,2,0),"Nein")=""),"-",VLOOKUP(D891,Parameter!$A$35:$C$64,2,0))))</f>
        <v/>
      </c>
      <c r="V891" s="61" t="n"/>
      <c r="W891" s="62" t="n"/>
      <c r="X891" s="55">
        <f>AM891</f>
        <v/>
      </c>
      <c r="Y891" s="55">
        <f>MAX(AM891,G891)</f>
        <v/>
      </c>
      <c r="Z891" s="63" t="n"/>
      <c r="AA891" s="55">
        <f>IF(LEFT(Cockpit!$C$5,1)="A",G891,IF(BT891=1,BU891,IF(LEFT(Cockpit!$C$5,1)="B",AE891,MAX(AE891,G891))))</f>
        <v/>
      </c>
      <c r="AB891" s="55">
        <f>IF(BO891=1,0,ROUNDUP(AA891/BN891,0))</f>
        <v/>
      </c>
      <c r="AC891" s="64">
        <f>IF(BO891=1,IF(AA891&lt;=0,0,BP891*MAX(1,IF(G891&gt;0,AA891/G891,1))),AB891*Q891)</f>
        <v/>
      </c>
      <c r="AD891" s="55">
        <f>AA891*F891</f>
        <v/>
      </c>
      <c r="AE891" s="55">
        <f>ROUNDUP(MAX(I891/IF(BS891&gt;0,BS891,MAX(0.1,N(Cockpit!$C$6))),BV891)/BN891,0)*BN891</f>
        <v/>
      </c>
      <c r="AF891" s="56">
        <f>IF(AC891&gt;0,I891/AC891,-1)</f>
        <v/>
      </c>
      <c r="AG891" s="56">
        <f>IF(AND(OR(BR891="L1",BR891="L23"),AC891&gt;0),SUMIFS($AC$7:$AC$1570,$BR$7:$BR$1570,BR891,$AF$7:$AF$1570,"&gt;"&amp;AF891)+SUMIFS($AC$7:$AC$1570,$BR$7:$BR$1570,BR891,$AF$7:$AF$1570,AF891,$BL$7:$BL$1570,"&lt;="&amp;BL891),"")</f>
        <v/>
      </c>
      <c r="AH891" s="65">
        <f>IF(AG891="",0,MAX(0,MIN(1,(IF(BR891="L1",Parameter!$K$5,Parameter!$K$6+Parameter!$K$7)-(AG891-AC891))/AC891)))</f>
        <v/>
      </c>
      <c r="AI891" s="55">
        <f>IF(LEFT(Cockpit!$I$5,1)="A",G891,IF(BT891=1,BU891,IF(LEFT(Cockpit!$I$5,1)="B",AM891,MAX(AM891,G891))))</f>
        <v/>
      </c>
      <c r="AJ891" s="55">
        <f>IF(BO891=1,0,ROUNDUP(AI891/BN891,0))</f>
        <v/>
      </c>
      <c r="AK891" s="64">
        <f>IF(BO891=1,IF(AI891&lt;=0,0,BP891*MAX(1,IF(G891&gt;0,AI891/G891,1))),AJ891*Q891)</f>
        <v/>
      </c>
      <c r="AL891" s="55">
        <f>AI891*F891</f>
        <v/>
      </c>
      <c r="AM891" s="55">
        <f>ROUNDUP(MAX(I891/IF(BS891&gt;0,BS891,MAX(0.1,N(Cockpit!$I$6))),BV891)/BN891,0)*BN891</f>
        <v/>
      </c>
      <c r="AN891" s="56">
        <f>IF(AK891&gt;0,I891/AK891,-1)</f>
        <v/>
      </c>
      <c r="AO891" s="56">
        <f>IF(AND(OR(BR891="L1",BR891="L23"),AK891&gt;0),SUMIFS($AK$7:$AK$1570,$BR$7:$BR$1570,BR891,$AN$7:$AN$1570,"&gt;"&amp;AN891)+SUMIFS($AK$7:$AK$1570,$BR$7:$BR$1570,BR891,$AN$7:$AN$1570,AN891,$BL$7:$BL$1570,"&lt;="&amp;BL891),"")</f>
        <v/>
      </c>
      <c r="AP891" s="65">
        <f>IF(AO891="",0,MAX(0,MIN(1,(IF(BR891="L1",Parameter!$K$5,Parameter!$K$6+Parameter!$K$7)-(AO891-AK891))/AK891)))</f>
        <v/>
      </c>
      <c r="AQ891" s="55">
        <f>IF(LEFT(Cockpit!$O$5,1)="A",G891,IF(BT891=1,BU891,IF(LEFT(Cockpit!$O$5,1)="B",AU891,MAX(AU891,G891))))</f>
        <v/>
      </c>
      <c r="AR891" s="55">
        <f>IF(BO891=1,0,ROUNDUP(AQ891/BN891,0))</f>
        <v/>
      </c>
      <c r="AS891" s="64">
        <f>IF(BO891=1,IF(AQ891&lt;=0,0,BP891*MAX(1,IF(G891&gt;0,AQ891/G891,1))),AR891*Q891)</f>
        <v/>
      </c>
      <c r="AT891" s="55">
        <f>AQ891*F891</f>
        <v/>
      </c>
      <c r="AU891" s="55">
        <f>ROUNDUP(MAX(I891/IF(BS891&gt;0,BS891,MAX(0.1,N(Cockpit!$O$6))),BV891)/BN891,0)*BN891</f>
        <v/>
      </c>
      <c r="AV891" s="56">
        <f>IF(AS891&gt;0,I891/AS891,-1)</f>
        <v/>
      </c>
      <c r="AW891" s="56">
        <f>IF(AND(OR(BR891="L1",BR891="L23"),AS891&gt;0),SUMIFS($AS$7:$AS$1570,$BR$7:$BR$1570,BR891,$AV$7:$AV$1570,"&gt;"&amp;AV891)+SUMIFS($AS$7:$AS$1570,$BR$7:$BR$1570,BR891,$AV$7:$AV$1570,AV891,$BL$7:$BL$1570,"&lt;="&amp;BL891),"")</f>
        <v/>
      </c>
      <c r="AX891" s="65">
        <f>IF(AW891="",0,MAX(0,MIN(1,(IF(BR891="L1",Parameter!$K$5,Parameter!$K$6+Parameter!$K$7)-(AW891-AS891))/AS891)))</f>
        <v/>
      </c>
      <c r="AY891" s="53">
        <f>IF(AC891&lt;=0,"",IF(BR891="Aussen","Aussenlager",IF(BR891="-","Nicht im Lift",IF(AH891&gt;=1,"Lift",IF(AH891&lt;=0,"Aussenlager","teilweise")))))</f>
        <v/>
      </c>
      <c r="AZ891" s="53">
        <f>IF(AK891&lt;=0,"",IF(BR891="Aussen","Aussenlager",IF(BR891="-","Nicht im Lift",IF(AP891&gt;=1,"Lift",IF(AP891&lt;=0,"Aussenlager","teilweise")))))</f>
        <v/>
      </c>
      <c r="BA891" s="53">
        <f>IF(AS891&lt;=0,"",IF(BR891="Aussen","Aussenlager",IF(BR891="-","Nicht im Lift",IF(AX891&gt;=1,"Lift",IF(AX891&lt;=0,"Aussenlager","teilweise")))))</f>
        <v/>
      </c>
      <c r="BB891" s="53">
        <f>IF(A891="","",IF(BK891=1,"Neu; ","")&amp;IF(AND(BK891=0,BF891&lt;0),"negativer Bestand (Export "&amp;BF891&amp;"); ","")&amp;IF(I891&lt;=0,"Kein Verbrauch; ","")&amp;IF(BO891=1,"Lose – Fläche geschätzt; ","")&amp;IF(G891&gt;AM891,"Überbestand "&amp;ROUND(G891-AM891,0)&amp;" Stk / CHF "&amp;ROUND((G891-AM891)*F891,0)&amp;"; ","")&amp;IF(AND(BT891=1,BU891&lt;BV891),"MAX &lt; MB+LG; ","")&amp;IF(AND(BZ891&gt;0,BY891*10&gt;BZ891),"zu hoch für Tablar; ","")&amp;IF(AND(BK891=0,OR(BT891=1,V891&lt;&gt;"",S891&lt;&gt;"",T891&lt;&gt;"",W891&lt;&gt;"")),"manuell übersteuert; ","")&amp;IF(AND(BO891=0,Q891=0),"Gebinde unbekannt; ","")&amp;IF(AND(BO891=0,N(T891)&lt;=0,N(P891)&lt;=0),"Menge pro Gebinde fehlt (Ist = 1 Gebinde); ","")&amp;BJ891)</f>
        <v/>
      </c>
      <c r="BC891" s="53" t="n"/>
      <c r="BD891" s="53" t="n"/>
      <c r="BE891" s="61" t="n"/>
      <c r="BF891" s="55" t="n">
        <v>-21</v>
      </c>
      <c r="BG891" s="55" t="n">
        <v>71</v>
      </c>
      <c r="BH891" s="54" t="n">
        <v>-29.47999999999999</v>
      </c>
      <c r="BI891" s="55" t="n">
        <v>0</v>
      </c>
      <c r="BJ891" s="53" t="inlineStr">
        <is>
          <t>Überbestand; nicht im KTL vorhanden</t>
        </is>
      </c>
      <c r="BK891" s="58" t="n">
        <v>0</v>
      </c>
      <c r="BL891" s="58" t="n">
        <v>891</v>
      </c>
      <c r="BM891" s="53">
        <f>IF(S891&lt;&gt;"",UPPER(TRIM(S891)),IF(O891="","LOSE",O891))</f>
        <v/>
      </c>
      <c r="BN891" s="55">
        <f>IF(BM891="LOSE",1,IF(N(T891)&gt;0,T891,IF(N(P891)&gt;0,P891,MAX(1,G891))))</f>
        <v/>
      </c>
      <c r="BO891" s="58">
        <f>IF(BM891="LOSE",1,0)</f>
        <v/>
      </c>
      <c r="BP891" s="64">
        <f>IF(BO891=0,0,IF(N(R891)&gt;0,R891,IFERROR(VLOOKUP(D891,Parameter!$A$35:$C$64,3,0)+0,0)))</f>
        <v/>
      </c>
      <c r="BQ891" s="53">
        <f>IF(V891&lt;&gt;"",V891,U891)</f>
        <v/>
      </c>
      <c r="BR891" s="53">
        <f>IF(BQ891=1,"L1",IF(OR(BQ891=2,BQ891=3),"L23",IF(BQ891="Aussen","Aussen","-")))</f>
        <v/>
      </c>
      <c r="BS891" s="66">
        <f>IF(N(W891)&gt;0,W891,0)</f>
        <v/>
      </c>
      <c r="BT891" s="58">
        <f>IF(ISNUMBER(Z891),1,0)</f>
        <v/>
      </c>
      <c r="BU891" s="55">
        <f>N(Z891)</f>
        <v/>
      </c>
      <c r="BV891" s="55">
        <f>N(L891)+N(M891)</f>
        <v/>
      </c>
      <c r="BW891" s="55">
        <f>ROUNDUP(G891/BN891,0)</f>
        <v/>
      </c>
      <c r="BX891" s="55">
        <f>ROUNDUP(BU891/BN891,0)</f>
        <v/>
      </c>
      <c r="BY891" s="58">
        <f>IF(BO891=1,0,IFERROR(VLOOKUP(BM891,'Gebinde-Kategorie'!$A$5:$G$45,5,0)+0,0))</f>
        <v/>
      </c>
      <c r="BZ891" s="58">
        <f>IFERROR(IF(OR(BQ891=1,BQ891=2,BQ891=3),N(INDEX(Parameter!$I$5:$I$7,BQ891)),0),0)</f>
        <v/>
      </c>
    </row>
    <row r="892">
      <c r="A892" s="53" t="inlineStr">
        <is>
          <t>001191</t>
        </is>
      </c>
      <c r="B892" s="53" t="inlineStr">
        <is>
          <t>Litzendraht</t>
        </is>
      </c>
      <c r="C892" s="53" t="inlineStr">
        <is>
          <t>F</t>
        </is>
      </c>
      <c r="D892" s="53" t="inlineStr">
        <is>
          <t>KTL</t>
        </is>
      </c>
      <c r="E892" s="53" t="inlineStr">
        <is>
          <t>C</t>
        </is>
      </c>
      <c r="F892" s="54" t="n">
        <v>30.21</v>
      </c>
      <c r="G892" s="55">
        <f>MAX(0,IF(Parameter!$B$20="Jahresanfang 2025 + Export",BG892+BF892,BF892))</f>
        <v/>
      </c>
      <c r="H892" s="55">
        <f>G892*F892</f>
        <v/>
      </c>
      <c r="I892" s="55">
        <f>BI892*Parameter!$B$18</f>
        <v/>
      </c>
      <c r="J892" s="56" t="n">
        <v>0.5</v>
      </c>
      <c r="K892" s="57" t="n">
        <v>0</v>
      </c>
      <c r="L892" s="55" t="n">
        <v>0</v>
      </c>
      <c r="M892" s="55" t="n">
        <v>1</v>
      </c>
      <c r="N892" s="58" t="n">
        <v>28</v>
      </c>
      <c r="O892" s="53" t="inlineStr">
        <is>
          <t>LOSE</t>
        </is>
      </c>
      <c r="P892" s="55" t="n"/>
      <c r="Q892" s="59">
        <f>IF(BO892=1,0,IFERROR(VLOOKUP(BM892,'Gebinde-Kategorie'!$A$5:$G$45,6,0)+0,0))</f>
        <v/>
      </c>
      <c r="R892" s="60" t="n"/>
      <c r="S892" s="61" t="n"/>
      <c r="T892" s="61" t="n"/>
      <c r="U892" s="53">
        <f>IF(A892="","",IF(IFERROR(VLOOKUP(D892,Parameter!$A$35:$C$64,2,0),"Nein")="2+3",IF(ISNUMBER(SEARCH("grosser Artikel",BJ892)),2,IFERROR(VLOOKUP(BM892,Parameter!$F$35:$G$64,2,0),2)),IF(OR(IFERROR(VLOOKUP(D892,Parameter!$A$35:$C$64,2,0),"Nein")="Nein",IFERROR(VLOOKUP(D892,Parameter!$A$35:$C$64,2,0),"Nein")=""),"-",VLOOKUP(D892,Parameter!$A$35:$C$64,2,0))))</f>
        <v/>
      </c>
      <c r="V892" s="61" t="n"/>
      <c r="W892" s="62" t="n"/>
      <c r="X892" s="55">
        <f>AM892</f>
        <v/>
      </c>
      <c r="Y892" s="55">
        <f>MAX(AM892,G892)</f>
        <v/>
      </c>
      <c r="Z892" s="63" t="n"/>
      <c r="AA892" s="55">
        <f>IF(LEFT(Cockpit!$C$5,1)="A",G892,IF(BT892=1,BU892,IF(LEFT(Cockpit!$C$5,1)="B",AE892,MAX(AE892,G892))))</f>
        <v/>
      </c>
      <c r="AB892" s="55">
        <f>IF(BO892=1,0,ROUNDUP(AA892/BN892,0))</f>
        <v/>
      </c>
      <c r="AC892" s="64">
        <f>IF(BO892=1,IF(AA892&lt;=0,0,BP892*MAX(1,IF(G892&gt;0,AA892/G892,1))),AB892*Q892)</f>
        <v/>
      </c>
      <c r="AD892" s="55">
        <f>AA892*F892</f>
        <v/>
      </c>
      <c r="AE892" s="55">
        <f>ROUNDUP(MAX(I892/IF(BS892&gt;0,BS892,MAX(0.1,N(Cockpit!$C$6))),BV892)/BN892,0)*BN892</f>
        <v/>
      </c>
      <c r="AF892" s="56">
        <f>IF(AC892&gt;0,I892/AC892,-1)</f>
        <v/>
      </c>
      <c r="AG892" s="56">
        <f>IF(AND(OR(BR892="L1",BR892="L23"),AC892&gt;0),SUMIFS($AC$7:$AC$1570,$BR$7:$BR$1570,BR892,$AF$7:$AF$1570,"&gt;"&amp;AF892)+SUMIFS($AC$7:$AC$1570,$BR$7:$BR$1570,BR892,$AF$7:$AF$1570,AF892,$BL$7:$BL$1570,"&lt;="&amp;BL892),"")</f>
        <v/>
      </c>
      <c r="AH892" s="65">
        <f>IF(AG892="",0,MAX(0,MIN(1,(IF(BR892="L1",Parameter!$K$5,Parameter!$K$6+Parameter!$K$7)-(AG892-AC892))/AC892)))</f>
        <v/>
      </c>
      <c r="AI892" s="55">
        <f>IF(LEFT(Cockpit!$I$5,1)="A",G892,IF(BT892=1,BU892,IF(LEFT(Cockpit!$I$5,1)="B",AM892,MAX(AM892,G892))))</f>
        <v/>
      </c>
      <c r="AJ892" s="55">
        <f>IF(BO892=1,0,ROUNDUP(AI892/BN892,0))</f>
        <v/>
      </c>
      <c r="AK892" s="64">
        <f>IF(BO892=1,IF(AI892&lt;=0,0,BP892*MAX(1,IF(G892&gt;0,AI892/G892,1))),AJ892*Q892)</f>
        <v/>
      </c>
      <c r="AL892" s="55">
        <f>AI892*F892</f>
        <v/>
      </c>
      <c r="AM892" s="55">
        <f>ROUNDUP(MAX(I892/IF(BS892&gt;0,BS892,MAX(0.1,N(Cockpit!$I$6))),BV892)/BN892,0)*BN892</f>
        <v/>
      </c>
      <c r="AN892" s="56">
        <f>IF(AK892&gt;0,I892/AK892,-1)</f>
        <v/>
      </c>
      <c r="AO892" s="56">
        <f>IF(AND(OR(BR892="L1",BR892="L23"),AK892&gt;0),SUMIFS($AK$7:$AK$1570,$BR$7:$BR$1570,BR892,$AN$7:$AN$1570,"&gt;"&amp;AN892)+SUMIFS($AK$7:$AK$1570,$BR$7:$BR$1570,BR892,$AN$7:$AN$1570,AN892,$BL$7:$BL$1570,"&lt;="&amp;BL892),"")</f>
        <v/>
      </c>
      <c r="AP892" s="65">
        <f>IF(AO892="",0,MAX(0,MIN(1,(IF(BR892="L1",Parameter!$K$5,Parameter!$K$6+Parameter!$K$7)-(AO892-AK892))/AK892)))</f>
        <v/>
      </c>
      <c r="AQ892" s="55">
        <f>IF(LEFT(Cockpit!$O$5,1)="A",G892,IF(BT892=1,BU892,IF(LEFT(Cockpit!$O$5,1)="B",AU892,MAX(AU892,G892))))</f>
        <v/>
      </c>
      <c r="AR892" s="55">
        <f>IF(BO892=1,0,ROUNDUP(AQ892/BN892,0))</f>
        <v/>
      </c>
      <c r="AS892" s="64">
        <f>IF(BO892=1,IF(AQ892&lt;=0,0,BP892*MAX(1,IF(G892&gt;0,AQ892/G892,1))),AR892*Q892)</f>
        <v/>
      </c>
      <c r="AT892" s="55">
        <f>AQ892*F892</f>
        <v/>
      </c>
      <c r="AU892" s="55">
        <f>ROUNDUP(MAX(I892/IF(BS892&gt;0,BS892,MAX(0.1,N(Cockpit!$O$6))),BV892)/BN892,0)*BN892</f>
        <v/>
      </c>
      <c r="AV892" s="56">
        <f>IF(AS892&gt;0,I892/AS892,-1)</f>
        <v/>
      </c>
      <c r="AW892" s="56">
        <f>IF(AND(OR(BR892="L1",BR892="L23"),AS892&gt;0),SUMIFS($AS$7:$AS$1570,$BR$7:$BR$1570,BR892,$AV$7:$AV$1570,"&gt;"&amp;AV892)+SUMIFS($AS$7:$AS$1570,$BR$7:$BR$1570,BR892,$AV$7:$AV$1570,AV892,$BL$7:$BL$1570,"&lt;="&amp;BL892),"")</f>
        <v/>
      </c>
      <c r="AX892" s="65">
        <f>IF(AW892="",0,MAX(0,MIN(1,(IF(BR892="L1",Parameter!$K$5,Parameter!$K$6+Parameter!$K$7)-(AW892-AS892))/AS892)))</f>
        <v/>
      </c>
      <c r="AY892" s="53">
        <f>IF(AC892&lt;=0,"",IF(BR892="Aussen","Aussenlager",IF(BR892="-","Nicht im Lift",IF(AH892&gt;=1,"Lift",IF(AH892&lt;=0,"Aussenlager","teilweise")))))</f>
        <v/>
      </c>
      <c r="AZ892" s="53">
        <f>IF(AK892&lt;=0,"",IF(BR892="Aussen","Aussenlager",IF(BR892="-","Nicht im Lift",IF(AP892&gt;=1,"Lift",IF(AP892&lt;=0,"Aussenlager","teilweise")))))</f>
        <v/>
      </c>
      <c r="BA892" s="53">
        <f>IF(AS892&lt;=0,"",IF(BR892="Aussen","Aussenlager",IF(BR892="-","Nicht im Lift",IF(AX892&gt;=1,"Lift",IF(AX892&lt;=0,"Aussenlager","teilweise")))))</f>
        <v/>
      </c>
      <c r="BB892" s="53">
        <f>IF(A892="","",IF(BK892=1,"Neu; ","")&amp;IF(AND(BK892=0,BF892&lt;0),"negativer Bestand (Export "&amp;BF892&amp;"); ","")&amp;IF(I892&lt;=0,"Kein Verbrauch; ","")&amp;IF(BO892=1,"Lose – Fläche geschätzt; ","")&amp;IF(G892&gt;AM892,"Überbestand "&amp;ROUND(G892-AM892,0)&amp;" Stk / CHF "&amp;ROUND((G892-AM892)*F892,0)&amp;"; ","")&amp;IF(AND(BT892=1,BU892&lt;BV892),"MAX &lt; MB+LG; ","")&amp;IF(AND(BZ892&gt;0,BY892*10&gt;BZ892),"zu hoch für Tablar; ","")&amp;IF(AND(BK892=0,OR(BT892=1,V892&lt;&gt;"",S892&lt;&gt;"",T892&lt;&gt;"",W892&lt;&gt;"")),"manuell übersteuert; ","")&amp;IF(AND(BO892=0,Q892=0),"Gebinde unbekannt; ","")&amp;IF(AND(BO892=0,N(T892)&lt;=0,N(P892)&lt;=0),"Menge pro Gebinde fehlt (Ist = 1 Gebinde); ","")&amp;BJ892)</f>
        <v/>
      </c>
      <c r="BC892" s="53" t="n"/>
      <c r="BD892" s="53" t="n"/>
      <c r="BE892" s="61" t="n"/>
      <c r="BF892" s="55" t="n">
        <v>-1</v>
      </c>
      <c r="BG892" s="55" t="n">
        <v>1</v>
      </c>
      <c r="BH892" s="54" t="n">
        <v>-30.21</v>
      </c>
      <c r="BI892" s="55" t="n">
        <v>0</v>
      </c>
      <c r="BJ892" s="53" t="inlineStr"/>
      <c r="BK892" s="58" t="n">
        <v>0</v>
      </c>
      <c r="BL892" s="58" t="n">
        <v>892</v>
      </c>
      <c r="BM892" s="53">
        <f>IF(S892&lt;&gt;"",UPPER(TRIM(S892)),IF(O892="","LOSE",O892))</f>
        <v/>
      </c>
      <c r="BN892" s="55">
        <f>IF(BM892="LOSE",1,IF(N(T892)&gt;0,T892,IF(N(P892)&gt;0,P892,MAX(1,G892))))</f>
        <v/>
      </c>
      <c r="BO892" s="58">
        <f>IF(BM892="LOSE",1,0)</f>
        <v/>
      </c>
      <c r="BP892" s="64">
        <f>IF(BO892=0,0,IF(N(R892)&gt;0,R892,IFERROR(VLOOKUP(D892,Parameter!$A$35:$C$64,3,0)+0,0)))</f>
        <v/>
      </c>
      <c r="BQ892" s="53">
        <f>IF(V892&lt;&gt;"",V892,U892)</f>
        <v/>
      </c>
      <c r="BR892" s="53">
        <f>IF(BQ892=1,"L1",IF(OR(BQ892=2,BQ892=3),"L23",IF(BQ892="Aussen","Aussen","-")))</f>
        <v/>
      </c>
      <c r="BS892" s="66">
        <f>IF(N(W892)&gt;0,W892,0)</f>
        <v/>
      </c>
      <c r="BT892" s="58">
        <f>IF(ISNUMBER(Z892),1,0)</f>
        <v/>
      </c>
      <c r="BU892" s="55">
        <f>N(Z892)</f>
        <v/>
      </c>
      <c r="BV892" s="55">
        <f>N(L892)+N(M892)</f>
        <v/>
      </c>
      <c r="BW892" s="55">
        <f>ROUNDUP(G892/BN892,0)</f>
        <v/>
      </c>
      <c r="BX892" s="55">
        <f>ROUNDUP(BU892/BN892,0)</f>
        <v/>
      </c>
      <c r="BY892" s="58">
        <f>IF(BO892=1,0,IFERROR(VLOOKUP(BM892,'Gebinde-Kategorie'!$A$5:$G$45,5,0)+0,0))</f>
        <v/>
      </c>
      <c r="BZ892" s="58">
        <f>IFERROR(IF(OR(BQ892=1,BQ892=2,BQ892=3),N(INDEX(Parameter!$I$5:$I$7,BQ892)),0),0)</f>
        <v/>
      </c>
    </row>
    <row r="893">
      <c r="A893" s="53" t="inlineStr">
        <is>
          <t>108031</t>
        </is>
      </c>
      <c r="B893" s="53" t="inlineStr">
        <is>
          <t>Blende</t>
        </is>
      </c>
      <c r="C893" s="53" t="inlineStr">
        <is>
          <t>F</t>
        </is>
      </c>
      <c r="D893" s="53" t="inlineStr">
        <is>
          <t>KTL</t>
        </is>
      </c>
      <c r="E893" s="53" t="inlineStr">
        <is>
          <t>C</t>
        </is>
      </c>
      <c r="F893" s="54" t="n">
        <v>2.2</v>
      </c>
      <c r="G893" s="55">
        <f>MAX(0,IF(Parameter!$B$20="Jahresanfang 2025 + Export",BG893+BF893,BF893))</f>
        <v/>
      </c>
      <c r="H893" s="55">
        <f>G893*F893</f>
        <v/>
      </c>
      <c r="I893" s="55">
        <f>BI893*Parameter!$B$18</f>
        <v/>
      </c>
      <c r="J893" s="56" t="n">
        <v>41</v>
      </c>
      <c r="K893" s="57" t="n">
        <v>0.2682926829268293</v>
      </c>
      <c r="L893" s="55" t="n">
        <v>0</v>
      </c>
      <c r="M893" s="55" t="n">
        <v>10</v>
      </c>
      <c r="N893" s="58" t="n">
        <v>21</v>
      </c>
      <c r="O893" s="53" t="inlineStr">
        <is>
          <t>S22</t>
        </is>
      </c>
      <c r="P893" s="55" t="n">
        <v>21</v>
      </c>
      <c r="Q893" s="59">
        <f>IF(BO893=1,0,IFERROR(VLOOKUP(BM893,'Gebinde-Kategorie'!$A$5:$G$45,6,0)+0,0))</f>
        <v/>
      </c>
      <c r="R893" s="60" t="n"/>
      <c r="S893" s="61" t="n"/>
      <c r="T893" s="61" t="n"/>
      <c r="U893" s="53">
        <f>IF(A893="","",IF(IFERROR(VLOOKUP(D893,Parameter!$A$35:$C$64,2,0),"Nein")="2+3",IF(ISNUMBER(SEARCH("grosser Artikel",BJ893)),2,IFERROR(VLOOKUP(BM893,Parameter!$F$35:$G$64,2,0),2)),IF(OR(IFERROR(VLOOKUP(D893,Parameter!$A$35:$C$64,2,0),"Nein")="Nein",IFERROR(VLOOKUP(D893,Parameter!$A$35:$C$64,2,0),"Nein")=""),"-",VLOOKUP(D893,Parameter!$A$35:$C$64,2,0))))</f>
        <v/>
      </c>
      <c r="V893" s="61" t="n"/>
      <c r="W893" s="62" t="n"/>
      <c r="X893" s="55">
        <f>AM893</f>
        <v/>
      </c>
      <c r="Y893" s="55">
        <f>MAX(AM893,G893)</f>
        <v/>
      </c>
      <c r="Z893" s="63" t="n"/>
      <c r="AA893" s="55">
        <f>IF(LEFT(Cockpit!$C$5,1)="A",G893,IF(BT893=1,BU893,IF(LEFT(Cockpit!$C$5,1)="B",AE893,MAX(AE893,G893))))</f>
        <v/>
      </c>
      <c r="AB893" s="55">
        <f>IF(BO893=1,0,ROUNDUP(AA893/BN893,0))</f>
        <v/>
      </c>
      <c r="AC893" s="64">
        <f>IF(BO893=1,IF(AA893&lt;=0,0,BP893*MAX(1,IF(G893&gt;0,AA893/G893,1))),AB893*Q893)</f>
        <v/>
      </c>
      <c r="AD893" s="55">
        <f>AA893*F893</f>
        <v/>
      </c>
      <c r="AE893" s="55">
        <f>ROUNDUP(MAX(I893/IF(BS893&gt;0,BS893,MAX(0.1,N(Cockpit!$C$6))),BV893)/BN893,0)*BN893</f>
        <v/>
      </c>
      <c r="AF893" s="56">
        <f>IF(AC893&gt;0,I893/AC893,-1)</f>
        <v/>
      </c>
      <c r="AG893" s="56">
        <f>IF(AND(OR(BR893="L1",BR893="L23"),AC893&gt;0),SUMIFS($AC$7:$AC$1570,$BR$7:$BR$1570,BR893,$AF$7:$AF$1570,"&gt;"&amp;AF893)+SUMIFS($AC$7:$AC$1570,$BR$7:$BR$1570,BR893,$AF$7:$AF$1570,AF893,$BL$7:$BL$1570,"&lt;="&amp;BL893),"")</f>
        <v/>
      </c>
      <c r="AH893" s="65">
        <f>IF(AG893="",0,MAX(0,MIN(1,(IF(BR893="L1",Parameter!$K$5,Parameter!$K$6+Parameter!$K$7)-(AG893-AC893))/AC893)))</f>
        <v/>
      </c>
      <c r="AI893" s="55">
        <f>IF(LEFT(Cockpit!$I$5,1)="A",G893,IF(BT893=1,BU893,IF(LEFT(Cockpit!$I$5,1)="B",AM893,MAX(AM893,G893))))</f>
        <v/>
      </c>
      <c r="AJ893" s="55">
        <f>IF(BO893=1,0,ROUNDUP(AI893/BN893,0))</f>
        <v/>
      </c>
      <c r="AK893" s="64">
        <f>IF(BO893=1,IF(AI893&lt;=0,0,BP893*MAX(1,IF(G893&gt;0,AI893/G893,1))),AJ893*Q893)</f>
        <v/>
      </c>
      <c r="AL893" s="55">
        <f>AI893*F893</f>
        <v/>
      </c>
      <c r="AM893" s="55">
        <f>ROUNDUP(MAX(I893/IF(BS893&gt;0,BS893,MAX(0.1,N(Cockpit!$I$6))),BV893)/BN893,0)*BN893</f>
        <v/>
      </c>
      <c r="AN893" s="56">
        <f>IF(AK893&gt;0,I893/AK893,-1)</f>
        <v/>
      </c>
      <c r="AO893" s="56">
        <f>IF(AND(OR(BR893="L1",BR893="L23"),AK893&gt;0),SUMIFS($AK$7:$AK$1570,$BR$7:$BR$1570,BR893,$AN$7:$AN$1570,"&gt;"&amp;AN893)+SUMIFS($AK$7:$AK$1570,$BR$7:$BR$1570,BR893,$AN$7:$AN$1570,AN893,$BL$7:$BL$1570,"&lt;="&amp;BL893),"")</f>
        <v/>
      </c>
      <c r="AP893" s="65">
        <f>IF(AO893="",0,MAX(0,MIN(1,(IF(BR893="L1",Parameter!$K$5,Parameter!$K$6+Parameter!$K$7)-(AO893-AK893))/AK893)))</f>
        <v/>
      </c>
      <c r="AQ893" s="55">
        <f>IF(LEFT(Cockpit!$O$5,1)="A",G893,IF(BT893=1,BU893,IF(LEFT(Cockpit!$O$5,1)="B",AU893,MAX(AU893,G893))))</f>
        <v/>
      </c>
      <c r="AR893" s="55">
        <f>IF(BO893=1,0,ROUNDUP(AQ893/BN893,0))</f>
        <v/>
      </c>
      <c r="AS893" s="64">
        <f>IF(BO893=1,IF(AQ893&lt;=0,0,BP893*MAX(1,IF(G893&gt;0,AQ893/G893,1))),AR893*Q893)</f>
        <v/>
      </c>
      <c r="AT893" s="55">
        <f>AQ893*F893</f>
        <v/>
      </c>
      <c r="AU893" s="55">
        <f>ROUNDUP(MAX(I893/IF(BS893&gt;0,BS893,MAX(0.1,N(Cockpit!$O$6))),BV893)/BN893,0)*BN893</f>
        <v/>
      </c>
      <c r="AV893" s="56">
        <f>IF(AS893&gt;0,I893/AS893,-1)</f>
        <v/>
      </c>
      <c r="AW893" s="56">
        <f>IF(AND(OR(BR893="L1",BR893="L23"),AS893&gt;0),SUMIFS($AS$7:$AS$1570,$BR$7:$BR$1570,BR893,$AV$7:$AV$1570,"&gt;"&amp;AV893)+SUMIFS($AS$7:$AS$1570,$BR$7:$BR$1570,BR893,$AV$7:$AV$1570,AV893,$BL$7:$BL$1570,"&lt;="&amp;BL893),"")</f>
        <v/>
      </c>
      <c r="AX893" s="65">
        <f>IF(AW893="",0,MAX(0,MIN(1,(IF(BR893="L1",Parameter!$K$5,Parameter!$K$6+Parameter!$K$7)-(AW893-AS893))/AS893)))</f>
        <v/>
      </c>
      <c r="AY893" s="53">
        <f>IF(AC893&lt;=0,"",IF(BR893="Aussen","Aussenlager",IF(BR893="-","Nicht im Lift",IF(AH893&gt;=1,"Lift",IF(AH893&lt;=0,"Aussenlager","teilweise")))))</f>
        <v/>
      </c>
      <c r="AZ893" s="53">
        <f>IF(AK893&lt;=0,"",IF(BR893="Aussen","Aussenlager",IF(BR893="-","Nicht im Lift",IF(AP893&gt;=1,"Lift",IF(AP893&lt;=0,"Aussenlager","teilweise")))))</f>
        <v/>
      </c>
      <c r="BA893" s="53">
        <f>IF(AS893&lt;=0,"",IF(BR893="Aussen","Aussenlager",IF(BR893="-","Nicht im Lift",IF(AX893&gt;=1,"Lift",IF(AX893&lt;=0,"Aussenlager","teilweise")))))</f>
        <v/>
      </c>
      <c r="BB893" s="53">
        <f>IF(A893="","",IF(BK893=1,"Neu; ","")&amp;IF(AND(BK893=0,BF893&lt;0),"negativer Bestand (Export "&amp;BF893&amp;"); ","")&amp;IF(I893&lt;=0,"Kein Verbrauch; ","")&amp;IF(BO893=1,"Lose – Fläche geschätzt; ","")&amp;IF(G893&gt;AM893,"Überbestand "&amp;ROUND(G893-AM893,0)&amp;" Stk / CHF "&amp;ROUND((G893-AM893)*F893,0)&amp;"; ","")&amp;IF(AND(BT893=1,BU893&lt;BV893),"MAX &lt; MB+LG; ","")&amp;IF(AND(BZ893&gt;0,BY893*10&gt;BZ893),"zu hoch für Tablar; ","")&amp;IF(AND(BK893=0,OR(BT893=1,V893&lt;&gt;"",S893&lt;&gt;"",T893&lt;&gt;"",W893&lt;&gt;"")),"manuell übersteuert; ","")&amp;IF(AND(BO893=0,Q893=0),"Gebinde unbekannt; ","")&amp;IF(AND(BO893=0,N(T893)&lt;=0,N(P893)&lt;=0),"Menge pro Gebinde fehlt (Ist = 1 Gebinde); ","")&amp;BJ893)</f>
        <v/>
      </c>
      <c r="BC893" s="53" t="n"/>
      <c r="BD893" s="53" t="n"/>
      <c r="BE893" s="61" t="n"/>
      <c r="BF893" s="55" t="n">
        <v>-14</v>
      </c>
      <c r="BG893" s="55" t="n">
        <v>48</v>
      </c>
      <c r="BH893" s="54" t="n">
        <v>-30.80000000000001</v>
      </c>
      <c r="BI893" s="55" t="n">
        <v>11</v>
      </c>
      <c r="BJ893" s="53" t="inlineStr"/>
      <c r="BK893" s="58" t="n">
        <v>0</v>
      </c>
      <c r="BL893" s="58" t="n">
        <v>893</v>
      </c>
      <c r="BM893" s="53">
        <f>IF(S893&lt;&gt;"",UPPER(TRIM(S893)),IF(O893="","LOSE",O893))</f>
        <v/>
      </c>
      <c r="BN893" s="55">
        <f>IF(BM893="LOSE",1,IF(N(T893)&gt;0,T893,IF(N(P893)&gt;0,P893,MAX(1,G893))))</f>
        <v/>
      </c>
      <c r="BO893" s="58">
        <f>IF(BM893="LOSE",1,0)</f>
        <v/>
      </c>
      <c r="BP893" s="64">
        <f>IF(BO893=0,0,IF(N(R893)&gt;0,R893,IFERROR(VLOOKUP(D893,Parameter!$A$35:$C$64,3,0)+0,0)))</f>
        <v/>
      </c>
      <c r="BQ893" s="53">
        <f>IF(V893&lt;&gt;"",V893,U893)</f>
        <v/>
      </c>
      <c r="BR893" s="53">
        <f>IF(BQ893=1,"L1",IF(OR(BQ893=2,BQ893=3),"L23",IF(BQ893="Aussen","Aussen","-")))</f>
        <v/>
      </c>
      <c r="BS893" s="66">
        <f>IF(N(W893)&gt;0,W893,0)</f>
        <v/>
      </c>
      <c r="BT893" s="58">
        <f>IF(ISNUMBER(Z893),1,0)</f>
        <v/>
      </c>
      <c r="BU893" s="55">
        <f>N(Z893)</f>
        <v/>
      </c>
      <c r="BV893" s="55">
        <f>N(L893)+N(M893)</f>
        <v/>
      </c>
      <c r="BW893" s="55">
        <f>ROUNDUP(G893/BN893,0)</f>
        <v/>
      </c>
      <c r="BX893" s="55">
        <f>ROUNDUP(BU893/BN893,0)</f>
        <v/>
      </c>
      <c r="BY893" s="58">
        <f>IF(BO893=1,0,IFERROR(VLOOKUP(BM893,'Gebinde-Kategorie'!$A$5:$G$45,5,0)+0,0))</f>
        <v/>
      </c>
      <c r="BZ893" s="58">
        <f>IFERROR(IF(OR(BQ893=1,BQ893=2,BQ893=3),N(INDEX(Parameter!$I$5:$I$7,BQ893)),0),0)</f>
        <v/>
      </c>
    </row>
    <row r="894">
      <c r="A894" s="53" t="inlineStr">
        <is>
          <t>001144</t>
        </is>
      </c>
      <c r="B894" s="53" t="inlineStr">
        <is>
          <t>UV-beständiger Verschlussbeutel gross</t>
        </is>
      </c>
      <c r="C894" s="53" t="inlineStr">
        <is>
          <t>F</t>
        </is>
      </c>
      <c r="D894" s="53" t="inlineStr">
        <is>
          <t>KTL</t>
        </is>
      </c>
      <c r="E894" s="53" t="inlineStr">
        <is>
          <t>C</t>
        </is>
      </c>
      <c r="F894" s="54" t="n">
        <v>0.24</v>
      </c>
      <c r="G894" s="55">
        <f>MAX(0,IF(Parameter!$B$20="Jahresanfang 2025 + Export",BG894+BF894,BF894))</f>
        <v/>
      </c>
      <c r="H894" s="55">
        <f>G894*F894</f>
        <v/>
      </c>
      <c r="I894" s="55">
        <f>BI894*Parameter!$B$18</f>
        <v/>
      </c>
      <c r="J894" s="56" t="n">
        <v>900</v>
      </c>
      <c r="K894" s="57" t="n">
        <v>0</v>
      </c>
      <c r="L894" s="55" t="n">
        <v>1</v>
      </c>
      <c r="M894" s="55" t="n">
        <v>1</v>
      </c>
      <c r="N894" s="58" t="n">
        <v>21</v>
      </c>
      <c r="O894" s="53" t="inlineStr">
        <is>
          <t>S51</t>
        </is>
      </c>
      <c r="P894" s="55" t="n">
        <v>400</v>
      </c>
      <c r="Q894" s="59">
        <f>IF(BO894=1,0,IFERROR(VLOOKUP(BM894,'Gebinde-Kategorie'!$A$5:$G$45,6,0)+0,0))</f>
        <v/>
      </c>
      <c r="R894" s="60" t="n"/>
      <c r="S894" s="61" t="n"/>
      <c r="T894" s="61" t="n"/>
      <c r="U894" s="53">
        <f>IF(A894="","",IF(IFERROR(VLOOKUP(D894,Parameter!$A$35:$C$64,2,0),"Nein")="2+3",IF(ISNUMBER(SEARCH("grosser Artikel",BJ894)),2,IFERROR(VLOOKUP(BM894,Parameter!$F$35:$G$64,2,0),2)),IF(OR(IFERROR(VLOOKUP(D894,Parameter!$A$35:$C$64,2,0),"Nein")="Nein",IFERROR(VLOOKUP(D894,Parameter!$A$35:$C$64,2,0),"Nein")=""),"-",VLOOKUP(D894,Parameter!$A$35:$C$64,2,0))))</f>
        <v/>
      </c>
      <c r="V894" s="61" t="n"/>
      <c r="W894" s="62" t="n"/>
      <c r="X894" s="55">
        <f>AM894</f>
        <v/>
      </c>
      <c r="Y894" s="55">
        <f>MAX(AM894,G894)</f>
        <v/>
      </c>
      <c r="Z894" s="63" t="n"/>
      <c r="AA894" s="55">
        <f>IF(LEFT(Cockpit!$C$5,1)="A",G894,IF(BT894=1,BU894,IF(LEFT(Cockpit!$C$5,1)="B",AE894,MAX(AE894,G894))))</f>
        <v/>
      </c>
      <c r="AB894" s="55">
        <f>IF(BO894=1,0,ROUNDUP(AA894/BN894,0))</f>
        <v/>
      </c>
      <c r="AC894" s="64">
        <f>IF(BO894=1,IF(AA894&lt;=0,0,BP894*MAX(1,IF(G894&gt;0,AA894/G894,1))),AB894*Q894)</f>
        <v/>
      </c>
      <c r="AD894" s="55">
        <f>AA894*F894</f>
        <v/>
      </c>
      <c r="AE894" s="55">
        <f>ROUNDUP(MAX(I894/IF(BS894&gt;0,BS894,MAX(0.1,N(Cockpit!$C$6))),BV894)/BN894,0)*BN894</f>
        <v/>
      </c>
      <c r="AF894" s="56">
        <f>IF(AC894&gt;0,I894/AC894,-1)</f>
        <v/>
      </c>
      <c r="AG894" s="56">
        <f>IF(AND(OR(BR894="L1",BR894="L23"),AC894&gt;0),SUMIFS($AC$7:$AC$1570,$BR$7:$BR$1570,BR894,$AF$7:$AF$1570,"&gt;"&amp;AF894)+SUMIFS($AC$7:$AC$1570,$BR$7:$BR$1570,BR894,$AF$7:$AF$1570,AF894,$BL$7:$BL$1570,"&lt;="&amp;BL894),"")</f>
        <v/>
      </c>
      <c r="AH894" s="65">
        <f>IF(AG894="",0,MAX(0,MIN(1,(IF(BR894="L1",Parameter!$K$5,Parameter!$K$6+Parameter!$K$7)-(AG894-AC894))/AC894)))</f>
        <v/>
      </c>
      <c r="AI894" s="55">
        <f>IF(LEFT(Cockpit!$I$5,1)="A",G894,IF(BT894=1,BU894,IF(LEFT(Cockpit!$I$5,1)="B",AM894,MAX(AM894,G894))))</f>
        <v/>
      </c>
      <c r="AJ894" s="55">
        <f>IF(BO894=1,0,ROUNDUP(AI894/BN894,0))</f>
        <v/>
      </c>
      <c r="AK894" s="64">
        <f>IF(BO894=1,IF(AI894&lt;=0,0,BP894*MAX(1,IF(G894&gt;0,AI894/G894,1))),AJ894*Q894)</f>
        <v/>
      </c>
      <c r="AL894" s="55">
        <f>AI894*F894</f>
        <v/>
      </c>
      <c r="AM894" s="55">
        <f>ROUNDUP(MAX(I894/IF(BS894&gt;0,BS894,MAX(0.1,N(Cockpit!$I$6))),BV894)/BN894,0)*BN894</f>
        <v/>
      </c>
      <c r="AN894" s="56">
        <f>IF(AK894&gt;0,I894/AK894,-1)</f>
        <v/>
      </c>
      <c r="AO894" s="56">
        <f>IF(AND(OR(BR894="L1",BR894="L23"),AK894&gt;0),SUMIFS($AK$7:$AK$1570,$BR$7:$BR$1570,BR894,$AN$7:$AN$1570,"&gt;"&amp;AN894)+SUMIFS($AK$7:$AK$1570,$BR$7:$BR$1570,BR894,$AN$7:$AN$1570,AN894,$BL$7:$BL$1570,"&lt;="&amp;BL894),"")</f>
        <v/>
      </c>
      <c r="AP894" s="65">
        <f>IF(AO894="",0,MAX(0,MIN(1,(IF(BR894="L1",Parameter!$K$5,Parameter!$K$6+Parameter!$K$7)-(AO894-AK894))/AK894)))</f>
        <v/>
      </c>
      <c r="AQ894" s="55">
        <f>IF(LEFT(Cockpit!$O$5,1)="A",G894,IF(BT894=1,BU894,IF(LEFT(Cockpit!$O$5,1)="B",AU894,MAX(AU894,G894))))</f>
        <v/>
      </c>
      <c r="AR894" s="55">
        <f>IF(BO894=1,0,ROUNDUP(AQ894/BN894,0))</f>
        <v/>
      </c>
      <c r="AS894" s="64">
        <f>IF(BO894=1,IF(AQ894&lt;=0,0,BP894*MAX(1,IF(G894&gt;0,AQ894/G894,1))),AR894*Q894)</f>
        <v/>
      </c>
      <c r="AT894" s="55">
        <f>AQ894*F894</f>
        <v/>
      </c>
      <c r="AU894" s="55">
        <f>ROUNDUP(MAX(I894/IF(BS894&gt;0,BS894,MAX(0.1,N(Cockpit!$O$6))),BV894)/BN894,0)*BN894</f>
        <v/>
      </c>
      <c r="AV894" s="56">
        <f>IF(AS894&gt;0,I894/AS894,-1)</f>
        <v/>
      </c>
      <c r="AW894" s="56">
        <f>IF(AND(OR(BR894="L1",BR894="L23"),AS894&gt;0),SUMIFS($AS$7:$AS$1570,$BR$7:$BR$1570,BR894,$AV$7:$AV$1570,"&gt;"&amp;AV894)+SUMIFS($AS$7:$AS$1570,$BR$7:$BR$1570,BR894,$AV$7:$AV$1570,AV894,$BL$7:$BL$1570,"&lt;="&amp;BL894),"")</f>
        <v/>
      </c>
      <c r="AX894" s="65">
        <f>IF(AW894="",0,MAX(0,MIN(1,(IF(BR894="L1",Parameter!$K$5,Parameter!$K$6+Parameter!$K$7)-(AW894-AS894))/AS894)))</f>
        <v/>
      </c>
      <c r="AY894" s="53">
        <f>IF(AC894&lt;=0,"",IF(BR894="Aussen","Aussenlager",IF(BR894="-","Nicht im Lift",IF(AH894&gt;=1,"Lift",IF(AH894&lt;=0,"Aussenlager","teilweise")))))</f>
        <v/>
      </c>
      <c r="AZ894" s="53">
        <f>IF(AK894&lt;=0,"",IF(BR894="Aussen","Aussenlager",IF(BR894="-","Nicht im Lift",IF(AP894&gt;=1,"Lift",IF(AP894&lt;=0,"Aussenlager","teilweise")))))</f>
        <v/>
      </c>
      <c r="BA894" s="53">
        <f>IF(AS894&lt;=0,"",IF(BR894="Aussen","Aussenlager",IF(BR894="-","Nicht im Lift",IF(AX894&gt;=1,"Lift",IF(AX894&lt;=0,"Aussenlager","teilweise")))))</f>
        <v/>
      </c>
      <c r="BB894" s="53">
        <f>IF(A894="","",IF(BK894=1,"Neu; ","")&amp;IF(AND(BK894=0,BF894&lt;0),"negativer Bestand (Export "&amp;BF894&amp;"); ","")&amp;IF(I894&lt;=0,"Kein Verbrauch; ","")&amp;IF(BO894=1,"Lose – Fläche geschätzt; ","")&amp;IF(G894&gt;AM894,"Überbestand "&amp;ROUND(G894-AM894,0)&amp;" Stk / CHF "&amp;ROUND((G894-AM894)*F894,0)&amp;"; ","")&amp;IF(AND(BT894=1,BU894&lt;BV894),"MAX &lt; MB+LG; ","")&amp;IF(AND(BZ894&gt;0,BY894*10&gt;BZ894),"zu hoch für Tablar; ","")&amp;IF(AND(BK894=0,OR(BT894=1,V894&lt;&gt;"",S894&lt;&gt;"",T894&lt;&gt;"",W894&lt;&gt;"")),"manuell übersteuert; ","")&amp;IF(AND(BO894=0,Q894=0),"Gebinde unbekannt; ","")&amp;IF(AND(BO894=0,N(T894)&lt;=0,N(P894)&lt;=0),"Menge pro Gebinde fehlt (Ist = 1 Gebinde); ","")&amp;BJ894)</f>
        <v/>
      </c>
      <c r="BC894" s="53" t="n"/>
      <c r="BD894" s="53" t="n"/>
      <c r="BE894" s="61" t="n"/>
      <c r="BF894" s="55" t="n">
        <v>-129</v>
      </c>
      <c r="BG894" s="55" t="n">
        <v>900</v>
      </c>
      <c r="BH894" s="54" t="n">
        <v>-30.96</v>
      </c>
      <c r="BI894" s="55" t="n">
        <v>0</v>
      </c>
      <c r="BJ894" s="53" t="inlineStr">
        <is>
          <t>Handlager</t>
        </is>
      </c>
      <c r="BK894" s="58" t="n">
        <v>0</v>
      </c>
      <c r="BL894" s="58" t="n">
        <v>894</v>
      </c>
      <c r="BM894" s="53">
        <f>IF(S894&lt;&gt;"",UPPER(TRIM(S894)),IF(O894="","LOSE",O894))</f>
        <v/>
      </c>
      <c r="BN894" s="55">
        <f>IF(BM894="LOSE",1,IF(N(T894)&gt;0,T894,IF(N(P894)&gt;0,P894,MAX(1,G894))))</f>
        <v/>
      </c>
      <c r="BO894" s="58">
        <f>IF(BM894="LOSE",1,0)</f>
        <v/>
      </c>
      <c r="BP894" s="64">
        <f>IF(BO894=0,0,IF(N(R894)&gt;0,R894,IFERROR(VLOOKUP(D894,Parameter!$A$35:$C$64,3,0)+0,0)))</f>
        <v/>
      </c>
      <c r="BQ894" s="53">
        <f>IF(V894&lt;&gt;"",V894,U894)</f>
        <v/>
      </c>
      <c r="BR894" s="53">
        <f>IF(BQ894=1,"L1",IF(OR(BQ894=2,BQ894=3),"L23",IF(BQ894="Aussen","Aussen","-")))</f>
        <v/>
      </c>
      <c r="BS894" s="66">
        <f>IF(N(W894)&gt;0,W894,0)</f>
        <v/>
      </c>
      <c r="BT894" s="58">
        <f>IF(ISNUMBER(Z894),1,0)</f>
        <v/>
      </c>
      <c r="BU894" s="55">
        <f>N(Z894)</f>
        <v/>
      </c>
      <c r="BV894" s="55">
        <f>N(L894)+N(M894)</f>
        <v/>
      </c>
      <c r="BW894" s="55">
        <f>ROUNDUP(G894/BN894,0)</f>
        <v/>
      </c>
      <c r="BX894" s="55">
        <f>ROUNDUP(BU894/BN894,0)</f>
        <v/>
      </c>
      <c r="BY894" s="58">
        <f>IF(BO894=1,0,IFERROR(VLOOKUP(BM894,'Gebinde-Kategorie'!$A$5:$G$45,5,0)+0,0))</f>
        <v/>
      </c>
      <c r="BZ894" s="58">
        <f>IFERROR(IF(OR(BQ894=1,BQ894=2,BQ894=3),N(INDEX(Parameter!$I$5:$I$7,BQ894)),0),0)</f>
        <v/>
      </c>
    </row>
    <row r="895">
      <c r="A895" s="53" t="inlineStr">
        <is>
          <t>100173</t>
        </is>
      </c>
      <c r="B895" s="53" t="inlineStr">
        <is>
          <t>O-Ring</t>
        </is>
      </c>
      <c r="C895" s="53" t="inlineStr">
        <is>
          <t>F</t>
        </is>
      </c>
      <c r="D895" s="53" t="inlineStr">
        <is>
          <t>KTL</t>
        </is>
      </c>
      <c r="E895" s="53" t="inlineStr">
        <is>
          <t>C</t>
        </is>
      </c>
      <c r="F895" s="54" t="n">
        <v>0.11</v>
      </c>
      <c r="G895" s="55">
        <f>MAX(0,IF(Parameter!$B$20="Jahresanfang 2025 + Export",BG895+BF895,BF895))</f>
        <v/>
      </c>
      <c r="H895" s="55">
        <f>G895*F895</f>
        <v/>
      </c>
      <c r="I895" s="55">
        <f>BI895*Parameter!$B$18</f>
        <v/>
      </c>
      <c r="J895" s="56" t="n">
        <v>485.5</v>
      </c>
      <c r="K895" s="57" t="n">
        <v>1.079299691040165</v>
      </c>
      <c r="L895" s="55" t="n">
        <v>20</v>
      </c>
      <c r="M895" s="55" t="n">
        <v>525</v>
      </c>
      <c r="N895" s="58" t="n">
        <v>14</v>
      </c>
      <c r="O895" s="53" t="inlineStr">
        <is>
          <t>S32</t>
        </is>
      </c>
      <c r="P895" s="55" t="n">
        <v>831</v>
      </c>
      <c r="Q895" s="59">
        <f>IF(BO895=1,0,IFERROR(VLOOKUP(BM895,'Gebinde-Kategorie'!$A$5:$G$45,6,0)+0,0))</f>
        <v/>
      </c>
      <c r="R895" s="60" t="n"/>
      <c r="S895" s="61" t="n"/>
      <c r="T895" s="61" t="n"/>
      <c r="U895" s="53">
        <f>IF(A895="","",IF(IFERROR(VLOOKUP(D895,Parameter!$A$35:$C$64,2,0),"Nein")="2+3",IF(ISNUMBER(SEARCH("grosser Artikel",BJ895)),2,IFERROR(VLOOKUP(BM895,Parameter!$F$35:$G$64,2,0),2)),IF(OR(IFERROR(VLOOKUP(D895,Parameter!$A$35:$C$64,2,0),"Nein")="Nein",IFERROR(VLOOKUP(D895,Parameter!$A$35:$C$64,2,0),"Nein")=""),"-",VLOOKUP(D895,Parameter!$A$35:$C$64,2,0))))</f>
        <v/>
      </c>
      <c r="V895" s="61" t="n"/>
      <c r="W895" s="62" t="n"/>
      <c r="X895" s="55">
        <f>AM895</f>
        <v/>
      </c>
      <c r="Y895" s="55">
        <f>MAX(AM895,G895)</f>
        <v/>
      </c>
      <c r="Z895" s="63" t="n"/>
      <c r="AA895" s="55">
        <f>IF(LEFT(Cockpit!$C$5,1)="A",G895,IF(BT895=1,BU895,IF(LEFT(Cockpit!$C$5,1)="B",AE895,MAX(AE895,G895))))</f>
        <v/>
      </c>
      <c r="AB895" s="55">
        <f>IF(BO895=1,0,ROUNDUP(AA895/BN895,0))</f>
        <v/>
      </c>
      <c r="AC895" s="64">
        <f>IF(BO895=1,IF(AA895&lt;=0,0,BP895*MAX(1,IF(G895&gt;0,AA895/G895,1))),AB895*Q895)</f>
        <v/>
      </c>
      <c r="AD895" s="55">
        <f>AA895*F895</f>
        <v/>
      </c>
      <c r="AE895" s="55">
        <f>ROUNDUP(MAX(I895/IF(BS895&gt;0,BS895,MAX(0.1,N(Cockpit!$C$6))),BV895)/BN895,0)*BN895</f>
        <v/>
      </c>
      <c r="AF895" s="56">
        <f>IF(AC895&gt;0,I895/AC895,-1)</f>
        <v/>
      </c>
      <c r="AG895" s="56">
        <f>IF(AND(OR(BR895="L1",BR895="L23"),AC895&gt;0),SUMIFS($AC$7:$AC$1570,$BR$7:$BR$1570,BR895,$AF$7:$AF$1570,"&gt;"&amp;AF895)+SUMIFS($AC$7:$AC$1570,$BR$7:$BR$1570,BR895,$AF$7:$AF$1570,AF895,$BL$7:$BL$1570,"&lt;="&amp;BL895),"")</f>
        <v/>
      </c>
      <c r="AH895" s="65">
        <f>IF(AG895="",0,MAX(0,MIN(1,(IF(BR895="L1",Parameter!$K$5,Parameter!$K$6+Parameter!$K$7)-(AG895-AC895))/AC895)))</f>
        <v/>
      </c>
      <c r="AI895" s="55">
        <f>IF(LEFT(Cockpit!$I$5,1)="A",G895,IF(BT895=1,BU895,IF(LEFT(Cockpit!$I$5,1)="B",AM895,MAX(AM895,G895))))</f>
        <v/>
      </c>
      <c r="AJ895" s="55">
        <f>IF(BO895=1,0,ROUNDUP(AI895/BN895,0))</f>
        <v/>
      </c>
      <c r="AK895" s="64">
        <f>IF(BO895=1,IF(AI895&lt;=0,0,BP895*MAX(1,IF(G895&gt;0,AI895/G895,1))),AJ895*Q895)</f>
        <v/>
      </c>
      <c r="AL895" s="55">
        <f>AI895*F895</f>
        <v/>
      </c>
      <c r="AM895" s="55">
        <f>ROUNDUP(MAX(I895/IF(BS895&gt;0,BS895,MAX(0.1,N(Cockpit!$I$6))),BV895)/BN895,0)*BN895</f>
        <v/>
      </c>
      <c r="AN895" s="56">
        <f>IF(AK895&gt;0,I895/AK895,-1)</f>
        <v/>
      </c>
      <c r="AO895" s="56">
        <f>IF(AND(OR(BR895="L1",BR895="L23"),AK895&gt;0),SUMIFS($AK$7:$AK$1570,$BR$7:$BR$1570,BR895,$AN$7:$AN$1570,"&gt;"&amp;AN895)+SUMIFS($AK$7:$AK$1570,$BR$7:$BR$1570,BR895,$AN$7:$AN$1570,AN895,$BL$7:$BL$1570,"&lt;="&amp;BL895),"")</f>
        <v/>
      </c>
      <c r="AP895" s="65">
        <f>IF(AO895="",0,MAX(0,MIN(1,(IF(BR895="L1",Parameter!$K$5,Parameter!$K$6+Parameter!$K$7)-(AO895-AK895))/AK895)))</f>
        <v/>
      </c>
      <c r="AQ895" s="55">
        <f>IF(LEFT(Cockpit!$O$5,1)="A",G895,IF(BT895=1,BU895,IF(LEFT(Cockpit!$O$5,1)="B",AU895,MAX(AU895,G895))))</f>
        <v/>
      </c>
      <c r="AR895" s="55">
        <f>IF(BO895=1,0,ROUNDUP(AQ895/BN895,0))</f>
        <v/>
      </c>
      <c r="AS895" s="64">
        <f>IF(BO895=1,IF(AQ895&lt;=0,0,BP895*MAX(1,IF(G895&gt;0,AQ895/G895,1))),AR895*Q895)</f>
        <v/>
      </c>
      <c r="AT895" s="55">
        <f>AQ895*F895</f>
        <v/>
      </c>
      <c r="AU895" s="55">
        <f>ROUNDUP(MAX(I895/IF(BS895&gt;0,BS895,MAX(0.1,N(Cockpit!$O$6))),BV895)/BN895,0)*BN895</f>
        <v/>
      </c>
      <c r="AV895" s="56">
        <f>IF(AS895&gt;0,I895/AS895,-1)</f>
        <v/>
      </c>
      <c r="AW895" s="56">
        <f>IF(AND(OR(BR895="L1",BR895="L23"),AS895&gt;0),SUMIFS($AS$7:$AS$1570,$BR$7:$BR$1570,BR895,$AV$7:$AV$1570,"&gt;"&amp;AV895)+SUMIFS($AS$7:$AS$1570,$BR$7:$BR$1570,BR895,$AV$7:$AV$1570,AV895,$BL$7:$BL$1570,"&lt;="&amp;BL895),"")</f>
        <v/>
      </c>
      <c r="AX895" s="65">
        <f>IF(AW895="",0,MAX(0,MIN(1,(IF(BR895="L1",Parameter!$K$5,Parameter!$K$6+Parameter!$K$7)-(AW895-AS895))/AS895)))</f>
        <v/>
      </c>
      <c r="AY895" s="53">
        <f>IF(AC895&lt;=0,"",IF(BR895="Aussen","Aussenlager",IF(BR895="-","Nicht im Lift",IF(AH895&gt;=1,"Lift",IF(AH895&lt;=0,"Aussenlager","teilweise")))))</f>
        <v/>
      </c>
      <c r="AZ895" s="53">
        <f>IF(AK895&lt;=0,"",IF(BR895="Aussen","Aussenlager",IF(BR895="-","Nicht im Lift",IF(AP895&gt;=1,"Lift",IF(AP895&lt;=0,"Aussenlager","teilweise")))))</f>
        <v/>
      </c>
      <c r="BA895" s="53">
        <f>IF(AS895&lt;=0,"",IF(BR895="Aussen","Aussenlager",IF(BR895="-","Nicht im Lift",IF(AX895&gt;=1,"Lift",IF(AX895&lt;=0,"Aussenlager","teilweise")))))</f>
        <v/>
      </c>
      <c r="BB895" s="53">
        <f>IF(A895="","",IF(BK895=1,"Neu; ","")&amp;IF(AND(BK895=0,BF895&lt;0),"negativer Bestand (Export "&amp;BF895&amp;"); ","")&amp;IF(I895&lt;=0,"Kein Verbrauch; ","")&amp;IF(BO895=1,"Lose – Fläche geschätzt; ","")&amp;IF(G895&gt;AM895,"Überbestand "&amp;ROUND(G895-AM895,0)&amp;" Stk / CHF "&amp;ROUND((G895-AM895)*F895,0)&amp;"; ","")&amp;IF(AND(BT895=1,BU895&lt;BV895),"MAX &lt; MB+LG; ","")&amp;IF(AND(BZ895&gt;0,BY895*10&gt;BZ895),"zu hoch für Tablar; ","")&amp;IF(AND(BK895=0,OR(BT895=1,V895&lt;&gt;"",S895&lt;&gt;"",T895&lt;&gt;"",W895&lt;&gt;"")),"manuell übersteuert; ","")&amp;IF(AND(BO895=0,Q895=0),"Gebinde unbekannt; ","")&amp;IF(AND(BO895=0,N(T895)&lt;=0,N(P895)&lt;=0),"Menge pro Gebinde fehlt (Ist = 1 Gebinde); ","")&amp;BJ895)</f>
        <v/>
      </c>
      <c r="BC895" s="53" t="n"/>
      <c r="BD895" s="53" t="n"/>
      <c r="BE895" s="61" t="n"/>
      <c r="BF895" s="55" t="n">
        <v>-282</v>
      </c>
      <c r="BG895" s="55" t="n">
        <v>485</v>
      </c>
      <c r="BH895" s="54" t="n">
        <v>-31.02000000000007</v>
      </c>
      <c r="BI895" s="55" t="n">
        <v>524</v>
      </c>
      <c r="BJ895" s="53" t="inlineStr"/>
      <c r="BK895" s="58" t="n">
        <v>0</v>
      </c>
      <c r="BL895" s="58" t="n">
        <v>895</v>
      </c>
      <c r="BM895" s="53">
        <f>IF(S895&lt;&gt;"",UPPER(TRIM(S895)),IF(O895="","LOSE",O895))</f>
        <v/>
      </c>
      <c r="BN895" s="55">
        <f>IF(BM895="LOSE",1,IF(N(T895)&gt;0,T895,IF(N(P895)&gt;0,P895,MAX(1,G895))))</f>
        <v/>
      </c>
      <c r="BO895" s="58">
        <f>IF(BM895="LOSE",1,0)</f>
        <v/>
      </c>
      <c r="BP895" s="64">
        <f>IF(BO895=0,0,IF(N(R895)&gt;0,R895,IFERROR(VLOOKUP(D895,Parameter!$A$35:$C$64,3,0)+0,0)))</f>
        <v/>
      </c>
      <c r="BQ895" s="53">
        <f>IF(V895&lt;&gt;"",V895,U895)</f>
        <v/>
      </c>
      <c r="BR895" s="53">
        <f>IF(BQ895=1,"L1",IF(OR(BQ895=2,BQ895=3),"L23",IF(BQ895="Aussen","Aussen","-")))</f>
        <v/>
      </c>
      <c r="BS895" s="66">
        <f>IF(N(W895)&gt;0,W895,0)</f>
        <v/>
      </c>
      <c r="BT895" s="58">
        <f>IF(ISNUMBER(Z895),1,0)</f>
        <v/>
      </c>
      <c r="BU895" s="55">
        <f>N(Z895)</f>
        <v/>
      </c>
      <c r="BV895" s="55">
        <f>N(L895)+N(M895)</f>
        <v/>
      </c>
      <c r="BW895" s="55">
        <f>ROUNDUP(G895/BN895,0)</f>
        <v/>
      </c>
      <c r="BX895" s="55">
        <f>ROUNDUP(BU895/BN895,0)</f>
        <v/>
      </c>
      <c r="BY895" s="58">
        <f>IF(BO895=1,0,IFERROR(VLOOKUP(BM895,'Gebinde-Kategorie'!$A$5:$G$45,5,0)+0,0))</f>
        <v/>
      </c>
      <c r="BZ895" s="58">
        <f>IFERROR(IF(OR(BQ895=1,BQ895=2,BQ895=3),N(INDEX(Parameter!$I$5:$I$7,BQ895)),0),0)</f>
        <v/>
      </c>
    </row>
    <row r="896">
      <c r="A896" s="53" t="inlineStr">
        <is>
          <t>005385</t>
        </is>
      </c>
      <c r="B896" s="53" t="inlineStr">
        <is>
          <t>Sechskant Stifteinsatz</t>
        </is>
      </c>
      <c r="C896" s="53" t="inlineStr">
        <is>
          <t>F</t>
        </is>
      </c>
      <c r="D896" s="53" t="inlineStr">
        <is>
          <t>KTL</t>
        </is>
      </c>
      <c r="E896" s="53" t="inlineStr">
        <is>
          <t>C</t>
        </is>
      </c>
      <c r="F896" s="54" t="n">
        <v>13.68</v>
      </c>
      <c r="G896" s="55">
        <f>MAX(0,IF(Parameter!$B$20="Jahresanfang 2025 + Export",BG896+BF896,BF896))</f>
        <v/>
      </c>
      <c r="H896" s="55">
        <f>G896*F896</f>
        <v/>
      </c>
      <c r="I896" s="55">
        <f>BI896*Parameter!$B$18</f>
        <v/>
      </c>
      <c r="J896" s="56" t="n">
        <v>7</v>
      </c>
      <c r="K896" s="57" t="n">
        <v>1.285714285714286</v>
      </c>
      <c r="L896" s="55" t="n">
        <v>0</v>
      </c>
      <c r="M896" s="55" t="n">
        <v>10</v>
      </c>
      <c r="N896" s="58" t="n">
        <v>19</v>
      </c>
      <c r="O896" s="53" t="inlineStr">
        <is>
          <t>S32</t>
        </is>
      </c>
      <c r="P896" s="55" t="n">
        <v>18</v>
      </c>
      <c r="Q896" s="59">
        <f>IF(BO896=1,0,IFERROR(VLOOKUP(BM896,'Gebinde-Kategorie'!$A$5:$G$45,6,0)+0,0))</f>
        <v/>
      </c>
      <c r="R896" s="60" t="n"/>
      <c r="S896" s="61" t="n"/>
      <c r="T896" s="61" t="n"/>
      <c r="U896" s="53">
        <f>IF(A896="","",IF(IFERROR(VLOOKUP(D896,Parameter!$A$35:$C$64,2,0),"Nein")="2+3",IF(ISNUMBER(SEARCH("grosser Artikel",BJ896)),2,IFERROR(VLOOKUP(BM896,Parameter!$F$35:$G$64,2,0),2)),IF(OR(IFERROR(VLOOKUP(D896,Parameter!$A$35:$C$64,2,0),"Nein")="Nein",IFERROR(VLOOKUP(D896,Parameter!$A$35:$C$64,2,0),"Nein")=""),"-",VLOOKUP(D896,Parameter!$A$35:$C$64,2,0))))</f>
        <v/>
      </c>
      <c r="V896" s="61" t="n"/>
      <c r="W896" s="62" t="n"/>
      <c r="X896" s="55">
        <f>AM896</f>
        <v/>
      </c>
      <c r="Y896" s="55">
        <f>MAX(AM896,G896)</f>
        <v/>
      </c>
      <c r="Z896" s="63" t="n"/>
      <c r="AA896" s="55">
        <f>IF(LEFT(Cockpit!$C$5,1)="A",G896,IF(BT896=1,BU896,IF(LEFT(Cockpit!$C$5,1)="B",AE896,MAX(AE896,G896))))</f>
        <v/>
      </c>
      <c r="AB896" s="55">
        <f>IF(BO896=1,0,ROUNDUP(AA896/BN896,0))</f>
        <v/>
      </c>
      <c r="AC896" s="64">
        <f>IF(BO896=1,IF(AA896&lt;=0,0,BP896*MAX(1,IF(G896&gt;0,AA896/G896,1))),AB896*Q896)</f>
        <v/>
      </c>
      <c r="AD896" s="55">
        <f>AA896*F896</f>
        <v/>
      </c>
      <c r="AE896" s="55">
        <f>ROUNDUP(MAX(I896/IF(BS896&gt;0,BS896,MAX(0.1,N(Cockpit!$C$6))),BV896)/BN896,0)*BN896</f>
        <v/>
      </c>
      <c r="AF896" s="56">
        <f>IF(AC896&gt;0,I896/AC896,-1)</f>
        <v/>
      </c>
      <c r="AG896" s="56">
        <f>IF(AND(OR(BR896="L1",BR896="L23"),AC896&gt;0),SUMIFS($AC$7:$AC$1570,$BR$7:$BR$1570,BR896,$AF$7:$AF$1570,"&gt;"&amp;AF896)+SUMIFS($AC$7:$AC$1570,$BR$7:$BR$1570,BR896,$AF$7:$AF$1570,AF896,$BL$7:$BL$1570,"&lt;="&amp;BL896),"")</f>
        <v/>
      </c>
      <c r="AH896" s="65">
        <f>IF(AG896="",0,MAX(0,MIN(1,(IF(BR896="L1",Parameter!$K$5,Parameter!$K$6+Parameter!$K$7)-(AG896-AC896))/AC896)))</f>
        <v/>
      </c>
      <c r="AI896" s="55">
        <f>IF(LEFT(Cockpit!$I$5,1)="A",G896,IF(BT896=1,BU896,IF(LEFT(Cockpit!$I$5,1)="B",AM896,MAX(AM896,G896))))</f>
        <v/>
      </c>
      <c r="AJ896" s="55">
        <f>IF(BO896=1,0,ROUNDUP(AI896/BN896,0))</f>
        <v/>
      </c>
      <c r="AK896" s="64">
        <f>IF(BO896=1,IF(AI896&lt;=0,0,BP896*MAX(1,IF(G896&gt;0,AI896/G896,1))),AJ896*Q896)</f>
        <v/>
      </c>
      <c r="AL896" s="55">
        <f>AI896*F896</f>
        <v/>
      </c>
      <c r="AM896" s="55">
        <f>ROUNDUP(MAX(I896/IF(BS896&gt;0,BS896,MAX(0.1,N(Cockpit!$I$6))),BV896)/BN896,0)*BN896</f>
        <v/>
      </c>
      <c r="AN896" s="56">
        <f>IF(AK896&gt;0,I896/AK896,-1)</f>
        <v/>
      </c>
      <c r="AO896" s="56">
        <f>IF(AND(OR(BR896="L1",BR896="L23"),AK896&gt;0),SUMIFS($AK$7:$AK$1570,$BR$7:$BR$1570,BR896,$AN$7:$AN$1570,"&gt;"&amp;AN896)+SUMIFS($AK$7:$AK$1570,$BR$7:$BR$1570,BR896,$AN$7:$AN$1570,AN896,$BL$7:$BL$1570,"&lt;="&amp;BL896),"")</f>
        <v/>
      </c>
      <c r="AP896" s="65">
        <f>IF(AO896="",0,MAX(0,MIN(1,(IF(BR896="L1",Parameter!$K$5,Parameter!$K$6+Parameter!$K$7)-(AO896-AK896))/AK896)))</f>
        <v/>
      </c>
      <c r="AQ896" s="55">
        <f>IF(LEFT(Cockpit!$O$5,1)="A",G896,IF(BT896=1,BU896,IF(LEFT(Cockpit!$O$5,1)="B",AU896,MAX(AU896,G896))))</f>
        <v/>
      </c>
      <c r="AR896" s="55">
        <f>IF(BO896=1,0,ROUNDUP(AQ896/BN896,0))</f>
        <v/>
      </c>
      <c r="AS896" s="64">
        <f>IF(BO896=1,IF(AQ896&lt;=0,0,BP896*MAX(1,IF(G896&gt;0,AQ896/G896,1))),AR896*Q896)</f>
        <v/>
      </c>
      <c r="AT896" s="55">
        <f>AQ896*F896</f>
        <v/>
      </c>
      <c r="AU896" s="55">
        <f>ROUNDUP(MAX(I896/IF(BS896&gt;0,BS896,MAX(0.1,N(Cockpit!$O$6))),BV896)/BN896,0)*BN896</f>
        <v/>
      </c>
      <c r="AV896" s="56">
        <f>IF(AS896&gt;0,I896/AS896,-1)</f>
        <v/>
      </c>
      <c r="AW896" s="56">
        <f>IF(AND(OR(BR896="L1",BR896="L23"),AS896&gt;0),SUMIFS($AS$7:$AS$1570,$BR$7:$BR$1570,BR896,$AV$7:$AV$1570,"&gt;"&amp;AV896)+SUMIFS($AS$7:$AS$1570,$BR$7:$BR$1570,BR896,$AV$7:$AV$1570,AV896,$BL$7:$BL$1570,"&lt;="&amp;BL896),"")</f>
        <v/>
      </c>
      <c r="AX896" s="65">
        <f>IF(AW896="",0,MAX(0,MIN(1,(IF(BR896="L1",Parameter!$K$5,Parameter!$K$6+Parameter!$K$7)-(AW896-AS896))/AS896)))</f>
        <v/>
      </c>
      <c r="AY896" s="53">
        <f>IF(AC896&lt;=0,"",IF(BR896="Aussen","Aussenlager",IF(BR896="-","Nicht im Lift",IF(AH896&gt;=1,"Lift",IF(AH896&lt;=0,"Aussenlager","teilweise")))))</f>
        <v/>
      </c>
      <c r="AZ896" s="53">
        <f>IF(AK896&lt;=0,"",IF(BR896="Aussen","Aussenlager",IF(BR896="-","Nicht im Lift",IF(AP896&gt;=1,"Lift",IF(AP896&lt;=0,"Aussenlager","teilweise")))))</f>
        <v/>
      </c>
      <c r="BA896" s="53">
        <f>IF(AS896&lt;=0,"",IF(BR896="Aussen","Aussenlager",IF(BR896="-","Nicht im Lift",IF(AX896&gt;=1,"Lift",IF(AX896&lt;=0,"Aussenlager","teilweise")))))</f>
        <v/>
      </c>
      <c r="BB896" s="53">
        <f>IF(A896="","",IF(BK896=1,"Neu; ","")&amp;IF(AND(BK896=0,BF896&lt;0),"negativer Bestand (Export "&amp;BF896&amp;"); ","")&amp;IF(I896&lt;=0,"Kein Verbrauch; ","")&amp;IF(BO896=1,"Lose – Fläche geschätzt; ","")&amp;IF(G896&gt;AM896,"Überbestand "&amp;ROUND(G896-AM896,0)&amp;" Stk / CHF "&amp;ROUND((G896-AM896)*F896,0)&amp;"; ","")&amp;IF(AND(BT896=1,BU896&lt;BV896),"MAX &lt; MB+LG; ","")&amp;IF(AND(BZ896&gt;0,BY896*10&gt;BZ896),"zu hoch für Tablar; ","")&amp;IF(AND(BK896=0,OR(BT896=1,V896&lt;&gt;"",S896&lt;&gt;"",T896&lt;&gt;"",W896&lt;&gt;"")),"manuell übersteuert; ","")&amp;IF(AND(BO896=0,Q896=0),"Gebinde unbekannt; ","")&amp;IF(AND(BO896=0,N(T896)&lt;=0,N(P896)&lt;=0),"Menge pro Gebinde fehlt (Ist = 1 Gebinde); ","")&amp;BJ896)</f>
        <v/>
      </c>
      <c r="BC896" s="53" t="n"/>
      <c r="BD896" s="53" t="n"/>
      <c r="BE896" s="61" t="n"/>
      <c r="BF896" s="55" t="n">
        <v>-1</v>
      </c>
      <c r="BG896" s="55" t="n">
        <v>7</v>
      </c>
      <c r="BH896" s="54" t="n">
        <v>-31.74000000000001</v>
      </c>
      <c r="BI896" s="55" t="n">
        <v>9</v>
      </c>
      <c r="BJ896" s="53" t="inlineStr"/>
      <c r="BK896" s="58" t="n">
        <v>0</v>
      </c>
      <c r="BL896" s="58" t="n">
        <v>896</v>
      </c>
      <c r="BM896" s="53">
        <f>IF(S896&lt;&gt;"",UPPER(TRIM(S896)),IF(O896="","LOSE",O896))</f>
        <v/>
      </c>
      <c r="BN896" s="55">
        <f>IF(BM896="LOSE",1,IF(N(T896)&gt;0,T896,IF(N(P896)&gt;0,P896,MAX(1,G896))))</f>
        <v/>
      </c>
      <c r="BO896" s="58">
        <f>IF(BM896="LOSE",1,0)</f>
        <v/>
      </c>
      <c r="BP896" s="64">
        <f>IF(BO896=0,0,IF(N(R896)&gt;0,R896,IFERROR(VLOOKUP(D896,Parameter!$A$35:$C$64,3,0)+0,0)))</f>
        <v/>
      </c>
      <c r="BQ896" s="53">
        <f>IF(V896&lt;&gt;"",V896,U896)</f>
        <v/>
      </c>
      <c r="BR896" s="53">
        <f>IF(BQ896=1,"L1",IF(OR(BQ896=2,BQ896=3),"L23",IF(BQ896="Aussen","Aussen","-")))</f>
        <v/>
      </c>
      <c r="BS896" s="66">
        <f>IF(N(W896)&gt;0,W896,0)</f>
        <v/>
      </c>
      <c r="BT896" s="58">
        <f>IF(ISNUMBER(Z896),1,0)</f>
        <v/>
      </c>
      <c r="BU896" s="55">
        <f>N(Z896)</f>
        <v/>
      </c>
      <c r="BV896" s="55">
        <f>N(L896)+N(M896)</f>
        <v/>
      </c>
      <c r="BW896" s="55">
        <f>ROUNDUP(G896/BN896,0)</f>
        <v/>
      </c>
      <c r="BX896" s="55">
        <f>ROUNDUP(BU896/BN896,0)</f>
        <v/>
      </c>
      <c r="BY896" s="58">
        <f>IF(BO896=1,0,IFERROR(VLOOKUP(BM896,'Gebinde-Kategorie'!$A$5:$G$45,5,0)+0,0))</f>
        <v/>
      </c>
      <c r="BZ896" s="58">
        <f>IFERROR(IF(OR(BQ896=1,BQ896=2,BQ896=3),N(INDEX(Parameter!$I$5:$I$7,BQ896)),0),0)</f>
        <v/>
      </c>
    </row>
    <row r="897">
      <c r="A897" s="53" t="inlineStr">
        <is>
          <t>109368</t>
        </is>
      </c>
      <c r="B897" s="53" t="inlineStr">
        <is>
          <t>Dichtring</t>
        </is>
      </c>
      <c r="C897" s="53" t="inlineStr">
        <is>
          <t>F</t>
        </is>
      </c>
      <c r="D897" s="53" t="inlineStr">
        <is>
          <t>KTL</t>
        </is>
      </c>
      <c r="E897" s="53" t="inlineStr">
        <is>
          <t>C</t>
        </is>
      </c>
      <c r="F897" s="54" t="n">
        <v>0.71</v>
      </c>
      <c r="G897" s="55">
        <f>MAX(0,IF(Parameter!$B$20="Jahresanfang 2025 + Export",BG897+BF897,BF897))</f>
        <v/>
      </c>
      <c r="H897" s="55">
        <f>G897*F897</f>
        <v/>
      </c>
      <c r="I897" s="55">
        <f>BI897*Parameter!$B$18</f>
        <v/>
      </c>
      <c r="J897" s="56" t="n">
        <v>156.5</v>
      </c>
      <c r="K897" s="57" t="n">
        <v>0.05750798722044728</v>
      </c>
      <c r="L897" s="55" t="n">
        <v>0</v>
      </c>
      <c r="M897" s="55" t="n">
        <v>10</v>
      </c>
      <c r="N897" s="58" t="n">
        <v>14</v>
      </c>
      <c r="O897" s="53" t="inlineStr">
        <is>
          <t>S21</t>
        </is>
      </c>
      <c r="P897" s="55" t="n">
        <v>150</v>
      </c>
      <c r="Q897" s="59">
        <f>IF(BO897=1,0,IFERROR(VLOOKUP(BM897,'Gebinde-Kategorie'!$A$5:$G$45,6,0)+0,0))</f>
        <v/>
      </c>
      <c r="R897" s="60" t="n"/>
      <c r="S897" s="61" t="n"/>
      <c r="T897" s="61" t="n"/>
      <c r="U897" s="53">
        <f>IF(A897="","",IF(IFERROR(VLOOKUP(D897,Parameter!$A$35:$C$64,2,0),"Nein")="2+3",IF(ISNUMBER(SEARCH("grosser Artikel",BJ897)),2,IFERROR(VLOOKUP(BM897,Parameter!$F$35:$G$64,2,0),2)),IF(OR(IFERROR(VLOOKUP(D897,Parameter!$A$35:$C$64,2,0),"Nein")="Nein",IFERROR(VLOOKUP(D897,Parameter!$A$35:$C$64,2,0),"Nein")=""),"-",VLOOKUP(D897,Parameter!$A$35:$C$64,2,0))))</f>
        <v/>
      </c>
      <c r="V897" s="61" t="n"/>
      <c r="W897" s="62" t="n"/>
      <c r="X897" s="55">
        <f>AM897</f>
        <v/>
      </c>
      <c r="Y897" s="55">
        <f>MAX(AM897,G897)</f>
        <v/>
      </c>
      <c r="Z897" s="63" t="n"/>
      <c r="AA897" s="55">
        <f>IF(LEFT(Cockpit!$C$5,1)="A",G897,IF(BT897=1,BU897,IF(LEFT(Cockpit!$C$5,1)="B",AE897,MAX(AE897,G897))))</f>
        <v/>
      </c>
      <c r="AB897" s="55">
        <f>IF(BO897=1,0,ROUNDUP(AA897/BN897,0))</f>
        <v/>
      </c>
      <c r="AC897" s="64">
        <f>IF(BO897=1,IF(AA897&lt;=0,0,BP897*MAX(1,IF(G897&gt;0,AA897/G897,1))),AB897*Q897)</f>
        <v/>
      </c>
      <c r="AD897" s="55">
        <f>AA897*F897</f>
        <v/>
      </c>
      <c r="AE897" s="55">
        <f>ROUNDUP(MAX(I897/IF(BS897&gt;0,BS897,MAX(0.1,N(Cockpit!$C$6))),BV897)/BN897,0)*BN897</f>
        <v/>
      </c>
      <c r="AF897" s="56">
        <f>IF(AC897&gt;0,I897/AC897,-1)</f>
        <v/>
      </c>
      <c r="AG897" s="56">
        <f>IF(AND(OR(BR897="L1",BR897="L23"),AC897&gt;0),SUMIFS($AC$7:$AC$1570,$BR$7:$BR$1570,BR897,$AF$7:$AF$1570,"&gt;"&amp;AF897)+SUMIFS($AC$7:$AC$1570,$BR$7:$BR$1570,BR897,$AF$7:$AF$1570,AF897,$BL$7:$BL$1570,"&lt;="&amp;BL897),"")</f>
        <v/>
      </c>
      <c r="AH897" s="65">
        <f>IF(AG897="",0,MAX(0,MIN(1,(IF(BR897="L1",Parameter!$K$5,Parameter!$K$6+Parameter!$K$7)-(AG897-AC897))/AC897)))</f>
        <v/>
      </c>
      <c r="AI897" s="55">
        <f>IF(LEFT(Cockpit!$I$5,1)="A",G897,IF(BT897=1,BU897,IF(LEFT(Cockpit!$I$5,1)="B",AM897,MAX(AM897,G897))))</f>
        <v/>
      </c>
      <c r="AJ897" s="55">
        <f>IF(BO897=1,0,ROUNDUP(AI897/BN897,0))</f>
        <v/>
      </c>
      <c r="AK897" s="64">
        <f>IF(BO897=1,IF(AI897&lt;=0,0,BP897*MAX(1,IF(G897&gt;0,AI897/G897,1))),AJ897*Q897)</f>
        <v/>
      </c>
      <c r="AL897" s="55">
        <f>AI897*F897</f>
        <v/>
      </c>
      <c r="AM897" s="55">
        <f>ROUNDUP(MAX(I897/IF(BS897&gt;0,BS897,MAX(0.1,N(Cockpit!$I$6))),BV897)/BN897,0)*BN897</f>
        <v/>
      </c>
      <c r="AN897" s="56">
        <f>IF(AK897&gt;0,I897/AK897,-1)</f>
        <v/>
      </c>
      <c r="AO897" s="56">
        <f>IF(AND(OR(BR897="L1",BR897="L23"),AK897&gt;0),SUMIFS($AK$7:$AK$1570,$BR$7:$BR$1570,BR897,$AN$7:$AN$1570,"&gt;"&amp;AN897)+SUMIFS($AK$7:$AK$1570,$BR$7:$BR$1570,BR897,$AN$7:$AN$1570,AN897,$BL$7:$BL$1570,"&lt;="&amp;BL897),"")</f>
        <v/>
      </c>
      <c r="AP897" s="65">
        <f>IF(AO897="",0,MAX(0,MIN(1,(IF(BR897="L1",Parameter!$K$5,Parameter!$K$6+Parameter!$K$7)-(AO897-AK897))/AK897)))</f>
        <v/>
      </c>
      <c r="AQ897" s="55">
        <f>IF(LEFT(Cockpit!$O$5,1)="A",G897,IF(BT897=1,BU897,IF(LEFT(Cockpit!$O$5,1)="B",AU897,MAX(AU897,G897))))</f>
        <v/>
      </c>
      <c r="AR897" s="55">
        <f>IF(BO897=1,0,ROUNDUP(AQ897/BN897,0))</f>
        <v/>
      </c>
      <c r="AS897" s="64">
        <f>IF(BO897=1,IF(AQ897&lt;=0,0,BP897*MAX(1,IF(G897&gt;0,AQ897/G897,1))),AR897*Q897)</f>
        <v/>
      </c>
      <c r="AT897" s="55">
        <f>AQ897*F897</f>
        <v/>
      </c>
      <c r="AU897" s="55">
        <f>ROUNDUP(MAX(I897/IF(BS897&gt;0,BS897,MAX(0.1,N(Cockpit!$O$6))),BV897)/BN897,0)*BN897</f>
        <v/>
      </c>
      <c r="AV897" s="56">
        <f>IF(AS897&gt;0,I897/AS897,-1)</f>
        <v/>
      </c>
      <c r="AW897" s="56">
        <f>IF(AND(OR(BR897="L1",BR897="L23"),AS897&gt;0),SUMIFS($AS$7:$AS$1570,$BR$7:$BR$1570,BR897,$AV$7:$AV$1570,"&gt;"&amp;AV897)+SUMIFS($AS$7:$AS$1570,$BR$7:$BR$1570,BR897,$AV$7:$AV$1570,AV897,$BL$7:$BL$1570,"&lt;="&amp;BL897),"")</f>
        <v/>
      </c>
      <c r="AX897" s="65">
        <f>IF(AW897="",0,MAX(0,MIN(1,(IF(BR897="L1",Parameter!$K$5,Parameter!$K$6+Parameter!$K$7)-(AW897-AS897))/AS897)))</f>
        <v/>
      </c>
      <c r="AY897" s="53">
        <f>IF(AC897&lt;=0,"",IF(BR897="Aussen","Aussenlager",IF(BR897="-","Nicht im Lift",IF(AH897&gt;=1,"Lift",IF(AH897&lt;=0,"Aussenlager","teilweise")))))</f>
        <v/>
      </c>
      <c r="AZ897" s="53">
        <f>IF(AK897&lt;=0,"",IF(BR897="Aussen","Aussenlager",IF(BR897="-","Nicht im Lift",IF(AP897&gt;=1,"Lift",IF(AP897&lt;=0,"Aussenlager","teilweise")))))</f>
        <v/>
      </c>
      <c r="BA897" s="53">
        <f>IF(AS897&lt;=0,"",IF(BR897="Aussen","Aussenlager",IF(BR897="-","Nicht im Lift",IF(AX897&gt;=1,"Lift",IF(AX897&lt;=0,"Aussenlager","teilweise")))))</f>
        <v/>
      </c>
      <c r="BB897" s="53">
        <f>IF(A897="","",IF(BK897=1,"Neu; ","")&amp;IF(AND(BK897=0,BF897&lt;0),"negativer Bestand (Export "&amp;BF897&amp;"); ","")&amp;IF(I897&lt;=0,"Kein Verbrauch; ","")&amp;IF(BO897=1,"Lose – Fläche geschätzt; ","")&amp;IF(G897&gt;AM897,"Überbestand "&amp;ROUND(G897-AM897,0)&amp;" Stk / CHF "&amp;ROUND((G897-AM897)*F897,0)&amp;"; ","")&amp;IF(AND(BT897=1,BU897&lt;BV897),"MAX &lt; MB+LG; ","")&amp;IF(AND(BZ897&gt;0,BY897*10&gt;BZ897),"zu hoch für Tablar; ","")&amp;IF(AND(BK897=0,OR(BT897=1,V897&lt;&gt;"",S897&lt;&gt;"",T897&lt;&gt;"",W897&lt;&gt;"")),"manuell übersteuert; ","")&amp;IF(AND(BO897=0,Q897=0),"Gebinde unbekannt; ","")&amp;IF(AND(BO897=0,N(T897)&lt;=0,N(P897)&lt;=0),"Menge pro Gebinde fehlt (Ist = 1 Gebinde); ","")&amp;BJ897)</f>
        <v/>
      </c>
      <c r="BC897" s="53" t="n"/>
      <c r="BD897" s="53" t="n"/>
      <c r="BE897" s="61" t="n"/>
      <c r="BF897" s="55" t="n">
        <v>-45</v>
      </c>
      <c r="BG897" s="55" t="n">
        <v>161</v>
      </c>
      <c r="BH897" s="54" t="n">
        <v>-31.95</v>
      </c>
      <c r="BI897" s="55" t="n">
        <v>9</v>
      </c>
      <c r="BJ897" s="53" t="inlineStr"/>
      <c r="BK897" s="58" t="n">
        <v>0</v>
      </c>
      <c r="BL897" s="58" t="n">
        <v>897</v>
      </c>
      <c r="BM897" s="53">
        <f>IF(S897&lt;&gt;"",UPPER(TRIM(S897)),IF(O897="","LOSE",O897))</f>
        <v/>
      </c>
      <c r="BN897" s="55">
        <f>IF(BM897="LOSE",1,IF(N(T897)&gt;0,T897,IF(N(P897)&gt;0,P897,MAX(1,G897))))</f>
        <v/>
      </c>
      <c r="BO897" s="58">
        <f>IF(BM897="LOSE",1,0)</f>
        <v/>
      </c>
      <c r="BP897" s="64">
        <f>IF(BO897=0,0,IF(N(R897)&gt;0,R897,IFERROR(VLOOKUP(D897,Parameter!$A$35:$C$64,3,0)+0,0)))</f>
        <v/>
      </c>
      <c r="BQ897" s="53">
        <f>IF(V897&lt;&gt;"",V897,U897)</f>
        <v/>
      </c>
      <c r="BR897" s="53">
        <f>IF(BQ897=1,"L1",IF(OR(BQ897=2,BQ897=3),"L23",IF(BQ897="Aussen","Aussen","-")))</f>
        <v/>
      </c>
      <c r="BS897" s="66">
        <f>IF(N(W897)&gt;0,W897,0)</f>
        <v/>
      </c>
      <c r="BT897" s="58">
        <f>IF(ISNUMBER(Z897),1,0)</f>
        <v/>
      </c>
      <c r="BU897" s="55">
        <f>N(Z897)</f>
        <v/>
      </c>
      <c r="BV897" s="55">
        <f>N(L897)+N(M897)</f>
        <v/>
      </c>
      <c r="BW897" s="55">
        <f>ROUNDUP(G897/BN897,0)</f>
        <v/>
      </c>
      <c r="BX897" s="55">
        <f>ROUNDUP(BU897/BN897,0)</f>
        <v/>
      </c>
      <c r="BY897" s="58">
        <f>IF(BO897=1,0,IFERROR(VLOOKUP(BM897,'Gebinde-Kategorie'!$A$5:$G$45,5,0)+0,0))</f>
        <v/>
      </c>
      <c r="BZ897" s="58">
        <f>IFERROR(IF(OR(BQ897=1,BQ897=2,BQ897=3),N(INDEX(Parameter!$I$5:$I$7,BQ897)),0),0)</f>
        <v/>
      </c>
    </row>
    <row r="898">
      <c r="A898" s="53" t="inlineStr">
        <is>
          <t>002025</t>
        </is>
      </c>
      <c r="B898" s="53" t="inlineStr">
        <is>
          <t>Schraubenzieher flach</t>
        </is>
      </c>
      <c r="C898" s="53" t="inlineStr">
        <is>
          <t>F</t>
        </is>
      </c>
      <c r="D898" s="53" t="inlineStr">
        <is>
          <t>KTL</t>
        </is>
      </c>
      <c r="E898" s="53" t="inlineStr">
        <is>
          <t>C</t>
        </is>
      </c>
      <c r="F898" s="54" t="n">
        <v>6.47</v>
      </c>
      <c r="G898" s="55">
        <f>MAX(0,IF(Parameter!$B$20="Jahresanfang 2025 + Export",BG898+BF898,BF898))</f>
        <v/>
      </c>
      <c r="H898" s="55">
        <f>G898*F898</f>
        <v/>
      </c>
      <c r="I898" s="55">
        <f>BI898*Parameter!$B$18</f>
        <v/>
      </c>
      <c r="J898" s="56" t="n">
        <v>10.5</v>
      </c>
      <c r="K898" s="57" t="n">
        <v>0.5714285714285714</v>
      </c>
      <c r="L898" s="55" t="n">
        <v>0</v>
      </c>
      <c r="M898" s="55" t="n">
        <v>5</v>
      </c>
      <c r="N898" s="58" t="n">
        <v>14</v>
      </c>
      <c r="O898" s="53" t="inlineStr">
        <is>
          <t>S33</t>
        </is>
      </c>
      <c r="P898" s="55" t="n">
        <v>5</v>
      </c>
      <c r="Q898" s="59">
        <f>IF(BO898=1,0,IFERROR(VLOOKUP(BM898,'Gebinde-Kategorie'!$A$5:$G$45,6,0)+0,0))</f>
        <v/>
      </c>
      <c r="R898" s="60" t="n"/>
      <c r="S898" s="61" t="n"/>
      <c r="T898" s="61" t="n"/>
      <c r="U898" s="53">
        <f>IF(A898="","",IF(IFERROR(VLOOKUP(D898,Parameter!$A$35:$C$64,2,0),"Nein")="2+3",IF(ISNUMBER(SEARCH("grosser Artikel",BJ898)),2,IFERROR(VLOOKUP(BM898,Parameter!$F$35:$G$64,2,0),2)),IF(OR(IFERROR(VLOOKUP(D898,Parameter!$A$35:$C$64,2,0),"Nein")="Nein",IFERROR(VLOOKUP(D898,Parameter!$A$35:$C$64,2,0),"Nein")=""),"-",VLOOKUP(D898,Parameter!$A$35:$C$64,2,0))))</f>
        <v/>
      </c>
      <c r="V898" s="61" t="n"/>
      <c r="W898" s="62" t="n"/>
      <c r="X898" s="55">
        <f>AM898</f>
        <v/>
      </c>
      <c r="Y898" s="55">
        <f>MAX(AM898,G898)</f>
        <v/>
      </c>
      <c r="Z898" s="63" t="n"/>
      <c r="AA898" s="55">
        <f>IF(LEFT(Cockpit!$C$5,1)="A",G898,IF(BT898=1,BU898,IF(LEFT(Cockpit!$C$5,1)="B",AE898,MAX(AE898,G898))))</f>
        <v/>
      </c>
      <c r="AB898" s="55">
        <f>IF(BO898=1,0,ROUNDUP(AA898/BN898,0))</f>
        <v/>
      </c>
      <c r="AC898" s="64">
        <f>IF(BO898=1,IF(AA898&lt;=0,0,BP898*MAX(1,IF(G898&gt;0,AA898/G898,1))),AB898*Q898)</f>
        <v/>
      </c>
      <c r="AD898" s="55">
        <f>AA898*F898</f>
        <v/>
      </c>
      <c r="AE898" s="55">
        <f>ROUNDUP(MAX(I898/IF(BS898&gt;0,BS898,MAX(0.1,N(Cockpit!$C$6))),BV898)/BN898,0)*BN898</f>
        <v/>
      </c>
      <c r="AF898" s="56">
        <f>IF(AC898&gt;0,I898/AC898,-1)</f>
        <v/>
      </c>
      <c r="AG898" s="56">
        <f>IF(AND(OR(BR898="L1",BR898="L23"),AC898&gt;0),SUMIFS($AC$7:$AC$1570,$BR$7:$BR$1570,BR898,$AF$7:$AF$1570,"&gt;"&amp;AF898)+SUMIFS($AC$7:$AC$1570,$BR$7:$BR$1570,BR898,$AF$7:$AF$1570,AF898,$BL$7:$BL$1570,"&lt;="&amp;BL898),"")</f>
        <v/>
      </c>
      <c r="AH898" s="65">
        <f>IF(AG898="",0,MAX(0,MIN(1,(IF(BR898="L1",Parameter!$K$5,Parameter!$K$6+Parameter!$K$7)-(AG898-AC898))/AC898)))</f>
        <v/>
      </c>
      <c r="AI898" s="55">
        <f>IF(LEFT(Cockpit!$I$5,1)="A",G898,IF(BT898=1,BU898,IF(LEFT(Cockpit!$I$5,1)="B",AM898,MAX(AM898,G898))))</f>
        <v/>
      </c>
      <c r="AJ898" s="55">
        <f>IF(BO898=1,0,ROUNDUP(AI898/BN898,0))</f>
        <v/>
      </c>
      <c r="AK898" s="64">
        <f>IF(BO898=1,IF(AI898&lt;=0,0,BP898*MAX(1,IF(G898&gt;0,AI898/G898,1))),AJ898*Q898)</f>
        <v/>
      </c>
      <c r="AL898" s="55">
        <f>AI898*F898</f>
        <v/>
      </c>
      <c r="AM898" s="55">
        <f>ROUNDUP(MAX(I898/IF(BS898&gt;0,BS898,MAX(0.1,N(Cockpit!$I$6))),BV898)/BN898,0)*BN898</f>
        <v/>
      </c>
      <c r="AN898" s="56">
        <f>IF(AK898&gt;0,I898/AK898,-1)</f>
        <v/>
      </c>
      <c r="AO898" s="56">
        <f>IF(AND(OR(BR898="L1",BR898="L23"),AK898&gt;0),SUMIFS($AK$7:$AK$1570,$BR$7:$BR$1570,BR898,$AN$7:$AN$1570,"&gt;"&amp;AN898)+SUMIFS($AK$7:$AK$1570,$BR$7:$BR$1570,BR898,$AN$7:$AN$1570,AN898,$BL$7:$BL$1570,"&lt;="&amp;BL898),"")</f>
        <v/>
      </c>
      <c r="AP898" s="65">
        <f>IF(AO898="",0,MAX(0,MIN(1,(IF(BR898="L1",Parameter!$K$5,Parameter!$K$6+Parameter!$K$7)-(AO898-AK898))/AK898)))</f>
        <v/>
      </c>
      <c r="AQ898" s="55">
        <f>IF(LEFT(Cockpit!$O$5,1)="A",G898,IF(BT898=1,BU898,IF(LEFT(Cockpit!$O$5,1)="B",AU898,MAX(AU898,G898))))</f>
        <v/>
      </c>
      <c r="AR898" s="55">
        <f>IF(BO898=1,0,ROUNDUP(AQ898/BN898,0))</f>
        <v/>
      </c>
      <c r="AS898" s="64">
        <f>IF(BO898=1,IF(AQ898&lt;=0,0,BP898*MAX(1,IF(G898&gt;0,AQ898/G898,1))),AR898*Q898)</f>
        <v/>
      </c>
      <c r="AT898" s="55">
        <f>AQ898*F898</f>
        <v/>
      </c>
      <c r="AU898" s="55">
        <f>ROUNDUP(MAX(I898/IF(BS898&gt;0,BS898,MAX(0.1,N(Cockpit!$O$6))),BV898)/BN898,0)*BN898</f>
        <v/>
      </c>
      <c r="AV898" s="56">
        <f>IF(AS898&gt;0,I898/AS898,-1)</f>
        <v/>
      </c>
      <c r="AW898" s="56">
        <f>IF(AND(OR(BR898="L1",BR898="L23"),AS898&gt;0),SUMIFS($AS$7:$AS$1570,$BR$7:$BR$1570,BR898,$AV$7:$AV$1570,"&gt;"&amp;AV898)+SUMIFS($AS$7:$AS$1570,$BR$7:$BR$1570,BR898,$AV$7:$AV$1570,AV898,$BL$7:$BL$1570,"&lt;="&amp;BL898),"")</f>
        <v/>
      </c>
      <c r="AX898" s="65">
        <f>IF(AW898="",0,MAX(0,MIN(1,(IF(BR898="L1",Parameter!$K$5,Parameter!$K$6+Parameter!$K$7)-(AW898-AS898))/AS898)))</f>
        <v/>
      </c>
      <c r="AY898" s="53">
        <f>IF(AC898&lt;=0,"",IF(BR898="Aussen","Aussenlager",IF(BR898="-","Nicht im Lift",IF(AH898&gt;=1,"Lift",IF(AH898&lt;=0,"Aussenlager","teilweise")))))</f>
        <v/>
      </c>
      <c r="AZ898" s="53">
        <f>IF(AK898&lt;=0,"",IF(BR898="Aussen","Aussenlager",IF(BR898="-","Nicht im Lift",IF(AP898&gt;=1,"Lift",IF(AP898&lt;=0,"Aussenlager","teilweise")))))</f>
        <v/>
      </c>
      <c r="BA898" s="53">
        <f>IF(AS898&lt;=0,"",IF(BR898="Aussen","Aussenlager",IF(BR898="-","Nicht im Lift",IF(AX898&gt;=1,"Lift",IF(AX898&lt;=0,"Aussenlager","teilweise")))))</f>
        <v/>
      </c>
      <c r="BB898" s="53">
        <f>IF(A898="","",IF(BK898=1,"Neu; ","")&amp;IF(AND(BK898=0,BF898&lt;0),"negativer Bestand (Export "&amp;BF898&amp;"); ","")&amp;IF(I898&lt;=0,"Kein Verbrauch; ","")&amp;IF(BO898=1,"Lose – Fläche geschätzt; ","")&amp;IF(G898&gt;AM898,"Überbestand "&amp;ROUND(G898-AM898,0)&amp;" Stk / CHF "&amp;ROUND((G898-AM898)*F898,0)&amp;"; ","")&amp;IF(AND(BT898=1,BU898&lt;BV898),"MAX &lt; MB+LG; ","")&amp;IF(AND(BZ898&gt;0,BY898*10&gt;BZ898),"zu hoch für Tablar; ","")&amp;IF(AND(BK898=0,OR(BT898=1,V898&lt;&gt;"",S898&lt;&gt;"",T898&lt;&gt;"",W898&lt;&gt;"")),"manuell übersteuert; ","")&amp;IF(AND(BO898=0,Q898=0),"Gebinde unbekannt; ","")&amp;IF(AND(BO898=0,N(T898)&lt;=0,N(P898)&lt;=0),"Menge pro Gebinde fehlt (Ist = 1 Gebinde); ","")&amp;BJ898)</f>
        <v/>
      </c>
      <c r="BC898" s="53" t="n"/>
      <c r="BD898" s="53" t="n"/>
      <c r="BE898" s="61" t="n"/>
      <c r="BF898" s="55" t="n">
        <v>-5</v>
      </c>
      <c r="BG898" s="55" t="n">
        <v>11</v>
      </c>
      <c r="BH898" s="54" t="n">
        <v>-32.45999999999999</v>
      </c>
      <c r="BI898" s="55" t="n">
        <v>6</v>
      </c>
      <c r="BJ898" s="53" t="inlineStr"/>
      <c r="BK898" s="58" t="n">
        <v>0</v>
      </c>
      <c r="BL898" s="58" t="n">
        <v>898</v>
      </c>
      <c r="BM898" s="53">
        <f>IF(S898&lt;&gt;"",UPPER(TRIM(S898)),IF(O898="","LOSE",O898))</f>
        <v/>
      </c>
      <c r="BN898" s="55">
        <f>IF(BM898="LOSE",1,IF(N(T898)&gt;0,T898,IF(N(P898)&gt;0,P898,MAX(1,G898))))</f>
        <v/>
      </c>
      <c r="BO898" s="58">
        <f>IF(BM898="LOSE",1,0)</f>
        <v/>
      </c>
      <c r="BP898" s="64">
        <f>IF(BO898=0,0,IF(N(R898)&gt;0,R898,IFERROR(VLOOKUP(D898,Parameter!$A$35:$C$64,3,0)+0,0)))</f>
        <v/>
      </c>
      <c r="BQ898" s="53">
        <f>IF(V898&lt;&gt;"",V898,U898)</f>
        <v/>
      </c>
      <c r="BR898" s="53">
        <f>IF(BQ898=1,"L1",IF(OR(BQ898=2,BQ898=3),"L23",IF(BQ898="Aussen","Aussen","-")))</f>
        <v/>
      </c>
      <c r="BS898" s="66">
        <f>IF(N(W898)&gt;0,W898,0)</f>
        <v/>
      </c>
      <c r="BT898" s="58">
        <f>IF(ISNUMBER(Z898),1,0)</f>
        <v/>
      </c>
      <c r="BU898" s="55">
        <f>N(Z898)</f>
        <v/>
      </c>
      <c r="BV898" s="55">
        <f>N(L898)+N(M898)</f>
        <v/>
      </c>
      <c r="BW898" s="55">
        <f>ROUNDUP(G898/BN898,0)</f>
        <v/>
      </c>
      <c r="BX898" s="55">
        <f>ROUNDUP(BU898/BN898,0)</f>
        <v/>
      </c>
      <c r="BY898" s="58">
        <f>IF(BO898=1,0,IFERROR(VLOOKUP(BM898,'Gebinde-Kategorie'!$A$5:$G$45,5,0)+0,0))</f>
        <v/>
      </c>
      <c r="BZ898" s="58">
        <f>IFERROR(IF(OR(BQ898=1,BQ898=2,BQ898=3),N(INDEX(Parameter!$I$5:$I$7,BQ898)),0),0)</f>
        <v/>
      </c>
    </row>
    <row r="899">
      <c r="A899" s="53" t="inlineStr">
        <is>
          <t>102374</t>
        </is>
      </c>
      <c r="B899" s="53" t="inlineStr">
        <is>
          <t>Zylinderstift</t>
        </is>
      </c>
      <c r="C899" s="53" t="inlineStr">
        <is>
          <t>F</t>
        </is>
      </c>
      <c r="D899" s="53" t="inlineStr">
        <is>
          <t>KTL</t>
        </is>
      </c>
      <c r="E899" s="53" t="inlineStr">
        <is>
          <t>C</t>
        </is>
      </c>
      <c r="F899" s="54" t="n">
        <v>0.93</v>
      </c>
      <c r="G899" s="55">
        <f>MAX(0,IF(Parameter!$B$20="Jahresanfang 2025 + Export",BG899+BF899,BF899))</f>
        <v/>
      </c>
      <c r="H899" s="55">
        <f>G899*F899</f>
        <v/>
      </c>
      <c r="I899" s="55">
        <f>BI899*Parameter!$B$18</f>
        <v/>
      </c>
      <c r="J899" s="56" t="n">
        <v>63.5</v>
      </c>
      <c r="K899" s="57" t="n">
        <v>0</v>
      </c>
      <c r="L899" s="55" t="n">
        <v>0</v>
      </c>
      <c r="M899" s="55" t="n">
        <v>1</v>
      </c>
      <c r="N899" s="58" t="n">
        <v>21</v>
      </c>
      <c r="O899" s="53" t="inlineStr">
        <is>
          <t>S22</t>
        </is>
      </c>
      <c r="P899" s="55" t="n">
        <v>50</v>
      </c>
      <c r="Q899" s="59">
        <f>IF(BO899=1,0,IFERROR(VLOOKUP(BM899,'Gebinde-Kategorie'!$A$5:$G$45,6,0)+0,0))</f>
        <v/>
      </c>
      <c r="R899" s="60" t="n"/>
      <c r="S899" s="61" t="n"/>
      <c r="T899" s="61" t="n"/>
      <c r="U899" s="53">
        <f>IF(A899="","",IF(IFERROR(VLOOKUP(D899,Parameter!$A$35:$C$64,2,0),"Nein")="2+3",IF(ISNUMBER(SEARCH("grosser Artikel",BJ899)),2,IFERROR(VLOOKUP(BM899,Parameter!$F$35:$G$64,2,0),2)),IF(OR(IFERROR(VLOOKUP(D899,Parameter!$A$35:$C$64,2,0),"Nein")="Nein",IFERROR(VLOOKUP(D899,Parameter!$A$35:$C$64,2,0),"Nein")=""),"-",VLOOKUP(D899,Parameter!$A$35:$C$64,2,0))))</f>
        <v/>
      </c>
      <c r="V899" s="61" t="n"/>
      <c r="W899" s="62" t="n"/>
      <c r="X899" s="55">
        <f>AM899</f>
        <v/>
      </c>
      <c r="Y899" s="55">
        <f>MAX(AM899,G899)</f>
        <v/>
      </c>
      <c r="Z899" s="63" t="n"/>
      <c r="AA899" s="55">
        <f>IF(LEFT(Cockpit!$C$5,1)="A",G899,IF(BT899=1,BU899,IF(LEFT(Cockpit!$C$5,1)="B",AE899,MAX(AE899,G899))))</f>
        <v/>
      </c>
      <c r="AB899" s="55">
        <f>IF(BO899=1,0,ROUNDUP(AA899/BN899,0))</f>
        <v/>
      </c>
      <c r="AC899" s="64">
        <f>IF(BO899=1,IF(AA899&lt;=0,0,BP899*MAX(1,IF(G899&gt;0,AA899/G899,1))),AB899*Q899)</f>
        <v/>
      </c>
      <c r="AD899" s="55">
        <f>AA899*F899</f>
        <v/>
      </c>
      <c r="AE899" s="55">
        <f>ROUNDUP(MAX(I899/IF(BS899&gt;0,BS899,MAX(0.1,N(Cockpit!$C$6))),BV899)/BN899,0)*BN899</f>
        <v/>
      </c>
      <c r="AF899" s="56">
        <f>IF(AC899&gt;0,I899/AC899,-1)</f>
        <v/>
      </c>
      <c r="AG899" s="56">
        <f>IF(AND(OR(BR899="L1",BR899="L23"),AC899&gt;0),SUMIFS($AC$7:$AC$1570,$BR$7:$BR$1570,BR899,$AF$7:$AF$1570,"&gt;"&amp;AF899)+SUMIFS($AC$7:$AC$1570,$BR$7:$BR$1570,BR899,$AF$7:$AF$1570,AF899,$BL$7:$BL$1570,"&lt;="&amp;BL899),"")</f>
        <v/>
      </c>
      <c r="AH899" s="65">
        <f>IF(AG899="",0,MAX(0,MIN(1,(IF(BR899="L1",Parameter!$K$5,Parameter!$K$6+Parameter!$K$7)-(AG899-AC899))/AC899)))</f>
        <v/>
      </c>
      <c r="AI899" s="55">
        <f>IF(LEFT(Cockpit!$I$5,1)="A",G899,IF(BT899=1,BU899,IF(LEFT(Cockpit!$I$5,1)="B",AM899,MAX(AM899,G899))))</f>
        <v/>
      </c>
      <c r="AJ899" s="55">
        <f>IF(BO899=1,0,ROUNDUP(AI899/BN899,0))</f>
        <v/>
      </c>
      <c r="AK899" s="64">
        <f>IF(BO899=1,IF(AI899&lt;=0,0,BP899*MAX(1,IF(G899&gt;0,AI899/G899,1))),AJ899*Q899)</f>
        <v/>
      </c>
      <c r="AL899" s="55">
        <f>AI899*F899</f>
        <v/>
      </c>
      <c r="AM899" s="55">
        <f>ROUNDUP(MAX(I899/IF(BS899&gt;0,BS899,MAX(0.1,N(Cockpit!$I$6))),BV899)/BN899,0)*BN899</f>
        <v/>
      </c>
      <c r="AN899" s="56">
        <f>IF(AK899&gt;0,I899/AK899,-1)</f>
        <v/>
      </c>
      <c r="AO899" s="56">
        <f>IF(AND(OR(BR899="L1",BR899="L23"),AK899&gt;0),SUMIFS($AK$7:$AK$1570,$BR$7:$BR$1570,BR899,$AN$7:$AN$1570,"&gt;"&amp;AN899)+SUMIFS($AK$7:$AK$1570,$BR$7:$BR$1570,BR899,$AN$7:$AN$1570,AN899,$BL$7:$BL$1570,"&lt;="&amp;BL899),"")</f>
        <v/>
      </c>
      <c r="AP899" s="65">
        <f>IF(AO899="",0,MAX(0,MIN(1,(IF(BR899="L1",Parameter!$K$5,Parameter!$K$6+Parameter!$K$7)-(AO899-AK899))/AK899)))</f>
        <v/>
      </c>
      <c r="AQ899" s="55">
        <f>IF(LEFT(Cockpit!$O$5,1)="A",G899,IF(BT899=1,BU899,IF(LEFT(Cockpit!$O$5,1)="B",AU899,MAX(AU899,G899))))</f>
        <v/>
      </c>
      <c r="AR899" s="55">
        <f>IF(BO899=1,0,ROUNDUP(AQ899/BN899,0))</f>
        <v/>
      </c>
      <c r="AS899" s="64">
        <f>IF(BO899=1,IF(AQ899&lt;=0,0,BP899*MAX(1,IF(G899&gt;0,AQ899/G899,1))),AR899*Q899)</f>
        <v/>
      </c>
      <c r="AT899" s="55">
        <f>AQ899*F899</f>
        <v/>
      </c>
      <c r="AU899" s="55">
        <f>ROUNDUP(MAX(I899/IF(BS899&gt;0,BS899,MAX(0.1,N(Cockpit!$O$6))),BV899)/BN899,0)*BN899</f>
        <v/>
      </c>
      <c r="AV899" s="56">
        <f>IF(AS899&gt;0,I899/AS899,-1)</f>
        <v/>
      </c>
      <c r="AW899" s="56">
        <f>IF(AND(OR(BR899="L1",BR899="L23"),AS899&gt;0),SUMIFS($AS$7:$AS$1570,$BR$7:$BR$1570,BR899,$AV$7:$AV$1570,"&gt;"&amp;AV899)+SUMIFS($AS$7:$AS$1570,$BR$7:$BR$1570,BR899,$AV$7:$AV$1570,AV899,$BL$7:$BL$1570,"&lt;="&amp;BL899),"")</f>
        <v/>
      </c>
      <c r="AX899" s="65">
        <f>IF(AW899="",0,MAX(0,MIN(1,(IF(BR899="L1",Parameter!$K$5,Parameter!$K$6+Parameter!$K$7)-(AW899-AS899))/AS899)))</f>
        <v/>
      </c>
      <c r="AY899" s="53">
        <f>IF(AC899&lt;=0,"",IF(BR899="Aussen","Aussenlager",IF(BR899="-","Nicht im Lift",IF(AH899&gt;=1,"Lift",IF(AH899&lt;=0,"Aussenlager","teilweise")))))</f>
        <v/>
      </c>
      <c r="AZ899" s="53">
        <f>IF(AK899&lt;=0,"",IF(BR899="Aussen","Aussenlager",IF(BR899="-","Nicht im Lift",IF(AP899&gt;=1,"Lift",IF(AP899&lt;=0,"Aussenlager","teilweise")))))</f>
        <v/>
      </c>
      <c r="BA899" s="53">
        <f>IF(AS899&lt;=0,"",IF(BR899="Aussen","Aussenlager",IF(BR899="-","Nicht im Lift",IF(AX899&gt;=1,"Lift",IF(AX899&lt;=0,"Aussenlager","teilweise")))))</f>
        <v/>
      </c>
      <c r="BB899" s="53">
        <f>IF(A899="","",IF(BK899=1,"Neu; ","")&amp;IF(AND(BK899=0,BF899&lt;0),"negativer Bestand (Export "&amp;BF899&amp;"); ","")&amp;IF(I899&lt;=0,"Kein Verbrauch; ","")&amp;IF(BO899=1,"Lose – Fläche geschätzt; ","")&amp;IF(G899&gt;AM899,"Überbestand "&amp;ROUND(G899-AM899,0)&amp;" Stk / CHF "&amp;ROUND((G899-AM899)*F899,0)&amp;"; ","")&amp;IF(AND(BT899=1,BU899&lt;BV899),"MAX &lt; MB+LG; ","")&amp;IF(AND(BZ899&gt;0,BY899*10&gt;BZ899),"zu hoch für Tablar; ","")&amp;IF(AND(BK899=0,OR(BT899=1,V899&lt;&gt;"",S899&lt;&gt;"",T899&lt;&gt;"",W899&lt;&gt;"")),"manuell übersteuert; ","")&amp;IF(AND(BO899=0,Q899=0),"Gebinde unbekannt; ","")&amp;IF(AND(BO899=0,N(T899)&lt;=0,N(P899)&lt;=0),"Menge pro Gebinde fehlt (Ist = 1 Gebinde); ","")&amp;BJ899)</f>
        <v/>
      </c>
      <c r="BC899" s="53" t="n"/>
      <c r="BD899" s="53" t="n"/>
      <c r="BE899" s="61" t="n"/>
      <c r="BF899" s="55" t="n">
        <v>-35</v>
      </c>
      <c r="BG899" s="55" t="n">
        <v>80</v>
      </c>
      <c r="BH899" s="54" t="n">
        <v>-32.55</v>
      </c>
      <c r="BI899" s="55" t="n">
        <v>0</v>
      </c>
      <c r="BJ899" s="53" t="inlineStr">
        <is>
          <t>Twin</t>
        </is>
      </c>
      <c r="BK899" s="58" t="n">
        <v>0</v>
      </c>
      <c r="BL899" s="58" t="n">
        <v>899</v>
      </c>
      <c r="BM899" s="53">
        <f>IF(S899&lt;&gt;"",UPPER(TRIM(S899)),IF(O899="","LOSE",O899))</f>
        <v/>
      </c>
      <c r="BN899" s="55">
        <f>IF(BM899="LOSE",1,IF(N(T899)&gt;0,T899,IF(N(P899)&gt;0,P899,MAX(1,G899))))</f>
        <v/>
      </c>
      <c r="BO899" s="58">
        <f>IF(BM899="LOSE",1,0)</f>
        <v/>
      </c>
      <c r="BP899" s="64">
        <f>IF(BO899=0,0,IF(N(R899)&gt;0,R899,IFERROR(VLOOKUP(D899,Parameter!$A$35:$C$64,3,0)+0,0)))</f>
        <v/>
      </c>
      <c r="BQ899" s="53">
        <f>IF(V899&lt;&gt;"",V899,U899)</f>
        <v/>
      </c>
      <c r="BR899" s="53">
        <f>IF(BQ899=1,"L1",IF(OR(BQ899=2,BQ899=3),"L23",IF(BQ899="Aussen","Aussen","-")))</f>
        <v/>
      </c>
      <c r="BS899" s="66">
        <f>IF(N(W899)&gt;0,W899,0)</f>
        <v/>
      </c>
      <c r="BT899" s="58">
        <f>IF(ISNUMBER(Z899),1,0)</f>
        <v/>
      </c>
      <c r="BU899" s="55">
        <f>N(Z899)</f>
        <v/>
      </c>
      <c r="BV899" s="55">
        <f>N(L899)+N(M899)</f>
        <v/>
      </c>
      <c r="BW899" s="55">
        <f>ROUNDUP(G899/BN899,0)</f>
        <v/>
      </c>
      <c r="BX899" s="55">
        <f>ROUNDUP(BU899/BN899,0)</f>
        <v/>
      </c>
      <c r="BY899" s="58">
        <f>IF(BO899=1,0,IFERROR(VLOOKUP(BM899,'Gebinde-Kategorie'!$A$5:$G$45,5,0)+0,0))</f>
        <v/>
      </c>
      <c r="BZ899" s="58">
        <f>IFERROR(IF(OR(BQ899=1,BQ899=2,BQ899=3),N(INDEX(Parameter!$I$5:$I$7,BQ899)),0),0)</f>
        <v/>
      </c>
    </row>
    <row r="900">
      <c r="A900" s="53" t="inlineStr">
        <is>
          <t>107965</t>
        </is>
      </c>
      <c r="B900" s="53" t="inlineStr">
        <is>
          <t>Schnellverschluss-Schelle</t>
        </is>
      </c>
      <c r="C900" s="53" t="inlineStr">
        <is>
          <t>F</t>
        </is>
      </c>
      <c r="D900" s="53" t="inlineStr">
        <is>
          <t>KTL</t>
        </is>
      </c>
      <c r="E900" s="53" t="inlineStr">
        <is>
          <t>C</t>
        </is>
      </c>
      <c r="F900" s="54" t="n">
        <v>11.39</v>
      </c>
      <c r="G900" s="55">
        <f>MAX(0,IF(Parameter!$B$20="Jahresanfang 2025 + Export",BG900+BF900,BF900))</f>
        <v/>
      </c>
      <c r="H900" s="55">
        <f>G900*F900</f>
        <v/>
      </c>
      <c r="I900" s="55">
        <f>BI900*Parameter!$B$18</f>
        <v/>
      </c>
      <c r="J900" s="56" t="n">
        <v>1.5</v>
      </c>
      <c r="K900" s="57" t="n">
        <v>0</v>
      </c>
      <c r="L900" s="55" t="n">
        <v>0</v>
      </c>
      <c r="M900" s="55" t="n">
        <v>1</v>
      </c>
      <c r="N900" s="58" t="n">
        <v>28</v>
      </c>
      <c r="O900" s="53" t="inlineStr">
        <is>
          <t>LOSE</t>
        </is>
      </c>
      <c r="P900" s="55" t="n"/>
      <c r="Q900" s="59">
        <f>IF(BO900=1,0,IFERROR(VLOOKUP(BM900,'Gebinde-Kategorie'!$A$5:$G$45,6,0)+0,0))</f>
        <v/>
      </c>
      <c r="R900" s="60" t="n"/>
      <c r="S900" s="61" t="n"/>
      <c r="T900" s="61" t="n"/>
      <c r="U900" s="53">
        <f>IF(A900="","",IF(IFERROR(VLOOKUP(D900,Parameter!$A$35:$C$64,2,0),"Nein")="2+3",IF(ISNUMBER(SEARCH("grosser Artikel",BJ900)),2,IFERROR(VLOOKUP(BM900,Parameter!$F$35:$G$64,2,0),2)),IF(OR(IFERROR(VLOOKUP(D900,Parameter!$A$35:$C$64,2,0),"Nein")="Nein",IFERROR(VLOOKUP(D900,Parameter!$A$35:$C$64,2,0),"Nein")=""),"-",VLOOKUP(D900,Parameter!$A$35:$C$64,2,0))))</f>
        <v/>
      </c>
      <c r="V900" s="61" t="n"/>
      <c r="W900" s="62" t="n"/>
      <c r="X900" s="55">
        <f>AM900</f>
        <v/>
      </c>
      <c r="Y900" s="55">
        <f>MAX(AM900,G900)</f>
        <v/>
      </c>
      <c r="Z900" s="63" t="n"/>
      <c r="AA900" s="55">
        <f>IF(LEFT(Cockpit!$C$5,1)="A",G900,IF(BT900=1,BU900,IF(LEFT(Cockpit!$C$5,1)="B",AE900,MAX(AE900,G900))))</f>
        <v/>
      </c>
      <c r="AB900" s="55">
        <f>IF(BO900=1,0,ROUNDUP(AA900/BN900,0))</f>
        <v/>
      </c>
      <c r="AC900" s="64">
        <f>IF(BO900=1,IF(AA900&lt;=0,0,BP900*MAX(1,IF(G900&gt;0,AA900/G900,1))),AB900*Q900)</f>
        <v/>
      </c>
      <c r="AD900" s="55">
        <f>AA900*F900</f>
        <v/>
      </c>
      <c r="AE900" s="55">
        <f>ROUNDUP(MAX(I900/IF(BS900&gt;0,BS900,MAX(0.1,N(Cockpit!$C$6))),BV900)/BN900,0)*BN900</f>
        <v/>
      </c>
      <c r="AF900" s="56">
        <f>IF(AC900&gt;0,I900/AC900,-1)</f>
        <v/>
      </c>
      <c r="AG900" s="56">
        <f>IF(AND(OR(BR900="L1",BR900="L23"),AC900&gt;0),SUMIFS($AC$7:$AC$1570,$BR$7:$BR$1570,BR900,$AF$7:$AF$1570,"&gt;"&amp;AF900)+SUMIFS($AC$7:$AC$1570,$BR$7:$BR$1570,BR900,$AF$7:$AF$1570,AF900,$BL$7:$BL$1570,"&lt;="&amp;BL900),"")</f>
        <v/>
      </c>
      <c r="AH900" s="65">
        <f>IF(AG900="",0,MAX(0,MIN(1,(IF(BR900="L1",Parameter!$K$5,Parameter!$K$6+Parameter!$K$7)-(AG900-AC900))/AC900)))</f>
        <v/>
      </c>
      <c r="AI900" s="55">
        <f>IF(LEFT(Cockpit!$I$5,1)="A",G900,IF(BT900=1,BU900,IF(LEFT(Cockpit!$I$5,1)="B",AM900,MAX(AM900,G900))))</f>
        <v/>
      </c>
      <c r="AJ900" s="55">
        <f>IF(BO900=1,0,ROUNDUP(AI900/BN900,0))</f>
        <v/>
      </c>
      <c r="AK900" s="64">
        <f>IF(BO900=1,IF(AI900&lt;=0,0,BP900*MAX(1,IF(G900&gt;0,AI900/G900,1))),AJ900*Q900)</f>
        <v/>
      </c>
      <c r="AL900" s="55">
        <f>AI900*F900</f>
        <v/>
      </c>
      <c r="AM900" s="55">
        <f>ROUNDUP(MAX(I900/IF(BS900&gt;0,BS900,MAX(0.1,N(Cockpit!$I$6))),BV900)/BN900,0)*BN900</f>
        <v/>
      </c>
      <c r="AN900" s="56">
        <f>IF(AK900&gt;0,I900/AK900,-1)</f>
        <v/>
      </c>
      <c r="AO900" s="56">
        <f>IF(AND(OR(BR900="L1",BR900="L23"),AK900&gt;0),SUMIFS($AK$7:$AK$1570,$BR$7:$BR$1570,BR900,$AN$7:$AN$1570,"&gt;"&amp;AN900)+SUMIFS($AK$7:$AK$1570,$BR$7:$BR$1570,BR900,$AN$7:$AN$1570,AN900,$BL$7:$BL$1570,"&lt;="&amp;BL900),"")</f>
        <v/>
      </c>
      <c r="AP900" s="65">
        <f>IF(AO900="",0,MAX(0,MIN(1,(IF(BR900="L1",Parameter!$K$5,Parameter!$K$6+Parameter!$K$7)-(AO900-AK900))/AK900)))</f>
        <v/>
      </c>
      <c r="AQ900" s="55">
        <f>IF(LEFT(Cockpit!$O$5,1)="A",G900,IF(BT900=1,BU900,IF(LEFT(Cockpit!$O$5,1)="B",AU900,MAX(AU900,G900))))</f>
        <v/>
      </c>
      <c r="AR900" s="55">
        <f>IF(BO900=1,0,ROUNDUP(AQ900/BN900,0))</f>
        <v/>
      </c>
      <c r="AS900" s="64">
        <f>IF(BO900=1,IF(AQ900&lt;=0,0,BP900*MAX(1,IF(G900&gt;0,AQ900/G900,1))),AR900*Q900)</f>
        <v/>
      </c>
      <c r="AT900" s="55">
        <f>AQ900*F900</f>
        <v/>
      </c>
      <c r="AU900" s="55">
        <f>ROUNDUP(MAX(I900/IF(BS900&gt;0,BS900,MAX(0.1,N(Cockpit!$O$6))),BV900)/BN900,0)*BN900</f>
        <v/>
      </c>
      <c r="AV900" s="56">
        <f>IF(AS900&gt;0,I900/AS900,-1)</f>
        <v/>
      </c>
      <c r="AW900" s="56">
        <f>IF(AND(OR(BR900="L1",BR900="L23"),AS900&gt;0),SUMIFS($AS$7:$AS$1570,$BR$7:$BR$1570,BR900,$AV$7:$AV$1570,"&gt;"&amp;AV900)+SUMIFS($AS$7:$AS$1570,$BR$7:$BR$1570,BR900,$AV$7:$AV$1570,AV900,$BL$7:$BL$1570,"&lt;="&amp;BL900),"")</f>
        <v/>
      </c>
      <c r="AX900" s="65">
        <f>IF(AW900="",0,MAX(0,MIN(1,(IF(BR900="L1",Parameter!$K$5,Parameter!$K$6+Parameter!$K$7)-(AW900-AS900))/AS900)))</f>
        <v/>
      </c>
      <c r="AY900" s="53">
        <f>IF(AC900&lt;=0,"",IF(BR900="Aussen","Aussenlager",IF(BR900="-","Nicht im Lift",IF(AH900&gt;=1,"Lift",IF(AH900&lt;=0,"Aussenlager","teilweise")))))</f>
        <v/>
      </c>
      <c r="AZ900" s="53">
        <f>IF(AK900&lt;=0,"",IF(BR900="Aussen","Aussenlager",IF(BR900="-","Nicht im Lift",IF(AP900&gt;=1,"Lift",IF(AP900&lt;=0,"Aussenlager","teilweise")))))</f>
        <v/>
      </c>
      <c r="BA900" s="53">
        <f>IF(AS900&lt;=0,"",IF(BR900="Aussen","Aussenlager",IF(BR900="-","Nicht im Lift",IF(AX900&gt;=1,"Lift",IF(AX900&lt;=0,"Aussenlager","teilweise")))))</f>
        <v/>
      </c>
      <c r="BB900" s="53">
        <f>IF(A900="","",IF(BK900=1,"Neu; ","")&amp;IF(AND(BK900=0,BF900&lt;0),"negativer Bestand (Export "&amp;BF900&amp;"); ","")&amp;IF(I900&lt;=0,"Kein Verbrauch; ","")&amp;IF(BO900=1,"Lose – Fläche geschätzt; ","")&amp;IF(G900&gt;AM900,"Überbestand "&amp;ROUND(G900-AM900,0)&amp;" Stk / CHF "&amp;ROUND((G900-AM900)*F900,0)&amp;"; ","")&amp;IF(AND(BT900=1,BU900&lt;BV900),"MAX &lt; MB+LG; ","")&amp;IF(AND(BZ900&gt;0,BY900*10&gt;BZ900),"zu hoch für Tablar; ","")&amp;IF(AND(BK900=0,OR(BT900=1,V900&lt;&gt;"",S900&lt;&gt;"",T900&lt;&gt;"",W900&lt;&gt;"")),"manuell übersteuert; ","")&amp;IF(AND(BO900=0,Q900=0),"Gebinde unbekannt; ","")&amp;IF(AND(BO900=0,N(T900)&lt;=0,N(P900)&lt;=0),"Menge pro Gebinde fehlt (Ist = 1 Gebinde); ","")&amp;BJ900)</f>
        <v/>
      </c>
      <c r="BC900" s="53" t="n"/>
      <c r="BD900" s="53" t="n"/>
      <c r="BE900" s="61" t="n"/>
      <c r="BF900" s="55" t="n">
        <v>-3</v>
      </c>
      <c r="BG900" s="55" t="n">
        <v>3</v>
      </c>
      <c r="BH900" s="54" t="n">
        <v>-34.17</v>
      </c>
      <c r="BI900" s="55" t="n">
        <v>0</v>
      </c>
      <c r="BJ900" s="53" t="inlineStr"/>
      <c r="BK900" s="58" t="n">
        <v>0</v>
      </c>
      <c r="BL900" s="58" t="n">
        <v>900</v>
      </c>
      <c r="BM900" s="53">
        <f>IF(S900&lt;&gt;"",UPPER(TRIM(S900)),IF(O900="","LOSE",O900))</f>
        <v/>
      </c>
      <c r="BN900" s="55">
        <f>IF(BM900="LOSE",1,IF(N(T900)&gt;0,T900,IF(N(P900)&gt;0,P900,MAX(1,G900))))</f>
        <v/>
      </c>
      <c r="BO900" s="58">
        <f>IF(BM900="LOSE",1,0)</f>
        <v/>
      </c>
      <c r="BP900" s="64">
        <f>IF(BO900=0,0,IF(N(R900)&gt;0,R900,IFERROR(VLOOKUP(D900,Parameter!$A$35:$C$64,3,0)+0,0)))</f>
        <v/>
      </c>
      <c r="BQ900" s="53">
        <f>IF(V900&lt;&gt;"",V900,U900)</f>
        <v/>
      </c>
      <c r="BR900" s="53">
        <f>IF(BQ900=1,"L1",IF(OR(BQ900=2,BQ900=3),"L23",IF(BQ900="Aussen","Aussen","-")))</f>
        <v/>
      </c>
      <c r="BS900" s="66">
        <f>IF(N(W900)&gt;0,W900,0)</f>
        <v/>
      </c>
      <c r="BT900" s="58">
        <f>IF(ISNUMBER(Z900),1,0)</f>
        <v/>
      </c>
      <c r="BU900" s="55">
        <f>N(Z900)</f>
        <v/>
      </c>
      <c r="BV900" s="55">
        <f>N(L900)+N(M900)</f>
        <v/>
      </c>
      <c r="BW900" s="55">
        <f>ROUNDUP(G900/BN900,0)</f>
        <v/>
      </c>
      <c r="BX900" s="55">
        <f>ROUNDUP(BU900/BN900,0)</f>
        <v/>
      </c>
      <c r="BY900" s="58">
        <f>IF(BO900=1,0,IFERROR(VLOOKUP(BM900,'Gebinde-Kategorie'!$A$5:$G$45,5,0)+0,0))</f>
        <v/>
      </c>
      <c r="BZ900" s="58">
        <f>IFERROR(IF(OR(BQ900=1,BQ900=2,BQ900=3),N(INDEX(Parameter!$I$5:$I$7,BQ900)),0),0)</f>
        <v/>
      </c>
    </row>
    <row r="901">
      <c r="A901" s="53" t="inlineStr">
        <is>
          <t>107967</t>
        </is>
      </c>
      <c r="B901" s="53" t="inlineStr">
        <is>
          <t>Schnellverschluss-Schelle</t>
        </is>
      </c>
      <c r="C901" s="53" t="inlineStr">
        <is>
          <t>F</t>
        </is>
      </c>
      <c r="D901" s="53" t="inlineStr">
        <is>
          <t>KTL</t>
        </is>
      </c>
      <c r="E901" s="53" t="inlineStr">
        <is>
          <t>C</t>
        </is>
      </c>
      <c r="F901" s="54" t="n">
        <v>11.39</v>
      </c>
      <c r="G901" s="55">
        <f>MAX(0,IF(Parameter!$B$20="Jahresanfang 2025 + Export",BG901+BF901,BF901))</f>
        <v/>
      </c>
      <c r="H901" s="55">
        <f>G901*F901</f>
        <v/>
      </c>
      <c r="I901" s="55">
        <f>BI901*Parameter!$B$18</f>
        <v/>
      </c>
      <c r="J901" s="56" t="n">
        <v>1.5</v>
      </c>
      <c r="K901" s="57" t="n">
        <v>0</v>
      </c>
      <c r="L901" s="55" t="n">
        <v>0</v>
      </c>
      <c r="M901" s="55" t="n">
        <v>1</v>
      </c>
      <c r="N901" s="58" t="n">
        <v>28</v>
      </c>
      <c r="O901" s="53" t="inlineStr">
        <is>
          <t>LOSE</t>
        </is>
      </c>
      <c r="P901" s="55" t="n"/>
      <c r="Q901" s="59">
        <f>IF(BO901=1,0,IFERROR(VLOOKUP(BM901,'Gebinde-Kategorie'!$A$5:$G$45,6,0)+0,0))</f>
        <v/>
      </c>
      <c r="R901" s="60" t="n"/>
      <c r="S901" s="61" t="n"/>
      <c r="T901" s="61" t="n"/>
      <c r="U901" s="53">
        <f>IF(A901="","",IF(IFERROR(VLOOKUP(D901,Parameter!$A$35:$C$64,2,0),"Nein")="2+3",IF(ISNUMBER(SEARCH("grosser Artikel",BJ901)),2,IFERROR(VLOOKUP(BM901,Parameter!$F$35:$G$64,2,0),2)),IF(OR(IFERROR(VLOOKUP(D901,Parameter!$A$35:$C$64,2,0),"Nein")="Nein",IFERROR(VLOOKUP(D901,Parameter!$A$35:$C$64,2,0),"Nein")=""),"-",VLOOKUP(D901,Parameter!$A$35:$C$64,2,0))))</f>
        <v/>
      </c>
      <c r="V901" s="61" t="n"/>
      <c r="W901" s="62" t="n"/>
      <c r="X901" s="55">
        <f>AM901</f>
        <v/>
      </c>
      <c r="Y901" s="55">
        <f>MAX(AM901,G901)</f>
        <v/>
      </c>
      <c r="Z901" s="63" t="n"/>
      <c r="AA901" s="55">
        <f>IF(LEFT(Cockpit!$C$5,1)="A",G901,IF(BT901=1,BU901,IF(LEFT(Cockpit!$C$5,1)="B",AE901,MAX(AE901,G901))))</f>
        <v/>
      </c>
      <c r="AB901" s="55">
        <f>IF(BO901=1,0,ROUNDUP(AA901/BN901,0))</f>
        <v/>
      </c>
      <c r="AC901" s="64">
        <f>IF(BO901=1,IF(AA901&lt;=0,0,BP901*MAX(1,IF(G901&gt;0,AA901/G901,1))),AB901*Q901)</f>
        <v/>
      </c>
      <c r="AD901" s="55">
        <f>AA901*F901</f>
        <v/>
      </c>
      <c r="AE901" s="55">
        <f>ROUNDUP(MAX(I901/IF(BS901&gt;0,BS901,MAX(0.1,N(Cockpit!$C$6))),BV901)/BN901,0)*BN901</f>
        <v/>
      </c>
      <c r="AF901" s="56">
        <f>IF(AC901&gt;0,I901/AC901,-1)</f>
        <v/>
      </c>
      <c r="AG901" s="56">
        <f>IF(AND(OR(BR901="L1",BR901="L23"),AC901&gt;0),SUMIFS($AC$7:$AC$1570,$BR$7:$BR$1570,BR901,$AF$7:$AF$1570,"&gt;"&amp;AF901)+SUMIFS($AC$7:$AC$1570,$BR$7:$BR$1570,BR901,$AF$7:$AF$1570,AF901,$BL$7:$BL$1570,"&lt;="&amp;BL901),"")</f>
        <v/>
      </c>
      <c r="AH901" s="65">
        <f>IF(AG901="",0,MAX(0,MIN(1,(IF(BR901="L1",Parameter!$K$5,Parameter!$K$6+Parameter!$K$7)-(AG901-AC901))/AC901)))</f>
        <v/>
      </c>
      <c r="AI901" s="55">
        <f>IF(LEFT(Cockpit!$I$5,1)="A",G901,IF(BT901=1,BU901,IF(LEFT(Cockpit!$I$5,1)="B",AM901,MAX(AM901,G901))))</f>
        <v/>
      </c>
      <c r="AJ901" s="55">
        <f>IF(BO901=1,0,ROUNDUP(AI901/BN901,0))</f>
        <v/>
      </c>
      <c r="AK901" s="64">
        <f>IF(BO901=1,IF(AI901&lt;=0,0,BP901*MAX(1,IF(G901&gt;0,AI901/G901,1))),AJ901*Q901)</f>
        <v/>
      </c>
      <c r="AL901" s="55">
        <f>AI901*F901</f>
        <v/>
      </c>
      <c r="AM901" s="55">
        <f>ROUNDUP(MAX(I901/IF(BS901&gt;0,BS901,MAX(0.1,N(Cockpit!$I$6))),BV901)/BN901,0)*BN901</f>
        <v/>
      </c>
      <c r="AN901" s="56">
        <f>IF(AK901&gt;0,I901/AK901,-1)</f>
        <v/>
      </c>
      <c r="AO901" s="56">
        <f>IF(AND(OR(BR901="L1",BR901="L23"),AK901&gt;0),SUMIFS($AK$7:$AK$1570,$BR$7:$BR$1570,BR901,$AN$7:$AN$1570,"&gt;"&amp;AN901)+SUMIFS($AK$7:$AK$1570,$BR$7:$BR$1570,BR901,$AN$7:$AN$1570,AN901,$BL$7:$BL$1570,"&lt;="&amp;BL901),"")</f>
        <v/>
      </c>
      <c r="AP901" s="65">
        <f>IF(AO901="",0,MAX(0,MIN(1,(IF(BR901="L1",Parameter!$K$5,Parameter!$K$6+Parameter!$K$7)-(AO901-AK901))/AK901)))</f>
        <v/>
      </c>
      <c r="AQ901" s="55">
        <f>IF(LEFT(Cockpit!$O$5,1)="A",G901,IF(BT901=1,BU901,IF(LEFT(Cockpit!$O$5,1)="B",AU901,MAX(AU901,G901))))</f>
        <v/>
      </c>
      <c r="AR901" s="55">
        <f>IF(BO901=1,0,ROUNDUP(AQ901/BN901,0))</f>
        <v/>
      </c>
      <c r="AS901" s="64">
        <f>IF(BO901=1,IF(AQ901&lt;=0,0,BP901*MAX(1,IF(G901&gt;0,AQ901/G901,1))),AR901*Q901)</f>
        <v/>
      </c>
      <c r="AT901" s="55">
        <f>AQ901*F901</f>
        <v/>
      </c>
      <c r="AU901" s="55">
        <f>ROUNDUP(MAX(I901/IF(BS901&gt;0,BS901,MAX(0.1,N(Cockpit!$O$6))),BV901)/BN901,0)*BN901</f>
        <v/>
      </c>
      <c r="AV901" s="56">
        <f>IF(AS901&gt;0,I901/AS901,-1)</f>
        <v/>
      </c>
      <c r="AW901" s="56">
        <f>IF(AND(OR(BR901="L1",BR901="L23"),AS901&gt;0),SUMIFS($AS$7:$AS$1570,$BR$7:$BR$1570,BR901,$AV$7:$AV$1570,"&gt;"&amp;AV901)+SUMIFS($AS$7:$AS$1570,$BR$7:$BR$1570,BR901,$AV$7:$AV$1570,AV901,$BL$7:$BL$1570,"&lt;="&amp;BL901),"")</f>
        <v/>
      </c>
      <c r="AX901" s="65">
        <f>IF(AW901="",0,MAX(0,MIN(1,(IF(BR901="L1",Parameter!$K$5,Parameter!$K$6+Parameter!$K$7)-(AW901-AS901))/AS901)))</f>
        <v/>
      </c>
      <c r="AY901" s="53">
        <f>IF(AC901&lt;=0,"",IF(BR901="Aussen","Aussenlager",IF(BR901="-","Nicht im Lift",IF(AH901&gt;=1,"Lift",IF(AH901&lt;=0,"Aussenlager","teilweise")))))</f>
        <v/>
      </c>
      <c r="AZ901" s="53">
        <f>IF(AK901&lt;=0,"",IF(BR901="Aussen","Aussenlager",IF(BR901="-","Nicht im Lift",IF(AP901&gt;=1,"Lift",IF(AP901&lt;=0,"Aussenlager","teilweise")))))</f>
        <v/>
      </c>
      <c r="BA901" s="53">
        <f>IF(AS901&lt;=0,"",IF(BR901="Aussen","Aussenlager",IF(BR901="-","Nicht im Lift",IF(AX901&gt;=1,"Lift",IF(AX901&lt;=0,"Aussenlager","teilweise")))))</f>
        <v/>
      </c>
      <c r="BB901" s="53">
        <f>IF(A901="","",IF(BK901=1,"Neu; ","")&amp;IF(AND(BK901=0,BF901&lt;0),"negativer Bestand (Export "&amp;BF901&amp;"); ","")&amp;IF(I901&lt;=0,"Kein Verbrauch; ","")&amp;IF(BO901=1,"Lose – Fläche geschätzt; ","")&amp;IF(G901&gt;AM901,"Überbestand "&amp;ROUND(G901-AM901,0)&amp;" Stk / CHF "&amp;ROUND((G901-AM901)*F901,0)&amp;"; ","")&amp;IF(AND(BT901=1,BU901&lt;BV901),"MAX &lt; MB+LG; ","")&amp;IF(AND(BZ901&gt;0,BY901*10&gt;BZ901),"zu hoch für Tablar; ","")&amp;IF(AND(BK901=0,OR(BT901=1,V901&lt;&gt;"",S901&lt;&gt;"",T901&lt;&gt;"",W901&lt;&gt;"")),"manuell übersteuert; ","")&amp;IF(AND(BO901=0,Q901=0),"Gebinde unbekannt; ","")&amp;IF(AND(BO901=0,N(T901)&lt;=0,N(P901)&lt;=0),"Menge pro Gebinde fehlt (Ist = 1 Gebinde); ","")&amp;BJ901)</f>
        <v/>
      </c>
      <c r="BC901" s="53" t="n"/>
      <c r="BD901" s="53" t="n"/>
      <c r="BE901" s="61" t="n"/>
      <c r="BF901" s="55" t="n">
        <v>-3</v>
      </c>
      <c r="BG901" s="55" t="n">
        <v>3</v>
      </c>
      <c r="BH901" s="54" t="n">
        <v>-34.17</v>
      </c>
      <c r="BI901" s="55" t="n">
        <v>0</v>
      </c>
      <c r="BJ901" s="53" t="inlineStr"/>
      <c r="BK901" s="58" t="n">
        <v>0</v>
      </c>
      <c r="BL901" s="58" t="n">
        <v>901</v>
      </c>
      <c r="BM901" s="53">
        <f>IF(S901&lt;&gt;"",UPPER(TRIM(S901)),IF(O901="","LOSE",O901))</f>
        <v/>
      </c>
      <c r="BN901" s="55">
        <f>IF(BM901="LOSE",1,IF(N(T901)&gt;0,T901,IF(N(P901)&gt;0,P901,MAX(1,G901))))</f>
        <v/>
      </c>
      <c r="BO901" s="58">
        <f>IF(BM901="LOSE",1,0)</f>
        <v/>
      </c>
      <c r="BP901" s="64">
        <f>IF(BO901=0,0,IF(N(R901)&gt;0,R901,IFERROR(VLOOKUP(D901,Parameter!$A$35:$C$64,3,0)+0,0)))</f>
        <v/>
      </c>
      <c r="BQ901" s="53">
        <f>IF(V901&lt;&gt;"",V901,U901)</f>
        <v/>
      </c>
      <c r="BR901" s="53">
        <f>IF(BQ901=1,"L1",IF(OR(BQ901=2,BQ901=3),"L23",IF(BQ901="Aussen","Aussen","-")))</f>
        <v/>
      </c>
      <c r="BS901" s="66">
        <f>IF(N(W901)&gt;0,W901,0)</f>
        <v/>
      </c>
      <c r="BT901" s="58">
        <f>IF(ISNUMBER(Z901),1,0)</f>
        <v/>
      </c>
      <c r="BU901" s="55">
        <f>N(Z901)</f>
        <v/>
      </c>
      <c r="BV901" s="55">
        <f>N(L901)+N(M901)</f>
        <v/>
      </c>
      <c r="BW901" s="55">
        <f>ROUNDUP(G901/BN901,0)</f>
        <v/>
      </c>
      <c r="BX901" s="55">
        <f>ROUNDUP(BU901/BN901,0)</f>
        <v/>
      </c>
      <c r="BY901" s="58">
        <f>IF(BO901=1,0,IFERROR(VLOOKUP(BM901,'Gebinde-Kategorie'!$A$5:$G$45,5,0)+0,0))</f>
        <v/>
      </c>
      <c r="BZ901" s="58">
        <f>IFERROR(IF(OR(BQ901=1,BQ901=2,BQ901=3),N(INDEX(Parameter!$I$5:$I$7,BQ901)),0),0)</f>
        <v/>
      </c>
    </row>
    <row r="902">
      <c r="A902" s="53" t="inlineStr">
        <is>
          <t>106967</t>
        </is>
      </c>
      <c r="B902" s="53" t="inlineStr">
        <is>
          <t>Feldklemme</t>
        </is>
      </c>
      <c r="C902" s="53" t="inlineStr">
        <is>
          <t>F</t>
        </is>
      </c>
      <c r="D902" s="53" t="inlineStr">
        <is>
          <t>KTL</t>
        </is>
      </c>
      <c r="E902" s="53" t="inlineStr">
        <is>
          <t>C</t>
        </is>
      </c>
      <c r="F902" s="54" t="n">
        <v>4.31</v>
      </c>
      <c r="G902" s="55">
        <f>MAX(0,IF(Parameter!$B$20="Jahresanfang 2025 + Export",BG902+BF902,BF902))</f>
        <v/>
      </c>
      <c r="H902" s="55">
        <f>G902*F902</f>
        <v/>
      </c>
      <c r="I902" s="55">
        <f>BI902*Parameter!$B$18</f>
        <v/>
      </c>
      <c r="J902" s="56" t="n">
        <v>11</v>
      </c>
      <c r="K902" s="57" t="n">
        <v>0.09090909090909091</v>
      </c>
      <c r="L902" s="55" t="n">
        <v>0</v>
      </c>
      <c r="M902" s="55" t="n">
        <v>1</v>
      </c>
      <c r="N902" s="58" t="n">
        <v>70</v>
      </c>
      <c r="O902" s="53" t="inlineStr">
        <is>
          <t>S21</t>
        </is>
      </c>
      <c r="P902" s="55" t="n">
        <v>5</v>
      </c>
      <c r="Q902" s="59">
        <f>IF(BO902=1,0,IFERROR(VLOOKUP(BM902,'Gebinde-Kategorie'!$A$5:$G$45,6,0)+0,0))</f>
        <v/>
      </c>
      <c r="R902" s="60" t="n"/>
      <c r="S902" s="61" t="n"/>
      <c r="T902" s="61" t="n"/>
      <c r="U902" s="53">
        <f>IF(A902="","",IF(IFERROR(VLOOKUP(D902,Parameter!$A$35:$C$64,2,0),"Nein")="2+3",IF(ISNUMBER(SEARCH("grosser Artikel",BJ902)),2,IFERROR(VLOOKUP(BM902,Parameter!$F$35:$G$64,2,0),2)),IF(OR(IFERROR(VLOOKUP(D902,Parameter!$A$35:$C$64,2,0),"Nein")="Nein",IFERROR(VLOOKUP(D902,Parameter!$A$35:$C$64,2,0),"Nein")=""),"-",VLOOKUP(D902,Parameter!$A$35:$C$64,2,0))))</f>
        <v/>
      </c>
      <c r="V902" s="61" t="n"/>
      <c r="W902" s="62" t="n"/>
      <c r="X902" s="55">
        <f>AM902</f>
        <v/>
      </c>
      <c r="Y902" s="55">
        <f>MAX(AM902,G902)</f>
        <v/>
      </c>
      <c r="Z902" s="63" t="n"/>
      <c r="AA902" s="55">
        <f>IF(LEFT(Cockpit!$C$5,1)="A",G902,IF(BT902=1,BU902,IF(LEFT(Cockpit!$C$5,1)="B",AE902,MAX(AE902,G902))))</f>
        <v/>
      </c>
      <c r="AB902" s="55">
        <f>IF(BO902=1,0,ROUNDUP(AA902/BN902,0))</f>
        <v/>
      </c>
      <c r="AC902" s="64">
        <f>IF(BO902=1,IF(AA902&lt;=0,0,BP902*MAX(1,IF(G902&gt;0,AA902/G902,1))),AB902*Q902)</f>
        <v/>
      </c>
      <c r="AD902" s="55">
        <f>AA902*F902</f>
        <v/>
      </c>
      <c r="AE902" s="55">
        <f>ROUNDUP(MAX(I902/IF(BS902&gt;0,BS902,MAX(0.1,N(Cockpit!$C$6))),BV902)/BN902,0)*BN902</f>
        <v/>
      </c>
      <c r="AF902" s="56">
        <f>IF(AC902&gt;0,I902/AC902,-1)</f>
        <v/>
      </c>
      <c r="AG902" s="56">
        <f>IF(AND(OR(BR902="L1",BR902="L23"),AC902&gt;0),SUMIFS($AC$7:$AC$1570,$BR$7:$BR$1570,BR902,$AF$7:$AF$1570,"&gt;"&amp;AF902)+SUMIFS($AC$7:$AC$1570,$BR$7:$BR$1570,BR902,$AF$7:$AF$1570,AF902,$BL$7:$BL$1570,"&lt;="&amp;BL902),"")</f>
        <v/>
      </c>
      <c r="AH902" s="65">
        <f>IF(AG902="",0,MAX(0,MIN(1,(IF(BR902="L1",Parameter!$K$5,Parameter!$K$6+Parameter!$K$7)-(AG902-AC902))/AC902)))</f>
        <v/>
      </c>
      <c r="AI902" s="55">
        <f>IF(LEFT(Cockpit!$I$5,1)="A",G902,IF(BT902=1,BU902,IF(LEFT(Cockpit!$I$5,1)="B",AM902,MAX(AM902,G902))))</f>
        <v/>
      </c>
      <c r="AJ902" s="55">
        <f>IF(BO902=1,0,ROUNDUP(AI902/BN902,0))</f>
        <v/>
      </c>
      <c r="AK902" s="64">
        <f>IF(BO902=1,IF(AI902&lt;=0,0,BP902*MAX(1,IF(G902&gt;0,AI902/G902,1))),AJ902*Q902)</f>
        <v/>
      </c>
      <c r="AL902" s="55">
        <f>AI902*F902</f>
        <v/>
      </c>
      <c r="AM902" s="55">
        <f>ROUNDUP(MAX(I902/IF(BS902&gt;0,BS902,MAX(0.1,N(Cockpit!$I$6))),BV902)/BN902,0)*BN902</f>
        <v/>
      </c>
      <c r="AN902" s="56">
        <f>IF(AK902&gt;0,I902/AK902,-1)</f>
        <v/>
      </c>
      <c r="AO902" s="56">
        <f>IF(AND(OR(BR902="L1",BR902="L23"),AK902&gt;0),SUMIFS($AK$7:$AK$1570,$BR$7:$BR$1570,BR902,$AN$7:$AN$1570,"&gt;"&amp;AN902)+SUMIFS($AK$7:$AK$1570,$BR$7:$BR$1570,BR902,$AN$7:$AN$1570,AN902,$BL$7:$BL$1570,"&lt;="&amp;BL902),"")</f>
        <v/>
      </c>
      <c r="AP902" s="65">
        <f>IF(AO902="",0,MAX(0,MIN(1,(IF(BR902="L1",Parameter!$K$5,Parameter!$K$6+Parameter!$K$7)-(AO902-AK902))/AK902)))</f>
        <v/>
      </c>
      <c r="AQ902" s="55">
        <f>IF(LEFT(Cockpit!$O$5,1)="A",G902,IF(BT902=1,BU902,IF(LEFT(Cockpit!$O$5,1)="B",AU902,MAX(AU902,G902))))</f>
        <v/>
      </c>
      <c r="AR902" s="55">
        <f>IF(BO902=1,0,ROUNDUP(AQ902/BN902,0))</f>
        <v/>
      </c>
      <c r="AS902" s="64">
        <f>IF(BO902=1,IF(AQ902&lt;=0,0,BP902*MAX(1,IF(G902&gt;0,AQ902/G902,1))),AR902*Q902)</f>
        <v/>
      </c>
      <c r="AT902" s="55">
        <f>AQ902*F902</f>
        <v/>
      </c>
      <c r="AU902" s="55">
        <f>ROUNDUP(MAX(I902/IF(BS902&gt;0,BS902,MAX(0.1,N(Cockpit!$O$6))),BV902)/BN902,0)*BN902</f>
        <v/>
      </c>
      <c r="AV902" s="56">
        <f>IF(AS902&gt;0,I902/AS902,-1)</f>
        <v/>
      </c>
      <c r="AW902" s="56">
        <f>IF(AND(OR(BR902="L1",BR902="L23"),AS902&gt;0),SUMIFS($AS$7:$AS$1570,$BR$7:$BR$1570,BR902,$AV$7:$AV$1570,"&gt;"&amp;AV902)+SUMIFS($AS$7:$AS$1570,$BR$7:$BR$1570,BR902,$AV$7:$AV$1570,AV902,$BL$7:$BL$1570,"&lt;="&amp;BL902),"")</f>
        <v/>
      </c>
      <c r="AX902" s="65">
        <f>IF(AW902="",0,MAX(0,MIN(1,(IF(BR902="L1",Parameter!$K$5,Parameter!$K$6+Parameter!$K$7)-(AW902-AS902))/AS902)))</f>
        <v/>
      </c>
      <c r="AY902" s="53">
        <f>IF(AC902&lt;=0,"",IF(BR902="Aussen","Aussenlager",IF(BR902="-","Nicht im Lift",IF(AH902&gt;=1,"Lift",IF(AH902&lt;=0,"Aussenlager","teilweise")))))</f>
        <v/>
      </c>
      <c r="AZ902" s="53">
        <f>IF(AK902&lt;=0,"",IF(BR902="Aussen","Aussenlager",IF(BR902="-","Nicht im Lift",IF(AP902&gt;=1,"Lift",IF(AP902&lt;=0,"Aussenlager","teilweise")))))</f>
        <v/>
      </c>
      <c r="BA902" s="53">
        <f>IF(AS902&lt;=0,"",IF(BR902="Aussen","Aussenlager",IF(BR902="-","Nicht im Lift",IF(AX902&gt;=1,"Lift",IF(AX902&lt;=0,"Aussenlager","teilweise")))))</f>
        <v/>
      </c>
      <c r="BB902" s="53">
        <f>IF(A902="","",IF(BK902=1,"Neu; ","")&amp;IF(AND(BK902=0,BF902&lt;0),"negativer Bestand (Export "&amp;BF902&amp;"); ","")&amp;IF(I902&lt;=0,"Kein Verbrauch; ","")&amp;IF(BO902=1,"Lose – Fläche geschätzt; ","")&amp;IF(G902&gt;AM902,"Überbestand "&amp;ROUND(G902-AM902,0)&amp;" Stk / CHF "&amp;ROUND((G902-AM902)*F902,0)&amp;"; ","")&amp;IF(AND(BT902=1,BU902&lt;BV902),"MAX &lt; MB+LG; ","")&amp;IF(AND(BZ902&gt;0,BY902*10&gt;BZ902),"zu hoch für Tablar; ","")&amp;IF(AND(BK902=0,OR(BT902=1,V902&lt;&gt;"",S902&lt;&gt;"",T902&lt;&gt;"",W902&lt;&gt;"")),"manuell übersteuert; ","")&amp;IF(AND(BO902=0,Q902=0),"Gebinde unbekannt; ","")&amp;IF(AND(BO902=0,N(T902)&lt;=0,N(P902)&lt;=0),"Menge pro Gebinde fehlt (Ist = 1 Gebinde); ","")&amp;BJ902)</f>
        <v/>
      </c>
      <c r="BC902" s="53" t="n"/>
      <c r="BD902" s="53" t="n"/>
      <c r="BE902" s="61" t="n"/>
      <c r="BF902" s="55" t="n">
        <v>-8</v>
      </c>
      <c r="BG902" s="55" t="n">
        <v>12</v>
      </c>
      <c r="BH902" s="54" t="n">
        <v>-34.48</v>
      </c>
      <c r="BI902" s="55" t="n">
        <v>1</v>
      </c>
      <c r="BJ902" s="53" t="inlineStr"/>
      <c r="BK902" s="58" t="n">
        <v>0</v>
      </c>
      <c r="BL902" s="58" t="n">
        <v>902</v>
      </c>
      <c r="BM902" s="53">
        <f>IF(S902&lt;&gt;"",UPPER(TRIM(S902)),IF(O902="","LOSE",O902))</f>
        <v/>
      </c>
      <c r="BN902" s="55">
        <f>IF(BM902="LOSE",1,IF(N(T902)&gt;0,T902,IF(N(P902)&gt;0,P902,MAX(1,G902))))</f>
        <v/>
      </c>
      <c r="BO902" s="58">
        <f>IF(BM902="LOSE",1,0)</f>
        <v/>
      </c>
      <c r="BP902" s="64">
        <f>IF(BO902=0,0,IF(N(R902)&gt;0,R902,IFERROR(VLOOKUP(D902,Parameter!$A$35:$C$64,3,0)+0,0)))</f>
        <v/>
      </c>
      <c r="BQ902" s="53">
        <f>IF(V902&lt;&gt;"",V902,U902)</f>
        <v/>
      </c>
      <c r="BR902" s="53">
        <f>IF(BQ902=1,"L1",IF(OR(BQ902=2,BQ902=3),"L23",IF(BQ902="Aussen","Aussen","-")))</f>
        <v/>
      </c>
      <c r="BS902" s="66">
        <f>IF(N(W902)&gt;0,W902,0)</f>
        <v/>
      </c>
      <c r="BT902" s="58">
        <f>IF(ISNUMBER(Z902),1,0)</f>
        <v/>
      </c>
      <c r="BU902" s="55">
        <f>N(Z902)</f>
        <v/>
      </c>
      <c r="BV902" s="55">
        <f>N(L902)+N(M902)</f>
        <v/>
      </c>
      <c r="BW902" s="55">
        <f>ROUNDUP(G902/BN902,0)</f>
        <v/>
      </c>
      <c r="BX902" s="55">
        <f>ROUNDUP(BU902/BN902,0)</f>
        <v/>
      </c>
      <c r="BY902" s="58">
        <f>IF(BO902=1,0,IFERROR(VLOOKUP(BM902,'Gebinde-Kategorie'!$A$5:$G$45,5,0)+0,0))</f>
        <v/>
      </c>
      <c r="BZ902" s="58">
        <f>IFERROR(IF(OR(BQ902=1,BQ902=2,BQ902=3),N(INDEX(Parameter!$I$5:$I$7,BQ902)),0),0)</f>
        <v/>
      </c>
    </row>
    <row r="903">
      <c r="A903" s="53" t="inlineStr">
        <is>
          <t>107092</t>
        </is>
      </c>
      <c r="B903" s="53" t="inlineStr">
        <is>
          <t>Ringgabelschlüssel</t>
        </is>
      </c>
      <c r="C903" s="53" t="inlineStr">
        <is>
          <t>F</t>
        </is>
      </c>
      <c r="D903" s="53" t="inlineStr">
        <is>
          <t>KTL</t>
        </is>
      </c>
      <c r="E903" s="53" t="inlineStr">
        <is>
          <t>C</t>
        </is>
      </c>
      <c r="F903" s="54" t="n">
        <v>12.71</v>
      </c>
      <c r="G903" s="55">
        <f>MAX(0,IF(Parameter!$B$20="Jahresanfang 2025 + Export",BG903+BF903,BF903))</f>
        <v/>
      </c>
      <c r="H903" s="55">
        <f>G903*F903</f>
        <v/>
      </c>
      <c r="I903" s="55">
        <f>BI903*Parameter!$B$18</f>
        <v/>
      </c>
      <c r="J903" s="56" t="n">
        <v>6.5</v>
      </c>
      <c r="K903" s="57" t="n">
        <v>1.230769230769231</v>
      </c>
      <c r="L903" s="55" t="n">
        <v>0</v>
      </c>
      <c r="M903" s="55" t="n">
        <v>10</v>
      </c>
      <c r="N903" s="58" t="n">
        <v>18</v>
      </c>
      <c r="O903" s="53" t="inlineStr">
        <is>
          <t>S33</t>
        </is>
      </c>
      <c r="P903" s="55" t="n">
        <v>17</v>
      </c>
      <c r="Q903" s="59">
        <f>IF(BO903=1,0,IFERROR(VLOOKUP(BM903,'Gebinde-Kategorie'!$A$5:$G$45,6,0)+0,0))</f>
        <v/>
      </c>
      <c r="R903" s="60" t="n"/>
      <c r="S903" s="61" t="n"/>
      <c r="T903" s="61" t="n"/>
      <c r="U903" s="53">
        <f>IF(A903="","",IF(IFERROR(VLOOKUP(D903,Parameter!$A$35:$C$64,2,0),"Nein")="2+3",IF(ISNUMBER(SEARCH("grosser Artikel",BJ903)),2,IFERROR(VLOOKUP(BM903,Parameter!$F$35:$G$64,2,0),2)),IF(OR(IFERROR(VLOOKUP(D903,Parameter!$A$35:$C$64,2,0),"Nein")="Nein",IFERROR(VLOOKUP(D903,Parameter!$A$35:$C$64,2,0),"Nein")=""),"-",VLOOKUP(D903,Parameter!$A$35:$C$64,2,0))))</f>
        <v/>
      </c>
      <c r="V903" s="61" t="n"/>
      <c r="W903" s="62" t="n"/>
      <c r="X903" s="55">
        <f>AM903</f>
        <v/>
      </c>
      <c r="Y903" s="55">
        <f>MAX(AM903,G903)</f>
        <v/>
      </c>
      <c r="Z903" s="63" t="n"/>
      <c r="AA903" s="55">
        <f>IF(LEFT(Cockpit!$C$5,1)="A",G903,IF(BT903=1,BU903,IF(LEFT(Cockpit!$C$5,1)="B",AE903,MAX(AE903,G903))))</f>
        <v/>
      </c>
      <c r="AB903" s="55">
        <f>IF(BO903=1,0,ROUNDUP(AA903/BN903,0))</f>
        <v/>
      </c>
      <c r="AC903" s="64">
        <f>IF(BO903=1,IF(AA903&lt;=0,0,BP903*MAX(1,IF(G903&gt;0,AA903/G903,1))),AB903*Q903)</f>
        <v/>
      </c>
      <c r="AD903" s="55">
        <f>AA903*F903</f>
        <v/>
      </c>
      <c r="AE903" s="55">
        <f>ROUNDUP(MAX(I903/IF(BS903&gt;0,BS903,MAX(0.1,N(Cockpit!$C$6))),BV903)/BN903,0)*BN903</f>
        <v/>
      </c>
      <c r="AF903" s="56">
        <f>IF(AC903&gt;0,I903/AC903,-1)</f>
        <v/>
      </c>
      <c r="AG903" s="56">
        <f>IF(AND(OR(BR903="L1",BR903="L23"),AC903&gt;0),SUMIFS($AC$7:$AC$1570,$BR$7:$BR$1570,BR903,$AF$7:$AF$1570,"&gt;"&amp;AF903)+SUMIFS($AC$7:$AC$1570,$BR$7:$BR$1570,BR903,$AF$7:$AF$1570,AF903,$BL$7:$BL$1570,"&lt;="&amp;BL903),"")</f>
        <v/>
      </c>
      <c r="AH903" s="65">
        <f>IF(AG903="",0,MAX(0,MIN(1,(IF(BR903="L1",Parameter!$K$5,Parameter!$K$6+Parameter!$K$7)-(AG903-AC903))/AC903)))</f>
        <v/>
      </c>
      <c r="AI903" s="55">
        <f>IF(LEFT(Cockpit!$I$5,1)="A",G903,IF(BT903=1,BU903,IF(LEFT(Cockpit!$I$5,1)="B",AM903,MAX(AM903,G903))))</f>
        <v/>
      </c>
      <c r="AJ903" s="55">
        <f>IF(BO903=1,0,ROUNDUP(AI903/BN903,0))</f>
        <v/>
      </c>
      <c r="AK903" s="64">
        <f>IF(BO903=1,IF(AI903&lt;=0,0,BP903*MAX(1,IF(G903&gt;0,AI903/G903,1))),AJ903*Q903)</f>
        <v/>
      </c>
      <c r="AL903" s="55">
        <f>AI903*F903</f>
        <v/>
      </c>
      <c r="AM903" s="55">
        <f>ROUNDUP(MAX(I903/IF(BS903&gt;0,BS903,MAX(0.1,N(Cockpit!$I$6))),BV903)/BN903,0)*BN903</f>
        <v/>
      </c>
      <c r="AN903" s="56">
        <f>IF(AK903&gt;0,I903/AK903,-1)</f>
        <v/>
      </c>
      <c r="AO903" s="56">
        <f>IF(AND(OR(BR903="L1",BR903="L23"),AK903&gt;0),SUMIFS($AK$7:$AK$1570,$BR$7:$BR$1570,BR903,$AN$7:$AN$1570,"&gt;"&amp;AN903)+SUMIFS($AK$7:$AK$1570,$BR$7:$BR$1570,BR903,$AN$7:$AN$1570,AN903,$BL$7:$BL$1570,"&lt;="&amp;BL903),"")</f>
        <v/>
      </c>
      <c r="AP903" s="65">
        <f>IF(AO903="",0,MAX(0,MIN(1,(IF(BR903="L1",Parameter!$K$5,Parameter!$K$6+Parameter!$K$7)-(AO903-AK903))/AK903)))</f>
        <v/>
      </c>
      <c r="AQ903" s="55">
        <f>IF(LEFT(Cockpit!$O$5,1)="A",G903,IF(BT903=1,BU903,IF(LEFT(Cockpit!$O$5,1)="B",AU903,MAX(AU903,G903))))</f>
        <v/>
      </c>
      <c r="AR903" s="55">
        <f>IF(BO903=1,0,ROUNDUP(AQ903/BN903,0))</f>
        <v/>
      </c>
      <c r="AS903" s="64">
        <f>IF(BO903=1,IF(AQ903&lt;=0,0,BP903*MAX(1,IF(G903&gt;0,AQ903/G903,1))),AR903*Q903)</f>
        <v/>
      </c>
      <c r="AT903" s="55">
        <f>AQ903*F903</f>
        <v/>
      </c>
      <c r="AU903" s="55">
        <f>ROUNDUP(MAX(I903/IF(BS903&gt;0,BS903,MAX(0.1,N(Cockpit!$O$6))),BV903)/BN903,0)*BN903</f>
        <v/>
      </c>
      <c r="AV903" s="56">
        <f>IF(AS903&gt;0,I903/AS903,-1)</f>
        <v/>
      </c>
      <c r="AW903" s="56">
        <f>IF(AND(OR(BR903="L1",BR903="L23"),AS903&gt;0),SUMIFS($AS$7:$AS$1570,$BR$7:$BR$1570,BR903,$AV$7:$AV$1570,"&gt;"&amp;AV903)+SUMIFS($AS$7:$AS$1570,$BR$7:$BR$1570,BR903,$AV$7:$AV$1570,AV903,$BL$7:$BL$1570,"&lt;="&amp;BL903),"")</f>
        <v/>
      </c>
      <c r="AX903" s="65">
        <f>IF(AW903="",0,MAX(0,MIN(1,(IF(BR903="L1",Parameter!$K$5,Parameter!$K$6+Parameter!$K$7)-(AW903-AS903))/AS903)))</f>
        <v/>
      </c>
      <c r="AY903" s="53">
        <f>IF(AC903&lt;=0,"",IF(BR903="Aussen","Aussenlager",IF(BR903="-","Nicht im Lift",IF(AH903&gt;=1,"Lift",IF(AH903&lt;=0,"Aussenlager","teilweise")))))</f>
        <v/>
      </c>
      <c r="AZ903" s="53">
        <f>IF(AK903&lt;=0,"",IF(BR903="Aussen","Aussenlager",IF(BR903="-","Nicht im Lift",IF(AP903&gt;=1,"Lift",IF(AP903&lt;=0,"Aussenlager","teilweise")))))</f>
        <v/>
      </c>
      <c r="BA903" s="53">
        <f>IF(AS903&lt;=0,"",IF(BR903="Aussen","Aussenlager",IF(BR903="-","Nicht im Lift",IF(AX903&gt;=1,"Lift",IF(AX903&lt;=0,"Aussenlager","teilweise")))))</f>
        <v/>
      </c>
      <c r="BB903" s="53">
        <f>IF(A903="","",IF(BK903=1,"Neu; ","")&amp;IF(AND(BK903=0,BF903&lt;0),"negativer Bestand (Export "&amp;BF903&amp;"); ","")&amp;IF(I903&lt;=0,"Kein Verbrauch; ","")&amp;IF(BO903=1,"Lose – Fläche geschätzt; ","")&amp;IF(G903&gt;AM903,"Überbestand "&amp;ROUND(G903-AM903,0)&amp;" Stk / CHF "&amp;ROUND((G903-AM903)*F903,0)&amp;"; ","")&amp;IF(AND(BT903=1,BU903&lt;BV903),"MAX &lt; MB+LG; ","")&amp;IF(AND(BZ903&gt;0,BY903*10&gt;BZ903),"zu hoch für Tablar; ","")&amp;IF(AND(BK903=0,OR(BT903=1,V903&lt;&gt;"",S903&lt;&gt;"",T903&lt;&gt;"",W903&lt;&gt;"")),"manuell übersteuert; ","")&amp;IF(AND(BO903=0,Q903=0),"Gebinde unbekannt; ","")&amp;IF(AND(BO903=0,N(T903)&lt;=0,N(P903)&lt;=0),"Menge pro Gebinde fehlt (Ist = 1 Gebinde); ","")&amp;BJ903)</f>
        <v/>
      </c>
      <c r="BC903" s="53" t="n"/>
      <c r="BD903" s="53" t="n"/>
      <c r="BE903" s="61" t="n"/>
      <c r="BF903" s="55" t="n">
        <v>-2</v>
      </c>
      <c r="BG903" s="55" t="n">
        <v>8</v>
      </c>
      <c r="BH903" s="54" t="n">
        <v>-35.50000000000003</v>
      </c>
      <c r="BI903" s="55" t="n">
        <v>8</v>
      </c>
      <c r="BJ903" s="53" t="inlineStr"/>
      <c r="BK903" s="58" t="n">
        <v>0</v>
      </c>
      <c r="BL903" s="58" t="n">
        <v>903</v>
      </c>
      <c r="BM903" s="53">
        <f>IF(S903&lt;&gt;"",UPPER(TRIM(S903)),IF(O903="","LOSE",O903))</f>
        <v/>
      </c>
      <c r="BN903" s="55">
        <f>IF(BM903="LOSE",1,IF(N(T903)&gt;0,T903,IF(N(P903)&gt;0,P903,MAX(1,G903))))</f>
        <v/>
      </c>
      <c r="BO903" s="58">
        <f>IF(BM903="LOSE",1,0)</f>
        <v/>
      </c>
      <c r="BP903" s="64">
        <f>IF(BO903=0,0,IF(N(R903)&gt;0,R903,IFERROR(VLOOKUP(D903,Parameter!$A$35:$C$64,3,0)+0,0)))</f>
        <v/>
      </c>
      <c r="BQ903" s="53">
        <f>IF(V903&lt;&gt;"",V903,U903)</f>
        <v/>
      </c>
      <c r="BR903" s="53">
        <f>IF(BQ903=1,"L1",IF(OR(BQ903=2,BQ903=3),"L23",IF(BQ903="Aussen","Aussen","-")))</f>
        <v/>
      </c>
      <c r="BS903" s="66">
        <f>IF(N(W903)&gt;0,W903,0)</f>
        <v/>
      </c>
      <c r="BT903" s="58">
        <f>IF(ISNUMBER(Z903),1,0)</f>
        <v/>
      </c>
      <c r="BU903" s="55">
        <f>N(Z903)</f>
        <v/>
      </c>
      <c r="BV903" s="55">
        <f>N(L903)+N(M903)</f>
        <v/>
      </c>
      <c r="BW903" s="55">
        <f>ROUNDUP(G903/BN903,0)</f>
        <v/>
      </c>
      <c r="BX903" s="55">
        <f>ROUNDUP(BU903/BN903,0)</f>
        <v/>
      </c>
      <c r="BY903" s="58">
        <f>IF(BO903=1,0,IFERROR(VLOOKUP(BM903,'Gebinde-Kategorie'!$A$5:$G$45,5,0)+0,0))</f>
        <v/>
      </c>
      <c r="BZ903" s="58">
        <f>IFERROR(IF(OR(BQ903=1,BQ903=2,BQ903=3),N(INDEX(Parameter!$I$5:$I$7,BQ903)),0),0)</f>
        <v/>
      </c>
    </row>
    <row r="904">
      <c r="A904" s="53" t="inlineStr">
        <is>
          <t>100287</t>
        </is>
      </c>
      <c r="B904" s="53" t="inlineStr">
        <is>
          <t>Sechskantmutter</t>
        </is>
      </c>
      <c r="C904" s="53" t="inlineStr">
        <is>
          <t>F</t>
        </is>
      </c>
      <c r="D904" s="53" t="inlineStr">
        <is>
          <t>KTL</t>
        </is>
      </c>
      <c r="E904" s="53" t="inlineStr">
        <is>
          <t>C</t>
        </is>
      </c>
      <c r="F904" s="54" t="n">
        <v>0.06</v>
      </c>
      <c r="G904" s="55">
        <f>MAX(0,IF(Parameter!$B$20="Jahresanfang 2025 + Export",BG904+BF904,BF904))</f>
        <v/>
      </c>
      <c r="H904" s="55">
        <f>G904*F904</f>
        <v/>
      </c>
      <c r="I904" s="55">
        <f>BI904*Parameter!$B$18</f>
        <v/>
      </c>
      <c r="J904" s="56" t="n">
        <v>993</v>
      </c>
      <c r="K904" s="57" t="n">
        <v>0.3947633434038268</v>
      </c>
      <c r="L904" s="55" t="n">
        <v>22</v>
      </c>
      <c r="M904" s="55" t="n">
        <v>400</v>
      </c>
      <c r="N904" s="58" t="n">
        <v>21</v>
      </c>
      <c r="O904" s="53" t="inlineStr">
        <is>
          <t>S51</t>
        </is>
      </c>
      <c r="P904" s="55" t="n">
        <v>756</v>
      </c>
      <c r="Q904" s="59">
        <f>IF(BO904=1,0,IFERROR(VLOOKUP(BM904,'Gebinde-Kategorie'!$A$5:$G$45,6,0)+0,0))</f>
        <v/>
      </c>
      <c r="R904" s="60" t="n"/>
      <c r="S904" s="61" t="n"/>
      <c r="T904" s="61" t="n"/>
      <c r="U904" s="53">
        <f>IF(A904="","",IF(IFERROR(VLOOKUP(D904,Parameter!$A$35:$C$64,2,0),"Nein")="2+3",IF(ISNUMBER(SEARCH("grosser Artikel",BJ904)),2,IFERROR(VLOOKUP(BM904,Parameter!$F$35:$G$64,2,0),2)),IF(OR(IFERROR(VLOOKUP(D904,Parameter!$A$35:$C$64,2,0),"Nein")="Nein",IFERROR(VLOOKUP(D904,Parameter!$A$35:$C$64,2,0),"Nein")=""),"-",VLOOKUP(D904,Parameter!$A$35:$C$64,2,0))))</f>
        <v/>
      </c>
      <c r="V904" s="61" t="n"/>
      <c r="W904" s="62" t="n"/>
      <c r="X904" s="55">
        <f>AM904</f>
        <v/>
      </c>
      <c r="Y904" s="55">
        <f>MAX(AM904,G904)</f>
        <v/>
      </c>
      <c r="Z904" s="63" t="n"/>
      <c r="AA904" s="55">
        <f>IF(LEFT(Cockpit!$C$5,1)="A",G904,IF(BT904=1,BU904,IF(LEFT(Cockpit!$C$5,1)="B",AE904,MAX(AE904,G904))))</f>
        <v/>
      </c>
      <c r="AB904" s="55">
        <f>IF(BO904=1,0,ROUNDUP(AA904/BN904,0))</f>
        <v/>
      </c>
      <c r="AC904" s="64">
        <f>IF(BO904=1,IF(AA904&lt;=0,0,BP904*MAX(1,IF(G904&gt;0,AA904/G904,1))),AB904*Q904)</f>
        <v/>
      </c>
      <c r="AD904" s="55">
        <f>AA904*F904</f>
        <v/>
      </c>
      <c r="AE904" s="55">
        <f>ROUNDUP(MAX(I904/IF(BS904&gt;0,BS904,MAX(0.1,N(Cockpit!$C$6))),BV904)/BN904,0)*BN904</f>
        <v/>
      </c>
      <c r="AF904" s="56">
        <f>IF(AC904&gt;0,I904/AC904,-1)</f>
        <v/>
      </c>
      <c r="AG904" s="56">
        <f>IF(AND(OR(BR904="L1",BR904="L23"),AC904&gt;0),SUMIFS($AC$7:$AC$1570,$BR$7:$BR$1570,BR904,$AF$7:$AF$1570,"&gt;"&amp;AF904)+SUMIFS($AC$7:$AC$1570,$BR$7:$BR$1570,BR904,$AF$7:$AF$1570,AF904,$BL$7:$BL$1570,"&lt;="&amp;BL904),"")</f>
        <v/>
      </c>
      <c r="AH904" s="65">
        <f>IF(AG904="",0,MAX(0,MIN(1,(IF(BR904="L1",Parameter!$K$5,Parameter!$K$6+Parameter!$K$7)-(AG904-AC904))/AC904)))</f>
        <v/>
      </c>
      <c r="AI904" s="55">
        <f>IF(LEFT(Cockpit!$I$5,1)="A",G904,IF(BT904=1,BU904,IF(LEFT(Cockpit!$I$5,1)="B",AM904,MAX(AM904,G904))))</f>
        <v/>
      </c>
      <c r="AJ904" s="55">
        <f>IF(BO904=1,0,ROUNDUP(AI904/BN904,0))</f>
        <v/>
      </c>
      <c r="AK904" s="64">
        <f>IF(BO904=1,IF(AI904&lt;=0,0,BP904*MAX(1,IF(G904&gt;0,AI904/G904,1))),AJ904*Q904)</f>
        <v/>
      </c>
      <c r="AL904" s="55">
        <f>AI904*F904</f>
        <v/>
      </c>
      <c r="AM904" s="55">
        <f>ROUNDUP(MAX(I904/IF(BS904&gt;0,BS904,MAX(0.1,N(Cockpit!$I$6))),BV904)/BN904,0)*BN904</f>
        <v/>
      </c>
      <c r="AN904" s="56">
        <f>IF(AK904&gt;0,I904/AK904,-1)</f>
        <v/>
      </c>
      <c r="AO904" s="56">
        <f>IF(AND(OR(BR904="L1",BR904="L23"),AK904&gt;0),SUMIFS($AK$7:$AK$1570,$BR$7:$BR$1570,BR904,$AN$7:$AN$1570,"&gt;"&amp;AN904)+SUMIFS($AK$7:$AK$1570,$BR$7:$BR$1570,BR904,$AN$7:$AN$1570,AN904,$BL$7:$BL$1570,"&lt;="&amp;BL904),"")</f>
        <v/>
      </c>
      <c r="AP904" s="65">
        <f>IF(AO904="",0,MAX(0,MIN(1,(IF(BR904="L1",Parameter!$K$5,Parameter!$K$6+Parameter!$K$7)-(AO904-AK904))/AK904)))</f>
        <v/>
      </c>
      <c r="AQ904" s="55">
        <f>IF(LEFT(Cockpit!$O$5,1)="A",G904,IF(BT904=1,BU904,IF(LEFT(Cockpit!$O$5,1)="B",AU904,MAX(AU904,G904))))</f>
        <v/>
      </c>
      <c r="AR904" s="55">
        <f>IF(BO904=1,0,ROUNDUP(AQ904/BN904,0))</f>
        <v/>
      </c>
      <c r="AS904" s="64">
        <f>IF(BO904=1,IF(AQ904&lt;=0,0,BP904*MAX(1,IF(G904&gt;0,AQ904/G904,1))),AR904*Q904)</f>
        <v/>
      </c>
      <c r="AT904" s="55">
        <f>AQ904*F904</f>
        <v/>
      </c>
      <c r="AU904" s="55">
        <f>ROUNDUP(MAX(I904/IF(BS904&gt;0,BS904,MAX(0.1,N(Cockpit!$O$6))),BV904)/BN904,0)*BN904</f>
        <v/>
      </c>
      <c r="AV904" s="56">
        <f>IF(AS904&gt;0,I904/AS904,-1)</f>
        <v/>
      </c>
      <c r="AW904" s="56">
        <f>IF(AND(OR(BR904="L1",BR904="L23"),AS904&gt;0),SUMIFS($AS$7:$AS$1570,$BR$7:$BR$1570,BR904,$AV$7:$AV$1570,"&gt;"&amp;AV904)+SUMIFS($AS$7:$AS$1570,$BR$7:$BR$1570,BR904,$AV$7:$AV$1570,AV904,$BL$7:$BL$1570,"&lt;="&amp;BL904),"")</f>
        <v/>
      </c>
      <c r="AX904" s="65">
        <f>IF(AW904="",0,MAX(0,MIN(1,(IF(BR904="L1",Parameter!$K$5,Parameter!$K$6+Parameter!$K$7)-(AW904-AS904))/AS904)))</f>
        <v/>
      </c>
      <c r="AY904" s="53">
        <f>IF(AC904&lt;=0,"",IF(BR904="Aussen","Aussenlager",IF(BR904="-","Nicht im Lift",IF(AH904&gt;=1,"Lift",IF(AH904&lt;=0,"Aussenlager","teilweise")))))</f>
        <v/>
      </c>
      <c r="AZ904" s="53">
        <f>IF(AK904&lt;=0,"",IF(BR904="Aussen","Aussenlager",IF(BR904="-","Nicht im Lift",IF(AP904&gt;=1,"Lift",IF(AP904&lt;=0,"Aussenlager","teilweise")))))</f>
        <v/>
      </c>
      <c r="BA904" s="53">
        <f>IF(AS904&lt;=0,"",IF(BR904="Aussen","Aussenlager",IF(BR904="-","Nicht im Lift",IF(AX904&gt;=1,"Lift",IF(AX904&lt;=0,"Aussenlager","teilweise")))))</f>
        <v/>
      </c>
      <c r="BB904" s="53">
        <f>IF(A904="","",IF(BK904=1,"Neu; ","")&amp;IF(AND(BK904=0,BF904&lt;0),"negativer Bestand (Export "&amp;BF904&amp;"); ","")&amp;IF(I904&lt;=0,"Kein Verbrauch; ","")&amp;IF(BO904=1,"Lose – Fläche geschätzt; ","")&amp;IF(G904&gt;AM904,"Überbestand "&amp;ROUND(G904-AM904,0)&amp;" Stk / CHF "&amp;ROUND((G904-AM904)*F904,0)&amp;"; ","")&amp;IF(AND(BT904=1,BU904&lt;BV904),"MAX &lt; MB+LG; ","")&amp;IF(AND(BZ904&gt;0,BY904*10&gt;BZ904),"zu hoch für Tablar; ","")&amp;IF(AND(BK904=0,OR(BT904=1,V904&lt;&gt;"",S904&lt;&gt;"",T904&lt;&gt;"",W904&lt;&gt;"")),"manuell übersteuert; ","")&amp;IF(AND(BO904=0,Q904=0),"Gebinde unbekannt; ","")&amp;IF(AND(BO904=0,N(T904)&lt;=0,N(P904)&lt;=0),"Menge pro Gebinde fehlt (Ist = 1 Gebinde); ","")&amp;BJ904)</f>
        <v/>
      </c>
      <c r="BC904" s="53" t="n"/>
      <c r="BD904" s="53" t="n"/>
      <c r="BE904" s="61" t="n"/>
      <c r="BF904" s="55" t="n">
        <v>-600</v>
      </c>
      <c r="BG904" s="55" t="n">
        <v>1193</v>
      </c>
      <c r="BH904" s="54" t="n">
        <v>-36</v>
      </c>
      <c r="BI904" s="55" t="n">
        <v>392</v>
      </c>
      <c r="BJ904" s="53" t="inlineStr"/>
      <c r="BK904" s="58" t="n">
        <v>0</v>
      </c>
      <c r="BL904" s="58" t="n">
        <v>904</v>
      </c>
      <c r="BM904" s="53">
        <f>IF(S904&lt;&gt;"",UPPER(TRIM(S904)),IF(O904="","LOSE",O904))</f>
        <v/>
      </c>
      <c r="BN904" s="55">
        <f>IF(BM904="LOSE",1,IF(N(T904)&gt;0,T904,IF(N(P904)&gt;0,P904,MAX(1,G904))))</f>
        <v/>
      </c>
      <c r="BO904" s="58">
        <f>IF(BM904="LOSE",1,0)</f>
        <v/>
      </c>
      <c r="BP904" s="64">
        <f>IF(BO904=0,0,IF(N(R904)&gt;0,R904,IFERROR(VLOOKUP(D904,Parameter!$A$35:$C$64,3,0)+0,0)))</f>
        <v/>
      </c>
      <c r="BQ904" s="53">
        <f>IF(V904&lt;&gt;"",V904,U904)</f>
        <v/>
      </c>
      <c r="BR904" s="53">
        <f>IF(BQ904=1,"L1",IF(OR(BQ904=2,BQ904=3),"L23",IF(BQ904="Aussen","Aussen","-")))</f>
        <v/>
      </c>
      <c r="BS904" s="66">
        <f>IF(N(W904)&gt;0,W904,0)</f>
        <v/>
      </c>
      <c r="BT904" s="58">
        <f>IF(ISNUMBER(Z904),1,0)</f>
        <v/>
      </c>
      <c r="BU904" s="55">
        <f>N(Z904)</f>
        <v/>
      </c>
      <c r="BV904" s="55">
        <f>N(L904)+N(M904)</f>
        <v/>
      </c>
      <c r="BW904" s="55">
        <f>ROUNDUP(G904/BN904,0)</f>
        <v/>
      </c>
      <c r="BX904" s="55">
        <f>ROUNDUP(BU904/BN904,0)</f>
        <v/>
      </c>
      <c r="BY904" s="58">
        <f>IF(BO904=1,0,IFERROR(VLOOKUP(BM904,'Gebinde-Kategorie'!$A$5:$G$45,5,0)+0,0))</f>
        <v/>
      </c>
      <c r="BZ904" s="58">
        <f>IFERROR(IF(OR(BQ904=1,BQ904=2,BQ904=3),N(INDEX(Parameter!$I$5:$I$7,BQ904)),0),0)</f>
        <v/>
      </c>
    </row>
    <row r="905">
      <c r="A905" s="53" t="inlineStr">
        <is>
          <t>005455</t>
        </is>
      </c>
      <c r="B905" s="53" t="inlineStr">
        <is>
          <t>Aderendhülse isoliert orange</t>
        </is>
      </c>
      <c r="C905" s="53" t="inlineStr">
        <is>
          <t>F</t>
        </is>
      </c>
      <c r="D905" s="53" t="inlineStr">
        <is>
          <t>KTL</t>
        </is>
      </c>
      <c r="E905" s="53" t="inlineStr">
        <is>
          <t>C</t>
        </is>
      </c>
      <c r="F905" s="54" t="n">
        <v>0.04</v>
      </c>
      <c r="G905" s="55">
        <f>MAX(0,IF(Parameter!$B$20="Jahresanfang 2025 + Export",BG905+BF905,BF905))</f>
        <v/>
      </c>
      <c r="H905" s="55">
        <f>G905*F905</f>
        <v/>
      </c>
      <c r="I905" s="55">
        <f>BI905*Parameter!$B$18</f>
        <v/>
      </c>
      <c r="J905" s="56" t="n">
        <v>1164</v>
      </c>
      <c r="K905" s="57" t="n">
        <v>0.5154639175257731</v>
      </c>
      <c r="L905" s="55" t="n">
        <v>46</v>
      </c>
      <c r="M905" s="55" t="n">
        <v>600</v>
      </c>
      <c r="N905" s="58" t="n">
        <v>28</v>
      </c>
      <c r="O905" s="53" t="inlineStr">
        <is>
          <t>S21</t>
        </is>
      </c>
      <c r="P905" s="55" t="n">
        <v>2242</v>
      </c>
      <c r="Q905" s="59">
        <f>IF(BO905=1,0,IFERROR(VLOOKUP(BM905,'Gebinde-Kategorie'!$A$5:$G$45,6,0)+0,0))</f>
        <v/>
      </c>
      <c r="R905" s="60" t="n"/>
      <c r="S905" s="61" t="n"/>
      <c r="T905" s="61" t="n"/>
      <c r="U905" s="53">
        <f>IF(A905="","",IF(IFERROR(VLOOKUP(D905,Parameter!$A$35:$C$64,2,0),"Nein")="2+3",IF(ISNUMBER(SEARCH("grosser Artikel",BJ905)),2,IFERROR(VLOOKUP(BM905,Parameter!$F$35:$G$64,2,0),2)),IF(OR(IFERROR(VLOOKUP(D905,Parameter!$A$35:$C$64,2,0),"Nein")="Nein",IFERROR(VLOOKUP(D905,Parameter!$A$35:$C$64,2,0),"Nein")=""),"-",VLOOKUP(D905,Parameter!$A$35:$C$64,2,0))))</f>
        <v/>
      </c>
      <c r="V905" s="61" t="n"/>
      <c r="W905" s="62" t="n"/>
      <c r="X905" s="55">
        <f>AM905</f>
        <v/>
      </c>
      <c r="Y905" s="55">
        <f>MAX(AM905,G905)</f>
        <v/>
      </c>
      <c r="Z905" s="63" t="n"/>
      <c r="AA905" s="55">
        <f>IF(LEFT(Cockpit!$C$5,1)="A",G905,IF(BT905=1,BU905,IF(LEFT(Cockpit!$C$5,1)="B",AE905,MAX(AE905,G905))))</f>
        <v/>
      </c>
      <c r="AB905" s="55">
        <f>IF(BO905=1,0,ROUNDUP(AA905/BN905,0))</f>
        <v/>
      </c>
      <c r="AC905" s="64">
        <f>IF(BO905=1,IF(AA905&lt;=0,0,BP905*MAX(1,IF(G905&gt;0,AA905/G905,1))),AB905*Q905)</f>
        <v/>
      </c>
      <c r="AD905" s="55">
        <f>AA905*F905</f>
        <v/>
      </c>
      <c r="AE905" s="55">
        <f>ROUNDUP(MAX(I905/IF(BS905&gt;0,BS905,MAX(0.1,N(Cockpit!$C$6))),BV905)/BN905,0)*BN905</f>
        <v/>
      </c>
      <c r="AF905" s="56">
        <f>IF(AC905&gt;0,I905/AC905,-1)</f>
        <v/>
      </c>
      <c r="AG905" s="56">
        <f>IF(AND(OR(BR905="L1",BR905="L23"),AC905&gt;0),SUMIFS($AC$7:$AC$1570,$BR$7:$BR$1570,BR905,$AF$7:$AF$1570,"&gt;"&amp;AF905)+SUMIFS($AC$7:$AC$1570,$BR$7:$BR$1570,BR905,$AF$7:$AF$1570,AF905,$BL$7:$BL$1570,"&lt;="&amp;BL905),"")</f>
        <v/>
      </c>
      <c r="AH905" s="65">
        <f>IF(AG905="",0,MAX(0,MIN(1,(IF(BR905="L1",Parameter!$K$5,Parameter!$K$6+Parameter!$K$7)-(AG905-AC905))/AC905)))</f>
        <v/>
      </c>
      <c r="AI905" s="55">
        <f>IF(LEFT(Cockpit!$I$5,1)="A",G905,IF(BT905=1,BU905,IF(LEFT(Cockpit!$I$5,1)="B",AM905,MAX(AM905,G905))))</f>
        <v/>
      </c>
      <c r="AJ905" s="55">
        <f>IF(BO905=1,0,ROUNDUP(AI905/BN905,0))</f>
        <v/>
      </c>
      <c r="AK905" s="64">
        <f>IF(BO905=1,IF(AI905&lt;=0,0,BP905*MAX(1,IF(G905&gt;0,AI905/G905,1))),AJ905*Q905)</f>
        <v/>
      </c>
      <c r="AL905" s="55">
        <f>AI905*F905</f>
        <v/>
      </c>
      <c r="AM905" s="55">
        <f>ROUNDUP(MAX(I905/IF(BS905&gt;0,BS905,MAX(0.1,N(Cockpit!$I$6))),BV905)/BN905,0)*BN905</f>
        <v/>
      </c>
      <c r="AN905" s="56">
        <f>IF(AK905&gt;0,I905/AK905,-1)</f>
        <v/>
      </c>
      <c r="AO905" s="56">
        <f>IF(AND(OR(BR905="L1",BR905="L23"),AK905&gt;0),SUMIFS($AK$7:$AK$1570,$BR$7:$BR$1570,BR905,$AN$7:$AN$1570,"&gt;"&amp;AN905)+SUMIFS($AK$7:$AK$1570,$BR$7:$BR$1570,BR905,$AN$7:$AN$1570,AN905,$BL$7:$BL$1570,"&lt;="&amp;BL905),"")</f>
        <v/>
      </c>
      <c r="AP905" s="65">
        <f>IF(AO905="",0,MAX(0,MIN(1,(IF(BR905="L1",Parameter!$K$5,Parameter!$K$6+Parameter!$K$7)-(AO905-AK905))/AK905)))</f>
        <v/>
      </c>
      <c r="AQ905" s="55">
        <f>IF(LEFT(Cockpit!$O$5,1)="A",G905,IF(BT905=1,BU905,IF(LEFT(Cockpit!$O$5,1)="B",AU905,MAX(AU905,G905))))</f>
        <v/>
      </c>
      <c r="AR905" s="55">
        <f>IF(BO905=1,0,ROUNDUP(AQ905/BN905,0))</f>
        <v/>
      </c>
      <c r="AS905" s="64">
        <f>IF(BO905=1,IF(AQ905&lt;=0,0,BP905*MAX(1,IF(G905&gt;0,AQ905/G905,1))),AR905*Q905)</f>
        <v/>
      </c>
      <c r="AT905" s="55">
        <f>AQ905*F905</f>
        <v/>
      </c>
      <c r="AU905" s="55">
        <f>ROUNDUP(MAX(I905/IF(BS905&gt;0,BS905,MAX(0.1,N(Cockpit!$O$6))),BV905)/BN905,0)*BN905</f>
        <v/>
      </c>
      <c r="AV905" s="56">
        <f>IF(AS905&gt;0,I905/AS905,-1)</f>
        <v/>
      </c>
      <c r="AW905" s="56">
        <f>IF(AND(OR(BR905="L1",BR905="L23"),AS905&gt;0),SUMIFS($AS$7:$AS$1570,$BR$7:$BR$1570,BR905,$AV$7:$AV$1570,"&gt;"&amp;AV905)+SUMIFS($AS$7:$AS$1570,$BR$7:$BR$1570,BR905,$AV$7:$AV$1570,AV905,$BL$7:$BL$1570,"&lt;="&amp;BL905),"")</f>
        <v/>
      </c>
      <c r="AX905" s="65">
        <f>IF(AW905="",0,MAX(0,MIN(1,(IF(BR905="L1",Parameter!$K$5,Parameter!$K$6+Parameter!$K$7)-(AW905-AS905))/AS905)))</f>
        <v/>
      </c>
      <c r="AY905" s="53">
        <f>IF(AC905&lt;=0,"",IF(BR905="Aussen","Aussenlager",IF(BR905="-","Nicht im Lift",IF(AH905&gt;=1,"Lift",IF(AH905&lt;=0,"Aussenlager","teilweise")))))</f>
        <v/>
      </c>
      <c r="AZ905" s="53">
        <f>IF(AK905&lt;=0,"",IF(BR905="Aussen","Aussenlager",IF(BR905="-","Nicht im Lift",IF(AP905&gt;=1,"Lift",IF(AP905&lt;=0,"Aussenlager","teilweise")))))</f>
        <v/>
      </c>
      <c r="BA905" s="53">
        <f>IF(AS905&lt;=0,"",IF(BR905="Aussen","Aussenlager",IF(BR905="-","Nicht im Lift",IF(AX905&gt;=1,"Lift",IF(AX905&lt;=0,"Aussenlager","teilweise")))))</f>
        <v/>
      </c>
      <c r="BB905" s="53">
        <f>IF(A905="","",IF(BK905=1,"Neu; ","")&amp;IF(AND(BK905=0,BF905&lt;0),"negativer Bestand (Export "&amp;BF905&amp;"); ","")&amp;IF(I905&lt;=0,"Kein Verbrauch; ","")&amp;IF(BO905=1,"Lose – Fläche geschätzt; ","")&amp;IF(G905&gt;AM905,"Überbestand "&amp;ROUND(G905-AM905,0)&amp;" Stk / CHF "&amp;ROUND((G905-AM905)*F905,0)&amp;"; ","")&amp;IF(AND(BT905=1,BU905&lt;BV905),"MAX &lt; MB+LG; ","")&amp;IF(AND(BZ905&gt;0,BY905*10&gt;BZ905),"zu hoch für Tablar; ","")&amp;IF(AND(BK905=0,OR(BT905=1,V905&lt;&gt;"",S905&lt;&gt;"",T905&lt;&gt;"",W905&lt;&gt;"")),"manuell übersteuert; ","")&amp;IF(AND(BO905=0,Q905=0),"Gebinde unbekannt; ","")&amp;IF(AND(BO905=0,N(T905)&lt;=0,N(P905)&lt;=0),"Menge pro Gebinde fehlt (Ist = 1 Gebinde); ","")&amp;BJ905)</f>
        <v/>
      </c>
      <c r="BC905" s="53" t="n"/>
      <c r="BD905" s="53" t="n"/>
      <c r="BE905" s="61" t="n"/>
      <c r="BF905" s="55" t="n">
        <v>-1257</v>
      </c>
      <c r="BG905" s="55" t="n">
        <v>1520</v>
      </c>
      <c r="BH905" s="54" t="n">
        <v>-36.28</v>
      </c>
      <c r="BI905" s="55" t="n">
        <v>600</v>
      </c>
      <c r="BJ905" s="53" t="inlineStr">
        <is>
          <t>Handlager</t>
        </is>
      </c>
      <c r="BK905" s="58" t="n">
        <v>0</v>
      </c>
      <c r="BL905" s="58" t="n">
        <v>905</v>
      </c>
      <c r="BM905" s="53">
        <f>IF(S905&lt;&gt;"",UPPER(TRIM(S905)),IF(O905="","LOSE",O905))</f>
        <v/>
      </c>
      <c r="BN905" s="55">
        <f>IF(BM905="LOSE",1,IF(N(T905)&gt;0,T905,IF(N(P905)&gt;0,P905,MAX(1,G905))))</f>
        <v/>
      </c>
      <c r="BO905" s="58">
        <f>IF(BM905="LOSE",1,0)</f>
        <v/>
      </c>
      <c r="BP905" s="64">
        <f>IF(BO905=0,0,IF(N(R905)&gt;0,R905,IFERROR(VLOOKUP(D905,Parameter!$A$35:$C$64,3,0)+0,0)))</f>
        <v/>
      </c>
      <c r="BQ905" s="53">
        <f>IF(V905&lt;&gt;"",V905,U905)</f>
        <v/>
      </c>
      <c r="BR905" s="53">
        <f>IF(BQ905=1,"L1",IF(OR(BQ905=2,BQ905=3),"L23",IF(BQ905="Aussen","Aussen","-")))</f>
        <v/>
      </c>
      <c r="BS905" s="66">
        <f>IF(N(W905)&gt;0,W905,0)</f>
        <v/>
      </c>
      <c r="BT905" s="58">
        <f>IF(ISNUMBER(Z905),1,0)</f>
        <v/>
      </c>
      <c r="BU905" s="55">
        <f>N(Z905)</f>
        <v/>
      </c>
      <c r="BV905" s="55">
        <f>N(L905)+N(M905)</f>
        <v/>
      </c>
      <c r="BW905" s="55">
        <f>ROUNDUP(G905/BN905,0)</f>
        <v/>
      </c>
      <c r="BX905" s="55">
        <f>ROUNDUP(BU905/BN905,0)</f>
        <v/>
      </c>
      <c r="BY905" s="58">
        <f>IF(BO905=1,0,IFERROR(VLOOKUP(BM905,'Gebinde-Kategorie'!$A$5:$G$45,5,0)+0,0))</f>
        <v/>
      </c>
      <c r="BZ905" s="58">
        <f>IFERROR(IF(OR(BQ905=1,BQ905=2,BQ905=3),N(INDEX(Parameter!$I$5:$I$7,BQ905)),0),0)</f>
        <v/>
      </c>
    </row>
    <row r="906">
      <c r="A906" s="53" t="inlineStr">
        <is>
          <t>103094</t>
        </is>
      </c>
      <c r="B906" s="53" t="inlineStr">
        <is>
          <t>Zylinderschraube mit Innensechskant</t>
        </is>
      </c>
      <c r="C906" s="53" t="inlineStr">
        <is>
          <t>F</t>
        </is>
      </c>
      <c r="D906" s="53" t="inlineStr">
        <is>
          <t>KTL</t>
        </is>
      </c>
      <c r="E906" s="53" t="inlineStr">
        <is>
          <t>C</t>
        </is>
      </c>
      <c r="F906" s="54" t="n">
        <v>0.16</v>
      </c>
      <c r="G906" s="55">
        <f>MAX(0,IF(Parameter!$B$20="Jahresanfang 2025 + Export",BG906+BF906,BF906))</f>
        <v/>
      </c>
      <c r="H906" s="55">
        <f>G906*F906</f>
        <v/>
      </c>
      <c r="I906" s="55">
        <f>BI906*Parameter!$B$18</f>
        <v/>
      </c>
      <c r="J906" s="56" t="n">
        <v>298</v>
      </c>
      <c r="K906" s="57" t="n">
        <v>0.9664429530201343</v>
      </c>
      <c r="L906" s="55" t="n">
        <v>22</v>
      </c>
      <c r="M906" s="55" t="n">
        <v>300</v>
      </c>
      <c r="N906" s="58" t="n">
        <v>28</v>
      </c>
      <c r="O906" s="53" t="inlineStr">
        <is>
          <t>S52</t>
        </is>
      </c>
      <c r="P906" s="55" t="n">
        <v>224</v>
      </c>
      <c r="Q906" s="59">
        <f>IF(BO906=1,0,IFERROR(VLOOKUP(BM906,'Gebinde-Kategorie'!$A$5:$G$45,6,0)+0,0))</f>
        <v/>
      </c>
      <c r="R906" s="60" t="n"/>
      <c r="S906" s="61" t="n"/>
      <c r="T906" s="61" t="n"/>
      <c r="U906" s="53">
        <f>IF(A906="","",IF(IFERROR(VLOOKUP(D906,Parameter!$A$35:$C$64,2,0),"Nein")="2+3",IF(ISNUMBER(SEARCH("grosser Artikel",BJ906)),2,IFERROR(VLOOKUP(BM906,Parameter!$F$35:$G$64,2,0),2)),IF(OR(IFERROR(VLOOKUP(D906,Parameter!$A$35:$C$64,2,0),"Nein")="Nein",IFERROR(VLOOKUP(D906,Parameter!$A$35:$C$64,2,0),"Nein")=""),"-",VLOOKUP(D906,Parameter!$A$35:$C$64,2,0))))</f>
        <v/>
      </c>
      <c r="V906" s="61" t="n"/>
      <c r="W906" s="62" t="n"/>
      <c r="X906" s="55">
        <f>AM906</f>
        <v/>
      </c>
      <c r="Y906" s="55">
        <f>MAX(AM906,G906)</f>
        <v/>
      </c>
      <c r="Z906" s="63" t="n"/>
      <c r="AA906" s="55">
        <f>IF(LEFT(Cockpit!$C$5,1)="A",G906,IF(BT906=1,BU906,IF(LEFT(Cockpit!$C$5,1)="B",AE906,MAX(AE906,G906))))</f>
        <v/>
      </c>
      <c r="AB906" s="55">
        <f>IF(BO906=1,0,ROUNDUP(AA906/BN906,0))</f>
        <v/>
      </c>
      <c r="AC906" s="64">
        <f>IF(BO906=1,IF(AA906&lt;=0,0,BP906*MAX(1,IF(G906&gt;0,AA906/G906,1))),AB906*Q906)</f>
        <v/>
      </c>
      <c r="AD906" s="55">
        <f>AA906*F906</f>
        <v/>
      </c>
      <c r="AE906" s="55">
        <f>ROUNDUP(MAX(I906/IF(BS906&gt;0,BS906,MAX(0.1,N(Cockpit!$C$6))),BV906)/BN906,0)*BN906</f>
        <v/>
      </c>
      <c r="AF906" s="56">
        <f>IF(AC906&gt;0,I906/AC906,-1)</f>
        <v/>
      </c>
      <c r="AG906" s="56">
        <f>IF(AND(OR(BR906="L1",BR906="L23"),AC906&gt;0),SUMIFS($AC$7:$AC$1570,$BR$7:$BR$1570,BR906,$AF$7:$AF$1570,"&gt;"&amp;AF906)+SUMIFS($AC$7:$AC$1570,$BR$7:$BR$1570,BR906,$AF$7:$AF$1570,AF906,$BL$7:$BL$1570,"&lt;="&amp;BL906),"")</f>
        <v/>
      </c>
      <c r="AH906" s="65">
        <f>IF(AG906="",0,MAX(0,MIN(1,(IF(BR906="L1",Parameter!$K$5,Parameter!$K$6+Parameter!$K$7)-(AG906-AC906))/AC906)))</f>
        <v/>
      </c>
      <c r="AI906" s="55">
        <f>IF(LEFT(Cockpit!$I$5,1)="A",G906,IF(BT906=1,BU906,IF(LEFT(Cockpit!$I$5,1)="B",AM906,MAX(AM906,G906))))</f>
        <v/>
      </c>
      <c r="AJ906" s="55">
        <f>IF(BO906=1,0,ROUNDUP(AI906/BN906,0))</f>
        <v/>
      </c>
      <c r="AK906" s="64">
        <f>IF(BO906=1,IF(AI906&lt;=0,0,BP906*MAX(1,IF(G906&gt;0,AI906/G906,1))),AJ906*Q906)</f>
        <v/>
      </c>
      <c r="AL906" s="55">
        <f>AI906*F906</f>
        <v/>
      </c>
      <c r="AM906" s="55">
        <f>ROUNDUP(MAX(I906/IF(BS906&gt;0,BS906,MAX(0.1,N(Cockpit!$I$6))),BV906)/BN906,0)*BN906</f>
        <v/>
      </c>
      <c r="AN906" s="56">
        <f>IF(AK906&gt;0,I906/AK906,-1)</f>
        <v/>
      </c>
      <c r="AO906" s="56">
        <f>IF(AND(OR(BR906="L1",BR906="L23"),AK906&gt;0),SUMIFS($AK$7:$AK$1570,$BR$7:$BR$1570,BR906,$AN$7:$AN$1570,"&gt;"&amp;AN906)+SUMIFS($AK$7:$AK$1570,$BR$7:$BR$1570,BR906,$AN$7:$AN$1570,AN906,$BL$7:$BL$1570,"&lt;="&amp;BL906),"")</f>
        <v/>
      </c>
      <c r="AP906" s="65">
        <f>IF(AO906="",0,MAX(0,MIN(1,(IF(BR906="L1",Parameter!$K$5,Parameter!$K$6+Parameter!$K$7)-(AO906-AK906))/AK906)))</f>
        <v/>
      </c>
      <c r="AQ906" s="55">
        <f>IF(LEFT(Cockpit!$O$5,1)="A",G906,IF(BT906=1,BU906,IF(LEFT(Cockpit!$O$5,1)="B",AU906,MAX(AU906,G906))))</f>
        <v/>
      </c>
      <c r="AR906" s="55">
        <f>IF(BO906=1,0,ROUNDUP(AQ906/BN906,0))</f>
        <v/>
      </c>
      <c r="AS906" s="64">
        <f>IF(BO906=1,IF(AQ906&lt;=0,0,BP906*MAX(1,IF(G906&gt;0,AQ906/G906,1))),AR906*Q906)</f>
        <v/>
      </c>
      <c r="AT906" s="55">
        <f>AQ906*F906</f>
        <v/>
      </c>
      <c r="AU906" s="55">
        <f>ROUNDUP(MAX(I906/IF(BS906&gt;0,BS906,MAX(0.1,N(Cockpit!$O$6))),BV906)/BN906,0)*BN906</f>
        <v/>
      </c>
      <c r="AV906" s="56">
        <f>IF(AS906&gt;0,I906/AS906,-1)</f>
        <v/>
      </c>
      <c r="AW906" s="56">
        <f>IF(AND(OR(BR906="L1",BR906="L23"),AS906&gt;0),SUMIFS($AS$7:$AS$1570,$BR$7:$BR$1570,BR906,$AV$7:$AV$1570,"&gt;"&amp;AV906)+SUMIFS($AS$7:$AS$1570,$BR$7:$BR$1570,BR906,$AV$7:$AV$1570,AV906,$BL$7:$BL$1570,"&lt;="&amp;BL906),"")</f>
        <v/>
      </c>
      <c r="AX906" s="65">
        <f>IF(AW906="",0,MAX(0,MIN(1,(IF(BR906="L1",Parameter!$K$5,Parameter!$K$6+Parameter!$K$7)-(AW906-AS906))/AS906)))</f>
        <v/>
      </c>
      <c r="AY906" s="53">
        <f>IF(AC906&lt;=0,"",IF(BR906="Aussen","Aussenlager",IF(BR906="-","Nicht im Lift",IF(AH906&gt;=1,"Lift",IF(AH906&lt;=0,"Aussenlager","teilweise")))))</f>
        <v/>
      </c>
      <c r="AZ906" s="53">
        <f>IF(AK906&lt;=0,"",IF(BR906="Aussen","Aussenlager",IF(BR906="-","Nicht im Lift",IF(AP906&gt;=1,"Lift",IF(AP906&lt;=0,"Aussenlager","teilweise")))))</f>
        <v/>
      </c>
      <c r="BA906" s="53">
        <f>IF(AS906&lt;=0,"",IF(BR906="Aussen","Aussenlager",IF(BR906="-","Nicht im Lift",IF(AX906&gt;=1,"Lift",IF(AX906&lt;=0,"Aussenlager","teilweise")))))</f>
        <v/>
      </c>
      <c r="BB906" s="53">
        <f>IF(A906="","",IF(BK906=1,"Neu; ","")&amp;IF(AND(BK906=0,BF906&lt;0),"negativer Bestand (Export "&amp;BF906&amp;"); ","")&amp;IF(I906&lt;=0,"Kein Verbrauch; ","")&amp;IF(BO906=1,"Lose – Fläche geschätzt; ","")&amp;IF(G906&gt;AM906,"Überbestand "&amp;ROUND(G906-AM906,0)&amp;" Stk / CHF "&amp;ROUND((G906-AM906)*F906,0)&amp;"; ","")&amp;IF(AND(BT906=1,BU906&lt;BV906),"MAX &lt; MB+LG; ","")&amp;IF(AND(BZ906&gt;0,BY906*10&gt;BZ906),"zu hoch für Tablar; ","")&amp;IF(AND(BK906=0,OR(BT906=1,V906&lt;&gt;"",S906&lt;&gt;"",T906&lt;&gt;"",W906&lt;&gt;"")),"manuell übersteuert; ","")&amp;IF(AND(BO906=0,Q906=0),"Gebinde unbekannt; ","")&amp;IF(AND(BO906=0,N(T906)&lt;=0,N(P906)&lt;=0),"Menge pro Gebinde fehlt (Ist = 1 Gebinde); ","")&amp;BJ906)</f>
        <v/>
      </c>
      <c r="BC906" s="53" t="n"/>
      <c r="BD906" s="53" t="n"/>
      <c r="BE906" s="61" t="n"/>
      <c r="BF906" s="55" t="n">
        <v>-206</v>
      </c>
      <c r="BG906" s="55" t="n">
        <v>341</v>
      </c>
      <c r="BH906" s="54" t="n">
        <v>-36.37</v>
      </c>
      <c r="BI906" s="55" t="n">
        <v>288</v>
      </c>
      <c r="BJ906" s="53" t="inlineStr"/>
      <c r="BK906" s="58" t="n">
        <v>0</v>
      </c>
      <c r="BL906" s="58" t="n">
        <v>906</v>
      </c>
      <c r="BM906" s="53">
        <f>IF(S906&lt;&gt;"",UPPER(TRIM(S906)),IF(O906="","LOSE",O906))</f>
        <v/>
      </c>
      <c r="BN906" s="55">
        <f>IF(BM906="LOSE",1,IF(N(T906)&gt;0,T906,IF(N(P906)&gt;0,P906,MAX(1,G906))))</f>
        <v/>
      </c>
      <c r="BO906" s="58">
        <f>IF(BM906="LOSE",1,0)</f>
        <v/>
      </c>
      <c r="BP906" s="64">
        <f>IF(BO906=0,0,IF(N(R906)&gt;0,R906,IFERROR(VLOOKUP(D906,Parameter!$A$35:$C$64,3,0)+0,0)))</f>
        <v/>
      </c>
      <c r="BQ906" s="53">
        <f>IF(V906&lt;&gt;"",V906,U906)</f>
        <v/>
      </c>
      <c r="BR906" s="53">
        <f>IF(BQ906=1,"L1",IF(OR(BQ906=2,BQ906=3),"L23",IF(BQ906="Aussen","Aussen","-")))</f>
        <v/>
      </c>
      <c r="BS906" s="66">
        <f>IF(N(W906)&gt;0,W906,0)</f>
        <v/>
      </c>
      <c r="BT906" s="58">
        <f>IF(ISNUMBER(Z906),1,0)</f>
        <v/>
      </c>
      <c r="BU906" s="55">
        <f>N(Z906)</f>
        <v/>
      </c>
      <c r="BV906" s="55">
        <f>N(L906)+N(M906)</f>
        <v/>
      </c>
      <c r="BW906" s="55">
        <f>ROUNDUP(G906/BN906,0)</f>
        <v/>
      </c>
      <c r="BX906" s="55">
        <f>ROUNDUP(BU906/BN906,0)</f>
        <v/>
      </c>
      <c r="BY906" s="58">
        <f>IF(BO906=1,0,IFERROR(VLOOKUP(BM906,'Gebinde-Kategorie'!$A$5:$G$45,5,0)+0,0))</f>
        <v/>
      </c>
      <c r="BZ906" s="58">
        <f>IFERROR(IF(OR(BQ906=1,BQ906=2,BQ906=3),N(INDEX(Parameter!$I$5:$I$7,BQ906)),0),0)</f>
        <v/>
      </c>
    </row>
    <row r="907">
      <c r="A907" s="53" t="inlineStr">
        <is>
          <t>001179</t>
        </is>
      </c>
      <c r="B907" s="53" t="inlineStr">
        <is>
          <t>Litzendraht</t>
        </is>
      </c>
      <c r="C907" s="53" t="inlineStr">
        <is>
          <t>F</t>
        </is>
      </c>
      <c r="D907" s="53" t="inlineStr">
        <is>
          <t>KTL</t>
        </is>
      </c>
      <c r="E907" s="53" t="inlineStr">
        <is>
          <t>C</t>
        </is>
      </c>
      <c r="F907" s="54" t="n">
        <v>0.37</v>
      </c>
      <c r="G907" s="55">
        <f>MAX(0,IF(Parameter!$B$20="Jahresanfang 2025 + Export",BG907+BF907,BF907))</f>
        <v/>
      </c>
      <c r="H907" s="55">
        <f>G907*F907</f>
        <v/>
      </c>
      <c r="I907" s="55">
        <f>BI907*Parameter!$B$18</f>
        <v/>
      </c>
      <c r="J907" s="56" t="n">
        <v>50</v>
      </c>
      <c r="K907" s="57" t="n">
        <v>0</v>
      </c>
      <c r="L907" s="55" t="n">
        <v>0</v>
      </c>
      <c r="M907" s="55" t="n">
        <v>1</v>
      </c>
      <c r="N907" s="58" t="n">
        <v>28</v>
      </c>
      <c r="O907" s="53" t="inlineStr">
        <is>
          <t>LOSE</t>
        </is>
      </c>
      <c r="P907" s="55" t="n"/>
      <c r="Q907" s="59">
        <f>IF(BO907=1,0,IFERROR(VLOOKUP(BM907,'Gebinde-Kategorie'!$A$5:$G$45,6,0)+0,0))</f>
        <v/>
      </c>
      <c r="R907" s="60" t="n"/>
      <c r="S907" s="61" t="n"/>
      <c r="T907" s="61" t="n"/>
      <c r="U907" s="53">
        <f>IF(A907="","",IF(IFERROR(VLOOKUP(D907,Parameter!$A$35:$C$64,2,0),"Nein")="2+3",IF(ISNUMBER(SEARCH("grosser Artikel",BJ907)),2,IFERROR(VLOOKUP(BM907,Parameter!$F$35:$G$64,2,0),2)),IF(OR(IFERROR(VLOOKUP(D907,Parameter!$A$35:$C$64,2,0),"Nein")="Nein",IFERROR(VLOOKUP(D907,Parameter!$A$35:$C$64,2,0),"Nein")=""),"-",VLOOKUP(D907,Parameter!$A$35:$C$64,2,0))))</f>
        <v/>
      </c>
      <c r="V907" s="61" t="n"/>
      <c r="W907" s="62" t="n"/>
      <c r="X907" s="55">
        <f>AM907</f>
        <v/>
      </c>
      <c r="Y907" s="55">
        <f>MAX(AM907,G907)</f>
        <v/>
      </c>
      <c r="Z907" s="63" t="n"/>
      <c r="AA907" s="55">
        <f>IF(LEFT(Cockpit!$C$5,1)="A",G907,IF(BT907=1,BU907,IF(LEFT(Cockpit!$C$5,1)="B",AE907,MAX(AE907,G907))))</f>
        <v/>
      </c>
      <c r="AB907" s="55">
        <f>IF(BO907=1,0,ROUNDUP(AA907/BN907,0))</f>
        <v/>
      </c>
      <c r="AC907" s="64">
        <f>IF(BO907=1,IF(AA907&lt;=0,0,BP907*MAX(1,IF(G907&gt;0,AA907/G907,1))),AB907*Q907)</f>
        <v/>
      </c>
      <c r="AD907" s="55">
        <f>AA907*F907</f>
        <v/>
      </c>
      <c r="AE907" s="55">
        <f>ROUNDUP(MAX(I907/IF(BS907&gt;0,BS907,MAX(0.1,N(Cockpit!$C$6))),BV907)/BN907,0)*BN907</f>
        <v/>
      </c>
      <c r="AF907" s="56">
        <f>IF(AC907&gt;0,I907/AC907,-1)</f>
        <v/>
      </c>
      <c r="AG907" s="56">
        <f>IF(AND(OR(BR907="L1",BR907="L23"),AC907&gt;0),SUMIFS($AC$7:$AC$1570,$BR$7:$BR$1570,BR907,$AF$7:$AF$1570,"&gt;"&amp;AF907)+SUMIFS($AC$7:$AC$1570,$BR$7:$BR$1570,BR907,$AF$7:$AF$1570,AF907,$BL$7:$BL$1570,"&lt;="&amp;BL907),"")</f>
        <v/>
      </c>
      <c r="AH907" s="65">
        <f>IF(AG907="",0,MAX(0,MIN(1,(IF(BR907="L1",Parameter!$K$5,Parameter!$K$6+Parameter!$K$7)-(AG907-AC907))/AC907)))</f>
        <v/>
      </c>
      <c r="AI907" s="55">
        <f>IF(LEFT(Cockpit!$I$5,1)="A",G907,IF(BT907=1,BU907,IF(LEFT(Cockpit!$I$5,1)="B",AM907,MAX(AM907,G907))))</f>
        <v/>
      </c>
      <c r="AJ907" s="55">
        <f>IF(BO907=1,0,ROUNDUP(AI907/BN907,0))</f>
        <v/>
      </c>
      <c r="AK907" s="64">
        <f>IF(BO907=1,IF(AI907&lt;=0,0,BP907*MAX(1,IF(G907&gt;0,AI907/G907,1))),AJ907*Q907)</f>
        <v/>
      </c>
      <c r="AL907" s="55">
        <f>AI907*F907</f>
        <v/>
      </c>
      <c r="AM907" s="55">
        <f>ROUNDUP(MAX(I907/IF(BS907&gt;0,BS907,MAX(0.1,N(Cockpit!$I$6))),BV907)/BN907,0)*BN907</f>
        <v/>
      </c>
      <c r="AN907" s="56">
        <f>IF(AK907&gt;0,I907/AK907,-1)</f>
        <v/>
      </c>
      <c r="AO907" s="56">
        <f>IF(AND(OR(BR907="L1",BR907="L23"),AK907&gt;0),SUMIFS($AK$7:$AK$1570,$BR$7:$BR$1570,BR907,$AN$7:$AN$1570,"&gt;"&amp;AN907)+SUMIFS($AK$7:$AK$1570,$BR$7:$BR$1570,BR907,$AN$7:$AN$1570,AN907,$BL$7:$BL$1570,"&lt;="&amp;BL907),"")</f>
        <v/>
      </c>
      <c r="AP907" s="65">
        <f>IF(AO907="",0,MAX(0,MIN(1,(IF(BR907="L1",Parameter!$K$5,Parameter!$K$6+Parameter!$K$7)-(AO907-AK907))/AK907)))</f>
        <v/>
      </c>
      <c r="AQ907" s="55">
        <f>IF(LEFT(Cockpit!$O$5,1)="A",G907,IF(BT907=1,BU907,IF(LEFT(Cockpit!$O$5,1)="B",AU907,MAX(AU907,G907))))</f>
        <v/>
      </c>
      <c r="AR907" s="55">
        <f>IF(BO907=1,0,ROUNDUP(AQ907/BN907,0))</f>
        <v/>
      </c>
      <c r="AS907" s="64">
        <f>IF(BO907=1,IF(AQ907&lt;=0,0,BP907*MAX(1,IF(G907&gt;0,AQ907/G907,1))),AR907*Q907)</f>
        <v/>
      </c>
      <c r="AT907" s="55">
        <f>AQ907*F907</f>
        <v/>
      </c>
      <c r="AU907" s="55">
        <f>ROUNDUP(MAX(I907/IF(BS907&gt;0,BS907,MAX(0.1,N(Cockpit!$O$6))),BV907)/BN907,0)*BN907</f>
        <v/>
      </c>
      <c r="AV907" s="56">
        <f>IF(AS907&gt;0,I907/AS907,-1)</f>
        <v/>
      </c>
      <c r="AW907" s="56">
        <f>IF(AND(OR(BR907="L1",BR907="L23"),AS907&gt;0),SUMIFS($AS$7:$AS$1570,$BR$7:$BR$1570,BR907,$AV$7:$AV$1570,"&gt;"&amp;AV907)+SUMIFS($AS$7:$AS$1570,$BR$7:$BR$1570,BR907,$AV$7:$AV$1570,AV907,$BL$7:$BL$1570,"&lt;="&amp;BL907),"")</f>
        <v/>
      </c>
      <c r="AX907" s="65">
        <f>IF(AW907="",0,MAX(0,MIN(1,(IF(BR907="L1",Parameter!$K$5,Parameter!$K$6+Parameter!$K$7)-(AW907-AS907))/AS907)))</f>
        <v/>
      </c>
      <c r="AY907" s="53">
        <f>IF(AC907&lt;=0,"",IF(BR907="Aussen","Aussenlager",IF(BR907="-","Nicht im Lift",IF(AH907&gt;=1,"Lift",IF(AH907&lt;=0,"Aussenlager","teilweise")))))</f>
        <v/>
      </c>
      <c r="AZ907" s="53">
        <f>IF(AK907&lt;=0,"",IF(BR907="Aussen","Aussenlager",IF(BR907="-","Nicht im Lift",IF(AP907&gt;=1,"Lift",IF(AP907&lt;=0,"Aussenlager","teilweise")))))</f>
        <v/>
      </c>
      <c r="BA907" s="53">
        <f>IF(AS907&lt;=0,"",IF(BR907="Aussen","Aussenlager",IF(BR907="-","Nicht im Lift",IF(AX907&gt;=1,"Lift",IF(AX907&lt;=0,"Aussenlager","teilweise")))))</f>
        <v/>
      </c>
      <c r="BB907" s="53">
        <f>IF(A907="","",IF(BK907=1,"Neu; ","")&amp;IF(AND(BK907=0,BF907&lt;0),"negativer Bestand (Export "&amp;BF907&amp;"); ","")&amp;IF(I907&lt;=0,"Kein Verbrauch; ","")&amp;IF(BO907=1,"Lose – Fläche geschätzt; ","")&amp;IF(G907&gt;AM907,"Überbestand "&amp;ROUND(G907-AM907,0)&amp;" Stk / CHF "&amp;ROUND((G907-AM907)*F907,0)&amp;"; ","")&amp;IF(AND(BT907=1,BU907&lt;BV907),"MAX &lt; MB+LG; ","")&amp;IF(AND(BZ907&gt;0,BY907*10&gt;BZ907),"zu hoch für Tablar; ","")&amp;IF(AND(BK907=0,OR(BT907=1,V907&lt;&gt;"",S907&lt;&gt;"",T907&lt;&gt;"",W907&lt;&gt;"")),"manuell übersteuert; ","")&amp;IF(AND(BO907=0,Q907=0),"Gebinde unbekannt; ","")&amp;IF(AND(BO907=0,N(T907)&lt;=0,N(P907)&lt;=0),"Menge pro Gebinde fehlt (Ist = 1 Gebinde); ","")&amp;BJ907)</f>
        <v/>
      </c>
      <c r="BC907" s="53" t="n"/>
      <c r="BD907" s="53" t="n"/>
      <c r="BE907" s="61" t="n"/>
      <c r="BF907" s="55" t="n">
        <v>-100</v>
      </c>
      <c r="BG907" s="55" t="n">
        <v>100</v>
      </c>
      <c r="BH907" s="54" t="n">
        <v>-37</v>
      </c>
      <c r="BI907" s="55" t="n">
        <v>0</v>
      </c>
      <c r="BJ907" s="53" t="inlineStr"/>
      <c r="BK907" s="58" t="n">
        <v>0</v>
      </c>
      <c r="BL907" s="58" t="n">
        <v>907</v>
      </c>
      <c r="BM907" s="53">
        <f>IF(S907&lt;&gt;"",UPPER(TRIM(S907)),IF(O907="","LOSE",O907))</f>
        <v/>
      </c>
      <c r="BN907" s="55">
        <f>IF(BM907="LOSE",1,IF(N(T907)&gt;0,T907,IF(N(P907)&gt;0,P907,MAX(1,G907))))</f>
        <v/>
      </c>
      <c r="BO907" s="58">
        <f>IF(BM907="LOSE",1,0)</f>
        <v/>
      </c>
      <c r="BP907" s="64">
        <f>IF(BO907=0,0,IF(N(R907)&gt;0,R907,IFERROR(VLOOKUP(D907,Parameter!$A$35:$C$64,3,0)+0,0)))</f>
        <v/>
      </c>
      <c r="BQ907" s="53">
        <f>IF(V907&lt;&gt;"",V907,U907)</f>
        <v/>
      </c>
      <c r="BR907" s="53">
        <f>IF(BQ907=1,"L1",IF(OR(BQ907=2,BQ907=3),"L23",IF(BQ907="Aussen","Aussen","-")))</f>
        <v/>
      </c>
      <c r="BS907" s="66">
        <f>IF(N(W907)&gt;0,W907,0)</f>
        <v/>
      </c>
      <c r="BT907" s="58">
        <f>IF(ISNUMBER(Z907),1,0)</f>
        <v/>
      </c>
      <c r="BU907" s="55">
        <f>N(Z907)</f>
        <v/>
      </c>
      <c r="BV907" s="55">
        <f>N(L907)+N(M907)</f>
        <v/>
      </c>
      <c r="BW907" s="55">
        <f>ROUNDUP(G907/BN907,0)</f>
        <v/>
      </c>
      <c r="BX907" s="55">
        <f>ROUNDUP(BU907/BN907,0)</f>
        <v/>
      </c>
      <c r="BY907" s="58">
        <f>IF(BO907=1,0,IFERROR(VLOOKUP(BM907,'Gebinde-Kategorie'!$A$5:$G$45,5,0)+0,0))</f>
        <v/>
      </c>
      <c r="BZ907" s="58">
        <f>IFERROR(IF(OR(BQ907=1,BQ907=2,BQ907=3),N(INDEX(Parameter!$I$5:$I$7,BQ907)),0),0)</f>
        <v/>
      </c>
    </row>
    <row r="908">
      <c r="A908" s="53" t="inlineStr">
        <is>
          <t>106933</t>
        </is>
      </c>
      <c r="B908" s="53" t="inlineStr">
        <is>
          <t>Lithiumbatterie</t>
        </is>
      </c>
      <c r="C908" s="53" t="inlineStr">
        <is>
          <t>F</t>
        </is>
      </c>
      <c r="D908" s="53" t="inlineStr">
        <is>
          <t>KTL</t>
        </is>
      </c>
      <c r="E908" s="53" t="inlineStr">
        <is>
          <t>C</t>
        </is>
      </c>
      <c r="F908" s="54" t="n">
        <v>12.37</v>
      </c>
      <c r="G908" s="55">
        <f>MAX(0,IF(Parameter!$B$20="Jahresanfang 2025 + Export",BG908+BF908,BF908))</f>
        <v/>
      </c>
      <c r="H908" s="55">
        <f>G908*F908</f>
        <v/>
      </c>
      <c r="I908" s="55">
        <f>BI908*Parameter!$B$18</f>
        <v/>
      </c>
      <c r="J908" s="56" t="n">
        <v>30</v>
      </c>
      <c r="K908" s="57" t="n">
        <v>0.03333333333333333</v>
      </c>
      <c r="L908" s="55" t="n">
        <v>0</v>
      </c>
      <c r="M908" s="55" t="n">
        <v>1</v>
      </c>
      <c r="N908" s="58" t="n">
        <v>28</v>
      </c>
      <c r="O908" s="53" t="inlineStr">
        <is>
          <t>S22</t>
        </is>
      </c>
      <c r="P908" s="55" t="n">
        <v>20</v>
      </c>
      <c r="Q908" s="59">
        <f>IF(BO908=1,0,IFERROR(VLOOKUP(BM908,'Gebinde-Kategorie'!$A$5:$G$45,6,0)+0,0))</f>
        <v/>
      </c>
      <c r="R908" s="60" t="n"/>
      <c r="S908" s="61" t="n"/>
      <c r="T908" s="61" t="n"/>
      <c r="U908" s="53">
        <f>IF(A908="","",IF(IFERROR(VLOOKUP(D908,Parameter!$A$35:$C$64,2,0),"Nein")="2+3",IF(ISNUMBER(SEARCH("grosser Artikel",BJ908)),2,IFERROR(VLOOKUP(BM908,Parameter!$F$35:$G$64,2,0),2)),IF(OR(IFERROR(VLOOKUP(D908,Parameter!$A$35:$C$64,2,0),"Nein")="Nein",IFERROR(VLOOKUP(D908,Parameter!$A$35:$C$64,2,0),"Nein")=""),"-",VLOOKUP(D908,Parameter!$A$35:$C$64,2,0))))</f>
        <v/>
      </c>
      <c r="V908" s="61" t="n"/>
      <c r="W908" s="62" t="n"/>
      <c r="X908" s="55">
        <f>AM908</f>
        <v/>
      </c>
      <c r="Y908" s="55">
        <f>MAX(AM908,G908)</f>
        <v/>
      </c>
      <c r="Z908" s="63" t="n"/>
      <c r="AA908" s="55">
        <f>IF(LEFT(Cockpit!$C$5,1)="A",G908,IF(BT908=1,BU908,IF(LEFT(Cockpit!$C$5,1)="B",AE908,MAX(AE908,G908))))</f>
        <v/>
      </c>
      <c r="AB908" s="55">
        <f>IF(BO908=1,0,ROUNDUP(AA908/BN908,0))</f>
        <v/>
      </c>
      <c r="AC908" s="64">
        <f>IF(BO908=1,IF(AA908&lt;=0,0,BP908*MAX(1,IF(G908&gt;0,AA908/G908,1))),AB908*Q908)</f>
        <v/>
      </c>
      <c r="AD908" s="55">
        <f>AA908*F908</f>
        <v/>
      </c>
      <c r="AE908" s="55">
        <f>ROUNDUP(MAX(I908/IF(BS908&gt;0,BS908,MAX(0.1,N(Cockpit!$C$6))),BV908)/BN908,0)*BN908</f>
        <v/>
      </c>
      <c r="AF908" s="56">
        <f>IF(AC908&gt;0,I908/AC908,-1)</f>
        <v/>
      </c>
      <c r="AG908" s="56">
        <f>IF(AND(OR(BR908="L1",BR908="L23"),AC908&gt;0),SUMIFS($AC$7:$AC$1570,$BR$7:$BR$1570,BR908,$AF$7:$AF$1570,"&gt;"&amp;AF908)+SUMIFS($AC$7:$AC$1570,$BR$7:$BR$1570,BR908,$AF$7:$AF$1570,AF908,$BL$7:$BL$1570,"&lt;="&amp;BL908),"")</f>
        <v/>
      </c>
      <c r="AH908" s="65">
        <f>IF(AG908="",0,MAX(0,MIN(1,(IF(BR908="L1",Parameter!$K$5,Parameter!$K$6+Parameter!$K$7)-(AG908-AC908))/AC908)))</f>
        <v/>
      </c>
      <c r="AI908" s="55">
        <f>IF(LEFT(Cockpit!$I$5,1)="A",G908,IF(BT908=1,BU908,IF(LEFT(Cockpit!$I$5,1)="B",AM908,MAX(AM908,G908))))</f>
        <v/>
      </c>
      <c r="AJ908" s="55">
        <f>IF(BO908=1,0,ROUNDUP(AI908/BN908,0))</f>
        <v/>
      </c>
      <c r="AK908" s="64">
        <f>IF(BO908=1,IF(AI908&lt;=0,0,BP908*MAX(1,IF(G908&gt;0,AI908/G908,1))),AJ908*Q908)</f>
        <v/>
      </c>
      <c r="AL908" s="55">
        <f>AI908*F908</f>
        <v/>
      </c>
      <c r="AM908" s="55">
        <f>ROUNDUP(MAX(I908/IF(BS908&gt;0,BS908,MAX(0.1,N(Cockpit!$I$6))),BV908)/BN908,0)*BN908</f>
        <v/>
      </c>
      <c r="AN908" s="56">
        <f>IF(AK908&gt;0,I908/AK908,-1)</f>
        <v/>
      </c>
      <c r="AO908" s="56">
        <f>IF(AND(OR(BR908="L1",BR908="L23"),AK908&gt;0),SUMIFS($AK$7:$AK$1570,$BR$7:$BR$1570,BR908,$AN$7:$AN$1570,"&gt;"&amp;AN908)+SUMIFS($AK$7:$AK$1570,$BR$7:$BR$1570,BR908,$AN$7:$AN$1570,AN908,$BL$7:$BL$1570,"&lt;="&amp;BL908),"")</f>
        <v/>
      </c>
      <c r="AP908" s="65">
        <f>IF(AO908="",0,MAX(0,MIN(1,(IF(BR908="L1",Parameter!$K$5,Parameter!$K$6+Parameter!$K$7)-(AO908-AK908))/AK908)))</f>
        <v/>
      </c>
      <c r="AQ908" s="55">
        <f>IF(LEFT(Cockpit!$O$5,1)="A",G908,IF(BT908=1,BU908,IF(LEFT(Cockpit!$O$5,1)="B",AU908,MAX(AU908,G908))))</f>
        <v/>
      </c>
      <c r="AR908" s="55">
        <f>IF(BO908=1,0,ROUNDUP(AQ908/BN908,0))</f>
        <v/>
      </c>
      <c r="AS908" s="64">
        <f>IF(BO908=1,IF(AQ908&lt;=0,0,BP908*MAX(1,IF(G908&gt;0,AQ908/G908,1))),AR908*Q908)</f>
        <v/>
      </c>
      <c r="AT908" s="55">
        <f>AQ908*F908</f>
        <v/>
      </c>
      <c r="AU908" s="55">
        <f>ROUNDUP(MAX(I908/IF(BS908&gt;0,BS908,MAX(0.1,N(Cockpit!$O$6))),BV908)/BN908,0)*BN908</f>
        <v/>
      </c>
      <c r="AV908" s="56">
        <f>IF(AS908&gt;0,I908/AS908,-1)</f>
        <v/>
      </c>
      <c r="AW908" s="56">
        <f>IF(AND(OR(BR908="L1",BR908="L23"),AS908&gt;0),SUMIFS($AS$7:$AS$1570,$BR$7:$BR$1570,BR908,$AV$7:$AV$1570,"&gt;"&amp;AV908)+SUMIFS($AS$7:$AS$1570,$BR$7:$BR$1570,BR908,$AV$7:$AV$1570,AV908,$BL$7:$BL$1570,"&lt;="&amp;BL908),"")</f>
        <v/>
      </c>
      <c r="AX908" s="65">
        <f>IF(AW908="",0,MAX(0,MIN(1,(IF(BR908="L1",Parameter!$K$5,Parameter!$K$6+Parameter!$K$7)-(AW908-AS908))/AS908)))</f>
        <v/>
      </c>
      <c r="AY908" s="53">
        <f>IF(AC908&lt;=0,"",IF(BR908="Aussen","Aussenlager",IF(BR908="-","Nicht im Lift",IF(AH908&gt;=1,"Lift",IF(AH908&lt;=0,"Aussenlager","teilweise")))))</f>
        <v/>
      </c>
      <c r="AZ908" s="53">
        <f>IF(AK908&lt;=0,"",IF(BR908="Aussen","Aussenlager",IF(BR908="-","Nicht im Lift",IF(AP908&gt;=1,"Lift",IF(AP908&lt;=0,"Aussenlager","teilweise")))))</f>
        <v/>
      </c>
      <c r="BA908" s="53">
        <f>IF(AS908&lt;=0,"",IF(BR908="Aussen","Aussenlager",IF(BR908="-","Nicht im Lift",IF(AX908&gt;=1,"Lift",IF(AX908&lt;=0,"Aussenlager","teilweise")))))</f>
        <v/>
      </c>
      <c r="BB908" s="53">
        <f>IF(A908="","",IF(BK908=1,"Neu; ","")&amp;IF(AND(BK908=0,BF908&lt;0),"negativer Bestand (Export "&amp;BF908&amp;"); ","")&amp;IF(I908&lt;=0,"Kein Verbrauch; ","")&amp;IF(BO908=1,"Lose – Fläche geschätzt; ","")&amp;IF(G908&gt;AM908,"Überbestand "&amp;ROUND(G908-AM908,0)&amp;" Stk / CHF "&amp;ROUND((G908-AM908)*F908,0)&amp;"; ","")&amp;IF(AND(BT908=1,BU908&lt;BV908),"MAX &lt; MB+LG; ","")&amp;IF(AND(BZ908&gt;0,BY908*10&gt;BZ908),"zu hoch für Tablar; ","")&amp;IF(AND(BK908=0,OR(BT908=1,V908&lt;&gt;"",S908&lt;&gt;"",T908&lt;&gt;"",W908&lt;&gt;"")),"manuell übersteuert; ","")&amp;IF(AND(BO908=0,Q908=0),"Gebinde unbekannt; ","")&amp;IF(AND(BO908=0,N(T908)&lt;=0,N(P908)&lt;=0),"Menge pro Gebinde fehlt (Ist = 1 Gebinde); ","")&amp;BJ908)</f>
        <v/>
      </c>
      <c r="BC908" s="53" t="n"/>
      <c r="BD908" s="53" t="n"/>
      <c r="BE908" s="61" t="n"/>
      <c r="BF908" s="55" t="n">
        <v>-3</v>
      </c>
      <c r="BG908" s="55" t="n">
        <v>31</v>
      </c>
      <c r="BH908" s="54" t="n">
        <v>-37.11</v>
      </c>
      <c r="BI908" s="55" t="n">
        <v>1</v>
      </c>
      <c r="BJ908" s="53" t="inlineStr"/>
      <c r="BK908" s="58" t="n">
        <v>0</v>
      </c>
      <c r="BL908" s="58" t="n">
        <v>908</v>
      </c>
      <c r="BM908" s="53">
        <f>IF(S908&lt;&gt;"",UPPER(TRIM(S908)),IF(O908="","LOSE",O908))</f>
        <v/>
      </c>
      <c r="BN908" s="55">
        <f>IF(BM908="LOSE",1,IF(N(T908)&gt;0,T908,IF(N(P908)&gt;0,P908,MAX(1,G908))))</f>
        <v/>
      </c>
      <c r="BO908" s="58">
        <f>IF(BM908="LOSE",1,0)</f>
        <v/>
      </c>
      <c r="BP908" s="64">
        <f>IF(BO908=0,0,IF(N(R908)&gt;0,R908,IFERROR(VLOOKUP(D908,Parameter!$A$35:$C$64,3,0)+0,0)))</f>
        <v/>
      </c>
      <c r="BQ908" s="53">
        <f>IF(V908&lt;&gt;"",V908,U908)</f>
        <v/>
      </c>
      <c r="BR908" s="53">
        <f>IF(BQ908=1,"L1",IF(OR(BQ908=2,BQ908=3),"L23",IF(BQ908="Aussen","Aussen","-")))</f>
        <v/>
      </c>
      <c r="BS908" s="66">
        <f>IF(N(W908)&gt;0,W908,0)</f>
        <v/>
      </c>
      <c r="BT908" s="58">
        <f>IF(ISNUMBER(Z908),1,0)</f>
        <v/>
      </c>
      <c r="BU908" s="55">
        <f>N(Z908)</f>
        <v/>
      </c>
      <c r="BV908" s="55">
        <f>N(L908)+N(M908)</f>
        <v/>
      </c>
      <c r="BW908" s="55">
        <f>ROUNDUP(G908/BN908,0)</f>
        <v/>
      </c>
      <c r="BX908" s="55">
        <f>ROUNDUP(BU908/BN908,0)</f>
        <v/>
      </c>
      <c r="BY908" s="58">
        <f>IF(BO908=1,0,IFERROR(VLOOKUP(BM908,'Gebinde-Kategorie'!$A$5:$G$45,5,0)+0,0))</f>
        <v/>
      </c>
      <c r="BZ908" s="58">
        <f>IFERROR(IF(OR(BQ908=1,BQ908=2,BQ908=3),N(INDEX(Parameter!$I$5:$I$7,BQ908)),0),0)</f>
        <v/>
      </c>
    </row>
    <row r="909">
      <c r="A909" s="53" t="inlineStr">
        <is>
          <t>005707</t>
        </is>
      </c>
      <c r="B909" s="53" t="inlineStr">
        <is>
          <t>Leuchtdrucktaster</t>
        </is>
      </c>
      <c r="C909" s="53" t="inlineStr">
        <is>
          <t>F</t>
        </is>
      </c>
      <c r="D909" s="53" t="inlineStr">
        <is>
          <t>KTL</t>
        </is>
      </c>
      <c r="E909" s="53" t="inlineStr">
        <is>
          <t>C</t>
        </is>
      </c>
      <c r="F909" s="54" t="n">
        <v>7.19</v>
      </c>
      <c r="G909" s="55">
        <f>MAX(0,IF(Parameter!$B$20="Jahresanfang 2025 + Export",BG909+BF909,BF909))</f>
        <v/>
      </c>
      <c r="H909" s="55">
        <f>G909*F909</f>
        <v/>
      </c>
      <c r="I909" s="55">
        <f>BI909*Parameter!$B$18</f>
        <v/>
      </c>
      <c r="J909" s="56" t="n">
        <v>12.5</v>
      </c>
      <c r="K909" s="57" t="n">
        <v>1.76</v>
      </c>
      <c r="L909" s="55" t="n">
        <v>0</v>
      </c>
      <c r="M909" s="55" t="n">
        <v>20</v>
      </c>
      <c r="N909" s="58" t="n">
        <v>14</v>
      </c>
      <c r="O909" s="53" t="inlineStr">
        <is>
          <t>S32</t>
        </is>
      </c>
      <c r="P909" s="55" t="n">
        <v>22</v>
      </c>
      <c r="Q909" s="59">
        <f>IF(BO909=1,0,IFERROR(VLOOKUP(BM909,'Gebinde-Kategorie'!$A$5:$G$45,6,0)+0,0))</f>
        <v/>
      </c>
      <c r="R909" s="60" t="n"/>
      <c r="S909" s="61" t="n"/>
      <c r="T909" s="61" t="n"/>
      <c r="U909" s="53">
        <f>IF(A909="","",IF(IFERROR(VLOOKUP(D909,Parameter!$A$35:$C$64,2,0),"Nein")="2+3",IF(ISNUMBER(SEARCH("grosser Artikel",BJ909)),2,IFERROR(VLOOKUP(BM909,Parameter!$F$35:$G$64,2,0),2)),IF(OR(IFERROR(VLOOKUP(D909,Parameter!$A$35:$C$64,2,0),"Nein")="Nein",IFERROR(VLOOKUP(D909,Parameter!$A$35:$C$64,2,0),"Nein")=""),"-",VLOOKUP(D909,Parameter!$A$35:$C$64,2,0))))</f>
        <v/>
      </c>
      <c r="V909" s="61" t="n"/>
      <c r="W909" s="62" t="n"/>
      <c r="X909" s="55">
        <f>AM909</f>
        <v/>
      </c>
      <c r="Y909" s="55">
        <f>MAX(AM909,G909)</f>
        <v/>
      </c>
      <c r="Z909" s="63" t="n"/>
      <c r="AA909" s="55">
        <f>IF(LEFT(Cockpit!$C$5,1)="A",G909,IF(BT909=1,BU909,IF(LEFT(Cockpit!$C$5,1)="B",AE909,MAX(AE909,G909))))</f>
        <v/>
      </c>
      <c r="AB909" s="55">
        <f>IF(BO909=1,0,ROUNDUP(AA909/BN909,0))</f>
        <v/>
      </c>
      <c r="AC909" s="64">
        <f>IF(BO909=1,IF(AA909&lt;=0,0,BP909*MAX(1,IF(G909&gt;0,AA909/G909,1))),AB909*Q909)</f>
        <v/>
      </c>
      <c r="AD909" s="55">
        <f>AA909*F909</f>
        <v/>
      </c>
      <c r="AE909" s="55">
        <f>ROUNDUP(MAX(I909/IF(BS909&gt;0,BS909,MAX(0.1,N(Cockpit!$C$6))),BV909)/BN909,0)*BN909</f>
        <v/>
      </c>
      <c r="AF909" s="56">
        <f>IF(AC909&gt;0,I909/AC909,-1)</f>
        <v/>
      </c>
      <c r="AG909" s="56">
        <f>IF(AND(OR(BR909="L1",BR909="L23"),AC909&gt;0),SUMIFS($AC$7:$AC$1570,$BR$7:$BR$1570,BR909,$AF$7:$AF$1570,"&gt;"&amp;AF909)+SUMIFS($AC$7:$AC$1570,$BR$7:$BR$1570,BR909,$AF$7:$AF$1570,AF909,$BL$7:$BL$1570,"&lt;="&amp;BL909),"")</f>
        <v/>
      </c>
      <c r="AH909" s="65">
        <f>IF(AG909="",0,MAX(0,MIN(1,(IF(BR909="L1",Parameter!$K$5,Parameter!$K$6+Parameter!$K$7)-(AG909-AC909))/AC909)))</f>
        <v/>
      </c>
      <c r="AI909" s="55">
        <f>IF(LEFT(Cockpit!$I$5,1)="A",G909,IF(BT909=1,BU909,IF(LEFT(Cockpit!$I$5,1)="B",AM909,MAX(AM909,G909))))</f>
        <v/>
      </c>
      <c r="AJ909" s="55">
        <f>IF(BO909=1,0,ROUNDUP(AI909/BN909,0))</f>
        <v/>
      </c>
      <c r="AK909" s="64">
        <f>IF(BO909=1,IF(AI909&lt;=0,0,BP909*MAX(1,IF(G909&gt;0,AI909/G909,1))),AJ909*Q909)</f>
        <v/>
      </c>
      <c r="AL909" s="55">
        <f>AI909*F909</f>
        <v/>
      </c>
      <c r="AM909" s="55">
        <f>ROUNDUP(MAX(I909/IF(BS909&gt;0,BS909,MAX(0.1,N(Cockpit!$I$6))),BV909)/BN909,0)*BN909</f>
        <v/>
      </c>
      <c r="AN909" s="56">
        <f>IF(AK909&gt;0,I909/AK909,-1)</f>
        <v/>
      </c>
      <c r="AO909" s="56">
        <f>IF(AND(OR(BR909="L1",BR909="L23"),AK909&gt;0),SUMIFS($AK$7:$AK$1570,$BR$7:$BR$1570,BR909,$AN$7:$AN$1570,"&gt;"&amp;AN909)+SUMIFS($AK$7:$AK$1570,$BR$7:$BR$1570,BR909,$AN$7:$AN$1570,AN909,$BL$7:$BL$1570,"&lt;="&amp;BL909),"")</f>
        <v/>
      </c>
      <c r="AP909" s="65">
        <f>IF(AO909="",0,MAX(0,MIN(1,(IF(BR909="L1",Parameter!$K$5,Parameter!$K$6+Parameter!$K$7)-(AO909-AK909))/AK909)))</f>
        <v/>
      </c>
      <c r="AQ909" s="55">
        <f>IF(LEFT(Cockpit!$O$5,1)="A",G909,IF(BT909=1,BU909,IF(LEFT(Cockpit!$O$5,1)="B",AU909,MAX(AU909,G909))))</f>
        <v/>
      </c>
      <c r="AR909" s="55">
        <f>IF(BO909=1,0,ROUNDUP(AQ909/BN909,0))</f>
        <v/>
      </c>
      <c r="AS909" s="64">
        <f>IF(BO909=1,IF(AQ909&lt;=0,0,BP909*MAX(1,IF(G909&gt;0,AQ909/G909,1))),AR909*Q909)</f>
        <v/>
      </c>
      <c r="AT909" s="55">
        <f>AQ909*F909</f>
        <v/>
      </c>
      <c r="AU909" s="55">
        <f>ROUNDUP(MAX(I909/IF(BS909&gt;0,BS909,MAX(0.1,N(Cockpit!$O$6))),BV909)/BN909,0)*BN909</f>
        <v/>
      </c>
      <c r="AV909" s="56">
        <f>IF(AS909&gt;0,I909/AS909,-1)</f>
        <v/>
      </c>
      <c r="AW909" s="56">
        <f>IF(AND(OR(BR909="L1",BR909="L23"),AS909&gt;0),SUMIFS($AS$7:$AS$1570,$BR$7:$BR$1570,BR909,$AV$7:$AV$1570,"&gt;"&amp;AV909)+SUMIFS($AS$7:$AS$1570,$BR$7:$BR$1570,BR909,$AV$7:$AV$1570,AV909,$BL$7:$BL$1570,"&lt;="&amp;BL909),"")</f>
        <v/>
      </c>
      <c r="AX909" s="65">
        <f>IF(AW909="",0,MAX(0,MIN(1,(IF(BR909="L1",Parameter!$K$5,Parameter!$K$6+Parameter!$K$7)-(AW909-AS909))/AS909)))</f>
        <v/>
      </c>
      <c r="AY909" s="53">
        <f>IF(AC909&lt;=0,"",IF(BR909="Aussen","Aussenlager",IF(BR909="-","Nicht im Lift",IF(AH909&gt;=1,"Lift",IF(AH909&lt;=0,"Aussenlager","teilweise")))))</f>
        <v/>
      </c>
      <c r="AZ909" s="53">
        <f>IF(AK909&lt;=0,"",IF(BR909="Aussen","Aussenlager",IF(BR909="-","Nicht im Lift",IF(AP909&gt;=1,"Lift",IF(AP909&lt;=0,"Aussenlager","teilweise")))))</f>
        <v/>
      </c>
      <c r="BA909" s="53">
        <f>IF(AS909&lt;=0,"",IF(BR909="Aussen","Aussenlager",IF(BR909="-","Nicht im Lift",IF(AX909&gt;=1,"Lift",IF(AX909&lt;=0,"Aussenlager","teilweise")))))</f>
        <v/>
      </c>
      <c r="BB909" s="53">
        <f>IF(A909="","",IF(BK909=1,"Neu; ","")&amp;IF(AND(BK909=0,BF909&lt;0),"negativer Bestand (Export "&amp;BF909&amp;"); ","")&amp;IF(I909&lt;=0,"Kein Verbrauch; ","")&amp;IF(BO909=1,"Lose – Fläche geschätzt; ","")&amp;IF(G909&gt;AM909,"Überbestand "&amp;ROUND(G909-AM909,0)&amp;" Stk / CHF "&amp;ROUND((G909-AM909)*F909,0)&amp;"; ","")&amp;IF(AND(BT909=1,BU909&lt;BV909),"MAX &lt; MB+LG; ","")&amp;IF(AND(BZ909&gt;0,BY909*10&gt;BZ909),"zu hoch für Tablar; ","")&amp;IF(AND(BK909=0,OR(BT909=1,V909&lt;&gt;"",S909&lt;&gt;"",T909&lt;&gt;"",W909&lt;&gt;"")),"manuell übersteuert; ","")&amp;IF(AND(BO909=0,Q909=0),"Gebinde unbekannt; ","")&amp;IF(AND(BO909=0,N(T909)&lt;=0,N(P909)&lt;=0),"Menge pro Gebinde fehlt (Ist = 1 Gebinde); ","")&amp;BJ909)</f>
        <v/>
      </c>
      <c r="BC909" s="53" t="n"/>
      <c r="BD909" s="53" t="n"/>
      <c r="BE909" s="61" t="n"/>
      <c r="BF909" s="55" t="n">
        <v>-5</v>
      </c>
      <c r="BG909" s="55" t="n">
        <v>14</v>
      </c>
      <c r="BH909" s="54" t="n">
        <v>-37.35</v>
      </c>
      <c r="BI909" s="55" t="n">
        <v>22</v>
      </c>
      <c r="BJ909" s="53" t="inlineStr"/>
      <c r="BK909" s="58" t="n">
        <v>0</v>
      </c>
      <c r="BL909" s="58" t="n">
        <v>909</v>
      </c>
      <c r="BM909" s="53">
        <f>IF(S909&lt;&gt;"",UPPER(TRIM(S909)),IF(O909="","LOSE",O909))</f>
        <v/>
      </c>
      <c r="BN909" s="55">
        <f>IF(BM909="LOSE",1,IF(N(T909)&gt;0,T909,IF(N(P909)&gt;0,P909,MAX(1,G909))))</f>
        <v/>
      </c>
      <c r="BO909" s="58">
        <f>IF(BM909="LOSE",1,0)</f>
        <v/>
      </c>
      <c r="BP909" s="64">
        <f>IF(BO909=0,0,IF(N(R909)&gt;0,R909,IFERROR(VLOOKUP(D909,Parameter!$A$35:$C$64,3,0)+0,0)))</f>
        <v/>
      </c>
      <c r="BQ909" s="53">
        <f>IF(V909&lt;&gt;"",V909,U909)</f>
        <v/>
      </c>
      <c r="BR909" s="53">
        <f>IF(BQ909=1,"L1",IF(OR(BQ909=2,BQ909=3),"L23",IF(BQ909="Aussen","Aussen","-")))</f>
        <v/>
      </c>
      <c r="BS909" s="66">
        <f>IF(N(W909)&gt;0,W909,0)</f>
        <v/>
      </c>
      <c r="BT909" s="58">
        <f>IF(ISNUMBER(Z909),1,0)</f>
        <v/>
      </c>
      <c r="BU909" s="55">
        <f>N(Z909)</f>
        <v/>
      </c>
      <c r="BV909" s="55">
        <f>N(L909)+N(M909)</f>
        <v/>
      </c>
      <c r="BW909" s="55">
        <f>ROUNDUP(G909/BN909,0)</f>
        <v/>
      </c>
      <c r="BX909" s="55">
        <f>ROUNDUP(BU909/BN909,0)</f>
        <v/>
      </c>
      <c r="BY909" s="58">
        <f>IF(BO909=1,0,IFERROR(VLOOKUP(BM909,'Gebinde-Kategorie'!$A$5:$G$45,5,0)+0,0))</f>
        <v/>
      </c>
      <c r="BZ909" s="58">
        <f>IFERROR(IF(OR(BQ909=1,BQ909=2,BQ909=3),N(INDEX(Parameter!$I$5:$I$7,BQ909)),0),0)</f>
        <v/>
      </c>
    </row>
    <row r="910">
      <c r="A910" s="53" t="inlineStr">
        <is>
          <t>109090</t>
        </is>
      </c>
      <c r="B910" s="53" t="inlineStr">
        <is>
          <t>Basis Busmodul</t>
        </is>
      </c>
      <c r="C910" s="53" t="inlineStr">
        <is>
          <t>F</t>
        </is>
      </c>
      <c r="D910" s="53" t="inlineStr">
        <is>
          <t>KTL</t>
        </is>
      </c>
      <c r="E910" s="53" t="inlineStr">
        <is>
          <t>C</t>
        </is>
      </c>
      <c r="F910" s="54" t="n">
        <v>37.68</v>
      </c>
      <c r="G910" s="55">
        <f>MAX(0,IF(Parameter!$B$20="Jahresanfang 2025 + Export",BG910+BF910,BF910))</f>
        <v/>
      </c>
      <c r="H910" s="55">
        <f>G910*F910</f>
        <v/>
      </c>
      <c r="I910" s="55">
        <f>BI910*Parameter!$B$18</f>
        <v/>
      </c>
      <c r="J910" s="56" t="n">
        <v>19.5</v>
      </c>
      <c r="K910" s="57" t="n">
        <v>0</v>
      </c>
      <c r="L910" s="55" t="n">
        <v>0</v>
      </c>
      <c r="M910" s="55" t="n">
        <v>1</v>
      </c>
      <c r="N910" s="58" t="n">
        <v>70</v>
      </c>
      <c r="O910" s="53" t="inlineStr">
        <is>
          <t>LOSE</t>
        </is>
      </c>
      <c r="P910" s="55" t="n"/>
      <c r="Q910" s="59">
        <f>IF(BO910=1,0,IFERROR(VLOOKUP(BM910,'Gebinde-Kategorie'!$A$5:$G$45,6,0)+0,0))</f>
        <v/>
      </c>
      <c r="R910" s="60" t="n"/>
      <c r="S910" s="61" t="n"/>
      <c r="T910" s="61" t="n"/>
      <c r="U910" s="53">
        <f>IF(A910="","",IF(IFERROR(VLOOKUP(D910,Parameter!$A$35:$C$64,2,0),"Nein")="2+3",IF(ISNUMBER(SEARCH("grosser Artikel",BJ910)),2,IFERROR(VLOOKUP(BM910,Parameter!$F$35:$G$64,2,0),2)),IF(OR(IFERROR(VLOOKUP(D910,Parameter!$A$35:$C$64,2,0),"Nein")="Nein",IFERROR(VLOOKUP(D910,Parameter!$A$35:$C$64,2,0),"Nein")=""),"-",VLOOKUP(D910,Parameter!$A$35:$C$64,2,0))))</f>
        <v/>
      </c>
      <c r="V910" s="61" t="n"/>
      <c r="W910" s="62" t="n"/>
      <c r="X910" s="55">
        <f>AM910</f>
        <v/>
      </c>
      <c r="Y910" s="55">
        <f>MAX(AM910,G910)</f>
        <v/>
      </c>
      <c r="Z910" s="63" t="n"/>
      <c r="AA910" s="55">
        <f>IF(LEFT(Cockpit!$C$5,1)="A",G910,IF(BT910=1,BU910,IF(LEFT(Cockpit!$C$5,1)="B",AE910,MAX(AE910,G910))))</f>
        <v/>
      </c>
      <c r="AB910" s="55">
        <f>IF(BO910=1,0,ROUNDUP(AA910/BN910,0))</f>
        <v/>
      </c>
      <c r="AC910" s="64">
        <f>IF(BO910=1,IF(AA910&lt;=0,0,BP910*MAX(1,IF(G910&gt;0,AA910/G910,1))),AB910*Q910)</f>
        <v/>
      </c>
      <c r="AD910" s="55">
        <f>AA910*F910</f>
        <v/>
      </c>
      <c r="AE910" s="55">
        <f>ROUNDUP(MAX(I910/IF(BS910&gt;0,BS910,MAX(0.1,N(Cockpit!$C$6))),BV910)/BN910,0)*BN910</f>
        <v/>
      </c>
      <c r="AF910" s="56">
        <f>IF(AC910&gt;0,I910/AC910,-1)</f>
        <v/>
      </c>
      <c r="AG910" s="56">
        <f>IF(AND(OR(BR910="L1",BR910="L23"),AC910&gt;0),SUMIFS($AC$7:$AC$1570,$BR$7:$BR$1570,BR910,$AF$7:$AF$1570,"&gt;"&amp;AF910)+SUMIFS($AC$7:$AC$1570,$BR$7:$BR$1570,BR910,$AF$7:$AF$1570,AF910,$BL$7:$BL$1570,"&lt;="&amp;BL910),"")</f>
        <v/>
      </c>
      <c r="AH910" s="65">
        <f>IF(AG910="",0,MAX(0,MIN(1,(IF(BR910="L1",Parameter!$K$5,Parameter!$K$6+Parameter!$K$7)-(AG910-AC910))/AC910)))</f>
        <v/>
      </c>
      <c r="AI910" s="55">
        <f>IF(LEFT(Cockpit!$I$5,1)="A",G910,IF(BT910=1,BU910,IF(LEFT(Cockpit!$I$5,1)="B",AM910,MAX(AM910,G910))))</f>
        <v/>
      </c>
      <c r="AJ910" s="55">
        <f>IF(BO910=1,0,ROUNDUP(AI910/BN910,0))</f>
        <v/>
      </c>
      <c r="AK910" s="64">
        <f>IF(BO910=1,IF(AI910&lt;=0,0,BP910*MAX(1,IF(G910&gt;0,AI910/G910,1))),AJ910*Q910)</f>
        <v/>
      </c>
      <c r="AL910" s="55">
        <f>AI910*F910</f>
        <v/>
      </c>
      <c r="AM910" s="55">
        <f>ROUNDUP(MAX(I910/IF(BS910&gt;0,BS910,MAX(0.1,N(Cockpit!$I$6))),BV910)/BN910,0)*BN910</f>
        <v/>
      </c>
      <c r="AN910" s="56">
        <f>IF(AK910&gt;0,I910/AK910,-1)</f>
        <v/>
      </c>
      <c r="AO910" s="56">
        <f>IF(AND(OR(BR910="L1",BR910="L23"),AK910&gt;0),SUMIFS($AK$7:$AK$1570,$BR$7:$BR$1570,BR910,$AN$7:$AN$1570,"&gt;"&amp;AN910)+SUMIFS($AK$7:$AK$1570,$BR$7:$BR$1570,BR910,$AN$7:$AN$1570,AN910,$BL$7:$BL$1570,"&lt;="&amp;BL910),"")</f>
        <v/>
      </c>
      <c r="AP910" s="65">
        <f>IF(AO910="",0,MAX(0,MIN(1,(IF(BR910="L1",Parameter!$K$5,Parameter!$K$6+Parameter!$K$7)-(AO910-AK910))/AK910)))</f>
        <v/>
      </c>
      <c r="AQ910" s="55">
        <f>IF(LEFT(Cockpit!$O$5,1)="A",G910,IF(BT910=1,BU910,IF(LEFT(Cockpit!$O$5,1)="B",AU910,MAX(AU910,G910))))</f>
        <v/>
      </c>
      <c r="AR910" s="55">
        <f>IF(BO910=1,0,ROUNDUP(AQ910/BN910,0))</f>
        <v/>
      </c>
      <c r="AS910" s="64">
        <f>IF(BO910=1,IF(AQ910&lt;=0,0,BP910*MAX(1,IF(G910&gt;0,AQ910/G910,1))),AR910*Q910)</f>
        <v/>
      </c>
      <c r="AT910" s="55">
        <f>AQ910*F910</f>
        <v/>
      </c>
      <c r="AU910" s="55">
        <f>ROUNDUP(MAX(I910/IF(BS910&gt;0,BS910,MAX(0.1,N(Cockpit!$O$6))),BV910)/BN910,0)*BN910</f>
        <v/>
      </c>
      <c r="AV910" s="56">
        <f>IF(AS910&gt;0,I910/AS910,-1)</f>
        <v/>
      </c>
      <c r="AW910" s="56">
        <f>IF(AND(OR(BR910="L1",BR910="L23"),AS910&gt;0),SUMIFS($AS$7:$AS$1570,$BR$7:$BR$1570,BR910,$AV$7:$AV$1570,"&gt;"&amp;AV910)+SUMIFS($AS$7:$AS$1570,$BR$7:$BR$1570,BR910,$AV$7:$AV$1570,AV910,$BL$7:$BL$1570,"&lt;="&amp;BL910),"")</f>
        <v/>
      </c>
      <c r="AX910" s="65">
        <f>IF(AW910="",0,MAX(0,MIN(1,(IF(BR910="L1",Parameter!$K$5,Parameter!$K$6+Parameter!$K$7)-(AW910-AS910))/AS910)))</f>
        <v/>
      </c>
      <c r="AY910" s="53">
        <f>IF(AC910&lt;=0,"",IF(BR910="Aussen","Aussenlager",IF(BR910="-","Nicht im Lift",IF(AH910&gt;=1,"Lift",IF(AH910&lt;=0,"Aussenlager","teilweise")))))</f>
        <v/>
      </c>
      <c r="AZ910" s="53">
        <f>IF(AK910&lt;=0,"",IF(BR910="Aussen","Aussenlager",IF(BR910="-","Nicht im Lift",IF(AP910&gt;=1,"Lift",IF(AP910&lt;=0,"Aussenlager","teilweise")))))</f>
        <v/>
      </c>
      <c r="BA910" s="53">
        <f>IF(AS910&lt;=0,"",IF(BR910="Aussen","Aussenlager",IF(BR910="-","Nicht im Lift",IF(AX910&gt;=1,"Lift",IF(AX910&lt;=0,"Aussenlager","teilweise")))))</f>
        <v/>
      </c>
      <c r="BB910" s="53">
        <f>IF(A910="","",IF(BK910=1,"Neu; ","")&amp;IF(AND(BK910=0,BF910&lt;0),"negativer Bestand (Export "&amp;BF910&amp;"); ","")&amp;IF(I910&lt;=0,"Kein Verbrauch; ","")&amp;IF(BO910=1,"Lose – Fläche geschätzt; ","")&amp;IF(G910&gt;AM910,"Überbestand "&amp;ROUND(G910-AM910,0)&amp;" Stk / CHF "&amp;ROUND((G910-AM910)*F910,0)&amp;"; ","")&amp;IF(AND(BT910=1,BU910&lt;BV910),"MAX &lt; MB+LG; ","")&amp;IF(AND(BZ910&gt;0,BY910*10&gt;BZ910),"zu hoch für Tablar; ","")&amp;IF(AND(BK910=0,OR(BT910=1,V910&lt;&gt;"",S910&lt;&gt;"",T910&lt;&gt;"",W910&lt;&gt;"")),"manuell übersteuert; ","")&amp;IF(AND(BO910=0,Q910=0),"Gebinde unbekannt; ","")&amp;IF(AND(BO910=0,N(T910)&lt;=0,N(P910)&lt;=0),"Menge pro Gebinde fehlt (Ist = 1 Gebinde); ","")&amp;BJ910)</f>
        <v/>
      </c>
      <c r="BC910" s="53" t="n"/>
      <c r="BD910" s="53" t="n"/>
      <c r="BE910" s="61" t="n"/>
      <c r="BF910" s="55" t="n">
        <v>-1</v>
      </c>
      <c r="BG910" s="55" t="n">
        <v>20</v>
      </c>
      <c r="BH910" s="54" t="n">
        <v>-37.67999999999999</v>
      </c>
      <c r="BI910" s="55" t="n">
        <v>0</v>
      </c>
      <c r="BJ910" s="53" t="inlineStr"/>
      <c r="BK910" s="58" t="n">
        <v>0</v>
      </c>
      <c r="BL910" s="58" t="n">
        <v>910</v>
      </c>
      <c r="BM910" s="53">
        <f>IF(S910&lt;&gt;"",UPPER(TRIM(S910)),IF(O910="","LOSE",O910))</f>
        <v/>
      </c>
      <c r="BN910" s="55">
        <f>IF(BM910="LOSE",1,IF(N(T910)&gt;0,T910,IF(N(P910)&gt;0,P910,MAX(1,G910))))</f>
        <v/>
      </c>
      <c r="BO910" s="58">
        <f>IF(BM910="LOSE",1,0)</f>
        <v/>
      </c>
      <c r="BP910" s="64">
        <f>IF(BO910=0,0,IF(N(R910)&gt;0,R910,IFERROR(VLOOKUP(D910,Parameter!$A$35:$C$64,3,0)+0,0)))</f>
        <v/>
      </c>
      <c r="BQ910" s="53">
        <f>IF(V910&lt;&gt;"",V910,U910)</f>
        <v/>
      </c>
      <c r="BR910" s="53">
        <f>IF(BQ910=1,"L1",IF(OR(BQ910=2,BQ910=3),"L23",IF(BQ910="Aussen","Aussen","-")))</f>
        <v/>
      </c>
      <c r="BS910" s="66">
        <f>IF(N(W910)&gt;0,W910,0)</f>
        <v/>
      </c>
      <c r="BT910" s="58">
        <f>IF(ISNUMBER(Z910),1,0)</f>
        <v/>
      </c>
      <c r="BU910" s="55">
        <f>N(Z910)</f>
        <v/>
      </c>
      <c r="BV910" s="55">
        <f>N(L910)+N(M910)</f>
        <v/>
      </c>
      <c r="BW910" s="55">
        <f>ROUNDUP(G910/BN910,0)</f>
        <v/>
      </c>
      <c r="BX910" s="55">
        <f>ROUNDUP(BU910/BN910,0)</f>
        <v/>
      </c>
      <c r="BY910" s="58">
        <f>IF(BO910=1,0,IFERROR(VLOOKUP(BM910,'Gebinde-Kategorie'!$A$5:$G$45,5,0)+0,0))</f>
        <v/>
      </c>
      <c r="BZ910" s="58">
        <f>IFERROR(IF(OR(BQ910=1,BQ910=2,BQ910=3),N(INDEX(Parameter!$I$5:$I$7,BQ910)),0),0)</f>
        <v/>
      </c>
    </row>
    <row r="911">
      <c r="A911" s="53" t="inlineStr">
        <is>
          <t>005297</t>
        </is>
      </c>
      <c r="B911" s="53" t="inlineStr">
        <is>
          <t>Magnetspule ohne Kabel</t>
        </is>
      </c>
      <c r="C911" s="53" t="inlineStr">
        <is>
          <t>F</t>
        </is>
      </c>
      <c r="D911" s="53" t="inlineStr">
        <is>
          <t>KTL</t>
        </is>
      </c>
      <c r="E911" s="53" t="inlineStr">
        <is>
          <t>C</t>
        </is>
      </c>
      <c r="F911" s="54" t="n">
        <v>38.53</v>
      </c>
      <c r="G911" s="55">
        <f>MAX(0,IF(Parameter!$B$20="Jahresanfang 2025 + Export",BG911+BF911,BF911))</f>
        <v/>
      </c>
      <c r="H911" s="55">
        <f>G911*F911</f>
        <v/>
      </c>
      <c r="I911" s="55">
        <f>BI911*Parameter!$B$18</f>
        <v/>
      </c>
      <c r="J911" s="56" t="n">
        <v>8</v>
      </c>
      <c r="K911" s="57" t="n">
        <v>0</v>
      </c>
      <c r="L911" s="55" t="n">
        <v>0</v>
      </c>
      <c r="M911" s="55" t="n">
        <v>1</v>
      </c>
      <c r="N911" s="58" t="n">
        <v>70</v>
      </c>
      <c r="O911" s="53" t="inlineStr">
        <is>
          <t>S33</t>
        </is>
      </c>
      <c r="P911" s="55" t="n">
        <v>16</v>
      </c>
      <c r="Q911" s="59">
        <f>IF(BO911=1,0,IFERROR(VLOOKUP(BM911,'Gebinde-Kategorie'!$A$5:$G$45,6,0)+0,0))</f>
        <v/>
      </c>
      <c r="R911" s="60" t="n"/>
      <c r="S911" s="61" t="n"/>
      <c r="T911" s="61" t="n"/>
      <c r="U911" s="53">
        <f>IF(A911="","",IF(IFERROR(VLOOKUP(D911,Parameter!$A$35:$C$64,2,0),"Nein")="2+3",IF(ISNUMBER(SEARCH("grosser Artikel",BJ911)),2,IFERROR(VLOOKUP(BM911,Parameter!$F$35:$G$64,2,0),2)),IF(OR(IFERROR(VLOOKUP(D911,Parameter!$A$35:$C$64,2,0),"Nein")="Nein",IFERROR(VLOOKUP(D911,Parameter!$A$35:$C$64,2,0),"Nein")=""),"-",VLOOKUP(D911,Parameter!$A$35:$C$64,2,0))))</f>
        <v/>
      </c>
      <c r="V911" s="61" t="n"/>
      <c r="W911" s="62" t="n"/>
      <c r="X911" s="55">
        <f>AM911</f>
        <v/>
      </c>
      <c r="Y911" s="55">
        <f>MAX(AM911,G911)</f>
        <v/>
      </c>
      <c r="Z911" s="63" t="n"/>
      <c r="AA911" s="55">
        <f>IF(LEFT(Cockpit!$C$5,1)="A",G911,IF(BT911=1,BU911,IF(LEFT(Cockpit!$C$5,1)="B",AE911,MAX(AE911,G911))))</f>
        <v/>
      </c>
      <c r="AB911" s="55">
        <f>IF(BO911=1,0,ROUNDUP(AA911/BN911,0))</f>
        <v/>
      </c>
      <c r="AC911" s="64">
        <f>IF(BO911=1,IF(AA911&lt;=0,0,BP911*MAX(1,IF(G911&gt;0,AA911/G911,1))),AB911*Q911)</f>
        <v/>
      </c>
      <c r="AD911" s="55">
        <f>AA911*F911</f>
        <v/>
      </c>
      <c r="AE911" s="55">
        <f>ROUNDUP(MAX(I911/IF(BS911&gt;0,BS911,MAX(0.1,N(Cockpit!$C$6))),BV911)/BN911,0)*BN911</f>
        <v/>
      </c>
      <c r="AF911" s="56">
        <f>IF(AC911&gt;0,I911/AC911,-1)</f>
        <v/>
      </c>
      <c r="AG911" s="56">
        <f>IF(AND(OR(BR911="L1",BR911="L23"),AC911&gt;0),SUMIFS($AC$7:$AC$1570,$BR$7:$BR$1570,BR911,$AF$7:$AF$1570,"&gt;"&amp;AF911)+SUMIFS($AC$7:$AC$1570,$BR$7:$BR$1570,BR911,$AF$7:$AF$1570,AF911,$BL$7:$BL$1570,"&lt;="&amp;BL911),"")</f>
        <v/>
      </c>
      <c r="AH911" s="65">
        <f>IF(AG911="",0,MAX(0,MIN(1,(IF(BR911="L1",Parameter!$K$5,Parameter!$K$6+Parameter!$K$7)-(AG911-AC911))/AC911)))</f>
        <v/>
      </c>
      <c r="AI911" s="55">
        <f>IF(LEFT(Cockpit!$I$5,1)="A",G911,IF(BT911=1,BU911,IF(LEFT(Cockpit!$I$5,1)="B",AM911,MAX(AM911,G911))))</f>
        <v/>
      </c>
      <c r="AJ911" s="55">
        <f>IF(BO911=1,0,ROUNDUP(AI911/BN911,0))</f>
        <v/>
      </c>
      <c r="AK911" s="64">
        <f>IF(BO911=1,IF(AI911&lt;=0,0,BP911*MAX(1,IF(G911&gt;0,AI911/G911,1))),AJ911*Q911)</f>
        <v/>
      </c>
      <c r="AL911" s="55">
        <f>AI911*F911</f>
        <v/>
      </c>
      <c r="AM911" s="55">
        <f>ROUNDUP(MAX(I911/IF(BS911&gt;0,BS911,MAX(0.1,N(Cockpit!$I$6))),BV911)/BN911,0)*BN911</f>
        <v/>
      </c>
      <c r="AN911" s="56">
        <f>IF(AK911&gt;0,I911/AK911,-1)</f>
        <v/>
      </c>
      <c r="AO911" s="56">
        <f>IF(AND(OR(BR911="L1",BR911="L23"),AK911&gt;0),SUMIFS($AK$7:$AK$1570,$BR$7:$BR$1570,BR911,$AN$7:$AN$1570,"&gt;"&amp;AN911)+SUMIFS($AK$7:$AK$1570,$BR$7:$BR$1570,BR911,$AN$7:$AN$1570,AN911,$BL$7:$BL$1570,"&lt;="&amp;BL911),"")</f>
        <v/>
      </c>
      <c r="AP911" s="65">
        <f>IF(AO911="",0,MAX(0,MIN(1,(IF(BR911="L1",Parameter!$K$5,Parameter!$K$6+Parameter!$K$7)-(AO911-AK911))/AK911)))</f>
        <v/>
      </c>
      <c r="AQ911" s="55">
        <f>IF(LEFT(Cockpit!$O$5,1)="A",G911,IF(BT911=1,BU911,IF(LEFT(Cockpit!$O$5,1)="B",AU911,MAX(AU911,G911))))</f>
        <v/>
      </c>
      <c r="AR911" s="55">
        <f>IF(BO911=1,0,ROUNDUP(AQ911/BN911,0))</f>
        <v/>
      </c>
      <c r="AS911" s="64">
        <f>IF(BO911=1,IF(AQ911&lt;=0,0,BP911*MAX(1,IF(G911&gt;0,AQ911/G911,1))),AR911*Q911)</f>
        <v/>
      </c>
      <c r="AT911" s="55">
        <f>AQ911*F911</f>
        <v/>
      </c>
      <c r="AU911" s="55">
        <f>ROUNDUP(MAX(I911/IF(BS911&gt;0,BS911,MAX(0.1,N(Cockpit!$O$6))),BV911)/BN911,0)*BN911</f>
        <v/>
      </c>
      <c r="AV911" s="56">
        <f>IF(AS911&gt;0,I911/AS911,-1)</f>
        <v/>
      </c>
      <c r="AW911" s="56">
        <f>IF(AND(OR(BR911="L1",BR911="L23"),AS911&gt;0),SUMIFS($AS$7:$AS$1570,$BR$7:$BR$1570,BR911,$AV$7:$AV$1570,"&gt;"&amp;AV911)+SUMIFS($AS$7:$AS$1570,$BR$7:$BR$1570,BR911,$AV$7:$AV$1570,AV911,$BL$7:$BL$1570,"&lt;="&amp;BL911),"")</f>
        <v/>
      </c>
      <c r="AX911" s="65">
        <f>IF(AW911="",0,MAX(0,MIN(1,(IF(BR911="L1",Parameter!$K$5,Parameter!$K$6+Parameter!$K$7)-(AW911-AS911))/AS911)))</f>
        <v/>
      </c>
      <c r="AY911" s="53">
        <f>IF(AC911&lt;=0,"",IF(BR911="Aussen","Aussenlager",IF(BR911="-","Nicht im Lift",IF(AH911&gt;=1,"Lift",IF(AH911&lt;=0,"Aussenlager","teilweise")))))</f>
        <v/>
      </c>
      <c r="AZ911" s="53">
        <f>IF(AK911&lt;=0,"",IF(BR911="Aussen","Aussenlager",IF(BR911="-","Nicht im Lift",IF(AP911&gt;=1,"Lift",IF(AP911&lt;=0,"Aussenlager","teilweise")))))</f>
        <v/>
      </c>
      <c r="BA911" s="53">
        <f>IF(AS911&lt;=0,"",IF(BR911="Aussen","Aussenlager",IF(BR911="-","Nicht im Lift",IF(AX911&gt;=1,"Lift",IF(AX911&lt;=0,"Aussenlager","teilweise")))))</f>
        <v/>
      </c>
      <c r="BB911" s="53">
        <f>IF(A911="","",IF(BK911=1,"Neu; ","")&amp;IF(AND(BK911=0,BF911&lt;0),"negativer Bestand (Export "&amp;BF911&amp;"); ","")&amp;IF(I911&lt;=0,"Kein Verbrauch; ","")&amp;IF(BO911=1,"Lose – Fläche geschätzt; ","")&amp;IF(G911&gt;AM911,"Überbestand "&amp;ROUND(G911-AM911,0)&amp;" Stk / CHF "&amp;ROUND((G911-AM911)*F911,0)&amp;"; ","")&amp;IF(AND(BT911=1,BU911&lt;BV911),"MAX &lt; MB+LG; ","")&amp;IF(AND(BZ911&gt;0,BY911*10&gt;BZ911),"zu hoch für Tablar; ","")&amp;IF(AND(BK911=0,OR(BT911=1,V911&lt;&gt;"",S911&lt;&gt;"",T911&lt;&gt;"",W911&lt;&gt;"")),"manuell übersteuert; ","")&amp;IF(AND(BO911=0,Q911=0),"Gebinde unbekannt; ","")&amp;IF(AND(BO911=0,N(T911)&lt;=0,N(P911)&lt;=0),"Menge pro Gebinde fehlt (Ist = 1 Gebinde); ","")&amp;BJ911)</f>
        <v/>
      </c>
      <c r="BC911" s="53" t="n"/>
      <c r="BD911" s="53" t="n"/>
      <c r="BE911" s="61" t="n"/>
      <c r="BF911" s="55" t="n">
        <v>-1</v>
      </c>
      <c r="BG911" s="55" t="n">
        <v>8</v>
      </c>
      <c r="BH911" s="54" t="n">
        <v>-38.53</v>
      </c>
      <c r="BI911" s="55" t="n">
        <v>0</v>
      </c>
      <c r="BJ911" s="53" t="inlineStr"/>
      <c r="BK911" s="58" t="n">
        <v>0</v>
      </c>
      <c r="BL911" s="58" t="n">
        <v>911</v>
      </c>
      <c r="BM911" s="53">
        <f>IF(S911&lt;&gt;"",UPPER(TRIM(S911)),IF(O911="","LOSE",O911))</f>
        <v/>
      </c>
      <c r="BN911" s="55">
        <f>IF(BM911="LOSE",1,IF(N(T911)&gt;0,T911,IF(N(P911)&gt;0,P911,MAX(1,G911))))</f>
        <v/>
      </c>
      <c r="BO911" s="58">
        <f>IF(BM911="LOSE",1,0)</f>
        <v/>
      </c>
      <c r="BP911" s="64">
        <f>IF(BO911=0,0,IF(N(R911)&gt;0,R911,IFERROR(VLOOKUP(D911,Parameter!$A$35:$C$64,3,0)+0,0)))</f>
        <v/>
      </c>
      <c r="BQ911" s="53">
        <f>IF(V911&lt;&gt;"",V911,U911)</f>
        <v/>
      </c>
      <c r="BR911" s="53">
        <f>IF(BQ911=1,"L1",IF(OR(BQ911=2,BQ911=3),"L23",IF(BQ911="Aussen","Aussen","-")))</f>
        <v/>
      </c>
      <c r="BS911" s="66">
        <f>IF(N(W911)&gt;0,W911,0)</f>
        <v/>
      </c>
      <c r="BT911" s="58">
        <f>IF(ISNUMBER(Z911),1,0)</f>
        <v/>
      </c>
      <c r="BU911" s="55">
        <f>N(Z911)</f>
        <v/>
      </c>
      <c r="BV911" s="55">
        <f>N(L911)+N(M911)</f>
        <v/>
      </c>
      <c r="BW911" s="55">
        <f>ROUNDUP(G911/BN911,0)</f>
        <v/>
      </c>
      <c r="BX911" s="55">
        <f>ROUNDUP(BU911/BN911,0)</f>
        <v/>
      </c>
      <c r="BY911" s="58">
        <f>IF(BO911=1,0,IFERROR(VLOOKUP(BM911,'Gebinde-Kategorie'!$A$5:$G$45,5,0)+0,0))</f>
        <v/>
      </c>
      <c r="BZ911" s="58">
        <f>IFERROR(IF(OR(BQ911=1,BQ911=2,BQ911=3),N(INDEX(Parameter!$I$5:$I$7,BQ911)),0),0)</f>
        <v/>
      </c>
    </row>
    <row r="912">
      <c r="A912" s="53" t="inlineStr">
        <is>
          <t>109630</t>
        </is>
      </c>
      <c r="B912" s="53" t="inlineStr">
        <is>
          <t>Zylinderschraube mit Innensechskant</t>
        </is>
      </c>
      <c r="C912" s="53" t="inlineStr">
        <is>
          <t>F</t>
        </is>
      </c>
      <c r="D912" s="53" t="inlineStr">
        <is>
          <t>KTL</t>
        </is>
      </c>
      <c r="E912" s="53" t="inlineStr">
        <is>
          <t>C</t>
        </is>
      </c>
      <c r="F912" s="54" t="n">
        <v>0.31</v>
      </c>
      <c r="G912" s="55">
        <f>MAX(0,IF(Parameter!$B$20="Jahresanfang 2025 + Export",BG912+BF912,BF912))</f>
        <v/>
      </c>
      <c r="H912" s="55">
        <f>G912*F912</f>
        <v/>
      </c>
      <c r="I912" s="55">
        <f>BI912*Parameter!$B$18</f>
        <v/>
      </c>
      <c r="J912" s="56" t="n">
        <v>122.5</v>
      </c>
      <c r="K912" s="57" t="n">
        <v>1.110204081632653</v>
      </c>
      <c r="L912" s="55" t="n">
        <v>5</v>
      </c>
      <c r="M912" s="55" t="n">
        <v>200</v>
      </c>
      <c r="N912" s="58" t="n">
        <v>14</v>
      </c>
      <c r="O912" s="53" t="inlineStr">
        <is>
          <t>S32</t>
        </is>
      </c>
      <c r="P912" s="55" t="n">
        <v>70</v>
      </c>
      <c r="Q912" s="59">
        <f>IF(BO912=1,0,IFERROR(VLOOKUP(BM912,'Gebinde-Kategorie'!$A$5:$G$45,6,0)+0,0))</f>
        <v/>
      </c>
      <c r="R912" s="60" t="n"/>
      <c r="S912" s="61" t="n"/>
      <c r="T912" s="61" t="n"/>
      <c r="U912" s="53">
        <f>IF(A912="","",IF(IFERROR(VLOOKUP(D912,Parameter!$A$35:$C$64,2,0),"Nein")="2+3",IF(ISNUMBER(SEARCH("grosser Artikel",BJ912)),2,IFERROR(VLOOKUP(BM912,Parameter!$F$35:$G$64,2,0),2)),IF(OR(IFERROR(VLOOKUP(D912,Parameter!$A$35:$C$64,2,0),"Nein")="Nein",IFERROR(VLOOKUP(D912,Parameter!$A$35:$C$64,2,0),"Nein")=""),"-",VLOOKUP(D912,Parameter!$A$35:$C$64,2,0))))</f>
        <v/>
      </c>
      <c r="V912" s="61" t="n"/>
      <c r="W912" s="62" t="n"/>
      <c r="X912" s="55">
        <f>AM912</f>
        <v/>
      </c>
      <c r="Y912" s="55">
        <f>MAX(AM912,G912)</f>
        <v/>
      </c>
      <c r="Z912" s="63" t="n"/>
      <c r="AA912" s="55">
        <f>IF(LEFT(Cockpit!$C$5,1)="A",G912,IF(BT912=1,BU912,IF(LEFT(Cockpit!$C$5,1)="B",AE912,MAX(AE912,G912))))</f>
        <v/>
      </c>
      <c r="AB912" s="55">
        <f>IF(BO912=1,0,ROUNDUP(AA912/BN912,0))</f>
        <v/>
      </c>
      <c r="AC912" s="64">
        <f>IF(BO912=1,IF(AA912&lt;=0,0,BP912*MAX(1,IF(G912&gt;0,AA912/G912,1))),AB912*Q912)</f>
        <v/>
      </c>
      <c r="AD912" s="55">
        <f>AA912*F912</f>
        <v/>
      </c>
      <c r="AE912" s="55">
        <f>ROUNDUP(MAX(I912/IF(BS912&gt;0,BS912,MAX(0.1,N(Cockpit!$C$6))),BV912)/BN912,0)*BN912</f>
        <v/>
      </c>
      <c r="AF912" s="56">
        <f>IF(AC912&gt;0,I912/AC912,-1)</f>
        <v/>
      </c>
      <c r="AG912" s="56">
        <f>IF(AND(OR(BR912="L1",BR912="L23"),AC912&gt;0),SUMIFS($AC$7:$AC$1570,$BR$7:$BR$1570,BR912,$AF$7:$AF$1570,"&gt;"&amp;AF912)+SUMIFS($AC$7:$AC$1570,$BR$7:$BR$1570,BR912,$AF$7:$AF$1570,AF912,$BL$7:$BL$1570,"&lt;="&amp;BL912),"")</f>
        <v/>
      </c>
      <c r="AH912" s="65">
        <f>IF(AG912="",0,MAX(0,MIN(1,(IF(BR912="L1",Parameter!$K$5,Parameter!$K$6+Parameter!$K$7)-(AG912-AC912))/AC912)))</f>
        <v/>
      </c>
      <c r="AI912" s="55">
        <f>IF(LEFT(Cockpit!$I$5,1)="A",G912,IF(BT912=1,BU912,IF(LEFT(Cockpit!$I$5,1)="B",AM912,MAX(AM912,G912))))</f>
        <v/>
      </c>
      <c r="AJ912" s="55">
        <f>IF(BO912=1,0,ROUNDUP(AI912/BN912,0))</f>
        <v/>
      </c>
      <c r="AK912" s="64">
        <f>IF(BO912=1,IF(AI912&lt;=0,0,BP912*MAX(1,IF(G912&gt;0,AI912/G912,1))),AJ912*Q912)</f>
        <v/>
      </c>
      <c r="AL912" s="55">
        <f>AI912*F912</f>
        <v/>
      </c>
      <c r="AM912" s="55">
        <f>ROUNDUP(MAX(I912/IF(BS912&gt;0,BS912,MAX(0.1,N(Cockpit!$I$6))),BV912)/BN912,0)*BN912</f>
        <v/>
      </c>
      <c r="AN912" s="56">
        <f>IF(AK912&gt;0,I912/AK912,-1)</f>
        <v/>
      </c>
      <c r="AO912" s="56">
        <f>IF(AND(OR(BR912="L1",BR912="L23"),AK912&gt;0),SUMIFS($AK$7:$AK$1570,$BR$7:$BR$1570,BR912,$AN$7:$AN$1570,"&gt;"&amp;AN912)+SUMIFS($AK$7:$AK$1570,$BR$7:$BR$1570,BR912,$AN$7:$AN$1570,AN912,$BL$7:$BL$1570,"&lt;="&amp;BL912),"")</f>
        <v/>
      </c>
      <c r="AP912" s="65">
        <f>IF(AO912="",0,MAX(0,MIN(1,(IF(BR912="L1",Parameter!$K$5,Parameter!$K$6+Parameter!$K$7)-(AO912-AK912))/AK912)))</f>
        <v/>
      </c>
      <c r="AQ912" s="55">
        <f>IF(LEFT(Cockpit!$O$5,1)="A",G912,IF(BT912=1,BU912,IF(LEFT(Cockpit!$O$5,1)="B",AU912,MAX(AU912,G912))))</f>
        <v/>
      </c>
      <c r="AR912" s="55">
        <f>IF(BO912=1,0,ROUNDUP(AQ912/BN912,0))</f>
        <v/>
      </c>
      <c r="AS912" s="64">
        <f>IF(BO912=1,IF(AQ912&lt;=0,0,BP912*MAX(1,IF(G912&gt;0,AQ912/G912,1))),AR912*Q912)</f>
        <v/>
      </c>
      <c r="AT912" s="55">
        <f>AQ912*F912</f>
        <v/>
      </c>
      <c r="AU912" s="55">
        <f>ROUNDUP(MAX(I912/IF(BS912&gt;0,BS912,MAX(0.1,N(Cockpit!$O$6))),BV912)/BN912,0)*BN912</f>
        <v/>
      </c>
      <c r="AV912" s="56">
        <f>IF(AS912&gt;0,I912/AS912,-1)</f>
        <v/>
      </c>
      <c r="AW912" s="56">
        <f>IF(AND(OR(BR912="L1",BR912="L23"),AS912&gt;0),SUMIFS($AS$7:$AS$1570,$BR$7:$BR$1570,BR912,$AV$7:$AV$1570,"&gt;"&amp;AV912)+SUMIFS($AS$7:$AS$1570,$BR$7:$BR$1570,BR912,$AV$7:$AV$1570,AV912,$BL$7:$BL$1570,"&lt;="&amp;BL912),"")</f>
        <v/>
      </c>
      <c r="AX912" s="65">
        <f>IF(AW912="",0,MAX(0,MIN(1,(IF(BR912="L1",Parameter!$K$5,Parameter!$K$6+Parameter!$K$7)-(AW912-AS912))/AS912)))</f>
        <v/>
      </c>
      <c r="AY912" s="53">
        <f>IF(AC912&lt;=0,"",IF(BR912="Aussen","Aussenlager",IF(BR912="-","Nicht im Lift",IF(AH912&gt;=1,"Lift",IF(AH912&lt;=0,"Aussenlager","teilweise")))))</f>
        <v/>
      </c>
      <c r="AZ912" s="53">
        <f>IF(AK912&lt;=0,"",IF(BR912="Aussen","Aussenlager",IF(BR912="-","Nicht im Lift",IF(AP912&gt;=1,"Lift",IF(AP912&lt;=0,"Aussenlager","teilweise")))))</f>
        <v/>
      </c>
      <c r="BA912" s="53">
        <f>IF(AS912&lt;=0,"",IF(BR912="Aussen","Aussenlager",IF(BR912="-","Nicht im Lift",IF(AX912&gt;=1,"Lift",IF(AX912&lt;=0,"Aussenlager","teilweise")))))</f>
        <v/>
      </c>
      <c r="BB912" s="53">
        <f>IF(A912="","",IF(BK912=1,"Neu; ","")&amp;IF(AND(BK912=0,BF912&lt;0),"negativer Bestand (Export "&amp;BF912&amp;"); ","")&amp;IF(I912&lt;=0,"Kein Verbrauch; ","")&amp;IF(BO912=1,"Lose – Fläche geschätzt; ","")&amp;IF(G912&gt;AM912,"Überbestand "&amp;ROUND(G912-AM912,0)&amp;" Stk / CHF "&amp;ROUND((G912-AM912)*F912,0)&amp;"; ","")&amp;IF(AND(BT912=1,BU912&lt;BV912),"MAX &lt; MB+LG; ","")&amp;IF(AND(BZ912&gt;0,BY912*10&gt;BZ912),"zu hoch für Tablar; ","")&amp;IF(AND(BK912=0,OR(BT912=1,V912&lt;&gt;"",S912&lt;&gt;"",T912&lt;&gt;"",W912&lt;&gt;"")),"manuell übersteuert; ","")&amp;IF(AND(BO912=0,Q912=0),"Gebinde unbekannt; ","")&amp;IF(AND(BO912=0,N(T912)&lt;=0,N(P912)&lt;=0),"Menge pro Gebinde fehlt (Ist = 1 Gebinde); ","")&amp;BJ912)</f>
        <v/>
      </c>
      <c r="BC912" s="53" t="n"/>
      <c r="BD912" s="53" t="n"/>
      <c r="BE912" s="61" t="n"/>
      <c r="BF912" s="55" t="n">
        <v>-129</v>
      </c>
      <c r="BG912" s="55" t="n">
        <v>143</v>
      </c>
      <c r="BH912" s="54" t="n">
        <v>-38.56</v>
      </c>
      <c r="BI912" s="55" t="n">
        <v>136</v>
      </c>
      <c r="BJ912" s="53" t="inlineStr"/>
      <c r="BK912" s="58" t="n">
        <v>0</v>
      </c>
      <c r="BL912" s="58" t="n">
        <v>912</v>
      </c>
      <c r="BM912" s="53">
        <f>IF(S912&lt;&gt;"",UPPER(TRIM(S912)),IF(O912="","LOSE",O912))</f>
        <v/>
      </c>
      <c r="BN912" s="55">
        <f>IF(BM912="LOSE",1,IF(N(T912)&gt;0,T912,IF(N(P912)&gt;0,P912,MAX(1,G912))))</f>
        <v/>
      </c>
      <c r="BO912" s="58">
        <f>IF(BM912="LOSE",1,0)</f>
        <v/>
      </c>
      <c r="BP912" s="64">
        <f>IF(BO912=0,0,IF(N(R912)&gt;0,R912,IFERROR(VLOOKUP(D912,Parameter!$A$35:$C$64,3,0)+0,0)))</f>
        <v/>
      </c>
      <c r="BQ912" s="53">
        <f>IF(V912&lt;&gt;"",V912,U912)</f>
        <v/>
      </c>
      <c r="BR912" s="53">
        <f>IF(BQ912=1,"L1",IF(OR(BQ912=2,BQ912=3),"L23",IF(BQ912="Aussen","Aussen","-")))</f>
        <v/>
      </c>
      <c r="BS912" s="66">
        <f>IF(N(W912)&gt;0,W912,0)</f>
        <v/>
      </c>
      <c r="BT912" s="58">
        <f>IF(ISNUMBER(Z912),1,0)</f>
        <v/>
      </c>
      <c r="BU912" s="55">
        <f>N(Z912)</f>
        <v/>
      </c>
      <c r="BV912" s="55">
        <f>N(L912)+N(M912)</f>
        <v/>
      </c>
      <c r="BW912" s="55">
        <f>ROUNDUP(G912/BN912,0)</f>
        <v/>
      </c>
      <c r="BX912" s="55">
        <f>ROUNDUP(BU912/BN912,0)</f>
        <v/>
      </c>
      <c r="BY912" s="58">
        <f>IF(BO912=1,0,IFERROR(VLOOKUP(BM912,'Gebinde-Kategorie'!$A$5:$G$45,5,0)+0,0))</f>
        <v/>
      </c>
      <c r="BZ912" s="58">
        <f>IFERROR(IF(OR(BQ912=1,BQ912=2,BQ912=3),N(INDEX(Parameter!$I$5:$I$7,BQ912)),0),0)</f>
        <v/>
      </c>
    </row>
    <row r="913">
      <c r="A913" s="53" t="inlineStr">
        <is>
          <t>102443</t>
        </is>
      </c>
      <c r="B913" s="53" t="inlineStr">
        <is>
          <t>Unterlagsscheibe</t>
        </is>
      </c>
      <c r="C913" s="53" t="inlineStr">
        <is>
          <t>F</t>
        </is>
      </c>
      <c r="D913" s="53" t="inlineStr">
        <is>
          <t>KTL</t>
        </is>
      </c>
      <c r="E913" s="53" t="inlineStr">
        <is>
          <t>C</t>
        </is>
      </c>
      <c r="F913" s="54" t="n">
        <v>0.17</v>
      </c>
      <c r="G913" s="55">
        <f>MAX(0,IF(Parameter!$B$20="Jahresanfang 2025 + Export",BG913+BF913,BF913))</f>
        <v/>
      </c>
      <c r="H913" s="55">
        <f>G913*F913</f>
        <v/>
      </c>
      <c r="I913" s="55">
        <f>BI913*Parameter!$B$18</f>
        <v/>
      </c>
      <c r="J913" s="56" t="n">
        <v>812.5</v>
      </c>
      <c r="K913" s="57" t="n">
        <v>0.1526153846153846</v>
      </c>
      <c r="L913" s="55" t="n">
        <v>7</v>
      </c>
      <c r="M913" s="55" t="n">
        <v>125</v>
      </c>
      <c r="N913" s="58" t="n">
        <v>21</v>
      </c>
      <c r="O913" s="53" t="inlineStr">
        <is>
          <t>S33</t>
        </is>
      </c>
      <c r="P913" s="55" t="n">
        <v>909</v>
      </c>
      <c r="Q913" s="59">
        <f>IF(BO913=1,0,IFERROR(VLOOKUP(BM913,'Gebinde-Kategorie'!$A$5:$G$45,6,0)+0,0))</f>
        <v/>
      </c>
      <c r="R913" s="60" t="n"/>
      <c r="S913" s="61" t="n"/>
      <c r="T913" s="61" t="n"/>
      <c r="U913" s="53">
        <f>IF(A913="","",IF(IFERROR(VLOOKUP(D913,Parameter!$A$35:$C$64,2,0),"Nein")="2+3",IF(ISNUMBER(SEARCH("grosser Artikel",BJ913)),2,IFERROR(VLOOKUP(BM913,Parameter!$F$35:$G$64,2,0),2)),IF(OR(IFERROR(VLOOKUP(D913,Parameter!$A$35:$C$64,2,0),"Nein")="Nein",IFERROR(VLOOKUP(D913,Parameter!$A$35:$C$64,2,0),"Nein")=""),"-",VLOOKUP(D913,Parameter!$A$35:$C$64,2,0))))</f>
        <v/>
      </c>
      <c r="V913" s="61" t="n"/>
      <c r="W913" s="62" t="n"/>
      <c r="X913" s="55">
        <f>AM913</f>
        <v/>
      </c>
      <c r="Y913" s="55">
        <f>MAX(AM913,G913)</f>
        <v/>
      </c>
      <c r="Z913" s="63" t="n"/>
      <c r="AA913" s="55">
        <f>IF(LEFT(Cockpit!$C$5,1)="A",G913,IF(BT913=1,BU913,IF(LEFT(Cockpit!$C$5,1)="B",AE913,MAX(AE913,G913))))</f>
        <v/>
      </c>
      <c r="AB913" s="55">
        <f>IF(BO913=1,0,ROUNDUP(AA913/BN913,0))</f>
        <v/>
      </c>
      <c r="AC913" s="64">
        <f>IF(BO913=1,IF(AA913&lt;=0,0,BP913*MAX(1,IF(G913&gt;0,AA913/G913,1))),AB913*Q913)</f>
        <v/>
      </c>
      <c r="AD913" s="55">
        <f>AA913*F913</f>
        <v/>
      </c>
      <c r="AE913" s="55">
        <f>ROUNDUP(MAX(I913/IF(BS913&gt;0,BS913,MAX(0.1,N(Cockpit!$C$6))),BV913)/BN913,0)*BN913</f>
        <v/>
      </c>
      <c r="AF913" s="56">
        <f>IF(AC913&gt;0,I913/AC913,-1)</f>
        <v/>
      </c>
      <c r="AG913" s="56">
        <f>IF(AND(OR(BR913="L1",BR913="L23"),AC913&gt;0),SUMIFS($AC$7:$AC$1570,$BR$7:$BR$1570,BR913,$AF$7:$AF$1570,"&gt;"&amp;AF913)+SUMIFS($AC$7:$AC$1570,$BR$7:$BR$1570,BR913,$AF$7:$AF$1570,AF913,$BL$7:$BL$1570,"&lt;="&amp;BL913),"")</f>
        <v/>
      </c>
      <c r="AH913" s="65">
        <f>IF(AG913="",0,MAX(0,MIN(1,(IF(BR913="L1",Parameter!$K$5,Parameter!$K$6+Parameter!$K$7)-(AG913-AC913))/AC913)))</f>
        <v/>
      </c>
      <c r="AI913" s="55">
        <f>IF(LEFT(Cockpit!$I$5,1)="A",G913,IF(BT913=1,BU913,IF(LEFT(Cockpit!$I$5,1)="B",AM913,MAX(AM913,G913))))</f>
        <v/>
      </c>
      <c r="AJ913" s="55">
        <f>IF(BO913=1,0,ROUNDUP(AI913/BN913,0))</f>
        <v/>
      </c>
      <c r="AK913" s="64">
        <f>IF(BO913=1,IF(AI913&lt;=0,0,BP913*MAX(1,IF(G913&gt;0,AI913/G913,1))),AJ913*Q913)</f>
        <v/>
      </c>
      <c r="AL913" s="55">
        <f>AI913*F913</f>
        <v/>
      </c>
      <c r="AM913" s="55">
        <f>ROUNDUP(MAX(I913/IF(BS913&gt;0,BS913,MAX(0.1,N(Cockpit!$I$6))),BV913)/BN913,0)*BN913</f>
        <v/>
      </c>
      <c r="AN913" s="56">
        <f>IF(AK913&gt;0,I913/AK913,-1)</f>
        <v/>
      </c>
      <c r="AO913" s="56">
        <f>IF(AND(OR(BR913="L1",BR913="L23"),AK913&gt;0),SUMIFS($AK$7:$AK$1570,$BR$7:$BR$1570,BR913,$AN$7:$AN$1570,"&gt;"&amp;AN913)+SUMIFS($AK$7:$AK$1570,$BR$7:$BR$1570,BR913,$AN$7:$AN$1570,AN913,$BL$7:$BL$1570,"&lt;="&amp;BL913),"")</f>
        <v/>
      </c>
      <c r="AP913" s="65">
        <f>IF(AO913="",0,MAX(0,MIN(1,(IF(BR913="L1",Parameter!$K$5,Parameter!$K$6+Parameter!$K$7)-(AO913-AK913))/AK913)))</f>
        <v/>
      </c>
      <c r="AQ913" s="55">
        <f>IF(LEFT(Cockpit!$O$5,1)="A",G913,IF(BT913=1,BU913,IF(LEFT(Cockpit!$O$5,1)="B",AU913,MAX(AU913,G913))))</f>
        <v/>
      </c>
      <c r="AR913" s="55">
        <f>IF(BO913=1,0,ROUNDUP(AQ913/BN913,0))</f>
        <v/>
      </c>
      <c r="AS913" s="64">
        <f>IF(BO913=1,IF(AQ913&lt;=0,0,BP913*MAX(1,IF(G913&gt;0,AQ913/G913,1))),AR913*Q913)</f>
        <v/>
      </c>
      <c r="AT913" s="55">
        <f>AQ913*F913</f>
        <v/>
      </c>
      <c r="AU913" s="55">
        <f>ROUNDUP(MAX(I913/IF(BS913&gt;0,BS913,MAX(0.1,N(Cockpit!$O$6))),BV913)/BN913,0)*BN913</f>
        <v/>
      </c>
      <c r="AV913" s="56">
        <f>IF(AS913&gt;0,I913/AS913,-1)</f>
        <v/>
      </c>
      <c r="AW913" s="56">
        <f>IF(AND(OR(BR913="L1",BR913="L23"),AS913&gt;0),SUMIFS($AS$7:$AS$1570,$BR$7:$BR$1570,BR913,$AV$7:$AV$1570,"&gt;"&amp;AV913)+SUMIFS($AS$7:$AS$1570,$BR$7:$BR$1570,BR913,$AV$7:$AV$1570,AV913,$BL$7:$BL$1570,"&lt;="&amp;BL913),"")</f>
        <v/>
      </c>
      <c r="AX913" s="65">
        <f>IF(AW913="",0,MAX(0,MIN(1,(IF(BR913="L1",Parameter!$K$5,Parameter!$K$6+Parameter!$K$7)-(AW913-AS913))/AS913)))</f>
        <v/>
      </c>
      <c r="AY913" s="53">
        <f>IF(AC913&lt;=0,"",IF(BR913="Aussen","Aussenlager",IF(BR913="-","Nicht im Lift",IF(AH913&gt;=1,"Lift",IF(AH913&lt;=0,"Aussenlager","teilweise")))))</f>
        <v/>
      </c>
      <c r="AZ913" s="53">
        <f>IF(AK913&lt;=0,"",IF(BR913="Aussen","Aussenlager",IF(BR913="-","Nicht im Lift",IF(AP913&gt;=1,"Lift",IF(AP913&lt;=0,"Aussenlager","teilweise")))))</f>
        <v/>
      </c>
      <c r="BA913" s="53">
        <f>IF(AS913&lt;=0,"",IF(BR913="Aussen","Aussenlager",IF(BR913="-","Nicht im Lift",IF(AX913&gt;=1,"Lift",IF(AX913&lt;=0,"Aussenlager","teilweise")))))</f>
        <v/>
      </c>
      <c r="BB913" s="53">
        <f>IF(A913="","",IF(BK913=1,"Neu; ","")&amp;IF(AND(BK913=0,BF913&lt;0),"negativer Bestand (Export "&amp;BF913&amp;"); ","")&amp;IF(I913&lt;=0,"Kein Verbrauch; ","")&amp;IF(BO913=1,"Lose – Fläche geschätzt; ","")&amp;IF(G913&gt;AM913,"Überbestand "&amp;ROUND(G913-AM913,0)&amp;" Stk / CHF "&amp;ROUND((G913-AM913)*F913,0)&amp;"; ","")&amp;IF(AND(BT913=1,BU913&lt;BV913),"MAX &lt; MB+LG; ","")&amp;IF(AND(BZ913&gt;0,BY913*10&gt;BZ913),"zu hoch für Tablar; ","")&amp;IF(AND(BK913=0,OR(BT913=1,V913&lt;&gt;"",S913&lt;&gt;"",T913&lt;&gt;"",W913&lt;&gt;"")),"manuell übersteuert; ","")&amp;IF(AND(BO913=0,Q913=0),"Gebinde unbekannt; ","")&amp;IF(AND(BO913=0,N(T913)&lt;=0,N(P913)&lt;=0),"Menge pro Gebinde fehlt (Ist = 1 Gebinde); ","")&amp;BJ913)</f>
        <v/>
      </c>
      <c r="BC913" s="53" t="n"/>
      <c r="BD913" s="53" t="n"/>
      <c r="BE913" s="61" t="n"/>
      <c r="BF913" s="55" t="n">
        <v>-227</v>
      </c>
      <c r="BG913" s="55" t="n">
        <v>873</v>
      </c>
      <c r="BH913" s="54" t="n">
        <v>-38.59</v>
      </c>
      <c r="BI913" s="55" t="n">
        <v>124</v>
      </c>
      <c r="BJ913" s="53" t="inlineStr">
        <is>
          <t>Überbestand</t>
        </is>
      </c>
      <c r="BK913" s="58" t="n">
        <v>0</v>
      </c>
      <c r="BL913" s="58" t="n">
        <v>913</v>
      </c>
      <c r="BM913" s="53">
        <f>IF(S913&lt;&gt;"",UPPER(TRIM(S913)),IF(O913="","LOSE",O913))</f>
        <v/>
      </c>
      <c r="BN913" s="55">
        <f>IF(BM913="LOSE",1,IF(N(T913)&gt;0,T913,IF(N(P913)&gt;0,P913,MAX(1,G913))))</f>
        <v/>
      </c>
      <c r="BO913" s="58">
        <f>IF(BM913="LOSE",1,0)</f>
        <v/>
      </c>
      <c r="BP913" s="64">
        <f>IF(BO913=0,0,IF(N(R913)&gt;0,R913,IFERROR(VLOOKUP(D913,Parameter!$A$35:$C$64,3,0)+0,0)))</f>
        <v/>
      </c>
      <c r="BQ913" s="53">
        <f>IF(V913&lt;&gt;"",V913,U913)</f>
        <v/>
      </c>
      <c r="BR913" s="53">
        <f>IF(BQ913=1,"L1",IF(OR(BQ913=2,BQ913=3),"L23",IF(BQ913="Aussen","Aussen","-")))</f>
        <v/>
      </c>
      <c r="BS913" s="66">
        <f>IF(N(W913)&gt;0,W913,0)</f>
        <v/>
      </c>
      <c r="BT913" s="58">
        <f>IF(ISNUMBER(Z913),1,0)</f>
        <v/>
      </c>
      <c r="BU913" s="55">
        <f>N(Z913)</f>
        <v/>
      </c>
      <c r="BV913" s="55">
        <f>N(L913)+N(M913)</f>
        <v/>
      </c>
      <c r="BW913" s="55">
        <f>ROUNDUP(G913/BN913,0)</f>
        <v/>
      </c>
      <c r="BX913" s="55">
        <f>ROUNDUP(BU913/BN913,0)</f>
        <v/>
      </c>
      <c r="BY913" s="58">
        <f>IF(BO913=1,0,IFERROR(VLOOKUP(BM913,'Gebinde-Kategorie'!$A$5:$G$45,5,0)+0,0))</f>
        <v/>
      </c>
      <c r="BZ913" s="58">
        <f>IFERROR(IF(OR(BQ913=1,BQ913=2,BQ913=3),N(INDEX(Parameter!$I$5:$I$7,BQ913)),0),0)</f>
        <v/>
      </c>
    </row>
    <row r="914">
      <c r="A914" s="53" t="inlineStr">
        <is>
          <t>108873</t>
        </is>
      </c>
      <c r="B914" s="53" t="inlineStr">
        <is>
          <t>Einrastschildchen -A51.1</t>
        </is>
      </c>
      <c r="C914" s="53" t="inlineStr">
        <is>
          <t>G</t>
        </is>
      </c>
      <c r="D914" s="53" t="inlineStr">
        <is>
          <t>KTL</t>
        </is>
      </c>
      <c r="E914" s="53" t="inlineStr">
        <is>
          <t>C</t>
        </is>
      </c>
      <c r="F914" s="54" t="n">
        <v>0.76</v>
      </c>
      <c r="G914" s="55">
        <f>MAX(0,IF(Parameter!$B$20="Jahresanfang 2025 + Export",BG914+BF914,BF914))</f>
        <v/>
      </c>
      <c r="H914" s="55">
        <f>G914*F914</f>
        <v/>
      </c>
      <c r="I914" s="55">
        <f>BI914*Parameter!$B$18</f>
        <v/>
      </c>
      <c r="J914" s="56" t="n">
        <v>40.5</v>
      </c>
      <c r="K914" s="57" t="n">
        <v>0</v>
      </c>
      <c r="L914" s="55" t="n">
        <v>0</v>
      </c>
      <c r="M914" s="55" t="n">
        <v>1</v>
      </c>
      <c r="N914" s="58" t="n">
        <v>21</v>
      </c>
      <c r="O914" s="53" t="inlineStr">
        <is>
          <t>LOSE</t>
        </is>
      </c>
      <c r="P914" s="55" t="n"/>
      <c r="Q914" s="59">
        <f>IF(BO914=1,0,IFERROR(VLOOKUP(BM914,'Gebinde-Kategorie'!$A$5:$G$45,6,0)+0,0))</f>
        <v/>
      </c>
      <c r="R914" s="60" t="n"/>
      <c r="S914" s="61" t="n"/>
      <c r="T914" s="61" t="n"/>
      <c r="U914" s="53">
        <f>IF(A914="","",IF(IFERROR(VLOOKUP(D914,Parameter!$A$35:$C$64,2,0),"Nein")="2+3",IF(ISNUMBER(SEARCH("grosser Artikel",BJ914)),2,IFERROR(VLOOKUP(BM914,Parameter!$F$35:$G$64,2,0),2)),IF(OR(IFERROR(VLOOKUP(D914,Parameter!$A$35:$C$64,2,0),"Nein")="Nein",IFERROR(VLOOKUP(D914,Parameter!$A$35:$C$64,2,0),"Nein")=""),"-",VLOOKUP(D914,Parameter!$A$35:$C$64,2,0))))</f>
        <v/>
      </c>
      <c r="V914" s="61" t="n"/>
      <c r="W914" s="62" t="n"/>
      <c r="X914" s="55">
        <f>AM914</f>
        <v/>
      </c>
      <c r="Y914" s="55">
        <f>MAX(AM914,G914)</f>
        <v/>
      </c>
      <c r="Z914" s="63" t="n"/>
      <c r="AA914" s="55">
        <f>IF(LEFT(Cockpit!$C$5,1)="A",G914,IF(BT914=1,BU914,IF(LEFT(Cockpit!$C$5,1)="B",AE914,MAX(AE914,G914))))</f>
        <v/>
      </c>
      <c r="AB914" s="55">
        <f>IF(BO914=1,0,ROUNDUP(AA914/BN914,0))</f>
        <v/>
      </c>
      <c r="AC914" s="64">
        <f>IF(BO914=1,IF(AA914&lt;=0,0,BP914*MAX(1,IF(G914&gt;0,AA914/G914,1))),AB914*Q914)</f>
        <v/>
      </c>
      <c r="AD914" s="55">
        <f>AA914*F914</f>
        <v/>
      </c>
      <c r="AE914" s="55">
        <f>ROUNDUP(MAX(I914/IF(BS914&gt;0,BS914,MAX(0.1,N(Cockpit!$C$6))),BV914)/BN914,0)*BN914</f>
        <v/>
      </c>
      <c r="AF914" s="56">
        <f>IF(AC914&gt;0,I914/AC914,-1)</f>
        <v/>
      </c>
      <c r="AG914" s="56">
        <f>IF(AND(OR(BR914="L1",BR914="L23"),AC914&gt;0),SUMIFS($AC$7:$AC$1570,$BR$7:$BR$1570,BR914,$AF$7:$AF$1570,"&gt;"&amp;AF914)+SUMIFS($AC$7:$AC$1570,$BR$7:$BR$1570,BR914,$AF$7:$AF$1570,AF914,$BL$7:$BL$1570,"&lt;="&amp;BL914),"")</f>
        <v/>
      </c>
      <c r="AH914" s="65">
        <f>IF(AG914="",0,MAX(0,MIN(1,(IF(BR914="L1",Parameter!$K$5,Parameter!$K$6+Parameter!$K$7)-(AG914-AC914))/AC914)))</f>
        <v/>
      </c>
      <c r="AI914" s="55">
        <f>IF(LEFT(Cockpit!$I$5,1)="A",G914,IF(BT914=1,BU914,IF(LEFT(Cockpit!$I$5,1)="B",AM914,MAX(AM914,G914))))</f>
        <v/>
      </c>
      <c r="AJ914" s="55">
        <f>IF(BO914=1,0,ROUNDUP(AI914/BN914,0))</f>
        <v/>
      </c>
      <c r="AK914" s="64">
        <f>IF(BO914=1,IF(AI914&lt;=0,0,BP914*MAX(1,IF(G914&gt;0,AI914/G914,1))),AJ914*Q914)</f>
        <v/>
      </c>
      <c r="AL914" s="55">
        <f>AI914*F914</f>
        <v/>
      </c>
      <c r="AM914" s="55">
        <f>ROUNDUP(MAX(I914/IF(BS914&gt;0,BS914,MAX(0.1,N(Cockpit!$I$6))),BV914)/BN914,0)*BN914</f>
        <v/>
      </c>
      <c r="AN914" s="56">
        <f>IF(AK914&gt;0,I914/AK914,-1)</f>
        <v/>
      </c>
      <c r="AO914" s="56">
        <f>IF(AND(OR(BR914="L1",BR914="L23"),AK914&gt;0),SUMIFS($AK$7:$AK$1570,$BR$7:$BR$1570,BR914,$AN$7:$AN$1570,"&gt;"&amp;AN914)+SUMIFS($AK$7:$AK$1570,$BR$7:$BR$1570,BR914,$AN$7:$AN$1570,AN914,$BL$7:$BL$1570,"&lt;="&amp;BL914),"")</f>
        <v/>
      </c>
      <c r="AP914" s="65">
        <f>IF(AO914="",0,MAX(0,MIN(1,(IF(BR914="L1",Parameter!$K$5,Parameter!$K$6+Parameter!$K$7)-(AO914-AK914))/AK914)))</f>
        <v/>
      </c>
      <c r="AQ914" s="55">
        <f>IF(LEFT(Cockpit!$O$5,1)="A",G914,IF(BT914=1,BU914,IF(LEFT(Cockpit!$O$5,1)="B",AU914,MAX(AU914,G914))))</f>
        <v/>
      </c>
      <c r="AR914" s="55">
        <f>IF(BO914=1,0,ROUNDUP(AQ914/BN914,0))</f>
        <v/>
      </c>
      <c r="AS914" s="64">
        <f>IF(BO914=1,IF(AQ914&lt;=0,0,BP914*MAX(1,IF(G914&gt;0,AQ914/G914,1))),AR914*Q914)</f>
        <v/>
      </c>
      <c r="AT914" s="55">
        <f>AQ914*F914</f>
        <v/>
      </c>
      <c r="AU914" s="55">
        <f>ROUNDUP(MAX(I914/IF(BS914&gt;0,BS914,MAX(0.1,N(Cockpit!$O$6))),BV914)/BN914,0)*BN914</f>
        <v/>
      </c>
      <c r="AV914" s="56">
        <f>IF(AS914&gt;0,I914/AS914,-1)</f>
        <v/>
      </c>
      <c r="AW914" s="56">
        <f>IF(AND(OR(BR914="L1",BR914="L23"),AS914&gt;0),SUMIFS($AS$7:$AS$1570,$BR$7:$BR$1570,BR914,$AV$7:$AV$1570,"&gt;"&amp;AV914)+SUMIFS($AS$7:$AS$1570,$BR$7:$BR$1570,BR914,$AV$7:$AV$1570,AV914,$BL$7:$BL$1570,"&lt;="&amp;BL914),"")</f>
        <v/>
      </c>
      <c r="AX914" s="65">
        <f>IF(AW914="",0,MAX(0,MIN(1,(IF(BR914="L1",Parameter!$K$5,Parameter!$K$6+Parameter!$K$7)-(AW914-AS914))/AS914)))</f>
        <v/>
      </c>
      <c r="AY914" s="53">
        <f>IF(AC914&lt;=0,"",IF(BR914="Aussen","Aussenlager",IF(BR914="-","Nicht im Lift",IF(AH914&gt;=1,"Lift",IF(AH914&lt;=0,"Aussenlager","teilweise")))))</f>
        <v/>
      </c>
      <c r="AZ914" s="53">
        <f>IF(AK914&lt;=0,"",IF(BR914="Aussen","Aussenlager",IF(BR914="-","Nicht im Lift",IF(AP914&gt;=1,"Lift",IF(AP914&lt;=0,"Aussenlager","teilweise")))))</f>
        <v/>
      </c>
      <c r="BA914" s="53">
        <f>IF(AS914&lt;=0,"",IF(BR914="Aussen","Aussenlager",IF(BR914="-","Nicht im Lift",IF(AX914&gt;=1,"Lift",IF(AX914&lt;=0,"Aussenlager","teilweise")))))</f>
        <v/>
      </c>
      <c r="BB914" s="53">
        <f>IF(A914="","",IF(BK914=1,"Neu; ","")&amp;IF(AND(BK914=0,BF914&lt;0),"negativer Bestand (Export "&amp;BF914&amp;"); ","")&amp;IF(I914&lt;=0,"Kein Verbrauch; ","")&amp;IF(BO914=1,"Lose – Fläche geschätzt; ","")&amp;IF(G914&gt;AM914,"Überbestand "&amp;ROUND(G914-AM914,0)&amp;" Stk / CHF "&amp;ROUND((G914-AM914)*F914,0)&amp;"; ","")&amp;IF(AND(BT914=1,BU914&lt;BV914),"MAX &lt; MB+LG; ","")&amp;IF(AND(BZ914&gt;0,BY914*10&gt;BZ914),"zu hoch für Tablar; ","")&amp;IF(AND(BK914=0,OR(BT914=1,V914&lt;&gt;"",S914&lt;&gt;"",T914&lt;&gt;"",W914&lt;&gt;"")),"manuell übersteuert; ","")&amp;IF(AND(BO914=0,Q914=0),"Gebinde unbekannt; ","")&amp;IF(AND(BO914=0,N(T914)&lt;=0,N(P914)&lt;=0),"Menge pro Gebinde fehlt (Ist = 1 Gebinde); ","")&amp;BJ914)</f>
        <v/>
      </c>
      <c r="BC914" s="53" t="n"/>
      <c r="BD914" s="53" t="n"/>
      <c r="BE914" s="61" t="n"/>
      <c r="BF914" s="55" t="n">
        <v>-51</v>
      </c>
      <c r="BG914" s="55" t="n">
        <v>51</v>
      </c>
      <c r="BH914" s="54" t="n">
        <v>-38.76000000000001</v>
      </c>
      <c r="BI914" s="55" t="n">
        <v>0</v>
      </c>
      <c r="BJ914" s="53" t="inlineStr"/>
      <c r="BK914" s="58" t="n">
        <v>0</v>
      </c>
      <c r="BL914" s="58" t="n">
        <v>914</v>
      </c>
      <c r="BM914" s="53">
        <f>IF(S914&lt;&gt;"",UPPER(TRIM(S914)),IF(O914="","LOSE",O914))</f>
        <v/>
      </c>
      <c r="BN914" s="55">
        <f>IF(BM914="LOSE",1,IF(N(T914)&gt;0,T914,IF(N(P914)&gt;0,P914,MAX(1,G914))))</f>
        <v/>
      </c>
      <c r="BO914" s="58">
        <f>IF(BM914="LOSE",1,0)</f>
        <v/>
      </c>
      <c r="BP914" s="64">
        <f>IF(BO914=0,0,IF(N(R914)&gt;0,R914,IFERROR(VLOOKUP(D914,Parameter!$A$35:$C$64,3,0)+0,0)))</f>
        <v/>
      </c>
      <c r="BQ914" s="53">
        <f>IF(V914&lt;&gt;"",V914,U914)</f>
        <v/>
      </c>
      <c r="BR914" s="53">
        <f>IF(BQ914=1,"L1",IF(OR(BQ914=2,BQ914=3),"L23",IF(BQ914="Aussen","Aussen","-")))</f>
        <v/>
      </c>
      <c r="BS914" s="66">
        <f>IF(N(W914)&gt;0,W914,0)</f>
        <v/>
      </c>
      <c r="BT914" s="58">
        <f>IF(ISNUMBER(Z914),1,0)</f>
        <v/>
      </c>
      <c r="BU914" s="55">
        <f>N(Z914)</f>
        <v/>
      </c>
      <c r="BV914" s="55">
        <f>N(L914)+N(M914)</f>
        <v/>
      </c>
      <c r="BW914" s="55">
        <f>ROUNDUP(G914/BN914,0)</f>
        <v/>
      </c>
      <c r="BX914" s="55">
        <f>ROUNDUP(BU914/BN914,0)</f>
        <v/>
      </c>
      <c r="BY914" s="58">
        <f>IF(BO914=1,0,IFERROR(VLOOKUP(BM914,'Gebinde-Kategorie'!$A$5:$G$45,5,0)+0,0))</f>
        <v/>
      </c>
      <c r="BZ914" s="58">
        <f>IFERROR(IF(OR(BQ914=1,BQ914=2,BQ914=3),N(INDEX(Parameter!$I$5:$I$7,BQ914)),0),0)</f>
        <v/>
      </c>
    </row>
    <row r="915">
      <c r="A915" s="53" t="inlineStr">
        <is>
          <t>VM00007</t>
        </is>
      </c>
      <c r="B915" s="53" t="inlineStr">
        <is>
          <t>Seitenfaltenbeutel Haube für 1/2 Eurobox</t>
        </is>
      </c>
      <c r="C915" s="53" t="inlineStr">
        <is>
          <t>F</t>
        </is>
      </c>
      <c r="D915" s="53" t="inlineStr">
        <is>
          <t>PAL</t>
        </is>
      </c>
      <c r="E915" s="53" t="inlineStr">
        <is>
          <t>C</t>
        </is>
      </c>
      <c r="F915" s="54" t="n">
        <v>2.09</v>
      </c>
      <c r="G915" s="55">
        <f>MAX(0,IF(Parameter!$B$20="Jahresanfang 2025 + Export",BG915+BF915,BF915))</f>
        <v/>
      </c>
      <c r="H915" s="55">
        <f>G915*F915</f>
        <v/>
      </c>
      <c r="I915" s="55">
        <f>BI915*Parameter!$B$18</f>
        <v/>
      </c>
      <c r="J915" s="56" t="n">
        <v>100</v>
      </c>
      <c r="K915" s="57" t="n">
        <v>1.6</v>
      </c>
      <c r="L915" s="55" t="n">
        <v>25</v>
      </c>
      <c r="M915" s="55" t="n">
        <v>100</v>
      </c>
      <c r="N915" s="58" t="n">
        <v>28</v>
      </c>
      <c r="O915" s="53" t="inlineStr">
        <is>
          <t>LOSE</t>
        </is>
      </c>
      <c r="P915" s="55" t="n"/>
      <c r="Q915" s="59">
        <f>IF(BO915=1,0,IFERROR(VLOOKUP(BM915,'Gebinde-Kategorie'!$A$5:$G$45,6,0)+0,0))</f>
        <v/>
      </c>
      <c r="R915" s="60" t="n"/>
      <c r="S915" s="61" t="n"/>
      <c r="T915" s="61" t="n"/>
      <c r="U915" s="53">
        <f>IF(A915="","",IF(IFERROR(VLOOKUP(D915,Parameter!$A$35:$C$64,2,0),"Nein")="2+3",IF(ISNUMBER(SEARCH("grosser Artikel",BJ915)),2,IFERROR(VLOOKUP(BM915,Parameter!$F$35:$G$64,2,0),2)),IF(OR(IFERROR(VLOOKUP(D915,Parameter!$A$35:$C$64,2,0),"Nein")="Nein",IFERROR(VLOOKUP(D915,Parameter!$A$35:$C$64,2,0),"Nein")=""),"-",VLOOKUP(D915,Parameter!$A$35:$C$64,2,0))))</f>
        <v/>
      </c>
      <c r="V915" s="61" t="n"/>
      <c r="W915" s="62" t="n"/>
      <c r="X915" s="55">
        <f>AM915</f>
        <v/>
      </c>
      <c r="Y915" s="55">
        <f>MAX(AM915,G915)</f>
        <v/>
      </c>
      <c r="Z915" s="63" t="n"/>
      <c r="AA915" s="55">
        <f>IF(LEFT(Cockpit!$C$5,1)="A",G915,IF(BT915=1,BU915,IF(LEFT(Cockpit!$C$5,1)="B",AE915,MAX(AE915,G915))))</f>
        <v/>
      </c>
      <c r="AB915" s="55">
        <f>IF(BO915=1,0,ROUNDUP(AA915/BN915,0))</f>
        <v/>
      </c>
      <c r="AC915" s="64">
        <f>IF(BO915=1,IF(AA915&lt;=0,0,BP915*MAX(1,IF(G915&gt;0,AA915/G915,1))),AB915*Q915)</f>
        <v/>
      </c>
      <c r="AD915" s="55">
        <f>AA915*F915</f>
        <v/>
      </c>
      <c r="AE915" s="55">
        <f>ROUNDUP(MAX(I915/IF(BS915&gt;0,BS915,MAX(0.1,N(Cockpit!$C$6))),BV915)/BN915,0)*BN915</f>
        <v/>
      </c>
      <c r="AF915" s="56">
        <f>IF(AC915&gt;0,I915/AC915,-1)</f>
        <v/>
      </c>
      <c r="AG915" s="56">
        <f>IF(AND(OR(BR915="L1",BR915="L23"),AC915&gt;0),SUMIFS($AC$7:$AC$1570,$BR$7:$BR$1570,BR915,$AF$7:$AF$1570,"&gt;"&amp;AF915)+SUMIFS($AC$7:$AC$1570,$BR$7:$BR$1570,BR915,$AF$7:$AF$1570,AF915,$BL$7:$BL$1570,"&lt;="&amp;BL915),"")</f>
        <v/>
      </c>
      <c r="AH915" s="65">
        <f>IF(AG915="",0,MAX(0,MIN(1,(IF(BR915="L1",Parameter!$K$5,Parameter!$K$6+Parameter!$K$7)-(AG915-AC915))/AC915)))</f>
        <v/>
      </c>
      <c r="AI915" s="55">
        <f>IF(LEFT(Cockpit!$I$5,1)="A",G915,IF(BT915=1,BU915,IF(LEFT(Cockpit!$I$5,1)="B",AM915,MAX(AM915,G915))))</f>
        <v/>
      </c>
      <c r="AJ915" s="55">
        <f>IF(BO915=1,0,ROUNDUP(AI915/BN915,0))</f>
        <v/>
      </c>
      <c r="AK915" s="64">
        <f>IF(BO915=1,IF(AI915&lt;=0,0,BP915*MAX(1,IF(G915&gt;0,AI915/G915,1))),AJ915*Q915)</f>
        <v/>
      </c>
      <c r="AL915" s="55">
        <f>AI915*F915</f>
        <v/>
      </c>
      <c r="AM915" s="55">
        <f>ROUNDUP(MAX(I915/IF(BS915&gt;0,BS915,MAX(0.1,N(Cockpit!$I$6))),BV915)/BN915,0)*BN915</f>
        <v/>
      </c>
      <c r="AN915" s="56">
        <f>IF(AK915&gt;0,I915/AK915,-1)</f>
        <v/>
      </c>
      <c r="AO915" s="56">
        <f>IF(AND(OR(BR915="L1",BR915="L23"),AK915&gt;0),SUMIFS($AK$7:$AK$1570,$BR$7:$BR$1570,BR915,$AN$7:$AN$1570,"&gt;"&amp;AN915)+SUMIFS($AK$7:$AK$1570,$BR$7:$BR$1570,BR915,$AN$7:$AN$1570,AN915,$BL$7:$BL$1570,"&lt;="&amp;BL915),"")</f>
        <v/>
      </c>
      <c r="AP915" s="65">
        <f>IF(AO915="",0,MAX(0,MIN(1,(IF(BR915="L1",Parameter!$K$5,Parameter!$K$6+Parameter!$K$7)-(AO915-AK915))/AK915)))</f>
        <v/>
      </c>
      <c r="AQ915" s="55">
        <f>IF(LEFT(Cockpit!$O$5,1)="A",G915,IF(BT915=1,BU915,IF(LEFT(Cockpit!$O$5,1)="B",AU915,MAX(AU915,G915))))</f>
        <v/>
      </c>
      <c r="AR915" s="55">
        <f>IF(BO915=1,0,ROUNDUP(AQ915/BN915,0))</f>
        <v/>
      </c>
      <c r="AS915" s="64">
        <f>IF(BO915=1,IF(AQ915&lt;=0,0,BP915*MAX(1,IF(G915&gt;0,AQ915/G915,1))),AR915*Q915)</f>
        <v/>
      </c>
      <c r="AT915" s="55">
        <f>AQ915*F915</f>
        <v/>
      </c>
      <c r="AU915" s="55">
        <f>ROUNDUP(MAX(I915/IF(BS915&gt;0,BS915,MAX(0.1,N(Cockpit!$O$6))),BV915)/BN915,0)*BN915</f>
        <v/>
      </c>
      <c r="AV915" s="56">
        <f>IF(AS915&gt;0,I915/AS915,-1)</f>
        <v/>
      </c>
      <c r="AW915" s="56">
        <f>IF(AND(OR(BR915="L1",BR915="L23"),AS915&gt;0),SUMIFS($AS$7:$AS$1570,$BR$7:$BR$1570,BR915,$AV$7:$AV$1570,"&gt;"&amp;AV915)+SUMIFS($AS$7:$AS$1570,$BR$7:$BR$1570,BR915,$AV$7:$AV$1570,AV915,$BL$7:$BL$1570,"&lt;="&amp;BL915),"")</f>
        <v/>
      </c>
      <c r="AX915" s="65">
        <f>IF(AW915="",0,MAX(0,MIN(1,(IF(BR915="L1",Parameter!$K$5,Parameter!$K$6+Parameter!$K$7)-(AW915-AS915))/AS915)))</f>
        <v/>
      </c>
      <c r="AY915" s="53">
        <f>IF(AC915&lt;=0,"",IF(BR915="Aussen","Aussenlager",IF(BR915="-","Nicht im Lift",IF(AH915&gt;=1,"Lift",IF(AH915&lt;=0,"Aussenlager","teilweise")))))</f>
        <v/>
      </c>
      <c r="AZ915" s="53">
        <f>IF(AK915&lt;=0,"",IF(BR915="Aussen","Aussenlager",IF(BR915="-","Nicht im Lift",IF(AP915&gt;=1,"Lift",IF(AP915&lt;=0,"Aussenlager","teilweise")))))</f>
        <v/>
      </c>
      <c r="BA915" s="53">
        <f>IF(AS915&lt;=0,"",IF(BR915="Aussen","Aussenlager",IF(BR915="-","Nicht im Lift",IF(AX915&gt;=1,"Lift",IF(AX915&lt;=0,"Aussenlager","teilweise")))))</f>
        <v/>
      </c>
      <c r="BB915" s="53">
        <f>IF(A915="","",IF(BK915=1,"Neu; ","")&amp;IF(AND(BK915=0,BF915&lt;0),"negativer Bestand (Export "&amp;BF915&amp;"); ","")&amp;IF(I915&lt;=0,"Kein Verbrauch; ","")&amp;IF(BO915=1,"Lose – Fläche geschätzt; ","")&amp;IF(G915&gt;AM915,"Überbestand "&amp;ROUND(G915-AM915,0)&amp;" Stk / CHF "&amp;ROUND((G915-AM915)*F915,0)&amp;"; ","")&amp;IF(AND(BT915=1,BU915&lt;BV915),"MAX &lt; MB+LG; ","")&amp;IF(AND(BZ915&gt;0,BY915*10&gt;BZ915),"zu hoch für Tablar; ","")&amp;IF(AND(BK915=0,OR(BT915=1,V915&lt;&gt;"",S915&lt;&gt;"",T915&lt;&gt;"",W915&lt;&gt;"")),"manuell übersteuert; ","")&amp;IF(AND(BO915=0,Q915=0),"Gebinde unbekannt; ","")&amp;IF(AND(BO915=0,N(T915)&lt;=0,N(P915)&lt;=0),"Menge pro Gebinde fehlt (Ist = 1 Gebinde); ","")&amp;BJ915)</f>
        <v/>
      </c>
      <c r="BC915" s="53" t="n"/>
      <c r="BD915" s="53" t="n"/>
      <c r="BE915" s="61" t="n"/>
      <c r="BF915" s="55" t="n">
        <v>0</v>
      </c>
      <c r="BG915" s="55" t="n">
        <v>100</v>
      </c>
      <c r="BH915" s="54" t="n">
        <v>-40</v>
      </c>
      <c r="BI915" s="55" t="n">
        <v>160</v>
      </c>
      <c r="BJ915" s="53" t="inlineStr"/>
      <c r="BK915" s="58" t="n">
        <v>0</v>
      </c>
      <c r="BL915" s="58" t="n">
        <v>915</v>
      </c>
      <c r="BM915" s="53">
        <f>IF(S915&lt;&gt;"",UPPER(TRIM(S915)),IF(O915="","LOSE",O915))</f>
        <v/>
      </c>
      <c r="BN915" s="55">
        <f>IF(BM915="LOSE",1,IF(N(T915)&gt;0,T915,IF(N(P915)&gt;0,P915,MAX(1,G915))))</f>
        <v/>
      </c>
      <c r="BO915" s="58">
        <f>IF(BM915="LOSE",1,0)</f>
        <v/>
      </c>
      <c r="BP915" s="64">
        <f>IF(BO915=0,0,IF(N(R915)&gt;0,R915,IFERROR(VLOOKUP(D915,Parameter!$A$35:$C$64,3,0)+0,0)))</f>
        <v/>
      </c>
      <c r="BQ915" s="53">
        <f>IF(V915&lt;&gt;"",V915,U915)</f>
        <v/>
      </c>
      <c r="BR915" s="53">
        <f>IF(BQ915=1,"L1",IF(OR(BQ915=2,BQ915=3),"L23",IF(BQ915="Aussen","Aussen","-")))</f>
        <v/>
      </c>
      <c r="BS915" s="66">
        <f>IF(N(W915)&gt;0,W915,0)</f>
        <v/>
      </c>
      <c r="BT915" s="58">
        <f>IF(ISNUMBER(Z915),1,0)</f>
        <v/>
      </c>
      <c r="BU915" s="55">
        <f>N(Z915)</f>
        <v/>
      </c>
      <c r="BV915" s="55">
        <f>N(L915)+N(M915)</f>
        <v/>
      </c>
      <c r="BW915" s="55">
        <f>ROUNDUP(G915/BN915,0)</f>
        <v/>
      </c>
      <c r="BX915" s="55">
        <f>ROUNDUP(BU915/BN915,0)</f>
        <v/>
      </c>
      <c r="BY915" s="58">
        <f>IF(BO915=1,0,IFERROR(VLOOKUP(BM915,'Gebinde-Kategorie'!$A$5:$G$45,5,0)+0,0))</f>
        <v/>
      </c>
      <c r="BZ915" s="58">
        <f>IFERROR(IF(OR(BQ915=1,BQ915=2,BQ915=3),N(INDEX(Parameter!$I$5:$I$7,BQ915)),0),0)</f>
        <v/>
      </c>
    </row>
    <row r="916">
      <c r="A916" s="53" t="inlineStr">
        <is>
          <t>005229</t>
        </is>
      </c>
      <c r="B916" s="53" t="inlineStr">
        <is>
          <t>Schrumpfschlauch schwarz</t>
        </is>
      </c>
      <c r="C916" s="53" t="inlineStr">
        <is>
          <t>F</t>
        </is>
      </c>
      <c r="D916" s="53" t="inlineStr">
        <is>
          <t>KTL</t>
        </is>
      </c>
      <c r="E916" s="53" t="inlineStr">
        <is>
          <t>C</t>
        </is>
      </c>
      <c r="F916" s="54" t="n">
        <v>14.19</v>
      </c>
      <c r="G916" s="55">
        <f>MAX(0,IF(Parameter!$B$20="Jahresanfang 2025 + Export",BG916+BF916,BF916))</f>
        <v/>
      </c>
      <c r="H916" s="55">
        <f>G916*F916</f>
        <v/>
      </c>
      <c r="I916" s="55">
        <f>BI916*Parameter!$B$18</f>
        <v/>
      </c>
      <c r="J916" s="56" t="n">
        <v>44.90000000000002</v>
      </c>
      <c r="K916" s="57" t="n">
        <v>0.006681514476614696</v>
      </c>
      <c r="L916" s="55" t="n">
        <v>0</v>
      </c>
      <c r="M916" s="55" t="n">
        <v>1</v>
      </c>
      <c r="N916" s="58" t="n">
        <v>21</v>
      </c>
      <c r="O916" s="53" t="inlineStr">
        <is>
          <t>S51</t>
        </is>
      </c>
      <c r="P916" s="55" t="n">
        <v>35</v>
      </c>
      <c r="Q916" s="59">
        <f>IF(BO916=1,0,IFERROR(VLOOKUP(BM916,'Gebinde-Kategorie'!$A$5:$G$45,6,0)+0,0))</f>
        <v/>
      </c>
      <c r="R916" s="60" t="n"/>
      <c r="S916" s="61" t="n"/>
      <c r="T916" s="61" t="n"/>
      <c r="U916" s="53">
        <f>IF(A916="","",IF(IFERROR(VLOOKUP(D916,Parameter!$A$35:$C$64,2,0),"Nein")="2+3",IF(ISNUMBER(SEARCH("grosser Artikel",BJ916)),2,IFERROR(VLOOKUP(BM916,Parameter!$F$35:$G$64,2,0),2)),IF(OR(IFERROR(VLOOKUP(D916,Parameter!$A$35:$C$64,2,0),"Nein")="Nein",IFERROR(VLOOKUP(D916,Parameter!$A$35:$C$64,2,0),"Nein")=""),"-",VLOOKUP(D916,Parameter!$A$35:$C$64,2,0))))</f>
        <v/>
      </c>
      <c r="V916" s="61" t="n"/>
      <c r="W916" s="62" t="n"/>
      <c r="X916" s="55">
        <f>AM916</f>
        <v/>
      </c>
      <c r="Y916" s="55">
        <f>MAX(AM916,G916)</f>
        <v/>
      </c>
      <c r="Z916" s="63" t="n"/>
      <c r="AA916" s="55">
        <f>IF(LEFT(Cockpit!$C$5,1)="A",G916,IF(BT916=1,BU916,IF(LEFT(Cockpit!$C$5,1)="B",AE916,MAX(AE916,G916))))</f>
        <v/>
      </c>
      <c r="AB916" s="55">
        <f>IF(BO916=1,0,ROUNDUP(AA916/BN916,0))</f>
        <v/>
      </c>
      <c r="AC916" s="64">
        <f>IF(BO916=1,IF(AA916&lt;=0,0,BP916*MAX(1,IF(G916&gt;0,AA916/G916,1))),AB916*Q916)</f>
        <v/>
      </c>
      <c r="AD916" s="55">
        <f>AA916*F916</f>
        <v/>
      </c>
      <c r="AE916" s="55">
        <f>ROUNDUP(MAX(I916/IF(BS916&gt;0,BS916,MAX(0.1,N(Cockpit!$C$6))),BV916)/BN916,0)*BN916</f>
        <v/>
      </c>
      <c r="AF916" s="56">
        <f>IF(AC916&gt;0,I916/AC916,-1)</f>
        <v/>
      </c>
      <c r="AG916" s="56">
        <f>IF(AND(OR(BR916="L1",BR916="L23"),AC916&gt;0),SUMIFS($AC$7:$AC$1570,$BR$7:$BR$1570,BR916,$AF$7:$AF$1570,"&gt;"&amp;AF916)+SUMIFS($AC$7:$AC$1570,$BR$7:$BR$1570,BR916,$AF$7:$AF$1570,AF916,$BL$7:$BL$1570,"&lt;="&amp;BL916),"")</f>
        <v/>
      </c>
      <c r="AH916" s="65">
        <f>IF(AG916="",0,MAX(0,MIN(1,(IF(BR916="L1",Parameter!$K$5,Parameter!$K$6+Parameter!$K$7)-(AG916-AC916))/AC916)))</f>
        <v/>
      </c>
      <c r="AI916" s="55">
        <f>IF(LEFT(Cockpit!$I$5,1)="A",G916,IF(BT916=1,BU916,IF(LEFT(Cockpit!$I$5,1)="B",AM916,MAX(AM916,G916))))</f>
        <v/>
      </c>
      <c r="AJ916" s="55">
        <f>IF(BO916=1,0,ROUNDUP(AI916/BN916,0))</f>
        <v/>
      </c>
      <c r="AK916" s="64">
        <f>IF(BO916=1,IF(AI916&lt;=0,0,BP916*MAX(1,IF(G916&gt;0,AI916/G916,1))),AJ916*Q916)</f>
        <v/>
      </c>
      <c r="AL916" s="55">
        <f>AI916*F916</f>
        <v/>
      </c>
      <c r="AM916" s="55">
        <f>ROUNDUP(MAX(I916/IF(BS916&gt;0,BS916,MAX(0.1,N(Cockpit!$I$6))),BV916)/BN916,0)*BN916</f>
        <v/>
      </c>
      <c r="AN916" s="56">
        <f>IF(AK916&gt;0,I916/AK916,-1)</f>
        <v/>
      </c>
      <c r="AO916" s="56">
        <f>IF(AND(OR(BR916="L1",BR916="L23"),AK916&gt;0),SUMIFS($AK$7:$AK$1570,$BR$7:$BR$1570,BR916,$AN$7:$AN$1570,"&gt;"&amp;AN916)+SUMIFS($AK$7:$AK$1570,$BR$7:$BR$1570,BR916,$AN$7:$AN$1570,AN916,$BL$7:$BL$1570,"&lt;="&amp;BL916),"")</f>
        <v/>
      </c>
      <c r="AP916" s="65">
        <f>IF(AO916="",0,MAX(0,MIN(1,(IF(BR916="L1",Parameter!$K$5,Parameter!$K$6+Parameter!$K$7)-(AO916-AK916))/AK916)))</f>
        <v/>
      </c>
      <c r="AQ916" s="55">
        <f>IF(LEFT(Cockpit!$O$5,1)="A",G916,IF(BT916=1,BU916,IF(LEFT(Cockpit!$O$5,1)="B",AU916,MAX(AU916,G916))))</f>
        <v/>
      </c>
      <c r="AR916" s="55">
        <f>IF(BO916=1,0,ROUNDUP(AQ916/BN916,0))</f>
        <v/>
      </c>
      <c r="AS916" s="64">
        <f>IF(BO916=1,IF(AQ916&lt;=0,0,BP916*MAX(1,IF(G916&gt;0,AQ916/G916,1))),AR916*Q916)</f>
        <v/>
      </c>
      <c r="AT916" s="55">
        <f>AQ916*F916</f>
        <v/>
      </c>
      <c r="AU916" s="55">
        <f>ROUNDUP(MAX(I916/IF(BS916&gt;0,BS916,MAX(0.1,N(Cockpit!$O$6))),BV916)/BN916,0)*BN916</f>
        <v/>
      </c>
      <c r="AV916" s="56">
        <f>IF(AS916&gt;0,I916/AS916,-1)</f>
        <v/>
      </c>
      <c r="AW916" s="56">
        <f>IF(AND(OR(BR916="L1",BR916="L23"),AS916&gt;0),SUMIFS($AS$7:$AS$1570,$BR$7:$BR$1570,BR916,$AV$7:$AV$1570,"&gt;"&amp;AV916)+SUMIFS($AS$7:$AS$1570,$BR$7:$BR$1570,BR916,$AV$7:$AV$1570,AV916,$BL$7:$BL$1570,"&lt;="&amp;BL916),"")</f>
        <v/>
      </c>
      <c r="AX916" s="65">
        <f>IF(AW916="",0,MAX(0,MIN(1,(IF(BR916="L1",Parameter!$K$5,Parameter!$K$6+Parameter!$K$7)-(AW916-AS916))/AS916)))</f>
        <v/>
      </c>
      <c r="AY916" s="53">
        <f>IF(AC916&lt;=0,"",IF(BR916="Aussen","Aussenlager",IF(BR916="-","Nicht im Lift",IF(AH916&gt;=1,"Lift",IF(AH916&lt;=0,"Aussenlager","teilweise")))))</f>
        <v/>
      </c>
      <c r="AZ916" s="53">
        <f>IF(AK916&lt;=0,"",IF(BR916="Aussen","Aussenlager",IF(BR916="-","Nicht im Lift",IF(AP916&gt;=1,"Lift",IF(AP916&lt;=0,"Aussenlager","teilweise")))))</f>
        <v/>
      </c>
      <c r="BA916" s="53">
        <f>IF(AS916&lt;=0,"",IF(BR916="Aussen","Aussenlager",IF(BR916="-","Nicht im Lift",IF(AX916&gt;=1,"Lift",IF(AX916&lt;=0,"Aussenlager","teilweise")))))</f>
        <v/>
      </c>
      <c r="BB916" s="53">
        <f>IF(A916="","",IF(BK916=1,"Neu; ","")&amp;IF(AND(BK916=0,BF916&lt;0),"negativer Bestand (Export "&amp;BF916&amp;"); ","")&amp;IF(I916&lt;=0,"Kein Verbrauch; ","")&amp;IF(BO916=1,"Lose – Fläche geschätzt; ","")&amp;IF(G916&gt;AM916,"Überbestand "&amp;ROUND(G916-AM916,0)&amp;" Stk / CHF "&amp;ROUND((G916-AM916)*F916,0)&amp;"; ","")&amp;IF(AND(BT916=1,BU916&lt;BV916),"MAX &lt; MB+LG; ","")&amp;IF(AND(BZ916&gt;0,BY916*10&gt;BZ916),"zu hoch für Tablar; ","")&amp;IF(AND(BK916=0,OR(BT916=1,V916&lt;&gt;"",S916&lt;&gt;"",T916&lt;&gt;"",W916&lt;&gt;"")),"manuell übersteuert; ","")&amp;IF(AND(BO916=0,Q916=0),"Gebinde unbekannt; ","")&amp;IF(AND(BO916=0,N(T916)&lt;=0,N(P916)&lt;=0),"Menge pro Gebinde fehlt (Ist = 1 Gebinde); ","")&amp;BJ916)</f>
        <v/>
      </c>
      <c r="BC916" s="53" t="n"/>
      <c r="BD916" s="53" t="n"/>
      <c r="BE916" s="61" t="n"/>
      <c r="BF916" s="55" t="n">
        <v>-2.9</v>
      </c>
      <c r="BG916" s="55" t="n">
        <v>35.20000000000002</v>
      </c>
      <c r="BH916" s="54" t="n">
        <v>-41.15</v>
      </c>
      <c r="BI916" s="55" t="n">
        <v>0.3</v>
      </c>
      <c r="BJ916" s="53" t="inlineStr"/>
      <c r="BK916" s="58" t="n">
        <v>0</v>
      </c>
      <c r="BL916" s="58" t="n">
        <v>916</v>
      </c>
      <c r="BM916" s="53">
        <f>IF(S916&lt;&gt;"",UPPER(TRIM(S916)),IF(O916="","LOSE",O916))</f>
        <v/>
      </c>
      <c r="BN916" s="55">
        <f>IF(BM916="LOSE",1,IF(N(T916)&gt;0,T916,IF(N(P916)&gt;0,P916,MAX(1,G916))))</f>
        <v/>
      </c>
      <c r="BO916" s="58">
        <f>IF(BM916="LOSE",1,0)</f>
        <v/>
      </c>
      <c r="BP916" s="64">
        <f>IF(BO916=0,0,IF(N(R916)&gt;0,R916,IFERROR(VLOOKUP(D916,Parameter!$A$35:$C$64,3,0)+0,0)))</f>
        <v/>
      </c>
      <c r="BQ916" s="53">
        <f>IF(V916&lt;&gt;"",V916,U916)</f>
        <v/>
      </c>
      <c r="BR916" s="53">
        <f>IF(BQ916=1,"L1",IF(OR(BQ916=2,BQ916=3),"L23",IF(BQ916="Aussen","Aussen","-")))</f>
        <v/>
      </c>
      <c r="BS916" s="66">
        <f>IF(N(W916)&gt;0,W916,0)</f>
        <v/>
      </c>
      <c r="BT916" s="58">
        <f>IF(ISNUMBER(Z916),1,0)</f>
        <v/>
      </c>
      <c r="BU916" s="55">
        <f>N(Z916)</f>
        <v/>
      </c>
      <c r="BV916" s="55">
        <f>N(L916)+N(M916)</f>
        <v/>
      </c>
      <c r="BW916" s="55">
        <f>ROUNDUP(G916/BN916,0)</f>
        <v/>
      </c>
      <c r="BX916" s="55">
        <f>ROUNDUP(BU916/BN916,0)</f>
        <v/>
      </c>
      <c r="BY916" s="58">
        <f>IF(BO916=1,0,IFERROR(VLOOKUP(BM916,'Gebinde-Kategorie'!$A$5:$G$45,5,0)+0,0))</f>
        <v/>
      </c>
      <c r="BZ916" s="58">
        <f>IFERROR(IF(OR(BQ916=1,BQ916=2,BQ916=3),N(INDEX(Parameter!$I$5:$I$7,BQ916)),0),0)</f>
        <v/>
      </c>
    </row>
    <row r="917">
      <c r="A917" s="53" t="inlineStr">
        <is>
          <t>107589</t>
        </is>
      </c>
      <c r="B917" s="53" t="inlineStr">
        <is>
          <t>Schutzkappe</t>
        </is>
      </c>
      <c r="C917" s="53" t="inlineStr">
        <is>
          <t>F</t>
        </is>
      </c>
      <c r="D917" s="53" t="inlineStr">
        <is>
          <t>KTL</t>
        </is>
      </c>
      <c r="E917" s="53" t="inlineStr">
        <is>
          <t>C</t>
        </is>
      </c>
      <c r="F917" s="54" t="n">
        <v>1.1</v>
      </c>
      <c r="G917" s="55">
        <f>MAX(0,IF(Parameter!$B$20="Jahresanfang 2025 + Export",BG917+BF917,BF917))</f>
        <v/>
      </c>
      <c r="H917" s="55">
        <f>G917*F917</f>
        <v/>
      </c>
      <c r="I917" s="55">
        <f>BI917*Parameter!$B$18</f>
        <v/>
      </c>
      <c r="J917" s="56" t="n">
        <v>116.5</v>
      </c>
      <c r="K917" s="57" t="n">
        <v>0.2317596566523605</v>
      </c>
      <c r="L917" s="55" t="n">
        <v>1</v>
      </c>
      <c r="M917" s="55" t="n">
        <v>25</v>
      </c>
      <c r="N917" s="58" t="n">
        <v>21</v>
      </c>
      <c r="O917" s="53" t="inlineStr">
        <is>
          <t>S63</t>
        </is>
      </c>
      <c r="P917" s="55" t="n">
        <v>179</v>
      </c>
      <c r="Q917" s="59">
        <f>IF(BO917=1,0,IFERROR(VLOOKUP(BM917,'Gebinde-Kategorie'!$A$5:$G$45,6,0)+0,0))</f>
        <v/>
      </c>
      <c r="R917" s="60" t="n"/>
      <c r="S917" s="61" t="n"/>
      <c r="T917" s="61" t="n"/>
      <c r="U917" s="53">
        <f>IF(A917="","",IF(IFERROR(VLOOKUP(D917,Parameter!$A$35:$C$64,2,0),"Nein")="2+3",IF(ISNUMBER(SEARCH("grosser Artikel",BJ917)),2,IFERROR(VLOOKUP(BM917,Parameter!$F$35:$G$64,2,0),2)),IF(OR(IFERROR(VLOOKUP(D917,Parameter!$A$35:$C$64,2,0),"Nein")="Nein",IFERROR(VLOOKUP(D917,Parameter!$A$35:$C$64,2,0),"Nein")=""),"-",VLOOKUP(D917,Parameter!$A$35:$C$64,2,0))))</f>
        <v/>
      </c>
      <c r="V917" s="61" t="n"/>
      <c r="W917" s="62" t="n"/>
      <c r="X917" s="55">
        <f>AM917</f>
        <v/>
      </c>
      <c r="Y917" s="55">
        <f>MAX(AM917,G917)</f>
        <v/>
      </c>
      <c r="Z917" s="63" t="n"/>
      <c r="AA917" s="55">
        <f>IF(LEFT(Cockpit!$C$5,1)="A",G917,IF(BT917=1,BU917,IF(LEFT(Cockpit!$C$5,1)="B",AE917,MAX(AE917,G917))))</f>
        <v/>
      </c>
      <c r="AB917" s="55">
        <f>IF(BO917=1,0,ROUNDUP(AA917/BN917,0))</f>
        <v/>
      </c>
      <c r="AC917" s="64">
        <f>IF(BO917=1,IF(AA917&lt;=0,0,BP917*MAX(1,IF(G917&gt;0,AA917/G917,1))),AB917*Q917)</f>
        <v/>
      </c>
      <c r="AD917" s="55">
        <f>AA917*F917</f>
        <v/>
      </c>
      <c r="AE917" s="55">
        <f>ROUNDUP(MAX(I917/IF(BS917&gt;0,BS917,MAX(0.1,N(Cockpit!$C$6))),BV917)/BN917,0)*BN917</f>
        <v/>
      </c>
      <c r="AF917" s="56">
        <f>IF(AC917&gt;0,I917/AC917,-1)</f>
        <v/>
      </c>
      <c r="AG917" s="56">
        <f>IF(AND(OR(BR917="L1",BR917="L23"),AC917&gt;0),SUMIFS($AC$7:$AC$1570,$BR$7:$BR$1570,BR917,$AF$7:$AF$1570,"&gt;"&amp;AF917)+SUMIFS($AC$7:$AC$1570,$BR$7:$BR$1570,BR917,$AF$7:$AF$1570,AF917,$BL$7:$BL$1570,"&lt;="&amp;BL917),"")</f>
        <v/>
      </c>
      <c r="AH917" s="65">
        <f>IF(AG917="",0,MAX(0,MIN(1,(IF(BR917="L1",Parameter!$K$5,Parameter!$K$6+Parameter!$K$7)-(AG917-AC917))/AC917)))</f>
        <v/>
      </c>
      <c r="AI917" s="55">
        <f>IF(LEFT(Cockpit!$I$5,1)="A",G917,IF(BT917=1,BU917,IF(LEFT(Cockpit!$I$5,1)="B",AM917,MAX(AM917,G917))))</f>
        <v/>
      </c>
      <c r="AJ917" s="55">
        <f>IF(BO917=1,0,ROUNDUP(AI917/BN917,0))</f>
        <v/>
      </c>
      <c r="AK917" s="64">
        <f>IF(BO917=1,IF(AI917&lt;=0,0,BP917*MAX(1,IF(G917&gt;0,AI917/G917,1))),AJ917*Q917)</f>
        <v/>
      </c>
      <c r="AL917" s="55">
        <f>AI917*F917</f>
        <v/>
      </c>
      <c r="AM917" s="55">
        <f>ROUNDUP(MAX(I917/IF(BS917&gt;0,BS917,MAX(0.1,N(Cockpit!$I$6))),BV917)/BN917,0)*BN917</f>
        <v/>
      </c>
      <c r="AN917" s="56">
        <f>IF(AK917&gt;0,I917/AK917,-1)</f>
        <v/>
      </c>
      <c r="AO917" s="56">
        <f>IF(AND(OR(BR917="L1",BR917="L23"),AK917&gt;0),SUMIFS($AK$7:$AK$1570,$BR$7:$BR$1570,BR917,$AN$7:$AN$1570,"&gt;"&amp;AN917)+SUMIFS($AK$7:$AK$1570,$BR$7:$BR$1570,BR917,$AN$7:$AN$1570,AN917,$BL$7:$BL$1570,"&lt;="&amp;BL917),"")</f>
        <v/>
      </c>
      <c r="AP917" s="65">
        <f>IF(AO917="",0,MAX(0,MIN(1,(IF(BR917="L1",Parameter!$K$5,Parameter!$K$6+Parameter!$K$7)-(AO917-AK917))/AK917)))</f>
        <v/>
      </c>
      <c r="AQ917" s="55">
        <f>IF(LEFT(Cockpit!$O$5,1)="A",G917,IF(BT917=1,BU917,IF(LEFT(Cockpit!$O$5,1)="B",AU917,MAX(AU917,G917))))</f>
        <v/>
      </c>
      <c r="AR917" s="55">
        <f>IF(BO917=1,0,ROUNDUP(AQ917/BN917,0))</f>
        <v/>
      </c>
      <c r="AS917" s="64">
        <f>IF(BO917=1,IF(AQ917&lt;=0,0,BP917*MAX(1,IF(G917&gt;0,AQ917/G917,1))),AR917*Q917)</f>
        <v/>
      </c>
      <c r="AT917" s="55">
        <f>AQ917*F917</f>
        <v/>
      </c>
      <c r="AU917" s="55">
        <f>ROUNDUP(MAX(I917/IF(BS917&gt;0,BS917,MAX(0.1,N(Cockpit!$O$6))),BV917)/BN917,0)*BN917</f>
        <v/>
      </c>
      <c r="AV917" s="56">
        <f>IF(AS917&gt;0,I917/AS917,-1)</f>
        <v/>
      </c>
      <c r="AW917" s="56">
        <f>IF(AND(OR(BR917="L1",BR917="L23"),AS917&gt;0),SUMIFS($AS$7:$AS$1570,$BR$7:$BR$1570,BR917,$AV$7:$AV$1570,"&gt;"&amp;AV917)+SUMIFS($AS$7:$AS$1570,$BR$7:$BR$1570,BR917,$AV$7:$AV$1570,AV917,$BL$7:$BL$1570,"&lt;="&amp;BL917),"")</f>
        <v/>
      </c>
      <c r="AX917" s="65">
        <f>IF(AW917="",0,MAX(0,MIN(1,(IF(BR917="L1",Parameter!$K$5,Parameter!$K$6+Parameter!$K$7)-(AW917-AS917))/AS917)))</f>
        <v/>
      </c>
      <c r="AY917" s="53">
        <f>IF(AC917&lt;=0,"",IF(BR917="Aussen","Aussenlager",IF(BR917="-","Nicht im Lift",IF(AH917&gt;=1,"Lift",IF(AH917&lt;=0,"Aussenlager","teilweise")))))</f>
        <v/>
      </c>
      <c r="AZ917" s="53">
        <f>IF(AK917&lt;=0,"",IF(BR917="Aussen","Aussenlager",IF(BR917="-","Nicht im Lift",IF(AP917&gt;=1,"Lift",IF(AP917&lt;=0,"Aussenlager","teilweise")))))</f>
        <v/>
      </c>
      <c r="BA917" s="53">
        <f>IF(AS917&lt;=0,"",IF(BR917="Aussen","Aussenlager",IF(BR917="-","Nicht im Lift",IF(AX917&gt;=1,"Lift",IF(AX917&lt;=0,"Aussenlager","teilweise")))))</f>
        <v/>
      </c>
      <c r="BB917" s="53">
        <f>IF(A917="","",IF(BK917=1,"Neu; ","")&amp;IF(AND(BK917=0,BF917&lt;0),"negativer Bestand (Export "&amp;BF917&amp;"); ","")&amp;IF(I917&lt;=0,"Kein Verbrauch; ","")&amp;IF(BO917=1,"Lose – Fläche geschätzt; ","")&amp;IF(G917&gt;AM917,"Überbestand "&amp;ROUND(G917-AM917,0)&amp;" Stk / CHF "&amp;ROUND((G917-AM917)*F917,0)&amp;"; ","")&amp;IF(AND(BT917=1,BU917&lt;BV917),"MAX &lt; MB+LG; ","")&amp;IF(AND(BZ917&gt;0,BY917*10&gt;BZ917),"zu hoch für Tablar; ","")&amp;IF(AND(BK917=0,OR(BT917=1,V917&lt;&gt;"",S917&lt;&gt;"",T917&lt;&gt;"",W917&lt;&gt;"")),"manuell übersteuert; ","")&amp;IF(AND(BO917=0,Q917=0),"Gebinde unbekannt; ","")&amp;IF(AND(BO917=0,N(T917)&lt;=0,N(P917)&lt;=0),"Menge pro Gebinde fehlt (Ist = 1 Gebinde); ","")&amp;BJ917)</f>
        <v/>
      </c>
      <c r="BC917" s="53" t="n"/>
      <c r="BD917" s="53" t="n"/>
      <c r="BE917" s="61" t="n"/>
      <c r="BF917" s="55" t="n">
        <v>-38</v>
      </c>
      <c r="BG917" s="55" t="n">
        <v>125</v>
      </c>
      <c r="BH917" s="54" t="n">
        <v>-41.80000000000001</v>
      </c>
      <c r="BI917" s="55" t="n">
        <v>27</v>
      </c>
      <c r="BJ917" s="53" t="inlineStr">
        <is>
          <t>Neu</t>
        </is>
      </c>
      <c r="BK917" s="58" t="n">
        <v>0</v>
      </c>
      <c r="BL917" s="58" t="n">
        <v>917</v>
      </c>
      <c r="BM917" s="53">
        <f>IF(S917&lt;&gt;"",UPPER(TRIM(S917)),IF(O917="","LOSE",O917))</f>
        <v/>
      </c>
      <c r="BN917" s="55">
        <f>IF(BM917="LOSE",1,IF(N(T917)&gt;0,T917,IF(N(P917)&gt;0,P917,MAX(1,G917))))</f>
        <v/>
      </c>
      <c r="BO917" s="58">
        <f>IF(BM917="LOSE",1,0)</f>
        <v/>
      </c>
      <c r="BP917" s="64">
        <f>IF(BO917=0,0,IF(N(R917)&gt;0,R917,IFERROR(VLOOKUP(D917,Parameter!$A$35:$C$64,3,0)+0,0)))</f>
        <v/>
      </c>
      <c r="BQ917" s="53">
        <f>IF(V917&lt;&gt;"",V917,U917)</f>
        <v/>
      </c>
      <c r="BR917" s="53">
        <f>IF(BQ917=1,"L1",IF(OR(BQ917=2,BQ917=3),"L23",IF(BQ917="Aussen","Aussen","-")))</f>
        <v/>
      </c>
      <c r="BS917" s="66">
        <f>IF(N(W917)&gt;0,W917,0)</f>
        <v/>
      </c>
      <c r="BT917" s="58">
        <f>IF(ISNUMBER(Z917),1,0)</f>
        <v/>
      </c>
      <c r="BU917" s="55">
        <f>N(Z917)</f>
        <v/>
      </c>
      <c r="BV917" s="55">
        <f>N(L917)+N(M917)</f>
        <v/>
      </c>
      <c r="BW917" s="55">
        <f>ROUNDUP(G917/BN917,0)</f>
        <v/>
      </c>
      <c r="BX917" s="55">
        <f>ROUNDUP(BU917/BN917,0)</f>
        <v/>
      </c>
      <c r="BY917" s="58">
        <f>IF(BO917=1,0,IFERROR(VLOOKUP(BM917,'Gebinde-Kategorie'!$A$5:$G$45,5,0)+0,0))</f>
        <v/>
      </c>
      <c r="BZ917" s="58">
        <f>IFERROR(IF(OR(BQ917=1,BQ917=2,BQ917=3),N(INDEX(Parameter!$I$5:$I$7,BQ917)),0),0)</f>
        <v/>
      </c>
    </row>
    <row r="918">
      <c r="A918" s="53" t="inlineStr">
        <is>
          <t>108251</t>
        </is>
      </c>
      <c r="B918" s="53" t="inlineStr">
        <is>
          <t>Endklammer mit Schraube</t>
        </is>
      </c>
      <c r="C918" s="53" t="inlineStr">
        <is>
          <t>F</t>
        </is>
      </c>
      <c r="D918" s="53" t="inlineStr">
        <is>
          <t>PAL</t>
        </is>
      </c>
      <c r="E918" s="53" t="inlineStr">
        <is>
          <t>C</t>
        </is>
      </c>
      <c r="F918" s="54" t="n">
        <v>1.05</v>
      </c>
      <c r="G918" s="55">
        <f>MAX(0,IF(Parameter!$B$20="Jahresanfang 2025 + Export",BG918+BF918,BF918))</f>
        <v/>
      </c>
      <c r="H918" s="55">
        <f>G918*F918</f>
        <v/>
      </c>
      <c r="I918" s="55">
        <f>BI918*Parameter!$B$18</f>
        <v/>
      </c>
      <c r="J918" s="56" t="n">
        <v>25.5</v>
      </c>
      <c r="K918" s="57" t="n">
        <v>0</v>
      </c>
      <c r="L918" s="55" t="n">
        <v>0</v>
      </c>
      <c r="M918" s="55" t="n">
        <v>1</v>
      </c>
      <c r="N918" s="58" t="n">
        <v>35</v>
      </c>
      <c r="O918" s="53" t="inlineStr">
        <is>
          <t>LOSE</t>
        </is>
      </c>
      <c r="P918" s="55" t="n"/>
      <c r="Q918" s="59">
        <f>IF(BO918=1,0,IFERROR(VLOOKUP(BM918,'Gebinde-Kategorie'!$A$5:$G$45,6,0)+0,0))</f>
        <v/>
      </c>
      <c r="R918" s="60" t="n"/>
      <c r="S918" s="61" t="n"/>
      <c r="T918" s="61" t="n"/>
      <c r="U918" s="53">
        <f>IF(A918="","",IF(IFERROR(VLOOKUP(D918,Parameter!$A$35:$C$64,2,0),"Nein")="2+3",IF(ISNUMBER(SEARCH("grosser Artikel",BJ918)),2,IFERROR(VLOOKUP(BM918,Parameter!$F$35:$G$64,2,0),2)),IF(OR(IFERROR(VLOOKUP(D918,Parameter!$A$35:$C$64,2,0),"Nein")="Nein",IFERROR(VLOOKUP(D918,Parameter!$A$35:$C$64,2,0),"Nein")=""),"-",VLOOKUP(D918,Parameter!$A$35:$C$64,2,0))))</f>
        <v/>
      </c>
      <c r="V918" s="61" t="n"/>
      <c r="W918" s="62" t="n"/>
      <c r="X918" s="55">
        <f>AM918</f>
        <v/>
      </c>
      <c r="Y918" s="55">
        <f>MAX(AM918,G918)</f>
        <v/>
      </c>
      <c r="Z918" s="63" t="n"/>
      <c r="AA918" s="55">
        <f>IF(LEFT(Cockpit!$C$5,1)="A",G918,IF(BT918=1,BU918,IF(LEFT(Cockpit!$C$5,1)="B",AE918,MAX(AE918,G918))))</f>
        <v/>
      </c>
      <c r="AB918" s="55">
        <f>IF(BO918=1,0,ROUNDUP(AA918/BN918,0))</f>
        <v/>
      </c>
      <c r="AC918" s="64">
        <f>IF(BO918=1,IF(AA918&lt;=0,0,BP918*MAX(1,IF(G918&gt;0,AA918/G918,1))),AB918*Q918)</f>
        <v/>
      </c>
      <c r="AD918" s="55">
        <f>AA918*F918</f>
        <v/>
      </c>
      <c r="AE918" s="55">
        <f>ROUNDUP(MAX(I918/IF(BS918&gt;0,BS918,MAX(0.1,N(Cockpit!$C$6))),BV918)/BN918,0)*BN918</f>
        <v/>
      </c>
      <c r="AF918" s="56">
        <f>IF(AC918&gt;0,I918/AC918,-1)</f>
        <v/>
      </c>
      <c r="AG918" s="56">
        <f>IF(AND(OR(BR918="L1",BR918="L23"),AC918&gt;0),SUMIFS($AC$7:$AC$1570,$BR$7:$BR$1570,BR918,$AF$7:$AF$1570,"&gt;"&amp;AF918)+SUMIFS($AC$7:$AC$1570,$BR$7:$BR$1570,BR918,$AF$7:$AF$1570,AF918,$BL$7:$BL$1570,"&lt;="&amp;BL918),"")</f>
        <v/>
      </c>
      <c r="AH918" s="65">
        <f>IF(AG918="",0,MAX(0,MIN(1,(IF(BR918="L1",Parameter!$K$5,Parameter!$K$6+Parameter!$K$7)-(AG918-AC918))/AC918)))</f>
        <v/>
      </c>
      <c r="AI918" s="55">
        <f>IF(LEFT(Cockpit!$I$5,1)="A",G918,IF(BT918=1,BU918,IF(LEFT(Cockpit!$I$5,1)="B",AM918,MAX(AM918,G918))))</f>
        <v/>
      </c>
      <c r="AJ918" s="55">
        <f>IF(BO918=1,0,ROUNDUP(AI918/BN918,0))</f>
        <v/>
      </c>
      <c r="AK918" s="64">
        <f>IF(BO918=1,IF(AI918&lt;=0,0,BP918*MAX(1,IF(G918&gt;0,AI918/G918,1))),AJ918*Q918)</f>
        <v/>
      </c>
      <c r="AL918" s="55">
        <f>AI918*F918</f>
        <v/>
      </c>
      <c r="AM918" s="55">
        <f>ROUNDUP(MAX(I918/IF(BS918&gt;0,BS918,MAX(0.1,N(Cockpit!$I$6))),BV918)/BN918,0)*BN918</f>
        <v/>
      </c>
      <c r="AN918" s="56">
        <f>IF(AK918&gt;0,I918/AK918,-1)</f>
        <v/>
      </c>
      <c r="AO918" s="56">
        <f>IF(AND(OR(BR918="L1",BR918="L23"),AK918&gt;0),SUMIFS($AK$7:$AK$1570,$BR$7:$BR$1570,BR918,$AN$7:$AN$1570,"&gt;"&amp;AN918)+SUMIFS($AK$7:$AK$1570,$BR$7:$BR$1570,BR918,$AN$7:$AN$1570,AN918,$BL$7:$BL$1570,"&lt;="&amp;BL918),"")</f>
        <v/>
      </c>
      <c r="AP918" s="65">
        <f>IF(AO918="",0,MAX(0,MIN(1,(IF(BR918="L1",Parameter!$K$5,Parameter!$K$6+Parameter!$K$7)-(AO918-AK918))/AK918)))</f>
        <v/>
      </c>
      <c r="AQ918" s="55">
        <f>IF(LEFT(Cockpit!$O$5,1)="A",G918,IF(BT918=1,BU918,IF(LEFT(Cockpit!$O$5,1)="B",AU918,MAX(AU918,G918))))</f>
        <v/>
      </c>
      <c r="AR918" s="55">
        <f>IF(BO918=1,0,ROUNDUP(AQ918/BN918,0))</f>
        <v/>
      </c>
      <c r="AS918" s="64">
        <f>IF(BO918=1,IF(AQ918&lt;=0,0,BP918*MAX(1,IF(G918&gt;0,AQ918/G918,1))),AR918*Q918)</f>
        <v/>
      </c>
      <c r="AT918" s="55">
        <f>AQ918*F918</f>
        <v/>
      </c>
      <c r="AU918" s="55">
        <f>ROUNDUP(MAX(I918/IF(BS918&gt;0,BS918,MAX(0.1,N(Cockpit!$O$6))),BV918)/BN918,0)*BN918</f>
        <v/>
      </c>
      <c r="AV918" s="56">
        <f>IF(AS918&gt;0,I918/AS918,-1)</f>
        <v/>
      </c>
      <c r="AW918" s="56">
        <f>IF(AND(OR(BR918="L1",BR918="L23"),AS918&gt;0),SUMIFS($AS$7:$AS$1570,$BR$7:$BR$1570,BR918,$AV$7:$AV$1570,"&gt;"&amp;AV918)+SUMIFS($AS$7:$AS$1570,$BR$7:$BR$1570,BR918,$AV$7:$AV$1570,AV918,$BL$7:$BL$1570,"&lt;="&amp;BL918),"")</f>
        <v/>
      </c>
      <c r="AX918" s="65">
        <f>IF(AW918="",0,MAX(0,MIN(1,(IF(BR918="L1",Parameter!$K$5,Parameter!$K$6+Parameter!$K$7)-(AW918-AS918))/AS918)))</f>
        <v/>
      </c>
      <c r="AY918" s="53">
        <f>IF(AC918&lt;=0,"",IF(BR918="Aussen","Aussenlager",IF(BR918="-","Nicht im Lift",IF(AH918&gt;=1,"Lift",IF(AH918&lt;=0,"Aussenlager","teilweise")))))</f>
        <v/>
      </c>
      <c r="AZ918" s="53">
        <f>IF(AK918&lt;=0,"",IF(BR918="Aussen","Aussenlager",IF(BR918="-","Nicht im Lift",IF(AP918&gt;=1,"Lift",IF(AP918&lt;=0,"Aussenlager","teilweise")))))</f>
        <v/>
      </c>
      <c r="BA918" s="53">
        <f>IF(AS918&lt;=0,"",IF(BR918="Aussen","Aussenlager",IF(BR918="-","Nicht im Lift",IF(AX918&gt;=1,"Lift",IF(AX918&lt;=0,"Aussenlager","teilweise")))))</f>
        <v/>
      </c>
      <c r="BB918" s="53">
        <f>IF(A918="","",IF(BK918=1,"Neu; ","")&amp;IF(AND(BK918=0,BF918&lt;0),"negativer Bestand (Export "&amp;BF918&amp;"); ","")&amp;IF(I918&lt;=0,"Kein Verbrauch; ","")&amp;IF(BO918=1,"Lose – Fläche geschätzt; ","")&amp;IF(G918&gt;AM918,"Überbestand "&amp;ROUND(G918-AM918,0)&amp;" Stk / CHF "&amp;ROUND((G918-AM918)*F918,0)&amp;"; ","")&amp;IF(AND(BT918=1,BU918&lt;BV918),"MAX &lt; MB+LG; ","")&amp;IF(AND(BZ918&gt;0,BY918*10&gt;BZ918),"zu hoch für Tablar; ","")&amp;IF(AND(BK918=0,OR(BT918=1,V918&lt;&gt;"",S918&lt;&gt;"",T918&lt;&gt;"",W918&lt;&gt;"")),"manuell übersteuert; ","")&amp;IF(AND(BO918=0,Q918=0),"Gebinde unbekannt; ","")&amp;IF(AND(BO918=0,N(T918)&lt;=0,N(P918)&lt;=0),"Menge pro Gebinde fehlt (Ist = 1 Gebinde); ","")&amp;BJ918)</f>
        <v/>
      </c>
      <c r="BC918" s="53" t="n"/>
      <c r="BD918" s="53" t="n"/>
      <c r="BE918" s="61" t="n"/>
      <c r="BF918" s="55" t="n">
        <v>-41</v>
      </c>
      <c r="BG918" s="55" t="n">
        <v>46</v>
      </c>
      <c r="BH918" s="54" t="n">
        <v>-43.05</v>
      </c>
      <c r="BI918" s="55" t="n">
        <v>0</v>
      </c>
      <c r="BJ918" s="53" t="inlineStr">
        <is>
          <t>Neuer Art.</t>
        </is>
      </c>
      <c r="BK918" s="58" t="n">
        <v>0</v>
      </c>
      <c r="BL918" s="58" t="n">
        <v>918</v>
      </c>
      <c r="BM918" s="53">
        <f>IF(S918&lt;&gt;"",UPPER(TRIM(S918)),IF(O918="","LOSE",O918))</f>
        <v/>
      </c>
      <c r="BN918" s="55">
        <f>IF(BM918="LOSE",1,IF(N(T918)&gt;0,T918,IF(N(P918)&gt;0,P918,MAX(1,G918))))</f>
        <v/>
      </c>
      <c r="BO918" s="58">
        <f>IF(BM918="LOSE",1,0)</f>
        <v/>
      </c>
      <c r="BP918" s="64">
        <f>IF(BO918=0,0,IF(N(R918)&gt;0,R918,IFERROR(VLOOKUP(D918,Parameter!$A$35:$C$64,3,0)+0,0)))</f>
        <v/>
      </c>
      <c r="BQ918" s="53">
        <f>IF(V918&lt;&gt;"",V918,U918)</f>
        <v/>
      </c>
      <c r="BR918" s="53">
        <f>IF(BQ918=1,"L1",IF(OR(BQ918=2,BQ918=3),"L23",IF(BQ918="Aussen","Aussen","-")))</f>
        <v/>
      </c>
      <c r="BS918" s="66">
        <f>IF(N(W918)&gt;0,W918,0)</f>
        <v/>
      </c>
      <c r="BT918" s="58">
        <f>IF(ISNUMBER(Z918),1,0)</f>
        <v/>
      </c>
      <c r="BU918" s="55">
        <f>N(Z918)</f>
        <v/>
      </c>
      <c r="BV918" s="55">
        <f>N(L918)+N(M918)</f>
        <v/>
      </c>
      <c r="BW918" s="55">
        <f>ROUNDUP(G918/BN918,0)</f>
        <v/>
      </c>
      <c r="BX918" s="55">
        <f>ROUNDUP(BU918/BN918,0)</f>
        <v/>
      </c>
      <c r="BY918" s="58">
        <f>IF(BO918=1,0,IFERROR(VLOOKUP(BM918,'Gebinde-Kategorie'!$A$5:$G$45,5,0)+0,0))</f>
        <v/>
      </c>
      <c r="BZ918" s="58">
        <f>IFERROR(IF(OR(BQ918=1,BQ918=2,BQ918=3),N(INDEX(Parameter!$I$5:$I$7,BQ918)),0),0)</f>
        <v/>
      </c>
    </row>
    <row r="919">
      <c r="A919" s="53" t="inlineStr">
        <is>
          <t>107119</t>
        </is>
      </c>
      <c r="B919" s="53" t="inlineStr">
        <is>
          <t>Rohrbürste</t>
        </is>
      </c>
      <c r="C919" s="53" t="inlineStr">
        <is>
          <t>F</t>
        </is>
      </c>
      <c r="D919" s="53" t="inlineStr">
        <is>
          <t>KTL</t>
        </is>
      </c>
      <c r="E919" s="53" t="inlineStr">
        <is>
          <t>C</t>
        </is>
      </c>
      <c r="F919" s="54" t="n">
        <v>14.44</v>
      </c>
      <c r="G919" s="55">
        <f>MAX(0,IF(Parameter!$B$20="Jahresanfang 2025 + Export",BG919+BF919,BF919))</f>
        <v/>
      </c>
      <c r="H919" s="55">
        <f>G919*F919</f>
        <v/>
      </c>
      <c r="I919" s="55">
        <f>BI919*Parameter!$B$18</f>
        <v/>
      </c>
      <c r="J919" s="56" t="n">
        <v>2.5</v>
      </c>
      <c r="K919" s="57" t="n">
        <v>0</v>
      </c>
      <c r="L919" s="55" t="n">
        <v>0</v>
      </c>
      <c r="M919" s="55" t="n">
        <v>1</v>
      </c>
      <c r="N919" s="58" t="n">
        <v>14</v>
      </c>
      <c r="O919" s="53" t="inlineStr">
        <is>
          <t>LOSE</t>
        </is>
      </c>
      <c r="P919" s="55" t="n"/>
      <c r="Q919" s="59">
        <f>IF(BO919=1,0,IFERROR(VLOOKUP(BM919,'Gebinde-Kategorie'!$A$5:$G$45,6,0)+0,0))</f>
        <v/>
      </c>
      <c r="R919" s="60" t="n"/>
      <c r="S919" s="61" t="n"/>
      <c r="T919" s="61" t="n"/>
      <c r="U919" s="53">
        <f>IF(A919="","",IF(IFERROR(VLOOKUP(D919,Parameter!$A$35:$C$64,2,0),"Nein")="2+3",IF(ISNUMBER(SEARCH("grosser Artikel",BJ919)),2,IFERROR(VLOOKUP(BM919,Parameter!$F$35:$G$64,2,0),2)),IF(OR(IFERROR(VLOOKUP(D919,Parameter!$A$35:$C$64,2,0),"Nein")="Nein",IFERROR(VLOOKUP(D919,Parameter!$A$35:$C$64,2,0),"Nein")=""),"-",VLOOKUP(D919,Parameter!$A$35:$C$64,2,0))))</f>
        <v/>
      </c>
      <c r="V919" s="61" t="n"/>
      <c r="W919" s="62" t="n"/>
      <c r="X919" s="55">
        <f>AM919</f>
        <v/>
      </c>
      <c r="Y919" s="55">
        <f>MAX(AM919,G919)</f>
        <v/>
      </c>
      <c r="Z919" s="63" t="n"/>
      <c r="AA919" s="55">
        <f>IF(LEFT(Cockpit!$C$5,1)="A",G919,IF(BT919=1,BU919,IF(LEFT(Cockpit!$C$5,1)="B",AE919,MAX(AE919,G919))))</f>
        <v/>
      </c>
      <c r="AB919" s="55">
        <f>IF(BO919=1,0,ROUNDUP(AA919/BN919,0))</f>
        <v/>
      </c>
      <c r="AC919" s="64">
        <f>IF(BO919=1,IF(AA919&lt;=0,0,BP919*MAX(1,IF(G919&gt;0,AA919/G919,1))),AB919*Q919)</f>
        <v/>
      </c>
      <c r="AD919" s="55">
        <f>AA919*F919</f>
        <v/>
      </c>
      <c r="AE919" s="55">
        <f>ROUNDUP(MAX(I919/IF(BS919&gt;0,BS919,MAX(0.1,N(Cockpit!$C$6))),BV919)/BN919,0)*BN919</f>
        <v/>
      </c>
      <c r="AF919" s="56">
        <f>IF(AC919&gt;0,I919/AC919,-1)</f>
        <v/>
      </c>
      <c r="AG919" s="56">
        <f>IF(AND(OR(BR919="L1",BR919="L23"),AC919&gt;0),SUMIFS($AC$7:$AC$1570,$BR$7:$BR$1570,BR919,$AF$7:$AF$1570,"&gt;"&amp;AF919)+SUMIFS($AC$7:$AC$1570,$BR$7:$BR$1570,BR919,$AF$7:$AF$1570,AF919,$BL$7:$BL$1570,"&lt;="&amp;BL919),"")</f>
        <v/>
      </c>
      <c r="AH919" s="65">
        <f>IF(AG919="",0,MAX(0,MIN(1,(IF(BR919="L1",Parameter!$K$5,Parameter!$K$6+Parameter!$K$7)-(AG919-AC919))/AC919)))</f>
        <v/>
      </c>
      <c r="AI919" s="55">
        <f>IF(LEFT(Cockpit!$I$5,1)="A",G919,IF(BT919=1,BU919,IF(LEFT(Cockpit!$I$5,1)="B",AM919,MAX(AM919,G919))))</f>
        <v/>
      </c>
      <c r="AJ919" s="55">
        <f>IF(BO919=1,0,ROUNDUP(AI919/BN919,0))</f>
        <v/>
      </c>
      <c r="AK919" s="64">
        <f>IF(BO919=1,IF(AI919&lt;=0,0,BP919*MAX(1,IF(G919&gt;0,AI919/G919,1))),AJ919*Q919)</f>
        <v/>
      </c>
      <c r="AL919" s="55">
        <f>AI919*F919</f>
        <v/>
      </c>
      <c r="AM919" s="55">
        <f>ROUNDUP(MAX(I919/IF(BS919&gt;0,BS919,MAX(0.1,N(Cockpit!$I$6))),BV919)/BN919,0)*BN919</f>
        <v/>
      </c>
      <c r="AN919" s="56">
        <f>IF(AK919&gt;0,I919/AK919,-1)</f>
        <v/>
      </c>
      <c r="AO919" s="56">
        <f>IF(AND(OR(BR919="L1",BR919="L23"),AK919&gt;0),SUMIFS($AK$7:$AK$1570,$BR$7:$BR$1570,BR919,$AN$7:$AN$1570,"&gt;"&amp;AN919)+SUMIFS($AK$7:$AK$1570,$BR$7:$BR$1570,BR919,$AN$7:$AN$1570,AN919,$BL$7:$BL$1570,"&lt;="&amp;BL919),"")</f>
        <v/>
      </c>
      <c r="AP919" s="65">
        <f>IF(AO919="",0,MAX(0,MIN(1,(IF(BR919="L1",Parameter!$K$5,Parameter!$K$6+Parameter!$K$7)-(AO919-AK919))/AK919)))</f>
        <v/>
      </c>
      <c r="AQ919" s="55">
        <f>IF(LEFT(Cockpit!$O$5,1)="A",G919,IF(BT919=1,BU919,IF(LEFT(Cockpit!$O$5,1)="B",AU919,MAX(AU919,G919))))</f>
        <v/>
      </c>
      <c r="AR919" s="55">
        <f>IF(BO919=1,0,ROUNDUP(AQ919/BN919,0))</f>
        <v/>
      </c>
      <c r="AS919" s="64">
        <f>IF(BO919=1,IF(AQ919&lt;=0,0,BP919*MAX(1,IF(G919&gt;0,AQ919/G919,1))),AR919*Q919)</f>
        <v/>
      </c>
      <c r="AT919" s="55">
        <f>AQ919*F919</f>
        <v/>
      </c>
      <c r="AU919" s="55">
        <f>ROUNDUP(MAX(I919/IF(BS919&gt;0,BS919,MAX(0.1,N(Cockpit!$O$6))),BV919)/BN919,0)*BN919</f>
        <v/>
      </c>
      <c r="AV919" s="56">
        <f>IF(AS919&gt;0,I919/AS919,-1)</f>
        <v/>
      </c>
      <c r="AW919" s="56">
        <f>IF(AND(OR(BR919="L1",BR919="L23"),AS919&gt;0),SUMIFS($AS$7:$AS$1570,$BR$7:$BR$1570,BR919,$AV$7:$AV$1570,"&gt;"&amp;AV919)+SUMIFS($AS$7:$AS$1570,$BR$7:$BR$1570,BR919,$AV$7:$AV$1570,AV919,$BL$7:$BL$1570,"&lt;="&amp;BL919),"")</f>
        <v/>
      </c>
      <c r="AX919" s="65">
        <f>IF(AW919="",0,MAX(0,MIN(1,(IF(BR919="L1",Parameter!$K$5,Parameter!$K$6+Parameter!$K$7)-(AW919-AS919))/AS919)))</f>
        <v/>
      </c>
      <c r="AY919" s="53">
        <f>IF(AC919&lt;=0,"",IF(BR919="Aussen","Aussenlager",IF(BR919="-","Nicht im Lift",IF(AH919&gt;=1,"Lift",IF(AH919&lt;=0,"Aussenlager","teilweise")))))</f>
        <v/>
      </c>
      <c r="AZ919" s="53">
        <f>IF(AK919&lt;=0,"",IF(BR919="Aussen","Aussenlager",IF(BR919="-","Nicht im Lift",IF(AP919&gt;=1,"Lift",IF(AP919&lt;=0,"Aussenlager","teilweise")))))</f>
        <v/>
      </c>
      <c r="BA919" s="53">
        <f>IF(AS919&lt;=0,"",IF(BR919="Aussen","Aussenlager",IF(BR919="-","Nicht im Lift",IF(AX919&gt;=1,"Lift",IF(AX919&lt;=0,"Aussenlager","teilweise")))))</f>
        <v/>
      </c>
      <c r="BB919" s="53">
        <f>IF(A919="","",IF(BK919=1,"Neu; ","")&amp;IF(AND(BK919=0,BF919&lt;0),"negativer Bestand (Export "&amp;BF919&amp;"); ","")&amp;IF(I919&lt;=0,"Kein Verbrauch; ","")&amp;IF(BO919=1,"Lose – Fläche geschätzt; ","")&amp;IF(G919&gt;AM919,"Überbestand "&amp;ROUND(G919-AM919,0)&amp;" Stk / CHF "&amp;ROUND((G919-AM919)*F919,0)&amp;"; ","")&amp;IF(AND(BT919=1,BU919&lt;BV919),"MAX &lt; MB+LG; ","")&amp;IF(AND(BZ919&gt;0,BY919*10&gt;BZ919),"zu hoch für Tablar; ","")&amp;IF(AND(BK919=0,OR(BT919=1,V919&lt;&gt;"",S919&lt;&gt;"",T919&lt;&gt;"",W919&lt;&gt;"")),"manuell übersteuert; ","")&amp;IF(AND(BO919=0,Q919=0),"Gebinde unbekannt; ","")&amp;IF(AND(BO919=0,N(T919)&lt;=0,N(P919)&lt;=0),"Menge pro Gebinde fehlt (Ist = 1 Gebinde); ","")&amp;BJ919)</f>
        <v/>
      </c>
      <c r="BC919" s="53" t="n"/>
      <c r="BD919" s="53" t="n"/>
      <c r="BE919" s="61" t="n"/>
      <c r="BF919" s="55" t="n">
        <v>-3</v>
      </c>
      <c r="BG919" s="55" t="n">
        <v>3</v>
      </c>
      <c r="BH919" s="54" t="n">
        <v>-43.32</v>
      </c>
      <c r="BI919" s="55" t="n">
        <v>0</v>
      </c>
      <c r="BJ919" s="53" t="inlineStr"/>
      <c r="BK919" s="58" t="n">
        <v>0</v>
      </c>
      <c r="BL919" s="58" t="n">
        <v>919</v>
      </c>
      <c r="BM919" s="53">
        <f>IF(S919&lt;&gt;"",UPPER(TRIM(S919)),IF(O919="","LOSE",O919))</f>
        <v/>
      </c>
      <c r="BN919" s="55">
        <f>IF(BM919="LOSE",1,IF(N(T919)&gt;0,T919,IF(N(P919)&gt;0,P919,MAX(1,G919))))</f>
        <v/>
      </c>
      <c r="BO919" s="58">
        <f>IF(BM919="LOSE",1,0)</f>
        <v/>
      </c>
      <c r="BP919" s="64">
        <f>IF(BO919=0,0,IF(N(R919)&gt;0,R919,IFERROR(VLOOKUP(D919,Parameter!$A$35:$C$64,3,0)+0,0)))</f>
        <v/>
      </c>
      <c r="BQ919" s="53">
        <f>IF(V919&lt;&gt;"",V919,U919)</f>
        <v/>
      </c>
      <c r="BR919" s="53">
        <f>IF(BQ919=1,"L1",IF(OR(BQ919=2,BQ919=3),"L23",IF(BQ919="Aussen","Aussen","-")))</f>
        <v/>
      </c>
      <c r="BS919" s="66">
        <f>IF(N(W919)&gt;0,W919,0)</f>
        <v/>
      </c>
      <c r="BT919" s="58">
        <f>IF(ISNUMBER(Z919),1,0)</f>
        <v/>
      </c>
      <c r="BU919" s="55">
        <f>N(Z919)</f>
        <v/>
      </c>
      <c r="BV919" s="55">
        <f>N(L919)+N(M919)</f>
        <v/>
      </c>
      <c r="BW919" s="55">
        <f>ROUNDUP(G919/BN919,0)</f>
        <v/>
      </c>
      <c r="BX919" s="55">
        <f>ROUNDUP(BU919/BN919,0)</f>
        <v/>
      </c>
      <c r="BY919" s="58">
        <f>IF(BO919=1,0,IFERROR(VLOOKUP(BM919,'Gebinde-Kategorie'!$A$5:$G$45,5,0)+0,0))</f>
        <v/>
      </c>
      <c r="BZ919" s="58">
        <f>IFERROR(IF(OR(BQ919=1,BQ919=2,BQ919=3),N(INDEX(Parameter!$I$5:$I$7,BQ919)),0),0)</f>
        <v/>
      </c>
    </row>
    <row r="920">
      <c r="A920" s="53" t="inlineStr">
        <is>
          <t>100036</t>
        </is>
      </c>
      <c r="B920" s="53" t="inlineStr">
        <is>
          <t>Zylinderschraube mit Innensechskant</t>
        </is>
      </c>
      <c r="C920" s="53" t="inlineStr">
        <is>
          <t>F</t>
        </is>
      </c>
      <c r="D920" s="53" t="inlineStr">
        <is>
          <t>KTL</t>
        </is>
      </c>
      <c r="E920" s="53" t="inlineStr">
        <is>
          <t>C</t>
        </is>
      </c>
      <c r="F920" s="54" t="n">
        <v>0.02</v>
      </c>
      <c r="G920" s="55">
        <f>MAX(0,IF(Parameter!$B$20="Jahresanfang 2025 + Export",BG920+BF920,BF920))</f>
        <v/>
      </c>
      <c r="H920" s="55">
        <f>G920*F920</f>
        <v/>
      </c>
      <c r="I920" s="55">
        <f>BI920*Parameter!$B$18</f>
        <v/>
      </c>
      <c r="J920" s="56" t="n">
        <v>3182.5</v>
      </c>
      <c r="K920" s="57" t="n">
        <v>1.700549882168107</v>
      </c>
      <c r="L920" s="55" t="n">
        <v>315</v>
      </c>
      <c r="M920" s="55" t="n">
        <v>2000</v>
      </c>
      <c r="N920" s="58" t="n">
        <v>21</v>
      </c>
      <c r="O920" s="53" t="inlineStr">
        <is>
          <t>S51</t>
        </is>
      </c>
      <c r="P920" s="55" t="n">
        <v>2951</v>
      </c>
      <c r="Q920" s="59">
        <f>IF(BO920=1,0,IFERROR(VLOOKUP(BM920,'Gebinde-Kategorie'!$A$5:$G$45,6,0)+0,0))</f>
        <v/>
      </c>
      <c r="R920" s="60" t="n"/>
      <c r="S920" s="61" t="n"/>
      <c r="T920" s="61" t="n"/>
      <c r="U920" s="53">
        <f>IF(A920="","",IF(IFERROR(VLOOKUP(D920,Parameter!$A$35:$C$64,2,0),"Nein")="2+3",IF(ISNUMBER(SEARCH("grosser Artikel",BJ920)),2,IFERROR(VLOOKUP(BM920,Parameter!$F$35:$G$64,2,0),2)),IF(OR(IFERROR(VLOOKUP(D920,Parameter!$A$35:$C$64,2,0),"Nein")="Nein",IFERROR(VLOOKUP(D920,Parameter!$A$35:$C$64,2,0),"Nein")=""),"-",VLOOKUP(D920,Parameter!$A$35:$C$64,2,0))))</f>
        <v/>
      </c>
      <c r="V920" s="61" t="n"/>
      <c r="W920" s="62" t="n"/>
      <c r="X920" s="55">
        <f>AM920</f>
        <v/>
      </c>
      <c r="Y920" s="55">
        <f>MAX(AM920,G920)</f>
        <v/>
      </c>
      <c r="Z920" s="63" t="n"/>
      <c r="AA920" s="55">
        <f>IF(LEFT(Cockpit!$C$5,1)="A",G920,IF(BT920=1,BU920,IF(LEFT(Cockpit!$C$5,1)="B",AE920,MAX(AE920,G920))))</f>
        <v/>
      </c>
      <c r="AB920" s="55">
        <f>IF(BO920=1,0,ROUNDUP(AA920/BN920,0))</f>
        <v/>
      </c>
      <c r="AC920" s="64">
        <f>IF(BO920=1,IF(AA920&lt;=0,0,BP920*MAX(1,IF(G920&gt;0,AA920/G920,1))),AB920*Q920)</f>
        <v/>
      </c>
      <c r="AD920" s="55">
        <f>AA920*F920</f>
        <v/>
      </c>
      <c r="AE920" s="55">
        <f>ROUNDUP(MAX(I920/IF(BS920&gt;0,BS920,MAX(0.1,N(Cockpit!$C$6))),BV920)/BN920,0)*BN920</f>
        <v/>
      </c>
      <c r="AF920" s="56">
        <f>IF(AC920&gt;0,I920/AC920,-1)</f>
        <v/>
      </c>
      <c r="AG920" s="56">
        <f>IF(AND(OR(BR920="L1",BR920="L23"),AC920&gt;0),SUMIFS($AC$7:$AC$1570,$BR$7:$BR$1570,BR920,$AF$7:$AF$1570,"&gt;"&amp;AF920)+SUMIFS($AC$7:$AC$1570,$BR$7:$BR$1570,BR920,$AF$7:$AF$1570,AF920,$BL$7:$BL$1570,"&lt;="&amp;BL920),"")</f>
        <v/>
      </c>
      <c r="AH920" s="65">
        <f>IF(AG920="",0,MAX(0,MIN(1,(IF(BR920="L1",Parameter!$K$5,Parameter!$K$6+Parameter!$K$7)-(AG920-AC920))/AC920)))</f>
        <v/>
      </c>
      <c r="AI920" s="55">
        <f>IF(LEFT(Cockpit!$I$5,1)="A",G920,IF(BT920=1,BU920,IF(LEFT(Cockpit!$I$5,1)="B",AM920,MAX(AM920,G920))))</f>
        <v/>
      </c>
      <c r="AJ920" s="55">
        <f>IF(BO920=1,0,ROUNDUP(AI920/BN920,0))</f>
        <v/>
      </c>
      <c r="AK920" s="64">
        <f>IF(BO920=1,IF(AI920&lt;=0,0,BP920*MAX(1,IF(G920&gt;0,AI920/G920,1))),AJ920*Q920)</f>
        <v/>
      </c>
      <c r="AL920" s="55">
        <f>AI920*F920</f>
        <v/>
      </c>
      <c r="AM920" s="55">
        <f>ROUNDUP(MAX(I920/IF(BS920&gt;0,BS920,MAX(0.1,N(Cockpit!$I$6))),BV920)/BN920,0)*BN920</f>
        <v/>
      </c>
      <c r="AN920" s="56">
        <f>IF(AK920&gt;0,I920/AK920,-1)</f>
        <v/>
      </c>
      <c r="AO920" s="56">
        <f>IF(AND(OR(BR920="L1",BR920="L23"),AK920&gt;0),SUMIFS($AK$7:$AK$1570,$BR$7:$BR$1570,BR920,$AN$7:$AN$1570,"&gt;"&amp;AN920)+SUMIFS($AK$7:$AK$1570,$BR$7:$BR$1570,BR920,$AN$7:$AN$1570,AN920,$BL$7:$BL$1570,"&lt;="&amp;BL920),"")</f>
        <v/>
      </c>
      <c r="AP920" s="65">
        <f>IF(AO920="",0,MAX(0,MIN(1,(IF(BR920="L1",Parameter!$K$5,Parameter!$K$6+Parameter!$K$7)-(AO920-AK920))/AK920)))</f>
        <v/>
      </c>
      <c r="AQ920" s="55">
        <f>IF(LEFT(Cockpit!$O$5,1)="A",G920,IF(BT920=1,BU920,IF(LEFT(Cockpit!$O$5,1)="B",AU920,MAX(AU920,G920))))</f>
        <v/>
      </c>
      <c r="AR920" s="55">
        <f>IF(BO920=1,0,ROUNDUP(AQ920/BN920,0))</f>
        <v/>
      </c>
      <c r="AS920" s="64">
        <f>IF(BO920=1,IF(AQ920&lt;=0,0,BP920*MAX(1,IF(G920&gt;0,AQ920/G920,1))),AR920*Q920)</f>
        <v/>
      </c>
      <c r="AT920" s="55">
        <f>AQ920*F920</f>
        <v/>
      </c>
      <c r="AU920" s="55">
        <f>ROUNDUP(MAX(I920/IF(BS920&gt;0,BS920,MAX(0.1,N(Cockpit!$O$6))),BV920)/BN920,0)*BN920</f>
        <v/>
      </c>
      <c r="AV920" s="56">
        <f>IF(AS920&gt;0,I920/AS920,-1)</f>
        <v/>
      </c>
      <c r="AW920" s="56">
        <f>IF(AND(OR(BR920="L1",BR920="L23"),AS920&gt;0),SUMIFS($AS$7:$AS$1570,$BR$7:$BR$1570,BR920,$AV$7:$AV$1570,"&gt;"&amp;AV920)+SUMIFS($AS$7:$AS$1570,$BR$7:$BR$1570,BR920,$AV$7:$AV$1570,AV920,$BL$7:$BL$1570,"&lt;="&amp;BL920),"")</f>
        <v/>
      </c>
      <c r="AX920" s="65">
        <f>IF(AW920="",0,MAX(0,MIN(1,(IF(BR920="L1",Parameter!$K$5,Parameter!$K$6+Parameter!$K$7)-(AW920-AS920))/AS920)))</f>
        <v/>
      </c>
      <c r="AY920" s="53">
        <f>IF(AC920&lt;=0,"",IF(BR920="Aussen","Aussenlager",IF(BR920="-","Nicht im Lift",IF(AH920&gt;=1,"Lift",IF(AH920&lt;=0,"Aussenlager","teilweise")))))</f>
        <v/>
      </c>
      <c r="AZ920" s="53">
        <f>IF(AK920&lt;=0,"",IF(BR920="Aussen","Aussenlager",IF(BR920="-","Nicht im Lift",IF(AP920&gt;=1,"Lift",IF(AP920&lt;=0,"Aussenlager","teilweise")))))</f>
        <v/>
      </c>
      <c r="BA920" s="53">
        <f>IF(AS920&lt;=0,"",IF(BR920="Aussen","Aussenlager",IF(BR920="-","Nicht im Lift",IF(AX920&gt;=1,"Lift",IF(AX920&lt;=0,"Aussenlager","teilweise")))))</f>
        <v/>
      </c>
      <c r="BB920" s="53">
        <f>IF(A920="","",IF(BK920=1,"Neu; ","")&amp;IF(AND(BK920=0,BF920&lt;0),"negativer Bestand (Export "&amp;BF920&amp;"); ","")&amp;IF(I920&lt;=0,"Kein Verbrauch; ","")&amp;IF(BO920=1,"Lose – Fläche geschätzt; ","")&amp;IF(G920&gt;AM920,"Überbestand "&amp;ROUND(G920-AM920,0)&amp;" Stk / CHF "&amp;ROUND((G920-AM920)*F920,0)&amp;"; ","")&amp;IF(AND(BT920=1,BU920&lt;BV920),"MAX &lt; MB+LG; ","")&amp;IF(AND(BZ920&gt;0,BY920*10&gt;BZ920),"zu hoch für Tablar; ","")&amp;IF(AND(BK920=0,OR(BT920=1,V920&lt;&gt;"",S920&lt;&gt;"",T920&lt;&gt;"",W920&lt;&gt;"")),"manuell übersteuert; ","")&amp;IF(AND(BO920=0,Q920=0),"Gebinde unbekannt; ","")&amp;IF(AND(BO920=0,N(T920)&lt;=0,N(P920)&lt;=0),"Menge pro Gebinde fehlt (Ist = 1 Gebinde); ","")&amp;BJ920)</f>
        <v/>
      </c>
      <c r="BC920" s="53" t="n"/>
      <c r="BD920" s="53" t="n"/>
      <c r="BE920" s="61" t="n"/>
      <c r="BF920" s="55" t="n">
        <v>-2198</v>
      </c>
      <c r="BG920" s="55" t="n">
        <v>2893</v>
      </c>
      <c r="BH920" s="54" t="n">
        <v>-43.95999999999997</v>
      </c>
      <c r="BI920" s="55" t="n">
        <v>5412</v>
      </c>
      <c r="BJ920" s="53" t="inlineStr"/>
      <c r="BK920" s="58" t="n">
        <v>0</v>
      </c>
      <c r="BL920" s="58" t="n">
        <v>920</v>
      </c>
      <c r="BM920" s="53">
        <f>IF(S920&lt;&gt;"",UPPER(TRIM(S920)),IF(O920="","LOSE",O920))</f>
        <v/>
      </c>
      <c r="BN920" s="55">
        <f>IF(BM920="LOSE",1,IF(N(T920)&gt;0,T920,IF(N(P920)&gt;0,P920,MAX(1,G920))))</f>
        <v/>
      </c>
      <c r="BO920" s="58">
        <f>IF(BM920="LOSE",1,0)</f>
        <v/>
      </c>
      <c r="BP920" s="64">
        <f>IF(BO920=0,0,IF(N(R920)&gt;0,R920,IFERROR(VLOOKUP(D920,Parameter!$A$35:$C$64,3,0)+0,0)))</f>
        <v/>
      </c>
      <c r="BQ920" s="53">
        <f>IF(V920&lt;&gt;"",V920,U920)</f>
        <v/>
      </c>
      <c r="BR920" s="53">
        <f>IF(BQ920=1,"L1",IF(OR(BQ920=2,BQ920=3),"L23",IF(BQ920="Aussen","Aussen","-")))</f>
        <v/>
      </c>
      <c r="BS920" s="66">
        <f>IF(N(W920)&gt;0,W920,0)</f>
        <v/>
      </c>
      <c r="BT920" s="58">
        <f>IF(ISNUMBER(Z920),1,0)</f>
        <v/>
      </c>
      <c r="BU920" s="55">
        <f>N(Z920)</f>
        <v/>
      </c>
      <c r="BV920" s="55">
        <f>N(L920)+N(M920)</f>
        <v/>
      </c>
      <c r="BW920" s="55">
        <f>ROUNDUP(G920/BN920,0)</f>
        <v/>
      </c>
      <c r="BX920" s="55">
        <f>ROUNDUP(BU920/BN920,0)</f>
        <v/>
      </c>
      <c r="BY920" s="58">
        <f>IF(BO920=1,0,IFERROR(VLOOKUP(BM920,'Gebinde-Kategorie'!$A$5:$G$45,5,0)+0,0))</f>
        <v/>
      </c>
      <c r="BZ920" s="58">
        <f>IFERROR(IF(OR(BQ920=1,BQ920=2,BQ920=3),N(INDEX(Parameter!$I$5:$I$7,BQ920)),0),0)</f>
        <v/>
      </c>
    </row>
    <row r="921">
      <c r="A921" s="53" t="inlineStr">
        <is>
          <t>005386</t>
        </is>
      </c>
      <c r="B921" s="53" t="inlineStr">
        <is>
          <t>Sechskant Stifteinsatz</t>
        </is>
      </c>
      <c r="C921" s="53" t="inlineStr">
        <is>
          <t>F</t>
        </is>
      </c>
      <c r="D921" s="53" t="inlineStr">
        <is>
          <t>KTL</t>
        </is>
      </c>
      <c r="E921" s="53" t="inlineStr">
        <is>
          <t>C</t>
        </is>
      </c>
      <c r="F921" s="54" t="n">
        <v>39.78</v>
      </c>
      <c r="G921" s="55">
        <f>MAX(0,IF(Parameter!$B$20="Jahresanfang 2025 + Export",BG921+BF921,BF921))</f>
        <v/>
      </c>
      <c r="H921" s="55">
        <f>G921*F921</f>
        <v/>
      </c>
      <c r="I921" s="55">
        <f>BI921*Parameter!$B$18</f>
        <v/>
      </c>
      <c r="J921" s="56" t="n">
        <v>8</v>
      </c>
      <c r="K921" s="57" t="n">
        <v>0.5</v>
      </c>
      <c r="L921" s="55" t="n">
        <v>0</v>
      </c>
      <c r="M921" s="55" t="n">
        <v>5</v>
      </c>
      <c r="N921" s="58" t="n">
        <v>17</v>
      </c>
      <c r="O921" s="53" t="inlineStr">
        <is>
          <t>S32</t>
        </is>
      </c>
      <c r="P921" s="55" t="n">
        <v>13</v>
      </c>
      <c r="Q921" s="59">
        <f>IF(BO921=1,0,IFERROR(VLOOKUP(BM921,'Gebinde-Kategorie'!$A$5:$G$45,6,0)+0,0))</f>
        <v/>
      </c>
      <c r="R921" s="60" t="n"/>
      <c r="S921" s="61" t="n"/>
      <c r="T921" s="61" t="n"/>
      <c r="U921" s="53">
        <f>IF(A921="","",IF(IFERROR(VLOOKUP(D921,Parameter!$A$35:$C$64,2,0),"Nein")="2+3",IF(ISNUMBER(SEARCH("grosser Artikel",BJ921)),2,IFERROR(VLOOKUP(BM921,Parameter!$F$35:$G$64,2,0),2)),IF(OR(IFERROR(VLOOKUP(D921,Parameter!$A$35:$C$64,2,0),"Nein")="Nein",IFERROR(VLOOKUP(D921,Parameter!$A$35:$C$64,2,0),"Nein")=""),"-",VLOOKUP(D921,Parameter!$A$35:$C$64,2,0))))</f>
        <v/>
      </c>
      <c r="V921" s="61" t="n"/>
      <c r="W921" s="62" t="n"/>
      <c r="X921" s="55">
        <f>AM921</f>
        <v/>
      </c>
      <c r="Y921" s="55">
        <f>MAX(AM921,G921)</f>
        <v/>
      </c>
      <c r="Z921" s="63" t="n"/>
      <c r="AA921" s="55">
        <f>IF(LEFT(Cockpit!$C$5,1)="A",G921,IF(BT921=1,BU921,IF(LEFT(Cockpit!$C$5,1)="B",AE921,MAX(AE921,G921))))</f>
        <v/>
      </c>
      <c r="AB921" s="55">
        <f>IF(BO921=1,0,ROUNDUP(AA921/BN921,0))</f>
        <v/>
      </c>
      <c r="AC921" s="64">
        <f>IF(BO921=1,IF(AA921&lt;=0,0,BP921*MAX(1,IF(G921&gt;0,AA921/G921,1))),AB921*Q921)</f>
        <v/>
      </c>
      <c r="AD921" s="55">
        <f>AA921*F921</f>
        <v/>
      </c>
      <c r="AE921" s="55">
        <f>ROUNDUP(MAX(I921/IF(BS921&gt;0,BS921,MAX(0.1,N(Cockpit!$C$6))),BV921)/BN921,0)*BN921</f>
        <v/>
      </c>
      <c r="AF921" s="56">
        <f>IF(AC921&gt;0,I921/AC921,-1)</f>
        <v/>
      </c>
      <c r="AG921" s="56">
        <f>IF(AND(OR(BR921="L1",BR921="L23"),AC921&gt;0),SUMIFS($AC$7:$AC$1570,$BR$7:$BR$1570,BR921,$AF$7:$AF$1570,"&gt;"&amp;AF921)+SUMIFS($AC$7:$AC$1570,$BR$7:$BR$1570,BR921,$AF$7:$AF$1570,AF921,$BL$7:$BL$1570,"&lt;="&amp;BL921),"")</f>
        <v/>
      </c>
      <c r="AH921" s="65">
        <f>IF(AG921="",0,MAX(0,MIN(1,(IF(BR921="L1",Parameter!$K$5,Parameter!$K$6+Parameter!$K$7)-(AG921-AC921))/AC921)))</f>
        <v/>
      </c>
      <c r="AI921" s="55">
        <f>IF(LEFT(Cockpit!$I$5,1)="A",G921,IF(BT921=1,BU921,IF(LEFT(Cockpit!$I$5,1)="B",AM921,MAX(AM921,G921))))</f>
        <v/>
      </c>
      <c r="AJ921" s="55">
        <f>IF(BO921=1,0,ROUNDUP(AI921/BN921,0))</f>
        <v/>
      </c>
      <c r="AK921" s="64">
        <f>IF(BO921=1,IF(AI921&lt;=0,0,BP921*MAX(1,IF(G921&gt;0,AI921/G921,1))),AJ921*Q921)</f>
        <v/>
      </c>
      <c r="AL921" s="55">
        <f>AI921*F921</f>
        <v/>
      </c>
      <c r="AM921" s="55">
        <f>ROUNDUP(MAX(I921/IF(BS921&gt;0,BS921,MAX(0.1,N(Cockpit!$I$6))),BV921)/BN921,0)*BN921</f>
        <v/>
      </c>
      <c r="AN921" s="56">
        <f>IF(AK921&gt;0,I921/AK921,-1)</f>
        <v/>
      </c>
      <c r="AO921" s="56">
        <f>IF(AND(OR(BR921="L1",BR921="L23"),AK921&gt;0),SUMIFS($AK$7:$AK$1570,$BR$7:$BR$1570,BR921,$AN$7:$AN$1570,"&gt;"&amp;AN921)+SUMIFS($AK$7:$AK$1570,$BR$7:$BR$1570,BR921,$AN$7:$AN$1570,AN921,$BL$7:$BL$1570,"&lt;="&amp;BL921),"")</f>
        <v/>
      </c>
      <c r="AP921" s="65">
        <f>IF(AO921="",0,MAX(0,MIN(1,(IF(BR921="L1",Parameter!$K$5,Parameter!$K$6+Parameter!$K$7)-(AO921-AK921))/AK921)))</f>
        <v/>
      </c>
      <c r="AQ921" s="55">
        <f>IF(LEFT(Cockpit!$O$5,1)="A",G921,IF(BT921=1,BU921,IF(LEFT(Cockpit!$O$5,1)="B",AU921,MAX(AU921,G921))))</f>
        <v/>
      </c>
      <c r="AR921" s="55">
        <f>IF(BO921=1,0,ROUNDUP(AQ921/BN921,0))</f>
        <v/>
      </c>
      <c r="AS921" s="64">
        <f>IF(BO921=1,IF(AQ921&lt;=0,0,BP921*MAX(1,IF(G921&gt;0,AQ921/G921,1))),AR921*Q921)</f>
        <v/>
      </c>
      <c r="AT921" s="55">
        <f>AQ921*F921</f>
        <v/>
      </c>
      <c r="AU921" s="55">
        <f>ROUNDUP(MAX(I921/IF(BS921&gt;0,BS921,MAX(0.1,N(Cockpit!$O$6))),BV921)/BN921,0)*BN921</f>
        <v/>
      </c>
      <c r="AV921" s="56">
        <f>IF(AS921&gt;0,I921/AS921,-1)</f>
        <v/>
      </c>
      <c r="AW921" s="56">
        <f>IF(AND(OR(BR921="L1",BR921="L23"),AS921&gt;0),SUMIFS($AS$7:$AS$1570,$BR$7:$BR$1570,BR921,$AV$7:$AV$1570,"&gt;"&amp;AV921)+SUMIFS($AS$7:$AS$1570,$BR$7:$BR$1570,BR921,$AV$7:$AV$1570,AV921,$BL$7:$BL$1570,"&lt;="&amp;BL921),"")</f>
        <v/>
      </c>
      <c r="AX921" s="65">
        <f>IF(AW921="",0,MAX(0,MIN(1,(IF(BR921="L1",Parameter!$K$5,Parameter!$K$6+Parameter!$K$7)-(AW921-AS921))/AS921)))</f>
        <v/>
      </c>
      <c r="AY921" s="53">
        <f>IF(AC921&lt;=0,"",IF(BR921="Aussen","Aussenlager",IF(BR921="-","Nicht im Lift",IF(AH921&gt;=1,"Lift",IF(AH921&lt;=0,"Aussenlager","teilweise")))))</f>
        <v/>
      </c>
      <c r="AZ921" s="53">
        <f>IF(AK921&lt;=0,"",IF(BR921="Aussen","Aussenlager",IF(BR921="-","Nicht im Lift",IF(AP921&gt;=1,"Lift",IF(AP921&lt;=0,"Aussenlager","teilweise")))))</f>
        <v/>
      </c>
      <c r="BA921" s="53">
        <f>IF(AS921&lt;=0,"",IF(BR921="Aussen","Aussenlager",IF(BR921="-","Nicht im Lift",IF(AX921&gt;=1,"Lift",IF(AX921&lt;=0,"Aussenlager","teilweise")))))</f>
        <v/>
      </c>
      <c r="BB921" s="53">
        <f>IF(A921="","",IF(BK921=1,"Neu; ","")&amp;IF(AND(BK921=0,BF921&lt;0),"negativer Bestand (Export "&amp;BF921&amp;"); ","")&amp;IF(I921&lt;=0,"Kein Verbrauch; ","")&amp;IF(BO921=1,"Lose – Fläche geschätzt; ","")&amp;IF(G921&gt;AM921,"Überbestand "&amp;ROUND(G921-AM921,0)&amp;" Stk / CHF "&amp;ROUND((G921-AM921)*F921,0)&amp;"; ","")&amp;IF(AND(BT921=1,BU921&lt;BV921),"MAX &lt; MB+LG; ","")&amp;IF(AND(BZ921&gt;0,BY921*10&gt;BZ921),"zu hoch für Tablar; ","")&amp;IF(AND(BK921=0,OR(BT921=1,V921&lt;&gt;"",S921&lt;&gt;"",T921&lt;&gt;"",W921&lt;&gt;"")),"manuell übersteuert; ","")&amp;IF(AND(BO921=0,Q921=0),"Gebinde unbekannt; ","")&amp;IF(AND(BO921=0,N(T921)&lt;=0,N(P921)&lt;=0),"Menge pro Gebinde fehlt (Ist = 1 Gebinde); ","")&amp;BJ921)</f>
        <v/>
      </c>
      <c r="BC921" s="53" t="n"/>
      <c r="BD921" s="53" t="n"/>
      <c r="BE921" s="61" t="n"/>
      <c r="BF921" s="55" t="n">
        <v>0</v>
      </c>
      <c r="BG921" s="55" t="n">
        <v>10</v>
      </c>
      <c r="BH921" s="54" t="n">
        <v>-44.00000000000006</v>
      </c>
      <c r="BI921" s="55" t="n">
        <v>4</v>
      </c>
      <c r="BJ921" s="53" t="inlineStr"/>
      <c r="BK921" s="58" t="n">
        <v>0</v>
      </c>
      <c r="BL921" s="58" t="n">
        <v>921</v>
      </c>
      <c r="BM921" s="53">
        <f>IF(S921&lt;&gt;"",UPPER(TRIM(S921)),IF(O921="","LOSE",O921))</f>
        <v/>
      </c>
      <c r="BN921" s="55">
        <f>IF(BM921="LOSE",1,IF(N(T921)&gt;0,T921,IF(N(P921)&gt;0,P921,MAX(1,G921))))</f>
        <v/>
      </c>
      <c r="BO921" s="58">
        <f>IF(BM921="LOSE",1,0)</f>
        <v/>
      </c>
      <c r="BP921" s="64">
        <f>IF(BO921=0,0,IF(N(R921)&gt;0,R921,IFERROR(VLOOKUP(D921,Parameter!$A$35:$C$64,3,0)+0,0)))</f>
        <v/>
      </c>
      <c r="BQ921" s="53">
        <f>IF(V921&lt;&gt;"",V921,U921)</f>
        <v/>
      </c>
      <c r="BR921" s="53">
        <f>IF(BQ921=1,"L1",IF(OR(BQ921=2,BQ921=3),"L23",IF(BQ921="Aussen","Aussen","-")))</f>
        <v/>
      </c>
      <c r="BS921" s="66">
        <f>IF(N(W921)&gt;0,W921,0)</f>
        <v/>
      </c>
      <c r="BT921" s="58">
        <f>IF(ISNUMBER(Z921),1,0)</f>
        <v/>
      </c>
      <c r="BU921" s="55">
        <f>N(Z921)</f>
        <v/>
      </c>
      <c r="BV921" s="55">
        <f>N(L921)+N(M921)</f>
        <v/>
      </c>
      <c r="BW921" s="55">
        <f>ROUNDUP(G921/BN921,0)</f>
        <v/>
      </c>
      <c r="BX921" s="55">
        <f>ROUNDUP(BU921/BN921,0)</f>
        <v/>
      </c>
      <c r="BY921" s="58">
        <f>IF(BO921=1,0,IFERROR(VLOOKUP(BM921,'Gebinde-Kategorie'!$A$5:$G$45,5,0)+0,0))</f>
        <v/>
      </c>
      <c r="BZ921" s="58">
        <f>IFERROR(IF(OR(BQ921=1,BQ921=2,BQ921=3),N(INDEX(Parameter!$I$5:$I$7,BQ921)),0),0)</f>
        <v/>
      </c>
    </row>
    <row r="922">
      <c r="A922" s="53" t="inlineStr">
        <is>
          <t>001045</t>
        </is>
      </c>
      <c r="B922" s="53" t="inlineStr">
        <is>
          <t>Karton</t>
        </is>
      </c>
      <c r="C922" s="53" t="inlineStr">
        <is>
          <t>F</t>
        </is>
      </c>
      <c r="D922" s="53" t="inlineStr">
        <is>
          <t>PAL</t>
        </is>
      </c>
      <c r="E922" s="53" t="inlineStr">
        <is>
          <t>C</t>
        </is>
      </c>
      <c r="F922" s="54" t="n">
        <v>0.75</v>
      </c>
      <c r="G922" s="55">
        <f>MAX(0,IF(Parameter!$B$20="Jahresanfang 2025 + Export",BG922+BF922,BF922))</f>
        <v/>
      </c>
      <c r="H922" s="55">
        <f>G922*F922</f>
        <v/>
      </c>
      <c r="I922" s="55">
        <f>BI922*Parameter!$B$18</f>
        <v/>
      </c>
      <c r="J922" s="56" t="n">
        <v>115.5</v>
      </c>
      <c r="K922" s="57" t="n">
        <v>4.008658008658009</v>
      </c>
      <c r="L922" s="55" t="n">
        <v>27</v>
      </c>
      <c r="M922" s="55" t="n">
        <v>100</v>
      </c>
      <c r="N922" s="58" t="n">
        <v>21</v>
      </c>
      <c r="O922" s="53" t="inlineStr">
        <is>
          <t>LOSE</t>
        </is>
      </c>
      <c r="P922" s="55" t="n"/>
      <c r="Q922" s="59">
        <f>IF(BO922=1,0,IFERROR(VLOOKUP(BM922,'Gebinde-Kategorie'!$A$5:$G$45,6,0)+0,0))</f>
        <v/>
      </c>
      <c r="R922" s="60" t="n"/>
      <c r="S922" s="61" t="n"/>
      <c r="T922" s="61" t="n"/>
      <c r="U922" s="53">
        <f>IF(A922="","",IF(IFERROR(VLOOKUP(D922,Parameter!$A$35:$C$64,2,0),"Nein")="2+3",IF(ISNUMBER(SEARCH("grosser Artikel",BJ922)),2,IFERROR(VLOOKUP(BM922,Parameter!$F$35:$G$64,2,0),2)),IF(OR(IFERROR(VLOOKUP(D922,Parameter!$A$35:$C$64,2,0),"Nein")="Nein",IFERROR(VLOOKUP(D922,Parameter!$A$35:$C$64,2,0),"Nein")=""),"-",VLOOKUP(D922,Parameter!$A$35:$C$64,2,0))))</f>
        <v/>
      </c>
      <c r="V922" s="61" t="n"/>
      <c r="W922" s="62" t="n"/>
      <c r="X922" s="55">
        <f>AM922</f>
        <v/>
      </c>
      <c r="Y922" s="55">
        <f>MAX(AM922,G922)</f>
        <v/>
      </c>
      <c r="Z922" s="63" t="n"/>
      <c r="AA922" s="55">
        <f>IF(LEFT(Cockpit!$C$5,1)="A",G922,IF(BT922=1,BU922,IF(LEFT(Cockpit!$C$5,1)="B",AE922,MAX(AE922,G922))))</f>
        <v/>
      </c>
      <c r="AB922" s="55">
        <f>IF(BO922=1,0,ROUNDUP(AA922/BN922,0))</f>
        <v/>
      </c>
      <c r="AC922" s="64">
        <f>IF(BO922=1,IF(AA922&lt;=0,0,BP922*MAX(1,IF(G922&gt;0,AA922/G922,1))),AB922*Q922)</f>
        <v/>
      </c>
      <c r="AD922" s="55">
        <f>AA922*F922</f>
        <v/>
      </c>
      <c r="AE922" s="55">
        <f>ROUNDUP(MAX(I922/IF(BS922&gt;0,BS922,MAX(0.1,N(Cockpit!$C$6))),BV922)/BN922,0)*BN922</f>
        <v/>
      </c>
      <c r="AF922" s="56">
        <f>IF(AC922&gt;0,I922/AC922,-1)</f>
        <v/>
      </c>
      <c r="AG922" s="56">
        <f>IF(AND(OR(BR922="L1",BR922="L23"),AC922&gt;0),SUMIFS($AC$7:$AC$1570,$BR$7:$BR$1570,BR922,$AF$7:$AF$1570,"&gt;"&amp;AF922)+SUMIFS($AC$7:$AC$1570,$BR$7:$BR$1570,BR922,$AF$7:$AF$1570,AF922,$BL$7:$BL$1570,"&lt;="&amp;BL922),"")</f>
        <v/>
      </c>
      <c r="AH922" s="65">
        <f>IF(AG922="",0,MAX(0,MIN(1,(IF(BR922="L1",Parameter!$K$5,Parameter!$K$6+Parameter!$K$7)-(AG922-AC922))/AC922)))</f>
        <v/>
      </c>
      <c r="AI922" s="55">
        <f>IF(LEFT(Cockpit!$I$5,1)="A",G922,IF(BT922=1,BU922,IF(LEFT(Cockpit!$I$5,1)="B",AM922,MAX(AM922,G922))))</f>
        <v/>
      </c>
      <c r="AJ922" s="55">
        <f>IF(BO922=1,0,ROUNDUP(AI922/BN922,0))</f>
        <v/>
      </c>
      <c r="AK922" s="64">
        <f>IF(BO922=1,IF(AI922&lt;=0,0,BP922*MAX(1,IF(G922&gt;0,AI922/G922,1))),AJ922*Q922)</f>
        <v/>
      </c>
      <c r="AL922" s="55">
        <f>AI922*F922</f>
        <v/>
      </c>
      <c r="AM922" s="55">
        <f>ROUNDUP(MAX(I922/IF(BS922&gt;0,BS922,MAX(0.1,N(Cockpit!$I$6))),BV922)/BN922,0)*BN922</f>
        <v/>
      </c>
      <c r="AN922" s="56">
        <f>IF(AK922&gt;0,I922/AK922,-1)</f>
        <v/>
      </c>
      <c r="AO922" s="56">
        <f>IF(AND(OR(BR922="L1",BR922="L23"),AK922&gt;0),SUMIFS($AK$7:$AK$1570,$BR$7:$BR$1570,BR922,$AN$7:$AN$1570,"&gt;"&amp;AN922)+SUMIFS($AK$7:$AK$1570,$BR$7:$BR$1570,BR922,$AN$7:$AN$1570,AN922,$BL$7:$BL$1570,"&lt;="&amp;BL922),"")</f>
        <v/>
      </c>
      <c r="AP922" s="65">
        <f>IF(AO922="",0,MAX(0,MIN(1,(IF(BR922="L1",Parameter!$K$5,Parameter!$K$6+Parameter!$K$7)-(AO922-AK922))/AK922)))</f>
        <v/>
      </c>
      <c r="AQ922" s="55">
        <f>IF(LEFT(Cockpit!$O$5,1)="A",G922,IF(BT922=1,BU922,IF(LEFT(Cockpit!$O$5,1)="B",AU922,MAX(AU922,G922))))</f>
        <v/>
      </c>
      <c r="AR922" s="55">
        <f>IF(BO922=1,0,ROUNDUP(AQ922/BN922,0))</f>
        <v/>
      </c>
      <c r="AS922" s="64">
        <f>IF(BO922=1,IF(AQ922&lt;=0,0,BP922*MAX(1,IF(G922&gt;0,AQ922/G922,1))),AR922*Q922)</f>
        <v/>
      </c>
      <c r="AT922" s="55">
        <f>AQ922*F922</f>
        <v/>
      </c>
      <c r="AU922" s="55">
        <f>ROUNDUP(MAX(I922/IF(BS922&gt;0,BS922,MAX(0.1,N(Cockpit!$O$6))),BV922)/BN922,0)*BN922</f>
        <v/>
      </c>
      <c r="AV922" s="56">
        <f>IF(AS922&gt;0,I922/AS922,-1)</f>
        <v/>
      </c>
      <c r="AW922" s="56">
        <f>IF(AND(OR(BR922="L1",BR922="L23"),AS922&gt;0),SUMIFS($AS$7:$AS$1570,$BR$7:$BR$1570,BR922,$AV$7:$AV$1570,"&gt;"&amp;AV922)+SUMIFS($AS$7:$AS$1570,$BR$7:$BR$1570,BR922,$AV$7:$AV$1570,AV922,$BL$7:$BL$1570,"&lt;="&amp;BL922),"")</f>
        <v/>
      </c>
      <c r="AX922" s="65">
        <f>IF(AW922="",0,MAX(0,MIN(1,(IF(BR922="L1",Parameter!$K$5,Parameter!$K$6+Parameter!$K$7)-(AW922-AS922))/AS922)))</f>
        <v/>
      </c>
      <c r="AY922" s="53">
        <f>IF(AC922&lt;=0,"",IF(BR922="Aussen","Aussenlager",IF(BR922="-","Nicht im Lift",IF(AH922&gt;=1,"Lift",IF(AH922&lt;=0,"Aussenlager","teilweise")))))</f>
        <v/>
      </c>
      <c r="AZ922" s="53">
        <f>IF(AK922&lt;=0,"",IF(BR922="Aussen","Aussenlager",IF(BR922="-","Nicht im Lift",IF(AP922&gt;=1,"Lift",IF(AP922&lt;=0,"Aussenlager","teilweise")))))</f>
        <v/>
      </c>
      <c r="BA922" s="53">
        <f>IF(AS922&lt;=0,"",IF(BR922="Aussen","Aussenlager",IF(BR922="-","Nicht im Lift",IF(AX922&gt;=1,"Lift",IF(AX922&lt;=0,"Aussenlager","teilweise")))))</f>
        <v/>
      </c>
      <c r="BB922" s="53">
        <f>IF(A922="","",IF(BK922=1,"Neu; ","")&amp;IF(AND(BK922=0,BF922&lt;0),"negativer Bestand (Export "&amp;BF922&amp;"); ","")&amp;IF(I922&lt;=0,"Kein Verbrauch; ","")&amp;IF(BO922=1,"Lose – Fläche geschätzt; ","")&amp;IF(G922&gt;AM922,"Überbestand "&amp;ROUND(G922-AM922,0)&amp;" Stk / CHF "&amp;ROUND((G922-AM922)*F922,0)&amp;"; ","")&amp;IF(AND(BT922=1,BU922&lt;BV922),"MAX &lt; MB+LG; ","")&amp;IF(AND(BZ922&gt;0,BY922*10&gt;BZ922),"zu hoch für Tablar; ","")&amp;IF(AND(BK922=0,OR(BT922=1,V922&lt;&gt;"",S922&lt;&gt;"",T922&lt;&gt;"",W922&lt;&gt;"")),"manuell übersteuert; ","")&amp;IF(AND(BO922=0,Q922=0),"Gebinde unbekannt; ","")&amp;IF(AND(BO922=0,N(T922)&lt;=0,N(P922)&lt;=0),"Menge pro Gebinde fehlt (Ist = 1 Gebinde); ","")&amp;BJ922)</f>
        <v/>
      </c>
      <c r="BC922" s="53" t="n"/>
      <c r="BD922" s="53" t="n"/>
      <c r="BE922" s="61" t="n"/>
      <c r="BF922" s="55" t="n">
        <v>-86</v>
      </c>
      <c r="BG922" s="55" t="n">
        <v>157</v>
      </c>
      <c r="BH922" s="54" t="n">
        <v>-44.09000000000002</v>
      </c>
      <c r="BI922" s="55" t="n">
        <v>463</v>
      </c>
      <c r="BJ922" s="53" t="inlineStr"/>
      <c r="BK922" s="58" t="n">
        <v>0</v>
      </c>
      <c r="BL922" s="58" t="n">
        <v>922</v>
      </c>
      <c r="BM922" s="53">
        <f>IF(S922&lt;&gt;"",UPPER(TRIM(S922)),IF(O922="","LOSE",O922))</f>
        <v/>
      </c>
      <c r="BN922" s="55">
        <f>IF(BM922="LOSE",1,IF(N(T922)&gt;0,T922,IF(N(P922)&gt;0,P922,MAX(1,G922))))</f>
        <v/>
      </c>
      <c r="BO922" s="58">
        <f>IF(BM922="LOSE",1,0)</f>
        <v/>
      </c>
      <c r="BP922" s="64">
        <f>IF(BO922=0,0,IF(N(R922)&gt;0,R922,IFERROR(VLOOKUP(D922,Parameter!$A$35:$C$64,3,0)+0,0)))</f>
        <v/>
      </c>
      <c r="BQ922" s="53">
        <f>IF(V922&lt;&gt;"",V922,U922)</f>
        <v/>
      </c>
      <c r="BR922" s="53">
        <f>IF(BQ922=1,"L1",IF(OR(BQ922=2,BQ922=3),"L23",IF(BQ922="Aussen","Aussen","-")))</f>
        <v/>
      </c>
      <c r="BS922" s="66">
        <f>IF(N(W922)&gt;0,W922,0)</f>
        <v/>
      </c>
      <c r="BT922" s="58">
        <f>IF(ISNUMBER(Z922),1,0)</f>
        <v/>
      </c>
      <c r="BU922" s="55">
        <f>N(Z922)</f>
        <v/>
      </c>
      <c r="BV922" s="55">
        <f>N(L922)+N(M922)</f>
        <v/>
      </c>
      <c r="BW922" s="55">
        <f>ROUNDUP(G922/BN922,0)</f>
        <v/>
      </c>
      <c r="BX922" s="55">
        <f>ROUNDUP(BU922/BN922,0)</f>
        <v/>
      </c>
      <c r="BY922" s="58">
        <f>IF(BO922=1,0,IFERROR(VLOOKUP(BM922,'Gebinde-Kategorie'!$A$5:$G$45,5,0)+0,0))</f>
        <v/>
      </c>
      <c r="BZ922" s="58">
        <f>IFERROR(IF(OR(BQ922=1,BQ922=2,BQ922=3),N(INDEX(Parameter!$I$5:$I$7,BQ922)),0),0)</f>
        <v/>
      </c>
    </row>
    <row r="923">
      <c r="A923" s="53" t="inlineStr">
        <is>
          <t>005244</t>
        </is>
      </c>
      <c r="B923" s="53" t="inlineStr">
        <is>
          <t>Zündkabel</t>
        </is>
      </c>
      <c r="C923" s="53" t="inlineStr">
        <is>
          <t>F</t>
        </is>
      </c>
      <c r="D923" s="53" t="inlineStr">
        <is>
          <t>PAL</t>
        </is>
      </c>
      <c r="E923" s="53" t="inlineStr">
        <is>
          <t>C</t>
        </is>
      </c>
      <c r="F923" s="54" t="n">
        <v>2.29</v>
      </c>
      <c r="G923" s="55">
        <f>MAX(0,IF(Parameter!$B$20="Jahresanfang 2025 + Export",BG923+BF923,BF923))</f>
        <v/>
      </c>
      <c r="H923" s="55">
        <f>G923*F923</f>
        <v/>
      </c>
      <c r="I923" s="55">
        <f>BI923*Parameter!$B$18</f>
        <v/>
      </c>
      <c r="J923" s="56" t="n">
        <v>880</v>
      </c>
      <c r="K923" s="57" t="n">
        <v>0.02272727272727273</v>
      </c>
      <c r="L923" s="55" t="n">
        <v>1</v>
      </c>
      <c r="M923" s="55" t="n">
        <v>20</v>
      </c>
      <c r="N923" s="58" t="n">
        <v>21</v>
      </c>
      <c r="O923" s="53" t="inlineStr">
        <is>
          <t>LOSE</t>
        </is>
      </c>
      <c r="P923" s="55" t="n"/>
      <c r="Q923" s="59">
        <f>IF(BO923=1,0,IFERROR(VLOOKUP(BM923,'Gebinde-Kategorie'!$A$5:$G$45,6,0)+0,0))</f>
        <v/>
      </c>
      <c r="R923" s="60" t="n"/>
      <c r="S923" s="61" t="n"/>
      <c r="T923" s="61" t="n"/>
      <c r="U923" s="53">
        <f>IF(A923="","",IF(IFERROR(VLOOKUP(D923,Parameter!$A$35:$C$64,2,0),"Nein")="2+3",IF(ISNUMBER(SEARCH("grosser Artikel",BJ923)),2,IFERROR(VLOOKUP(BM923,Parameter!$F$35:$G$64,2,0),2)),IF(OR(IFERROR(VLOOKUP(D923,Parameter!$A$35:$C$64,2,0),"Nein")="Nein",IFERROR(VLOOKUP(D923,Parameter!$A$35:$C$64,2,0),"Nein")=""),"-",VLOOKUP(D923,Parameter!$A$35:$C$64,2,0))))</f>
        <v/>
      </c>
      <c r="V923" s="61" t="n"/>
      <c r="W923" s="62" t="n"/>
      <c r="X923" s="55">
        <f>AM923</f>
        <v/>
      </c>
      <c r="Y923" s="55">
        <f>MAX(AM923,G923)</f>
        <v/>
      </c>
      <c r="Z923" s="63" t="n"/>
      <c r="AA923" s="55">
        <f>IF(LEFT(Cockpit!$C$5,1)="A",G923,IF(BT923=1,BU923,IF(LEFT(Cockpit!$C$5,1)="B",AE923,MAX(AE923,G923))))</f>
        <v/>
      </c>
      <c r="AB923" s="55">
        <f>IF(BO923=1,0,ROUNDUP(AA923/BN923,0))</f>
        <v/>
      </c>
      <c r="AC923" s="64">
        <f>IF(BO923=1,IF(AA923&lt;=0,0,BP923*MAX(1,IF(G923&gt;0,AA923/G923,1))),AB923*Q923)</f>
        <v/>
      </c>
      <c r="AD923" s="55">
        <f>AA923*F923</f>
        <v/>
      </c>
      <c r="AE923" s="55">
        <f>ROUNDUP(MAX(I923/IF(BS923&gt;0,BS923,MAX(0.1,N(Cockpit!$C$6))),BV923)/BN923,0)*BN923</f>
        <v/>
      </c>
      <c r="AF923" s="56">
        <f>IF(AC923&gt;0,I923/AC923,-1)</f>
        <v/>
      </c>
      <c r="AG923" s="56">
        <f>IF(AND(OR(BR923="L1",BR923="L23"),AC923&gt;0),SUMIFS($AC$7:$AC$1570,$BR$7:$BR$1570,BR923,$AF$7:$AF$1570,"&gt;"&amp;AF923)+SUMIFS($AC$7:$AC$1570,$BR$7:$BR$1570,BR923,$AF$7:$AF$1570,AF923,$BL$7:$BL$1570,"&lt;="&amp;BL923),"")</f>
        <v/>
      </c>
      <c r="AH923" s="65">
        <f>IF(AG923="",0,MAX(0,MIN(1,(IF(BR923="L1",Parameter!$K$5,Parameter!$K$6+Parameter!$K$7)-(AG923-AC923))/AC923)))</f>
        <v/>
      </c>
      <c r="AI923" s="55">
        <f>IF(LEFT(Cockpit!$I$5,1)="A",G923,IF(BT923=1,BU923,IF(LEFT(Cockpit!$I$5,1)="B",AM923,MAX(AM923,G923))))</f>
        <v/>
      </c>
      <c r="AJ923" s="55">
        <f>IF(BO923=1,0,ROUNDUP(AI923/BN923,0))</f>
        <v/>
      </c>
      <c r="AK923" s="64">
        <f>IF(BO923=1,IF(AI923&lt;=0,0,BP923*MAX(1,IF(G923&gt;0,AI923/G923,1))),AJ923*Q923)</f>
        <v/>
      </c>
      <c r="AL923" s="55">
        <f>AI923*F923</f>
        <v/>
      </c>
      <c r="AM923" s="55">
        <f>ROUNDUP(MAX(I923/IF(BS923&gt;0,BS923,MAX(0.1,N(Cockpit!$I$6))),BV923)/BN923,0)*BN923</f>
        <v/>
      </c>
      <c r="AN923" s="56">
        <f>IF(AK923&gt;0,I923/AK923,-1)</f>
        <v/>
      </c>
      <c r="AO923" s="56">
        <f>IF(AND(OR(BR923="L1",BR923="L23"),AK923&gt;0),SUMIFS($AK$7:$AK$1570,$BR$7:$BR$1570,BR923,$AN$7:$AN$1570,"&gt;"&amp;AN923)+SUMIFS($AK$7:$AK$1570,$BR$7:$BR$1570,BR923,$AN$7:$AN$1570,AN923,$BL$7:$BL$1570,"&lt;="&amp;BL923),"")</f>
        <v/>
      </c>
      <c r="AP923" s="65">
        <f>IF(AO923="",0,MAX(0,MIN(1,(IF(BR923="L1",Parameter!$K$5,Parameter!$K$6+Parameter!$K$7)-(AO923-AK923))/AK923)))</f>
        <v/>
      </c>
      <c r="AQ923" s="55">
        <f>IF(LEFT(Cockpit!$O$5,1)="A",G923,IF(BT923=1,BU923,IF(LEFT(Cockpit!$O$5,1)="B",AU923,MAX(AU923,G923))))</f>
        <v/>
      </c>
      <c r="AR923" s="55">
        <f>IF(BO923=1,0,ROUNDUP(AQ923/BN923,0))</f>
        <v/>
      </c>
      <c r="AS923" s="64">
        <f>IF(BO923=1,IF(AQ923&lt;=0,0,BP923*MAX(1,IF(G923&gt;0,AQ923/G923,1))),AR923*Q923)</f>
        <v/>
      </c>
      <c r="AT923" s="55">
        <f>AQ923*F923</f>
        <v/>
      </c>
      <c r="AU923" s="55">
        <f>ROUNDUP(MAX(I923/IF(BS923&gt;0,BS923,MAX(0.1,N(Cockpit!$O$6))),BV923)/BN923,0)*BN923</f>
        <v/>
      </c>
      <c r="AV923" s="56">
        <f>IF(AS923&gt;0,I923/AS923,-1)</f>
        <v/>
      </c>
      <c r="AW923" s="56">
        <f>IF(AND(OR(BR923="L1",BR923="L23"),AS923&gt;0),SUMIFS($AS$7:$AS$1570,$BR$7:$BR$1570,BR923,$AV$7:$AV$1570,"&gt;"&amp;AV923)+SUMIFS($AS$7:$AS$1570,$BR$7:$BR$1570,BR923,$AV$7:$AV$1570,AV923,$BL$7:$BL$1570,"&lt;="&amp;BL923),"")</f>
        <v/>
      </c>
      <c r="AX923" s="65">
        <f>IF(AW923="",0,MAX(0,MIN(1,(IF(BR923="L1",Parameter!$K$5,Parameter!$K$6+Parameter!$K$7)-(AW923-AS923))/AS923)))</f>
        <v/>
      </c>
      <c r="AY923" s="53">
        <f>IF(AC923&lt;=0,"",IF(BR923="Aussen","Aussenlager",IF(BR923="-","Nicht im Lift",IF(AH923&gt;=1,"Lift",IF(AH923&lt;=0,"Aussenlager","teilweise")))))</f>
        <v/>
      </c>
      <c r="AZ923" s="53">
        <f>IF(AK923&lt;=0,"",IF(BR923="Aussen","Aussenlager",IF(BR923="-","Nicht im Lift",IF(AP923&gt;=1,"Lift",IF(AP923&lt;=0,"Aussenlager","teilweise")))))</f>
        <v/>
      </c>
      <c r="BA923" s="53">
        <f>IF(AS923&lt;=0,"",IF(BR923="Aussen","Aussenlager",IF(BR923="-","Nicht im Lift",IF(AX923&gt;=1,"Lift",IF(AX923&lt;=0,"Aussenlager","teilweise")))))</f>
        <v/>
      </c>
      <c r="BB923" s="53">
        <f>IF(A923="","",IF(BK923=1,"Neu; ","")&amp;IF(AND(BK923=0,BF923&lt;0),"negativer Bestand (Export "&amp;BF923&amp;"); ","")&amp;IF(I923&lt;=0,"Kein Verbrauch; ","")&amp;IF(BO923=1,"Lose – Fläche geschätzt; ","")&amp;IF(G923&gt;AM923,"Überbestand "&amp;ROUND(G923-AM923,0)&amp;" Stk / CHF "&amp;ROUND((G923-AM923)*F923,0)&amp;"; ","")&amp;IF(AND(BT923=1,BU923&lt;BV923),"MAX &lt; MB+LG; ","")&amp;IF(AND(BZ923&gt;0,BY923*10&gt;BZ923),"zu hoch für Tablar; ","")&amp;IF(AND(BK923=0,OR(BT923=1,V923&lt;&gt;"",S923&lt;&gt;"",T923&lt;&gt;"",W923&lt;&gt;"")),"manuell übersteuert; ","")&amp;IF(AND(BO923=0,Q923=0),"Gebinde unbekannt; ","")&amp;IF(AND(BO923=0,N(T923)&lt;=0,N(P923)&lt;=0),"Menge pro Gebinde fehlt (Ist = 1 Gebinde); ","")&amp;BJ923)</f>
        <v/>
      </c>
      <c r="BC923" s="53" t="n"/>
      <c r="BD923" s="53" t="n"/>
      <c r="BE923" s="61" t="n"/>
      <c r="BF923" s="55" t="n">
        <v>-20</v>
      </c>
      <c r="BG923" s="55" t="n">
        <v>890</v>
      </c>
      <c r="BH923" s="54" t="n">
        <v>-45.8</v>
      </c>
      <c r="BI923" s="55" t="n">
        <v>20</v>
      </c>
      <c r="BJ923" s="53" t="inlineStr">
        <is>
          <t>Überbestand; grosser Artikel &amp; nicht im KTL</t>
        </is>
      </c>
      <c r="BK923" s="58" t="n">
        <v>0</v>
      </c>
      <c r="BL923" s="58" t="n">
        <v>923</v>
      </c>
      <c r="BM923" s="53">
        <f>IF(S923&lt;&gt;"",UPPER(TRIM(S923)),IF(O923="","LOSE",O923))</f>
        <v/>
      </c>
      <c r="BN923" s="55">
        <f>IF(BM923="LOSE",1,IF(N(T923)&gt;0,T923,IF(N(P923)&gt;0,P923,MAX(1,G923))))</f>
        <v/>
      </c>
      <c r="BO923" s="58">
        <f>IF(BM923="LOSE",1,0)</f>
        <v/>
      </c>
      <c r="BP923" s="64">
        <f>IF(BO923=0,0,IF(N(R923)&gt;0,R923,IFERROR(VLOOKUP(D923,Parameter!$A$35:$C$64,3,0)+0,0)))</f>
        <v/>
      </c>
      <c r="BQ923" s="53">
        <f>IF(V923&lt;&gt;"",V923,U923)</f>
        <v/>
      </c>
      <c r="BR923" s="53">
        <f>IF(BQ923=1,"L1",IF(OR(BQ923=2,BQ923=3),"L23",IF(BQ923="Aussen","Aussen","-")))</f>
        <v/>
      </c>
      <c r="BS923" s="66">
        <f>IF(N(W923)&gt;0,W923,0)</f>
        <v/>
      </c>
      <c r="BT923" s="58">
        <f>IF(ISNUMBER(Z923),1,0)</f>
        <v/>
      </c>
      <c r="BU923" s="55">
        <f>N(Z923)</f>
        <v/>
      </c>
      <c r="BV923" s="55">
        <f>N(L923)+N(M923)</f>
        <v/>
      </c>
      <c r="BW923" s="55">
        <f>ROUNDUP(G923/BN923,0)</f>
        <v/>
      </c>
      <c r="BX923" s="55">
        <f>ROUNDUP(BU923/BN923,0)</f>
        <v/>
      </c>
      <c r="BY923" s="58">
        <f>IF(BO923=1,0,IFERROR(VLOOKUP(BM923,'Gebinde-Kategorie'!$A$5:$G$45,5,0)+0,0))</f>
        <v/>
      </c>
      <c r="BZ923" s="58">
        <f>IFERROR(IF(OR(BQ923=1,BQ923=2,BQ923=3),N(INDEX(Parameter!$I$5:$I$7,BQ923)),0),0)</f>
        <v/>
      </c>
    </row>
    <row r="924">
      <c r="A924" s="53" t="inlineStr">
        <is>
          <t>106618</t>
        </is>
      </c>
      <c r="B924" s="53" t="inlineStr">
        <is>
          <t>Verbunddichtring</t>
        </is>
      </c>
      <c r="C924" s="53" t="inlineStr">
        <is>
          <t>F</t>
        </is>
      </c>
      <c r="D924" s="53" t="inlineStr">
        <is>
          <t>KTL</t>
        </is>
      </c>
      <c r="E924" s="53" t="inlineStr">
        <is>
          <t>C</t>
        </is>
      </c>
      <c r="F924" s="54" t="n">
        <v>0.25</v>
      </c>
      <c r="G924" s="55">
        <f>MAX(0,IF(Parameter!$B$20="Jahresanfang 2025 + Export",BG924+BF924,BF924))</f>
        <v/>
      </c>
      <c r="H924" s="55">
        <f>G924*F924</f>
        <v/>
      </c>
      <c r="I924" s="55">
        <f>BI924*Parameter!$B$18</f>
        <v/>
      </c>
      <c r="J924" s="56" t="n">
        <v>143</v>
      </c>
      <c r="K924" s="57" t="n">
        <v>2.167832167832168</v>
      </c>
      <c r="L924" s="55" t="n">
        <v>18</v>
      </c>
      <c r="M924" s="55" t="n">
        <v>310</v>
      </c>
      <c r="N924" s="58" t="n">
        <v>21</v>
      </c>
      <c r="O924" s="53" t="inlineStr">
        <is>
          <t>S21</t>
        </is>
      </c>
      <c r="P924" s="55" t="n">
        <v>185</v>
      </c>
      <c r="Q924" s="59">
        <f>IF(BO924=1,0,IFERROR(VLOOKUP(BM924,'Gebinde-Kategorie'!$A$5:$G$45,6,0)+0,0))</f>
        <v/>
      </c>
      <c r="R924" s="60" t="n"/>
      <c r="S924" s="61" t="n"/>
      <c r="T924" s="61" t="n"/>
      <c r="U924" s="53">
        <f>IF(A924="","",IF(IFERROR(VLOOKUP(D924,Parameter!$A$35:$C$64,2,0),"Nein")="2+3",IF(ISNUMBER(SEARCH("grosser Artikel",BJ924)),2,IFERROR(VLOOKUP(BM924,Parameter!$F$35:$G$64,2,0),2)),IF(OR(IFERROR(VLOOKUP(D924,Parameter!$A$35:$C$64,2,0),"Nein")="Nein",IFERROR(VLOOKUP(D924,Parameter!$A$35:$C$64,2,0),"Nein")=""),"-",VLOOKUP(D924,Parameter!$A$35:$C$64,2,0))))</f>
        <v/>
      </c>
      <c r="V924" s="61" t="n"/>
      <c r="W924" s="62" t="n"/>
      <c r="X924" s="55">
        <f>AM924</f>
        <v/>
      </c>
      <c r="Y924" s="55">
        <f>MAX(AM924,G924)</f>
        <v/>
      </c>
      <c r="Z924" s="63" t="n"/>
      <c r="AA924" s="55">
        <f>IF(LEFT(Cockpit!$C$5,1)="A",G924,IF(BT924=1,BU924,IF(LEFT(Cockpit!$C$5,1)="B",AE924,MAX(AE924,G924))))</f>
        <v/>
      </c>
      <c r="AB924" s="55">
        <f>IF(BO924=1,0,ROUNDUP(AA924/BN924,0))</f>
        <v/>
      </c>
      <c r="AC924" s="64">
        <f>IF(BO924=1,IF(AA924&lt;=0,0,BP924*MAX(1,IF(G924&gt;0,AA924/G924,1))),AB924*Q924)</f>
        <v/>
      </c>
      <c r="AD924" s="55">
        <f>AA924*F924</f>
        <v/>
      </c>
      <c r="AE924" s="55">
        <f>ROUNDUP(MAX(I924/IF(BS924&gt;0,BS924,MAX(0.1,N(Cockpit!$C$6))),BV924)/BN924,0)*BN924</f>
        <v/>
      </c>
      <c r="AF924" s="56">
        <f>IF(AC924&gt;0,I924/AC924,-1)</f>
        <v/>
      </c>
      <c r="AG924" s="56">
        <f>IF(AND(OR(BR924="L1",BR924="L23"),AC924&gt;0),SUMIFS($AC$7:$AC$1570,$BR$7:$BR$1570,BR924,$AF$7:$AF$1570,"&gt;"&amp;AF924)+SUMIFS($AC$7:$AC$1570,$BR$7:$BR$1570,BR924,$AF$7:$AF$1570,AF924,$BL$7:$BL$1570,"&lt;="&amp;BL924),"")</f>
        <v/>
      </c>
      <c r="AH924" s="65">
        <f>IF(AG924="",0,MAX(0,MIN(1,(IF(BR924="L1",Parameter!$K$5,Parameter!$K$6+Parameter!$K$7)-(AG924-AC924))/AC924)))</f>
        <v/>
      </c>
      <c r="AI924" s="55">
        <f>IF(LEFT(Cockpit!$I$5,1)="A",G924,IF(BT924=1,BU924,IF(LEFT(Cockpit!$I$5,1)="B",AM924,MAX(AM924,G924))))</f>
        <v/>
      </c>
      <c r="AJ924" s="55">
        <f>IF(BO924=1,0,ROUNDUP(AI924/BN924,0))</f>
        <v/>
      </c>
      <c r="AK924" s="64">
        <f>IF(BO924=1,IF(AI924&lt;=0,0,BP924*MAX(1,IF(G924&gt;0,AI924/G924,1))),AJ924*Q924)</f>
        <v/>
      </c>
      <c r="AL924" s="55">
        <f>AI924*F924</f>
        <v/>
      </c>
      <c r="AM924" s="55">
        <f>ROUNDUP(MAX(I924/IF(BS924&gt;0,BS924,MAX(0.1,N(Cockpit!$I$6))),BV924)/BN924,0)*BN924</f>
        <v/>
      </c>
      <c r="AN924" s="56">
        <f>IF(AK924&gt;0,I924/AK924,-1)</f>
        <v/>
      </c>
      <c r="AO924" s="56">
        <f>IF(AND(OR(BR924="L1",BR924="L23"),AK924&gt;0),SUMIFS($AK$7:$AK$1570,$BR$7:$BR$1570,BR924,$AN$7:$AN$1570,"&gt;"&amp;AN924)+SUMIFS($AK$7:$AK$1570,$BR$7:$BR$1570,BR924,$AN$7:$AN$1570,AN924,$BL$7:$BL$1570,"&lt;="&amp;BL924),"")</f>
        <v/>
      </c>
      <c r="AP924" s="65">
        <f>IF(AO924="",0,MAX(0,MIN(1,(IF(BR924="L1",Parameter!$K$5,Parameter!$K$6+Parameter!$K$7)-(AO924-AK924))/AK924)))</f>
        <v/>
      </c>
      <c r="AQ924" s="55">
        <f>IF(LEFT(Cockpit!$O$5,1)="A",G924,IF(BT924=1,BU924,IF(LEFT(Cockpit!$O$5,1)="B",AU924,MAX(AU924,G924))))</f>
        <v/>
      </c>
      <c r="AR924" s="55">
        <f>IF(BO924=1,0,ROUNDUP(AQ924/BN924,0))</f>
        <v/>
      </c>
      <c r="AS924" s="64">
        <f>IF(BO924=1,IF(AQ924&lt;=0,0,BP924*MAX(1,IF(G924&gt;0,AQ924/G924,1))),AR924*Q924)</f>
        <v/>
      </c>
      <c r="AT924" s="55">
        <f>AQ924*F924</f>
        <v/>
      </c>
      <c r="AU924" s="55">
        <f>ROUNDUP(MAX(I924/IF(BS924&gt;0,BS924,MAX(0.1,N(Cockpit!$O$6))),BV924)/BN924,0)*BN924</f>
        <v/>
      </c>
      <c r="AV924" s="56">
        <f>IF(AS924&gt;0,I924/AS924,-1)</f>
        <v/>
      </c>
      <c r="AW924" s="56">
        <f>IF(AND(OR(BR924="L1",BR924="L23"),AS924&gt;0),SUMIFS($AS$7:$AS$1570,$BR$7:$BR$1570,BR924,$AV$7:$AV$1570,"&gt;"&amp;AV924)+SUMIFS($AS$7:$AS$1570,$BR$7:$BR$1570,BR924,$AV$7:$AV$1570,AV924,$BL$7:$BL$1570,"&lt;="&amp;BL924),"")</f>
        <v/>
      </c>
      <c r="AX924" s="65">
        <f>IF(AW924="",0,MAX(0,MIN(1,(IF(BR924="L1",Parameter!$K$5,Parameter!$K$6+Parameter!$K$7)-(AW924-AS924))/AS924)))</f>
        <v/>
      </c>
      <c r="AY924" s="53">
        <f>IF(AC924&lt;=0,"",IF(BR924="Aussen","Aussenlager",IF(BR924="-","Nicht im Lift",IF(AH924&gt;=1,"Lift",IF(AH924&lt;=0,"Aussenlager","teilweise")))))</f>
        <v/>
      </c>
      <c r="AZ924" s="53">
        <f>IF(AK924&lt;=0,"",IF(BR924="Aussen","Aussenlager",IF(BR924="-","Nicht im Lift",IF(AP924&gt;=1,"Lift",IF(AP924&lt;=0,"Aussenlager","teilweise")))))</f>
        <v/>
      </c>
      <c r="BA924" s="53">
        <f>IF(AS924&lt;=0,"",IF(BR924="Aussen","Aussenlager",IF(BR924="-","Nicht im Lift",IF(AX924&gt;=1,"Lift",IF(AX924&lt;=0,"Aussenlager","teilweise")))))</f>
        <v/>
      </c>
      <c r="BB924" s="53">
        <f>IF(A924="","",IF(BK924=1,"Neu; ","")&amp;IF(AND(BK924=0,BF924&lt;0),"negativer Bestand (Export "&amp;BF924&amp;"); ","")&amp;IF(I924&lt;=0,"Kein Verbrauch; ","")&amp;IF(BO924=1,"Lose – Fläche geschätzt; ","")&amp;IF(G924&gt;AM924,"Überbestand "&amp;ROUND(G924-AM924,0)&amp;" Stk / CHF "&amp;ROUND((G924-AM924)*F924,0)&amp;"; ","")&amp;IF(AND(BT924=1,BU924&lt;BV924),"MAX &lt; MB+LG; ","")&amp;IF(AND(BZ924&gt;0,BY924*10&gt;BZ924),"zu hoch für Tablar; ","")&amp;IF(AND(BK924=0,OR(BT924=1,V924&lt;&gt;"",S924&lt;&gt;"",T924&lt;&gt;"",W924&lt;&gt;"")),"manuell übersteuert; ","")&amp;IF(AND(BO924=0,Q924=0),"Gebinde unbekannt; ","")&amp;IF(AND(BO924=0,N(T924)&lt;=0,N(P924)&lt;=0),"Menge pro Gebinde fehlt (Ist = 1 Gebinde); ","")&amp;BJ924)</f>
        <v/>
      </c>
      <c r="BC924" s="53" t="n"/>
      <c r="BD924" s="53" t="n"/>
      <c r="BE924" s="61" t="n"/>
      <c r="BF924" s="55" t="n">
        <v>-152</v>
      </c>
      <c r="BG924" s="55" t="n">
        <v>201</v>
      </c>
      <c r="BH924" s="54" t="n">
        <v>-46.04</v>
      </c>
      <c r="BI924" s="55" t="n">
        <v>310</v>
      </c>
      <c r="BJ924" s="53" t="inlineStr"/>
      <c r="BK924" s="58" t="n">
        <v>0</v>
      </c>
      <c r="BL924" s="58" t="n">
        <v>924</v>
      </c>
      <c r="BM924" s="53">
        <f>IF(S924&lt;&gt;"",UPPER(TRIM(S924)),IF(O924="","LOSE",O924))</f>
        <v/>
      </c>
      <c r="BN924" s="55">
        <f>IF(BM924="LOSE",1,IF(N(T924)&gt;0,T924,IF(N(P924)&gt;0,P924,MAX(1,G924))))</f>
        <v/>
      </c>
      <c r="BO924" s="58">
        <f>IF(BM924="LOSE",1,0)</f>
        <v/>
      </c>
      <c r="BP924" s="64">
        <f>IF(BO924=0,0,IF(N(R924)&gt;0,R924,IFERROR(VLOOKUP(D924,Parameter!$A$35:$C$64,3,0)+0,0)))</f>
        <v/>
      </c>
      <c r="BQ924" s="53">
        <f>IF(V924&lt;&gt;"",V924,U924)</f>
        <v/>
      </c>
      <c r="BR924" s="53">
        <f>IF(BQ924=1,"L1",IF(OR(BQ924=2,BQ924=3),"L23",IF(BQ924="Aussen","Aussen","-")))</f>
        <v/>
      </c>
      <c r="BS924" s="66">
        <f>IF(N(W924)&gt;0,W924,0)</f>
        <v/>
      </c>
      <c r="BT924" s="58">
        <f>IF(ISNUMBER(Z924),1,0)</f>
        <v/>
      </c>
      <c r="BU924" s="55">
        <f>N(Z924)</f>
        <v/>
      </c>
      <c r="BV924" s="55">
        <f>N(L924)+N(M924)</f>
        <v/>
      </c>
      <c r="BW924" s="55">
        <f>ROUNDUP(G924/BN924,0)</f>
        <v/>
      </c>
      <c r="BX924" s="55">
        <f>ROUNDUP(BU924/BN924,0)</f>
        <v/>
      </c>
      <c r="BY924" s="58">
        <f>IF(BO924=1,0,IFERROR(VLOOKUP(BM924,'Gebinde-Kategorie'!$A$5:$G$45,5,0)+0,0))</f>
        <v/>
      </c>
      <c r="BZ924" s="58">
        <f>IFERROR(IF(OR(BQ924=1,BQ924=2,BQ924=3),N(INDEX(Parameter!$I$5:$I$7,BQ924)),0),0)</f>
        <v/>
      </c>
    </row>
    <row r="925">
      <c r="A925" s="53" t="inlineStr">
        <is>
          <t>005325</t>
        </is>
      </c>
      <c r="B925" s="53" t="inlineStr">
        <is>
          <t>Steckschlüsseleinsatz</t>
        </is>
      </c>
      <c r="C925" s="53" t="inlineStr">
        <is>
          <t>F</t>
        </is>
      </c>
      <c r="D925" s="53" t="inlineStr">
        <is>
          <t>KTL</t>
        </is>
      </c>
      <c r="E925" s="53" t="inlineStr">
        <is>
          <t>C</t>
        </is>
      </c>
      <c r="F925" s="54" t="n">
        <v>10.02</v>
      </c>
      <c r="G925" s="55">
        <f>MAX(0,IF(Parameter!$B$20="Jahresanfang 2025 + Export",BG925+BF925,BF925))</f>
        <v/>
      </c>
      <c r="H925" s="55">
        <f>G925*F925</f>
        <v/>
      </c>
      <c r="I925" s="55">
        <f>BI925*Parameter!$B$18</f>
        <v/>
      </c>
      <c r="J925" s="56" t="n">
        <v>7.5</v>
      </c>
      <c r="K925" s="57" t="n">
        <v>1.466666666666667</v>
      </c>
      <c r="L925" s="55" t="n">
        <v>0</v>
      </c>
      <c r="M925" s="55" t="n">
        <v>10</v>
      </c>
      <c r="N925" s="58" t="n">
        <v>14</v>
      </c>
      <c r="O925" s="53" t="inlineStr">
        <is>
          <t>S32</t>
        </is>
      </c>
      <c r="P925" s="55" t="n">
        <v>27</v>
      </c>
      <c r="Q925" s="59">
        <f>IF(BO925=1,0,IFERROR(VLOOKUP(BM925,'Gebinde-Kategorie'!$A$5:$G$45,6,0)+0,0))</f>
        <v/>
      </c>
      <c r="R925" s="60" t="n"/>
      <c r="S925" s="61" t="n"/>
      <c r="T925" s="61" t="n"/>
      <c r="U925" s="53">
        <f>IF(A925="","",IF(IFERROR(VLOOKUP(D925,Parameter!$A$35:$C$64,2,0),"Nein")="2+3",IF(ISNUMBER(SEARCH("grosser Artikel",BJ925)),2,IFERROR(VLOOKUP(BM925,Parameter!$F$35:$G$64,2,0),2)),IF(OR(IFERROR(VLOOKUP(D925,Parameter!$A$35:$C$64,2,0),"Nein")="Nein",IFERROR(VLOOKUP(D925,Parameter!$A$35:$C$64,2,0),"Nein")=""),"-",VLOOKUP(D925,Parameter!$A$35:$C$64,2,0))))</f>
        <v/>
      </c>
      <c r="V925" s="61" t="n"/>
      <c r="W925" s="62" t="n"/>
      <c r="X925" s="55">
        <f>AM925</f>
        <v/>
      </c>
      <c r="Y925" s="55">
        <f>MAX(AM925,G925)</f>
        <v/>
      </c>
      <c r="Z925" s="63" t="n"/>
      <c r="AA925" s="55">
        <f>IF(LEFT(Cockpit!$C$5,1)="A",G925,IF(BT925=1,BU925,IF(LEFT(Cockpit!$C$5,1)="B",AE925,MAX(AE925,G925))))</f>
        <v/>
      </c>
      <c r="AB925" s="55">
        <f>IF(BO925=1,0,ROUNDUP(AA925/BN925,0))</f>
        <v/>
      </c>
      <c r="AC925" s="64">
        <f>IF(BO925=1,IF(AA925&lt;=0,0,BP925*MAX(1,IF(G925&gt;0,AA925/G925,1))),AB925*Q925)</f>
        <v/>
      </c>
      <c r="AD925" s="55">
        <f>AA925*F925</f>
        <v/>
      </c>
      <c r="AE925" s="55">
        <f>ROUNDUP(MAX(I925/IF(BS925&gt;0,BS925,MAX(0.1,N(Cockpit!$C$6))),BV925)/BN925,0)*BN925</f>
        <v/>
      </c>
      <c r="AF925" s="56">
        <f>IF(AC925&gt;0,I925/AC925,-1)</f>
        <v/>
      </c>
      <c r="AG925" s="56">
        <f>IF(AND(OR(BR925="L1",BR925="L23"),AC925&gt;0),SUMIFS($AC$7:$AC$1570,$BR$7:$BR$1570,BR925,$AF$7:$AF$1570,"&gt;"&amp;AF925)+SUMIFS($AC$7:$AC$1570,$BR$7:$BR$1570,BR925,$AF$7:$AF$1570,AF925,$BL$7:$BL$1570,"&lt;="&amp;BL925),"")</f>
        <v/>
      </c>
      <c r="AH925" s="65">
        <f>IF(AG925="",0,MAX(0,MIN(1,(IF(BR925="L1",Parameter!$K$5,Parameter!$K$6+Parameter!$K$7)-(AG925-AC925))/AC925)))</f>
        <v/>
      </c>
      <c r="AI925" s="55">
        <f>IF(LEFT(Cockpit!$I$5,1)="A",G925,IF(BT925=1,BU925,IF(LEFT(Cockpit!$I$5,1)="B",AM925,MAX(AM925,G925))))</f>
        <v/>
      </c>
      <c r="AJ925" s="55">
        <f>IF(BO925=1,0,ROUNDUP(AI925/BN925,0))</f>
        <v/>
      </c>
      <c r="AK925" s="64">
        <f>IF(BO925=1,IF(AI925&lt;=0,0,BP925*MAX(1,IF(G925&gt;0,AI925/G925,1))),AJ925*Q925)</f>
        <v/>
      </c>
      <c r="AL925" s="55">
        <f>AI925*F925</f>
        <v/>
      </c>
      <c r="AM925" s="55">
        <f>ROUNDUP(MAX(I925/IF(BS925&gt;0,BS925,MAX(0.1,N(Cockpit!$I$6))),BV925)/BN925,0)*BN925</f>
        <v/>
      </c>
      <c r="AN925" s="56">
        <f>IF(AK925&gt;0,I925/AK925,-1)</f>
        <v/>
      </c>
      <c r="AO925" s="56">
        <f>IF(AND(OR(BR925="L1",BR925="L23"),AK925&gt;0),SUMIFS($AK$7:$AK$1570,$BR$7:$BR$1570,BR925,$AN$7:$AN$1570,"&gt;"&amp;AN925)+SUMIFS($AK$7:$AK$1570,$BR$7:$BR$1570,BR925,$AN$7:$AN$1570,AN925,$BL$7:$BL$1570,"&lt;="&amp;BL925),"")</f>
        <v/>
      </c>
      <c r="AP925" s="65">
        <f>IF(AO925="",0,MAX(0,MIN(1,(IF(BR925="L1",Parameter!$K$5,Parameter!$K$6+Parameter!$K$7)-(AO925-AK925))/AK925)))</f>
        <v/>
      </c>
      <c r="AQ925" s="55">
        <f>IF(LEFT(Cockpit!$O$5,1)="A",G925,IF(BT925=1,BU925,IF(LEFT(Cockpit!$O$5,1)="B",AU925,MAX(AU925,G925))))</f>
        <v/>
      </c>
      <c r="AR925" s="55">
        <f>IF(BO925=1,0,ROUNDUP(AQ925/BN925,0))</f>
        <v/>
      </c>
      <c r="AS925" s="64">
        <f>IF(BO925=1,IF(AQ925&lt;=0,0,BP925*MAX(1,IF(G925&gt;0,AQ925/G925,1))),AR925*Q925)</f>
        <v/>
      </c>
      <c r="AT925" s="55">
        <f>AQ925*F925</f>
        <v/>
      </c>
      <c r="AU925" s="55">
        <f>ROUNDUP(MAX(I925/IF(BS925&gt;0,BS925,MAX(0.1,N(Cockpit!$O$6))),BV925)/BN925,0)*BN925</f>
        <v/>
      </c>
      <c r="AV925" s="56">
        <f>IF(AS925&gt;0,I925/AS925,-1)</f>
        <v/>
      </c>
      <c r="AW925" s="56">
        <f>IF(AND(OR(BR925="L1",BR925="L23"),AS925&gt;0),SUMIFS($AS$7:$AS$1570,$BR$7:$BR$1570,BR925,$AV$7:$AV$1570,"&gt;"&amp;AV925)+SUMIFS($AS$7:$AS$1570,$BR$7:$BR$1570,BR925,$AV$7:$AV$1570,AV925,$BL$7:$BL$1570,"&lt;="&amp;BL925),"")</f>
        <v/>
      </c>
      <c r="AX925" s="65">
        <f>IF(AW925="",0,MAX(0,MIN(1,(IF(BR925="L1",Parameter!$K$5,Parameter!$K$6+Parameter!$K$7)-(AW925-AS925))/AS925)))</f>
        <v/>
      </c>
      <c r="AY925" s="53">
        <f>IF(AC925&lt;=0,"",IF(BR925="Aussen","Aussenlager",IF(BR925="-","Nicht im Lift",IF(AH925&gt;=1,"Lift",IF(AH925&lt;=0,"Aussenlager","teilweise")))))</f>
        <v/>
      </c>
      <c r="AZ925" s="53">
        <f>IF(AK925&lt;=0,"",IF(BR925="Aussen","Aussenlager",IF(BR925="-","Nicht im Lift",IF(AP925&gt;=1,"Lift",IF(AP925&lt;=0,"Aussenlager","teilweise")))))</f>
        <v/>
      </c>
      <c r="BA925" s="53">
        <f>IF(AS925&lt;=0,"",IF(BR925="Aussen","Aussenlager",IF(BR925="-","Nicht im Lift",IF(AX925&gt;=1,"Lift",IF(AX925&lt;=0,"Aussenlager","teilweise")))))</f>
        <v/>
      </c>
      <c r="BB925" s="53">
        <f>IF(A925="","",IF(BK925=1,"Neu; ","")&amp;IF(AND(BK925=0,BF925&lt;0),"negativer Bestand (Export "&amp;BF925&amp;"); ","")&amp;IF(I925&lt;=0,"Kein Verbrauch; ","")&amp;IF(BO925=1,"Lose – Fläche geschätzt; ","")&amp;IF(G925&gt;AM925,"Überbestand "&amp;ROUND(G925-AM925,0)&amp;" Stk / CHF "&amp;ROUND((G925-AM925)*F925,0)&amp;"; ","")&amp;IF(AND(BT925=1,BU925&lt;BV925),"MAX &lt; MB+LG; ","")&amp;IF(AND(BZ925&gt;0,BY925*10&gt;BZ925),"zu hoch für Tablar; ","")&amp;IF(AND(BK925=0,OR(BT925=1,V925&lt;&gt;"",S925&lt;&gt;"",T925&lt;&gt;"",W925&lt;&gt;"")),"manuell übersteuert; ","")&amp;IF(AND(BO925=0,Q925=0),"Gebinde unbekannt; ","")&amp;IF(AND(BO925=0,N(T925)&lt;=0,N(P925)&lt;=0),"Menge pro Gebinde fehlt (Ist = 1 Gebinde); ","")&amp;BJ925)</f>
        <v/>
      </c>
      <c r="BC925" s="53" t="n"/>
      <c r="BD925" s="53" t="n"/>
      <c r="BE925" s="61" t="n"/>
      <c r="BF925" s="55" t="n">
        <v>-5</v>
      </c>
      <c r="BG925" s="55" t="n">
        <v>8</v>
      </c>
      <c r="BH925" s="54" t="n">
        <v>-46.73999999999999</v>
      </c>
      <c r="BI925" s="55" t="n">
        <v>11</v>
      </c>
      <c r="BJ925" s="53" t="inlineStr"/>
      <c r="BK925" s="58" t="n">
        <v>0</v>
      </c>
      <c r="BL925" s="58" t="n">
        <v>925</v>
      </c>
      <c r="BM925" s="53">
        <f>IF(S925&lt;&gt;"",UPPER(TRIM(S925)),IF(O925="","LOSE",O925))</f>
        <v/>
      </c>
      <c r="BN925" s="55">
        <f>IF(BM925="LOSE",1,IF(N(T925)&gt;0,T925,IF(N(P925)&gt;0,P925,MAX(1,G925))))</f>
        <v/>
      </c>
      <c r="BO925" s="58">
        <f>IF(BM925="LOSE",1,0)</f>
        <v/>
      </c>
      <c r="BP925" s="64">
        <f>IF(BO925=0,0,IF(N(R925)&gt;0,R925,IFERROR(VLOOKUP(D925,Parameter!$A$35:$C$64,3,0)+0,0)))</f>
        <v/>
      </c>
      <c r="BQ925" s="53">
        <f>IF(V925&lt;&gt;"",V925,U925)</f>
        <v/>
      </c>
      <c r="BR925" s="53">
        <f>IF(BQ925=1,"L1",IF(OR(BQ925=2,BQ925=3),"L23",IF(BQ925="Aussen","Aussen","-")))</f>
        <v/>
      </c>
      <c r="BS925" s="66">
        <f>IF(N(W925)&gt;0,W925,0)</f>
        <v/>
      </c>
      <c r="BT925" s="58">
        <f>IF(ISNUMBER(Z925),1,0)</f>
        <v/>
      </c>
      <c r="BU925" s="55">
        <f>N(Z925)</f>
        <v/>
      </c>
      <c r="BV925" s="55">
        <f>N(L925)+N(M925)</f>
        <v/>
      </c>
      <c r="BW925" s="55">
        <f>ROUNDUP(G925/BN925,0)</f>
        <v/>
      </c>
      <c r="BX925" s="55">
        <f>ROUNDUP(BU925/BN925,0)</f>
        <v/>
      </c>
      <c r="BY925" s="58">
        <f>IF(BO925=1,0,IFERROR(VLOOKUP(BM925,'Gebinde-Kategorie'!$A$5:$G$45,5,0)+0,0))</f>
        <v/>
      </c>
      <c r="BZ925" s="58">
        <f>IFERROR(IF(OR(BQ925=1,BQ925=2,BQ925=3),N(INDEX(Parameter!$I$5:$I$7,BQ925)),0),0)</f>
        <v/>
      </c>
    </row>
    <row r="926">
      <c r="A926" s="53" t="inlineStr">
        <is>
          <t>005129</t>
        </is>
      </c>
      <c r="B926" s="53" t="inlineStr">
        <is>
          <t>Relais C09-A41DX... ohne Sockel</t>
        </is>
      </c>
      <c r="C926" s="53" t="inlineStr">
        <is>
          <t>F</t>
        </is>
      </c>
      <c r="D926" s="53" t="inlineStr">
        <is>
          <t>KTL</t>
        </is>
      </c>
      <c r="E926" s="53" t="inlineStr">
        <is>
          <t>C</t>
        </is>
      </c>
      <c r="F926" s="54" t="n">
        <v>9.449999999999999</v>
      </c>
      <c r="G926" s="55">
        <f>MAX(0,IF(Parameter!$B$20="Jahresanfang 2025 + Export",BG926+BF926,BF926))</f>
        <v/>
      </c>
      <c r="H926" s="55">
        <f>G926*F926</f>
        <v/>
      </c>
      <c r="I926" s="55">
        <f>BI926*Parameter!$B$18</f>
        <v/>
      </c>
      <c r="J926" s="56" t="n">
        <v>4.5</v>
      </c>
      <c r="K926" s="57" t="n">
        <v>1.111111111111111</v>
      </c>
      <c r="L926" s="55" t="n">
        <v>0</v>
      </c>
      <c r="M926" s="55" t="n">
        <v>5</v>
      </c>
      <c r="N926" s="58" t="n">
        <v>35</v>
      </c>
      <c r="O926" s="53" t="inlineStr">
        <is>
          <t>S21</t>
        </is>
      </c>
      <c r="P926" s="55" t="n">
        <v>3</v>
      </c>
      <c r="Q926" s="59">
        <f>IF(BO926=1,0,IFERROR(VLOOKUP(BM926,'Gebinde-Kategorie'!$A$5:$G$45,6,0)+0,0))</f>
        <v/>
      </c>
      <c r="R926" s="60" t="n"/>
      <c r="S926" s="61" t="n"/>
      <c r="T926" s="61" t="n"/>
      <c r="U926" s="53">
        <f>IF(A926="","",IF(IFERROR(VLOOKUP(D926,Parameter!$A$35:$C$64,2,0),"Nein")="2+3",IF(ISNUMBER(SEARCH("grosser Artikel",BJ926)),2,IFERROR(VLOOKUP(BM926,Parameter!$F$35:$G$64,2,0),2)),IF(OR(IFERROR(VLOOKUP(D926,Parameter!$A$35:$C$64,2,0),"Nein")="Nein",IFERROR(VLOOKUP(D926,Parameter!$A$35:$C$64,2,0),"Nein")=""),"-",VLOOKUP(D926,Parameter!$A$35:$C$64,2,0))))</f>
        <v/>
      </c>
      <c r="V926" s="61" t="n"/>
      <c r="W926" s="62" t="n"/>
      <c r="X926" s="55">
        <f>AM926</f>
        <v/>
      </c>
      <c r="Y926" s="55">
        <f>MAX(AM926,G926)</f>
        <v/>
      </c>
      <c r="Z926" s="63" t="n"/>
      <c r="AA926" s="55">
        <f>IF(LEFT(Cockpit!$C$5,1)="A",G926,IF(BT926=1,BU926,IF(LEFT(Cockpit!$C$5,1)="B",AE926,MAX(AE926,G926))))</f>
        <v/>
      </c>
      <c r="AB926" s="55">
        <f>IF(BO926=1,0,ROUNDUP(AA926/BN926,0))</f>
        <v/>
      </c>
      <c r="AC926" s="64">
        <f>IF(BO926=1,IF(AA926&lt;=0,0,BP926*MAX(1,IF(G926&gt;0,AA926/G926,1))),AB926*Q926)</f>
        <v/>
      </c>
      <c r="AD926" s="55">
        <f>AA926*F926</f>
        <v/>
      </c>
      <c r="AE926" s="55">
        <f>ROUNDUP(MAX(I926/IF(BS926&gt;0,BS926,MAX(0.1,N(Cockpit!$C$6))),BV926)/BN926,0)*BN926</f>
        <v/>
      </c>
      <c r="AF926" s="56">
        <f>IF(AC926&gt;0,I926/AC926,-1)</f>
        <v/>
      </c>
      <c r="AG926" s="56">
        <f>IF(AND(OR(BR926="L1",BR926="L23"),AC926&gt;0),SUMIFS($AC$7:$AC$1570,$BR$7:$BR$1570,BR926,$AF$7:$AF$1570,"&gt;"&amp;AF926)+SUMIFS($AC$7:$AC$1570,$BR$7:$BR$1570,BR926,$AF$7:$AF$1570,AF926,$BL$7:$BL$1570,"&lt;="&amp;BL926),"")</f>
        <v/>
      </c>
      <c r="AH926" s="65">
        <f>IF(AG926="",0,MAX(0,MIN(1,(IF(BR926="L1",Parameter!$K$5,Parameter!$K$6+Parameter!$K$7)-(AG926-AC926))/AC926)))</f>
        <v/>
      </c>
      <c r="AI926" s="55">
        <f>IF(LEFT(Cockpit!$I$5,1)="A",G926,IF(BT926=1,BU926,IF(LEFT(Cockpit!$I$5,1)="B",AM926,MAX(AM926,G926))))</f>
        <v/>
      </c>
      <c r="AJ926" s="55">
        <f>IF(BO926=1,0,ROUNDUP(AI926/BN926,0))</f>
        <v/>
      </c>
      <c r="AK926" s="64">
        <f>IF(BO926=1,IF(AI926&lt;=0,0,BP926*MAX(1,IF(G926&gt;0,AI926/G926,1))),AJ926*Q926)</f>
        <v/>
      </c>
      <c r="AL926" s="55">
        <f>AI926*F926</f>
        <v/>
      </c>
      <c r="AM926" s="55">
        <f>ROUNDUP(MAX(I926/IF(BS926&gt;0,BS926,MAX(0.1,N(Cockpit!$I$6))),BV926)/BN926,0)*BN926</f>
        <v/>
      </c>
      <c r="AN926" s="56">
        <f>IF(AK926&gt;0,I926/AK926,-1)</f>
        <v/>
      </c>
      <c r="AO926" s="56">
        <f>IF(AND(OR(BR926="L1",BR926="L23"),AK926&gt;0),SUMIFS($AK$7:$AK$1570,$BR$7:$BR$1570,BR926,$AN$7:$AN$1570,"&gt;"&amp;AN926)+SUMIFS($AK$7:$AK$1570,$BR$7:$BR$1570,BR926,$AN$7:$AN$1570,AN926,$BL$7:$BL$1570,"&lt;="&amp;BL926),"")</f>
        <v/>
      </c>
      <c r="AP926" s="65">
        <f>IF(AO926="",0,MAX(0,MIN(1,(IF(BR926="L1",Parameter!$K$5,Parameter!$K$6+Parameter!$K$7)-(AO926-AK926))/AK926)))</f>
        <v/>
      </c>
      <c r="AQ926" s="55">
        <f>IF(LEFT(Cockpit!$O$5,1)="A",G926,IF(BT926=1,BU926,IF(LEFT(Cockpit!$O$5,1)="B",AU926,MAX(AU926,G926))))</f>
        <v/>
      </c>
      <c r="AR926" s="55">
        <f>IF(BO926=1,0,ROUNDUP(AQ926/BN926,0))</f>
        <v/>
      </c>
      <c r="AS926" s="64">
        <f>IF(BO926=1,IF(AQ926&lt;=0,0,BP926*MAX(1,IF(G926&gt;0,AQ926/G926,1))),AR926*Q926)</f>
        <v/>
      </c>
      <c r="AT926" s="55">
        <f>AQ926*F926</f>
        <v/>
      </c>
      <c r="AU926" s="55">
        <f>ROUNDUP(MAX(I926/IF(BS926&gt;0,BS926,MAX(0.1,N(Cockpit!$O$6))),BV926)/BN926,0)*BN926</f>
        <v/>
      </c>
      <c r="AV926" s="56">
        <f>IF(AS926&gt;0,I926/AS926,-1)</f>
        <v/>
      </c>
      <c r="AW926" s="56">
        <f>IF(AND(OR(BR926="L1",BR926="L23"),AS926&gt;0),SUMIFS($AS$7:$AS$1570,$BR$7:$BR$1570,BR926,$AV$7:$AV$1570,"&gt;"&amp;AV926)+SUMIFS($AS$7:$AS$1570,$BR$7:$BR$1570,BR926,$AV$7:$AV$1570,AV926,$BL$7:$BL$1570,"&lt;="&amp;BL926),"")</f>
        <v/>
      </c>
      <c r="AX926" s="65">
        <f>IF(AW926="",0,MAX(0,MIN(1,(IF(BR926="L1",Parameter!$K$5,Parameter!$K$6+Parameter!$K$7)-(AW926-AS926))/AS926)))</f>
        <v/>
      </c>
      <c r="AY926" s="53">
        <f>IF(AC926&lt;=0,"",IF(BR926="Aussen","Aussenlager",IF(BR926="-","Nicht im Lift",IF(AH926&gt;=1,"Lift",IF(AH926&lt;=0,"Aussenlager","teilweise")))))</f>
        <v/>
      </c>
      <c r="AZ926" s="53">
        <f>IF(AK926&lt;=0,"",IF(BR926="Aussen","Aussenlager",IF(BR926="-","Nicht im Lift",IF(AP926&gt;=1,"Lift",IF(AP926&lt;=0,"Aussenlager","teilweise")))))</f>
        <v/>
      </c>
      <c r="BA926" s="53">
        <f>IF(AS926&lt;=0,"",IF(BR926="Aussen","Aussenlager",IF(BR926="-","Nicht im Lift",IF(AX926&gt;=1,"Lift",IF(AX926&lt;=0,"Aussenlager","teilweise")))))</f>
        <v/>
      </c>
      <c r="BB926" s="53">
        <f>IF(A926="","",IF(BK926=1,"Neu; ","")&amp;IF(AND(BK926=0,BF926&lt;0),"negativer Bestand (Export "&amp;BF926&amp;"); ","")&amp;IF(I926&lt;=0,"Kein Verbrauch; ","")&amp;IF(BO926=1,"Lose – Fläche geschätzt; ","")&amp;IF(G926&gt;AM926,"Überbestand "&amp;ROUND(G926-AM926,0)&amp;" Stk / CHF "&amp;ROUND((G926-AM926)*F926,0)&amp;"; ","")&amp;IF(AND(BT926=1,BU926&lt;BV926),"MAX &lt; MB+LG; ","")&amp;IF(AND(BZ926&gt;0,BY926*10&gt;BZ926),"zu hoch für Tablar; ","")&amp;IF(AND(BK926=0,OR(BT926=1,V926&lt;&gt;"",S926&lt;&gt;"",T926&lt;&gt;"",W926&lt;&gt;"")),"manuell übersteuert; ","")&amp;IF(AND(BO926=0,Q926=0),"Gebinde unbekannt; ","")&amp;IF(AND(BO926=0,N(T926)&lt;=0,N(P926)&lt;=0),"Menge pro Gebinde fehlt (Ist = 1 Gebinde); ","")&amp;BJ926)</f>
        <v/>
      </c>
      <c r="BC926" s="53" t="n"/>
      <c r="BD926" s="53" t="n"/>
      <c r="BE926" s="61" t="n"/>
      <c r="BF926" s="55" t="n">
        <v>-5</v>
      </c>
      <c r="BG926" s="55" t="n">
        <v>6</v>
      </c>
      <c r="BH926" s="54" t="n">
        <v>-47.25</v>
      </c>
      <c r="BI926" s="55" t="n">
        <v>5</v>
      </c>
      <c r="BJ926" s="53" t="inlineStr"/>
      <c r="BK926" s="58" t="n">
        <v>0</v>
      </c>
      <c r="BL926" s="58" t="n">
        <v>926</v>
      </c>
      <c r="BM926" s="53">
        <f>IF(S926&lt;&gt;"",UPPER(TRIM(S926)),IF(O926="","LOSE",O926))</f>
        <v/>
      </c>
      <c r="BN926" s="55">
        <f>IF(BM926="LOSE",1,IF(N(T926)&gt;0,T926,IF(N(P926)&gt;0,P926,MAX(1,G926))))</f>
        <v/>
      </c>
      <c r="BO926" s="58">
        <f>IF(BM926="LOSE",1,0)</f>
        <v/>
      </c>
      <c r="BP926" s="64">
        <f>IF(BO926=0,0,IF(N(R926)&gt;0,R926,IFERROR(VLOOKUP(D926,Parameter!$A$35:$C$64,3,0)+0,0)))</f>
        <v/>
      </c>
      <c r="BQ926" s="53">
        <f>IF(V926&lt;&gt;"",V926,U926)</f>
        <v/>
      </c>
      <c r="BR926" s="53">
        <f>IF(BQ926=1,"L1",IF(OR(BQ926=2,BQ926=3),"L23",IF(BQ926="Aussen","Aussen","-")))</f>
        <v/>
      </c>
      <c r="BS926" s="66">
        <f>IF(N(W926)&gt;0,W926,0)</f>
        <v/>
      </c>
      <c r="BT926" s="58">
        <f>IF(ISNUMBER(Z926),1,0)</f>
        <v/>
      </c>
      <c r="BU926" s="55">
        <f>N(Z926)</f>
        <v/>
      </c>
      <c r="BV926" s="55">
        <f>N(L926)+N(M926)</f>
        <v/>
      </c>
      <c r="BW926" s="55">
        <f>ROUNDUP(G926/BN926,0)</f>
        <v/>
      </c>
      <c r="BX926" s="55">
        <f>ROUNDUP(BU926/BN926,0)</f>
        <v/>
      </c>
      <c r="BY926" s="58">
        <f>IF(BO926=1,0,IFERROR(VLOOKUP(BM926,'Gebinde-Kategorie'!$A$5:$G$45,5,0)+0,0))</f>
        <v/>
      </c>
      <c r="BZ926" s="58">
        <f>IFERROR(IF(OR(BQ926=1,BQ926=2,BQ926=3),N(INDEX(Parameter!$I$5:$I$7,BQ926)),0),0)</f>
        <v/>
      </c>
    </row>
    <row r="927">
      <c r="A927" s="53" t="inlineStr">
        <is>
          <t>005322</t>
        </is>
      </c>
      <c r="B927" s="53" t="inlineStr">
        <is>
          <t>Werkzeugtasche</t>
        </is>
      </c>
      <c r="C927" s="53" t="inlineStr">
        <is>
          <t>F</t>
        </is>
      </c>
      <c r="D927" s="53" t="inlineStr">
        <is>
          <t>KTL</t>
        </is>
      </c>
      <c r="E927" s="53" t="inlineStr">
        <is>
          <t>C</t>
        </is>
      </c>
      <c r="F927" s="54" t="n">
        <v>8</v>
      </c>
      <c r="G927" s="55">
        <f>MAX(0,IF(Parameter!$B$20="Jahresanfang 2025 + Export",BG927+BF927,BF927))</f>
        <v/>
      </c>
      <c r="H927" s="55">
        <f>G927*F927</f>
        <v/>
      </c>
      <c r="I927" s="55">
        <f>BI927*Parameter!$B$18</f>
        <v/>
      </c>
      <c r="J927" s="56" t="n">
        <v>11</v>
      </c>
      <c r="K927" s="57" t="n">
        <v>1</v>
      </c>
      <c r="L927" s="55" t="n">
        <v>0</v>
      </c>
      <c r="M927" s="55" t="n">
        <v>10</v>
      </c>
      <c r="N927" s="58" t="n">
        <v>14</v>
      </c>
      <c r="O927" s="53" t="inlineStr">
        <is>
          <t>S62</t>
        </is>
      </c>
      <c r="P927" s="55" t="n">
        <v>20</v>
      </c>
      <c r="Q927" s="59">
        <f>IF(BO927=1,0,IFERROR(VLOOKUP(BM927,'Gebinde-Kategorie'!$A$5:$G$45,6,0)+0,0))</f>
        <v/>
      </c>
      <c r="R927" s="60" t="n"/>
      <c r="S927" s="61" t="n"/>
      <c r="T927" s="61" t="n"/>
      <c r="U927" s="53">
        <f>IF(A927="","",IF(IFERROR(VLOOKUP(D927,Parameter!$A$35:$C$64,2,0),"Nein")="2+3",IF(ISNUMBER(SEARCH("grosser Artikel",BJ927)),2,IFERROR(VLOOKUP(BM927,Parameter!$F$35:$G$64,2,0),2)),IF(OR(IFERROR(VLOOKUP(D927,Parameter!$A$35:$C$64,2,0),"Nein")="Nein",IFERROR(VLOOKUP(D927,Parameter!$A$35:$C$64,2,0),"Nein")=""),"-",VLOOKUP(D927,Parameter!$A$35:$C$64,2,0))))</f>
        <v/>
      </c>
      <c r="V927" s="61" t="n"/>
      <c r="W927" s="62" t="n"/>
      <c r="X927" s="55">
        <f>AM927</f>
        <v/>
      </c>
      <c r="Y927" s="55">
        <f>MAX(AM927,G927)</f>
        <v/>
      </c>
      <c r="Z927" s="63" t="n"/>
      <c r="AA927" s="55">
        <f>IF(LEFT(Cockpit!$C$5,1)="A",G927,IF(BT927=1,BU927,IF(LEFT(Cockpit!$C$5,1)="B",AE927,MAX(AE927,G927))))</f>
        <v/>
      </c>
      <c r="AB927" s="55">
        <f>IF(BO927=1,0,ROUNDUP(AA927/BN927,0))</f>
        <v/>
      </c>
      <c r="AC927" s="64">
        <f>IF(BO927=1,IF(AA927&lt;=0,0,BP927*MAX(1,IF(G927&gt;0,AA927/G927,1))),AB927*Q927)</f>
        <v/>
      </c>
      <c r="AD927" s="55">
        <f>AA927*F927</f>
        <v/>
      </c>
      <c r="AE927" s="55">
        <f>ROUNDUP(MAX(I927/IF(BS927&gt;0,BS927,MAX(0.1,N(Cockpit!$C$6))),BV927)/BN927,0)*BN927</f>
        <v/>
      </c>
      <c r="AF927" s="56">
        <f>IF(AC927&gt;0,I927/AC927,-1)</f>
        <v/>
      </c>
      <c r="AG927" s="56">
        <f>IF(AND(OR(BR927="L1",BR927="L23"),AC927&gt;0),SUMIFS($AC$7:$AC$1570,$BR$7:$BR$1570,BR927,$AF$7:$AF$1570,"&gt;"&amp;AF927)+SUMIFS($AC$7:$AC$1570,$BR$7:$BR$1570,BR927,$AF$7:$AF$1570,AF927,$BL$7:$BL$1570,"&lt;="&amp;BL927),"")</f>
        <v/>
      </c>
      <c r="AH927" s="65">
        <f>IF(AG927="",0,MAX(0,MIN(1,(IF(BR927="L1",Parameter!$K$5,Parameter!$K$6+Parameter!$K$7)-(AG927-AC927))/AC927)))</f>
        <v/>
      </c>
      <c r="AI927" s="55">
        <f>IF(LEFT(Cockpit!$I$5,1)="A",G927,IF(BT927=1,BU927,IF(LEFT(Cockpit!$I$5,1)="B",AM927,MAX(AM927,G927))))</f>
        <v/>
      </c>
      <c r="AJ927" s="55">
        <f>IF(BO927=1,0,ROUNDUP(AI927/BN927,0))</f>
        <v/>
      </c>
      <c r="AK927" s="64">
        <f>IF(BO927=1,IF(AI927&lt;=0,0,BP927*MAX(1,IF(G927&gt;0,AI927/G927,1))),AJ927*Q927)</f>
        <v/>
      </c>
      <c r="AL927" s="55">
        <f>AI927*F927</f>
        <v/>
      </c>
      <c r="AM927" s="55">
        <f>ROUNDUP(MAX(I927/IF(BS927&gt;0,BS927,MAX(0.1,N(Cockpit!$I$6))),BV927)/BN927,0)*BN927</f>
        <v/>
      </c>
      <c r="AN927" s="56">
        <f>IF(AK927&gt;0,I927/AK927,-1)</f>
        <v/>
      </c>
      <c r="AO927" s="56">
        <f>IF(AND(OR(BR927="L1",BR927="L23"),AK927&gt;0),SUMIFS($AK$7:$AK$1570,$BR$7:$BR$1570,BR927,$AN$7:$AN$1570,"&gt;"&amp;AN927)+SUMIFS($AK$7:$AK$1570,$BR$7:$BR$1570,BR927,$AN$7:$AN$1570,AN927,$BL$7:$BL$1570,"&lt;="&amp;BL927),"")</f>
        <v/>
      </c>
      <c r="AP927" s="65">
        <f>IF(AO927="",0,MAX(0,MIN(1,(IF(BR927="L1",Parameter!$K$5,Parameter!$K$6+Parameter!$K$7)-(AO927-AK927))/AK927)))</f>
        <v/>
      </c>
      <c r="AQ927" s="55">
        <f>IF(LEFT(Cockpit!$O$5,1)="A",G927,IF(BT927=1,BU927,IF(LEFT(Cockpit!$O$5,1)="B",AU927,MAX(AU927,G927))))</f>
        <v/>
      </c>
      <c r="AR927" s="55">
        <f>IF(BO927=1,0,ROUNDUP(AQ927/BN927,0))</f>
        <v/>
      </c>
      <c r="AS927" s="64">
        <f>IF(BO927=1,IF(AQ927&lt;=0,0,BP927*MAX(1,IF(G927&gt;0,AQ927/G927,1))),AR927*Q927)</f>
        <v/>
      </c>
      <c r="AT927" s="55">
        <f>AQ927*F927</f>
        <v/>
      </c>
      <c r="AU927" s="55">
        <f>ROUNDUP(MAX(I927/IF(BS927&gt;0,BS927,MAX(0.1,N(Cockpit!$O$6))),BV927)/BN927,0)*BN927</f>
        <v/>
      </c>
      <c r="AV927" s="56">
        <f>IF(AS927&gt;0,I927/AS927,-1)</f>
        <v/>
      </c>
      <c r="AW927" s="56">
        <f>IF(AND(OR(BR927="L1",BR927="L23"),AS927&gt;0),SUMIFS($AS$7:$AS$1570,$BR$7:$BR$1570,BR927,$AV$7:$AV$1570,"&gt;"&amp;AV927)+SUMIFS($AS$7:$AS$1570,$BR$7:$BR$1570,BR927,$AV$7:$AV$1570,AV927,$BL$7:$BL$1570,"&lt;="&amp;BL927),"")</f>
        <v/>
      </c>
      <c r="AX927" s="65">
        <f>IF(AW927="",0,MAX(0,MIN(1,(IF(BR927="L1",Parameter!$K$5,Parameter!$K$6+Parameter!$K$7)-(AW927-AS927))/AS927)))</f>
        <v/>
      </c>
      <c r="AY927" s="53">
        <f>IF(AC927&lt;=0,"",IF(BR927="Aussen","Aussenlager",IF(BR927="-","Nicht im Lift",IF(AH927&gt;=1,"Lift",IF(AH927&lt;=0,"Aussenlager","teilweise")))))</f>
        <v/>
      </c>
      <c r="AZ927" s="53">
        <f>IF(AK927&lt;=0,"",IF(BR927="Aussen","Aussenlager",IF(BR927="-","Nicht im Lift",IF(AP927&gt;=1,"Lift",IF(AP927&lt;=0,"Aussenlager","teilweise")))))</f>
        <v/>
      </c>
      <c r="BA927" s="53">
        <f>IF(AS927&lt;=0,"",IF(BR927="Aussen","Aussenlager",IF(BR927="-","Nicht im Lift",IF(AX927&gt;=1,"Lift",IF(AX927&lt;=0,"Aussenlager","teilweise")))))</f>
        <v/>
      </c>
      <c r="BB927" s="53">
        <f>IF(A927="","",IF(BK927=1,"Neu; ","")&amp;IF(AND(BK927=0,BF927&lt;0),"negativer Bestand (Export "&amp;BF927&amp;"); ","")&amp;IF(I927&lt;=0,"Kein Verbrauch; ","")&amp;IF(BO927=1,"Lose – Fläche geschätzt; ","")&amp;IF(G927&gt;AM927,"Überbestand "&amp;ROUND(G927-AM927,0)&amp;" Stk / CHF "&amp;ROUND((G927-AM927)*F927,0)&amp;"; ","")&amp;IF(AND(BT927=1,BU927&lt;BV927),"MAX &lt; MB+LG; ","")&amp;IF(AND(BZ927&gt;0,BY927*10&gt;BZ927),"zu hoch für Tablar; ","")&amp;IF(AND(BK927=0,OR(BT927=1,V927&lt;&gt;"",S927&lt;&gt;"",T927&lt;&gt;"",W927&lt;&gt;"")),"manuell übersteuert; ","")&amp;IF(AND(BO927=0,Q927=0),"Gebinde unbekannt; ","")&amp;IF(AND(BO927=0,N(T927)&lt;=0,N(P927)&lt;=0),"Menge pro Gebinde fehlt (Ist = 1 Gebinde); ","")&amp;BJ927)</f>
        <v/>
      </c>
      <c r="BC927" s="53" t="n"/>
      <c r="BD927" s="53" t="n"/>
      <c r="BE927" s="61" t="n"/>
      <c r="BF927" s="55" t="n">
        <v>-6</v>
      </c>
      <c r="BG927" s="55" t="n">
        <v>12</v>
      </c>
      <c r="BH927" s="54" t="n">
        <v>-48</v>
      </c>
      <c r="BI927" s="55" t="n">
        <v>11</v>
      </c>
      <c r="BJ927" s="53" t="inlineStr"/>
      <c r="BK927" s="58" t="n">
        <v>0</v>
      </c>
      <c r="BL927" s="58" t="n">
        <v>927</v>
      </c>
      <c r="BM927" s="53">
        <f>IF(S927&lt;&gt;"",UPPER(TRIM(S927)),IF(O927="","LOSE",O927))</f>
        <v/>
      </c>
      <c r="BN927" s="55">
        <f>IF(BM927="LOSE",1,IF(N(T927)&gt;0,T927,IF(N(P927)&gt;0,P927,MAX(1,G927))))</f>
        <v/>
      </c>
      <c r="BO927" s="58">
        <f>IF(BM927="LOSE",1,0)</f>
        <v/>
      </c>
      <c r="BP927" s="64">
        <f>IF(BO927=0,0,IF(N(R927)&gt;0,R927,IFERROR(VLOOKUP(D927,Parameter!$A$35:$C$64,3,0)+0,0)))</f>
        <v/>
      </c>
      <c r="BQ927" s="53">
        <f>IF(V927&lt;&gt;"",V927,U927)</f>
        <v/>
      </c>
      <c r="BR927" s="53">
        <f>IF(BQ927=1,"L1",IF(OR(BQ927=2,BQ927=3),"L23",IF(BQ927="Aussen","Aussen","-")))</f>
        <v/>
      </c>
      <c r="BS927" s="66">
        <f>IF(N(W927)&gt;0,W927,0)</f>
        <v/>
      </c>
      <c r="BT927" s="58">
        <f>IF(ISNUMBER(Z927),1,0)</f>
        <v/>
      </c>
      <c r="BU927" s="55">
        <f>N(Z927)</f>
        <v/>
      </c>
      <c r="BV927" s="55">
        <f>N(L927)+N(M927)</f>
        <v/>
      </c>
      <c r="BW927" s="55">
        <f>ROUNDUP(G927/BN927,0)</f>
        <v/>
      </c>
      <c r="BX927" s="55">
        <f>ROUNDUP(BU927/BN927,0)</f>
        <v/>
      </c>
      <c r="BY927" s="58">
        <f>IF(BO927=1,0,IFERROR(VLOOKUP(BM927,'Gebinde-Kategorie'!$A$5:$G$45,5,0)+0,0))</f>
        <v/>
      </c>
      <c r="BZ927" s="58">
        <f>IFERROR(IF(OR(BQ927=1,BQ927=2,BQ927=3),N(INDEX(Parameter!$I$5:$I$7,BQ927)),0),0)</f>
        <v/>
      </c>
    </row>
    <row r="928">
      <c r="A928" s="53" t="inlineStr">
        <is>
          <t>108471</t>
        </is>
      </c>
      <c r="B928" s="53" t="inlineStr">
        <is>
          <t>Flansch</t>
        </is>
      </c>
      <c r="C928" s="53" t="inlineStr">
        <is>
          <t>F</t>
        </is>
      </c>
      <c r="D928" s="53" t="inlineStr">
        <is>
          <t>PAL</t>
        </is>
      </c>
      <c r="E928" s="53" t="inlineStr">
        <is>
          <t>C</t>
        </is>
      </c>
      <c r="F928" s="54" t="n">
        <v>48.24</v>
      </c>
      <c r="G928" s="55">
        <f>MAX(0,IF(Parameter!$B$20="Jahresanfang 2025 + Export",BG928+BF928,BF928))</f>
        <v/>
      </c>
      <c r="H928" s="55">
        <f>G928*F928</f>
        <v/>
      </c>
      <c r="I928" s="55">
        <f>BI928*Parameter!$B$18</f>
        <v/>
      </c>
      <c r="J928" s="56" t="n">
        <v>3</v>
      </c>
      <c r="K928" s="57" t="n">
        <v>0</v>
      </c>
      <c r="L928" s="55" t="n">
        <v>0</v>
      </c>
      <c r="M928" s="55" t="n">
        <v>1</v>
      </c>
      <c r="N928" s="58" t="n">
        <v>28</v>
      </c>
      <c r="O928" s="53" t="inlineStr">
        <is>
          <t>S51</t>
        </is>
      </c>
      <c r="P928" s="55" t="n">
        <v>20</v>
      </c>
      <c r="Q928" s="59">
        <f>IF(BO928=1,0,IFERROR(VLOOKUP(BM928,'Gebinde-Kategorie'!$A$5:$G$45,6,0)+0,0))</f>
        <v/>
      </c>
      <c r="R928" s="60" t="n"/>
      <c r="S928" s="61" t="n"/>
      <c r="T928" s="61" t="n"/>
      <c r="U928" s="53">
        <f>IF(A928="","",IF(IFERROR(VLOOKUP(D928,Parameter!$A$35:$C$64,2,0),"Nein")="2+3",IF(ISNUMBER(SEARCH("grosser Artikel",BJ928)),2,IFERROR(VLOOKUP(BM928,Parameter!$F$35:$G$64,2,0),2)),IF(OR(IFERROR(VLOOKUP(D928,Parameter!$A$35:$C$64,2,0),"Nein")="Nein",IFERROR(VLOOKUP(D928,Parameter!$A$35:$C$64,2,0),"Nein")=""),"-",VLOOKUP(D928,Parameter!$A$35:$C$64,2,0))))</f>
        <v/>
      </c>
      <c r="V928" s="61" t="n"/>
      <c r="W928" s="62" t="n"/>
      <c r="X928" s="55">
        <f>AM928</f>
        <v/>
      </c>
      <c r="Y928" s="55">
        <f>MAX(AM928,G928)</f>
        <v/>
      </c>
      <c r="Z928" s="63" t="n"/>
      <c r="AA928" s="55">
        <f>IF(LEFT(Cockpit!$C$5,1)="A",G928,IF(BT928=1,BU928,IF(LEFT(Cockpit!$C$5,1)="B",AE928,MAX(AE928,G928))))</f>
        <v/>
      </c>
      <c r="AB928" s="55">
        <f>IF(BO928=1,0,ROUNDUP(AA928/BN928,0))</f>
        <v/>
      </c>
      <c r="AC928" s="64">
        <f>IF(BO928=1,IF(AA928&lt;=0,0,BP928*MAX(1,IF(G928&gt;0,AA928/G928,1))),AB928*Q928)</f>
        <v/>
      </c>
      <c r="AD928" s="55">
        <f>AA928*F928</f>
        <v/>
      </c>
      <c r="AE928" s="55">
        <f>ROUNDUP(MAX(I928/IF(BS928&gt;0,BS928,MAX(0.1,N(Cockpit!$C$6))),BV928)/BN928,0)*BN928</f>
        <v/>
      </c>
      <c r="AF928" s="56">
        <f>IF(AC928&gt;0,I928/AC928,-1)</f>
        <v/>
      </c>
      <c r="AG928" s="56">
        <f>IF(AND(OR(BR928="L1",BR928="L23"),AC928&gt;0),SUMIFS($AC$7:$AC$1570,$BR$7:$BR$1570,BR928,$AF$7:$AF$1570,"&gt;"&amp;AF928)+SUMIFS($AC$7:$AC$1570,$BR$7:$BR$1570,BR928,$AF$7:$AF$1570,AF928,$BL$7:$BL$1570,"&lt;="&amp;BL928),"")</f>
        <v/>
      </c>
      <c r="AH928" s="65">
        <f>IF(AG928="",0,MAX(0,MIN(1,(IF(BR928="L1",Parameter!$K$5,Parameter!$K$6+Parameter!$K$7)-(AG928-AC928))/AC928)))</f>
        <v/>
      </c>
      <c r="AI928" s="55">
        <f>IF(LEFT(Cockpit!$I$5,1)="A",G928,IF(BT928=1,BU928,IF(LEFT(Cockpit!$I$5,1)="B",AM928,MAX(AM928,G928))))</f>
        <v/>
      </c>
      <c r="AJ928" s="55">
        <f>IF(BO928=1,0,ROUNDUP(AI928/BN928,0))</f>
        <v/>
      </c>
      <c r="AK928" s="64">
        <f>IF(BO928=1,IF(AI928&lt;=0,0,BP928*MAX(1,IF(G928&gt;0,AI928/G928,1))),AJ928*Q928)</f>
        <v/>
      </c>
      <c r="AL928" s="55">
        <f>AI928*F928</f>
        <v/>
      </c>
      <c r="AM928" s="55">
        <f>ROUNDUP(MAX(I928/IF(BS928&gt;0,BS928,MAX(0.1,N(Cockpit!$I$6))),BV928)/BN928,0)*BN928</f>
        <v/>
      </c>
      <c r="AN928" s="56">
        <f>IF(AK928&gt;0,I928/AK928,-1)</f>
        <v/>
      </c>
      <c r="AO928" s="56">
        <f>IF(AND(OR(BR928="L1",BR928="L23"),AK928&gt;0),SUMIFS($AK$7:$AK$1570,$BR$7:$BR$1570,BR928,$AN$7:$AN$1570,"&gt;"&amp;AN928)+SUMIFS($AK$7:$AK$1570,$BR$7:$BR$1570,BR928,$AN$7:$AN$1570,AN928,$BL$7:$BL$1570,"&lt;="&amp;BL928),"")</f>
        <v/>
      </c>
      <c r="AP928" s="65">
        <f>IF(AO928="",0,MAX(0,MIN(1,(IF(BR928="L1",Parameter!$K$5,Parameter!$K$6+Parameter!$K$7)-(AO928-AK928))/AK928)))</f>
        <v/>
      </c>
      <c r="AQ928" s="55">
        <f>IF(LEFT(Cockpit!$O$5,1)="A",G928,IF(BT928=1,BU928,IF(LEFT(Cockpit!$O$5,1)="B",AU928,MAX(AU928,G928))))</f>
        <v/>
      </c>
      <c r="AR928" s="55">
        <f>IF(BO928=1,0,ROUNDUP(AQ928/BN928,0))</f>
        <v/>
      </c>
      <c r="AS928" s="64">
        <f>IF(BO928=1,IF(AQ928&lt;=0,0,BP928*MAX(1,IF(G928&gt;0,AQ928/G928,1))),AR928*Q928)</f>
        <v/>
      </c>
      <c r="AT928" s="55">
        <f>AQ928*F928</f>
        <v/>
      </c>
      <c r="AU928" s="55">
        <f>ROUNDUP(MAX(I928/IF(BS928&gt;0,BS928,MAX(0.1,N(Cockpit!$O$6))),BV928)/BN928,0)*BN928</f>
        <v/>
      </c>
      <c r="AV928" s="56">
        <f>IF(AS928&gt;0,I928/AS928,-1)</f>
        <v/>
      </c>
      <c r="AW928" s="56">
        <f>IF(AND(OR(BR928="L1",BR928="L23"),AS928&gt;0),SUMIFS($AS$7:$AS$1570,$BR$7:$BR$1570,BR928,$AV$7:$AV$1570,"&gt;"&amp;AV928)+SUMIFS($AS$7:$AS$1570,$BR$7:$BR$1570,BR928,$AV$7:$AV$1570,AV928,$BL$7:$BL$1570,"&lt;="&amp;BL928),"")</f>
        <v/>
      </c>
      <c r="AX928" s="65">
        <f>IF(AW928="",0,MAX(0,MIN(1,(IF(BR928="L1",Parameter!$K$5,Parameter!$K$6+Parameter!$K$7)-(AW928-AS928))/AS928)))</f>
        <v/>
      </c>
      <c r="AY928" s="53">
        <f>IF(AC928&lt;=0,"",IF(BR928="Aussen","Aussenlager",IF(BR928="-","Nicht im Lift",IF(AH928&gt;=1,"Lift",IF(AH928&lt;=0,"Aussenlager","teilweise")))))</f>
        <v/>
      </c>
      <c r="AZ928" s="53">
        <f>IF(AK928&lt;=0,"",IF(BR928="Aussen","Aussenlager",IF(BR928="-","Nicht im Lift",IF(AP928&gt;=1,"Lift",IF(AP928&lt;=0,"Aussenlager","teilweise")))))</f>
        <v/>
      </c>
      <c r="BA928" s="53">
        <f>IF(AS928&lt;=0,"",IF(BR928="Aussen","Aussenlager",IF(BR928="-","Nicht im Lift",IF(AX928&gt;=1,"Lift",IF(AX928&lt;=0,"Aussenlager","teilweise")))))</f>
        <v/>
      </c>
      <c r="BB928" s="53">
        <f>IF(A928="","",IF(BK928=1,"Neu; ","")&amp;IF(AND(BK928=0,BF928&lt;0),"negativer Bestand (Export "&amp;BF928&amp;"); ","")&amp;IF(I928&lt;=0,"Kein Verbrauch; ","")&amp;IF(BO928=1,"Lose – Fläche geschätzt; ","")&amp;IF(G928&gt;AM928,"Überbestand "&amp;ROUND(G928-AM928,0)&amp;" Stk / CHF "&amp;ROUND((G928-AM928)*F928,0)&amp;"; ","")&amp;IF(AND(BT928=1,BU928&lt;BV928),"MAX &lt; MB+LG; ","")&amp;IF(AND(BZ928&gt;0,BY928*10&gt;BZ928),"zu hoch für Tablar; ","")&amp;IF(AND(BK928=0,OR(BT928=1,V928&lt;&gt;"",S928&lt;&gt;"",T928&lt;&gt;"",W928&lt;&gt;"")),"manuell übersteuert; ","")&amp;IF(AND(BO928=0,Q928=0),"Gebinde unbekannt; ","")&amp;IF(AND(BO928=0,N(T928)&lt;=0,N(P928)&lt;=0),"Menge pro Gebinde fehlt (Ist = 1 Gebinde); ","")&amp;BJ928)</f>
        <v/>
      </c>
      <c r="BC928" s="53" t="n"/>
      <c r="BD928" s="53" t="n"/>
      <c r="BE928" s="61" t="n"/>
      <c r="BF928" s="55" t="n">
        <v>-1</v>
      </c>
      <c r="BG928" s="55" t="n">
        <v>3</v>
      </c>
      <c r="BH928" s="54" t="n">
        <v>-48.24</v>
      </c>
      <c r="BI928" s="55" t="n">
        <v>0</v>
      </c>
      <c r="BJ928" s="53" t="inlineStr"/>
      <c r="BK928" s="58" t="n">
        <v>0</v>
      </c>
      <c r="BL928" s="58" t="n">
        <v>928</v>
      </c>
      <c r="BM928" s="53">
        <f>IF(S928&lt;&gt;"",UPPER(TRIM(S928)),IF(O928="","LOSE",O928))</f>
        <v/>
      </c>
      <c r="BN928" s="55">
        <f>IF(BM928="LOSE",1,IF(N(T928)&gt;0,T928,IF(N(P928)&gt;0,P928,MAX(1,G928))))</f>
        <v/>
      </c>
      <c r="BO928" s="58">
        <f>IF(BM928="LOSE",1,0)</f>
        <v/>
      </c>
      <c r="BP928" s="64">
        <f>IF(BO928=0,0,IF(N(R928)&gt;0,R928,IFERROR(VLOOKUP(D928,Parameter!$A$35:$C$64,3,0)+0,0)))</f>
        <v/>
      </c>
      <c r="BQ928" s="53">
        <f>IF(V928&lt;&gt;"",V928,U928)</f>
        <v/>
      </c>
      <c r="BR928" s="53">
        <f>IF(BQ928=1,"L1",IF(OR(BQ928=2,BQ928=3),"L23",IF(BQ928="Aussen","Aussen","-")))</f>
        <v/>
      </c>
      <c r="BS928" s="66">
        <f>IF(N(W928)&gt;0,W928,0)</f>
        <v/>
      </c>
      <c r="BT928" s="58">
        <f>IF(ISNUMBER(Z928),1,0)</f>
        <v/>
      </c>
      <c r="BU928" s="55">
        <f>N(Z928)</f>
        <v/>
      </c>
      <c r="BV928" s="55">
        <f>N(L928)+N(M928)</f>
        <v/>
      </c>
      <c r="BW928" s="55">
        <f>ROUNDUP(G928/BN928,0)</f>
        <v/>
      </c>
      <c r="BX928" s="55">
        <f>ROUNDUP(BU928/BN928,0)</f>
        <v/>
      </c>
      <c r="BY928" s="58">
        <f>IF(BO928=1,0,IFERROR(VLOOKUP(BM928,'Gebinde-Kategorie'!$A$5:$G$45,5,0)+0,0))</f>
        <v/>
      </c>
      <c r="BZ928" s="58">
        <f>IFERROR(IF(OR(BQ928=1,BQ928=2,BQ928=3),N(INDEX(Parameter!$I$5:$I$7,BQ928)),0),0)</f>
        <v/>
      </c>
    </row>
    <row r="929">
      <c r="A929" s="53" t="inlineStr">
        <is>
          <t>005582</t>
        </is>
      </c>
      <c r="B929" s="53" t="inlineStr">
        <is>
          <t>Verlängerung</t>
        </is>
      </c>
      <c r="C929" s="53" t="inlineStr">
        <is>
          <t>F</t>
        </is>
      </c>
      <c r="D929" s="53" t="inlineStr">
        <is>
          <t>KTL</t>
        </is>
      </c>
      <c r="E929" s="53" t="inlineStr">
        <is>
          <t>C</t>
        </is>
      </c>
      <c r="F929" s="54" t="n">
        <v>14.45</v>
      </c>
      <c r="G929" s="55">
        <f>MAX(0,IF(Parameter!$B$20="Jahresanfang 2025 + Export",BG929+BF929,BF929))</f>
        <v/>
      </c>
      <c r="H929" s="55">
        <f>G929*F929</f>
        <v/>
      </c>
      <c r="I929" s="55">
        <f>BI929*Parameter!$B$18</f>
        <v/>
      </c>
      <c r="J929" s="56" t="n">
        <v>10</v>
      </c>
      <c r="K929" s="57" t="n">
        <v>0.7</v>
      </c>
      <c r="L929" s="55" t="n">
        <v>0</v>
      </c>
      <c r="M929" s="55" t="n">
        <v>5</v>
      </c>
      <c r="N929" s="58" t="n">
        <v>22</v>
      </c>
      <c r="O929" s="53" t="inlineStr">
        <is>
          <t>S41</t>
        </is>
      </c>
      <c r="P929" s="55" t="n">
        <v>22</v>
      </c>
      <c r="Q929" s="59">
        <f>IF(BO929=1,0,IFERROR(VLOOKUP(BM929,'Gebinde-Kategorie'!$A$5:$G$45,6,0)+0,0))</f>
        <v/>
      </c>
      <c r="R929" s="60" t="n"/>
      <c r="S929" s="61" t="n"/>
      <c r="T929" s="61" t="n"/>
      <c r="U929" s="53">
        <f>IF(A929="","",IF(IFERROR(VLOOKUP(D929,Parameter!$A$35:$C$64,2,0),"Nein")="2+3",IF(ISNUMBER(SEARCH("grosser Artikel",BJ929)),2,IFERROR(VLOOKUP(BM929,Parameter!$F$35:$G$64,2,0),2)),IF(OR(IFERROR(VLOOKUP(D929,Parameter!$A$35:$C$64,2,0),"Nein")="Nein",IFERROR(VLOOKUP(D929,Parameter!$A$35:$C$64,2,0),"Nein")=""),"-",VLOOKUP(D929,Parameter!$A$35:$C$64,2,0))))</f>
        <v/>
      </c>
      <c r="V929" s="61" t="n"/>
      <c r="W929" s="62" t="n"/>
      <c r="X929" s="55">
        <f>AM929</f>
        <v/>
      </c>
      <c r="Y929" s="55">
        <f>MAX(AM929,G929)</f>
        <v/>
      </c>
      <c r="Z929" s="63" t="n"/>
      <c r="AA929" s="55">
        <f>IF(LEFT(Cockpit!$C$5,1)="A",G929,IF(BT929=1,BU929,IF(LEFT(Cockpit!$C$5,1)="B",AE929,MAX(AE929,G929))))</f>
        <v/>
      </c>
      <c r="AB929" s="55">
        <f>IF(BO929=1,0,ROUNDUP(AA929/BN929,0))</f>
        <v/>
      </c>
      <c r="AC929" s="64">
        <f>IF(BO929=1,IF(AA929&lt;=0,0,BP929*MAX(1,IF(G929&gt;0,AA929/G929,1))),AB929*Q929)</f>
        <v/>
      </c>
      <c r="AD929" s="55">
        <f>AA929*F929</f>
        <v/>
      </c>
      <c r="AE929" s="55">
        <f>ROUNDUP(MAX(I929/IF(BS929&gt;0,BS929,MAX(0.1,N(Cockpit!$C$6))),BV929)/BN929,0)*BN929</f>
        <v/>
      </c>
      <c r="AF929" s="56">
        <f>IF(AC929&gt;0,I929/AC929,-1)</f>
        <v/>
      </c>
      <c r="AG929" s="56">
        <f>IF(AND(OR(BR929="L1",BR929="L23"),AC929&gt;0),SUMIFS($AC$7:$AC$1570,$BR$7:$BR$1570,BR929,$AF$7:$AF$1570,"&gt;"&amp;AF929)+SUMIFS($AC$7:$AC$1570,$BR$7:$BR$1570,BR929,$AF$7:$AF$1570,AF929,$BL$7:$BL$1570,"&lt;="&amp;BL929),"")</f>
        <v/>
      </c>
      <c r="AH929" s="65">
        <f>IF(AG929="",0,MAX(0,MIN(1,(IF(BR929="L1",Parameter!$K$5,Parameter!$K$6+Parameter!$K$7)-(AG929-AC929))/AC929)))</f>
        <v/>
      </c>
      <c r="AI929" s="55">
        <f>IF(LEFT(Cockpit!$I$5,1)="A",G929,IF(BT929=1,BU929,IF(LEFT(Cockpit!$I$5,1)="B",AM929,MAX(AM929,G929))))</f>
        <v/>
      </c>
      <c r="AJ929" s="55">
        <f>IF(BO929=1,0,ROUNDUP(AI929/BN929,0))</f>
        <v/>
      </c>
      <c r="AK929" s="64">
        <f>IF(BO929=1,IF(AI929&lt;=0,0,BP929*MAX(1,IF(G929&gt;0,AI929/G929,1))),AJ929*Q929)</f>
        <v/>
      </c>
      <c r="AL929" s="55">
        <f>AI929*F929</f>
        <v/>
      </c>
      <c r="AM929" s="55">
        <f>ROUNDUP(MAX(I929/IF(BS929&gt;0,BS929,MAX(0.1,N(Cockpit!$I$6))),BV929)/BN929,0)*BN929</f>
        <v/>
      </c>
      <c r="AN929" s="56">
        <f>IF(AK929&gt;0,I929/AK929,-1)</f>
        <v/>
      </c>
      <c r="AO929" s="56">
        <f>IF(AND(OR(BR929="L1",BR929="L23"),AK929&gt;0),SUMIFS($AK$7:$AK$1570,$BR$7:$BR$1570,BR929,$AN$7:$AN$1570,"&gt;"&amp;AN929)+SUMIFS($AK$7:$AK$1570,$BR$7:$BR$1570,BR929,$AN$7:$AN$1570,AN929,$BL$7:$BL$1570,"&lt;="&amp;BL929),"")</f>
        <v/>
      </c>
      <c r="AP929" s="65">
        <f>IF(AO929="",0,MAX(0,MIN(1,(IF(BR929="L1",Parameter!$K$5,Parameter!$K$6+Parameter!$K$7)-(AO929-AK929))/AK929)))</f>
        <v/>
      </c>
      <c r="AQ929" s="55">
        <f>IF(LEFT(Cockpit!$O$5,1)="A",G929,IF(BT929=1,BU929,IF(LEFT(Cockpit!$O$5,1)="B",AU929,MAX(AU929,G929))))</f>
        <v/>
      </c>
      <c r="AR929" s="55">
        <f>IF(BO929=1,0,ROUNDUP(AQ929/BN929,0))</f>
        <v/>
      </c>
      <c r="AS929" s="64">
        <f>IF(BO929=1,IF(AQ929&lt;=0,0,BP929*MAX(1,IF(G929&gt;0,AQ929/G929,1))),AR929*Q929)</f>
        <v/>
      </c>
      <c r="AT929" s="55">
        <f>AQ929*F929</f>
        <v/>
      </c>
      <c r="AU929" s="55">
        <f>ROUNDUP(MAX(I929/IF(BS929&gt;0,BS929,MAX(0.1,N(Cockpit!$O$6))),BV929)/BN929,0)*BN929</f>
        <v/>
      </c>
      <c r="AV929" s="56">
        <f>IF(AS929&gt;0,I929/AS929,-1)</f>
        <v/>
      </c>
      <c r="AW929" s="56">
        <f>IF(AND(OR(BR929="L1",BR929="L23"),AS929&gt;0),SUMIFS($AS$7:$AS$1570,$BR$7:$BR$1570,BR929,$AV$7:$AV$1570,"&gt;"&amp;AV929)+SUMIFS($AS$7:$AS$1570,$BR$7:$BR$1570,BR929,$AV$7:$AV$1570,AV929,$BL$7:$BL$1570,"&lt;="&amp;BL929),"")</f>
        <v/>
      </c>
      <c r="AX929" s="65">
        <f>IF(AW929="",0,MAX(0,MIN(1,(IF(BR929="L1",Parameter!$K$5,Parameter!$K$6+Parameter!$K$7)-(AW929-AS929))/AS929)))</f>
        <v/>
      </c>
      <c r="AY929" s="53">
        <f>IF(AC929&lt;=0,"",IF(BR929="Aussen","Aussenlager",IF(BR929="-","Nicht im Lift",IF(AH929&gt;=1,"Lift",IF(AH929&lt;=0,"Aussenlager","teilweise")))))</f>
        <v/>
      </c>
      <c r="AZ929" s="53">
        <f>IF(AK929&lt;=0,"",IF(BR929="Aussen","Aussenlager",IF(BR929="-","Nicht im Lift",IF(AP929&gt;=1,"Lift",IF(AP929&lt;=0,"Aussenlager","teilweise")))))</f>
        <v/>
      </c>
      <c r="BA929" s="53">
        <f>IF(AS929&lt;=0,"",IF(BR929="Aussen","Aussenlager",IF(BR929="-","Nicht im Lift",IF(AX929&gt;=1,"Lift",IF(AX929&lt;=0,"Aussenlager","teilweise")))))</f>
        <v/>
      </c>
      <c r="BB929" s="53">
        <f>IF(A929="","",IF(BK929=1,"Neu; ","")&amp;IF(AND(BK929=0,BF929&lt;0),"negativer Bestand (Export "&amp;BF929&amp;"); ","")&amp;IF(I929&lt;=0,"Kein Verbrauch; ","")&amp;IF(BO929=1,"Lose – Fläche geschätzt; ","")&amp;IF(G929&gt;AM929,"Überbestand "&amp;ROUND(G929-AM929,0)&amp;" Stk / CHF "&amp;ROUND((G929-AM929)*F929,0)&amp;"; ","")&amp;IF(AND(BT929=1,BU929&lt;BV929),"MAX &lt; MB+LG; ","")&amp;IF(AND(BZ929&gt;0,BY929*10&gt;BZ929),"zu hoch für Tablar; ","")&amp;IF(AND(BK929=0,OR(BT929=1,V929&lt;&gt;"",S929&lt;&gt;"",T929&lt;&gt;"",W929&lt;&gt;"")),"manuell übersteuert; ","")&amp;IF(AND(BO929=0,Q929=0),"Gebinde unbekannt; ","")&amp;IF(AND(BO929=0,N(T929)&lt;=0,N(P929)&lt;=0),"Menge pro Gebinde fehlt (Ist = 1 Gebinde); ","")&amp;BJ929)</f>
        <v/>
      </c>
      <c r="BC929" s="53" t="n"/>
      <c r="BD929" s="53" t="n"/>
      <c r="BE929" s="61" t="n"/>
      <c r="BF929" s="55" t="n">
        <v>-3</v>
      </c>
      <c r="BG929" s="55" t="n">
        <v>11</v>
      </c>
      <c r="BH929" s="54" t="n">
        <v>-48.63000000000001</v>
      </c>
      <c r="BI929" s="55" t="n">
        <v>7</v>
      </c>
      <c r="BJ929" s="53" t="inlineStr"/>
      <c r="BK929" s="58" t="n">
        <v>0</v>
      </c>
      <c r="BL929" s="58" t="n">
        <v>929</v>
      </c>
      <c r="BM929" s="53">
        <f>IF(S929&lt;&gt;"",UPPER(TRIM(S929)),IF(O929="","LOSE",O929))</f>
        <v/>
      </c>
      <c r="BN929" s="55">
        <f>IF(BM929="LOSE",1,IF(N(T929)&gt;0,T929,IF(N(P929)&gt;0,P929,MAX(1,G929))))</f>
        <v/>
      </c>
      <c r="BO929" s="58">
        <f>IF(BM929="LOSE",1,0)</f>
        <v/>
      </c>
      <c r="BP929" s="64">
        <f>IF(BO929=0,0,IF(N(R929)&gt;0,R929,IFERROR(VLOOKUP(D929,Parameter!$A$35:$C$64,3,0)+0,0)))</f>
        <v/>
      </c>
      <c r="BQ929" s="53">
        <f>IF(V929&lt;&gt;"",V929,U929)</f>
        <v/>
      </c>
      <c r="BR929" s="53">
        <f>IF(BQ929=1,"L1",IF(OR(BQ929=2,BQ929=3),"L23",IF(BQ929="Aussen","Aussen","-")))</f>
        <v/>
      </c>
      <c r="BS929" s="66">
        <f>IF(N(W929)&gt;0,W929,0)</f>
        <v/>
      </c>
      <c r="BT929" s="58">
        <f>IF(ISNUMBER(Z929),1,0)</f>
        <v/>
      </c>
      <c r="BU929" s="55">
        <f>N(Z929)</f>
        <v/>
      </c>
      <c r="BV929" s="55">
        <f>N(L929)+N(M929)</f>
        <v/>
      </c>
      <c r="BW929" s="55">
        <f>ROUNDUP(G929/BN929,0)</f>
        <v/>
      </c>
      <c r="BX929" s="55">
        <f>ROUNDUP(BU929/BN929,0)</f>
        <v/>
      </c>
      <c r="BY929" s="58">
        <f>IF(BO929=1,0,IFERROR(VLOOKUP(BM929,'Gebinde-Kategorie'!$A$5:$G$45,5,0)+0,0))</f>
        <v/>
      </c>
      <c r="BZ929" s="58">
        <f>IFERROR(IF(OR(BQ929=1,BQ929=2,BQ929=3),N(INDEX(Parameter!$I$5:$I$7,BQ929)),0),0)</f>
        <v/>
      </c>
    </row>
    <row r="930">
      <c r="A930" s="53" t="inlineStr">
        <is>
          <t>106970</t>
        </is>
      </c>
      <c r="B930" s="53" t="inlineStr">
        <is>
          <t>USB Datenspeicher</t>
        </is>
      </c>
      <c r="C930" s="53" t="inlineStr">
        <is>
          <t>F</t>
        </is>
      </c>
      <c r="D930" s="53" t="inlineStr">
        <is>
          <t>KTL</t>
        </is>
      </c>
      <c r="E930" s="53" t="inlineStr">
        <is>
          <t>C</t>
        </is>
      </c>
      <c r="F930" s="54" t="n">
        <v>48.79</v>
      </c>
      <c r="G930" s="55">
        <f>MAX(0,IF(Parameter!$B$20="Jahresanfang 2025 + Export",BG930+BF930,BF930))</f>
        <v/>
      </c>
      <c r="H930" s="55">
        <f>G930*F930</f>
        <v/>
      </c>
      <c r="I930" s="55">
        <f>BI930*Parameter!$B$18</f>
        <v/>
      </c>
      <c r="J930" s="56" t="n">
        <v>5</v>
      </c>
      <c r="K930" s="57" t="n">
        <v>0</v>
      </c>
      <c r="L930" s="55" t="n">
        <v>0</v>
      </c>
      <c r="M930" s="55" t="n">
        <v>1</v>
      </c>
      <c r="N930" s="58" t="n">
        <v>42</v>
      </c>
      <c r="O930" s="53" t="inlineStr">
        <is>
          <t>S21</t>
        </is>
      </c>
      <c r="P930" s="55" t="n">
        <v>5</v>
      </c>
      <c r="Q930" s="59">
        <f>IF(BO930=1,0,IFERROR(VLOOKUP(BM930,'Gebinde-Kategorie'!$A$5:$G$45,6,0)+0,0))</f>
        <v/>
      </c>
      <c r="R930" s="60" t="n"/>
      <c r="S930" s="61" t="n"/>
      <c r="T930" s="61" t="n"/>
      <c r="U930" s="53">
        <f>IF(A930="","",IF(IFERROR(VLOOKUP(D930,Parameter!$A$35:$C$64,2,0),"Nein")="2+3",IF(ISNUMBER(SEARCH("grosser Artikel",BJ930)),2,IFERROR(VLOOKUP(BM930,Parameter!$F$35:$G$64,2,0),2)),IF(OR(IFERROR(VLOOKUP(D930,Parameter!$A$35:$C$64,2,0),"Nein")="Nein",IFERROR(VLOOKUP(D930,Parameter!$A$35:$C$64,2,0),"Nein")=""),"-",VLOOKUP(D930,Parameter!$A$35:$C$64,2,0))))</f>
        <v/>
      </c>
      <c r="V930" s="61" t="n"/>
      <c r="W930" s="62" t="n"/>
      <c r="X930" s="55">
        <f>AM930</f>
        <v/>
      </c>
      <c r="Y930" s="55">
        <f>MAX(AM930,G930)</f>
        <v/>
      </c>
      <c r="Z930" s="63" t="n"/>
      <c r="AA930" s="55">
        <f>IF(LEFT(Cockpit!$C$5,1)="A",G930,IF(BT930=1,BU930,IF(LEFT(Cockpit!$C$5,1)="B",AE930,MAX(AE930,G930))))</f>
        <v/>
      </c>
      <c r="AB930" s="55">
        <f>IF(BO930=1,0,ROUNDUP(AA930/BN930,0))</f>
        <v/>
      </c>
      <c r="AC930" s="64">
        <f>IF(BO930=1,IF(AA930&lt;=0,0,BP930*MAX(1,IF(G930&gt;0,AA930/G930,1))),AB930*Q930)</f>
        <v/>
      </c>
      <c r="AD930" s="55">
        <f>AA930*F930</f>
        <v/>
      </c>
      <c r="AE930" s="55">
        <f>ROUNDUP(MAX(I930/IF(BS930&gt;0,BS930,MAX(0.1,N(Cockpit!$C$6))),BV930)/BN930,0)*BN930</f>
        <v/>
      </c>
      <c r="AF930" s="56">
        <f>IF(AC930&gt;0,I930/AC930,-1)</f>
        <v/>
      </c>
      <c r="AG930" s="56">
        <f>IF(AND(OR(BR930="L1",BR930="L23"),AC930&gt;0),SUMIFS($AC$7:$AC$1570,$BR$7:$BR$1570,BR930,$AF$7:$AF$1570,"&gt;"&amp;AF930)+SUMIFS($AC$7:$AC$1570,$BR$7:$BR$1570,BR930,$AF$7:$AF$1570,AF930,$BL$7:$BL$1570,"&lt;="&amp;BL930),"")</f>
        <v/>
      </c>
      <c r="AH930" s="65">
        <f>IF(AG930="",0,MAX(0,MIN(1,(IF(BR930="L1",Parameter!$K$5,Parameter!$K$6+Parameter!$K$7)-(AG930-AC930))/AC930)))</f>
        <v/>
      </c>
      <c r="AI930" s="55">
        <f>IF(LEFT(Cockpit!$I$5,1)="A",G930,IF(BT930=1,BU930,IF(LEFT(Cockpit!$I$5,1)="B",AM930,MAX(AM930,G930))))</f>
        <v/>
      </c>
      <c r="AJ930" s="55">
        <f>IF(BO930=1,0,ROUNDUP(AI930/BN930,0))</f>
        <v/>
      </c>
      <c r="AK930" s="64">
        <f>IF(BO930=1,IF(AI930&lt;=0,0,BP930*MAX(1,IF(G930&gt;0,AI930/G930,1))),AJ930*Q930)</f>
        <v/>
      </c>
      <c r="AL930" s="55">
        <f>AI930*F930</f>
        <v/>
      </c>
      <c r="AM930" s="55">
        <f>ROUNDUP(MAX(I930/IF(BS930&gt;0,BS930,MAX(0.1,N(Cockpit!$I$6))),BV930)/BN930,0)*BN930</f>
        <v/>
      </c>
      <c r="AN930" s="56">
        <f>IF(AK930&gt;0,I930/AK930,-1)</f>
        <v/>
      </c>
      <c r="AO930" s="56">
        <f>IF(AND(OR(BR930="L1",BR930="L23"),AK930&gt;0),SUMIFS($AK$7:$AK$1570,$BR$7:$BR$1570,BR930,$AN$7:$AN$1570,"&gt;"&amp;AN930)+SUMIFS($AK$7:$AK$1570,$BR$7:$BR$1570,BR930,$AN$7:$AN$1570,AN930,$BL$7:$BL$1570,"&lt;="&amp;BL930),"")</f>
        <v/>
      </c>
      <c r="AP930" s="65">
        <f>IF(AO930="",0,MAX(0,MIN(1,(IF(BR930="L1",Parameter!$K$5,Parameter!$K$6+Parameter!$K$7)-(AO930-AK930))/AK930)))</f>
        <v/>
      </c>
      <c r="AQ930" s="55">
        <f>IF(LEFT(Cockpit!$O$5,1)="A",G930,IF(BT930=1,BU930,IF(LEFT(Cockpit!$O$5,1)="B",AU930,MAX(AU930,G930))))</f>
        <v/>
      </c>
      <c r="AR930" s="55">
        <f>IF(BO930=1,0,ROUNDUP(AQ930/BN930,0))</f>
        <v/>
      </c>
      <c r="AS930" s="64">
        <f>IF(BO930=1,IF(AQ930&lt;=0,0,BP930*MAX(1,IF(G930&gt;0,AQ930/G930,1))),AR930*Q930)</f>
        <v/>
      </c>
      <c r="AT930" s="55">
        <f>AQ930*F930</f>
        <v/>
      </c>
      <c r="AU930" s="55">
        <f>ROUNDUP(MAX(I930/IF(BS930&gt;0,BS930,MAX(0.1,N(Cockpit!$O$6))),BV930)/BN930,0)*BN930</f>
        <v/>
      </c>
      <c r="AV930" s="56">
        <f>IF(AS930&gt;0,I930/AS930,-1)</f>
        <v/>
      </c>
      <c r="AW930" s="56">
        <f>IF(AND(OR(BR930="L1",BR930="L23"),AS930&gt;0),SUMIFS($AS$7:$AS$1570,$BR$7:$BR$1570,BR930,$AV$7:$AV$1570,"&gt;"&amp;AV930)+SUMIFS($AS$7:$AS$1570,$BR$7:$BR$1570,BR930,$AV$7:$AV$1570,AV930,$BL$7:$BL$1570,"&lt;="&amp;BL930),"")</f>
        <v/>
      </c>
      <c r="AX930" s="65">
        <f>IF(AW930="",0,MAX(0,MIN(1,(IF(BR930="L1",Parameter!$K$5,Parameter!$K$6+Parameter!$K$7)-(AW930-AS930))/AS930)))</f>
        <v/>
      </c>
      <c r="AY930" s="53">
        <f>IF(AC930&lt;=0,"",IF(BR930="Aussen","Aussenlager",IF(BR930="-","Nicht im Lift",IF(AH930&gt;=1,"Lift",IF(AH930&lt;=0,"Aussenlager","teilweise")))))</f>
        <v/>
      </c>
      <c r="AZ930" s="53">
        <f>IF(AK930&lt;=0,"",IF(BR930="Aussen","Aussenlager",IF(BR930="-","Nicht im Lift",IF(AP930&gt;=1,"Lift",IF(AP930&lt;=0,"Aussenlager","teilweise")))))</f>
        <v/>
      </c>
      <c r="BA930" s="53">
        <f>IF(AS930&lt;=0,"",IF(BR930="Aussen","Aussenlager",IF(BR930="-","Nicht im Lift",IF(AX930&gt;=1,"Lift",IF(AX930&lt;=0,"Aussenlager","teilweise")))))</f>
        <v/>
      </c>
      <c r="BB930" s="53">
        <f>IF(A930="","",IF(BK930=1,"Neu; ","")&amp;IF(AND(BK930=0,BF930&lt;0),"negativer Bestand (Export "&amp;BF930&amp;"); ","")&amp;IF(I930&lt;=0,"Kein Verbrauch; ","")&amp;IF(BO930=1,"Lose – Fläche geschätzt; ","")&amp;IF(G930&gt;AM930,"Überbestand "&amp;ROUND(G930-AM930,0)&amp;" Stk / CHF "&amp;ROUND((G930-AM930)*F930,0)&amp;"; ","")&amp;IF(AND(BT930=1,BU930&lt;BV930),"MAX &lt; MB+LG; ","")&amp;IF(AND(BZ930&gt;0,BY930*10&gt;BZ930),"zu hoch für Tablar; ","")&amp;IF(AND(BK930=0,OR(BT930=1,V930&lt;&gt;"",S930&lt;&gt;"",T930&lt;&gt;"",W930&lt;&gt;"")),"manuell übersteuert; ","")&amp;IF(AND(BO930=0,Q930=0),"Gebinde unbekannt; ","")&amp;IF(AND(BO930=0,N(T930)&lt;=0,N(P930)&lt;=0),"Menge pro Gebinde fehlt (Ist = 1 Gebinde); ","")&amp;BJ930)</f>
        <v/>
      </c>
      <c r="BC930" s="53" t="n"/>
      <c r="BD930" s="53" t="n"/>
      <c r="BE930" s="61" t="n"/>
      <c r="BF930" s="55" t="n">
        <v>-1</v>
      </c>
      <c r="BG930" s="55" t="n">
        <v>5</v>
      </c>
      <c r="BH930" s="54" t="n">
        <v>-48.79</v>
      </c>
      <c r="BI930" s="55" t="n">
        <v>0</v>
      </c>
      <c r="BJ930" s="53" t="inlineStr">
        <is>
          <t>B&amp;R; nicht im KTL vorhanden</t>
        </is>
      </c>
      <c r="BK930" s="58" t="n">
        <v>0</v>
      </c>
      <c r="BL930" s="58" t="n">
        <v>930</v>
      </c>
      <c r="BM930" s="53">
        <f>IF(S930&lt;&gt;"",UPPER(TRIM(S930)),IF(O930="","LOSE",O930))</f>
        <v/>
      </c>
      <c r="BN930" s="55">
        <f>IF(BM930="LOSE",1,IF(N(T930)&gt;0,T930,IF(N(P930)&gt;0,P930,MAX(1,G930))))</f>
        <v/>
      </c>
      <c r="BO930" s="58">
        <f>IF(BM930="LOSE",1,0)</f>
        <v/>
      </c>
      <c r="BP930" s="64">
        <f>IF(BO930=0,0,IF(N(R930)&gt;0,R930,IFERROR(VLOOKUP(D930,Parameter!$A$35:$C$64,3,0)+0,0)))</f>
        <v/>
      </c>
      <c r="BQ930" s="53">
        <f>IF(V930&lt;&gt;"",V930,U930)</f>
        <v/>
      </c>
      <c r="BR930" s="53">
        <f>IF(BQ930=1,"L1",IF(OR(BQ930=2,BQ930=3),"L23",IF(BQ930="Aussen","Aussen","-")))</f>
        <v/>
      </c>
      <c r="BS930" s="66">
        <f>IF(N(W930)&gt;0,W930,0)</f>
        <v/>
      </c>
      <c r="BT930" s="58">
        <f>IF(ISNUMBER(Z930),1,0)</f>
        <v/>
      </c>
      <c r="BU930" s="55">
        <f>N(Z930)</f>
        <v/>
      </c>
      <c r="BV930" s="55">
        <f>N(L930)+N(M930)</f>
        <v/>
      </c>
      <c r="BW930" s="55">
        <f>ROUNDUP(G930/BN930,0)</f>
        <v/>
      </c>
      <c r="BX930" s="55">
        <f>ROUNDUP(BU930/BN930,0)</f>
        <v/>
      </c>
      <c r="BY930" s="58">
        <f>IF(BO930=1,0,IFERROR(VLOOKUP(BM930,'Gebinde-Kategorie'!$A$5:$G$45,5,0)+0,0))</f>
        <v/>
      </c>
      <c r="BZ930" s="58">
        <f>IFERROR(IF(OR(BQ930=1,BQ930=2,BQ930=3),N(INDEX(Parameter!$I$5:$I$7,BQ930)),0),0)</f>
        <v/>
      </c>
    </row>
    <row r="931">
      <c r="A931" s="53" t="inlineStr">
        <is>
          <t>001097</t>
        </is>
      </c>
      <c r="B931" s="53" t="inlineStr">
        <is>
          <t>Dose</t>
        </is>
      </c>
      <c r="C931" s="53" t="inlineStr">
        <is>
          <t>F</t>
        </is>
      </c>
      <c r="D931" s="53" t="inlineStr">
        <is>
          <t>KTL</t>
        </is>
      </c>
      <c r="E931" s="53" t="inlineStr">
        <is>
          <t>C</t>
        </is>
      </c>
      <c r="F931" s="54" t="n">
        <v>1.2</v>
      </c>
      <c r="G931" s="55">
        <f>MAX(0,IF(Parameter!$B$20="Jahresanfang 2025 + Export",BG931+BF931,BF931))</f>
        <v/>
      </c>
      <c r="H931" s="55">
        <f>G931*F931</f>
        <v/>
      </c>
      <c r="I931" s="55">
        <f>BI931*Parameter!$B$18</f>
        <v/>
      </c>
      <c r="J931" s="56" t="n">
        <v>96.5</v>
      </c>
      <c r="K931" s="57" t="n">
        <v>0.2383419689119171</v>
      </c>
      <c r="L931" s="55" t="n">
        <v>0</v>
      </c>
      <c r="M931" s="55" t="n">
        <v>25</v>
      </c>
      <c r="N931" s="58" t="n">
        <v>14</v>
      </c>
      <c r="O931" s="53" t="inlineStr">
        <is>
          <t>S51</t>
        </is>
      </c>
      <c r="P931" s="55" t="n">
        <v>54</v>
      </c>
      <c r="Q931" s="59">
        <f>IF(BO931=1,0,IFERROR(VLOOKUP(BM931,'Gebinde-Kategorie'!$A$5:$G$45,6,0)+0,0))</f>
        <v/>
      </c>
      <c r="R931" s="60" t="n"/>
      <c r="S931" s="61" t="n"/>
      <c r="T931" s="61" t="n"/>
      <c r="U931" s="53">
        <f>IF(A931="","",IF(IFERROR(VLOOKUP(D931,Parameter!$A$35:$C$64,2,0),"Nein")="2+3",IF(ISNUMBER(SEARCH("grosser Artikel",BJ931)),2,IFERROR(VLOOKUP(BM931,Parameter!$F$35:$G$64,2,0),2)),IF(OR(IFERROR(VLOOKUP(D931,Parameter!$A$35:$C$64,2,0),"Nein")="Nein",IFERROR(VLOOKUP(D931,Parameter!$A$35:$C$64,2,0),"Nein")=""),"-",VLOOKUP(D931,Parameter!$A$35:$C$64,2,0))))</f>
        <v/>
      </c>
      <c r="V931" s="61" t="n"/>
      <c r="W931" s="62" t="n"/>
      <c r="X931" s="55">
        <f>AM931</f>
        <v/>
      </c>
      <c r="Y931" s="55">
        <f>MAX(AM931,G931)</f>
        <v/>
      </c>
      <c r="Z931" s="63" t="n"/>
      <c r="AA931" s="55">
        <f>IF(LEFT(Cockpit!$C$5,1)="A",G931,IF(BT931=1,BU931,IF(LEFT(Cockpit!$C$5,1)="B",AE931,MAX(AE931,G931))))</f>
        <v/>
      </c>
      <c r="AB931" s="55">
        <f>IF(BO931=1,0,ROUNDUP(AA931/BN931,0))</f>
        <v/>
      </c>
      <c r="AC931" s="64">
        <f>IF(BO931=1,IF(AA931&lt;=0,0,BP931*MAX(1,IF(G931&gt;0,AA931/G931,1))),AB931*Q931)</f>
        <v/>
      </c>
      <c r="AD931" s="55">
        <f>AA931*F931</f>
        <v/>
      </c>
      <c r="AE931" s="55">
        <f>ROUNDUP(MAX(I931/IF(BS931&gt;0,BS931,MAX(0.1,N(Cockpit!$C$6))),BV931)/BN931,0)*BN931</f>
        <v/>
      </c>
      <c r="AF931" s="56">
        <f>IF(AC931&gt;0,I931/AC931,-1)</f>
        <v/>
      </c>
      <c r="AG931" s="56">
        <f>IF(AND(OR(BR931="L1",BR931="L23"),AC931&gt;0),SUMIFS($AC$7:$AC$1570,$BR$7:$BR$1570,BR931,$AF$7:$AF$1570,"&gt;"&amp;AF931)+SUMIFS($AC$7:$AC$1570,$BR$7:$BR$1570,BR931,$AF$7:$AF$1570,AF931,$BL$7:$BL$1570,"&lt;="&amp;BL931),"")</f>
        <v/>
      </c>
      <c r="AH931" s="65">
        <f>IF(AG931="",0,MAX(0,MIN(1,(IF(BR931="L1",Parameter!$K$5,Parameter!$K$6+Parameter!$K$7)-(AG931-AC931))/AC931)))</f>
        <v/>
      </c>
      <c r="AI931" s="55">
        <f>IF(LEFT(Cockpit!$I$5,1)="A",G931,IF(BT931=1,BU931,IF(LEFT(Cockpit!$I$5,1)="B",AM931,MAX(AM931,G931))))</f>
        <v/>
      </c>
      <c r="AJ931" s="55">
        <f>IF(BO931=1,0,ROUNDUP(AI931/BN931,0))</f>
        <v/>
      </c>
      <c r="AK931" s="64">
        <f>IF(BO931=1,IF(AI931&lt;=0,0,BP931*MAX(1,IF(G931&gt;0,AI931/G931,1))),AJ931*Q931)</f>
        <v/>
      </c>
      <c r="AL931" s="55">
        <f>AI931*F931</f>
        <v/>
      </c>
      <c r="AM931" s="55">
        <f>ROUNDUP(MAX(I931/IF(BS931&gt;0,BS931,MAX(0.1,N(Cockpit!$I$6))),BV931)/BN931,0)*BN931</f>
        <v/>
      </c>
      <c r="AN931" s="56">
        <f>IF(AK931&gt;0,I931/AK931,-1)</f>
        <v/>
      </c>
      <c r="AO931" s="56">
        <f>IF(AND(OR(BR931="L1",BR931="L23"),AK931&gt;0),SUMIFS($AK$7:$AK$1570,$BR$7:$BR$1570,BR931,$AN$7:$AN$1570,"&gt;"&amp;AN931)+SUMIFS($AK$7:$AK$1570,$BR$7:$BR$1570,BR931,$AN$7:$AN$1570,AN931,$BL$7:$BL$1570,"&lt;="&amp;BL931),"")</f>
        <v/>
      </c>
      <c r="AP931" s="65">
        <f>IF(AO931="",0,MAX(0,MIN(1,(IF(BR931="L1",Parameter!$K$5,Parameter!$K$6+Parameter!$K$7)-(AO931-AK931))/AK931)))</f>
        <v/>
      </c>
      <c r="AQ931" s="55">
        <f>IF(LEFT(Cockpit!$O$5,1)="A",G931,IF(BT931=1,BU931,IF(LEFT(Cockpit!$O$5,1)="B",AU931,MAX(AU931,G931))))</f>
        <v/>
      </c>
      <c r="AR931" s="55">
        <f>IF(BO931=1,0,ROUNDUP(AQ931/BN931,0))</f>
        <v/>
      </c>
      <c r="AS931" s="64">
        <f>IF(BO931=1,IF(AQ931&lt;=0,0,BP931*MAX(1,IF(G931&gt;0,AQ931/G931,1))),AR931*Q931)</f>
        <v/>
      </c>
      <c r="AT931" s="55">
        <f>AQ931*F931</f>
        <v/>
      </c>
      <c r="AU931" s="55">
        <f>ROUNDUP(MAX(I931/IF(BS931&gt;0,BS931,MAX(0.1,N(Cockpit!$O$6))),BV931)/BN931,0)*BN931</f>
        <v/>
      </c>
      <c r="AV931" s="56">
        <f>IF(AS931&gt;0,I931/AS931,-1)</f>
        <v/>
      </c>
      <c r="AW931" s="56">
        <f>IF(AND(OR(BR931="L1",BR931="L23"),AS931&gt;0),SUMIFS($AS$7:$AS$1570,$BR$7:$BR$1570,BR931,$AV$7:$AV$1570,"&gt;"&amp;AV931)+SUMIFS($AS$7:$AS$1570,$BR$7:$BR$1570,BR931,$AV$7:$AV$1570,AV931,$BL$7:$BL$1570,"&lt;="&amp;BL931),"")</f>
        <v/>
      </c>
      <c r="AX931" s="65">
        <f>IF(AW931="",0,MAX(0,MIN(1,(IF(BR931="L1",Parameter!$K$5,Parameter!$K$6+Parameter!$K$7)-(AW931-AS931))/AS931)))</f>
        <v/>
      </c>
      <c r="AY931" s="53">
        <f>IF(AC931&lt;=0,"",IF(BR931="Aussen","Aussenlager",IF(BR931="-","Nicht im Lift",IF(AH931&gt;=1,"Lift",IF(AH931&lt;=0,"Aussenlager","teilweise")))))</f>
        <v/>
      </c>
      <c r="AZ931" s="53">
        <f>IF(AK931&lt;=0,"",IF(BR931="Aussen","Aussenlager",IF(BR931="-","Nicht im Lift",IF(AP931&gt;=1,"Lift",IF(AP931&lt;=0,"Aussenlager","teilweise")))))</f>
        <v/>
      </c>
      <c r="BA931" s="53">
        <f>IF(AS931&lt;=0,"",IF(BR931="Aussen","Aussenlager",IF(BR931="-","Nicht im Lift",IF(AX931&gt;=1,"Lift",IF(AX931&lt;=0,"Aussenlager","teilweise")))))</f>
        <v/>
      </c>
      <c r="BB931" s="53">
        <f>IF(A931="","",IF(BK931=1,"Neu; ","")&amp;IF(AND(BK931=0,BF931&lt;0),"negativer Bestand (Export "&amp;BF931&amp;"); ","")&amp;IF(I931&lt;=0,"Kein Verbrauch; ","")&amp;IF(BO931=1,"Lose – Fläche geschätzt; ","")&amp;IF(G931&gt;AM931,"Überbestand "&amp;ROUND(G931-AM931,0)&amp;" Stk / CHF "&amp;ROUND((G931-AM931)*F931,0)&amp;"; ","")&amp;IF(AND(BT931=1,BU931&lt;BV931),"MAX &lt; MB+LG; ","")&amp;IF(AND(BZ931&gt;0,BY931*10&gt;BZ931),"zu hoch für Tablar; ","")&amp;IF(AND(BK931=0,OR(BT931=1,V931&lt;&gt;"",S931&lt;&gt;"",T931&lt;&gt;"",W931&lt;&gt;"")),"manuell übersteuert; ","")&amp;IF(AND(BO931=0,Q931=0),"Gebinde unbekannt; ","")&amp;IF(AND(BO931=0,N(T931)&lt;=0,N(P931)&lt;=0),"Menge pro Gebinde fehlt (Ist = 1 Gebinde); ","")&amp;BJ931)</f>
        <v/>
      </c>
      <c r="BC931" s="53" t="n"/>
      <c r="BD931" s="53" t="n"/>
      <c r="BE931" s="61" t="n"/>
      <c r="BF931" s="55" t="n">
        <v>-41</v>
      </c>
      <c r="BG931" s="55" t="n">
        <v>110</v>
      </c>
      <c r="BH931" s="54" t="n">
        <v>-49.2</v>
      </c>
      <c r="BI931" s="55" t="n">
        <v>23</v>
      </c>
      <c r="BJ931" s="53" t="inlineStr"/>
      <c r="BK931" s="58" t="n">
        <v>0</v>
      </c>
      <c r="BL931" s="58" t="n">
        <v>931</v>
      </c>
      <c r="BM931" s="53">
        <f>IF(S931&lt;&gt;"",UPPER(TRIM(S931)),IF(O931="","LOSE",O931))</f>
        <v/>
      </c>
      <c r="BN931" s="55">
        <f>IF(BM931="LOSE",1,IF(N(T931)&gt;0,T931,IF(N(P931)&gt;0,P931,MAX(1,G931))))</f>
        <v/>
      </c>
      <c r="BO931" s="58">
        <f>IF(BM931="LOSE",1,0)</f>
        <v/>
      </c>
      <c r="BP931" s="64">
        <f>IF(BO931=0,0,IF(N(R931)&gt;0,R931,IFERROR(VLOOKUP(D931,Parameter!$A$35:$C$64,3,0)+0,0)))</f>
        <v/>
      </c>
      <c r="BQ931" s="53">
        <f>IF(V931&lt;&gt;"",V931,U931)</f>
        <v/>
      </c>
      <c r="BR931" s="53">
        <f>IF(BQ931=1,"L1",IF(OR(BQ931=2,BQ931=3),"L23",IF(BQ931="Aussen","Aussen","-")))</f>
        <v/>
      </c>
      <c r="BS931" s="66">
        <f>IF(N(W931)&gt;0,W931,0)</f>
        <v/>
      </c>
      <c r="BT931" s="58">
        <f>IF(ISNUMBER(Z931),1,0)</f>
        <v/>
      </c>
      <c r="BU931" s="55">
        <f>N(Z931)</f>
        <v/>
      </c>
      <c r="BV931" s="55">
        <f>N(L931)+N(M931)</f>
        <v/>
      </c>
      <c r="BW931" s="55">
        <f>ROUNDUP(G931/BN931,0)</f>
        <v/>
      </c>
      <c r="BX931" s="55">
        <f>ROUNDUP(BU931/BN931,0)</f>
        <v/>
      </c>
      <c r="BY931" s="58">
        <f>IF(BO931=1,0,IFERROR(VLOOKUP(BM931,'Gebinde-Kategorie'!$A$5:$G$45,5,0)+0,0))</f>
        <v/>
      </c>
      <c r="BZ931" s="58">
        <f>IFERROR(IF(OR(BQ931=1,BQ931=2,BQ931=3),N(INDEX(Parameter!$I$5:$I$7,BQ931)),0),0)</f>
        <v/>
      </c>
    </row>
    <row r="932">
      <c r="A932" s="53" t="inlineStr">
        <is>
          <t>101257</t>
        </is>
      </c>
      <c r="B932" s="53" t="inlineStr">
        <is>
          <t>Magnetventiladapter</t>
        </is>
      </c>
      <c r="C932" s="53" t="inlineStr">
        <is>
          <t>F</t>
        </is>
      </c>
      <c r="D932" s="53" t="inlineStr">
        <is>
          <t>KTL</t>
        </is>
      </c>
      <c r="E932" s="53" t="inlineStr">
        <is>
          <t>C</t>
        </is>
      </c>
      <c r="F932" s="54" t="n">
        <v>24.9</v>
      </c>
      <c r="G932" s="55">
        <f>MAX(0,IF(Parameter!$B$20="Jahresanfang 2025 + Export",BG932+BF932,BF932))</f>
        <v/>
      </c>
      <c r="H932" s="55">
        <f>G932*F932</f>
        <v/>
      </c>
      <c r="I932" s="55">
        <f>BI932*Parameter!$B$18</f>
        <v/>
      </c>
      <c r="J932" s="56" t="n">
        <v>22</v>
      </c>
      <c r="K932" s="57" t="n">
        <v>0.09090909090909091</v>
      </c>
      <c r="L932" s="55" t="n">
        <v>0</v>
      </c>
      <c r="M932" s="55" t="n">
        <v>1</v>
      </c>
      <c r="N932" s="58" t="n">
        <v>35</v>
      </c>
      <c r="O932" s="53" t="inlineStr">
        <is>
          <t>S32</t>
        </is>
      </c>
      <c r="P932" s="55" t="n">
        <v>26</v>
      </c>
      <c r="Q932" s="59">
        <f>IF(BO932=1,0,IFERROR(VLOOKUP(BM932,'Gebinde-Kategorie'!$A$5:$G$45,6,0)+0,0))</f>
        <v/>
      </c>
      <c r="R932" s="60" t="n"/>
      <c r="S932" s="61" t="n"/>
      <c r="T932" s="61" t="n"/>
      <c r="U932" s="53">
        <f>IF(A932="","",IF(IFERROR(VLOOKUP(D932,Parameter!$A$35:$C$64,2,0),"Nein")="2+3",IF(ISNUMBER(SEARCH("grosser Artikel",BJ932)),2,IFERROR(VLOOKUP(BM932,Parameter!$F$35:$G$64,2,0),2)),IF(OR(IFERROR(VLOOKUP(D932,Parameter!$A$35:$C$64,2,0),"Nein")="Nein",IFERROR(VLOOKUP(D932,Parameter!$A$35:$C$64,2,0),"Nein")=""),"-",VLOOKUP(D932,Parameter!$A$35:$C$64,2,0))))</f>
        <v/>
      </c>
      <c r="V932" s="61" t="n"/>
      <c r="W932" s="62" t="n"/>
      <c r="X932" s="55">
        <f>AM932</f>
        <v/>
      </c>
      <c r="Y932" s="55">
        <f>MAX(AM932,G932)</f>
        <v/>
      </c>
      <c r="Z932" s="63" t="n"/>
      <c r="AA932" s="55">
        <f>IF(LEFT(Cockpit!$C$5,1)="A",G932,IF(BT932=1,BU932,IF(LEFT(Cockpit!$C$5,1)="B",AE932,MAX(AE932,G932))))</f>
        <v/>
      </c>
      <c r="AB932" s="55">
        <f>IF(BO932=1,0,ROUNDUP(AA932/BN932,0))</f>
        <v/>
      </c>
      <c r="AC932" s="64">
        <f>IF(BO932=1,IF(AA932&lt;=0,0,BP932*MAX(1,IF(G932&gt;0,AA932/G932,1))),AB932*Q932)</f>
        <v/>
      </c>
      <c r="AD932" s="55">
        <f>AA932*F932</f>
        <v/>
      </c>
      <c r="AE932" s="55">
        <f>ROUNDUP(MAX(I932/IF(BS932&gt;0,BS932,MAX(0.1,N(Cockpit!$C$6))),BV932)/BN932,0)*BN932</f>
        <v/>
      </c>
      <c r="AF932" s="56">
        <f>IF(AC932&gt;0,I932/AC932,-1)</f>
        <v/>
      </c>
      <c r="AG932" s="56">
        <f>IF(AND(OR(BR932="L1",BR932="L23"),AC932&gt;0),SUMIFS($AC$7:$AC$1570,$BR$7:$BR$1570,BR932,$AF$7:$AF$1570,"&gt;"&amp;AF932)+SUMIFS($AC$7:$AC$1570,$BR$7:$BR$1570,BR932,$AF$7:$AF$1570,AF932,$BL$7:$BL$1570,"&lt;="&amp;BL932),"")</f>
        <v/>
      </c>
      <c r="AH932" s="65">
        <f>IF(AG932="",0,MAX(0,MIN(1,(IF(BR932="L1",Parameter!$K$5,Parameter!$K$6+Parameter!$K$7)-(AG932-AC932))/AC932)))</f>
        <v/>
      </c>
      <c r="AI932" s="55">
        <f>IF(LEFT(Cockpit!$I$5,1)="A",G932,IF(BT932=1,BU932,IF(LEFT(Cockpit!$I$5,1)="B",AM932,MAX(AM932,G932))))</f>
        <v/>
      </c>
      <c r="AJ932" s="55">
        <f>IF(BO932=1,0,ROUNDUP(AI932/BN932,0))</f>
        <v/>
      </c>
      <c r="AK932" s="64">
        <f>IF(BO932=1,IF(AI932&lt;=0,0,BP932*MAX(1,IF(G932&gt;0,AI932/G932,1))),AJ932*Q932)</f>
        <v/>
      </c>
      <c r="AL932" s="55">
        <f>AI932*F932</f>
        <v/>
      </c>
      <c r="AM932" s="55">
        <f>ROUNDUP(MAX(I932/IF(BS932&gt;0,BS932,MAX(0.1,N(Cockpit!$I$6))),BV932)/BN932,0)*BN932</f>
        <v/>
      </c>
      <c r="AN932" s="56">
        <f>IF(AK932&gt;0,I932/AK932,-1)</f>
        <v/>
      </c>
      <c r="AO932" s="56">
        <f>IF(AND(OR(BR932="L1",BR932="L23"),AK932&gt;0),SUMIFS($AK$7:$AK$1570,$BR$7:$BR$1570,BR932,$AN$7:$AN$1570,"&gt;"&amp;AN932)+SUMIFS($AK$7:$AK$1570,$BR$7:$BR$1570,BR932,$AN$7:$AN$1570,AN932,$BL$7:$BL$1570,"&lt;="&amp;BL932),"")</f>
        <v/>
      </c>
      <c r="AP932" s="65">
        <f>IF(AO932="",0,MAX(0,MIN(1,(IF(BR932="L1",Parameter!$K$5,Parameter!$K$6+Parameter!$K$7)-(AO932-AK932))/AK932)))</f>
        <v/>
      </c>
      <c r="AQ932" s="55">
        <f>IF(LEFT(Cockpit!$O$5,1)="A",G932,IF(BT932=1,BU932,IF(LEFT(Cockpit!$O$5,1)="B",AU932,MAX(AU932,G932))))</f>
        <v/>
      </c>
      <c r="AR932" s="55">
        <f>IF(BO932=1,0,ROUNDUP(AQ932/BN932,0))</f>
        <v/>
      </c>
      <c r="AS932" s="64">
        <f>IF(BO932=1,IF(AQ932&lt;=0,0,BP932*MAX(1,IF(G932&gt;0,AQ932/G932,1))),AR932*Q932)</f>
        <v/>
      </c>
      <c r="AT932" s="55">
        <f>AQ932*F932</f>
        <v/>
      </c>
      <c r="AU932" s="55">
        <f>ROUNDUP(MAX(I932/IF(BS932&gt;0,BS932,MAX(0.1,N(Cockpit!$O$6))),BV932)/BN932,0)*BN932</f>
        <v/>
      </c>
      <c r="AV932" s="56">
        <f>IF(AS932&gt;0,I932/AS932,-1)</f>
        <v/>
      </c>
      <c r="AW932" s="56">
        <f>IF(AND(OR(BR932="L1",BR932="L23"),AS932&gt;0),SUMIFS($AS$7:$AS$1570,$BR$7:$BR$1570,BR932,$AV$7:$AV$1570,"&gt;"&amp;AV932)+SUMIFS($AS$7:$AS$1570,$BR$7:$BR$1570,BR932,$AV$7:$AV$1570,AV932,$BL$7:$BL$1570,"&lt;="&amp;BL932),"")</f>
        <v/>
      </c>
      <c r="AX932" s="65">
        <f>IF(AW932="",0,MAX(0,MIN(1,(IF(BR932="L1",Parameter!$K$5,Parameter!$K$6+Parameter!$K$7)-(AW932-AS932))/AS932)))</f>
        <v/>
      </c>
      <c r="AY932" s="53">
        <f>IF(AC932&lt;=0,"",IF(BR932="Aussen","Aussenlager",IF(BR932="-","Nicht im Lift",IF(AH932&gt;=1,"Lift",IF(AH932&lt;=0,"Aussenlager","teilweise")))))</f>
        <v/>
      </c>
      <c r="AZ932" s="53">
        <f>IF(AK932&lt;=0,"",IF(BR932="Aussen","Aussenlager",IF(BR932="-","Nicht im Lift",IF(AP932&gt;=1,"Lift",IF(AP932&lt;=0,"Aussenlager","teilweise")))))</f>
        <v/>
      </c>
      <c r="BA932" s="53">
        <f>IF(AS932&lt;=0,"",IF(BR932="Aussen","Aussenlager",IF(BR932="-","Nicht im Lift",IF(AX932&gt;=1,"Lift",IF(AX932&lt;=0,"Aussenlager","teilweise")))))</f>
        <v/>
      </c>
      <c r="BB932" s="53">
        <f>IF(A932="","",IF(BK932=1,"Neu; ","")&amp;IF(AND(BK932=0,BF932&lt;0),"negativer Bestand (Export "&amp;BF932&amp;"); ","")&amp;IF(I932&lt;=0,"Kein Verbrauch; ","")&amp;IF(BO932=1,"Lose – Fläche geschätzt; ","")&amp;IF(G932&gt;AM932,"Überbestand "&amp;ROUND(G932-AM932,0)&amp;" Stk / CHF "&amp;ROUND((G932-AM932)*F932,0)&amp;"; ","")&amp;IF(AND(BT932=1,BU932&lt;BV932),"MAX &lt; MB+LG; ","")&amp;IF(AND(BZ932&gt;0,BY932*10&gt;BZ932),"zu hoch für Tablar; ","")&amp;IF(AND(BK932=0,OR(BT932=1,V932&lt;&gt;"",S932&lt;&gt;"",T932&lt;&gt;"",W932&lt;&gt;"")),"manuell übersteuert; ","")&amp;IF(AND(BO932=0,Q932=0),"Gebinde unbekannt; ","")&amp;IF(AND(BO932=0,N(T932)&lt;=0,N(P932)&lt;=0),"Menge pro Gebinde fehlt (Ist = 1 Gebinde); ","")&amp;BJ932)</f>
        <v/>
      </c>
      <c r="BC932" s="53" t="n"/>
      <c r="BD932" s="53" t="n"/>
      <c r="BE932" s="61" t="n"/>
      <c r="BF932" s="55" t="n">
        <v>-2</v>
      </c>
      <c r="BG932" s="55" t="n">
        <v>23</v>
      </c>
      <c r="BH932" s="54" t="n">
        <v>-49.8</v>
      </c>
      <c r="BI932" s="55" t="n">
        <v>2</v>
      </c>
      <c r="BJ932" s="53" t="inlineStr">
        <is>
          <t>twin</t>
        </is>
      </c>
      <c r="BK932" s="58" t="n">
        <v>0</v>
      </c>
      <c r="BL932" s="58" t="n">
        <v>932</v>
      </c>
      <c r="BM932" s="53">
        <f>IF(S932&lt;&gt;"",UPPER(TRIM(S932)),IF(O932="","LOSE",O932))</f>
        <v/>
      </c>
      <c r="BN932" s="55">
        <f>IF(BM932="LOSE",1,IF(N(T932)&gt;0,T932,IF(N(P932)&gt;0,P932,MAX(1,G932))))</f>
        <v/>
      </c>
      <c r="BO932" s="58">
        <f>IF(BM932="LOSE",1,0)</f>
        <v/>
      </c>
      <c r="BP932" s="64">
        <f>IF(BO932=0,0,IF(N(R932)&gt;0,R932,IFERROR(VLOOKUP(D932,Parameter!$A$35:$C$64,3,0)+0,0)))</f>
        <v/>
      </c>
      <c r="BQ932" s="53">
        <f>IF(V932&lt;&gt;"",V932,U932)</f>
        <v/>
      </c>
      <c r="BR932" s="53">
        <f>IF(BQ932=1,"L1",IF(OR(BQ932=2,BQ932=3),"L23",IF(BQ932="Aussen","Aussen","-")))</f>
        <v/>
      </c>
      <c r="BS932" s="66">
        <f>IF(N(W932)&gt;0,W932,0)</f>
        <v/>
      </c>
      <c r="BT932" s="58">
        <f>IF(ISNUMBER(Z932),1,0)</f>
        <v/>
      </c>
      <c r="BU932" s="55">
        <f>N(Z932)</f>
        <v/>
      </c>
      <c r="BV932" s="55">
        <f>N(L932)+N(M932)</f>
        <v/>
      </c>
      <c r="BW932" s="55">
        <f>ROUNDUP(G932/BN932,0)</f>
        <v/>
      </c>
      <c r="BX932" s="55">
        <f>ROUNDUP(BU932/BN932,0)</f>
        <v/>
      </c>
      <c r="BY932" s="58">
        <f>IF(BO932=1,0,IFERROR(VLOOKUP(BM932,'Gebinde-Kategorie'!$A$5:$G$45,5,0)+0,0))</f>
        <v/>
      </c>
      <c r="BZ932" s="58">
        <f>IFERROR(IF(OR(BQ932=1,BQ932=2,BQ932=3),N(INDEX(Parameter!$I$5:$I$7,BQ932)),0),0)</f>
        <v/>
      </c>
    </row>
    <row r="933">
      <c r="A933" s="53" t="inlineStr">
        <is>
          <t>005450</t>
        </is>
      </c>
      <c r="B933" s="53" t="inlineStr">
        <is>
          <t>Mutter-Klemmringsatz</t>
        </is>
      </c>
      <c r="C933" s="53" t="inlineStr">
        <is>
          <t>F</t>
        </is>
      </c>
      <c r="D933" s="53" t="inlineStr">
        <is>
          <t>KTL</t>
        </is>
      </c>
      <c r="E933" s="53" t="inlineStr">
        <is>
          <t>C</t>
        </is>
      </c>
      <c r="F933" s="54" t="n">
        <v>10</v>
      </c>
      <c r="G933" s="55">
        <f>MAX(0,IF(Parameter!$B$20="Jahresanfang 2025 + Export",BG933+BF933,BF933))</f>
        <v/>
      </c>
      <c r="H933" s="55">
        <f>G933*F933</f>
        <v/>
      </c>
      <c r="I933" s="55">
        <f>BI933*Parameter!$B$18</f>
        <v/>
      </c>
      <c r="J933" s="56" t="n">
        <v>75.5</v>
      </c>
      <c r="K933" s="57" t="n">
        <v>0</v>
      </c>
      <c r="L933" s="55" t="n">
        <v>0</v>
      </c>
      <c r="M933" s="55" t="n">
        <v>1</v>
      </c>
      <c r="N933" s="58" t="n">
        <v>21</v>
      </c>
      <c r="O933" s="53" t="inlineStr">
        <is>
          <t>S22</t>
        </is>
      </c>
      <c r="P933" s="55" t="n">
        <v>67</v>
      </c>
      <c r="Q933" s="59">
        <f>IF(BO933=1,0,IFERROR(VLOOKUP(BM933,'Gebinde-Kategorie'!$A$5:$G$45,6,0)+0,0))</f>
        <v/>
      </c>
      <c r="R933" s="60" t="n"/>
      <c r="S933" s="61" t="n"/>
      <c r="T933" s="61" t="n"/>
      <c r="U933" s="53">
        <f>IF(A933="","",IF(IFERROR(VLOOKUP(D933,Parameter!$A$35:$C$64,2,0),"Nein")="2+3",IF(ISNUMBER(SEARCH("grosser Artikel",BJ933)),2,IFERROR(VLOOKUP(BM933,Parameter!$F$35:$G$64,2,0),2)),IF(OR(IFERROR(VLOOKUP(D933,Parameter!$A$35:$C$64,2,0),"Nein")="Nein",IFERROR(VLOOKUP(D933,Parameter!$A$35:$C$64,2,0),"Nein")=""),"-",VLOOKUP(D933,Parameter!$A$35:$C$64,2,0))))</f>
        <v/>
      </c>
      <c r="V933" s="61" t="n"/>
      <c r="W933" s="62" t="n"/>
      <c r="X933" s="55">
        <f>AM933</f>
        <v/>
      </c>
      <c r="Y933" s="55">
        <f>MAX(AM933,G933)</f>
        <v/>
      </c>
      <c r="Z933" s="63" t="n"/>
      <c r="AA933" s="55">
        <f>IF(LEFT(Cockpit!$C$5,1)="A",G933,IF(BT933=1,BU933,IF(LEFT(Cockpit!$C$5,1)="B",AE933,MAX(AE933,G933))))</f>
        <v/>
      </c>
      <c r="AB933" s="55">
        <f>IF(BO933=1,0,ROUNDUP(AA933/BN933,0))</f>
        <v/>
      </c>
      <c r="AC933" s="64">
        <f>IF(BO933=1,IF(AA933&lt;=0,0,BP933*MAX(1,IF(G933&gt;0,AA933/G933,1))),AB933*Q933)</f>
        <v/>
      </c>
      <c r="AD933" s="55">
        <f>AA933*F933</f>
        <v/>
      </c>
      <c r="AE933" s="55">
        <f>ROUNDUP(MAX(I933/IF(BS933&gt;0,BS933,MAX(0.1,N(Cockpit!$C$6))),BV933)/BN933,0)*BN933</f>
        <v/>
      </c>
      <c r="AF933" s="56">
        <f>IF(AC933&gt;0,I933/AC933,-1)</f>
        <v/>
      </c>
      <c r="AG933" s="56">
        <f>IF(AND(OR(BR933="L1",BR933="L23"),AC933&gt;0),SUMIFS($AC$7:$AC$1570,$BR$7:$BR$1570,BR933,$AF$7:$AF$1570,"&gt;"&amp;AF933)+SUMIFS($AC$7:$AC$1570,$BR$7:$BR$1570,BR933,$AF$7:$AF$1570,AF933,$BL$7:$BL$1570,"&lt;="&amp;BL933),"")</f>
        <v/>
      </c>
      <c r="AH933" s="65">
        <f>IF(AG933="",0,MAX(0,MIN(1,(IF(BR933="L1",Parameter!$K$5,Parameter!$K$6+Parameter!$K$7)-(AG933-AC933))/AC933)))</f>
        <v/>
      </c>
      <c r="AI933" s="55">
        <f>IF(LEFT(Cockpit!$I$5,1)="A",G933,IF(BT933=1,BU933,IF(LEFT(Cockpit!$I$5,1)="B",AM933,MAX(AM933,G933))))</f>
        <v/>
      </c>
      <c r="AJ933" s="55">
        <f>IF(BO933=1,0,ROUNDUP(AI933/BN933,0))</f>
        <v/>
      </c>
      <c r="AK933" s="64">
        <f>IF(BO933=1,IF(AI933&lt;=0,0,BP933*MAX(1,IF(G933&gt;0,AI933/G933,1))),AJ933*Q933)</f>
        <v/>
      </c>
      <c r="AL933" s="55">
        <f>AI933*F933</f>
        <v/>
      </c>
      <c r="AM933" s="55">
        <f>ROUNDUP(MAX(I933/IF(BS933&gt;0,BS933,MAX(0.1,N(Cockpit!$I$6))),BV933)/BN933,0)*BN933</f>
        <v/>
      </c>
      <c r="AN933" s="56">
        <f>IF(AK933&gt;0,I933/AK933,-1)</f>
        <v/>
      </c>
      <c r="AO933" s="56">
        <f>IF(AND(OR(BR933="L1",BR933="L23"),AK933&gt;0),SUMIFS($AK$7:$AK$1570,$BR$7:$BR$1570,BR933,$AN$7:$AN$1570,"&gt;"&amp;AN933)+SUMIFS($AK$7:$AK$1570,$BR$7:$BR$1570,BR933,$AN$7:$AN$1570,AN933,$BL$7:$BL$1570,"&lt;="&amp;BL933),"")</f>
        <v/>
      </c>
      <c r="AP933" s="65">
        <f>IF(AO933="",0,MAX(0,MIN(1,(IF(BR933="L1",Parameter!$K$5,Parameter!$K$6+Parameter!$K$7)-(AO933-AK933))/AK933)))</f>
        <v/>
      </c>
      <c r="AQ933" s="55">
        <f>IF(LEFT(Cockpit!$O$5,1)="A",G933,IF(BT933=1,BU933,IF(LEFT(Cockpit!$O$5,1)="B",AU933,MAX(AU933,G933))))</f>
        <v/>
      </c>
      <c r="AR933" s="55">
        <f>IF(BO933=1,0,ROUNDUP(AQ933/BN933,0))</f>
        <v/>
      </c>
      <c r="AS933" s="64">
        <f>IF(BO933=1,IF(AQ933&lt;=0,0,BP933*MAX(1,IF(G933&gt;0,AQ933/G933,1))),AR933*Q933)</f>
        <v/>
      </c>
      <c r="AT933" s="55">
        <f>AQ933*F933</f>
        <v/>
      </c>
      <c r="AU933" s="55">
        <f>ROUNDUP(MAX(I933/IF(BS933&gt;0,BS933,MAX(0.1,N(Cockpit!$O$6))),BV933)/BN933,0)*BN933</f>
        <v/>
      </c>
      <c r="AV933" s="56">
        <f>IF(AS933&gt;0,I933/AS933,-1)</f>
        <v/>
      </c>
      <c r="AW933" s="56">
        <f>IF(AND(OR(BR933="L1",BR933="L23"),AS933&gt;0),SUMIFS($AS$7:$AS$1570,$BR$7:$BR$1570,BR933,$AV$7:$AV$1570,"&gt;"&amp;AV933)+SUMIFS($AS$7:$AS$1570,$BR$7:$BR$1570,BR933,$AV$7:$AV$1570,AV933,$BL$7:$BL$1570,"&lt;="&amp;BL933),"")</f>
        <v/>
      </c>
      <c r="AX933" s="65">
        <f>IF(AW933="",0,MAX(0,MIN(1,(IF(BR933="L1",Parameter!$K$5,Parameter!$K$6+Parameter!$K$7)-(AW933-AS933))/AS933)))</f>
        <v/>
      </c>
      <c r="AY933" s="53">
        <f>IF(AC933&lt;=0,"",IF(BR933="Aussen","Aussenlager",IF(BR933="-","Nicht im Lift",IF(AH933&gt;=1,"Lift",IF(AH933&lt;=0,"Aussenlager","teilweise")))))</f>
        <v/>
      </c>
      <c r="AZ933" s="53">
        <f>IF(AK933&lt;=0,"",IF(BR933="Aussen","Aussenlager",IF(BR933="-","Nicht im Lift",IF(AP933&gt;=1,"Lift",IF(AP933&lt;=0,"Aussenlager","teilweise")))))</f>
        <v/>
      </c>
      <c r="BA933" s="53">
        <f>IF(AS933&lt;=0,"",IF(BR933="Aussen","Aussenlager",IF(BR933="-","Nicht im Lift",IF(AX933&gt;=1,"Lift",IF(AX933&lt;=0,"Aussenlager","teilweise")))))</f>
        <v/>
      </c>
      <c r="BB933" s="53">
        <f>IF(A933="","",IF(BK933=1,"Neu; ","")&amp;IF(AND(BK933=0,BF933&lt;0),"negativer Bestand (Export "&amp;BF933&amp;"); ","")&amp;IF(I933&lt;=0,"Kein Verbrauch; ","")&amp;IF(BO933=1,"Lose – Fläche geschätzt; ","")&amp;IF(G933&gt;AM933,"Überbestand "&amp;ROUND(G933-AM933,0)&amp;" Stk / CHF "&amp;ROUND((G933-AM933)*F933,0)&amp;"; ","")&amp;IF(AND(BT933=1,BU933&lt;BV933),"MAX &lt; MB+LG; ","")&amp;IF(AND(BZ933&gt;0,BY933*10&gt;BZ933),"zu hoch für Tablar; ","")&amp;IF(AND(BK933=0,OR(BT933=1,V933&lt;&gt;"",S933&lt;&gt;"",T933&lt;&gt;"",W933&lt;&gt;"")),"manuell übersteuert; ","")&amp;IF(AND(BO933=0,Q933=0),"Gebinde unbekannt; ","")&amp;IF(AND(BO933=0,N(T933)&lt;=0,N(P933)&lt;=0),"Menge pro Gebinde fehlt (Ist = 1 Gebinde); ","")&amp;BJ933)</f>
        <v/>
      </c>
      <c r="BC933" s="53" t="n"/>
      <c r="BD933" s="53" t="n"/>
      <c r="BE933" s="61" t="n"/>
      <c r="BF933" s="55" t="n">
        <v>-5</v>
      </c>
      <c r="BG933" s="55" t="n">
        <v>78</v>
      </c>
      <c r="BH933" s="54" t="n">
        <v>-50</v>
      </c>
      <c r="BI933" s="55" t="n">
        <v>0</v>
      </c>
      <c r="BJ933" s="53" t="inlineStr"/>
      <c r="BK933" s="58" t="n">
        <v>0</v>
      </c>
      <c r="BL933" s="58" t="n">
        <v>933</v>
      </c>
      <c r="BM933" s="53">
        <f>IF(S933&lt;&gt;"",UPPER(TRIM(S933)),IF(O933="","LOSE",O933))</f>
        <v/>
      </c>
      <c r="BN933" s="55">
        <f>IF(BM933="LOSE",1,IF(N(T933)&gt;0,T933,IF(N(P933)&gt;0,P933,MAX(1,G933))))</f>
        <v/>
      </c>
      <c r="BO933" s="58">
        <f>IF(BM933="LOSE",1,0)</f>
        <v/>
      </c>
      <c r="BP933" s="64">
        <f>IF(BO933=0,0,IF(N(R933)&gt;0,R933,IFERROR(VLOOKUP(D933,Parameter!$A$35:$C$64,3,0)+0,0)))</f>
        <v/>
      </c>
      <c r="BQ933" s="53">
        <f>IF(V933&lt;&gt;"",V933,U933)</f>
        <v/>
      </c>
      <c r="BR933" s="53">
        <f>IF(BQ933=1,"L1",IF(OR(BQ933=2,BQ933=3),"L23",IF(BQ933="Aussen","Aussen","-")))</f>
        <v/>
      </c>
      <c r="BS933" s="66">
        <f>IF(N(W933)&gt;0,W933,0)</f>
        <v/>
      </c>
      <c r="BT933" s="58">
        <f>IF(ISNUMBER(Z933),1,0)</f>
        <v/>
      </c>
      <c r="BU933" s="55">
        <f>N(Z933)</f>
        <v/>
      </c>
      <c r="BV933" s="55">
        <f>N(L933)+N(M933)</f>
        <v/>
      </c>
      <c r="BW933" s="55">
        <f>ROUNDUP(G933/BN933,0)</f>
        <v/>
      </c>
      <c r="BX933" s="55">
        <f>ROUNDUP(BU933/BN933,0)</f>
        <v/>
      </c>
      <c r="BY933" s="58">
        <f>IF(BO933=1,0,IFERROR(VLOOKUP(BM933,'Gebinde-Kategorie'!$A$5:$G$45,5,0)+0,0))</f>
        <v/>
      </c>
      <c r="BZ933" s="58">
        <f>IFERROR(IF(OR(BQ933=1,BQ933=2,BQ933=3),N(INDEX(Parameter!$I$5:$I$7,BQ933)),0),0)</f>
        <v/>
      </c>
    </row>
    <row r="934">
      <c r="A934" s="53" t="inlineStr">
        <is>
          <t>107536</t>
        </is>
      </c>
      <c r="B934" s="53" t="inlineStr">
        <is>
          <t>Blinddeckel</t>
        </is>
      </c>
      <c r="C934" s="53" t="inlineStr">
        <is>
          <t>F</t>
        </is>
      </c>
      <c r="D934" s="53" t="inlineStr">
        <is>
          <t>KTL</t>
        </is>
      </c>
      <c r="E934" s="53" t="inlineStr">
        <is>
          <t>C</t>
        </is>
      </c>
      <c r="F934" s="54" t="n">
        <v>14.65</v>
      </c>
      <c r="G934" s="55">
        <f>MAX(0,IF(Parameter!$B$20="Jahresanfang 2025 + Export",BG934+BF934,BF934))</f>
        <v/>
      </c>
      <c r="H934" s="55">
        <f>G934*F934</f>
        <v/>
      </c>
      <c r="I934" s="55">
        <f>BI934*Parameter!$B$18</f>
        <v/>
      </c>
      <c r="J934" s="56" t="n">
        <v>25.5</v>
      </c>
      <c r="K934" s="57" t="n">
        <v>1.137254901960784</v>
      </c>
      <c r="L934" s="55" t="n">
        <v>2</v>
      </c>
      <c r="M934" s="55" t="n">
        <v>30</v>
      </c>
      <c r="N934" s="58" t="n">
        <v>28</v>
      </c>
      <c r="O934" s="53" t="inlineStr">
        <is>
          <t>S52</t>
        </is>
      </c>
      <c r="P934" s="55" t="n">
        <v>46</v>
      </c>
      <c r="Q934" s="59">
        <f>IF(BO934=1,0,IFERROR(VLOOKUP(BM934,'Gebinde-Kategorie'!$A$5:$G$45,6,0)+0,0))</f>
        <v/>
      </c>
      <c r="R934" s="60" t="n"/>
      <c r="S934" s="61" t="n"/>
      <c r="T934" s="61" t="n"/>
      <c r="U934" s="53">
        <f>IF(A934="","",IF(IFERROR(VLOOKUP(D934,Parameter!$A$35:$C$64,2,0),"Nein")="2+3",IF(ISNUMBER(SEARCH("grosser Artikel",BJ934)),2,IFERROR(VLOOKUP(BM934,Parameter!$F$35:$G$64,2,0),2)),IF(OR(IFERROR(VLOOKUP(D934,Parameter!$A$35:$C$64,2,0),"Nein")="Nein",IFERROR(VLOOKUP(D934,Parameter!$A$35:$C$64,2,0),"Nein")=""),"-",VLOOKUP(D934,Parameter!$A$35:$C$64,2,0))))</f>
        <v/>
      </c>
      <c r="V934" s="61" t="n"/>
      <c r="W934" s="62" t="n"/>
      <c r="X934" s="55">
        <f>AM934</f>
        <v/>
      </c>
      <c r="Y934" s="55">
        <f>MAX(AM934,G934)</f>
        <v/>
      </c>
      <c r="Z934" s="63" t="n"/>
      <c r="AA934" s="55">
        <f>IF(LEFT(Cockpit!$C$5,1)="A",G934,IF(BT934=1,BU934,IF(LEFT(Cockpit!$C$5,1)="B",AE934,MAX(AE934,G934))))</f>
        <v/>
      </c>
      <c r="AB934" s="55">
        <f>IF(BO934=1,0,ROUNDUP(AA934/BN934,0))</f>
        <v/>
      </c>
      <c r="AC934" s="64">
        <f>IF(BO934=1,IF(AA934&lt;=0,0,BP934*MAX(1,IF(G934&gt;0,AA934/G934,1))),AB934*Q934)</f>
        <v/>
      </c>
      <c r="AD934" s="55">
        <f>AA934*F934</f>
        <v/>
      </c>
      <c r="AE934" s="55">
        <f>ROUNDUP(MAX(I934/IF(BS934&gt;0,BS934,MAX(0.1,N(Cockpit!$C$6))),BV934)/BN934,0)*BN934</f>
        <v/>
      </c>
      <c r="AF934" s="56">
        <f>IF(AC934&gt;0,I934/AC934,-1)</f>
        <v/>
      </c>
      <c r="AG934" s="56">
        <f>IF(AND(OR(BR934="L1",BR934="L23"),AC934&gt;0),SUMIFS($AC$7:$AC$1570,$BR$7:$BR$1570,BR934,$AF$7:$AF$1570,"&gt;"&amp;AF934)+SUMIFS($AC$7:$AC$1570,$BR$7:$BR$1570,BR934,$AF$7:$AF$1570,AF934,$BL$7:$BL$1570,"&lt;="&amp;BL934),"")</f>
        <v/>
      </c>
      <c r="AH934" s="65">
        <f>IF(AG934="",0,MAX(0,MIN(1,(IF(BR934="L1",Parameter!$K$5,Parameter!$K$6+Parameter!$K$7)-(AG934-AC934))/AC934)))</f>
        <v/>
      </c>
      <c r="AI934" s="55">
        <f>IF(LEFT(Cockpit!$I$5,1)="A",G934,IF(BT934=1,BU934,IF(LEFT(Cockpit!$I$5,1)="B",AM934,MAX(AM934,G934))))</f>
        <v/>
      </c>
      <c r="AJ934" s="55">
        <f>IF(BO934=1,0,ROUNDUP(AI934/BN934,0))</f>
        <v/>
      </c>
      <c r="AK934" s="64">
        <f>IF(BO934=1,IF(AI934&lt;=0,0,BP934*MAX(1,IF(G934&gt;0,AI934/G934,1))),AJ934*Q934)</f>
        <v/>
      </c>
      <c r="AL934" s="55">
        <f>AI934*F934</f>
        <v/>
      </c>
      <c r="AM934" s="55">
        <f>ROUNDUP(MAX(I934/IF(BS934&gt;0,BS934,MAX(0.1,N(Cockpit!$I$6))),BV934)/BN934,0)*BN934</f>
        <v/>
      </c>
      <c r="AN934" s="56">
        <f>IF(AK934&gt;0,I934/AK934,-1)</f>
        <v/>
      </c>
      <c r="AO934" s="56">
        <f>IF(AND(OR(BR934="L1",BR934="L23"),AK934&gt;0),SUMIFS($AK$7:$AK$1570,$BR$7:$BR$1570,BR934,$AN$7:$AN$1570,"&gt;"&amp;AN934)+SUMIFS($AK$7:$AK$1570,$BR$7:$BR$1570,BR934,$AN$7:$AN$1570,AN934,$BL$7:$BL$1570,"&lt;="&amp;BL934),"")</f>
        <v/>
      </c>
      <c r="AP934" s="65">
        <f>IF(AO934="",0,MAX(0,MIN(1,(IF(BR934="L1",Parameter!$K$5,Parameter!$K$6+Parameter!$K$7)-(AO934-AK934))/AK934)))</f>
        <v/>
      </c>
      <c r="AQ934" s="55">
        <f>IF(LEFT(Cockpit!$O$5,1)="A",G934,IF(BT934=1,BU934,IF(LEFT(Cockpit!$O$5,1)="B",AU934,MAX(AU934,G934))))</f>
        <v/>
      </c>
      <c r="AR934" s="55">
        <f>IF(BO934=1,0,ROUNDUP(AQ934/BN934,0))</f>
        <v/>
      </c>
      <c r="AS934" s="64">
        <f>IF(BO934=1,IF(AQ934&lt;=0,0,BP934*MAX(1,IF(G934&gt;0,AQ934/G934,1))),AR934*Q934)</f>
        <v/>
      </c>
      <c r="AT934" s="55">
        <f>AQ934*F934</f>
        <v/>
      </c>
      <c r="AU934" s="55">
        <f>ROUNDUP(MAX(I934/IF(BS934&gt;0,BS934,MAX(0.1,N(Cockpit!$O$6))),BV934)/BN934,0)*BN934</f>
        <v/>
      </c>
      <c r="AV934" s="56">
        <f>IF(AS934&gt;0,I934/AS934,-1)</f>
        <v/>
      </c>
      <c r="AW934" s="56">
        <f>IF(AND(OR(BR934="L1",BR934="L23"),AS934&gt;0),SUMIFS($AS$7:$AS$1570,$BR$7:$BR$1570,BR934,$AV$7:$AV$1570,"&gt;"&amp;AV934)+SUMIFS($AS$7:$AS$1570,$BR$7:$BR$1570,BR934,$AV$7:$AV$1570,AV934,$BL$7:$BL$1570,"&lt;="&amp;BL934),"")</f>
        <v/>
      </c>
      <c r="AX934" s="65">
        <f>IF(AW934="",0,MAX(0,MIN(1,(IF(BR934="L1",Parameter!$K$5,Parameter!$K$6+Parameter!$K$7)-(AW934-AS934))/AS934)))</f>
        <v/>
      </c>
      <c r="AY934" s="53">
        <f>IF(AC934&lt;=0,"",IF(BR934="Aussen","Aussenlager",IF(BR934="-","Nicht im Lift",IF(AH934&gt;=1,"Lift",IF(AH934&lt;=0,"Aussenlager","teilweise")))))</f>
        <v/>
      </c>
      <c r="AZ934" s="53">
        <f>IF(AK934&lt;=0,"",IF(BR934="Aussen","Aussenlager",IF(BR934="-","Nicht im Lift",IF(AP934&gt;=1,"Lift",IF(AP934&lt;=0,"Aussenlager","teilweise")))))</f>
        <v/>
      </c>
      <c r="BA934" s="53">
        <f>IF(AS934&lt;=0,"",IF(BR934="Aussen","Aussenlager",IF(BR934="-","Nicht im Lift",IF(AX934&gt;=1,"Lift",IF(AX934&lt;=0,"Aussenlager","teilweise")))))</f>
        <v/>
      </c>
      <c r="BB934" s="53">
        <f>IF(A934="","",IF(BK934=1,"Neu; ","")&amp;IF(AND(BK934=0,BF934&lt;0),"negativer Bestand (Export "&amp;BF934&amp;"); ","")&amp;IF(I934&lt;=0,"Kein Verbrauch; ","")&amp;IF(BO934=1,"Lose – Fläche geschätzt; ","")&amp;IF(G934&gt;AM934,"Überbestand "&amp;ROUND(G934-AM934,0)&amp;" Stk / CHF "&amp;ROUND((G934-AM934)*F934,0)&amp;"; ","")&amp;IF(AND(BT934=1,BU934&lt;BV934),"MAX &lt; MB+LG; ","")&amp;IF(AND(BZ934&gt;0,BY934*10&gt;BZ934),"zu hoch für Tablar; ","")&amp;IF(AND(BK934=0,OR(BT934=1,V934&lt;&gt;"",S934&lt;&gt;"",T934&lt;&gt;"",W934&lt;&gt;"")),"manuell übersteuert; ","")&amp;IF(AND(BO934=0,Q934=0),"Gebinde unbekannt; ","")&amp;IF(AND(BO934=0,N(T934)&lt;=0,N(P934)&lt;=0),"Menge pro Gebinde fehlt (Ist = 1 Gebinde); ","")&amp;BJ934)</f>
        <v/>
      </c>
      <c r="BC934" s="53" t="n"/>
      <c r="BD934" s="53" t="n"/>
      <c r="BE934" s="61" t="n"/>
      <c r="BF934" s="55" t="n">
        <v>2</v>
      </c>
      <c r="BG934" s="55" t="n">
        <v>20</v>
      </c>
      <c r="BH934" s="54" t="n">
        <v>-50.70000000000024</v>
      </c>
      <c r="BI934" s="55" t="n">
        <v>29</v>
      </c>
      <c r="BJ934" s="53" t="inlineStr"/>
      <c r="BK934" s="58" t="n">
        <v>0</v>
      </c>
      <c r="BL934" s="58" t="n">
        <v>934</v>
      </c>
      <c r="BM934" s="53">
        <f>IF(S934&lt;&gt;"",UPPER(TRIM(S934)),IF(O934="","LOSE",O934))</f>
        <v/>
      </c>
      <c r="BN934" s="55">
        <f>IF(BM934="LOSE",1,IF(N(T934)&gt;0,T934,IF(N(P934)&gt;0,P934,MAX(1,G934))))</f>
        <v/>
      </c>
      <c r="BO934" s="58">
        <f>IF(BM934="LOSE",1,0)</f>
        <v/>
      </c>
      <c r="BP934" s="64">
        <f>IF(BO934=0,0,IF(N(R934)&gt;0,R934,IFERROR(VLOOKUP(D934,Parameter!$A$35:$C$64,3,0)+0,0)))</f>
        <v/>
      </c>
      <c r="BQ934" s="53">
        <f>IF(V934&lt;&gt;"",V934,U934)</f>
        <v/>
      </c>
      <c r="BR934" s="53">
        <f>IF(BQ934=1,"L1",IF(OR(BQ934=2,BQ934=3),"L23",IF(BQ934="Aussen","Aussen","-")))</f>
        <v/>
      </c>
      <c r="BS934" s="66">
        <f>IF(N(W934)&gt;0,W934,0)</f>
        <v/>
      </c>
      <c r="BT934" s="58">
        <f>IF(ISNUMBER(Z934),1,0)</f>
        <v/>
      </c>
      <c r="BU934" s="55">
        <f>N(Z934)</f>
        <v/>
      </c>
      <c r="BV934" s="55">
        <f>N(L934)+N(M934)</f>
        <v/>
      </c>
      <c r="BW934" s="55">
        <f>ROUNDUP(G934/BN934,0)</f>
        <v/>
      </c>
      <c r="BX934" s="55">
        <f>ROUNDUP(BU934/BN934,0)</f>
        <v/>
      </c>
      <c r="BY934" s="58">
        <f>IF(BO934=1,0,IFERROR(VLOOKUP(BM934,'Gebinde-Kategorie'!$A$5:$G$45,5,0)+0,0))</f>
        <v/>
      </c>
      <c r="BZ934" s="58">
        <f>IFERROR(IF(OR(BQ934=1,BQ934=2,BQ934=3),N(INDEX(Parameter!$I$5:$I$7,BQ934)),0),0)</f>
        <v/>
      </c>
    </row>
    <row r="935">
      <c r="A935" s="53" t="inlineStr">
        <is>
          <t>106974</t>
        </is>
      </c>
      <c r="B935" s="53" t="inlineStr">
        <is>
          <t>Datensteckverbinder</t>
        </is>
      </c>
      <c r="C935" s="53" t="inlineStr">
        <is>
          <t>F</t>
        </is>
      </c>
      <c r="D935" s="53" t="inlineStr">
        <is>
          <t>KTL</t>
        </is>
      </c>
      <c r="E935" s="53" t="inlineStr">
        <is>
          <t>C</t>
        </is>
      </c>
      <c r="F935" s="54" t="n">
        <v>16.96</v>
      </c>
      <c r="G935" s="55">
        <f>MAX(0,IF(Parameter!$B$20="Jahresanfang 2025 + Export",BG935+BF935,BF935))</f>
        <v/>
      </c>
      <c r="H935" s="55">
        <f>G935*F935</f>
        <v/>
      </c>
      <c r="I935" s="55">
        <f>BI935*Parameter!$B$18</f>
        <v/>
      </c>
      <c r="J935" s="56" t="n">
        <v>5.5</v>
      </c>
      <c r="K935" s="57" t="n">
        <v>0.5454545454545454</v>
      </c>
      <c r="L935" s="55" t="n">
        <v>0</v>
      </c>
      <c r="M935" s="55" t="n">
        <v>5</v>
      </c>
      <c r="N935" s="58" t="n">
        <v>42</v>
      </c>
      <c r="O935" s="53" t="inlineStr">
        <is>
          <t>S21</t>
        </is>
      </c>
      <c r="P935" s="55" t="n">
        <v>5</v>
      </c>
      <c r="Q935" s="59">
        <f>IF(BO935=1,0,IFERROR(VLOOKUP(BM935,'Gebinde-Kategorie'!$A$5:$G$45,6,0)+0,0))</f>
        <v/>
      </c>
      <c r="R935" s="60" t="n"/>
      <c r="S935" s="61" t="n"/>
      <c r="T935" s="61" t="n"/>
      <c r="U935" s="53">
        <f>IF(A935="","",IF(IFERROR(VLOOKUP(D935,Parameter!$A$35:$C$64,2,0),"Nein")="2+3",IF(ISNUMBER(SEARCH("grosser Artikel",BJ935)),2,IFERROR(VLOOKUP(BM935,Parameter!$F$35:$G$64,2,0),2)),IF(OR(IFERROR(VLOOKUP(D935,Parameter!$A$35:$C$64,2,0),"Nein")="Nein",IFERROR(VLOOKUP(D935,Parameter!$A$35:$C$64,2,0),"Nein")=""),"-",VLOOKUP(D935,Parameter!$A$35:$C$64,2,0))))</f>
        <v/>
      </c>
      <c r="V935" s="61" t="n"/>
      <c r="W935" s="62" t="n"/>
      <c r="X935" s="55">
        <f>AM935</f>
        <v/>
      </c>
      <c r="Y935" s="55">
        <f>MAX(AM935,G935)</f>
        <v/>
      </c>
      <c r="Z935" s="63" t="n"/>
      <c r="AA935" s="55">
        <f>IF(LEFT(Cockpit!$C$5,1)="A",G935,IF(BT935=1,BU935,IF(LEFT(Cockpit!$C$5,1)="B",AE935,MAX(AE935,G935))))</f>
        <v/>
      </c>
      <c r="AB935" s="55">
        <f>IF(BO935=1,0,ROUNDUP(AA935/BN935,0))</f>
        <v/>
      </c>
      <c r="AC935" s="64">
        <f>IF(BO935=1,IF(AA935&lt;=0,0,BP935*MAX(1,IF(G935&gt;0,AA935/G935,1))),AB935*Q935)</f>
        <v/>
      </c>
      <c r="AD935" s="55">
        <f>AA935*F935</f>
        <v/>
      </c>
      <c r="AE935" s="55">
        <f>ROUNDUP(MAX(I935/IF(BS935&gt;0,BS935,MAX(0.1,N(Cockpit!$C$6))),BV935)/BN935,0)*BN935</f>
        <v/>
      </c>
      <c r="AF935" s="56">
        <f>IF(AC935&gt;0,I935/AC935,-1)</f>
        <v/>
      </c>
      <c r="AG935" s="56">
        <f>IF(AND(OR(BR935="L1",BR935="L23"),AC935&gt;0),SUMIFS($AC$7:$AC$1570,$BR$7:$BR$1570,BR935,$AF$7:$AF$1570,"&gt;"&amp;AF935)+SUMIFS($AC$7:$AC$1570,$BR$7:$BR$1570,BR935,$AF$7:$AF$1570,AF935,$BL$7:$BL$1570,"&lt;="&amp;BL935),"")</f>
        <v/>
      </c>
      <c r="AH935" s="65">
        <f>IF(AG935="",0,MAX(0,MIN(1,(IF(BR935="L1",Parameter!$K$5,Parameter!$K$6+Parameter!$K$7)-(AG935-AC935))/AC935)))</f>
        <v/>
      </c>
      <c r="AI935" s="55">
        <f>IF(LEFT(Cockpit!$I$5,1)="A",G935,IF(BT935=1,BU935,IF(LEFT(Cockpit!$I$5,1)="B",AM935,MAX(AM935,G935))))</f>
        <v/>
      </c>
      <c r="AJ935" s="55">
        <f>IF(BO935=1,0,ROUNDUP(AI935/BN935,0))</f>
        <v/>
      </c>
      <c r="AK935" s="64">
        <f>IF(BO935=1,IF(AI935&lt;=0,0,BP935*MAX(1,IF(G935&gt;0,AI935/G935,1))),AJ935*Q935)</f>
        <v/>
      </c>
      <c r="AL935" s="55">
        <f>AI935*F935</f>
        <v/>
      </c>
      <c r="AM935" s="55">
        <f>ROUNDUP(MAX(I935/IF(BS935&gt;0,BS935,MAX(0.1,N(Cockpit!$I$6))),BV935)/BN935,0)*BN935</f>
        <v/>
      </c>
      <c r="AN935" s="56">
        <f>IF(AK935&gt;0,I935/AK935,-1)</f>
        <v/>
      </c>
      <c r="AO935" s="56">
        <f>IF(AND(OR(BR935="L1",BR935="L23"),AK935&gt;0),SUMIFS($AK$7:$AK$1570,$BR$7:$BR$1570,BR935,$AN$7:$AN$1570,"&gt;"&amp;AN935)+SUMIFS($AK$7:$AK$1570,$BR$7:$BR$1570,BR935,$AN$7:$AN$1570,AN935,$BL$7:$BL$1570,"&lt;="&amp;BL935),"")</f>
        <v/>
      </c>
      <c r="AP935" s="65">
        <f>IF(AO935="",0,MAX(0,MIN(1,(IF(BR935="L1",Parameter!$K$5,Parameter!$K$6+Parameter!$K$7)-(AO935-AK935))/AK935)))</f>
        <v/>
      </c>
      <c r="AQ935" s="55">
        <f>IF(LEFT(Cockpit!$O$5,1)="A",G935,IF(BT935=1,BU935,IF(LEFT(Cockpit!$O$5,1)="B",AU935,MAX(AU935,G935))))</f>
        <v/>
      </c>
      <c r="AR935" s="55">
        <f>IF(BO935=1,0,ROUNDUP(AQ935/BN935,0))</f>
        <v/>
      </c>
      <c r="AS935" s="64">
        <f>IF(BO935=1,IF(AQ935&lt;=0,0,BP935*MAX(1,IF(G935&gt;0,AQ935/G935,1))),AR935*Q935)</f>
        <v/>
      </c>
      <c r="AT935" s="55">
        <f>AQ935*F935</f>
        <v/>
      </c>
      <c r="AU935" s="55">
        <f>ROUNDUP(MAX(I935/IF(BS935&gt;0,BS935,MAX(0.1,N(Cockpit!$O$6))),BV935)/BN935,0)*BN935</f>
        <v/>
      </c>
      <c r="AV935" s="56">
        <f>IF(AS935&gt;0,I935/AS935,-1)</f>
        <v/>
      </c>
      <c r="AW935" s="56">
        <f>IF(AND(OR(BR935="L1",BR935="L23"),AS935&gt;0),SUMIFS($AS$7:$AS$1570,$BR$7:$BR$1570,BR935,$AV$7:$AV$1570,"&gt;"&amp;AV935)+SUMIFS($AS$7:$AS$1570,$BR$7:$BR$1570,BR935,$AV$7:$AV$1570,AV935,$BL$7:$BL$1570,"&lt;="&amp;BL935),"")</f>
        <v/>
      </c>
      <c r="AX935" s="65">
        <f>IF(AW935="",0,MAX(0,MIN(1,(IF(BR935="L1",Parameter!$K$5,Parameter!$K$6+Parameter!$K$7)-(AW935-AS935))/AS935)))</f>
        <v/>
      </c>
      <c r="AY935" s="53">
        <f>IF(AC935&lt;=0,"",IF(BR935="Aussen","Aussenlager",IF(BR935="-","Nicht im Lift",IF(AH935&gt;=1,"Lift",IF(AH935&lt;=0,"Aussenlager","teilweise")))))</f>
        <v/>
      </c>
      <c r="AZ935" s="53">
        <f>IF(AK935&lt;=0,"",IF(BR935="Aussen","Aussenlager",IF(BR935="-","Nicht im Lift",IF(AP935&gt;=1,"Lift",IF(AP935&lt;=0,"Aussenlager","teilweise")))))</f>
        <v/>
      </c>
      <c r="BA935" s="53">
        <f>IF(AS935&lt;=0,"",IF(BR935="Aussen","Aussenlager",IF(BR935="-","Nicht im Lift",IF(AX935&gt;=1,"Lift",IF(AX935&lt;=0,"Aussenlager","teilweise")))))</f>
        <v/>
      </c>
      <c r="BB935" s="53">
        <f>IF(A935="","",IF(BK935=1,"Neu; ","")&amp;IF(AND(BK935=0,BF935&lt;0),"negativer Bestand (Export "&amp;BF935&amp;"); ","")&amp;IF(I935&lt;=0,"Kein Verbrauch; ","")&amp;IF(BO935=1,"Lose – Fläche geschätzt; ","")&amp;IF(G935&gt;AM935,"Überbestand "&amp;ROUND(G935-AM935,0)&amp;" Stk / CHF "&amp;ROUND((G935-AM935)*F935,0)&amp;"; ","")&amp;IF(AND(BT935=1,BU935&lt;BV935),"MAX &lt; MB+LG; ","")&amp;IF(AND(BZ935&gt;0,BY935*10&gt;BZ935),"zu hoch für Tablar; ","")&amp;IF(AND(BK935=0,OR(BT935=1,V935&lt;&gt;"",S935&lt;&gt;"",T935&lt;&gt;"",W935&lt;&gt;"")),"manuell übersteuert; ","")&amp;IF(AND(BO935=0,Q935=0),"Gebinde unbekannt; ","")&amp;IF(AND(BO935=0,N(T935)&lt;=0,N(P935)&lt;=0),"Menge pro Gebinde fehlt (Ist = 1 Gebinde); ","")&amp;BJ935)</f>
        <v/>
      </c>
      <c r="BC935" s="53" t="n"/>
      <c r="BD935" s="53" t="n"/>
      <c r="BE935" s="61" t="n"/>
      <c r="BF935" s="55" t="n">
        <v>-3</v>
      </c>
      <c r="BG935" s="55" t="n">
        <v>7</v>
      </c>
      <c r="BH935" s="54" t="n">
        <v>-50.88</v>
      </c>
      <c r="BI935" s="55" t="n">
        <v>3</v>
      </c>
      <c r="BJ935" s="53" t="inlineStr"/>
      <c r="BK935" s="58" t="n">
        <v>0</v>
      </c>
      <c r="BL935" s="58" t="n">
        <v>935</v>
      </c>
      <c r="BM935" s="53">
        <f>IF(S935&lt;&gt;"",UPPER(TRIM(S935)),IF(O935="","LOSE",O935))</f>
        <v/>
      </c>
      <c r="BN935" s="55">
        <f>IF(BM935="LOSE",1,IF(N(T935)&gt;0,T935,IF(N(P935)&gt;0,P935,MAX(1,G935))))</f>
        <v/>
      </c>
      <c r="BO935" s="58">
        <f>IF(BM935="LOSE",1,0)</f>
        <v/>
      </c>
      <c r="BP935" s="64">
        <f>IF(BO935=0,0,IF(N(R935)&gt;0,R935,IFERROR(VLOOKUP(D935,Parameter!$A$35:$C$64,3,0)+0,0)))</f>
        <v/>
      </c>
      <c r="BQ935" s="53">
        <f>IF(V935&lt;&gt;"",V935,U935)</f>
        <v/>
      </c>
      <c r="BR935" s="53">
        <f>IF(BQ935=1,"L1",IF(OR(BQ935=2,BQ935=3),"L23",IF(BQ935="Aussen","Aussen","-")))</f>
        <v/>
      </c>
      <c r="BS935" s="66">
        <f>IF(N(W935)&gt;0,W935,0)</f>
        <v/>
      </c>
      <c r="BT935" s="58">
        <f>IF(ISNUMBER(Z935),1,0)</f>
        <v/>
      </c>
      <c r="BU935" s="55">
        <f>N(Z935)</f>
        <v/>
      </c>
      <c r="BV935" s="55">
        <f>N(L935)+N(M935)</f>
        <v/>
      </c>
      <c r="BW935" s="55">
        <f>ROUNDUP(G935/BN935,0)</f>
        <v/>
      </c>
      <c r="BX935" s="55">
        <f>ROUNDUP(BU935/BN935,0)</f>
        <v/>
      </c>
      <c r="BY935" s="58">
        <f>IF(BO935=1,0,IFERROR(VLOOKUP(BM935,'Gebinde-Kategorie'!$A$5:$G$45,5,0)+0,0))</f>
        <v/>
      </c>
      <c r="BZ935" s="58">
        <f>IFERROR(IF(OR(BQ935=1,BQ935=2,BQ935=3),N(INDEX(Parameter!$I$5:$I$7,BQ935)),0),0)</f>
        <v/>
      </c>
    </row>
    <row r="936">
      <c r="A936" s="53" t="inlineStr">
        <is>
          <t>001119</t>
        </is>
      </c>
      <c r="B936" s="53" t="inlineStr">
        <is>
          <t>Aceton Reiniger</t>
        </is>
      </c>
      <c r="C936" s="53" t="inlineStr">
        <is>
          <t>F</t>
        </is>
      </c>
      <c r="D936" s="53" t="inlineStr">
        <is>
          <t>KTL</t>
        </is>
      </c>
      <c r="E936" s="53" t="inlineStr">
        <is>
          <t>C</t>
        </is>
      </c>
      <c r="F936" s="54" t="n">
        <v>35.41</v>
      </c>
      <c r="G936" s="55">
        <f>MAX(0,IF(Parameter!$B$20="Jahresanfang 2025 + Export",BG936+BF936,BF936))</f>
        <v/>
      </c>
      <c r="H936" s="55">
        <f>G936*F936</f>
        <v/>
      </c>
      <c r="I936" s="55">
        <f>BI936*Parameter!$B$18</f>
        <v/>
      </c>
      <c r="J936" s="56" t="n">
        <v>2.5</v>
      </c>
      <c r="K936" s="57" t="n">
        <v>0</v>
      </c>
      <c r="L936" s="55" t="n">
        <v>0</v>
      </c>
      <c r="M936" s="55" t="n">
        <v>1</v>
      </c>
      <c r="N936" s="58" t="n">
        <v>14</v>
      </c>
      <c r="O936" s="53" t="inlineStr">
        <is>
          <t>LOSE</t>
        </is>
      </c>
      <c r="P936" s="55" t="n"/>
      <c r="Q936" s="59">
        <f>IF(BO936=1,0,IFERROR(VLOOKUP(BM936,'Gebinde-Kategorie'!$A$5:$G$45,6,0)+0,0))</f>
        <v/>
      </c>
      <c r="R936" s="60" t="n"/>
      <c r="S936" s="61" t="n"/>
      <c r="T936" s="61" t="n"/>
      <c r="U936" s="53">
        <f>IF(A936="","",IF(IFERROR(VLOOKUP(D936,Parameter!$A$35:$C$64,2,0),"Nein")="2+3",IF(ISNUMBER(SEARCH("grosser Artikel",BJ936)),2,IFERROR(VLOOKUP(BM936,Parameter!$F$35:$G$64,2,0),2)),IF(OR(IFERROR(VLOOKUP(D936,Parameter!$A$35:$C$64,2,0),"Nein")="Nein",IFERROR(VLOOKUP(D936,Parameter!$A$35:$C$64,2,0),"Nein")=""),"-",VLOOKUP(D936,Parameter!$A$35:$C$64,2,0))))</f>
        <v/>
      </c>
      <c r="V936" s="61" t="n"/>
      <c r="W936" s="62" t="n"/>
      <c r="X936" s="55">
        <f>AM936</f>
        <v/>
      </c>
      <c r="Y936" s="55">
        <f>MAX(AM936,G936)</f>
        <v/>
      </c>
      <c r="Z936" s="63" t="n"/>
      <c r="AA936" s="55">
        <f>IF(LEFT(Cockpit!$C$5,1)="A",G936,IF(BT936=1,BU936,IF(LEFT(Cockpit!$C$5,1)="B",AE936,MAX(AE936,G936))))</f>
        <v/>
      </c>
      <c r="AB936" s="55">
        <f>IF(BO936=1,0,ROUNDUP(AA936/BN936,0))</f>
        <v/>
      </c>
      <c r="AC936" s="64">
        <f>IF(BO936=1,IF(AA936&lt;=0,0,BP936*MAX(1,IF(G936&gt;0,AA936/G936,1))),AB936*Q936)</f>
        <v/>
      </c>
      <c r="AD936" s="55">
        <f>AA936*F936</f>
        <v/>
      </c>
      <c r="AE936" s="55">
        <f>ROUNDUP(MAX(I936/IF(BS936&gt;0,BS936,MAX(0.1,N(Cockpit!$C$6))),BV936)/BN936,0)*BN936</f>
        <v/>
      </c>
      <c r="AF936" s="56">
        <f>IF(AC936&gt;0,I936/AC936,-1)</f>
        <v/>
      </c>
      <c r="AG936" s="56">
        <f>IF(AND(OR(BR936="L1",BR936="L23"),AC936&gt;0),SUMIFS($AC$7:$AC$1570,$BR$7:$BR$1570,BR936,$AF$7:$AF$1570,"&gt;"&amp;AF936)+SUMIFS($AC$7:$AC$1570,$BR$7:$BR$1570,BR936,$AF$7:$AF$1570,AF936,$BL$7:$BL$1570,"&lt;="&amp;BL936),"")</f>
        <v/>
      </c>
      <c r="AH936" s="65">
        <f>IF(AG936="",0,MAX(0,MIN(1,(IF(BR936="L1",Parameter!$K$5,Parameter!$K$6+Parameter!$K$7)-(AG936-AC936))/AC936)))</f>
        <v/>
      </c>
      <c r="AI936" s="55">
        <f>IF(LEFT(Cockpit!$I$5,1)="A",G936,IF(BT936=1,BU936,IF(LEFT(Cockpit!$I$5,1)="B",AM936,MAX(AM936,G936))))</f>
        <v/>
      </c>
      <c r="AJ936" s="55">
        <f>IF(BO936=1,0,ROUNDUP(AI936/BN936,0))</f>
        <v/>
      </c>
      <c r="AK936" s="64">
        <f>IF(BO936=1,IF(AI936&lt;=0,0,BP936*MAX(1,IF(G936&gt;0,AI936/G936,1))),AJ936*Q936)</f>
        <v/>
      </c>
      <c r="AL936" s="55">
        <f>AI936*F936</f>
        <v/>
      </c>
      <c r="AM936" s="55">
        <f>ROUNDUP(MAX(I936/IF(BS936&gt;0,BS936,MAX(0.1,N(Cockpit!$I$6))),BV936)/BN936,0)*BN936</f>
        <v/>
      </c>
      <c r="AN936" s="56">
        <f>IF(AK936&gt;0,I936/AK936,-1)</f>
        <v/>
      </c>
      <c r="AO936" s="56">
        <f>IF(AND(OR(BR936="L1",BR936="L23"),AK936&gt;0),SUMIFS($AK$7:$AK$1570,$BR$7:$BR$1570,BR936,$AN$7:$AN$1570,"&gt;"&amp;AN936)+SUMIFS($AK$7:$AK$1570,$BR$7:$BR$1570,BR936,$AN$7:$AN$1570,AN936,$BL$7:$BL$1570,"&lt;="&amp;BL936),"")</f>
        <v/>
      </c>
      <c r="AP936" s="65">
        <f>IF(AO936="",0,MAX(0,MIN(1,(IF(BR936="L1",Parameter!$K$5,Parameter!$K$6+Parameter!$K$7)-(AO936-AK936))/AK936)))</f>
        <v/>
      </c>
      <c r="AQ936" s="55">
        <f>IF(LEFT(Cockpit!$O$5,1)="A",G936,IF(BT936=1,BU936,IF(LEFT(Cockpit!$O$5,1)="B",AU936,MAX(AU936,G936))))</f>
        <v/>
      </c>
      <c r="AR936" s="55">
        <f>IF(BO936=1,0,ROUNDUP(AQ936/BN936,0))</f>
        <v/>
      </c>
      <c r="AS936" s="64">
        <f>IF(BO936=1,IF(AQ936&lt;=0,0,BP936*MAX(1,IF(G936&gt;0,AQ936/G936,1))),AR936*Q936)</f>
        <v/>
      </c>
      <c r="AT936" s="55">
        <f>AQ936*F936</f>
        <v/>
      </c>
      <c r="AU936" s="55">
        <f>ROUNDUP(MAX(I936/IF(BS936&gt;0,BS936,MAX(0.1,N(Cockpit!$O$6))),BV936)/BN936,0)*BN936</f>
        <v/>
      </c>
      <c r="AV936" s="56">
        <f>IF(AS936&gt;0,I936/AS936,-1)</f>
        <v/>
      </c>
      <c r="AW936" s="56">
        <f>IF(AND(OR(BR936="L1",BR936="L23"),AS936&gt;0),SUMIFS($AS$7:$AS$1570,$BR$7:$BR$1570,BR936,$AV$7:$AV$1570,"&gt;"&amp;AV936)+SUMIFS($AS$7:$AS$1570,$BR$7:$BR$1570,BR936,$AV$7:$AV$1570,AV936,$BL$7:$BL$1570,"&lt;="&amp;BL936),"")</f>
        <v/>
      </c>
      <c r="AX936" s="65">
        <f>IF(AW936="",0,MAX(0,MIN(1,(IF(BR936="L1",Parameter!$K$5,Parameter!$K$6+Parameter!$K$7)-(AW936-AS936))/AS936)))</f>
        <v/>
      </c>
      <c r="AY936" s="53">
        <f>IF(AC936&lt;=0,"",IF(BR936="Aussen","Aussenlager",IF(BR936="-","Nicht im Lift",IF(AH936&gt;=1,"Lift",IF(AH936&lt;=0,"Aussenlager","teilweise")))))</f>
        <v/>
      </c>
      <c r="AZ936" s="53">
        <f>IF(AK936&lt;=0,"",IF(BR936="Aussen","Aussenlager",IF(BR936="-","Nicht im Lift",IF(AP936&gt;=1,"Lift",IF(AP936&lt;=0,"Aussenlager","teilweise")))))</f>
        <v/>
      </c>
      <c r="BA936" s="53">
        <f>IF(AS936&lt;=0,"",IF(BR936="Aussen","Aussenlager",IF(BR936="-","Nicht im Lift",IF(AX936&gt;=1,"Lift",IF(AX936&lt;=0,"Aussenlager","teilweise")))))</f>
        <v/>
      </c>
      <c r="BB936" s="53">
        <f>IF(A936="","",IF(BK936=1,"Neu; ","")&amp;IF(AND(BK936=0,BF936&lt;0),"negativer Bestand (Export "&amp;BF936&amp;"); ","")&amp;IF(I936&lt;=0,"Kein Verbrauch; ","")&amp;IF(BO936=1,"Lose – Fläche geschätzt; ","")&amp;IF(G936&gt;AM936,"Überbestand "&amp;ROUND(G936-AM936,0)&amp;" Stk / CHF "&amp;ROUND((G936-AM936)*F936,0)&amp;"; ","")&amp;IF(AND(BT936=1,BU936&lt;BV936),"MAX &lt; MB+LG; ","")&amp;IF(AND(BZ936&gt;0,BY936*10&gt;BZ936),"zu hoch für Tablar; ","")&amp;IF(AND(BK936=0,OR(BT936=1,V936&lt;&gt;"",S936&lt;&gt;"",T936&lt;&gt;"",W936&lt;&gt;"")),"manuell übersteuert; ","")&amp;IF(AND(BO936=0,Q936=0),"Gebinde unbekannt; ","")&amp;IF(AND(BO936=0,N(T936)&lt;=0,N(P936)&lt;=0),"Menge pro Gebinde fehlt (Ist = 1 Gebinde); ","")&amp;BJ936)</f>
        <v/>
      </c>
      <c r="BC936" s="53" t="n"/>
      <c r="BD936" s="53" t="n"/>
      <c r="BE936" s="61" t="n"/>
      <c r="BF936" s="55" t="n">
        <v>0</v>
      </c>
      <c r="BG936" s="55" t="n">
        <v>3</v>
      </c>
      <c r="BH936" s="54" t="n">
        <v>-51.54000000000001</v>
      </c>
      <c r="BI936" s="55" t="n">
        <v>0</v>
      </c>
      <c r="BJ936" s="53" t="inlineStr"/>
      <c r="BK936" s="58" t="n">
        <v>0</v>
      </c>
      <c r="BL936" s="58" t="n">
        <v>936</v>
      </c>
      <c r="BM936" s="53">
        <f>IF(S936&lt;&gt;"",UPPER(TRIM(S936)),IF(O936="","LOSE",O936))</f>
        <v/>
      </c>
      <c r="BN936" s="55">
        <f>IF(BM936="LOSE",1,IF(N(T936)&gt;0,T936,IF(N(P936)&gt;0,P936,MAX(1,G936))))</f>
        <v/>
      </c>
      <c r="BO936" s="58">
        <f>IF(BM936="LOSE",1,0)</f>
        <v/>
      </c>
      <c r="BP936" s="64">
        <f>IF(BO936=0,0,IF(N(R936)&gt;0,R936,IFERROR(VLOOKUP(D936,Parameter!$A$35:$C$64,3,0)+0,0)))</f>
        <v/>
      </c>
      <c r="BQ936" s="53">
        <f>IF(V936&lt;&gt;"",V936,U936)</f>
        <v/>
      </c>
      <c r="BR936" s="53">
        <f>IF(BQ936=1,"L1",IF(OR(BQ936=2,BQ936=3),"L23",IF(BQ936="Aussen","Aussen","-")))</f>
        <v/>
      </c>
      <c r="BS936" s="66">
        <f>IF(N(W936)&gt;0,W936,0)</f>
        <v/>
      </c>
      <c r="BT936" s="58">
        <f>IF(ISNUMBER(Z936),1,0)</f>
        <v/>
      </c>
      <c r="BU936" s="55">
        <f>N(Z936)</f>
        <v/>
      </c>
      <c r="BV936" s="55">
        <f>N(L936)+N(M936)</f>
        <v/>
      </c>
      <c r="BW936" s="55">
        <f>ROUNDUP(G936/BN936,0)</f>
        <v/>
      </c>
      <c r="BX936" s="55">
        <f>ROUNDUP(BU936/BN936,0)</f>
        <v/>
      </c>
      <c r="BY936" s="58">
        <f>IF(BO936=1,0,IFERROR(VLOOKUP(BM936,'Gebinde-Kategorie'!$A$5:$G$45,5,0)+0,0))</f>
        <v/>
      </c>
      <c r="BZ936" s="58">
        <f>IFERROR(IF(OR(BQ936=1,BQ936=2,BQ936=3),N(INDEX(Parameter!$I$5:$I$7,BQ936)),0),0)</f>
        <v/>
      </c>
    </row>
    <row r="937">
      <c r="A937" s="53" t="inlineStr">
        <is>
          <t>005732</t>
        </is>
      </c>
      <c r="B937" s="53" t="inlineStr">
        <is>
          <t>Ersatzklingen MARTOR Trapez</t>
        </is>
      </c>
      <c r="C937" s="53" t="inlineStr">
        <is>
          <t>F</t>
        </is>
      </c>
      <c r="D937" s="53" t="inlineStr">
        <is>
          <t>KTL</t>
        </is>
      </c>
      <c r="E937" s="53" t="inlineStr">
        <is>
          <t>C</t>
        </is>
      </c>
      <c r="F937" s="54" t="n">
        <v>9</v>
      </c>
      <c r="G937" s="55">
        <f>MAX(0,IF(Parameter!$B$20="Jahresanfang 2025 + Export",BG937+BF937,BF937))</f>
        <v/>
      </c>
      <c r="H937" s="55">
        <f>G937*F937</f>
        <v/>
      </c>
      <c r="I937" s="55">
        <f>BI937*Parameter!$B$18</f>
        <v/>
      </c>
      <c r="J937" s="56" t="n">
        <v>6.5</v>
      </c>
      <c r="K937" s="57" t="n">
        <v>0</v>
      </c>
      <c r="L937" s="55" t="n">
        <v>0</v>
      </c>
      <c r="M937" s="55" t="n">
        <v>1</v>
      </c>
      <c r="N937" s="58" t="n">
        <v>14</v>
      </c>
      <c r="O937" s="53" t="inlineStr">
        <is>
          <t>LOSE</t>
        </is>
      </c>
      <c r="P937" s="55" t="n"/>
      <c r="Q937" s="59">
        <f>IF(BO937=1,0,IFERROR(VLOOKUP(BM937,'Gebinde-Kategorie'!$A$5:$G$45,6,0)+0,0))</f>
        <v/>
      </c>
      <c r="R937" s="60" t="n"/>
      <c r="S937" s="61" t="n"/>
      <c r="T937" s="61" t="n"/>
      <c r="U937" s="53">
        <f>IF(A937="","",IF(IFERROR(VLOOKUP(D937,Parameter!$A$35:$C$64,2,0),"Nein")="2+3",IF(ISNUMBER(SEARCH("grosser Artikel",BJ937)),2,IFERROR(VLOOKUP(BM937,Parameter!$F$35:$G$64,2,0),2)),IF(OR(IFERROR(VLOOKUP(D937,Parameter!$A$35:$C$64,2,0),"Nein")="Nein",IFERROR(VLOOKUP(D937,Parameter!$A$35:$C$64,2,0),"Nein")=""),"-",VLOOKUP(D937,Parameter!$A$35:$C$64,2,0))))</f>
        <v/>
      </c>
      <c r="V937" s="61" t="n"/>
      <c r="W937" s="62" t="n"/>
      <c r="X937" s="55">
        <f>AM937</f>
        <v/>
      </c>
      <c r="Y937" s="55">
        <f>MAX(AM937,G937)</f>
        <v/>
      </c>
      <c r="Z937" s="63" t="n"/>
      <c r="AA937" s="55">
        <f>IF(LEFT(Cockpit!$C$5,1)="A",G937,IF(BT937=1,BU937,IF(LEFT(Cockpit!$C$5,1)="B",AE937,MAX(AE937,G937))))</f>
        <v/>
      </c>
      <c r="AB937" s="55">
        <f>IF(BO937=1,0,ROUNDUP(AA937/BN937,0))</f>
        <v/>
      </c>
      <c r="AC937" s="64">
        <f>IF(BO937=1,IF(AA937&lt;=0,0,BP937*MAX(1,IF(G937&gt;0,AA937/G937,1))),AB937*Q937)</f>
        <v/>
      </c>
      <c r="AD937" s="55">
        <f>AA937*F937</f>
        <v/>
      </c>
      <c r="AE937" s="55">
        <f>ROUNDUP(MAX(I937/IF(BS937&gt;0,BS937,MAX(0.1,N(Cockpit!$C$6))),BV937)/BN937,0)*BN937</f>
        <v/>
      </c>
      <c r="AF937" s="56">
        <f>IF(AC937&gt;0,I937/AC937,-1)</f>
        <v/>
      </c>
      <c r="AG937" s="56">
        <f>IF(AND(OR(BR937="L1",BR937="L23"),AC937&gt;0),SUMIFS($AC$7:$AC$1570,$BR$7:$BR$1570,BR937,$AF$7:$AF$1570,"&gt;"&amp;AF937)+SUMIFS($AC$7:$AC$1570,$BR$7:$BR$1570,BR937,$AF$7:$AF$1570,AF937,$BL$7:$BL$1570,"&lt;="&amp;BL937),"")</f>
        <v/>
      </c>
      <c r="AH937" s="65">
        <f>IF(AG937="",0,MAX(0,MIN(1,(IF(BR937="L1",Parameter!$K$5,Parameter!$K$6+Parameter!$K$7)-(AG937-AC937))/AC937)))</f>
        <v/>
      </c>
      <c r="AI937" s="55">
        <f>IF(LEFT(Cockpit!$I$5,1)="A",G937,IF(BT937=1,BU937,IF(LEFT(Cockpit!$I$5,1)="B",AM937,MAX(AM937,G937))))</f>
        <v/>
      </c>
      <c r="AJ937" s="55">
        <f>IF(BO937=1,0,ROUNDUP(AI937/BN937,0))</f>
        <v/>
      </c>
      <c r="AK937" s="64">
        <f>IF(BO937=1,IF(AI937&lt;=0,0,BP937*MAX(1,IF(G937&gt;0,AI937/G937,1))),AJ937*Q937)</f>
        <v/>
      </c>
      <c r="AL937" s="55">
        <f>AI937*F937</f>
        <v/>
      </c>
      <c r="AM937" s="55">
        <f>ROUNDUP(MAX(I937/IF(BS937&gt;0,BS937,MAX(0.1,N(Cockpit!$I$6))),BV937)/BN937,0)*BN937</f>
        <v/>
      </c>
      <c r="AN937" s="56">
        <f>IF(AK937&gt;0,I937/AK937,-1)</f>
        <v/>
      </c>
      <c r="AO937" s="56">
        <f>IF(AND(OR(BR937="L1",BR937="L23"),AK937&gt;0),SUMIFS($AK$7:$AK$1570,$BR$7:$BR$1570,BR937,$AN$7:$AN$1570,"&gt;"&amp;AN937)+SUMIFS($AK$7:$AK$1570,$BR$7:$BR$1570,BR937,$AN$7:$AN$1570,AN937,$BL$7:$BL$1570,"&lt;="&amp;BL937),"")</f>
        <v/>
      </c>
      <c r="AP937" s="65">
        <f>IF(AO937="",0,MAX(0,MIN(1,(IF(BR937="L1",Parameter!$K$5,Parameter!$K$6+Parameter!$K$7)-(AO937-AK937))/AK937)))</f>
        <v/>
      </c>
      <c r="AQ937" s="55">
        <f>IF(LEFT(Cockpit!$O$5,1)="A",G937,IF(BT937=1,BU937,IF(LEFT(Cockpit!$O$5,1)="B",AU937,MAX(AU937,G937))))</f>
        <v/>
      </c>
      <c r="AR937" s="55">
        <f>IF(BO937=1,0,ROUNDUP(AQ937/BN937,0))</f>
        <v/>
      </c>
      <c r="AS937" s="64">
        <f>IF(BO937=1,IF(AQ937&lt;=0,0,BP937*MAX(1,IF(G937&gt;0,AQ937/G937,1))),AR937*Q937)</f>
        <v/>
      </c>
      <c r="AT937" s="55">
        <f>AQ937*F937</f>
        <v/>
      </c>
      <c r="AU937" s="55">
        <f>ROUNDUP(MAX(I937/IF(BS937&gt;0,BS937,MAX(0.1,N(Cockpit!$O$6))),BV937)/BN937,0)*BN937</f>
        <v/>
      </c>
      <c r="AV937" s="56">
        <f>IF(AS937&gt;0,I937/AS937,-1)</f>
        <v/>
      </c>
      <c r="AW937" s="56">
        <f>IF(AND(OR(BR937="L1",BR937="L23"),AS937&gt;0),SUMIFS($AS$7:$AS$1570,$BR$7:$BR$1570,BR937,$AV$7:$AV$1570,"&gt;"&amp;AV937)+SUMIFS($AS$7:$AS$1570,$BR$7:$BR$1570,BR937,$AV$7:$AV$1570,AV937,$BL$7:$BL$1570,"&lt;="&amp;BL937),"")</f>
        <v/>
      </c>
      <c r="AX937" s="65">
        <f>IF(AW937="",0,MAX(0,MIN(1,(IF(BR937="L1",Parameter!$K$5,Parameter!$K$6+Parameter!$K$7)-(AW937-AS937))/AS937)))</f>
        <v/>
      </c>
      <c r="AY937" s="53">
        <f>IF(AC937&lt;=0,"",IF(BR937="Aussen","Aussenlager",IF(BR937="-","Nicht im Lift",IF(AH937&gt;=1,"Lift",IF(AH937&lt;=0,"Aussenlager","teilweise")))))</f>
        <v/>
      </c>
      <c r="AZ937" s="53">
        <f>IF(AK937&lt;=0,"",IF(BR937="Aussen","Aussenlager",IF(BR937="-","Nicht im Lift",IF(AP937&gt;=1,"Lift",IF(AP937&lt;=0,"Aussenlager","teilweise")))))</f>
        <v/>
      </c>
      <c r="BA937" s="53">
        <f>IF(AS937&lt;=0,"",IF(BR937="Aussen","Aussenlager",IF(BR937="-","Nicht im Lift",IF(AX937&gt;=1,"Lift",IF(AX937&lt;=0,"Aussenlager","teilweise")))))</f>
        <v/>
      </c>
      <c r="BB937" s="53">
        <f>IF(A937="","",IF(BK937=1,"Neu; ","")&amp;IF(AND(BK937=0,BF937&lt;0),"negativer Bestand (Export "&amp;BF937&amp;"); ","")&amp;IF(I937&lt;=0,"Kein Verbrauch; ","")&amp;IF(BO937=1,"Lose – Fläche geschätzt; ","")&amp;IF(G937&gt;AM937,"Überbestand "&amp;ROUND(G937-AM937,0)&amp;" Stk / CHF "&amp;ROUND((G937-AM937)*F937,0)&amp;"; ","")&amp;IF(AND(BT937=1,BU937&lt;BV937),"MAX &lt; MB+LG; ","")&amp;IF(AND(BZ937&gt;0,BY937*10&gt;BZ937),"zu hoch für Tablar; ","")&amp;IF(AND(BK937=0,OR(BT937=1,V937&lt;&gt;"",S937&lt;&gt;"",T937&lt;&gt;"",W937&lt;&gt;"")),"manuell übersteuert; ","")&amp;IF(AND(BO937=0,Q937=0),"Gebinde unbekannt; ","")&amp;IF(AND(BO937=0,N(T937)&lt;=0,N(P937)&lt;=0),"Menge pro Gebinde fehlt (Ist = 1 Gebinde); ","")&amp;BJ937)</f>
        <v/>
      </c>
      <c r="BC937" s="53" t="n"/>
      <c r="BD937" s="53" t="n"/>
      <c r="BE937" s="61" t="n"/>
      <c r="BF937" s="55" t="n">
        <v>-7</v>
      </c>
      <c r="BG937" s="55" t="n">
        <v>10</v>
      </c>
      <c r="BH937" s="54" t="n">
        <v>-52.5</v>
      </c>
      <c r="BI937" s="55" t="n">
        <v>0</v>
      </c>
      <c r="BJ937" s="53" t="inlineStr">
        <is>
          <t>Verb.Lager; nicht im KTL vorhanden</t>
        </is>
      </c>
      <c r="BK937" s="58" t="n">
        <v>0</v>
      </c>
      <c r="BL937" s="58" t="n">
        <v>937</v>
      </c>
      <c r="BM937" s="53">
        <f>IF(S937&lt;&gt;"",UPPER(TRIM(S937)),IF(O937="","LOSE",O937))</f>
        <v/>
      </c>
      <c r="BN937" s="55">
        <f>IF(BM937="LOSE",1,IF(N(T937)&gt;0,T937,IF(N(P937)&gt;0,P937,MAX(1,G937))))</f>
        <v/>
      </c>
      <c r="BO937" s="58">
        <f>IF(BM937="LOSE",1,0)</f>
        <v/>
      </c>
      <c r="BP937" s="64">
        <f>IF(BO937=0,0,IF(N(R937)&gt;0,R937,IFERROR(VLOOKUP(D937,Parameter!$A$35:$C$64,3,0)+0,0)))</f>
        <v/>
      </c>
      <c r="BQ937" s="53">
        <f>IF(V937&lt;&gt;"",V937,U937)</f>
        <v/>
      </c>
      <c r="BR937" s="53">
        <f>IF(BQ937=1,"L1",IF(OR(BQ937=2,BQ937=3),"L23",IF(BQ937="Aussen","Aussen","-")))</f>
        <v/>
      </c>
      <c r="BS937" s="66">
        <f>IF(N(W937)&gt;0,W937,0)</f>
        <v/>
      </c>
      <c r="BT937" s="58">
        <f>IF(ISNUMBER(Z937),1,0)</f>
        <v/>
      </c>
      <c r="BU937" s="55">
        <f>N(Z937)</f>
        <v/>
      </c>
      <c r="BV937" s="55">
        <f>N(L937)+N(M937)</f>
        <v/>
      </c>
      <c r="BW937" s="55">
        <f>ROUNDUP(G937/BN937,0)</f>
        <v/>
      </c>
      <c r="BX937" s="55">
        <f>ROUNDUP(BU937/BN937,0)</f>
        <v/>
      </c>
      <c r="BY937" s="58">
        <f>IF(BO937=1,0,IFERROR(VLOOKUP(BM937,'Gebinde-Kategorie'!$A$5:$G$45,5,0)+0,0))</f>
        <v/>
      </c>
      <c r="BZ937" s="58">
        <f>IFERROR(IF(OR(BQ937=1,BQ937=2,BQ937=3),N(INDEX(Parameter!$I$5:$I$7,BQ937)),0),0)</f>
        <v/>
      </c>
    </row>
    <row r="938">
      <c r="A938" s="53" t="inlineStr">
        <is>
          <t>101862</t>
        </is>
      </c>
      <c r="B938" s="53" t="inlineStr">
        <is>
          <t>Sinterfilter</t>
        </is>
      </c>
      <c r="C938" s="53" t="inlineStr">
        <is>
          <t>F</t>
        </is>
      </c>
      <c r="D938" s="53" t="inlineStr">
        <is>
          <t>KTL</t>
        </is>
      </c>
      <c r="E938" s="53" t="inlineStr">
        <is>
          <t>C</t>
        </is>
      </c>
      <c r="F938" s="54" t="n">
        <v>3.68</v>
      </c>
      <c r="G938" s="55">
        <f>MAX(0,IF(Parameter!$B$20="Jahresanfang 2025 + Export",BG938+BF938,BF938))</f>
        <v/>
      </c>
      <c r="H938" s="55">
        <f>G938*F938</f>
        <v/>
      </c>
      <c r="I938" s="55">
        <f>BI938*Parameter!$B$18</f>
        <v/>
      </c>
      <c r="J938" s="56" t="n">
        <v>55.5</v>
      </c>
      <c r="K938" s="57" t="n">
        <v>1.171171171171171</v>
      </c>
      <c r="L938" s="55" t="n">
        <v>2</v>
      </c>
      <c r="M938" s="55" t="n">
        <v>65</v>
      </c>
      <c r="N938" s="58" t="n">
        <v>14</v>
      </c>
      <c r="O938" s="53" t="inlineStr">
        <is>
          <t>S22</t>
        </is>
      </c>
      <c r="P938" s="55" t="n">
        <v>60</v>
      </c>
      <c r="Q938" s="59">
        <f>IF(BO938=1,0,IFERROR(VLOOKUP(BM938,'Gebinde-Kategorie'!$A$5:$G$45,6,0)+0,0))</f>
        <v/>
      </c>
      <c r="R938" s="60" t="n"/>
      <c r="S938" s="61" t="n"/>
      <c r="T938" s="61" t="n"/>
      <c r="U938" s="53">
        <f>IF(A938="","",IF(IFERROR(VLOOKUP(D938,Parameter!$A$35:$C$64,2,0),"Nein")="2+3",IF(ISNUMBER(SEARCH("grosser Artikel",BJ938)),2,IFERROR(VLOOKUP(BM938,Parameter!$F$35:$G$64,2,0),2)),IF(OR(IFERROR(VLOOKUP(D938,Parameter!$A$35:$C$64,2,0),"Nein")="Nein",IFERROR(VLOOKUP(D938,Parameter!$A$35:$C$64,2,0),"Nein")=""),"-",VLOOKUP(D938,Parameter!$A$35:$C$64,2,0))))</f>
        <v/>
      </c>
      <c r="V938" s="61" t="n"/>
      <c r="W938" s="62" t="n"/>
      <c r="X938" s="55">
        <f>AM938</f>
        <v/>
      </c>
      <c r="Y938" s="55">
        <f>MAX(AM938,G938)</f>
        <v/>
      </c>
      <c r="Z938" s="63" t="n"/>
      <c r="AA938" s="55">
        <f>IF(LEFT(Cockpit!$C$5,1)="A",G938,IF(BT938=1,BU938,IF(LEFT(Cockpit!$C$5,1)="B",AE938,MAX(AE938,G938))))</f>
        <v/>
      </c>
      <c r="AB938" s="55">
        <f>IF(BO938=1,0,ROUNDUP(AA938/BN938,0))</f>
        <v/>
      </c>
      <c r="AC938" s="64">
        <f>IF(BO938=1,IF(AA938&lt;=0,0,BP938*MAX(1,IF(G938&gt;0,AA938/G938,1))),AB938*Q938)</f>
        <v/>
      </c>
      <c r="AD938" s="55">
        <f>AA938*F938</f>
        <v/>
      </c>
      <c r="AE938" s="55">
        <f>ROUNDUP(MAX(I938/IF(BS938&gt;0,BS938,MAX(0.1,N(Cockpit!$C$6))),BV938)/BN938,0)*BN938</f>
        <v/>
      </c>
      <c r="AF938" s="56">
        <f>IF(AC938&gt;0,I938/AC938,-1)</f>
        <v/>
      </c>
      <c r="AG938" s="56">
        <f>IF(AND(OR(BR938="L1",BR938="L23"),AC938&gt;0),SUMIFS($AC$7:$AC$1570,$BR$7:$BR$1570,BR938,$AF$7:$AF$1570,"&gt;"&amp;AF938)+SUMIFS($AC$7:$AC$1570,$BR$7:$BR$1570,BR938,$AF$7:$AF$1570,AF938,$BL$7:$BL$1570,"&lt;="&amp;BL938),"")</f>
        <v/>
      </c>
      <c r="AH938" s="65">
        <f>IF(AG938="",0,MAX(0,MIN(1,(IF(BR938="L1",Parameter!$K$5,Parameter!$K$6+Parameter!$K$7)-(AG938-AC938))/AC938)))</f>
        <v/>
      </c>
      <c r="AI938" s="55">
        <f>IF(LEFT(Cockpit!$I$5,1)="A",G938,IF(BT938=1,BU938,IF(LEFT(Cockpit!$I$5,1)="B",AM938,MAX(AM938,G938))))</f>
        <v/>
      </c>
      <c r="AJ938" s="55">
        <f>IF(BO938=1,0,ROUNDUP(AI938/BN938,0))</f>
        <v/>
      </c>
      <c r="AK938" s="64">
        <f>IF(BO938=1,IF(AI938&lt;=0,0,BP938*MAX(1,IF(G938&gt;0,AI938/G938,1))),AJ938*Q938)</f>
        <v/>
      </c>
      <c r="AL938" s="55">
        <f>AI938*F938</f>
        <v/>
      </c>
      <c r="AM938" s="55">
        <f>ROUNDUP(MAX(I938/IF(BS938&gt;0,BS938,MAX(0.1,N(Cockpit!$I$6))),BV938)/BN938,0)*BN938</f>
        <v/>
      </c>
      <c r="AN938" s="56">
        <f>IF(AK938&gt;0,I938/AK938,-1)</f>
        <v/>
      </c>
      <c r="AO938" s="56">
        <f>IF(AND(OR(BR938="L1",BR938="L23"),AK938&gt;0),SUMIFS($AK$7:$AK$1570,$BR$7:$BR$1570,BR938,$AN$7:$AN$1570,"&gt;"&amp;AN938)+SUMIFS($AK$7:$AK$1570,$BR$7:$BR$1570,BR938,$AN$7:$AN$1570,AN938,$BL$7:$BL$1570,"&lt;="&amp;BL938),"")</f>
        <v/>
      </c>
      <c r="AP938" s="65">
        <f>IF(AO938="",0,MAX(0,MIN(1,(IF(BR938="L1",Parameter!$K$5,Parameter!$K$6+Parameter!$K$7)-(AO938-AK938))/AK938)))</f>
        <v/>
      </c>
      <c r="AQ938" s="55">
        <f>IF(LEFT(Cockpit!$O$5,1)="A",G938,IF(BT938=1,BU938,IF(LEFT(Cockpit!$O$5,1)="B",AU938,MAX(AU938,G938))))</f>
        <v/>
      </c>
      <c r="AR938" s="55">
        <f>IF(BO938=1,0,ROUNDUP(AQ938/BN938,0))</f>
        <v/>
      </c>
      <c r="AS938" s="64">
        <f>IF(BO938=1,IF(AQ938&lt;=0,0,BP938*MAX(1,IF(G938&gt;0,AQ938/G938,1))),AR938*Q938)</f>
        <v/>
      </c>
      <c r="AT938" s="55">
        <f>AQ938*F938</f>
        <v/>
      </c>
      <c r="AU938" s="55">
        <f>ROUNDUP(MAX(I938/IF(BS938&gt;0,BS938,MAX(0.1,N(Cockpit!$O$6))),BV938)/BN938,0)*BN938</f>
        <v/>
      </c>
      <c r="AV938" s="56">
        <f>IF(AS938&gt;0,I938/AS938,-1)</f>
        <v/>
      </c>
      <c r="AW938" s="56">
        <f>IF(AND(OR(BR938="L1",BR938="L23"),AS938&gt;0),SUMIFS($AS$7:$AS$1570,$BR$7:$BR$1570,BR938,$AV$7:$AV$1570,"&gt;"&amp;AV938)+SUMIFS($AS$7:$AS$1570,$BR$7:$BR$1570,BR938,$AV$7:$AV$1570,AV938,$BL$7:$BL$1570,"&lt;="&amp;BL938),"")</f>
        <v/>
      </c>
      <c r="AX938" s="65">
        <f>IF(AW938="",0,MAX(0,MIN(1,(IF(BR938="L1",Parameter!$K$5,Parameter!$K$6+Parameter!$K$7)-(AW938-AS938))/AS938)))</f>
        <v/>
      </c>
      <c r="AY938" s="53">
        <f>IF(AC938&lt;=0,"",IF(BR938="Aussen","Aussenlager",IF(BR938="-","Nicht im Lift",IF(AH938&gt;=1,"Lift",IF(AH938&lt;=0,"Aussenlager","teilweise")))))</f>
        <v/>
      </c>
      <c r="AZ938" s="53">
        <f>IF(AK938&lt;=0,"",IF(BR938="Aussen","Aussenlager",IF(BR938="-","Nicht im Lift",IF(AP938&gt;=1,"Lift",IF(AP938&lt;=0,"Aussenlager","teilweise")))))</f>
        <v/>
      </c>
      <c r="BA938" s="53">
        <f>IF(AS938&lt;=0,"",IF(BR938="Aussen","Aussenlager",IF(BR938="-","Nicht im Lift",IF(AX938&gt;=1,"Lift",IF(AX938&lt;=0,"Aussenlager","teilweise")))))</f>
        <v/>
      </c>
      <c r="BB938" s="53">
        <f>IF(A938="","",IF(BK938=1,"Neu; ","")&amp;IF(AND(BK938=0,BF938&lt;0),"negativer Bestand (Export "&amp;BF938&amp;"); ","")&amp;IF(I938&lt;=0,"Kein Verbrauch; ","")&amp;IF(BO938=1,"Lose – Fläche geschätzt; ","")&amp;IF(G938&gt;AM938,"Überbestand "&amp;ROUND(G938-AM938,0)&amp;" Stk / CHF "&amp;ROUND((G938-AM938)*F938,0)&amp;"; ","")&amp;IF(AND(BT938=1,BU938&lt;BV938),"MAX &lt; MB+LG; ","")&amp;IF(AND(BZ938&gt;0,BY938*10&gt;BZ938),"zu hoch für Tablar; ","")&amp;IF(AND(BK938=0,OR(BT938=1,V938&lt;&gt;"",S938&lt;&gt;"",T938&lt;&gt;"",W938&lt;&gt;"")),"manuell übersteuert; ","")&amp;IF(AND(BO938=0,Q938=0),"Gebinde unbekannt; ","")&amp;IF(AND(BO938=0,N(T938)&lt;=0,N(P938)&lt;=0),"Menge pro Gebinde fehlt (Ist = 1 Gebinde); ","")&amp;BJ938)</f>
        <v/>
      </c>
      <c r="BC938" s="53" t="n"/>
      <c r="BD938" s="53" t="n"/>
      <c r="BE938" s="61" t="n"/>
      <c r="BF938" s="55" t="n">
        <v>-15</v>
      </c>
      <c r="BG938" s="55" t="n">
        <v>39</v>
      </c>
      <c r="BH938" s="54" t="n">
        <v>-53.21999999999998</v>
      </c>
      <c r="BI938" s="55" t="n">
        <v>65</v>
      </c>
      <c r="BJ938" s="53" t="inlineStr"/>
      <c r="BK938" s="58" t="n">
        <v>0</v>
      </c>
      <c r="BL938" s="58" t="n">
        <v>938</v>
      </c>
      <c r="BM938" s="53">
        <f>IF(S938&lt;&gt;"",UPPER(TRIM(S938)),IF(O938="","LOSE",O938))</f>
        <v/>
      </c>
      <c r="BN938" s="55">
        <f>IF(BM938="LOSE",1,IF(N(T938)&gt;0,T938,IF(N(P938)&gt;0,P938,MAX(1,G938))))</f>
        <v/>
      </c>
      <c r="BO938" s="58">
        <f>IF(BM938="LOSE",1,0)</f>
        <v/>
      </c>
      <c r="BP938" s="64">
        <f>IF(BO938=0,0,IF(N(R938)&gt;0,R938,IFERROR(VLOOKUP(D938,Parameter!$A$35:$C$64,3,0)+0,0)))</f>
        <v/>
      </c>
      <c r="BQ938" s="53">
        <f>IF(V938&lt;&gt;"",V938,U938)</f>
        <v/>
      </c>
      <c r="BR938" s="53">
        <f>IF(BQ938=1,"L1",IF(OR(BQ938=2,BQ938=3),"L23",IF(BQ938="Aussen","Aussen","-")))</f>
        <v/>
      </c>
      <c r="BS938" s="66">
        <f>IF(N(W938)&gt;0,W938,0)</f>
        <v/>
      </c>
      <c r="BT938" s="58">
        <f>IF(ISNUMBER(Z938),1,0)</f>
        <v/>
      </c>
      <c r="BU938" s="55">
        <f>N(Z938)</f>
        <v/>
      </c>
      <c r="BV938" s="55">
        <f>N(L938)+N(M938)</f>
        <v/>
      </c>
      <c r="BW938" s="55">
        <f>ROUNDUP(G938/BN938,0)</f>
        <v/>
      </c>
      <c r="BX938" s="55">
        <f>ROUNDUP(BU938/BN938,0)</f>
        <v/>
      </c>
      <c r="BY938" s="58">
        <f>IF(BO938=1,0,IFERROR(VLOOKUP(BM938,'Gebinde-Kategorie'!$A$5:$G$45,5,0)+0,0))</f>
        <v/>
      </c>
      <c r="BZ938" s="58">
        <f>IFERROR(IF(OR(BQ938=1,BQ938=2,BQ938=3),N(INDEX(Parameter!$I$5:$I$7,BQ938)),0),0)</f>
        <v/>
      </c>
    </row>
    <row r="939">
      <c r="A939" s="53" t="inlineStr">
        <is>
          <t>102435</t>
        </is>
      </c>
      <c r="B939" s="53" t="inlineStr">
        <is>
          <t>Blende</t>
        </is>
      </c>
      <c r="C939" s="53" t="inlineStr">
        <is>
          <t>F</t>
        </is>
      </c>
      <c r="D939" s="53" t="inlineStr">
        <is>
          <t>KTL</t>
        </is>
      </c>
      <c r="E939" s="53" t="inlineStr">
        <is>
          <t>C</t>
        </is>
      </c>
      <c r="F939" s="54" t="n">
        <v>17.75</v>
      </c>
      <c r="G939" s="55">
        <f>MAX(0,IF(Parameter!$B$20="Jahresanfang 2025 + Export",BG939+BF939,BF939))</f>
        <v/>
      </c>
      <c r="H939" s="55">
        <f>G939*F939</f>
        <v/>
      </c>
      <c r="I939" s="55">
        <f>BI939*Parameter!$B$18</f>
        <v/>
      </c>
      <c r="J939" s="56" t="n">
        <v>49.5</v>
      </c>
      <c r="K939" s="57" t="n">
        <v>0.303030303030303</v>
      </c>
      <c r="L939" s="55" t="n">
        <v>1</v>
      </c>
      <c r="M939" s="55" t="n">
        <v>15</v>
      </c>
      <c r="N939" s="58" t="n">
        <v>28</v>
      </c>
      <c r="O939" s="53" t="inlineStr">
        <is>
          <t>S22</t>
        </is>
      </c>
      <c r="P939" s="55" t="n">
        <v>64</v>
      </c>
      <c r="Q939" s="59">
        <f>IF(BO939=1,0,IFERROR(VLOOKUP(BM939,'Gebinde-Kategorie'!$A$5:$G$45,6,0)+0,0))</f>
        <v/>
      </c>
      <c r="R939" s="60" t="n"/>
      <c r="S939" s="61" t="n"/>
      <c r="T939" s="61" t="n"/>
      <c r="U939" s="53">
        <f>IF(A939="","",IF(IFERROR(VLOOKUP(D939,Parameter!$A$35:$C$64,2,0),"Nein")="2+3",IF(ISNUMBER(SEARCH("grosser Artikel",BJ939)),2,IFERROR(VLOOKUP(BM939,Parameter!$F$35:$G$64,2,0),2)),IF(OR(IFERROR(VLOOKUP(D939,Parameter!$A$35:$C$64,2,0),"Nein")="Nein",IFERROR(VLOOKUP(D939,Parameter!$A$35:$C$64,2,0),"Nein")=""),"-",VLOOKUP(D939,Parameter!$A$35:$C$64,2,0))))</f>
        <v/>
      </c>
      <c r="V939" s="61" t="n"/>
      <c r="W939" s="62" t="n"/>
      <c r="X939" s="55">
        <f>AM939</f>
        <v/>
      </c>
      <c r="Y939" s="55">
        <f>MAX(AM939,G939)</f>
        <v/>
      </c>
      <c r="Z939" s="63" t="n"/>
      <c r="AA939" s="55">
        <f>IF(LEFT(Cockpit!$C$5,1)="A",G939,IF(BT939=1,BU939,IF(LEFT(Cockpit!$C$5,1)="B",AE939,MAX(AE939,G939))))</f>
        <v/>
      </c>
      <c r="AB939" s="55">
        <f>IF(BO939=1,0,ROUNDUP(AA939/BN939,0))</f>
        <v/>
      </c>
      <c r="AC939" s="64">
        <f>IF(BO939=1,IF(AA939&lt;=0,0,BP939*MAX(1,IF(G939&gt;0,AA939/G939,1))),AB939*Q939)</f>
        <v/>
      </c>
      <c r="AD939" s="55">
        <f>AA939*F939</f>
        <v/>
      </c>
      <c r="AE939" s="55">
        <f>ROUNDUP(MAX(I939/IF(BS939&gt;0,BS939,MAX(0.1,N(Cockpit!$C$6))),BV939)/BN939,0)*BN939</f>
        <v/>
      </c>
      <c r="AF939" s="56">
        <f>IF(AC939&gt;0,I939/AC939,-1)</f>
        <v/>
      </c>
      <c r="AG939" s="56">
        <f>IF(AND(OR(BR939="L1",BR939="L23"),AC939&gt;0),SUMIFS($AC$7:$AC$1570,$BR$7:$BR$1570,BR939,$AF$7:$AF$1570,"&gt;"&amp;AF939)+SUMIFS($AC$7:$AC$1570,$BR$7:$BR$1570,BR939,$AF$7:$AF$1570,AF939,$BL$7:$BL$1570,"&lt;="&amp;BL939),"")</f>
        <v/>
      </c>
      <c r="AH939" s="65">
        <f>IF(AG939="",0,MAX(0,MIN(1,(IF(BR939="L1",Parameter!$K$5,Parameter!$K$6+Parameter!$K$7)-(AG939-AC939))/AC939)))</f>
        <v/>
      </c>
      <c r="AI939" s="55">
        <f>IF(LEFT(Cockpit!$I$5,1)="A",G939,IF(BT939=1,BU939,IF(LEFT(Cockpit!$I$5,1)="B",AM939,MAX(AM939,G939))))</f>
        <v/>
      </c>
      <c r="AJ939" s="55">
        <f>IF(BO939=1,0,ROUNDUP(AI939/BN939,0))</f>
        <v/>
      </c>
      <c r="AK939" s="64">
        <f>IF(BO939=1,IF(AI939&lt;=0,0,BP939*MAX(1,IF(G939&gt;0,AI939/G939,1))),AJ939*Q939)</f>
        <v/>
      </c>
      <c r="AL939" s="55">
        <f>AI939*F939</f>
        <v/>
      </c>
      <c r="AM939" s="55">
        <f>ROUNDUP(MAX(I939/IF(BS939&gt;0,BS939,MAX(0.1,N(Cockpit!$I$6))),BV939)/BN939,0)*BN939</f>
        <v/>
      </c>
      <c r="AN939" s="56">
        <f>IF(AK939&gt;0,I939/AK939,-1)</f>
        <v/>
      </c>
      <c r="AO939" s="56">
        <f>IF(AND(OR(BR939="L1",BR939="L23"),AK939&gt;0),SUMIFS($AK$7:$AK$1570,$BR$7:$BR$1570,BR939,$AN$7:$AN$1570,"&gt;"&amp;AN939)+SUMIFS($AK$7:$AK$1570,$BR$7:$BR$1570,BR939,$AN$7:$AN$1570,AN939,$BL$7:$BL$1570,"&lt;="&amp;BL939),"")</f>
        <v/>
      </c>
      <c r="AP939" s="65">
        <f>IF(AO939="",0,MAX(0,MIN(1,(IF(BR939="L1",Parameter!$K$5,Parameter!$K$6+Parameter!$K$7)-(AO939-AK939))/AK939)))</f>
        <v/>
      </c>
      <c r="AQ939" s="55">
        <f>IF(LEFT(Cockpit!$O$5,1)="A",G939,IF(BT939=1,BU939,IF(LEFT(Cockpit!$O$5,1)="B",AU939,MAX(AU939,G939))))</f>
        <v/>
      </c>
      <c r="AR939" s="55">
        <f>IF(BO939=1,0,ROUNDUP(AQ939/BN939,0))</f>
        <v/>
      </c>
      <c r="AS939" s="64">
        <f>IF(BO939=1,IF(AQ939&lt;=0,0,BP939*MAX(1,IF(G939&gt;0,AQ939/G939,1))),AR939*Q939)</f>
        <v/>
      </c>
      <c r="AT939" s="55">
        <f>AQ939*F939</f>
        <v/>
      </c>
      <c r="AU939" s="55">
        <f>ROUNDUP(MAX(I939/IF(BS939&gt;0,BS939,MAX(0.1,N(Cockpit!$O$6))),BV939)/BN939,0)*BN939</f>
        <v/>
      </c>
      <c r="AV939" s="56">
        <f>IF(AS939&gt;0,I939/AS939,-1)</f>
        <v/>
      </c>
      <c r="AW939" s="56">
        <f>IF(AND(OR(BR939="L1",BR939="L23"),AS939&gt;0),SUMIFS($AS$7:$AS$1570,$BR$7:$BR$1570,BR939,$AV$7:$AV$1570,"&gt;"&amp;AV939)+SUMIFS($AS$7:$AS$1570,$BR$7:$BR$1570,BR939,$AV$7:$AV$1570,AV939,$BL$7:$BL$1570,"&lt;="&amp;BL939),"")</f>
        <v/>
      </c>
      <c r="AX939" s="65">
        <f>IF(AW939="",0,MAX(0,MIN(1,(IF(BR939="L1",Parameter!$K$5,Parameter!$K$6+Parameter!$K$7)-(AW939-AS939))/AS939)))</f>
        <v/>
      </c>
      <c r="AY939" s="53">
        <f>IF(AC939&lt;=0,"",IF(BR939="Aussen","Aussenlager",IF(BR939="-","Nicht im Lift",IF(AH939&gt;=1,"Lift",IF(AH939&lt;=0,"Aussenlager","teilweise")))))</f>
        <v/>
      </c>
      <c r="AZ939" s="53">
        <f>IF(AK939&lt;=0,"",IF(BR939="Aussen","Aussenlager",IF(BR939="-","Nicht im Lift",IF(AP939&gt;=1,"Lift",IF(AP939&lt;=0,"Aussenlager","teilweise")))))</f>
        <v/>
      </c>
      <c r="BA939" s="53">
        <f>IF(AS939&lt;=0,"",IF(BR939="Aussen","Aussenlager",IF(BR939="-","Nicht im Lift",IF(AX939&gt;=1,"Lift",IF(AX939&lt;=0,"Aussenlager","teilweise")))))</f>
        <v/>
      </c>
      <c r="BB939" s="53">
        <f>IF(A939="","",IF(BK939=1,"Neu; ","")&amp;IF(AND(BK939=0,BF939&lt;0),"negativer Bestand (Export "&amp;BF939&amp;"); ","")&amp;IF(I939&lt;=0,"Kein Verbrauch; ","")&amp;IF(BO939=1,"Lose – Fläche geschätzt; ","")&amp;IF(G939&gt;AM939,"Überbestand "&amp;ROUND(G939-AM939,0)&amp;" Stk / CHF "&amp;ROUND((G939-AM939)*F939,0)&amp;"; ","")&amp;IF(AND(BT939=1,BU939&lt;BV939),"MAX &lt; MB+LG; ","")&amp;IF(AND(BZ939&gt;0,BY939*10&gt;BZ939),"zu hoch für Tablar; ","")&amp;IF(AND(BK939=0,OR(BT939=1,V939&lt;&gt;"",S939&lt;&gt;"",T939&lt;&gt;"",W939&lt;&gt;"")),"manuell übersteuert; ","")&amp;IF(AND(BO939=0,Q939=0),"Gebinde unbekannt; ","")&amp;IF(AND(BO939=0,N(T939)&lt;=0,N(P939)&lt;=0),"Menge pro Gebinde fehlt (Ist = 1 Gebinde); ","")&amp;BJ939)</f>
        <v/>
      </c>
      <c r="BC939" s="53" t="n"/>
      <c r="BD939" s="53" t="n"/>
      <c r="BE939" s="61" t="n"/>
      <c r="BF939" s="55" t="n">
        <v>-3</v>
      </c>
      <c r="BG939" s="55" t="n">
        <v>51</v>
      </c>
      <c r="BH939" s="54" t="n">
        <v>-53.25</v>
      </c>
      <c r="BI939" s="55" t="n">
        <v>15</v>
      </c>
      <c r="BJ939" s="53" t="inlineStr">
        <is>
          <t>twin</t>
        </is>
      </c>
      <c r="BK939" s="58" t="n">
        <v>0</v>
      </c>
      <c r="BL939" s="58" t="n">
        <v>939</v>
      </c>
      <c r="BM939" s="53">
        <f>IF(S939&lt;&gt;"",UPPER(TRIM(S939)),IF(O939="","LOSE",O939))</f>
        <v/>
      </c>
      <c r="BN939" s="55">
        <f>IF(BM939="LOSE",1,IF(N(T939)&gt;0,T939,IF(N(P939)&gt;0,P939,MAX(1,G939))))</f>
        <v/>
      </c>
      <c r="BO939" s="58">
        <f>IF(BM939="LOSE",1,0)</f>
        <v/>
      </c>
      <c r="BP939" s="64">
        <f>IF(BO939=0,0,IF(N(R939)&gt;0,R939,IFERROR(VLOOKUP(D939,Parameter!$A$35:$C$64,3,0)+0,0)))</f>
        <v/>
      </c>
      <c r="BQ939" s="53">
        <f>IF(V939&lt;&gt;"",V939,U939)</f>
        <v/>
      </c>
      <c r="BR939" s="53">
        <f>IF(BQ939=1,"L1",IF(OR(BQ939=2,BQ939=3),"L23",IF(BQ939="Aussen","Aussen","-")))</f>
        <v/>
      </c>
      <c r="BS939" s="66">
        <f>IF(N(W939)&gt;0,W939,0)</f>
        <v/>
      </c>
      <c r="BT939" s="58">
        <f>IF(ISNUMBER(Z939),1,0)</f>
        <v/>
      </c>
      <c r="BU939" s="55">
        <f>N(Z939)</f>
        <v/>
      </c>
      <c r="BV939" s="55">
        <f>N(L939)+N(M939)</f>
        <v/>
      </c>
      <c r="BW939" s="55">
        <f>ROUNDUP(G939/BN939,0)</f>
        <v/>
      </c>
      <c r="BX939" s="55">
        <f>ROUNDUP(BU939/BN939,0)</f>
        <v/>
      </c>
      <c r="BY939" s="58">
        <f>IF(BO939=1,0,IFERROR(VLOOKUP(BM939,'Gebinde-Kategorie'!$A$5:$G$45,5,0)+0,0))</f>
        <v/>
      </c>
      <c r="BZ939" s="58">
        <f>IFERROR(IF(OR(BQ939=1,BQ939=2,BQ939=3),N(INDEX(Parameter!$I$5:$I$7,BQ939)),0),0)</f>
        <v/>
      </c>
    </row>
    <row r="940">
      <c r="A940" s="53" t="inlineStr">
        <is>
          <t>109645</t>
        </is>
      </c>
      <c r="B940" s="53" t="inlineStr">
        <is>
          <t>Gummibuchse</t>
        </is>
      </c>
      <c r="C940" s="53" t="inlineStr">
        <is>
          <t>G</t>
        </is>
      </c>
      <c r="D940" s="53" t="inlineStr">
        <is>
          <t>KTL</t>
        </is>
      </c>
      <c r="E940" s="53" t="inlineStr">
        <is>
          <t>C</t>
        </is>
      </c>
      <c r="F940" s="54" t="n">
        <v>7.7</v>
      </c>
      <c r="G940" s="55">
        <f>MAX(0,IF(Parameter!$B$20="Jahresanfang 2025 + Export",BG940+BF940,BF940))</f>
        <v/>
      </c>
      <c r="H940" s="55">
        <f>G940*F940</f>
        <v/>
      </c>
      <c r="I940" s="55">
        <f>BI940*Parameter!$B$18</f>
        <v/>
      </c>
      <c r="J940" s="56" t="n">
        <v>7</v>
      </c>
      <c r="K940" s="57" t="n">
        <v>1</v>
      </c>
      <c r="L940" s="55" t="n">
        <v>0</v>
      </c>
      <c r="M940" s="55" t="n">
        <v>5</v>
      </c>
      <c r="N940" s="58" t="n">
        <v>21</v>
      </c>
      <c r="O940" s="53" t="inlineStr">
        <is>
          <t>LOSE</t>
        </is>
      </c>
      <c r="P940" s="55" t="n"/>
      <c r="Q940" s="59">
        <f>IF(BO940=1,0,IFERROR(VLOOKUP(BM940,'Gebinde-Kategorie'!$A$5:$G$45,6,0)+0,0))</f>
        <v/>
      </c>
      <c r="R940" s="60" t="n"/>
      <c r="S940" s="61" t="n"/>
      <c r="T940" s="61" t="n"/>
      <c r="U940" s="53">
        <f>IF(A940="","",IF(IFERROR(VLOOKUP(D940,Parameter!$A$35:$C$64,2,0),"Nein")="2+3",IF(ISNUMBER(SEARCH("grosser Artikel",BJ940)),2,IFERROR(VLOOKUP(BM940,Parameter!$F$35:$G$64,2,0),2)),IF(OR(IFERROR(VLOOKUP(D940,Parameter!$A$35:$C$64,2,0),"Nein")="Nein",IFERROR(VLOOKUP(D940,Parameter!$A$35:$C$64,2,0),"Nein")=""),"-",VLOOKUP(D940,Parameter!$A$35:$C$64,2,0))))</f>
        <v/>
      </c>
      <c r="V940" s="61" t="n"/>
      <c r="W940" s="62" t="n"/>
      <c r="X940" s="55">
        <f>AM940</f>
        <v/>
      </c>
      <c r="Y940" s="55">
        <f>MAX(AM940,G940)</f>
        <v/>
      </c>
      <c r="Z940" s="63" t="n"/>
      <c r="AA940" s="55">
        <f>IF(LEFT(Cockpit!$C$5,1)="A",G940,IF(BT940=1,BU940,IF(LEFT(Cockpit!$C$5,1)="B",AE940,MAX(AE940,G940))))</f>
        <v/>
      </c>
      <c r="AB940" s="55">
        <f>IF(BO940=1,0,ROUNDUP(AA940/BN940,0))</f>
        <v/>
      </c>
      <c r="AC940" s="64">
        <f>IF(BO940=1,IF(AA940&lt;=0,0,BP940*MAX(1,IF(G940&gt;0,AA940/G940,1))),AB940*Q940)</f>
        <v/>
      </c>
      <c r="AD940" s="55">
        <f>AA940*F940</f>
        <v/>
      </c>
      <c r="AE940" s="55">
        <f>ROUNDUP(MAX(I940/IF(BS940&gt;0,BS940,MAX(0.1,N(Cockpit!$C$6))),BV940)/BN940,0)*BN940</f>
        <v/>
      </c>
      <c r="AF940" s="56">
        <f>IF(AC940&gt;0,I940/AC940,-1)</f>
        <v/>
      </c>
      <c r="AG940" s="56">
        <f>IF(AND(OR(BR940="L1",BR940="L23"),AC940&gt;0),SUMIFS($AC$7:$AC$1570,$BR$7:$BR$1570,BR940,$AF$7:$AF$1570,"&gt;"&amp;AF940)+SUMIFS($AC$7:$AC$1570,$BR$7:$BR$1570,BR940,$AF$7:$AF$1570,AF940,$BL$7:$BL$1570,"&lt;="&amp;BL940),"")</f>
        <v/>
      </c>
      <c r="AH940" s="65">
        <f>IF(AG940="",0,MAX(0,MIN(1,(IF(BR940="L1",Parameter!$K$5,Parameter!$K$6+Parameter!$K$7)-(AG940-AC940))/AC940)))</f>
        <v/>
      </c>
      <c r="AI940" s="55">
        <f>IF(LEFT(Cockpit!$I$5,1)="A",G940,IF(BT940=1,BU940,IF(LEFT(Cockpit!$I$5,1)="B",AM940,MAX(AM940,G940))))</f>
        <v/>
      </c>
      <c r="AJ940" s="55">
        <f>IF(BO940=1,0,ROUNDUP(AI940/BN940,0))</f>
        <v/>
      </c>
      <c r="AK940" s="64">
        <f>IF(BO940=1,IF(AI940&lt;=0,0,BP940*MAX(1,IF(G940&gt;0,AI940/G940,1))),AJ940*Q940)</f>
        <v/>
      </c>
      <c r="AL940" s="55">
        <f>AI940*F940</f>
        <v/>
      </c>
      <c r="AM940" s="55">
        <f>ROUNDUP(MAX(I940/IF(BS940&gt;0,BS940,MAX(0.1,N(Cockpit!$I$6))),BV940)/BN940,0)*BN940</f>
        <v/>
      </c>
      <c r="AN940" s="56">
        <f>IF(AK940&gt;0,I940/AK940,-1)</f>
        <v/>
      </c>
      <c r="AO940" s="56">
        <f>IF(AND(OR(BR940="L1",BR940="L23"),AK940&gt;0),SUMIFS($AK$7:$AK$1570,$BR$7:$BR$1570,BR940,$AN$7:$AN$1570,"&gt;"&amp;AN940)+SUMIFS($AK$7:$AK$1570,$BR$7:$BR$1570,BR940,$AN$7:$AN$1570,AN940,$BL$7:$BL$1570,"&lt;="&amp;BL940),"")</f>
        <v/>
      </c>
      <c r="AP940" s="65">
        <f>IF(AO940="",0,MAX(0,MIN(1,(IF(BR940="L1",Parameter!$K$5,Parameter!$K$6+Parameter!$K$7)-(AO940-AK940))/AK940)))</f>
        <v/>
      </c>
      <c r="AQ940" s="55">
        <f>IF(LEFT(Cockpit!$O$5,1)="A",G940,IF(BT940=1,BU940,IF(LEFT(Cockpit!$O$5,1)="B",AU940,MAX(AU940,G940))))</f>
        <v/>
      </c>
      <c r="AR940" s="55">
        <f>IF(BO940=1,0,ROUNDUP(AQ940/BN940,0))</f>
        <v/>
      </c>
      <c r="AS940" s="64">
        <f>IF(BO940=1,IF(AQ940&lt;=0,0,BP940*MAX(1,IF(G940&gt;0,AQ940/G940,1))),AR940*Q940)</f>
        <v/>
      </c>
      <c r="AT940" s="55">
        <f>AQ940*F940</f>
        <v/>
      </c>
      <c r="AU940" s="55">
        <f>ROUNDUP(MAX(I940/IF(BS940&gt;0,BS940,MAX(0.1,N(Cockpit!$O$6))),BV940)/BN940,0)*BN940</f>
        <v/>
      </c>
      <c r="AV940" s="56">
        <f>IF(AS940&gt;0,I940/AS940,-1)</f>
        <v/>
      </c>
      <c r="AW940" s="56">
        <f>IF(AND(OR(BR940="L1",BR940="L23"),AS940&gt;0),SUMIFS($AS$7:$AS$1570,$BR$7:$BR$1570,BR940,$AV$7:$AV$1570,"&gt;"&amp;AV940)+SUMIFS($AS$7:$AS$1570,$BR$7:$BR$1570,BR940,$AV$7:$AV$1570,AV940,$BL$7:$BL$1570,"&lt;="&amp;BL940),"")</f>
        <v/>
      </c>
      <c r="AX940" s="65">
        <f>IF(AW940="",0,MAX(0,MIN(1,(IF(BR940="L1",Parameter!$K$5,Parameter!$K$6+Parameter!$K$7)-(AW940-AS940))/AS940)))</f>
        <v/>
      </c>
      <c r="AY940" s="53">
        <f>IF(AC940&lt;=0,"",IF(BR940="Aussen","Aussenlager",IF(BR940="-","Nicht im Lift",IF(AH940&gt;=1,"Lift",IF(AH940&lt;=0,"Aussenlager","teilweise")))))</f>
        <v/>
      </c>
      <c r="AZ940" s="53">
        <f>IF(AK940&lt;=0,"",IF(BR940="Aussen","Aussenlager",IF(BR940="-","Nicht im Lift",IF(AP940&gt;=1,"Lift",IF(AP940&lt;=0,"Aussenlager","teilweise")))))</f>
        <v/>
      </c>
      <c r="BA940" s="53">
        <f>IF(AS940&lt;=0,"",IF(BR940="Aussen","Aussenlager",IF(BR940="-","Nicht im Lift",IF(AX940&gt;=1,"Lift",IF(AX940&lt;=0,"Aussenlager","teilweise")))))</f>
        <v/>
      </c>
      <c r="BB940" s="53">
        <f>IF(A940="","",IF(BK940=1,"Neu; ","")&amp;IF(AND(BK940=0,BF940&lt;0),"negativer Bestand (Export "&amp;BF940&amp;"); ","")&amp;IF(I940&lt;=0,"Kein Verbrauch; ","")&amp;IF(BO940=1,"Lose – Fläche geschätzt; ","")&amp;IF(G940&gt;AM940,"Überbestand "&amp;ROUND(G940-AM940,0)&amp;" Stk / CHF "&amp;ROUND((G940-AM940)*F940,0)&amp;"; ","")&amp;IF(AND(BT940=1,BU940&lt;BV940),"MAX &lt; MB+LG; ","")&amp;IF(AND(BZ940&gt;0,BY940*10&gt;BZ940),"zu hoch für Tablar; ","")&amp;IF(AND(BK940=0,OR(BT940=1,V940&lt;&gt;"",S940&lt;&gt;"",T940&lt;&gt;"",W940&lt;&gt;"")),"manuell übersteuert; ","")&amp;IF(AND(BO940=0,Q940=0),"Gebinde unbekannt; ","")&amp;IF(AND(BO940=0,N(T940)&lt;=0,N(P940)&lt;=0),"Menge pro Gebinde fehlt (Ist = 1 Gebinde); ","")&amp;BJ940)</f>
        <v/>
      </c>
      <c r="BC940" s="53" t="n"/>
      <c r="BD940" s="53" t="n"/>
      <c r="BE940" s="61" t="n"/>
      <c r="BF940" s="55" t="n">
        <v>-7</v>
      </c>
      <c r="BG940" s="55" t="n">
        <v>14</v>
      </c>
      <c r="BH940" s="54" t="n">
        <v>-53.9</v>
      </c>
      <c r="BI940" s="55" t="n">
        <v>7</v>
      </c>
      <c r="BJ940" s="53" t="inlineStr"/>
      <c r="BK940" s="58" t="n">
        <v>0</v>
      </c>
      <c r="BL940" s="58" t="n">
        <v>940</v>
      </c>
      <c r="BM940" s="53">
        <f>IF(S940&lt;&gt;"",UPPER(TRIM(S940)),IF(O940="","LOSE",O940))</f>
        <v/>
      </c>
      <c r="BN940" s="55">
        <f>IF(BM940="LOSE",1,IF(N(T940)&gt;0,T940,IF(N(P940)&gt;0,P940,MAX(1,G940))))</f>
        <v/>
      </c>
      <c r="BO940" s="58">
        <f>IF(BM940="LOSE",1,0)</f>
        <v/>
      </c>
      <c r="BP940" s="64">
        <f>IF(BO940=0,0,IF(N(R940)&gt;0,R940,IFERROR(VLOOKUP(D940,Parameter!$A$35:$C$64,3,0)+0,0)))</f>
        <v/>
      </c>
      <c r="BQ940" s="53">
        <f>IF(V940&lt;&gt;"",V940,U940)</f>
        <v/>
      </c>
      <c r="BR940" s="53">
        <f>IF(BQ940=1,"L1",IF(OR(BQ940=2,BQ940=3),"L23",IF(BQ940="Aussen","Aussen","-")))</f>
        <v/>
      </c>
      <c r="BS940" s="66">
        <f>IF(N(W940)&gt;0,W940,0)</f>
        <v/>
      </c>
      <c r="BT940" s="58">
        <f>IF(ISNUMBER(Z940),1,0)</f>
        <v/>
      </c>
      <c r="BU940" s="55">
        <f>N(Z940)</f>
        <v/>
      </c>
      <c r="BV940" s="55">
        <f>N(L940)+N(M940)</f>
        <v/>
      </c>
      <c r="BW940" s="55">
        <f>ROUNDUP(G940/BN940,0)</f>
        <v/>
      </c>
      <c r="BX940" s="55">
        <f>ROUNDUP(BU940/BN940,0)</f>
        <v/>
      </c>
      <c r="BY940" s="58">
        <f>IF(BO940=1,0,IFERROR(VLOOKUP(BM940,'Gebinde-Kategorie'!$A$5:$G$45,5,0)+0,0))</f>
        <v/>
      </c>
      <c r="BZ940" s="58">
        <f>IFERROR(IF(OR(BQ940=1,BQ940=2,BQ940=3),N(INDEX(Parameter!$I$5:$I$7,BQ940)),0),0)</f>
        <v/>
      </c>
    </row>
    <row r="941">
      <c r="A941" s="53" t="inlineStr">
        <is>
          <t>104438</t>
        </is>
      </c>
      <c r="B941" s="53" t="inlineStr">
        <is>
          <t>Zylinderschraube mit Innensechskant</t>
        </is>
      </c>
      <c r="C941" s="53" t="inlineStr">
        <is>
          <t>F</t>
        </is>
      </c>
      <c r="D941" s="53" t="inlineStr">
        <is>
          <t>KTL</t>
        </is>
      </c>
      <c r="E941" s="53" t="inlineStr">
        <is>
          <t>C</t>
        </is>
      </c>
      <c r="F941" s="54" t="n">
        <v>0.17</v>
      </c>
      <c r="G941" s="55">
        <f>MAX(0,IF(Parameter!$B$20="Jahresanfang 2025 + Export",BG941+BF941,BF941))</f>
        <v/>
      </c>
      <c r="H941" s="55">
        <f>G941*F941</f>
        <v/>
      </c>
      <c r="I941" s="55">
        <f>BI941*Parameter!$B$18</f>
        <v/>
      </c>
      <c r="J941" s="56" t="n">
        <v>458</v>
      </c>
      <c r="K941" s="57" t="n">
        <v>2.620087336244541</v>
      </c>
      <c r="L941" s="55" t="n">
        <v>70</v>
      </c>
      <c r="M941" s="55" t="n">
        <v>600</v>
      </c>
      <c r="N941" s="58" t="n">
        <v>21</v>
      </c>
      <c r="O941" s="53" t="inlineStr">
        <is>
          <t>S52</t>
        </is>
      </c>
      <c r="P941" s="55" t="n">
        <v>884</v>
      </c>
      <c r="Q941" s="59">
        <f>IF(BO941=1,0,IFERROR(VLOOKUP(BM941,'Gebinde-Kategorie'!$A$5:$G$45,6,0)+0,0))</f>
        <v/>
      </c>
      <c r="R941" s="60" t="n"/>
      <c r="S941" s="61" t="n"/>
      <c r="T941" s="61" t="n"/>
      <c r="U941" s="53">
        <f>IF(A941="","",IF(IFERROR(VLOOKUP(D941,Parameter!$A$35:$C$64,2,0),"Nein")="2+3",IF(ISNUMBER(SEARCH("grosser Artikel",BJ941)),2,IFERROR(VLOOKUP(BM941,Parameter!$F$35:$G$64,2,0),2)),IF(OR(IFERROR(VLOOKUP(D941,Parameter!$A$35:$C$64,2,0),"Nein")="Nein",IFERROR(VLOOKUP(D941,Parameter!$A$35:$C$64,2,0),"Nein")=""),"-",VLOOKUP(D941,Parameter!$A$35:$C$64,2,0))))</f>
        <v/>
      </c>
      <c r="V941" s="61" t="n"/>
      <c r="W941" s="62" t="n"/>
      <c r="X941" s="55">
        <f>AM941</f>
        <v/>
      </c>
      <c r="Y941" s="55">
        <f>MAX(AM941,G941)</f>
        <v/>
      </c>
      <c r="Z941" s="63" t="n"/>
      <c r="AA941" s="55">
        <f>IF(LEFT(Cockpit!$C$5,1)="A",G941,IF(BT941=1,BU941,IF(LEFT(Cockpit!$C$5,1)="B",AE941,MAX(AE941,G941))))</f>
        <v/>
      </c>
      <c r="AB941" s="55">
        <f>IF(BO941=1,0,ROUNDUP(AA941/BN941,0))</f>
        <v/>
      </c>
      <c r="AC941" s="64">
        <f>IF(BO941=1,IF(AA941&lt;=0,0,BP941*MAX(1,IF(G941&gt;0,AA941/G941,1))),AB941*Q941)</f>
        <v/>
      </c>
      <c r="AD941" s="55">
        <f>AA941*F941</f>
        <v/>
      </c>
      <c r="AE941" s="55">
        <f>ROUNDUP(MAX(I941/IF(BS941&gt;0,BS941,MAX(0.1,N(Cockpit!$C$6))),BV941)/BN941,0)*BN941</f>
        <v/>
      </c>
      <c r="AF941" s="56">
        <f>IF(AC941&gt;0,I941/AC941,-1)</f>
        <v/>
      </c>
      <c r="AG941" s="56">
        <f>IF(AND(OR(BR941="L1",BR941="L23"),AC941&gt;0),SUMIFS($AC$7:$AC$1570,$BR$7:$BR$1570,BR941,$AF$7:$AF$1570,"&gt;"&amp;AF941)+SUMIFS($AC$7:$AC$1570,$BR$7:$BR$1570,BR941,$AF$7:$AF$1570,AF941,$BL$7:$BL$1570,"&lt;="&amp;BL941),"")</f>
        <v/>
      </c>
      <c r="AH941" s="65">
        <f>IF(AG941="",0,MAX(0,MIN(1,(IF(BR941="L1",Parameter!$K$5,Parameter!$K$6+Parameter!$K$7)-(AG941-AC941))/AC941)))</f>
        <v/>
      </c>
      <c r="AI941" s="55">
        <f>IF(LEFT(Cockpit!$I$5,1)="A",G941,IF(BT941=1,BU941,IF(LEFT(Cockpit!$I$5,1)="B",AM941,MAX(AM941,G941))))</f>
        <v/>
      </c>
      <c r="AJ941" s="55">
        <f>IF(BO941=1,0,ROUNDUP(AI941/BN941,0))</f>
        <v/>
      </c>
      <c r="AK941" s="64">
        <f>IF(BO941=1,IF(AI941&lt;=0,0,BP941*MAX(1,IF(G941&gt;0,AI941/G941,1))),AJ941*Q941)</f>
        <v/>
      </c>
      <c r="AL941" s="55">
        <f>AI941*F941</f>
        <v/>
      </c>
      <c r="AM941" s="55">
        <f>ROUNDUP(MAX(I941/IF(BS941&gt;0,BS941,MAX(0.1,N(Cockpit!$I$6))),BV941)/BN941,0)*BN941</f>
        <v/>
      </c>
      <c r="AN941" s="56">
        <f>IF(AK941&gt;0,I941/AK941,-1)</f>
        <v/>
      </c>
      <c r="AO941" s="56">
        <f>IF(AND(OR(BR941="L1",BR941="L23"),AK941&gt;0),SUMIFS($AK$7:$AK$1570,$BR$7:$BR$1570,BR941,$AN$7:$AN$1570,"&gt;"&amp;AN941)+SUMIFS($AK$7:$AK$1570,$BR$7:$BR$1570,BR941,$AN$7:$AN$1570,AN941,$BL$7:$BL$1570,"&lt;="&amp;BL941),"")</f>
        <v/>
      </c>
      <c r="AP941" s="65">
        <f>IF(AO941="",0,MAX(0,MIN(1,(IF(BR941="L1",Parameter!$K$5,Parameter!$K$6+Parameter!$K$7)-(AO941-AK941))/AK941)))</f>
        <v/>
      </c>
      <c r="AQ941" s="55">
        <f>IF(LEFT(Cockpit!$O$5,1)="A",G941,IF(BT941=1,BU941,IF(LEFT(Cockpit!$O$5,1)="B",AU941,MAX(AU941,G941))))</f>
        <v/>
      </c>
      <c r="AR941" s="55">
        <f>IF(BO941=1,0,ROUNDUP(AQ941/BN941,0))</f>
        <v/>
      </c>
      <c r="AS941" s="64">
        <f>IF(BO941=1,IF(AQ941&lt;=0,0,BP941*MAX(1,IF(G941&gt;0,AQ941/G941,1))),AR941*Q941)</f>
        <v/>
      </c>
      <c r="AT941" s="55">
        <f>AQ941*F941</f>
        <v/>
      </c>
      <c r="AU941" s="55">
        <f>ROUNDUP(MAX(I941/IF(BS941&gt;0,BS941,MAX(0.1,N(Cockpit!$O$6))),BV941)/BN941,0)*BN941</f>
        <v/>
      </c>
      <c r="AV941" s="56">
        <f>IF(AS941&gt;0,I941/AS941,-1)</f>
        <v/>
      </c>
      <c r="AW941" s="56">
        <f>IF(AND(OR(BR941="L1",BR941="L23"),AS941&gt;0),SUMIFS($AS$7:$AS$1570,$BR$7:$BR$1570,BR941,$AV$7:$AV$1570,"&gt;"&amp;AV941)+SUMIFS($AS$7:$AS$1570,$BR$7:$BR$1570,BR941,$AV$7:$AV$1570,AV941,$BL$7:$BL$1570,"&lt;="&amp;BL941),"")</f>
        <v/>
      </c>
      <c r="AX941" s="65">
        <f>IF(AW941="",0,MAX(0,MIN(1,(IF(BR941="L1",Parameter!$K$5,Parameter!$K$6+Parameter!$K$7)-(AW941-AS941))/AS941)))</f>
        <v/>
      </c>
      <c r="AY941" s="53">
        <f>IF(AC941&lt;=0,"",IF(BR941="Aussen","Aussenlager",IF(BR941="-","Nicht im Lift",IF(AH941&gt;=1,"Lift",IF(AH941&lt;=0,"Aussenlager","teilweise")))))</f>
        <v/>
      </c>
      <c r="AZ941" s="53">
        <f>IF(AK941&lt;=0,"",IF(BR941="Aussen","Aussenlager",IF(BR941="-","Nicht im Lift",IF(AP941&gt;=1,"Lift",IF(AP941&lt;=0,"Aussenlager","teilweise")))))</f>
        <v/>
      </c>
      <c r="BA941" s="53">
        <f>IF(AS941&lt;=0,"",IF(BR941="Aussen","Aussenlager",IF(BR941="-","Nicht im Lift",IF(AX941&gt;=1,"Lift",IF(AX941&lt;=0,"Aussenlager","teilweise")))))</f>
        <v/>
      </c>
      <c r="BB941" s="53">
        <f>IF(A941="","",IF(BK941=1,"Neu; ","")&amp;IF(AND(BK941=0,BF941&lt;0),"negativer Bestand (Export "&amp;BF941&amp;"); ","")&amp;IF(I941&lt;=0,"Kein Verbrauch; ","")&amp;IF(BO941=1,"Lose – Fläche geschätzt; ","")&amp;IF(G941&gt;AM941,"Überbestand "&amp;ROUND(G941-AM941,0)&amp;" Stk / CHF "&amp;ROUND((G941-AM941)*F941,0)&amp;"; ","")&amp;IF(AND(BT941=1,BU941&lt;BV941),"MAX &lt; MB+LG; ","")&amp;IF(AND(BZ941&gt;0,BY941*10&gt;BZ941),"zu hoch für Tablar; ","")&amp;IF(AND(BK941=0,OR(BT941=1,V941&lt;&gt;"",S941&lt;&gt;"",T941&lt;&gt;"",W941&lt;&gt;"")),"manuell übersteuert; ","")&amp;IF(AND(BO941=0,Q941=0),"Gebinde unbekannt; ","")&amp;IF(AND(BO941=0,N(T941)&lt;=0,N(P941)&lt;=0),"Menge pro Gebinde fehlt (Ist = 1 Gebinde); ","")&amp;BJ941)</f>
        <v/>
      </c>
      <c r="BC941" s="53" t="n"/>
      <c r="BD941" s="53" t="n"/>
      <c r="BE941" s="61" t="n"/>
      <c r="BF941" s="55" t="n">
        <v>-292</v>
      </c>
      <c r="BG941" s="55" t="n">
        <v>471</v>
      </c>
      <c r="BH941" s="54" t="n">
        <v>-54.29000000000003</v>
      </c>
      <c r="BI941" s="55" t="n">
        <v>1200</v>
      </c>
      <c r="BJ941" s="53" t="inlineStr"/>
      <c r="BK941" s="58" t="n">
        <v>0</v>
      </c>
      <c r="BL941" s="58" t="n">
        <v>941</v>
      </c>
      <c r="BM941" s="53">
        <f>IF(S941&lt;&gt;"",UPPER(TRIM(S941)),IF(O941="","LOSE",O941))</f>
        <v/>
      </c>
      <c r="BN941" s="55">
        <f>IF(BM941="LOSE",1,IF(N(T941)&gt;0,T941,IF(N(P941)&gt;0,P941,MAX(1,G941))))</f>
        <v/>
      </c>
      <c r="BO941" s="58">
        <f>IF(BM941="LOSE",1,0)</f>
        <v/>
      </c>
      <c r="BP941" s="64">
        <f>IF(BO941=0,0,IF(N(R941)&gt;0,R941,IFERROR(VLOOKUP(D941,Parameter!$A$35:$C$64,3,0)+0,0)))</f>
        <v/>
      </c>
      <c r="BQ941" s="53">
        <f>IF(V941&lt;&gt;"",V941,U941)</f>
        <v/>
      </c>
      <c r="BR941" s="53">
        <f>IF(BQ941=1,"L1",IF(OR(BQ941=2,BQ941=3),"L23",IF(BQ941="Aussen","Aussen","-")))</f>
        <v/>
      </c>
      <c r="BS941" s="66">
        <f>IF(N(W941)&gt;0,W941,0)</f>
        <v/>
      </c>
      <c r="BT941" s="58">
        <f>IF(ISNUMBER(Z941),1,0)</f>
        <v/>
      </c>
      <c r="BU941" s="55">
        <f>N(Z941)</f>
        <v/>
      </c>
      <c r="BV941" s="55">
        <f>N(L941)+N(M941)</f>
        <v/>
      </c>
      <c r="BW941" s="55">
        <f>ROUNDUP(G941/BN941,0)</f>
        <v/>
      </c>
      <c r="BX941" s="55">
        <f>ROUNDUP(BU941/BN941,0)</f>
        <v/>
      </c>
      <c r="BY941" s="58">
        <f>IF(BO941=1,0,IFERROR(VLOOKUP(BM941,'Gebinde-Kategorie'!$A$5:$G$45,5,0)+0,0))</f>
        <v/>
      </c>
      <c r="BZ941" s="58">
        <f>IFERROR(IF(OR(BQ941=1,BQ941=2,BQ941=3),N(INDEX(Parameter!$I$5:$I$7,BQ941)),0),0)</f>
        <v/>
      </c>
    </row>
    <row r="942">
      <c r="A942" s="53" t="inlineStr">
        <is>
          <t>107094</t>
        </is>
      </c>
      <c r="B942" s="53" t="inlineStr">
        <is>
          <t>Ringgabelschlüssel</t>
        </is>
      </c>
      <c r="C942" s="53" t="inlineStr">
        <is>
          <t>F</t>
        </is>
      </c>
      <c r="D942" s="53" t="inlineStr">
        <is>
          <t>KTL</t>
        </is>
      </c>
      <c r="E942" s="53" t="inlineStr">
        <is>
          <t>C</t>
        </is>
      </c>
      <c r="F942" s="54" t="n">
        <v>18.23</v>
      </c>
      <c r="G942" s="55">
        <f>MAX(0,IF(Parameter!$B$20="Jahresanfang 2025 + Export",BG942+BF942,BF942))</f>
        <v/>
      </c>
      <c r="H942" s="55">
        <f>G942*F942</f>
        <v/>
      </c>
      <c r="I942" s="55">
        <f>BI942*Parameter!$B$18</f>
        <v/>
      </c>
      <c r="J942" s="56" t="n">
        <v>3.5</v>
      </c>
      <c r="K942" s="57" t="n">
        <v>2.285714285714286</v>
      </c>
      <c r="L942" s="55" t="n">
        <v>0</v>
      </c>
      <c r="M942" s="55" t="n">
        <v>10</v>
      </c>
      <c r="N942" s="58" t="n">
        <v>18</v>
      </c>
      <c r="O942" s="53" t="inlineStr">
        <is>
          <t>S33</t>
        </is>
      </c>
      <c r="P942" s="55" t="n">
        <v>16</v>
      </c>
      <c r="Q942" s="59">
        <f>IF(BO942=1,0,IFERROR(VLOOKUP(BM942,'Gebinde-Kategorie'!$A$5:$G$45,6,0)+0,0))</f>
        <v/>
      </c>
      <c r="R942" s="60" t="n"/>
      <c r="S942" s="61" t="n"/>
      <c r="T942" s="61" t="n"/>
      <c r="U942" s="53">
        <f>IF(A942="","",IF(IFERROR(VLOOKUP(D942,Parameter!$A$35:$C$64,2,0),"Nein")="2+3",IF(ISNUMBER(SEARCH("grosser Artikel",BJ942)),2,IFERROR(VLOOKUP(BM942,Parameter!$F$35:$G$64,2,0),2)),IF(OR(IFERROR(VLOOKUP(D942,Parameter!$A$35:$C$64,2,0),"Nein")="Nein",IFERROR(VLOOKUP(D942,Parameter!$A$35:$C$64,2,0),"Nein")=""),"-",VLOOKUP(D942,Parameter!$A$35:$C$64,2,0))))</f>
        <v/>
      </c>
      <c r="V942" s="61" t="n"/>
      <c r="W942" s="62" t="n"/>
      <c r="X942" s="55">
        <f>AM942</f>
        <v/>
      </c>
      <c r="Y942" s="55">
        <f>MAX(AM942,G942)</f>
        <v/>
      </c>
      <c r="Z942" s="63" t="n"/>
      <c r="AA942" s="55">
        <f>IF(LEFT(Cockpit!$C$5,1)="A",G942,IF(BT942=1,BU942,IF(LEFT(Cockpit!$C$5,1)="B",AE942,MAX(AE942,G942))))</f>
        <v/>
      </c>
      <c r="AB942" s="55">
        <f>IF(BO942=1,0,ROUNDUP(AA942/BN942,0))</f>
        <v/>
      </c>
      <c r="AC942" s="64">
        <f>IF(BO942=1,IF(AA942&lt;=0,0,BP942*MAX(1,IF(G942&gt;0,AA942/G942,1))),AB942*Q942)</f>
        <v/>
      </c>
      <c r="AD942" s="55">
        <f>AA942*F942</f>
        <v/>
      </c>
      <c r="AE942" s="55">
        <f>ROUNDUP(MAX(I942/IF(BS942&gt;0,BS942,MAX(0.1,N(Cockpit!$C$6))),BV942)/BN942,0)*BN942</f>
        <v/>
      </c>
      <c r="AF942" s="56">
        <f>IF(AC942&gt;0,I942/AC942,-1)</f>
        <v/>
      </c>
      <c r="AG942" s="56">
        <f>IF(AND(OR(BR942="L1",BR942="L23"),AC942&gt;0),SUMIFS($AC$7:$AC$1570,$BR$7:$BR$1570,BR942,$AF$7:$AF$1570,"&gt;"&amp;AF942)+SUMIFS($AC$7:$AC$1570,$BR$7:$BR$1570,BR942,$AF$7:$AF$1570,AF942,$BL$7:$BL$1570,"&lt;="&amp;BL942),"")</f>
        <v/>
      </c>
      <c r="AH942" s="65">
        <f>IF(AG942="",0,MAX(0,MIN(1,(IF(BR942="L1",Parameter!$K$5,Parameter!$K$6+Parameter!$K$7)-(AG942-AC942))/AC942)))</f>
        <v/>
      </c>
      <c r="AI942" s="55">
        <f>IF(LEFT(Cockpit!$I$5,1)="A",G942,IF(BT942=1,BU942,IF(LEFT(Cockpit!$I$5,1)="B",AM942,MAX(AM942,G942))))</f>
        <v/>
      </c>
      <c r="AJ942" s="55">
        <f>IF(BO942=1,0,ROUNDUP(AI942/BN942,0))</f>
        <v/>
      </c>
      <c r="AK942" s="64">
        <f>IF(BO942=1,IF(AI942&lt;=0,0,BP942*MAX(1,IF(G942&gt;0,AI942/G942,1))),AJ942*Q942)</f>
        <v/>
      </c>
      <c r="AL942" s="55">
        <f>AI942*F942</f>
        <v/>
      </c>
      <c r="AM942" s="55">
        <f>ROUNDUP(MAX(I942/IF(BS942&gt;0,BS942,MAX(0.1,N(Cockpit!$I$6))),BV942)/BN942,0)*BN942</f>
        <v/>
      </c>
      <c r="AN942" s="56">
        <f>IF(AK942&gt;0,I942/AK942,-1)</f>
        <v/>
      </c>
      <c r="AO942" s="56">
        <f>IF(AND(OR(BR942="L1",BR942="L23"),AK942&gt;0),SUMIFS($AK$7:$AK$1570,$BR$7:$BR$1570,BR942,$AN$7:$AN$1570,"&gt;"&amp;AN942)+SUMIFS($AK$7:$AK$1570,$BR$7:$BR$1570,BR942,$AN$7:$AN$1570,AN942,$BL$7:$BL$1570,"&lt;="&amp;BL942),"")</f>
        <v/>
      </c>
      <c r="AP942" s="65">
        <f>IF(AO942="",0,MAX(0,MIN(1,(IF(BR942="L1",Parameter!$K$5,Parameter!$K$6+Parameter!$K$7)-(AO942-AK942))/AK942)))</f>
        <v/>
      </c>
      <c r="AQ942" s="55">
        <f>IF(LEFT(Cockpit!$O$5,1)="A",G942,IF(BT942=1,BU942,IF(LEFT(Cockpit!$O$5,1)="B",AU942,MAX(AU942,G942))))</f>
        <v/>
      </c>
      <c r="AR942" s="55">
        <f>IF(BO942=1,0,ROUNDUP(AQ942/BN942,0))</f>
        <v/>
      </c>
      <c r="AS942" s="64">
        <f>IF(BO942=1,IF(AQ942&lt;=0,0,BP942*MAX(1,IF(G942&gt;0,AQ942/G942,1))),AR942*Q942)</f>
        <v/>
      </c>
      <c r="AT942" s="55">
        <f>AQ942*F942</f>
        <v/>
      </c>
      <c r="AU942" s="55">
        <f>ROUNDUP(MAX(I942/IF(BS942&gt;0,BS942,MAX(0.1,N(Cockpit!$O$6))),BV942)/BN942,0)*BN942</f>
        <v/>
      </c>
      <c r="AV942" s="56">
        <f>IF(AS942&gt;0,I942/AS942,-1)</f>
        <v/>
      </c>
      <c r="AW942" s="56">
        <f>IF(AND(OR(BR942="L1",BR942="L23"),AS942&gt;0),SUMIFS($AS$7:$AS$1570,$BR$7:$BR$1570,BR942,$AV$7:$AV$1570,"&gt;"&amp;AV942)+SUMIFS($AS$7:$AS$1570,$BR$7:$BR$1570,BR942,$AV$7:$AV$1570,AV942,$BL$7:$BL$1570,"&lt;="&amp;BL942),"")</f>
        <v/>
      </c>
      <c r="AX942" s="65">
        <f>IF(AW942="",0,MAX(0,MIN(1,(IF(BR942="L1",Parameter!$K$5,Parameter!$K$6+Parameter!$K$7)-(AW942-AS942))/AS942)))</f>
        <v/>
      </c>
      <c r="AY942" s="53">
        <f>IF(AC942&lt;=0,"",IF(BR942="Aussen","Aussenlager",IF(BR942="-","Nicht im Lift",IF(AH942&gt;=1,"Lift",IF(AH942&lt;=0,"Aussenlager","teilweise")))))</f>
        <v/>
      </c>
      <c r="AZ942" s="53">
        <f>IF(AK942&lt;=0,"",IF(BR942="Aussen","Aussenlager",IF(BR942="-","Nicht im Lift",IF(AP942&gt;=1,"Lift",IF(AP942&lt;=0,"Aussenlager","teilweise")))))</f>
        <v/>
      </c>
      <c r="BA942" s="53">
        <f>IF(AS942&lt;=0,"",IF(BR942="Aussen","Aussenlager",IF(BR942="-","Nicht im Lift",IF(AX942&gt;=1,"Lift",IF(AX942&lt;=0,"Aussenlager","teilweise")))))</f>
        <v/>
      </c>
      <c r="BB942" s="53">
        <f>IF(A942="","",IF(BK942=1,"Neu; ","")&amp;IF(AND(BK942=0,BF942&lt;0),"negativer Bestand (Export "&amp;BF942&amp;"); ","")&amp;IF(I942&lt;=0,"Kein Verbrauch; ","")&amp;IF(BO942=1,"Lose – Fläche geschätzt; ","")&amp;IF(G942&gt;AM942,"Überbestand "&amp;ROUND(G942-AM942,0)&amp;" Stk / CHF "&amp;ROUND((G942-AM942)*F942,0)&amp;"; ","")&amp;IF(AND(BT942=1,BU942&lt;BV942),"MAX &lt; MB+LG; ","")&amp;IF(AND(BZ942&gt;0,BY942*10&gt;BZ942),"zu hoch für Tablar; ","")&amp;IF(AND(BK942=0,OR(BT942=1,V942&lt;&gt;"",S942&lt;&gt;"",T942&lt;&gt;"",W942&lt;&gt;"")),"manuell übersteuert; ","")&amp;IF(AND(BO942=0,Q942=0),"Gebinde unbekannt; ","")&amp;IF(AND(BO942=0,N(T942)&lt;=0,N(P942)&lt;=0),"Menge pro Gebinde fehlt (Ist = 1 Gebinde); ","")&amp;BJ942)</f>
        <v/>
      </c>
      <c r="BC942" s="53" t="n"/>
      <c r="BD942" s="53" t="n"/>
      <c r="BE942" s="61" t="n"/>
      <c r="BF942" s="55" t="n">
        <v>-1</v>
      </c>
      <c r="BG942" s="55" t="n">
        <v>5</v>
      </c>
      <c r="BH942" s="54" t="n">
        <v>-54.77999999999997</v>
      </c>
      <c r="BI942" s="55" t="n">
        <v>8</v>
      </c>
      <c r="BJ942" s="53" t="inlineStr"/>
      <c r="BK942" s="58" t="n">
        <v>0</v>
      </c>
      <c r="BL942" s="58" t="n">
        <v>942</v>
      </c>
      <c r="BM942" s="53">
        <f>IF(S942&lt;&gt;"",UPPER(TRIM(S942)),IF(O942="","LOSE",O942))</f>
        <v/>
      </c>
      <c r="BN942" s="55">
        <f>IF(BM942="LOSE",1,IF(N(T942)&gt;0,T942,IF(N(P942)&gt;0,P942,MAX(1,G942))))</f>
        <v/>
      </c>
      <c r="BO942" s="58">
        <f>IF(BM942="LOSE",1,0)</f>
        <v/>
      </c>
      <c r="BP942" s="64">
        <f>IF(BO942=0,0,IF(N(R942)&gt;0,R942,IFERROR(VLOOKUP(D942,Parameter!$A$35:$C$64,3,0)+0,0)))</f>
        <v/>
      </c>
      <c r="BQ942" s="53">
        <f>IF(V942&lt;&gt;"",V942,U942)</f>
        <v/>
      </c>
      <c r="BR942" s="53">
        <f>IF(BQ942=1,"L1",IF(OR(BQ942=2,BQ942=3),"L23",IF(BQ942="Aussen","Aussen","-")))</f>
        <v/>
      </c>
      <c r="BS942" s="66">
        <f>IF(N(W942)&gt;0,W942,0)</f>
        <v/>
      </c>
      <c r="BT942" s="58">
        <f>IF(ISNUMBER(Z942),1,0)</f>
        <v/>
      </c>
      <c r="BU942" s="55">
        <f>N(Z942)</f>
        <v/>
      </c>
      <c r="BV942" s="55">
        <f>N(L942)+N(M942)</f>
        <v/>
      </c>
      <c r="BW942" s="55">
        <f>ROUNDUP(G942/BN942,0)</f>
        <v/>
      </c>
      <c r="BX942" s="55">
        <f>ROUNDUP(BU942/BN942,0)</f>
        <v/>
      </c>
      <c r="BY942" s="58">
        <f>IF(BO942=1,0,IFERROR(VLOOKUP(BM942,'Gebinde-Kategorie'!$A$5:$G$45,5,0)+0,0))</f>
        <v/>
      </c>
      <c r="BZ942" s="58">
        <f>IFERROR(IF(OR(BQ942=1,BQ942=2,BQ942=3),N(INDEX(Parameter!$I$5:$I$7,BQ942)),0),0)</f>
        <v/>
      </c>
    </row>
    <row r="943">
      <c r="A943" s="53" t="inlineStr">
        <is>
          <t>109519</t>
        </is>
      </c>
      <c r="B943" s="53" t="inlineStr">
        <is>
          <t>Gerade Einschraub-Verschraubung</t>
        </is>
      </c>
      <c r="C943" s="53" t="inlineStr">
        <is>
          <t>G</t>
        </is>
      </c>
      <c r="D943" s="53" t="inlineStr">
        <is>
          <t>KTL</t>
        </is>
      </c>
      <c r="E943" s="53" t="inlineStr">
        <is>
          <t>C</t>
        </is>
      </c>
      <c r="F943" s="54" t="n">
        <v>2.05</v>
      </c>
      <c r="G943" s="55">
        <f>MAX(0,IF(Parameter!$B$20="Jahresanfang 2025 + Export",BG943+BF943,BF943))</f>
        <v/>
      </c>
      <c r="H943" s="55">
        <f>G943*F943</f>
        <v/>
      </c>
      <c r="I943" s="55">
        <f>BI943*Parameter!$B$18</f>
        <v/>
      </c>
      <c r="J943" s="56" t="n">
        <v>27</v>
      </c>
      <c r="K943" s="57" t="n">
        <v>1</v>
      </c>
      <c r="L943" s="55" t="n">
        <v>1</v>
      </c>
      <c r="M943" s="55" t="n">
        <v>25</v>
      </c>
      <c r="N943" s="58" t="n">
        <v>21</v>
      </c>
      <c r="O943" s="53" t="inlineStr">
        <is>
          <t>LOSE</t>
        </is>
      </c>
      <c r="P943" s="55" t="n"/>
      <c r="Q943" s="59">
        <f>IF(BO943=1,0,IFERROR(VLOOKUP(BM943,'Gebinde-Kategorie'!$A$5:$G$45,6,0)+0,0))</f>
        <v/>
      </c>
      <c r="R943" s="60" t="n"/>
      <c r="S943" s="61" t="n"/>
      <c r="T943" s="61" t="n"/>
      <c r="U943" s="53">
        <f>IF(A943="","",IF(IFERROR(VLOOKUP(D943,Parameter!$A$35:$C$64,2,0),"Nein")="2+3",IF(ISNUMBER(SEARCH("grosser Artikel",BJ943)),2,IFERROR(VLOOKUP(BM943,Parameter!$F$35:$G$64,2,0),2)),IF(OR(IFERROR(VLOOKUP(D943,Parameter!$A$35:$C$64,2,0),"Nein")="Nein",IFERROR(VLOOKUP(D943,Parameter!$A$35:$C$64,2,0),"Nein")=""),"-",VLOOKUP(D943,Parameter!$A$35:$C$64,2,0))))</f>
        <v/>
      </c>
      <c r="V943" s="61" t="n"/>
      <c r="W943" s="62" t="n"/>
      <c r="X943" s="55">
        <f>AM943</f>
        <v/>
      </c>
      <c r="Y943" s="55">
        <f>MAX(AM943,G943)</f>
        <v/>
      </c>
      <c r="Z943" s="63" t="n"/>
      <c r="AA943" s="55">
        <f>IF(LEFT(Cockpit!$C$5,1)="A",G943,IF(BT943=1,BU943,IF(LEFT(Cockpit!$C$5,1)="B",AE943,MAX(AE943,G943))))</f>
        <v/>
      </c>
      <c r="AB943" s="55">
        <f>IF(BO943=1,0,ROUNDUP(AA943/BN943,0))</f>
        <v/>
      </c>
      <c r="AC943" s="64">
        <f>IF(BO943=1,IF(AA943&lt;=0,0,BP943*MAX(1,IF(G943&gt;0,AA943/G943,1))),AB943*Q943)</f>
        <v/>
      </c>
      <c r="AD943" s="55">
        <f>AA943*F943</f>
        <v/>
      </c>
      <c r="AE943" s="55">
        <f>ROUNDUP(MAX(I943/IF(BS943&gt;0,BS943,MAX(0.1,N(Cockpit!$C$6))),BV943)/BN943,0)*BN943</f>
        <v/>
      </c>
      <c r="AF943" s="56">
        <f>IF(AC943&gt;0,I943/AC943,-1)</f>
        <v/>
      </c>
      <c r="AG943" s="56">
        <f>IF(AND(OR(BR943="L1",BR943="L23"),AC943&gt;0),SUMIFS($AC$7:$AC$1570,$BR$7:$BR$1570,BR943,$AF$7:$AF$1570,"&gt;"&amp;AF943)+SUMIFS($AC$7:$AC$1570,$BR$7:$BR$1570,BR943,$AF$7:$AF$1570,AF943,$BL$7:$BL$1570,"&lt;="&amp;BL943),"")</f>
        <v/>
      </c>
      <c r="AH943" s="65">
        <f>IF(AG943="",0,MAX(0,MIN(1,(IF(BR943="L1",Parameter!$K$5,Parameter!$K$6+Parameter!$K$7)-(AG943-AC943))/AC943)))</f>
        <v/>
      </c>
      <c r="AI943" s="55">
        <f>IF(LEFT(Cockpit!$I$5,1)="A",G943,IF(BT943=1,BU943,IF(LEFT(Cockpit!$I$5,1)="B",AM943,MAX(AM943,G943))))</f>
        <v/>
      </c>
      <c r="AJ943" s="55">
        <f>IF(BO943=1,0,ROUNDUP(AI943/BN943,0))</f>
        <v/>
      </c>
      <c r="AK943" s="64">
        <f>IF(BO943=1,IF(AI943&lt;=0,0,BP943*MAX(1,IF(G943&gt;0,AI943/G943,1))),AJ943*Q943)</f>
        <v/>
      </c>
      <c r="AL943" s="55">
        <f>AI943*F943</f>
        <v/>
      </c>
      <c r="AM943" s="55">
        <f>ROUNDUP(MAX(I943/IF(BS943&gt;0,BS943,MAX(0.1,N(Cockpit!$I$6))),BV943)/BN943,0)*BN943</f>
        <v/>
      </c>
      <c r="AN943" s="56">
        <f>IF(AK943&gt;0,I943/AK943,-1)</f>
        <v/>
      </c>
      <c r="AO943" s="56">
        <f>IF(AND(OR(BR943="L1",BR943="L23"),AK943&gt;0),SUMIFS($AK$7:$AK$1570,$BR$7:$BR$1570,BR943,$AN$7:$AN$1570,"&gt;"&amp;AN943)+SUMIFS($AK$7:$AK$1570,$BR$7:$BR$1570,BR943,$AN$7:$AN$1570,AN943,$BL$7:$BL$1570,"&lt;="&amp;BL943),"")</f>
        <v/>
      </c>
      <c r="AP943" s="65">
        <f>IF(AO943="",0,MAX(0,MIN(1,(IF(BR943="L1",Parameter!$K$5,Parameter!$K$6+Parameter!$K$7)-(AO943-AK943))/AK943)))</f>
        <v/>
      </c>
      <c r="AQ943" s="55">
        <f>IF(LEFT(Cockpit!$O$5,1)="A",G943,IF(BT943=1,BU943,IF(LEFT(Cockpit!$O$5,1)="B",AU943,MAX(AU943,G943))))</f>
        <v/>
      </c>
      <c r="AR943" s="55">
        <f>IF(BO943=1,0,ROUNDUP(AQ943/BN943,0))</f>
        <v/>
      </c>
      <c r="AS943" s="64">
        <f>IF(BO943=1,IF(AQ943&lt;=0,0,BP943*MAX(1,IF(G943&gt;0,AQ943/G943,1))),AR943*Q943)</f>
        <v/>
      </c>
      <c r="AT943" s="55">
        <f>AQ943*F943</f>
        <v/>
      </c>
      <c r="AU943" s="55">
        <f>ROUNDUP(MAX(I943/IF(BS943&gt;0,BS943,MAX(0.1,N(Cockpit!$O$6))),BV943)/BN943,0)*BN943</f>
        <v/>
      </c>
      <c r="AV943" s="56">
        <f>IF(AS943&gt;0,I943/AS943,-1)</f>
        <v/>
      </c>
      <c r="AW943" s="56">
        <f>IF(AND(OR(BR943="L1",BR943="L23"),AS943&gt;0),SUMIFS($AS$7:$AS$1570,$BR$7:$BR$1570,BR943,$AV$7:$AV$1570,"&gt;"&amp;AV943)+SUMIFS($AS$7:$AS$1570,$BR$7:$BR$1570,BR943,$AV$7:$AV$1570,AV943,$BL$7:$BL$1570,"&lt;="&amp;BL943),"")</f>
        <v/>
      </c>
      <c r="AX943" s="65">
        <f>IF(AW943="",0,MAX(0,MIN(1,(IF(BR943="L1",Parameter!$K$5,Parameter!$K$6+Parameter!$K$7)-(AW943-AS943))/AS943)))</f>
        <v/>
      </c>
      <c r="AY943" s="53">
        <f>IF(AC943&lt;=0,"",IF(BR943="Aussen","Aussenlager",IF(BR943="-","Nicht im Lift",IF(AH943&gt;=1,"Lift",IF(AH943&lt;=0,"Aussenlager","teilweise")))))</f>
        <v/>
      </c>
      <c r="AZ943" s="53">
        <f>IF(AK943&lt;=0,"",IF(BR943="Aussen","Aussenlager",IF(BR943="-","Nicht im Lift",IF(AP943&gt;=1,"Lift",IF(AP943&lt;=0,"Aussenlager","teilweise")))))</f>
        <v/>
      </c>
      <c r="BA943" s="53">
        <f>IF(AS943&lt;=0,"",IF(BR943="Aussen","Aussenlager",IF(BR943="-","Nicht im Lift",IF(AX943&gt;=1,"Lift",IF(AX943&lt;=0,"Aussenlager","teilweise")))))</f>
        <v/>
      </c>
      <c r="BB943" s="53">
        <f>IF(A943="","",IF(BK943=1,"Neu; ","")&amp;IF(AND(BK943=0,BF943&lt;0),"negativer Bestand (Export "&amp;BF943&amp;"); ","")&amp;IF(I943&lt;=0,"Kein Verbrauch; ","")&amp;IF(BO943=1,"Lose – Fläche geschätzt; ","")&amp;IF(G943&gt;AM943,"Überbestand "&amp;ROUND(G943-AM943,0)&amp;" Stk / CHF "&amp;ROUND((G943-AM943)*F943,0)&amp;"; ","")&amp;IF(AND(BT943=1,BU943&lt;BV943),"MAX &lt; MB+LG; ","")&amp;IF(AND(BZ943&gt;0,BY943*10&gt;BZ943),"zu hoch für Tablar; ","")&amp;IF(AND(BK943=0,OR(BT943=1,V943&lt;&gt;"",S943&lt;&gt;"",T943&lt;&gt;"",W943&lt;&gt;"")),"manuell übersteuert; ","")&amp;IF(AND(BO943=0,Q943=0),"Gebinde unbekannt; ","")&amp;IF(AND(BO943=0,N(T943)&lt;=0,N(P943)&lt;=0),"Menge pro Gebinde fehlt (Ist = 1 Gebinde); ","")&amp;BJ943)</f>
        <v/>
      </c>
      <c r="BC943" s="53" t="n"/>
      <c r="BD943" s="53" t="n"/>
      <c r="BE943" s="61" t="n"/>
      <c r="BF943" s="55" t="n">
        <v>-27</v>
      </c>
      <c r="BG943" s="55" t="n">
        <v>54</v>
      </c>
      <c r="BH943" s="54" t="n">
        <v>-55.35</v>
      </c>
      <c r="BI943" s="55" t="n">
        <v>27</v>
      </c>
      <c r="BJ943" s="53" t="inlineStr"/>
      <c r="BK943" s="58" t="n">
        <v>0</v>
      </c>
      <c r="BL943" s="58" t="n">
        <v>943</v>
      </c>
      <c r="BM943" s="53">
        <f>IF(S943&lt;&gt;"",UPPER(TRIM(S943)),IF(O943="","LOSE",O943))</f>
        <v/>
      </c>
      <c r="BN943" s="55">
        <f>IF(BM943="LOSE",1,IF(N(T943)&gt;0,T943,IF(N(P943)&gt;0,P943,MAX(1,G943))))</f>
        <v/>
      </c>
      <c r="BO943" s="58">
        <f>IF(BM943="LOSE",1,0)</f>
        <v/>
      </c>
      <c r="BP943" s="64">
        <f>IF(BO943=0,0,IF(N(R943)&gt;0,R943,IFERROR(VLOOKUP(D943,Parameter!$A$35:$C$64,3,0)+0,0)))</f>
        <v/>
      </c>
      <c r="BQ943" s="53">
        <f>IF(V943&lt;&gt;"",V943,U943)</f>
        <v/>
      </c>
      <c r="BR943" s="53">
        <f>IF(BQ943=1,"L1",IF(OR(BQ943=2,BQ943=3),"L23",IF(BQ943="Aussen","Aussen","-")))</f>
        <v/>
      </c>
      <c r="BS943" s="66">
        <f>IF(N(W943)&gt;0,W943,0)</f>
        <v/>
      </c>
      <c r="BT943" s="58">
        <f>IF(ISNUMBER(Z943),1,0)</f>
        <v/>
      </c>
      <c r="BU943" s="55">
        <f>N(Z943)</f>
        <v/>
      </c>
      <c r="BV943" s="55">
        <f>N(L943)+N(M943)</f>
        <v/>
      </c>
      <c r="BW943" s="55">
        <f>ROUNDUP(G943/BN943,0)</f>
        <v/>
      </c>
      <c r="BX943" s="55">
        <f>ROUNDUP(BU943/BN943,0)</f>
        <v/>
      </c>
      <c r="BY943" s="58">
        <f>IF(BO943=1,0,IFERROR(VLOOKUP(BM943,'Gebinde-Kategorie'!$A$5:$G$45,5,0)+0,0))</f>
        <v/>
      </c>
      <c r="BZ943" s="58">
        <f>IFERROR(IF(OR(BQ943=1,BQ943=2,BQ943=3),N(INDEX(Parameter!$I$5:$I$7,BQ943)),0),0)</f>
        <v/>
      </c>
    </row>
    <row r="944">
      <c r="A944" s="53" t="inlineStr">
        <is>
          <t>109506</t>
        </is>
      </c>
      <c r="B944" s="53" t="inlineStr">
        <is>
          <t>T-Stück</t>
        </is>
      </c>
      <c r="C944" s="53" t="inlineStr">
        <is>
          <t>G</t>
        </is>
      </c>
      <c r="D944" s="53" t="inlineStr">
        <is>
          <t>KTL</t>
        </is>
      </c>
      <c r="E944" s="53" t="inlineStr">
        <is>
          <t>C</t>
        </is>
      </c>
      <c r="F944" s="54" t="n">
        <v>6.15</v>
      </c>
      <c r="G944" s="55">
        <f>MAX(0,IF(Parameter!$B$20="Jahresanfang 2025 + Export",BG944+BF944,BF944))</f>
        <v/>
      </c>
      <c r="H944" s="55">
        <f>G944*F944</f>
        <v/>
      </c>
      <c r="I944" s="55">
        <f>BI944*Parameter!$B$18</f>
        <v/>
      </c>
      <c r="J944" s="56" t="n">
        <v>9</v>
      </c>
      <c r="K944" s="57" t="n">
        <v>1</v>
      </c>
      <c r="L944" s="55" t="n">
        <v>0</v>
      </c>
      <c r="M944" s="55" t="n">
        <v>10</v>
      </c>
      <c r="N944" s="58" t="n">
        <v>21</v>
      </c>
      <c r="O944" s="53" t="inlineStr">
        <is>
          <t>LOSE</t>
        </is>
      </c>
      <c r="P944" s="55" t="n"/>
      <c r="Q944" s="59">
        <f>IF(BO944=1,0,IFERROR(VLOOKUP(BM944,'Gebinde-Kategorie'!$A$5:$G$45,6,0)+0,0))</f>
        <v/>
      </c>
      <c r="R944" s="60" t="n"/>
      <c r="S944" s="61" t="n"/>
      <c r="T944" s="61" t="n"/>
      <c r="U944" s="53">
        <f>IF(A944="","",IF(IFERROR(VLOOKUP(D944,Parameter!$A$35:$C$64,2,0),"Nein")="2+3",IF(ISNUMBER(SEARCH("grosser Artikel",BJ944)),2,IFERROR(VLOOKUP(BM944,Parameter!$F$35:$G$64,2,0),2)),IF(OR(IFERROR(VLOOKUP(D944,Parameter!$A$35:$C$64,2,0),"Nein")="Nein",IFERROR(VLOOKUP(D944,Parameter!$A$35:$C$64,2,0),"Nein")=""),"-",VLOOKUP(D944,Parameter!$A$35:$C$64,2,0))))</f>
        <v/>
      </c>
      <c r="V944" s="61" t="n"/>
      <c r="W944" s="62" t="n"/>
      <c r="X944" s="55">
        <f>AM944</f>
        <v/>
      </c>
      <c r="Y944" s="55">
        <f>MAX(AM944,G944)</f>
        <v/>
      </c>
      <c r="Z944" s="63" t="n"/>
      <c r="AA944" s="55">
        <f>IF(LEFT(Cockpit!$C$5,1)="A",G944,IF(BT944=1,BU944,IF(LEFT(Cockpit!$C$5,1)="B",AE944,MAX(AE944,G944))))</f>
        <v/>
      </c>
      <c r="AB944" s="55">
        <f>IF(BO944=1,0,ROUNDUP(AA944/BN944,0))</f>
        <v/>
      </c>
      <c r="AC944" s="64">
        <f>IF(BO944=1,IF(AA944&lt;=0,0,BP944*MAX(1,IF(G944&gt;0,AA944/G944,1))),AB944*Q944)</f>
        <v/>
      </c>
      <c r="AD944" s="55">
        <f>AA944*F944</f>
        <v/>
      </c>
      <c r="AE944" s="55">
        <f>ROUNDUP(MAX(I944/IF(BS944&gt;0,BS944,MAX(0.1,N(Cockpit!$C$6))),BV944)/BN944,0)*BN944</f>
        <v/>
      </c>
      <c r="AF944" s="56">
        <f>IF(AC944&gt;0,I944/AC944,-1)</f>
        <v/>
      </c>
      <c r="AG944" s="56">
        <f>IF(AND(OR(BR944="L1",BR944="L23"),AC944&gt;0),SUMIFS($AC$7:$AC$1570,$BR$7:$BR$1570,BR944,$AF$7:$AF$1570,"&gt;"&amp;AF944)+SUMIFS($AC$7:$AC$1570,$BR$7:$BR$1570,BR944,$AF$7:$AF$1570,AF944,$BL$7:$BL$1570,"&lt;="&amp;BL944),"")</f>
        <v/>
      </c>
      <c r="AH944" s="65">
        <f>IF(AG944="",0,MAX(0,MIN(1,(IF(BR944="L1",Parameter!$K$5,Parameter!$K$6+Parameter!$K$7)-(AG944-AC944))/AC944)))</f>
        <v/>
      </c>
      <c r="AI944" s="55">
        <f>IF(LEFT(Cockpit!$I$5,1)="A",G944,IF(BT944=1,BU944,IF(LEFT(Cockpit!$I$5,1)="B",AM944,MAX(AM944,G944))))</f>
        <v/>
      </c>
      <c r="AJ944" s="55">
        <f>IF(BO944=1,0,ROUNDUP(AI944/BN944,0))</f>
        <v/>
      </c>
      <c r="AK944" s="64">
        <f>IF(BO944=1,IF(AI944&lt;=0,0,BP944*MAX(1,IF(G944&gt;0,AI944/G944,1))),AJ944*Q944)</f>
        <v/>
      </c>
      <c r="AL944" s="55">
        <f>AI944*F944</f>
        <v/>
      </c>
      <c r="AM944" s="55">
        <f>ROUNDUP(MAX(I944/IF(BS944&gt;0,BS944,MAX(0.1,N(Cockpit!$I$6))),BV944)/BN944,0)*BN944</f>
        <v/>
      </c>
      <c r="AN944" s="56">
        <f>IF(AK944&gt;0,I944/AK944,-1)</f>
        <v/>
      </c>
      <c r="AO944" s="56">
        <f>IF(AND(OR(BR944="L1",BR944="L23"),AK944&gt;0),SUMIFS($AK$7:$AK$1570,$BR$7:$BR$1570,BR944,$AN$7:$AN$1570,"&gt;"&amp;AN944)+SUMIFS($AK$7:$AK$1570,$BR$7:$BR$1570,BR944,$AN$7:$AN$1570,AN944,$BL$7:$BL$1570,"&lt;="&amp;BL944),"")</f>
        <v/>
      </c>
      <c r="AP944" s="65">
        <f>IF(AO944="",0,MAX(0,MIN(1,(IF(BR944="L1",Parameter!$K$5,Parameter!$K$6+Parameter!$K$7)-(AO944-AK944))/AK944)))</f>
        <v/>
      </c>
      <c r="AQ944" s="55">
        <f>IF(LEFT(Cockpit!$O$5,1)="A",G944,IF(BT944=1,BU944,IF(LEFT(Cockpit!$O$5,1)="B",AU944,MAX(AU944,G944))))</f>
        <v/>
      </c>
      <c r="AR944" s="55">
        <f>IF(BO944=1,0,ROUNDUP(AQ944/BN944,0))</f>
        <v/>
      </c>
      <c r="AS944" s="64">
        <f>IF(BO944=1,IF(AQ944&lt;=0,0,BP944*MAX(1,IF(G944&gt;0,AQ944/G944,1))),AR944*Q944)</f>
        <v/>
      </c>
      <c r="AT944" s="55">
        <f>AQ944*F944</f>
        <v/>
      </c>
      <c r="AU944" s="55">
        <f>ROUNDUP(MAX(I944/IF(BS944&gt;0,BS944,MAX(0.1,N(Cockpit!$O$6))),BV944)/BN944,0)*BN944</f>
        <v/>
      </c>
      <c r="AV944" s="56">
        <f>IF(AS944&gt;0,I944/AS944,-1)</f>
        <v/>
      </c>
      <c r="AW944" s="56">
        <f>IF(AND(OR(BR944="L1",BR944="L23"),AS944&gt;0),SUMIFS($AS$7:$AS$1570,$BR$7:$BR$1570,BR944,$AV$7:$AV$1570,"&gt;"&amp;AV944)+SUMIFS($AS$7:$AS$1570,$BR$7:$BR$1570,BR944,$AV$7:$AV$1570,AV944,$BL$7:$BL$1570,"&lt;="&amp;BL944),"")</f>
        <v/>
      </c>
      <c r="AX944" s="65">
        <f>IF(AW944="",0,MAX(0,MIN(1,(IF(BR944="L1",Parameter!$K$5,Parameter!$K$6+Parameter!$K$7)-(AW944-AS944))/AS944)))</f>
        <v/>
      </c>
      <c r="AY944" s="53">
        <f>IF(AC944&lt;=0,"",IF(BR944="Aussen","Aussenlager",IF(BR944="-","Nicht im Lift",IF(AH944&gt;=1,"Lift",IF(AH944&lt;=0,"Aussenlager","teilweise")))))</f>
        <v/>
      </c>
      <c r="AZ944" s="53">
        <f>IF(AK944&lt;=0,"",IF(BR944="Aussen","Aussenlager",IF(BR944="-","Nicht im Lift",IF(AP944&gt;=1,"Lift",IF(AP944&lt;=0,"Aussenlager","teilweise")))))</f>
        <v/>
      </c>
      <c r="BA944" s="53">
        <f>IF(AS944&lt;=0,"",IF(BR944="Aussen","Aussenlager",IF(BR944="-","Nicht im Lift",IF(AX944&gt;=1,"Lift",IF(AX944&lt;=0,"Aussenlager","teilweise")))))</f>
        <v/>
      </c>
      <c r="BB944" s="53">
        <f>IF(A944="","",IF(BK944=1,"Neu; ","")&amp;IF(AND(BK944=0,BF944&lt;0),"negativer Bestand (Export "&amp;BF944&amp;"); ","")&amp;IF(I944&lt;=0,"Kein Verbrauch; ","")&amp;IF(BO944=1,"Lose – Fläche geschätzt; ","")&amp;IF(G944&gt;AM944,"Überbestand "&amp;ROUND(G944-AM944,0)&amp;" Stk / CHF "&amp;ROUND((G944-AM944)*F944,0)&amp;"; ","")&amp;IF(AND(BT944=1,BU944&lt;BV944),"MAX &lt; MB+LG; ","")&amp;IF(AND(BZ944&gt;0,BY944*10&gt;BZ944),"zu hoch für Tablar; ","")&amp;IF(AND(BK944=0,OR(BT944=1,V944&lt;&gt;"",S944&lt;&gt;"",T944&lt;&gt;"",W944&lt;&gt;"")),"manuell übersteuert; ","")&amp;IF(AND(BO944=0,Q944=0),"Gebinde unbekannt; ","")&amp;IF(AND(BO944=0,N(T944)&lt;=0,N(P944)&lt;=0),"Menge pro Gebinde fehlt (Ist = 1 Gebinde); ","")&amp;BJ944)</f>
        <v/>
      </c>
      <c r="BC944" s="53" t="n"/>
      <c r="BD944" s="53" t="n"/>
      <c r="BE944" s="61" t="n"/>
      <c r="BF944" s="55" t="n">
        <v>-9</v>
      </c>
      <c r="BG944" s="55" t="n">
        <v>18</v>
      </c>
      <c r="BH944" s="54" t="n">
        <v>-55.35</v>
      </c>
      <c r="BI944" s="55" t="n">
        <v>9</v>
      </c>
      <c r="BJ944" s="53" t="inlineStr"/>
      <c r="BK944" s="58" t="n">
        <v>0</v>
      </c>
      <c r="BL944" s="58" t="n">
        <v>944</v>
      </c>
      <c r="BM944" s="53">
        <f>IF(S944&lt;&gt;"",UPPER(TRIM(S944)),IF(O944="","LOSE",O944))</f>
        <v/>
      </c>
      <c r="BN944" s="55">
        <f>IF(BM944="LOSE",1,IF(N(T944)&gt;0,T944,IF(N(P944)&gt;0,P944,MAX(1,G944))))</f>
        <v/>
      </c>
      <c r="BO944" s="58">
        <f>IF(BM944="LOSE",1,0)</f>
        <v/>
      </c>
      <c r="BP944" s="64">
        <f>IF(BO944=0,0,IF(N(R944)&gt;0,R944,IFERROR(VLOOKUP(D944,Parameter!$A$35:$C$64,3,0)+0,0)))</f>
        <v/>
      </c>
      <c r="BQ944" s="53">
        <f>IF(V944&lt;&gt;"",V944,U944)</f>
        <v/>
      </c>
      <c r="BR944" s="53">
        <f>IF(BQ944=1,"L1",IF(OR(BQ944=2,BQ944=3),"L23",IF(BQ944="Aussen","Aussen","-")))</f>
        <v/>
      </c>
      <c r="BS944" s="66">
        <f>IF(N(W944)&gt;0,W944,0)</f>
        <v/>
      </c>
      <c r="BT944" s="58">
        <f>IF(ISNUMBER(Z944),1,0)</f>
        <v/>
      </c>
      <c r="BU944" s="55">
        <f>N(Z944)</f>
        <v/>
      </c>
      <c r="BV944" s="55">
        <f>N(L944)+N(M944)</f>
        <v/>
      </c>
      <c r="BW944" s="55">
        <f>ROUNDUP(G944/BN944,0)</f>
        <v/>
      </c>
      <c r="BX944" s="55">
        <f>ROUNDUP(BU944/BN944,0)</f>
        <v/>
      </c>
      <c r="BY944" s="58">
        <f>IF(BO944=1,0,IFERROR(VLOOKUP(BM944,'Gebinde-Kategorie'!$A$5:$G$45,5,0)+0,0))</f>
        <v/>
      </c>
      <c r="BZ944" s="58">
        <f>IFERROR(IF(OR(BQ944=1,BQ944=2,BQ944=3),N(INDEX(Parameter!$I$5:$I$7,BQ944)),0),0)</f>
        <v/>
      </c>
    </row>
    <row r="945">
      <c r="A945" s="53" t="inlineStr">
        <is>
          <t>005310</t>
        </is>
      </c>
      <c r="B945" s="53" t="inlineStr">
        <is>
          <t>Zugplatte</t>
        </is>
      </c>
      <c r="C945" s="53" t="inlineStr">
        <is>
          <t>F</t>
        </is>
      </c>
      <c r="D945" s="53" t="inlineStr">
        <is>
          <t>KTL</t>
        </is>
      </c>
      <c r="E945" s="53" t="inlineStr">
        <is>
          <t>C</t>
        </is>
      </c>
      <c r="F945" s="54" t="n">
        <v>28</v>
      </c>
      <c r="G945" s="55">
        <f>MAX(0,IF(Parameter!$B$20="Jahresanfang 2025 + Export",BG945+BF945,BF945))</f>
        <v/>
      </c>
      <c r="H945" s="55">
        <f>G945*F945</f>
        <v/>
      </c>
      <c r="I945" s="55">
        <f>BI945*Parameter!$B$18</f>
        <v/>
      </c>
      <c r="J945" s="56" t="n">
        <v>1</v>
      </c>
      <c r="K945" s="57" t="n">
        <v>0</v>
      </c>
      <c r="L945" s="55" t="n">
        <v>0</v>
      </c>
      <c r="M945" s="55" t="n">
        <v>1</v>
      </c>
      <c r="N945" s="58" t="n">
        <v>49</v>
      </c>
      <c r="O945" s="53" t="inlineStr">
        <is>
          <t>LOSE</t>
        </is>
      </c>
      <c r="P945" s="55" t="n"/>
      <c r="Q945" s="59">
        <f>IF(BO945=1,0,IFERROR(VLOOKUP(BM945,'Gebinde-Kategorie'!$A$5:$G$45,6,0)+0,0))</f>
        <v/>
      </c>
      <c r="R945" s="60" t="n"/>
      <c r="S945" s="61" t="n"/>
      <c r="T945" s="61" t="n"/>
      <c r="U945" s="53">
        <f>IF(A945="","",IF(IFERROR(VLOOKUP(D945,Parameter!$A$35:$C$64,2,0),"Nein")="2+3",IF(ISNUMBER(SEARCH("grosser Artikel",BJ945)),2,IFERROR(VLOOKUP(BM945,Parameter!$F$35:$G$64,2,0),2)),IF(OR(IFERROR(VLOOKUP(D945,Parameter!$A$35:$C$64,2,0),"Nein")="Nein",IFERROR(VLOOKUP(D945,Parameter!$A$35:$C$64,2,0),"Nein")=""),"-",VLOOKUP(D945,Parameter!$A$35:$C$64,2,0))))</f>
        <v/>
      </c>
      <c r="V945" s="61" t="n"/>
      <c r="W945" s="62" t="n"/>
      <c r="X945" s="55">
        <f>AM945</f>
        <v/>
      </c>
      <c r="Y945" s="55">
        <f>MAX(AM945,G945)</f>
        <v/>
      </c>
      <c r="Z945" s="63" t="n"/>
      <c r="AA945" s="55">
        <f>IF(LEFT(Cockpit!$C$5,1)="A",G945,IF(BT945=1,BU945,IF(LEFT(Cockpit!$C$5,1)="B",AE945,MAX(AE945,G945))))</f>
        <v/>
      </c>
      <c r="AB945" s="55">
        <f>IF(BO945=1,0,ROUNDUP(AA945/BN945,0))</f>
        <v/>
      </c>
      <c r="AC945" s="64">
        <f>IF(BO945=1,IF(AA945&lt;=0,0,BP945*MAX(1,IF(G945&gt;0,AA945/G945,1))),AB945*Q945)</f>
        <v/>
      </c>
      <c r="AD945" s="55">
        <f>AA945*F945</f>
        <v/>
      </c>
      <c r="AE945" s="55">
        <f>ROUNDUP(MAX(I945/IF(BS945&gt;0,BS945,MAX(0.1,N(Cockpit!$C$6))),BV945)/BN945,0)*BN945</f>
        <v/>
      </c>
      <c r="AF945" s="56">
        <f>IF(AC945&gt;0,I945/AC945,-1)</f>
        <v/>
      </c>
      <c r="AG945" s="56">
        <f>IF(AND(OR(BR945="L1",BR945="L23"),AC945&gt;0),SUMIFS($AC$7:$AC$1570,$BR$7:$BR$1570,BR945,$AF$7:$AF$1570,"&gt;"&amp;AF945)+SUMIFS($AC$7:$AC$1570,$BR$7:$BR$1570,BR945,$AF$7:$AF$1570,AF945,$BL$7:$BL$1570,"&lt;="&amp;BL945),"")</f>
        <v/>
      </c>
      <c r="AH945" s="65">
        <f>IF(AG945="",0,MAX(0,MIN(1,(IF(BR945="L1",Parameter!$K$5,Parameter!$K$6+Parameter!$K$7)-(AG945-AC945))/AC945)))</f>
        <v/>
      </c>
      <c r="AI945" s="55">
        <f>IF(LEFT(Cockpit!$I$5,1)="A",G945,IF(BT945=1,BU945,IF(LEFT(Cockpit!$I$5,1)="B",AM945,MAX(AM945,G945))))</f>
        <v/>
      </c>
      <c r="AJ945" s="55">
        <f>IF(BO945=1,0,ROUNDUP(AI945/BN945,0))</f>
        <v/>
      </c>
      <c r="AK945" s="64">
        <f>IF(BO945=1,IF(AI945&lt;=0,0,BP945*MAX(1,IF(G945&gt;0,AI945/G945,1))),AJ945*Q945)</f>
        <v/>
      </c>
      <c r="AL945" s="55">
        <f>AI945*F945</f>
        <v/>
      </c>
      <c r="AM945" s="55">
        <f>ROUNDUP(MAX(I945/IF(BS945&gt;0,BS945,MAX(0.1,N(Cockpit!$I$6))),BV945)/BN945,0)*BN945</f>
        <v/>
      </c>
      <c r="AN945" s="56">
        <f>IF(AK945&gt;0,I945/AK945,-1)</f>
        <v/>
      </c>
      <c r="AO945" s="56">
        <f>IF(AND(OR(BR945="L1",BR945="L23"),AK945&gt;0),SUMIFS($AK$7:$AK$1570,$BR$7:$BR$1570,BR945,$AN$7:$AN$1570,"&gt;"&amp;AN945)+SUMIFS($AK$7:$AK$1570,$BR$7:$BR$1570,BR945,$AN$7:$AN$1570,AN945,$BL$7:$BL$1570,"&lt;="&amp;BL945),"")</f>
        <v/>
      </c>
      <c r="AP945" s="65">
        <f>IF(AO945="",0,MAX(0,MIN(1,(IF(BR945="L1",Parameter!$K$5,Parameter!$K$6+Parameter!$K$7)-(AO945-AK945))/AK945)))</f>
        <v/>
      </c>
      <c r="AQ945" s="55">
        <f>IF(LEFT(Cockpit!$O$5,1)="A",G945,IF(BT945=1,BU945,IF(LEFT(Cockpit!$O$5,1)="B",AU945,MAX(AU945,G945))))</f>
        <v/>
      </c>
      <c r="AR945" s="55">
        <f>IF(BO945=1,0,ROUNDUP(AQ945/BN945,0))</f>
        <v/>
      </c>
      <c r="AS945" s="64">
        <f>IF(BO945=1,IF(AQ945&lt;=0,0,BP945*MAX(1,IF(G945&gt;0,AQ945/G945,1))),AR945*Q945)</f>
        <v/>
      </c>
      <c r="AT945" s="55">
        <f>AQ945*F945</f>
        <v/>
      </c>
      <c r="AU945" s="55">
        <f>ROUNDUP(MAX(I945/IF(BS945&gt;0,BS945,MAX(0.1,N(Cockpit!$O$6))),BV945)/BN945,0)*BN945</f>
        <v/>
      </c>
      <c r="AV945" s="56">
        <f>IF(AS945&gt;0,I945/AS945,-1)</f>
        <v/>
      </c>
      <c r="AW945" s="56">
        <f>IF(AND(OR(BR945="L1",BR945="L23"),AS945&gt;0),SUMIFS($AS$7:$AS$1570,$BR$7:$BR$1570,BR945,$AV$7:$AV$1570,"&gt;"&amp;AV945)+SUMIFS($AS$7:$AS$1570,$BR$7:$BR$1570,BR945,$AV$7:$AV$1570,AV945,$BL$7:$BL$1570,"&lt;="&amp;BL945),"")</f>
        <v/>
      </c>
      <c r="AX945" s="65">
        <f>IF(AW945="",0,MAX(0,MIN(1,(IF(BR945="L1",Parameter!$K$5,Parameter!$K$6+Parameter!$K$7)-(AW945-AS945))/AS945)))</f>
        <v/>
      </c>
      <c r="AY945" s="53">
        <f>IF(AC945&lt;=0,"",IF(BR945="Aussen","Aussenlager",IF(BR945="-","Nicht im Lift",IF(AH945&gt;=1,"Lift",IF(AH945&lt;=0,"Aussenlager","teilweise")))))</f>
        <v/>
      </c>
      <c r="AZ945" s="53">
        <f>IF(AK945&lt;=0,"",IF(BR945="Aussen","Aussenlager",IF(BR945="-","Nicht im Lift",IF(AP945&gt;=1,"Lift",IF(AP945&lt;=0,"Aussenlager","teilweise")))))</f>
        <v/>
      </c>
      <c r="BA945" s="53">
        <f>IF(AS945&lt;=0,"",IF(BR945="Aussen","Aussenlager",IF(BR945="-","Nicht im Lift",IF(AX945&gt;=1,"Lift",IF(AX945&lt;=0,"Aussenlager","teilweise")))))</f>
        <v/>
      </c>
      <c r="BB945" s="53">
        <f>IF(A945="","",IF(BK945=1,"Neu; ","")&amp;IF(AND(BK945=0,BF945&lt;0),"negativer Bestand (Export "&amp;BF945&amp;"); ","")&amp;IF(I945&lt;=0,"Kein Verbrauch; ","")&amp;IF(BO945=1,"Lose – Fläche geschätzt; ","")&amp;IF(G945&gt;AM945,"Überbestand "&amp;ROUND(G945-AM945,0)&amp;" Stk / CHF "&amp;ROUND((G945-AM945)*F945,0)&amp;"; ","")&amp;IF(AND(BT945=1,BU945&lt;BV945),"MAX &lt; MB+LG; ","")&amp;IF(AND(BZ945&gt;0,BY945*10&gt;BZ945),"zu hoch für Tablar; ","")&amp;IF(AND(BK945=0,OR(BT945=1,V945&lt;&gt;"",S945&lt;&gt;"",T945&lt;&gt;"",W945&lt;&gt;"")),"manuell übersteuert; ","")&amp;IF(AND(BO945=0,Q945=0),"Gebinde unbekannt; ","")&amp;IF(AND(BO945=0,N(T945)&lt;=0,N(P945)&lt;=0),"Menge pro Gebinde fehlt (Ist = 1 Gebinde); ","")&amp;BJ945)</f>
        <v/>
      </c>
      <c r="BC945" s="53" t="n"/>
      <c r="BD945" s="53" t="n"/>
      <c r="BE945" s="61" t="n"/>
      <c r="BF945" s="55" t="n">
        <v>-2</v>
      </c>
      <c r="BG945" s="55" t="n">
        <v>2</v>
      </c>
      <c r="BH945" s="54" t="n">
        <v>-56</v>
      </c>
      <c r="BI945" s="55" t="n">
        <v>0</v>
      </c>
      <c r="BJ945" s="53" t="inlineStr"/>
      <c r="BK945" s="58" t="n">
        <v>0</v>
      </c>
      <c r="BL945" s="58" t="n">
        <v>945</v>
      </c>
      <c r="BM945" s="53">
        <f>IF(S945&lt;&gt;"",UPPER(TRIM(S945)),IF(O945="","LOSE",O945))</f>
        <v/>
      </c>
      <c r="BN945" s="55">
        <f>IF(BM945="LOSE",1,IF(N(T945)&gt;0,T945,IF(N(P945)&gt;0,P945,MAX(1,G945))))</f>
        <v/>
      </c>
      <c r="BO945" s="58">
        <f>IF(BM945="LOSE",1,0)</f>
        <v/>
      </c>
      <c r="BP945" s="64">
        <f>IF(BO945=0,0,IF(N(R945)&gt;0,R945,IFERROR(VLOOKUP(D945,Parameter!$A$35:$C$64,3,0)+0,0)))</f>
        <v/>
      </c>
      <c r="BQ945" s="53">
        <f>IF(V945&lt;&gt;"",V945,U945)</f>
        <v/>
      </c>
      <c r="BR945" s="53">
        <f>IF(BQ945=1,"L1",IF(OR(BQ945=2,BQ945=3),"L23",IF(BQ945="Aussen","Aussen","-")))</f>
        <v/>
      </c>
      <c r="BS945" s="66">
        <f>IF(N(W945)&gt;0,W945,0)</f>
        <v/>
      </c>
      <c r="BT945" s="58">
        <f>IF(ISNUMBER(Z945),1,0)</f>
        <v/>
      </c>
      <c r="BU945" s="55">
        <f>N(Z945)</f>
        <v/>
      </c>
      <c r="BV945" s="55">
        <f>N(L945)+N(M945)</f>
        <v/>
      </c>
      <c r="BW945" s="55">
        <f>ROUNDUP(G945/BN945,0)</f>
        <v/>
      </c>
      <c r="BX945" s="55">
        <f>ROUNDUP(BU945/BN945,0)</f>
        <v/>
      </c>
      <c r="BY945" s="58">
        <f>IF(BO945=1,0,IFERROR(VLOOKUP(BM945,'Gebinde-Kategorie'!$A$5:$G$45,5,0)+0,0))</f>
        <v/>
      </c>
      <c r="BZ945" s="58">
        <f>IFERROR(IF(OR(BQ945=1,BQ945=2,BQ945=3),N(INDEX(Parameter!$I$5:$I$7,BQ945)),0),0)</f>
        <v/>
      </c>
    </row>
    <row r="946">
      <c r="A946" s="53" t="inlineStr">
        <is>
          <t>002040</t>
        </is>
      </c>
      <c r="B946" s="53" t="inlineStr">
        <is>
          <t>Rollgabelschlüssel</t>
        </is>
      </c>
      <c r="C946" s="53" t="inlineStr">
        <is>
          <t>F</t>
        </is>
      </c>
      <c r="D946" s="53" t="inlineStr">
        <is>
          <t>KTL</t>
        </is>
      </c>
      <c r="E946" s="53" t="inlineStr">
        <is>
          <t>C</t>
        </is>
      </c>
      <c r="F946" s="54" t="n">
        <v>18.9</v>
      </c>
      <c r="G946" s="55">
        <f>MAX(0,IF(Parameter!$B$20="Jahresanfang 2025 + Export",BG946+BF946,BF946))</f>
        <v/>
      </c>
      <c r="H946" s="55">
        <f>G946*F946</f>
        <v/>
      </c>
      <c r="I946" s="55">
        <f>BI946*Parameter!$B$18</f>
        <v/>
      </c>
      <c r="J946" s="56" t="n">
        <v>3.5</v>
      </c>
      <c r="K946" s="57" t="n">
        <v>2.285714285714286</v>
      </c>
      <c r="L946" s="55" t="n">
        <v>0</v>
      </c>
      <c r="M946" s="55" t="n">
        <v>10</v>
      </c>
      <c r="N946" s="58" t="n">
        <v>21</v>
      </c>
      <c r="O946" s="53" t="inlineStr">
        <is>
          <t>S51</t>
        </is>
      </c>
      <c r="P946" s="55" t="n">
        <v>10</v>
      </c>
      <c r="Q946" s="59">
        <f>IF(BO946=1,0,IFERROR(VLOOKUP(BM946,'Gebinde-Kategorie'!$A$5:$G$45,6,0)+0,0))</f>
        <v/>
      </c>
      <c r="R946" s="60" t="n"/>
      <c r="S946" s="61" t="n"/>
      <c r="T946" s="61" t="n"/>
      <c r="U946" s="53">
        <f>IF(A946="","",IF(IFERROR(VLOOKUP(D946,Parameter!$A$35:$C$64,2,0),"Nein")="2+3",IF(ISNUMBER(SEARCH("grosser Artikel",BJ946)),2,IFERROR(VLOOKUP(BM946,Parameter!$F$35:$G$64,2,0),2)),IF(OR(IFERROR(VLOOKUP(D946,Parameter!$A$35:$C$64,2,0),"Nein")="Nein",IFERROR(VLOOKUP(D946,Parameter!$A$35:$C$64,2,0),"Nein")=""),"-",VLOOKUP(D946,Parameter!$A$35:$C$64,2,0))))</f>
        <v/>
      </c>
      <c r="V946" s="61" t="n"/>
      <c r="W946" s="62" t="n"/>
      <c r="X946" s="55">
        <f>AM946</f>
        <v/>
      </c>
      <c r="Y946" s="55">
        <f>MAX(AM946,G946)</f>
        <v/>
      </c>
      <c r="Z946" s="63" t="n"/>
      <c r="AA946" s="55">
        <f>IF(LEFT(Cockpit!$C$5,1)="A",G946,IF(BT946=1,BU946,IF(LEFT(Cockpit!$C$5,1)="B",AE946,MAX(AE946,G946))))</f>
        <v/>
      </c>
      <c r="AB946" s="55">
        <f>IF(BO946=1,0,ROUNDUP(AA946/BN946,0))</f>
        <v/>
      </c>
      <c r="AC946" s="64">
        <f>IF(BO946=1,IF(AA946&lt;=0,0,BP946*MAX(1,IF(G946&gt;0,AA946/G946,1))),AB946*Q946)</f>
        <v/>
      </c>
      <c r="AD946" s="55">
        <f>AA946*F946</f>
        <v/>
      </c>
      <c r="AE946" s="55">
        <f>ROUNDUP(MAX(I946/IF(BS946&gt;0,BS946,MAX(0.1,N(Cockpit!$C$6))),BV946)/BN946,0)*BN946</f>
        <v/>
      </c>
      <c r="AF946" s="56">
        <f>IF(AC946&gt;0,I946/AC946,-1)</f>
        <v/>
      </c>
      <c r="AG946" s="56">
        <f>IF(AND(OR(BR946="L1",BR946="L23"),AC946&gt;0),SUMIFS($AC$7:$AC$1570,$BR$7:$BR$1570,BR946,$AF$7:$AF$1570,"&gt;"&amp;AF946)+SUMIFS($AC$7:$AC$1570,$BR$7:$BR$1570,BR946,$AF$7:$AF$1570,AF946,$BL$7:$BL$1570,"&lt;="&amp;BL946),"")</f>
        <v/>
      </c>
      <c r="AH946" s="65">
        <f>IF(AG946="",0,MAX(0,MIN(1,(IF(BR946="L1",Parameter!$K$5,Parameter!$K$6+Parameter!$K$7)-(AG946-AC946))/AC946)))</f>
        <v/>
      </c>
      <c r="AI946" s="55">
        <f>IF(LEFT(Cockpit!$I$5,1)="A",G946,IF(BT946=1,BU946,IF(LEFT(Cockpit!$I$5,1)="B",AM946,MAX(AM946,G946))))</f>
        <v/>
      </c>
      <c r="AJ946" s="55">
        <f>IF(BO946=1,0,ROUNDUP(AI946/BN946,0))</f>
        <v/>
      </c>
      <c r="AK946" s="64">
        <f>IF(BO946=1,IF(AI946&lt;=0,0,BP946*MAX(1,IF(G946&gt;0,AI946/G946,1))),AJ946*Q946)</f>
        <v/>
      </c>
      <c r="AL946" s="55">
        <f>AI946*F946</f>
        <v/>
      </c>
      <c r="AM946" s="55">
        <f>ROUNDUP(MAX(I946/IF(BS946&gt;0,BS946,MAX(0.1,N(Cockpit!$I$6))),BV946)/BN946,0)*BN946</f>
        <v/>
      </c>
      <c r="AN946" s="56">
        <f>IF(AK946&gt;0,I946/AK946,-1)</f>
        <v/>
      </c>
      <c r="AO946" s="56">
        <f>IF(AND(OR(BR946="L1",BR946="L23"),AK946&gt;0),SUMIFS($AK$7:$AK$1570,$BR$7:$BR$1570,BR946,$AN$7:$AN$1570,"&gt;"&amp;AN946)+SUMIFS($AK$7:$AK$1570,$BR$7:$BR$1570,BR946,$AN$7:$AN$1570,AN946,$BL$7:$BL$1570,"&lt;="&amp;BL946),"")</f>
        <v/>
      </c>
      <c r="AP946" s="65">
        <f>IF(AO946="",0,MAX(0,MIN(1,(IF(BR946="L1",Parameter!$K$5,Parameter!$K$6+Parameter!$K$7)-(AO946-AK946))/AK946)))</f>
        <v/>
      </c>
      <c r="AQ946" s="55">
        <f>IF(LEFT(Cockpit!$O$5,1)="A",G946,IF(BT946=1,BU946,IF(LEFT(Cockpit!$O$5,1)="B",AU946,MAX(AU946,G946))))</f>
        <v/>
      </c>
      <c r="AR946" s="55">
        <f>IF(BO946=1,0,ROUNDUP(AQ946/BN946,0))</f>
        <v/>
      </c>
      <c r="AS946" s="64">
        <f>IF(BO946=1,IF(AQ946&lt;=0,0,BP946*MAX(1,IF(G946&gt;0,AQ946/G946,1))),AR946*Q946)</f>
        <v/>
      </c>
      <c r="AT946" s="55">
        <f>AQ946*F946</f>
        <v/>
      </c>
      <c r="AU946" s="55">
        <f>ROUNDUP(MAX(I946/IF(BS946&gt;0,BS946,MAX(0.1,N(Cockpit!$O$6))),BV946)/BN946,0)*BN946</f>
        <v/>
      </c>
      <c r="AV946" s="56">
        <f>IF(AS946&gt;0,I946/AS946,-1)</f>
        <v/>
      </c>
      <c r="AW946" s="56">
        <f>IF(AND(OR(BR946="L1",BR946="L23"),AS946&gt;0),SUMIFS($AS$7:$AS$1570,$BR$7:$BR$1570,BR946,$AV$7:$AV$1570,"&gt;"&amp;AV946)+SUMIFS($AS$7:$AS$1570,$BR$7:$BR$1570,BR946,$AV$7:$AV$1570,AV946,$BL$7:$BL$1570,"&lt;="&amp;BL946),"")</f>
        <v/>
      </c>
      <c r="AX946" s="65">
        <f>IF(AW946="",0,MAX(0,MIN(1,(IF(BR946="L1",Parameter!$K$5,Parameter!$K$6+Parameter!$K$7)-(AW946-AS946))/AS946)))</f>
        <v/>
      </c>
      <c r="AY946" s="53">
        <f>IF(AC946&lt;=0,"",IF(BR946="Aussen","Aussenlager",IF(BR946="-","Nicht im Lift",IF(AH946&gt;=1,"Lift",IF(AH946&lt;=0,"Aussenlager","teilweise")))))</f>
        <v/>
      </c>
      <c r="AZ946" s="53">
        <f>IF(AK946&lt;=0,"",IF(BR946="Aussen","Aussenlager",IF(BR946="-","Nicht im Lift",IF(AP946&gt;=1,"Lift",IF(AP946&lt;=0,"Aussenlager","teilweise")))))</f>
        <v/>
      </c>
      <c r="BA946" s="53">
        <f>IF(AS946&lt;=0,"",IF(BR946="Aussen","Aussenlager",IF(BR946="-","Nicht im Lift",IF(AX946&gt;=1,"Lift",IF(AX946&lt;=0,"Aussenlager","teilweise")))))</f>
        <v/>
      </c>
      <c r="BB946" s="53">
        <f>IF(A946="","",IF(BK946=1,"Neu; ","")&amp;IF(AND(BK946=0,BF946&lt;0),"negativer Bestand (Export "&amp;BF946&amp;"); ","")&amp;IF(I946&lt;=0,"Kein Verbrauch; ","")&amp;IF(BO946=1,"Lose – Fläche geschätzt; ","")&amp;IF(G946&gt;AM946,"Überbestand "&amp;ROUND(G946-AM946,0)&amp;" Stk / CHF "&amp;ROUND((G946-AM946)*F946,0)&amp;"; ","")&amp;IF(AND(BT946=1,BU946&lt;BV946),"MAX &lt; MB+LG; ","")&amp;IF(AND(BZ946&gt;0,BY946*10&gt;BZ946),"zu hoch für Tablar; ","")&amp;IF(AND(BK946=0,OR(BT946=1,V946&lt;&gt;"",S946&lt;&gt;"",T946&lt;&gt;"",W946&lt;&gt;"")),"manuell übersteuert; ","")&amp;IF(AND(BO946=0,Q946=0),"Gebinde unbekannt; ","")&amp;IF(AND(BO946=0,N(T946)&lt;=0,N(P946)&lt;=0),"Menge pro Gebinde fehlt (Ist = 1 Gebinde); ","")&amp;BJ946)</f>
        <v/>
      </c>
      <c r="BC946" s="53" t="n"/>
      <c r="BD946" s="53" t="n"/>
      <c r="BE946" s="61" t="n"/>
      <c r="BF946" s="55" t="n">
        <v>-3</v>
      </c>
      <c r="BG946" s="55" t="n">
        <v>5</v>
      </c>
      <c r="BH946" s="54" t="n">
        <v>-56.7</v>
      </c>
      <c r="BI946" s="55" t="n">
        <v>8</v>
      </c>
      <c r="BJ946" s="53" t="inlineStr"/>
      <c r="BK946" s="58" t="n">
        <v>0</v>
      </c>
      <c r="BL946" s="58" t="n">
        <v>946</v>
      </c>
      <c r="BM946" s="53">
        <f>IF(S946&lt;&gt;"",UPPER(TRIM(S946)),IF(O946="","LOSE",O946))</f>
        <v/>
      </c>
      <c r="BN946" s="55">
        <f>IF(BM946="LOSE",1,IF(N(T946)&gt;0,T946,IF(N(P946)&gt;0,P946,MAX(1,G946))))</f>
        <v/>
      </c>
      <c r="BO946" s="58">
        <f>IF(BM946="LOSE",1,0)</f>
        <v/>
      </c>
      <c r="BP946" s="64">
        <f>IF(BO946=0,0,IF(N(R946)&gt;0,R946,IFERROR(VLOOKUP(D946,Parameter!$A$35:$C$64,3,0)+0,0)))</f>
        <v/>
      </c>
      <c r="BQ946" s="53">
        <f>IF(V946&lt;&gt;"",V946,U946)</f>
        <v/>
      </c>
      <c r="BR946" s="53">
        <f>IF(BQ946=1,"L1",IF(OR(BQ946=2,BQ946=3),"L23",IF(BQ946="Aussen","Aussen","-")))</f>
        <v/>
      </c>
      <c r="BS946" s="66">
        <f>IF(N(W946)&gt;0,W946,0)</f>
        <v/>
      </c>
      <c r="BT946" s="58">
        <f>IF(ISNUMBER(Z946),1,0)</f>
        <v/>
      </c>
      <c r="BU946" s="55">
        <f>N(Z946)</f>
        <v/>
      </c>
      <c r="BV946" s="55">
        <f>N(L946)+N(M946)</f>
        <v/>
      </c>
      <c r="BW946" s="55">
        <f>ROUNDUP(G946/BN946,0)</f>
        <v/>
      </c>
      <c r="BX946" s="55">
        <f>ROUNDUP(BU946/BN946,0)</f>
        <v/>
      </c>
      <c r="BY946" s="58">
        <f>IF(BO946=1,0,IFERROR(VLOOKUP(BM946,'Gebinde-Kategorie'!$A$5:$G$45,5,0)+0,0))</f>
        <v/>
      </c>
      <c r="BZ946" s="58">
        <f>IFERROR(IF(OR(BQ946=1,BQ946=2,BQ946=3),N(INDEX(Parameter!$I$5:$I$7,BQ946)),0),0)</f>
        <v/>
      </c>
    </row>
    <row r="947">
      <c r="A947" s="53" t="inlineStr">
        <is>
          <t>103232</t>
        </is>
      </c>
      <c r="B947" s="53" t="inlineStr">
        <is>
          <t>Halter, vertikale Aufhängung EG10 Serie</t>
        </is>
      </c>
      <c r="C947" s="53" t="inlineStr">
        <is>
          <t>F</t>
        </is>
      </c>
      <c r="D947" s="53" t="inlineStr">
        <is>
          <t>KTL</t>
        </is>
      </c>
      <c r="E947" s="53" t="inlineStr">
        <is>
          <t>C</t>
        </is>
      </c>
      <c r="F947" s="54" t="n">
        <v>28.49</v>
      </c>
      <c r="G947" s="55">
        <f>MAX(0,IF(Parameter!$B$20="Jahresanfang 2025 + Export",BG947+BF947,BF947))</f>
        <v/>
      </c>
      <c r="H947" s="55">
        <f>G947*F947</f>
        <v/>
      </c>
      <c r="I947" s="55">
        <f>BI947*Parameter!$B$18</f>
        <v/>
      </c>
      <c r="J947" s="56" t="n">
        <v>4</v>
      </c>
      <c r="K947" s="57" t="n">
        <v>0</v>
      </c>
      <c r="L947" s="55" t="n">
        <v>0</v>
      </c>
      <c r="M947" s="55" t="n">
        <v>1</v>
      </c>
      <c r="N947" s="58" t="n">
        <v>28</v>
      </c>
      <c r="O947" s="53" t="inlineStr">
        <is>
          <t>S41</t>
        </is>
      </c>
      <c r="P947" s="55" t="n">
        <v>3</v>
      </c>
      <c r="Q947" s="59">
        <f>IF(BO947=1,0,IFERROR(VLOOKUP(BM947,'Gebinde-Kategorie'!$A$5:$G$45,6,0)+0,0))</f>
        <v/>
      </c>
      <c r="R947" s="60" t="n"/>
      <c r="S947" s="61" t="n"/>
      <c r="T947" s="61" t="n"/>
      <c r="U947" s="53">
        <f>IF(A947="","",IF(IFERROR(VLOOKUP(D947,Parameter!$A$35:$C$64,2,0),"Nein")="2+3",IF(ISNUMBER(SEARCH("grosser Artikel",BJ947)),2,IFERROR(VLOOKUP(BM947,Parameter!$F$35:$G$64,2,0),2)),IF(OR(IFERROR(VLOOKUP(D947,Parameter!$A$35:$C$64,2,0),"Nein")="Nein",IFERROR(VLOOKUP(D947,Parameter!$A$35:$C$64,2,0),"Nein")=""),"-",VLOOKUP(D947,Parameter!$A$35:$C$64,2,0))))</f>
        <v/>
      </c>
      <c r="V947" s="61" t="n"/>
      <c r="W947" s="62" t="n"/>
      <c r="X947" s="55">
        <f>AM947</f>
        <v/>
      </c>
      <c r="Y947" s="55">
        <f>MAX(AM947,G947)</f>
        <v/>
      </c>
      <c r="Z947" s="63" t="n"/>
      <c r="AA947" s="55">
        <f>IF(LEFT(Cockpit!$C$5,1)="A",G947,IF(BT947=1,BU947,IF(LEFT(Cockpit!$C$5,1)="B",AE947,MAX(AE947,G947))))</f>
        <v/>
      </c>
      <c r="AB947" s="55">
        <f>IF(BO947=1,0,ROUNDUP(AA947/BN947,0))</f>
        <v/>
      </c>
      <c r="AC947" s="64">
        <f>IF(BO947=1,IF(AA947&lt;=0,0,BP947*MAX(1,IF(G947&gt;0,AA947/G947,1))),AB947*Q947)</f>
        <v/>
      </c>
      <c r="AD947" s="55">
        <f>AA947*F947</f>
        <v/>
      </c>
      <c r="AE947" s="55">
        <f>ROUNDUP(MAX(I947/IF(BS947&gt;0,BS947,MAX(0.1,N(Cockpit!$C$6))),BV947)/BN947,0)*BN947</f>
        <v/>
      </c>
      <c r="AF947" s="56">
        <f>IF(AC947&gt;0,I947/AC947,-1)</f>
        <v/>
      </c>
      <c r="AG947" s="56">
        <f>IF(AND(OR(BR947="L1",BR947="L23"),AC947&gt;0),SUMIFS($AC$7:$AC$1570,$BR$7:$BR$1570,BR947,$AF$7:$AF$1570,"&gt;"&amp;AF947)+SUMIFS($AC$7:$AC$1570,$BR$7:$BR$1570,BR947,$AF$7:$AF$1570,AF947,$BL$7:$BL$1570,"&lt;="&amp;BL947),"")</f>
        <v/>
      </c>
      <c r="AH947" s="65">
        <f>IF(AG947="",0,MAX(0,MIN(1,(IF(BR947="L1",Parameter!$K$5,Parameter!$K$6+Parameter!$K$7)-(AG947-AC947))/AC947)))</f>
        <v/>
      </c>
      <c r="AI947" s="55">
        <f>IF(LEFT(Cockpit!$I$5,1)="A",G947,IF(BT947=1,BU947,IF(LEFT(Cockpit!$I$5,1)="B",AM947,MAX(AM947,G947))))</f>
        <v/>
      </c>
      <c r="AJ947" s="55">
        <f>IF(BO947=1,0,ROUNDUP(AI947/BN947,0))</f>
        <v/>
      </c>
      <c r="AK947" s="64">
        <f>IF(BO947=1,IF(AI947&lt;=0,0,BP947*MAX(1,IF(G947&gt;0,AI947/G947,1))),AJ947*Q947)</f>
        <v/>
      </c>
      <c r="AL947" s="55">
        <f>AI947*F947</f>
        <v/>
      </c>
      <c r="AM947" s="55">
        <f>ROUNDUP(MAX(I947/IF(BS947&gt;0,BS947,MAX(0.1,N(Cockpit!$I$6))),BV947)/BN947,0)*BN947</f>
        <v/>
      </c>
      <c r="AN947" s="56">
        <f>IF(AK947&gt;0,I947/AK947,-1)</f>
        <v/>
      </c>
      <c r="AO947" s="56">
        <f>IF(AND(OR(BR947="L1",BR947="L23"),AK947&gt;0),SUMIFS($AK$7:$AK$1570,$BR$7:$BR$1570,BR947,$AN$7:$AN$1570,"&gt;"&amp;AN947)+SUMIFS($AK$7:$AK$1570,$BR$7:$BR$1570,BR947,$AN$7:$AN$1570,AN947,$BL$7:$BL$1570,"&lt;="&amp;BL947),"")</f>
        <v/>
      </c>
      <c r="AP947" s="65">
        <f>IF(AO947="",0,MAX(0,MIN(1,(IF(BR947="L1",Parameter!$K$5,Parameter!$K$6+Parameter!$K$7)-(AO947-AK947))/AK947)))</f>
        <v/>
      </c>
      <c r="AQ947" s="55">
        <f>IF(LEFT(Cockpit!$O$5,1)="A",G947,IF(BT947=1,BU947,IF(LEFT(Cockpit!$O$5,1)="B",AU947,MAX(AU947,G947))))</f>
        <v/>
      </c>
      <c r="AR947" s="55">
        <f>IF(BO947=1,0,ROUNDUP(AQ947/BN947,0))</f>
        <v/>
      </c>
      <c r="AS947" s="64">
        <f>IF(BO947=1,IF(AQ947&lt;=0,0,BP947*MAX(1,IF(G947&gt;0,AQ947/G947,1))),AR947*Q947)</f>
        <v/>
      </c>
      <c r="AT947" s="55">
        <f>AQ947*F947</f>
        <v/>
      </c>
      <c r="AU947" s="55">
        <f>ROUNDUP(MAX(I947/IF(BS947&gt;0,BS947,MAX(0.1,N(Cockpit!$O$6))),BV947)/BN947,0)*BN947</f>
        <v/>
      </c>
      <c r="AV947" s="56">
        <f>IF(AS947&gt;0,I947/AS947,-1)</f>
        <v/>
      </c>
      <c r="AW947" s="56">
        <f>IF(AND(OR(BR947="L1",BR947="L23"),AS947&gt;0),SUMIFS($AS$7:$AS$1570,$BR$7:$BR$1570,BR947,$AV$7:$AV$1570,"&gt;"&amp;AV947)+SUMIFS($AS$7:$AS$1570,$BR$7:$BR$1570,BR947,$AV$7:$AV$1570,AV947,$BL$7:$BL$1570,"&lt;="&amp;BL947),"")</f>
        <v/>
      </c>
      <c r="AX947" s="65">
        <f>IF(AW947="",0,MAX(0,MIN(1,(IF(BR947="L1",Parameter!$K$5,Parameter!$K$6+Parameter!$K$7)-(AW947-AS947))/AS947)))</f>
        <v/>
      </c>
      <c r="AY947" s="53">
        <f>IF(AC947&lt;=0,"",IF(BR947="Aussen","Aussenlager",IF(BR947="-","Nicht im Lift",IF(AH947&gt;=1,"Lift",IF(AH947&lt;=0,"Aussenlager","teilweise")))))</f>
        <v/>
      </c>
      <c r="AZ947" s="53">
        <f>IF(AK947&lt;=0,"",IF(BR947="Aussen","Aussenlager",IF(BR947="-","Nicht im Lift",IF(AP947&gt;=1,"Lift",IF(AP947&lt;=0,"Aussenlager","teilweise")))))</f>
        <v/>
      </c>
      <c r="BA947" s="53">
        <f>IF(AS947&lt;=0,"",IF(BR947="Aussen","Aussenlager",IF(BR947="-","Nicht im Lift",IF(AX947&gt;=1,"Lift",IF(AX947&lt;=0,"Aussenlager","teilweise")))))</f>
        <v/>
      </c>
      <c r="BB947" s="53">
        <f>IF(A947="","",IF(BK947=1,"Neu; ","")&amp;IF(AND(BK947=0,BF947&lt;0),"negativer Bestand (Export "&amp;BF947&amp;"); ","")&amp;IF(I947&lt;=0,"Kein Verbrauch; ","")&amp;IF(BO947=1,"Lose – Fläche geschätzt; ","")&amp;IF(G947&gt;AM947,"Überbestand "&amp;ROUND(G947-AM947,0)&amp;" Stk / CHF "&amp;ROUND((G947-AM947)*F947,0)&amp;"; ","")&amp;IF(AND(BT947=1,BU947&lt;BV947),"MAX &lt; MB+LG; ","")&amp;IF(AND(BZ947&gt;0,BY947*10&gt;BZ947),"zu hoch für Tablar; ","")&amp;IF(AND(BK947=0,OR(BT947=1,V947&lt;&gt;"",S947&lt;&gt;"",T947&lt;&gt;"",W947&lt;&gt;"")),"manuell übersteuert; ","")&amp;IF(AND(BO947=0,Q947=0),"Gebinde unbekannt; ","")&amp;IF(AND(BO947=0,N(T947)&lt;=0,N(P947)&lt;=0),"Menge pro Gebinde fehlt (Ist = 1 Gebinde); ","")&amp;BJ947)</f>
        <v/>
      </c>
      <c r="BC947" s="53" t="n"/>
      <c r="BD947" s="53" t="n"/>
      <c r="BE947" s="61" t="n"/>
      <c r="BF947" s="55" t="n">
        <v>-2</v>
      </c>
      <c r="BG947" s="55" t="n">
        <v>4</v>
      </c>
      <c r="BH947" s="54" t="n">
        <v>-56.98</v>
      </c>
      <c r="BI947" s="55" t="n">
        <v>0</v>
      </c>
      <c r="BJ947" s="53" t="inlineStr"/>
      <c r="BK947" s="58" t="n">
        <v>0</v>
      </c>
      <c r="BL947" s="58" t="n">
        <v>947</v>
      </c>
      <c r="BM947" s="53">
        <f>IF(S947&lt;&gt;"",UPPER(TRIM(S947)),IF(O947="","LOSE",O947))</f>
        <v/>
      </c>
      <c r="BN947" s="55">
        <f>IF(BM947="LOSE",1,IF(N(T947)&gt;0,T947,IF(N(P947)&gt;0,P947,MAX(1,G947))))</f>
        <v/>
      </c>
      <c r="BO947" s="58">
        <f>IF(BM947="LOSE",1,0)</f>
        <v/>
      </c>
      <c r="BP947" s="64">
        <f>IF(BO947=0,0,IF(N(R947)&gt;0,R947,IFERROR(VLOOKUP(D947,Parameter!$A$35:$C$64,3,0)+0,0)))</f>
        <v/>
      </c>
      <c r="BQ947" s="53">
        <f>IF(V947&lt;&gt;"",V947,U947)</f>
        <v/>
      </c>
      <c r="BR947" s="53">
        <f>IF(BQ947=1,"L1",IF(OR(BQ947=2,BQ947=3),"L23",IF(BQ947="Aussen","Aussen","-")))</f>
        <v/>
      </c>
      <c r="BS947" s="66">
        <f>IF(N(W947)&gt;0,W947,0)</f>
        <v/>
      </c>
      <c r="BT947" s="58">
        <f>IF(ISNUMBER(Z947),1,0)</f>
        <v/>
      </c>
      <c r="BU947" s="55">
        <f>N(Z947)</f>
        <v/>
      </c>
      <c r="BV947" s="55">
        <f>N(L947)+N(M947)</f>
        <v/>
      </c>
      <c r="BW947" s="55">
        <f>ROUNDUP(G947/BN947,0)</f>
        <v/>
      </c>
      <c r="BX947" s="55">
        <f>ROUNDUP(BU947/BN947,0)</f>
        <v/>
      </c>
      <c r="BY947" s="58">
        <f>IF(BO947=1,0,IFERROR(VLOOKUP(BM947,'Gebinde-Kategorie'!$A$5:$G$45,5,0)+0,0))</f>
        <v/>
      </c>
      <c r="BZ947" s="58">
        <f>IFERROR(IF(OR(BQ947=1,BQ947=2,BQ947=3),N(INDEX(Parameter!$I$5:$I$7,BQ947)),0),0)</f>
        <v/>
      </c>
    </row>
    <row r="948">
      <c r="A948" s="53" t="inlineStr">
        <is>
          <t>001032</t>
        </is>
      </c>
      <c r="B948" s="53" t="inlineStr">
        <is>
          <t>Vaseline</t>
        </is>
      </c>
      <c r="C948" s="53" t="inlineStr">
        <is>
          <t>F</t>
        </is>
      </c>
      <c r="D948" s="53" t="inlineStr">
        <is>
          <t>KTL</t>
        </is>
      </c>
      <c r="E948" s="53" t="inlineStr">
        <is>
          <t>C</t>
        </is>
      </c>
      <c r="F948" s="54" t="n">
        <v>3.79</v>
      </c>
      <c r="G948" s="55">
        <f>MAX(0,IF(Parameter!$B$20="Jahresanfang 2025 + Export",BG948+BF948,BF948))</f>
        <v/>
      </c>
      <c r="H948" s="55">
        <f>G948*F948</f>
        <v/>
      </c>
      <c r="I948" s="55">
        <f>BI948*Parameter!$B$18</f>
        <v/>
      </c>
      <c r="J948" s="56" t="n">
        <v>28.5</v>
      </c>
      <c r="K948" s="57" t="n">
        <v>1.228070175438597</v>
      </c>
      <c r="L948" s="55" t="n">
        <v>1</v>
      </c>
      <c r="M948" s="55" t="n">
        <v>35</v>
      </c>
      <c r="N948" s="58" t="n">
        <v>14</v>
      </c>
      <c r="O948" s="53" t="inlineStr">
        <is>
          <t>S52</t>
        </is>
      </c>
      <c r="P948" s="55" t="n">
        <v>48</v>
      </c>
      <c r="Q948" s="59">
        <f>IF(BO948=1,0,IFERROR(VLOOKUP(BM948,'Gebinde-Kategorie'!$A$5:$G$45,6,0)+0,0))</f>
        <v/>
      </c>
      <c r="R948" s="60" t="n"/>
      <c r="S948" s="61" t="n"/>
      <c r="T948" s="61" t="n"/>
      <c r="U948" s="53">
        <f>IF(A948="","",IF(IFERROR(VLOOKUP(D948,Parameter!$A$35:$C$64,2,0),"Nein")="2+3",IF(ISNUMBER(SEARCH("grosser Artikel",BJ948)),2,IFERROR(VLOOKUP(BM948,Parameter!$F$35:$G$64,2,0),2)),IF(OR(IFERROR(VLOOKUP(D948,Parameter!$A$35:$C$64,2,0),"Nein")="Nein",IFERROR(VLOOKUP(D948,Parameter!$A$35:$C$64,2,0),"Nein")=""),"-",VLOOKUP(D948,Parameter!$A$35:$C$64,2,0))))</f>
        <v/>
      </c>
      <c r="V948" s="61" t="n"/>
      <c r="W948" s="62" t="n"/>
      <c r="X948" s="55">
        <f>AM948</f>
        <v/>
      </c>
      <c r="Y948" s="55">
        <f>MAX(AM948,G948)</f>
        <v/>
      </c>
      <c r="Z948" s="63" t="n"/>
      <c r="AA948" s="55">
        <f>IF(LEFT(Cockpit!$C$5,1)="A",G948,IF(BT948=1,BU948,IF(LEFT(Cockpit!$C$5,1)="B",AE948,MAX(AE948,G948))))</f>
        <v/>
      </c>
      <c r="AB948" s="55">
        <f>IF(BO948=1,0,ROUNDUP(AA948/BN948,0))</f>
        <v/>
      </c>
      <c r="AC948" s="64">
        <f>IF(BO948=1,IF(AA948&lt;=0,0,BP948*MAX(1,IF(G948&gt;0,AA948/G948,1))),AB948*Q948)</f>
        <v/>
      </c>
      <c r="AD948" s="55">
        <f>AA948*F948</f>
        <v/>
      </c>
      <c r="AE948" s="55">
        <f>ROUNDUP(MAX(I948/IF(BS948&gt;0,BS948,MAX(0.1,N(Cockpit!$C$6))),BV948)/BN948,0)*BN948</f>
        <v/>
      </c>
      <c r="AF948" s="56">
        <f>IF(AC948&gt;0,I948/AC948,-1)</f>
        <v/>
      </c>
      <c r="AG948" s="56">
        <f>IF(AND(OR(BR948="L1",BR948="L23"),AC948&gt;0),SUMIFS($AC$7:$AC$1570,$BR$7:$BR$1570,BR948,$AF$7:$AF$1570,"&gt;"&amp;AF948)+SUMIFS($AC$7:$AC$1570,$BR$7:$BR$1570,BR948,$AF$7:$AF$1570,AF948,$BL$7:$BL$1570,"&lt;="&amp;BL948),"")</f>
        <v/>
      </c>
      <c r="AH948" s="65">
        <f>IF(AG948="",0,MAX(0,MIN(1,(IF(BR948="L1",Parameter!$K$5,Parameter!$K$6+Parameter!$K$7)-(AG948-AC948))/AC948)))</f>
        <v/>
      </c>
      <c r="AI948" s="55">
        <f>IF(LEFT(Cockpit!$I$5,1)="A",G948,IF(BT948=1,BU948,IF(LEFT(Cockpit!$I$5,1)="B",AM948,MAX(AM948,G948))))</f>
        <v/>
      </c>
      <c r="AJ948" s="55">
        <f>IF(BO948=1,0,ROUNDUP(AI948/BN948,0))</f>
        <v/>
      </c>
      <c r="AK948" s="64">
        <f>IF(BO948=1,IF(AI948&lt;=0,0,BP948*MAX(1,IF(G948&gt;0,AI948/G948,1))),AJ948*Q948)</f>
        <v/>
      </c>
      <c r="AL948" s="55">
        <f>AI948*F948</f>
        <v/>
      </c>
      <c r="AM948" s="55">
        <f>ROUNDUP(MAX(I948/IF(BS948&gt;0,BS948,MAX(0.1,N(Cockpit!$I$6))),BV948)/BN948,0)*BN948</f>
        <v/>
      </c>
      <c r="AN948" s="56">
        <f>IF(AK948&gt;0,I948/AK948,-1)</f>
        <v/>
      </c>
      <c r="AO948" s="56">
        <f>IF(AND(OR(BR948="L1",BR948="L23"),AK948&gt;0),SUMIFS($AK$7:$AK$1570,$BR$7:$BR$1570,BR948,$AN$7:$AN$1570,"&gt;"&amp;AN948)+SUMIFS($AK$7:$AK$1570,$BR$7:$BR$1570,BR948,$AN$7:$AN$1570,AN948,$BL$7:$BL$1570,"&lt;="&amp;BL948),"")</f>
        <v/>
      </c>
      <c r="AP948" s="65">
        <f>IF(AO948="",0,MAX(0,MIN(1,(IF(BR948="L1",Parameter!$K$5,Parameter!$K$6+Parameter!$K$7)-(AO948-AK948))/AK948)))</f>
        <v/>
      </c>
      <c r="AQ948" s="55">
        <f>IF(LEFT(Cockpit!$O$5,1)="A",G948,IF(BT948=1,BU948,IF(LEFT(Cockpit!$O$5,1)="B",AU948,MAX(AU948,G948))))</f>
        <v/>
      </c>
      <c r="AR948" s="55">
        <f>IF(BO948=1,0,ROUNDUP(AQ948/BN948,0))</f>
        <v/>
      </c>
      <c r="AS948" s="64">
        <f>IF(BO948=1,IF(AQ948&lt;=0,0,BP948*MAX(1,IF(G948&gt;0,AQ948/G948,1))),AR948*Q948)</f>
        <v/>
      </c>
      <c r="AT948" s="55">
        <f>AQ948*F948</f>
        <v/>
      </c>
      <c r="AU948" s="55">
        <f>ROUNDUP(MAX(I948/IF(BS948&gt;0,BS948,MAX(0.1,N(Cockpit!$O$6))),BV948)/BN948,0)*BN948</f>
        <v/>
      </c>
      <c r="AV948" s="56">
        <f>IF(AS948&gt;0,I948/AS948,-1)</f>
        <v/>
      </c>
      <c r="AW948" s="56">
        <f>IF(AND(OR(BR948="L1",BR948="L23"),AS948&gt;0),SUMIFS($AS$7:$AS$1570,$BR$7:$BR$1570,BR948,$AV$7:$AV$1570,"&gt;"&amp;AV948)+SUMIFS($AS$7:$AS$1570,$BR$7:$BR$1570,BR948,$AV$7:$AV$1570,AV948,$BL$7:$BL$1570,"&lt;="&amp;BL948),"")</f>
        <v/>
      </c>
      <c r="AX948" s="65">
        <f>IF(AW948="",0,MAX(0,MIN(1,(IF(BR948="L1",Parameter!$K$5,Parameter!$K$6+Parameter!$K$7)-(AW948-AS948))/AS948)))</f>
        <v/>
      </c>
      <c r="AY948" s="53">
        <f>IF(AC948&lt;=0,"",IF(BR948="Aussen","Aussenlager",IF(BR948="-","Nicht im Lift",IF(AH948&gt;=1,"Lift",IF(AH948&lt;=0,"Aussenlager","teilweise")))))</f>
        <v/>
      </c>
      <c r="AZ948" s="53">
        <f>IF(AK948&lt;=0,"",IF(BR948="Aussen","Aussenlager",IF(BR948="-","Nicht im Lift",IF(AP948&gt;=1,"Lift",IF(AP948&lt;=0,"Aussenlager","teilweise")))))</f>
        <v/>
      </c>
      <c r="BA948" s="53">
        <f>IF(AS948&lt;=0,"",IF(BR948="Aussen","Aussenlager",IF(BR948="-","Nicht im Lift",IF(AX948&gt;=1,"Lift",IF(AX948&lt;=0,"Aussenlager","teilweise")))))</f>
        <v/>
      </c>
      <c r="BB948" s="53">
        <f>IF(A948="","",IF(BK948=1,"Neu; ","")&amp;IF(AND(BK948=0,BF948&lt;0),"negativer Bestand (Export "&amp;BF948&amp;"); ","")&amp;IF(I948&lt;=0,"Kein Verbrauch; ","")&amp;IF(BO948=1,"Lose – Fläche geschätzt; ","")&amp;IF(G948&gt;AM948,"Überbestand "&amp;ROUND(G948-AM948,0)&amp;" Stk / CHF "&amp;ROUND((G948-AM948)*F948,0)&amp;"; ","")&amp;IF(AND(BT948=1,BU948&lt;BV948),"MAX &lt; MB+LG; ","")&amp;IF(AND(BZ948&gt;0,BY948*10&gt;BZ948),"zu hoch für Tablar; ","")&amp;IF(AND(BK948=0,OR(BT948=1,V948&lt;&gt;"",S948&lt;&gt;"",T948&lt;&gt;"",W948&lt;&gt;"")),"manuell übersteuert; ","")&amp;IF(AND(BO948=0,Q948=0),"Gebinde unbekannt; ","")&amp;IF(AND(BO948=0,N(T948)&lt;=0,N(P948)&lt;=0),"Menge pro Gebinde fehlt (Ist = 1 Gebinde); ","")&amp;BJ948)</f>
        <v/>
      </c>
      <c r="BC948" s="53" t="n"/>
      <c r="BD948" s="53" t="n"/>
      <c r="BE948" s="61" t="n"/>
      <c r="BF948" s="55" t="n">
        <v>-14</v>
      </c>
      <c r="BG948" s="55" t="n">
        <v>36</v>
      </c>
      <c r="BH948" s="54" t="n">
        <v>-58.09999999999997</v>
      </c>
      <c r="BI948" s="55" t="n">
        <v>35</v>
      </c>
      <c r="BJ948" s="53" t="inlineStr"/>
      <c r="BK948" s="58" t="n">
        <v>0</v>
      </c>
      <c r="BL948" s="58" t="n">
        <v>948</v>
      </c>
      <c r="BM948" s="53">
        <f>IF(S948&lt;&gt;"",UPPER(TRIM(S948)),IF(O948="","LOSE",O948))</f>
        <v/>
      </c>
      <c r="BN948" s="55">
        <f>IF(BM948="LOSE",1,IF(N(T948)&gt;0,T948,IF(N(P948)&gt;0,P948,MAX(1,G948))))</f>
        <v/>
      </c>
      <c r="BO948" s="58">
        <f>IF(BM948="LOSE",1,0)</f>
        <v/>
      </c>
      <c r="BP948" s="64">
        <f>IF(BO948=0,0,IF(N(R948)&gt;0,R948,IFERROR(VLOOKUP(D948,Parameter!$A$35:$C$64,3,0)+0,0)))</f>
        <v/>
      </c>
      <c r="BQ948" s="53">
        <f>IF(V948&lt;&gt;"",V948,U948)</f>
        <v/>
      </c>
      <c r="BR948" s="53">
        <f>IF(BQ948=1,"L1",IF(OR(BQ948=2,BQ948=3),"L23",IF(BQ948="Aussen","Aussen","-")))</f>
        <v/>
      </c>
      <c r="BS948" s="66">
        <f>IF(N(W948)&gt;0,W948,0)</f>
        <v/>
      </c>
      <c r="BT948" s="58">
        <f>IF(ISNUMBER(Z948),1,0)</f>
        <v/>
      </c>
      <c r="BU948" s="55">
        <f>N(Z948)</f>
        <v/>
      </c>
      <c r="BV948" s="55">
        <f>N(L948)+N(M948)</f>
        <v/>
      </c>
      <c r="BW948" s="55">
        <f>ROUNDUP(G948/BN948,0)</f>
        <v/>
      </c>
      <c r="BX948" s="55">
        <f>ROUNDUP(BU948/BN948,0)</f>
        <v/>
      </c>
      <c r="BY948" s="58">
        <f>IF(BO948=1,0,IFERROR(VLOOKUP(BM948,'Gebinde-Kategorie'!$A$5:$G$45,5,0)+0,0))</f>
        <v/>
      </c>
      <c r="BZ948" s="58">
        <f>IFERROR(IF(OR(BQ948=1,BQ948=2,BQ948=3),N(INDEX(Parameter!$I$5:$I$7,BQ948)),0),0)</f>
        <v/>
      </c>
    </row>
    <row r="949">
      <c r="A949" s="53" t="inlineStr">
        <is>
          <t>005303</t>
        </is>
      </c>
      <c r="B949" s="53" t="inlineStr">
        <is>
          <t>O-Ring</t>
        </is>
      </c>
      <c r="C949" s="53" t="inlineStr">
        <is>
          <t>F</t>
        </is>
      </c>
      <c r="D949" s="53" t="inlineStr">
        <is>
          <t>KTL</t>
        </is>
      </c>
      <c r="E949" s="53" t="inlineStr">
        <is>
          <t>C</t>
        </is>
      </c>
      <c r="F949" s="54" t="n">
        <v>0.84</v>
      </c>
      <c r="G949" s="55">
        <f>MAX(0,IF(Parameter!$B$20="Jahresanfang 2025 + Export",BG949+BF949,BF949))</f>
        <v/>
      </c>
      <c r="H949" s="55">
        <f>G949*F949</f>
        <v/>
      </c>
      <c r="I949" s="55">
        <f>BI949*Parameter!$B$18</f>
        <v/>
      </c>
      <c r="J949" s="56" t="n">
        <v>196.5</v>
      </c>
      <c r="K949" s="57" t="n">
        <v>0.6921119592875318</v>
      </c>
      <c r="L949" s="55" t="n">
        <v>5</v>
      </c>
      <c r="M949" s="55" t="n">
        <v>135</v>
      </c>
      <c r="N949" s="58" t="n">
        <v>14</v>
      </c>
      <c r="O949" s="53" t="inlineStr">
        <is>
          <t>S33</t>
        </is>
      </c>
      <c r="P949" s="55" t="n">
        <v>371</v>
      </c>
      <c r="Q949" s="59">
        <f>IF(BO949=1,0,IFERROR(VLOOKUP(BM949,'Gebinde-Kategorie'!$A$5:$G$45,6,0)+0,0))</f>
        <v/>
      </c>
      <c r="R949" s="60" t="n"/>
      <c r="S949" s="61" t="n"/>
      <c r="T949" s="61" t="n"/>
      <c r="U949" s="53">
        <f>IF(A949="","",IF(IFERROR(VLOOKUP(D949,Parameter!$A$35:$C$64,2,0),"Nein")="2+3",IF(ISNUMBER(SEARCH("grosser Artikel",BJ949)),2,IFERROR(VLOOKUP(BM949,Parameter!$F$35:$G$64,2,0),2)),IF(OR(IFERROR(VLOOKUP(D949,Parameter!$A$35:$C$64,2,0),"Nein")="Nein",IFERROR(VLOOKUP(D949,Parameter!$A$35:$C$64,2,0),"Nein")=""),"-",VLOOKUP(D949,Parameter!$A$35:$C$64,2,0))))</f>
        <v/>
      </c>
      <c r="V949" s="61" t="n"/>
      <c r="W949" s="62" t="n"/>
      <c r="X949" s="55">
        <f>AM949</f>
        <v/>
      </c>
      <c r="Y949" s="55">
        <f>MAX(AM949,G949)</f>
        <v/>
      </c>
      <c r="Z949" s="63" t="n"/>
      <c r="AA949" s="55">
        <f>IF(LEFT(Cockpit!$C$5,1)="A",G949,IF(BT949=1,BU949,IF(LEFT(Cockpit!$C$5,1)="B",AE949,MAX(AE949,G949))))</f>
        <v/>
      </c>
      <c r="AB949" s="55">
        <f>IF(BO949=1,0,ROUNDUP(AA949/BN949,0))</f>
        <v/>
      </c>
      <c r="AC949" s="64">
        <f>IF(BO949=1,IF(AA949&lt;=0,0,BP949*MAX(1,IF(G949&gt;0,AA949/G949,1))),AB949*Q949)</f>
        <v/>
      </c>
      <c r="AD949" s="55">
        <f>AA949*F949</f>
        <v/>
      </c>
      <c r="AE949" s="55">
        <f>ROUNDUP(MAX(I949/IF(BS949&gt;0,BS949,MAX(0.1,N(Cockpit!$C$6))),BV949)/BN949,0)*BN949</f>
        <v/>
      </c>
      <c r="AF949" s="56">
        <f>IF(AC949&gt;0,I949/AC949,-1)</f>
        <v/>
      </c>
      <c r="AG949" s="56">
        <f>IF(AND(OR(BR949="L1",BR949="L23"),AC949&gt;0),SUMIFS($AC$7:$AC$1570,$BR$7:$BR$1570,BR949,$AF$7:$AF$1570,"&gt;"&amp;AF949)+SUMIFS($AC$7:$AC$1570,$BR$7:$BR$1570,BR949,$AF$7:$AF$1570,AF949,$BL$7:$BL$1570,"&lt;="&amp;BL949),"")</f>
        <v/>
      </c>
      <c r="AH949" s="65">
        <f>IF(AG949="",0,MAX(0,MIN(1,(IF(BR949="L1",Parameter!$K$5,Parameter!$K$6+Parameter!$K$7)-(AG949-AC949))/AC949)))</f>
        <v/>
      </c>
      <c r="AI949" s="55">
        <f>IF(LEFT(Cockpit!$I$5,1)="A",G949,IF(BT949=1,BU949,IF(LEFT(Cockpit!$I$5,1)="B",AM949,MAX(AM949,G949))))</f>
        <v/>
      </c>
      <c r="AJ949" s="55">
        <f>IF(BO949=1,0,ROUNDUP(AI949/BN949,0))</f>
        <v/>
      </c>
      <c r="AK949" s="64">
        <f>IF(BO949=1,IF(AI949&lt;=0,0,BP949*MAX(1,IF(G949&gt;0,AI949/G949,1))),AJ949*Q949)</f>
        <v/>
      </c>
      <c r="AL949" s="55">
        <f>AI949*F949</f>
        <v/>
      </c>
      <c r="AM949" s="55">
        <f>ROUNDUP(MAX(I949/IF(BS949&gt;0,BS949,MAX(0.1,N(Cockpit!$I$6))),BV949)/BN949,0)*BN949</f>
        <v/>
      </c>
      <c r="AN949" s="56">
        <f>IF(AK949&gt;0,I949/AK949,-1)</f>
        <v/>
      </c>
      <c r="AO949" s="56">
        <f>IF(AND(OR(BR949="L1",BR949="L23"),AK949&gt;0),SUMIFS($AK$7:$AK$1570,$BR$7:$BR$1570,BR949,$AN$7:$AN$1570,"&gt;"&amp;AN949)+SUMIFS($AK$7:$AK$1570,$BR$7:$BR$1570,BR949,$AN$7:$AN$1570,AN949,$BL$7:$BL$1570,"&lt;="&amp;BL949),"")</f>
        <v/>
      </c>
      <c r="AP949" s="65">
        <f>IF(AO949="",0,MAX(0,MIN(1,(IF(BR949="L1",Parameter!$K$5,Parameter!$K$6+Parameter!$K$7)-(AO949-AK949))/AK949)))</f>
        <v/>
      </c>
      <c r="AQ949" s="55">
        <f>IF(LEFT(Cockpit!$O$5,1)="A",G949,IF(BT949=1,BU949,IF(LEFT(Cockpit!$O$5,1)="B",AU949,MAX(AU949,G949))))</f>
        <v/>
      </c>
      <c r="AR949" s="55">
        <f>IF(BO949=1,0,ROUNDUP(AQ949/BN949,0))</f>
        <v/>
      </c>
      <c r="AS949" s="64">
        <f>IF(BO949=1,IF(AQ949&lt;=0,0,BP949*MAX(1,IF(G949&gt;0,AQ949/G949,1))),AR949*Q949)</f>
        <v/>
      </c>
      <c r="AT949" s="55">
        <f>AQ949*F949</f>
        <v/>
      </c>
      <c r="AU949" s="55">
        <f>ROUNDUP(MAX(I949/IF(BS949&gt;0,BS949,MAX(0.1,N(Cockpit!$O$6))),BV949)/BN949,0)*BN949</f>
        <v/>
      </c>
      <c r="AV949" s="56">
        <f>IF(AS949&gt;0,I949/AS949,-1)</f>
        <v/>
      </c>
      <c r="AW949" s="56">
        <f>IF(AND(OR(BR949="L1",BR949="L23"),AS949&gt;0),SUMIFS($AS$7:$AS$1570,$BR$7:$BR$1570,BR949,$AV$7:$AV$1570,"&gt;"&amp;AV949)+SUMIFS($AS$7:$AS$1570,$BR$7:$BR$1570,BR949,$AV$7:$AV$1570,AV949,$BL$7:$BL$1570,"&lt;="&amp;BL949),"")</f>
        <v/>
      </c>
      <c r="AX949" s="65">
        <f>IF(AW949="",0,MAX(0,MIN(1,(IF(BR949="L1",Parameter!$K$5,Parameter!$K$6+Parameter!$K$7)-(AW949-AS949))/AS949)))</f>
        <v/>
      </c>
      <c r="AY949" s="53">
        <f>IF(AC949&lt;=0,"",IF(BR949="Aussen","Aussenlager",IF(BR949="-","Nicht im Lift",IF(AH949&gt;=1,"Lift",IF(AH949&lt;=0,"Aussenlager","teilweise")))))</f>
        <v/>
      </c>
      <c r="AZ949" s="53">
        <f>IF(AK949&lt;=0,"",IF(BR949="Aussen","Aussenlager",IF(BR949="-","Nicht im Lift",IF(AP949&gt;=1,"Lift",IF(AP949&lt;=0,"Aussenlager","teilweise")))))</f>
        <v/>
      </c>
      <c r="BA949" s="53">
        <f>IF(AS949&lt;=0,"",IF(BR949="Aussen","Aussenlager",IF(BR949="-","Nicht im Lift",IF(AX949&gt;=1,"Lift",IF(AX949&lt;=0,"Aussenlager","teilweise")))))</f>
        <v/>
      </c>
      <c r="BB949" s="53">
        <f>IF(A949="","",IF(BK949=1,"Neu; ","")&amp;IF(AND(BK949=0,BF949&lt;0),"negativer Bestand (Export "&amp;BF949&amp;"); ","")&amp;IF(I949&lt;=0,"Kein Verbrauch; ","")&amp;IF(BO949=1,"Lose – Fläche geschätzt; ","")&amp;IF(G949&gt;AM949,"Überbestand "&amp;ROUND(G949-AM949,0)&amp;" Stk / CHF "&amp;ROUND((G949-AM949)*F949,0)&amp;"; ","")&amp;IF(AND(BT949=1,BU949&lt;BV949),"MAX &lt; MB+LG; ","")&amp;IF(AND(BZ949&gt;0,BY949*10&gt;BZ949),"zu hoch für Tablar; ","")&amp;IF(AND(BK949=0,OR(BT949=1,V949&lt;&gt;"",S949&lt;&gt;"",T949&lt;&gt;"",W949&lt;&gt;"")),"manuell übersteuert; ","")&amp;IF(AND(BO949=0,Q949=0),"Gebinde unbekannt; ","")&amp;IF(AND(BO949=0,N(T949)&lt;=0,N(P949)&lt;=0),"Menge pro Gebinde fehlt (Ist = 1 Gebinde); ","")&amp;BJ949)</f>
        <v/>
      </c>
      <c r="BC949" s="53" t="n"/>
      <c r="BD949" s="53" t="n"/>
      <c r="BE949" s="61" t="n"/>
      <c r="BF949" s="55" t="n">
        <v>-62</v>
      </c>
      <c r="BG949" s="55" t="n">
        <v>175</v>
      </c>
      <c r="BH949" s="54" t="n">
        <v>-58.75999999999992</v>
      </c>
      <c r="BI949" s="55" t="n">
        <v>136</v>
      </c>
      <c r="BJ949" s="53" t="inlineStr"/>
      <c r="BK949" s="58" t="n">
        <v>0</v>
      </c>
      <c r="BL949" s="58" t="n">
        <v>949</v>
      </c>
      <c r="BM949" s="53">
        <f>IF(S949&lt;&gt;"",UPPER(TRIM(S949)),IF(O949="","LOSE",O949))</f>
        <v/>
      </c>
      <c r="BN949" s="55">
        <f>IF(BM949="LOSE",1,IF(N(T949)&gt;0,T949,IF(N(P949)&gt;0,P949,MAX(1,G949))))</f>
        <v/>
      </c>
      <c r="BO949" s="58">
        <f>IF(BM949="LOSE",1,0)</f>
        <v/>
      </c>
      <c r="BP949" s="64">
        <f>IF(BO949=0,0,IF(N(R949)&gt;0,R949,IFERROR(VLOOKUP(D949,Parameter!$A$35:$C$64,3,0)+0,0)))</f>
        <v/>
      </c>
      <c r="BQ949" s="53">
        <f>IF(V949&lt;&gt;"",V949,U949)</f>
        <v/>
      </c>
      <c r="BR949" s="53">
        <f>IF(BQ949=1,"L1",IF(OR(BQ949=2,BQ949=3),"L23",IF(BQ949="Aussen","Aussen","-")))</f>
        <v/>
      </c>
      <c r="BS949" s="66">
        <f>IF(N(W949)&gt;0,W949,0)</f>
        <v/>
      </c>
      <c r="BT949" s="58">
        <f>IF(ISNUMBER(Z949),1,0)</f>
        <v/>
      </c>
      <c r="BU949" s="55">
        <f>N(Z949)</f>
        <v/>
      </c>
      <c r="BV949" s="55">
        <f>N(L949)+N(M949)</f>
        <v/>
      </c>
      <c r="BW949" s="55">
        <f>ROUNDUP(G949/BN949,0)</f>
        <v/>
      </c>
      <c r="BX949" s="55">
        <f>ROUNDUP(BU949/BN949,0)</f>
        <v/>
      </c>
      <c r="BY949" s="58">
        <f>IF(BO949=1,0,IFERROR(VLOOKUP(BM949,'Gebinde-Kategorie'!$A$5:$G$45,5,0)+0,0))</f>
        <v/>
      </c>
      <c r="BZ949" s="58">
        <f>IFERROR(IF(OR(BQ949=1,BQ949=2,BQ949=3),N(INDEX(Parameter!$I$5:$I$7,BQ949)),0),0)</f>
        <v/>
      </c>
    </row>
    <row r="950">
      <c r="A950" s="53" t="inlineStr">
        <is>
          <t>005696</t>
        </is>
      </c>
      <c r="B950" s="53" t="inlineStr">
        <is>
          <t>Selektivitätsmodul</t>
        </is>
      </c>
      <c r="C950" s="53" t="inlineStr">
        <is>
          <t>F</t>
        </is>
      </c>
      <c r="D950" s="53" t="inlineStr">
        <is>
          <t>KTL</t>
        </is>
      </c>
      <c r="E950" s="53" t="inlineStr">
        <is>
          <t>C</t>
        </is>
      </c>
      <c r="F950" s="54" t="n">
        <v>58.07</v>
      </c>
      <c r="G950" s="55">
        <f>MAX(0,IF(Parameter!$B$20="Jahresanfang 2025 + Export",BG950+BF950,BF950))</f>
        <v/>
      </c>
      <c r="H950" s="55">
        <f>G950*F950</f>
        <v/>
      </c>
      <c r="I950" s="55">
        <f>BI950*Parameter!$B$18</f>
        <v/>
      </c>
      <c r="J950" s="56" t="n">
        <v>9</v>
      </c>
      <c r="K950" s="57" t="n">
        <v>0.7777777777777778</v>
      </c>
      <c r="L950" s="55" t="n">
        <v>0</v>
      </c>
      <c r="M950" s="55" t="n">
        <v>5</v>
      </c>
      <c r="N950" s="58" t="n">
        <v>28</v>
      </c>
      <c r="O950" s="53" t="inlineStr">
        <is>
          <t>S52</t>
        </is>
      </c>
      <c r="P950" s="55" t="n">
        <v>21</v>
      </c>
      <c r="Q950" s="59">
        <f>IF(BO950=1,0,IFERROR(VLOOKUP(BM950,'Gebinde-Kategorie'!$A$5:$G$45,6,0)+0,0))</f>
        <v/>
      </c>
      <c r="R950" s="60" t="n"/>
      <c r="S950" s="61" t="n"/>
      <c r="T950" s="61" t="n"/>
      <c r="U950" s="53">
        <f>IF(A950="","",IF(IFERROR(VLOOKUP(D950,Parameter!$A$35:$C$64,2,0),"Nein")="2+3",IF(ISNUMBER(SEARCH("grosser Artikel",BJ950)),2,IFERROR(VLOOKUP(BM950,Parameter!$F$35:$G$64,2,0),2)),IF(OR(IFERROR(VLOOKUP(D950,Parameter!$A$35:$C$64,2,0),"Nein")="Nein",IFERROR(VLOOKUP(D950,Parameter!$A$35:$C$64,2,0),"Nein")=""),"-",VLOOKUP(D950,Parameter!$A$35:$C$64,2,0))))</f>
        <v/>
      </c>
      <c r="V950" s="61" t="n"/>
      <c r="W950" s="62" t="n"/>
      <c r="X950" s="55">
        <f>AM950</f>
        <v/>
      </c>
      <c r="Y950" s="55">
        <f>MAX(AM950,G950)</f>
        <v/>
      </c>
      <c r="Z950" s="63" t="n"/>
      <c r="AA950" s="55">
        <f>IF(LEFT(Cockpit!$C$5,1)="A",G950,IF(BT950=1,BU950,IF(LEFT(Cockpit!$C$5,1)="B",AE950,MAX(AE950,G950))))</f>
        <v/>
      </c>
      <c r="AB950" s="55">
        <f>IF(BO950=1,0,ROUNDUP(AA950/BN950,0))</f>
        <v/>
      </c>
      <c r="AC950" s="64">
        <f>IF(BO950=1,IF(AA950&lt;=0,0,BP950*MAX(1,IF(G950&gt;0,AA950/G950,1))),AB950*Q950)</f>
        <v/>
      </c>
      <c r="AD950" s="55">
        <f>AA950*F950</f>
        <v/>
      </c>
      <c r="AE950" s="55">
        <f>ROUNDUP(MAX(I950/IF(BS950&gt;0,BS950,MAX(0.1,N(Cockpit!$C$6))),BV950)/BN950,0)*BN950</f>
        <v/>
      </c>
      <c r="AF950" s="56">
        <f>IF(AC950&gt;0,I950/AC950,-1)</f>
        <v/>
      </c>
      <c r="AG950" s="56">
        <f>IF(AND(OR(BR950="L1",BR950="L23"),AC950&gt;0),SUMIFS($AC$7:$AC$1570,$BR$7:$BR$1570,BR950,$AF$7:$AF$1570,"&gt;"&amp;AF950)+SUMIFS($AC$7:$AC$1570,$BR$7:$BR$1570,BR950,$AF$7:$AF$1570,AF950,$BL$7:$BL$1570,"&lt;="&amp;BL950),"")</f>
        <v/>
      </c>
      <c r="AH950" s="65">
        <f>IF(AG950="",0,MAX(0,MIN(1,(IF(BR950="L1",Parameter!$K$5,Parameter!$K$6+Parameter!$K$7)-(AG950-AC950))/AC950)))</f>
        <v/>
      </c>
      <c r="AI950" s="55">
        <f>IF(LEFT(Cockpit!$I$5,1)="A",G950,IF(BT950=1,BU950,IF(LEFT(Cockpit!$I$5,1)="B",AM950,MAX(AM950,G950))))</f>
        <v/>
      </c>
      <c r="AJ950" s="55">
        <f>IF(BO950=1,0,ROUNDUP(AI950/BN950,0))</f>
        <v/>
      </c>
      <c r="AK950" s="64">
        <f>IF(BO950=1,IF(AI950&lt;=0,0,BP950*MAX(1,IF(G950&gt;0,AI950/G950,1))),AJ950*Q950)</f>
        <v/>
      </c>
      <c r="AL950" s="55">
        <f>AI950*F950</f>
        <v/>
      </c>
      <c r="AM950" s="55">
        <f>ROUNDUP(MAX(I950/IF(BS950&gt;0,BS950,MAX(0.1,N(Cockpit!$I$6))),BV950)/BN950,0)*BN950</f>
        <v/>
      </c>
      <c r="AN950" s="56">
        <f>IF(AK950&gt;0,I950/AK950,-1)</f>
        <v/>
      </c>
      <c r="AO950" s="56">
        <f>IF(AND(OR(BR950="L1",BR950="L23"),AK950&gt;0),SUMIFS($AK$7:$AK$1570,$BR$7:$BR$1570,BR950,$AN$7:$AN$1570,"&gt;"&amp;AN950)+SUMIFS($AK$7:$AK$1570,$BR$7:$BR$1570,BR950,$AN$7:$AN$1570,AN950,$BL$7:$BL$1570,"&lt;="&amp;BL950),"")</f>
        <v/>
      </c>
      <c r="AP950" s="65">
        <f>IF(AO950="",0,MAX(0,MIN(1,(IF(BR950="L1",Parameter!$K$5,Parameter!$K$6+Parameter!$K$7)-(AO950-AK950))/AK950)))</f>
        <v/>
      </c>
      <c r="AQ950" s="55">
        <f>IF(LEFT(Cockpit!$O$5,1)="A",G950,IF(BT950=1,BU950,IF(LEFT(Cockpit!$O$5,1)="B",AU950,MAX(AU950,G950))))</f>
        <v/>
      </c>
      <c r="AR950" s="55">
        <f>IF(BO950=1,0,ROUNDUP(AQ950/BN950,0))</f>
        <v/>
      </c>
      <c r="AS950" s="64">
        <f>IF(BO950=1,IF(AQ950&lt;=0,0,BP950*MAX(1,IF(G950&gt;0,AQ950/G950,1))),AR950*Q950)</f>
        <v/>
      </c>
      <c r="AT950" s="55">
        <f>AQ950*F950</f>
        <v/>
      </c>
      <c r="AU950" s="55">
        <f>ROUNDUP(MAX(I950/IF(BS950&gt;0,BS950,MAX(0.1,N(Cockpit!$O$6))),BV950)/BN950,0)*BN950</f>
        <v/>
      </c>
      <c r="AV950" s="56">
        <f>IF(AS950&gt;0,I950/AS950,-1)</f>
        <v/>
      </c>
      <c r="AW950" s="56">
        <f>IF(AND(OR(BR950="L1",BR950="L23"),AS950&gt;0),SUMIFS($AS$7:$AS$1570,$BR$7:$BR$1570,BR950,$AV$7:$AV$1570,"&gt;"&amp;AV950)+SUMIFS($AS$7:$AS$1570,$BR$7:$BR$1570,BR950,$AV$7:$AV$1570,AV950,$BL$7:$BL$1570,"&lt;="&amp;BL950),"")</f>
        <v/>
      </c>
      <c r="AX950" s="65">
        <f>IF(AW950="",0,MAX(0,MIN(1,(IF(BR950="L1",Parameter!$K$5,Parameter!$K$6+Parameter!$K$7)-(AW950-AS950))/AS950)))</f>
        <v/>
      </c>
      <c r="AY950" s="53">
        <f>IF(AC950&lt;=0,"",IF(BR950="Aussen","Aussenlager",IF(BR950="-","Nicht im Lift",IF(AH950&gt;=1,"Lift",IF(AH950&lt;=0,"Aussenlager","teilweise")))))</f>
        <v/>
      </c>
      <c r="AZ950" s="53">
        <f>IF(AK950&lt;=0,"",IF(BR950="Aussen","Aussenlager",IF(BR950="-","Nicht im Lift",IF(AP950&gt;=1,"Lift",IF(AP950&lt;=0,"Aussenlager","teilweise")))))</f>
        <v/>
      </c>
      <c r="BA950" s="53">
        <f>IF(AS950&lt;=0,"",IF(BR950="Aussen","Aussenlager",IF(BR950="-","Nicht im Lift",IF(AX950&gt;=1,"Lift",IF(AX950&lt;=0,"Aussenlager","teilweise")))))</f>
        <v/>
      </c>
      <c r="BB950" s="53">
        <f>IF(A950="","",IF(BK950=1,"Neu; ","")&amp;IF(AND(BK950=0,BF950&lt;0),"negativer Bestand (Export "&amp;BF950&amp;"); ","")&amp;IF(I950&lt;=0,"Kein Verbrauch; ","")&amp;IF(BO950=1,"Lose – Fläche geschätzt; ","")&amp;IF(G950&gt;AM950,"Überbestand "&amp;ROUND(G950-AM950,0)&amp;" Stk / CHF "&amp;ROUND((G950-AM950)*F950,0)&amp;"; ","")&amp;IF(AND(BT950=1,BU950&lt;BV950),"MAX &lt; MB+LG; ","")&amp;IF(AND(BZ950&gt;0,BY950*10&gt;BZ950),"zu hoch für Tablar; ","")&amp;IF(AND(BK950=0,OR(BT950=1,V950&lt;&gt;"",S950&lt;&gt;"",T950&lt;&gt;"",W950&lt;&gt;"")),"manuell übersteuert; ","")&amp;IF(AND(BO950=0,Q950=0),"Gebinde unbekannt; ","")&amp;IF(AND(BO950=0,N(T950)&lt;=0,N(P950)&lt;=0),"Menge pro Gebinde fehlt (Ist = 1 Gebinde); ","")&amp;BJ950)</f>
        <v/>
      </c>
      <c r="BC950" s="53" t="n"/>
      <c r="BD950" s="53" t="n"/>
      <c r="BE950" s="61" t="n"/>
      <c r="BF950" s="55" t="n">
        <v>-1</v>
      </c>
      <c r="BG950" s="55" t="n">
        <v>10</v>
      </c>
      <c r="BH950" s="54" t="n">
        <v>-59.46999999999994</v>
      </c>
      <c r="BI950" s="55" t="n">
        <v>7</v>
      </c>
      <c r="BJ950" s="53" t="inlineStr"/>
      <c r="BK950" s="58" t="n">
        <v>0</v>
      </c>
      <c r="BL950" s="58" t="n">
        <v>950</v>
      </c>
      <c r="BM950" s="53">
        <f>IF(S950&lt;&gt;"",UPPER(TRIM(S950)),IF(O950="","LOSE",O950))</f>
        <v/>
      </c>
      <c r="BN950" s="55">
        <f>IF(BM950="LOSE",1,IF(N(T950)&gt;0,T950,IF(N(P950)&gt;0,P950,MAX(1,G950))))</f>
        <v/>
      </c>
      <c r="BO950" s="58">
        <f>IF(BM950="LOSE",1,0)</f>
        <v/>
      </c>
      <c r="BP950" s="64">
        <f>IF(BO950=0,0,IF(N(R950)&gt;0,R950,IFERROR(VLOOKUP(D950,Parameter!$A$35:$C$64,3,0)+0,0)))</f>
        <v/>
      </c>
      <c r="BQ950" s="53">
        <f>IF(V950&lt;&gt;"",V950,U950)</f>
        <v/>
      </c>
      <c r="BR950" s="53">
        <f>IF(BQ950=1,"L1",IF(OR(BQ950=2,BQ950=3),"L23",IF(BQ950="Aussen","Aussen","-")))</f>
        <v/>
      </c>
      <c r="BS950" s="66">
        <f>IF(N(W950)&gt;0,W950,0)</f>
        <v/>
      </c>
      <c r="BT950" s="58">
        <f>IF(ISNUMBER(Z950),1,0)</f>
        <v/>
      </c>
      <c r="BU950" s="55">
        <f>N(Z950)</f>
        <v/>
      </c>
      <c r="BV950" s="55">
        <f>N(L950)+N(M950)</f>
        <v/>
      </c>
      <c r="BW950" s="55">
        <f>ROUNDUP(G950/BN950,0)</f>
        <v/>
      </c>
      <c r="BX950" s="55">
        <f>ROUNDUP(BU950/BN950,0)</f>
        <v/>
      </c>
      <c r="BY950" s="58">
        <f>IF(BO950=1,0,IFERROR(VLOOKUP(BM950,'Gebinde-Kategorie'!$A$5:$G$45,5,0)+0,0))</f>
        <v/>
      </c>
      <c r="BZ950" s="58">
        <f>IFERROR(IF(OR(BQ950=1,BQ950=2,BQ950=3),N(INDEX(Parameter!$I$5:$I$7,BQ950)),0),0)</f>
        <v/>
      </c>
    </row>
    <row r="951">
      <c r="A951" s="53" t="inlineStr">
        <is>
          <t>107001</t>
        </is>
      </c>
      <c r="B951" s="53" t="inlineStr">
        <is>
          <t>Knebelschalter, beleuchtbar</t>
        </is>
      </c>
      <c r="C951" s="53" t="inlineStr">
        <is>
          <t>F</t>
        </is>
      </c>
      <c r="D951" s="53" t="inlineStr">
        <is>
          <t>KTL</t>
        </is>
      </c>
      <c r="E951" s="53" t="inlineStr">
        <is>
          <t>C</t>
        </is>
      </c>
      <c r="F951" s="54" t="n">
        <v>19.99</v>
      </c>
      <c r="G951" s="55">
        <f>MAX(0,IF(Parameter!$B$20="Jahresanfang 2025 + Export",BG951+BF951,BF951))</f>
        <v/>
      </c>
      <c r="H951" s="55">
        <f>G951*F951</f>
        <v/>
      </c>
      <c r="I951" s="55">
        <f>BI951*Parameter!$B$18</f>
        <v/>
      </c>
      <c r="J951" s="56" t="n">
        <v>6</v>
      </c>
      <c r="K951" s="57" t="n">
        <v>0.1666666666666667</v>
      </c>
      <c r="L951" s="55" t="n">
        <v>0</v>
      </c>
      <c r="M951" s="55" t="n">
        <v>1</v>
      </c>
      <c r="N951" s="58" t="n">
        <v>35</v>
      </c>
      <c r="O951" s="53" t="inlineStr">
        <is>
          <t>S22</t>
        </is>
      </c>
      <c r="P951" s="55" t="n">
        <v>5</v>
      </c>
      <c r="Q951" s="59">
        <f>IF(BO951=1,0,IFERROR(VLOOKUP(BM951,'Gebinde-Kategorie'!$A$5:$G$45,6,0)+0,0))</f>
        <v/>
      </c>
      <c r="R951" s="60" t="n"/>
      <c r="S951" s="61" t="n"/>
      <c r="T951" s="61" t="n"/>
      <c r="U951" s="53">
        <f>IF(A951="","",IF(IFERROR(VLOOKUP(D951,Parameter!$A$35:$C$64,2,0),"Nein")="2+3",IF(ISNUMBER(SEARCH("grosser Artikel",BJ951)),2,IFERROR(VLOOKUP(BM951,Parameter!$F$35:$G$64,2,0),2)),IF(OR(IFERROR(VLOOKUP(D951,Parameter!$A$35:$C$64,2,0),"Nein")="Nein",IFERROR(VLOOKUP(D951,Parameter!$A$35:$C$64,2,0),"Nein")=""),"-",VLOOKUP(D951,Parameter!$A$35:$C$64,2,0))))</f>
        <v/>
      </c>
      <c r="V951" s="61" t="n"/>
      <c r="W951" s="62" t="n"/>
      <c r="X951" s="55">
        <f>AM951</f>
        <v/>
      </c>
      <c r="Y951" s="55">
        <f>MAX(AM951,G951)</f>
        <v/>
      </c>
      <c r="Z951" s="63" t="n"/>
      <c r="AA951" s="55">
        <f>IF(LEFT(Cockpit!$C$5,1)="A",G951,IF(BT951=1,BU951,IF(LEFT(Cockpit!$C$5,1)="B",AE951,MAX(AE951,G951))))</f>
        <v/>
      </c>
      <c r="AB951" s="55">
        <f>IF(BO951=1,0,ROUNDUP(AA951/BN951,0))</f>
        <v/>
      </c>
      <c r="AC951" s="64">
        <f>IF(BO951=1,IF(AA951&lt;=0,0,BP951*MAX(1,IF(G951&gt;0,AA951/G951,1))),AB951*Q951)</f>
        <v/>
      </c>
      <c r="AD951" s="55">
        <f>AA951*F951</f>
        <v/>
      </c>
      <c r="AE951" s="55">
        <f>ROUNDUP(MAX(I951/IF(BS951&gt;0,BS951,MAX(0.1,N(Cockpit!$C$6))),BV951)/BN951,0)*BN951</f>
        <v/>
      </c>
      <c r="AF951" s="56">
        <f>IF(AC951&gt;0,I951/AC951,-1)</f>
        <v/>
      </c>
      <c r="AG951" s="56">
        <f>IF(AND(OR(BR951="L1",BR951="L23"),AC951&gt;0),SUMIFS($AC$7:$AC$1570,$BR$7:$BR$1570,BR951,$AF$7:$AF$1570,"&gt;"&amp;AF951)+SUMIFS($AC$7:$AC$1570,$BR$7:$BR$1570,BR951,$AF$7:$AF$1570,AF951,$BL$7:$BL$1570,"&lt;="&amp;BL951),"")</f>
        <v/>
      </c>
      <c r="AH951" s="65">
        <f>IF(AG951="",0,MAX(0,MIN(1,(IF(BR951="L1",Parameter!$K$5,Parameter!$K$6+Parameter!$K$7)-(AG951-AC951))/AC951)))</f>
        <v/>
      </c>
      <c r="AI951" s="55">
        <f>IF(LEFT(Cockpit!$I$5,1)="A",G951,IF(BT951=1,BU951,IF(LEFT(Cockpit!$I$5,1)="B",AM951,MAX(AM951,G951))))</f>
        <v/>
      </c>
      <c r="AJ951" s="55">
        <f>IF(BO951=1,0,ROUNDUP(AI951/BN951,0))</f>
        <v/>
      </c>
      <c r="AK951" s="64">
        <f>IF(BO951=1,IF(AI951&lt;=0,0,BP951*MAX(1,IF(G951&gt;0,AI951/G951,1))),AJ951*Q951)</f>
        <v/>
      </c>
      <c r="AL951" s="55">
        <f>AI951*F951</f>
        <v/>
      </c>
      <c r="AM951" s="55">
        <f>ROUNDUP(MAX(I951/IF(BS951&gt;0,BS951,MAX(0.1,N(Cockpit!$I$6))),BV951)/BN951,0)*BN951</f>
        <v/>
      </c>
      <c r="AN951" s="56">
        <f>IF(AK951&gt;0,I951/AK951,-1)</f>
        <v/>
      </c>
      <c r="AO951" s="56">
        <f>IF(AND(OR(BR951="L1",BR951="L23"),AK951&gt;0),SUMIFS($AK$7:$AK$1570,$BR$7:$BR$1570,BR951,$AN$7:$AN$1570,"&gt;"&amp;AN951)+SUMIFS($AK$7:$AK$1570,$BR$7:$BR$1570,BR951,$AN$7:$AN$1570,AN951,$BL$7:$BL$1570,"&lt;="&amp;BL951),"")</f>
        <v/>
      </c>
      <c r="AP951" s="65">
        <f>IF(AO951="",0,MAX(0,MIN(1,(IF(BR951="L1",Parameter!$K$5,Parameter!$K$6+Parameter!$K$7)-(AO951-AK951))/AK951)))</f>
        <v/>
      </c>
      <c r="AQ951" s="55">
        <f>IF(LEFT(Cockpit!$O$5,1)="A",G951,IF(BT951=1,BU951,IF(LEFT(Cockpit!$O$5,1)="B",AU951,MAX(AU951,G951))))</f>
        <v/>
      </c>
      <c r="AR951" s="55">
        <f>IF(BO951=1,0,ROUNDUP(AQ951/BN951,0))</f>
        <v/>
      </c>
      <c r="AS951" s="64">
        <f>IF(BO951=1,IF(AQ951&lt;=0,0,BP951*MAX(1,IF(G951&gt;0,AQ951/G951,1))),AR951*Q951)</f>
        <v/>
      </c>
      <c r="AT951" s="55">
        <f>AQ951*F951</f>
        <v/>
      </c>
      <c r="AU951" s="55">
        <f>ROUNDUP(MAX(I951/IF(BS951&gt;0,BS951,MAX(0.1,N(Cockpit!$O$6))),BV951)/BN951,0)*BN951</f>
        <v/>
      </c>
      <c r="AV951" s="56">
        <f>IF(AS951&gt;0,I951/AS951,-1)</f>
        <v/>
      </c>
      <c r="AW951" s="56">
        <f>IF(AND(OR(BR951="L1",BR951="L23"),AS951&gt;0),SUMIFS($AS$7:$AS$1570,$BR$7:$BR$1570,BR951,$AV$7:$AV$1570,"&gt;"&amp;AV951)+SUMIFS($AS$7:$AS$1570,$BR$7:$BR$1570,BR951,$AV$7:$AV$1570,AV951,$BL$7:$BL$1570,"&lt;="&amp;BL951),"")</f>
        <v/>
      </c>
      <c r="AX951" s="65">
        <f>IF(AW951="",0,MAX(0,MIN(1,(IF(BR951="L1",Parameter!$K$5,Parameter!$K$6+Parameter!$K$7)-(AW951-AS951))/AS951)))</f>
        <v/>
      </c>
      <c r="AY951" s="53">
        <f>IF(AC951&lt;=0,"",IF(BR951="Aussen","Aussenlager",IF(BR951="-","Nicht im Lift",IF(AH951&gt;=1,"Lift",IF(AH951&lt;=0,"Aussenlager","teilweise")))))</f>
        <v/>
      </c>
      <c r="AZ951" s="53">
        <f>IF(AK951&lt;=0,"",IF(BR951="Aussen","Aussenlager",IF(BR951="-","Nicht im Lift",IF(AP951&gt;=1,"Lift",IF(AP951&lt;=0,"Aussenlager","teilweise")))))</f>
        <v/>
      </c>
      <c r="BA951" s="53">
        <f>IF(AS951&lt;=0,"",IF(BR951="Aussen","Aussenlager",IF(BR951="-","Nicht im Lift",IF(AX951&gt;=1,"Lift",IF(AX951&lt;=0,"Aussenlager","teilweise")))))</f>
        <v/>
      </c>
      <c r="BB951" s="53">
        <f>IF(A951="","",IF(BK951=1,"Neu; ","")&amp;IF(AND(BK951=0,BF951&lt;0),"negativer Bestand (Export "&amp;BF951&amp;"); ","")&amp;IF(I951&lt;=0,"Kein Verbrauch; ","")&amp;IF(BO951=1,"Lose – Fläche geschätzt; ","")&amp;IF(G951&gt;AM951,"Überbestand "&amp;ROUND(G951-AM951,0)&amp;" Stk / CHF "&amp;ROUND((G951-AM951)*F951,0)&amp;"; ","")&amp;IF(AND(BT951=1,BU951&lt;BV951),"MAX &lt; MB+LG; ","")&amp;IF(AND(BZ951&gt;0,BY951*10&gt;BZ951),"zu hoch für Tablar; ","")&amp;IF(AND(BK951=0,OR(BT951=1,V951&lt;&gt;"",S951&lt;&gt;"",T951&lt;&gt;"",W951&lt;&gt;"")),"manuell übersteuert; ","")&amp;IF(AND(BO951=0,Q951=0),"Gebinde unbekannt; ","")&amp;IF(AND(BO951=0,N(T951)&lt;=0,N(P951)&lt;=0),"Menge pro Gebinde fehlt (Ist = 1 Gebinde); ","")&amp;BJ951)</f>
        <v/>
      </c>
      <c r="BC951" s="53" t="n"/>
      <c r="BD951" s="53" t="n"/>
      <c r="BE951" s="61" t="n"/>
      <c r="BF951" s="55" t="n">
        <v>-3</v>
      </c>
      <c r="BG951" s="55" t="n">
        <v>7</v>
      </c>
      <c r="BH951" s="54" t="n">
        <v>-59.97</v>
      </c>
      <c r="BI951" s="55" t="n">
        <v>1</v>
      </c>
      <c r="BJ951" s="53" t="inlineStr">
        <is>
          <t>Neuer Art.</t>
        </is>
      </c>
      <c r="BK951" s="58" t="n">
        <v>0</v>
      </c>
      <c r="BL951" s="58" t="n">
        <v>951</v>
      </c>
      <c r="BM951" s="53">
        <f>IF(S951&lt;&gt;"",UPPER(TRIM(S951)),IF(O951="","LOSE",O951))</f>
        <v/>
      </c>
      <c r="BN951" s="55">
        <f>IF(BM951="LOSE",1,IF(N(T951)&gt;0,T951,IF(N(P951)&gt;0,P951,MAX(1,G951))))</f>
        <v/>
      </c>
      <c r="BO951" s="58">
        <f>IF(BM951="LOSE",1,0)</f>
        <v/>
      </c>
      <c r="BP951" s="64">
        <f>IF(BO951=0,0,IF(N(R951)&gt;0,R951,IFERROR(VLOOKUP(D951,Parameter!$A$35:$C$64,3,0)+0,0)))</f>
        <v/>
      </c>
      <c r="BQ951" s="53">
        <f>IF(V951&lt;&gt;"",V951,U951)</f>
        <v/>
      </c>
      <c r="BR951" s="53">
        <f>IF(BQ951=1,"L1",IF(OR(BQ951=2,BQ951=3),"L23",IF(BQ951="Aussen","Aussen","-")))</f>
        <v/>
      </c>
      <c r="BS951" s="66">
        <f>IF(N(W951)&gt;0,W951,0)</f>
        <v/>
      </c>
      <c r="BT951" s="58">
        <f>IF(ISNUMBER(Z951),1,0)</f>
        <v/>
      </c>
      <c r="BU951" s="55">
        <f>N(Z951)</f>
        <v/>
      </c>
      <c r="BV951" s="55">
        <f>N(L951)+N(M951)</f>
        <v/>
      </c>
      <c r="BW951" s="55">
        <f>ROUNDUP(G951/BN951,0)</f>
        <v/>
      </c>
      <c r="BX951" s="55">
        <f>ROUNDUP(BU951/BN951,0)</f>
        <v/>
      </c>
      <c r="BY951" s="58">
        <f>IF(BO951=1,0,IFERROR(VLOOKUP(BM951,'Gebinde-Kategorie'!$A$5:$G$45,5,0)+0,0))</f>
        <v/>
      </c>
      <c r="BZ951" s="58">
        <f>IFERROR(IF(OR(BQ951=1,BQ951=2,BQ951=3),N(INDEX(Parameter!$I$5:$I$7,BQ951)),0),0)</f>
        <v/>
      </c>
    </row>
    <row r="952">
      <c r="A952" s="53" t="inlineStr">
        <is>
          <t>005117</t>
        </is>
      </c>
      <c r="B952" s="53" t="inlineStr">
        <is>
          <t>Kartenleser USB 2.0</t>
        </is>
      </c>
      <c r="C952" s="53" t="inlineStr">
        <is>
          <t>F</t>
        </is>
      </c>
      <c r="D952" s="53" t="inlineStr">
        <is>
          <t>KTL</t>
        </is>
      </c>
      <c r="E952" s="53" t="inlineStr">
        <is>
          <t>C</t>
        </is>
      </c>
      <c r="F952" s="54" t="n">
        <v>12.28</v>
      </c>
      <c r="G952" s="55">
        <f>MAX(0,IF(Parameter!$B$20="Jahresanfang 2025 + Export",BG952+BF952,BF952))</f>
        <v/>
      </c>
      <c r="H952" s="55">
        <f>G952*F952</f>
        <v/>
      </c>
      <c r="I952" s="55">
        <f>BI952*Parameter!$B$18</f>
        <v/>
      </c>
      <c r="J952" s="56" t="n">
        <v>2.5</v>
      </c>
      <c r="K952" s="57" t="n">
        <v>1.6</v>
      </c>
      <c r="L952" s="55" t="n">
        <v>0</v>
      </c>
      <c r="M952" s="55" t="n">
        <v>5</v>
      </c>
      <c r="N952" s="58" t="n">
        <v>28</v>
      </c>
      <c r="O952" s="53" t="inlineStr">
        <is>
          <t>S33</t>
        </is>
      </c>
      <c r="P952" s="55" t="n">
        <v>6</v>
      </c>
      <c r="Q952" s="59">
        <f>IF(BO952=1,0,IFERROR(VLOOKUP(BM952,'Gebinde-Kategorie'!$A$5:$G$45,6,0)+0,0))</f>
        <v/>
      </c>
      <c r="R952" s="60" t="n"/>
      <c r="S952" s="61" t="n"/>
      <c r="T952" s="61" t="n"/>
      <c r="U952" s="53">
        <f>IF(A952="","",IF(IFERROR(VLOOKUP(D952,Parameter!$A$35:$C$64,2,0),"Nein")="2+3",IF(ISNUMBER(SEARCH("grosser Artikel",BJ952)),2,IFERROR(VLOOKUP(BM952,Parameter!$F$35:$G$64,2,0),2)),IF(OR(IFERROR(VLOOKUP(D952,Parameter!$A$35:$C$64,2,0),"Nein")="Nein",IFERROR(VLOOKUP(D952,Parameter!$A$35:$C$64,2,0),"Nein")=""),"-",VLOOKUP(D952,Parameter!$A$35:$C$64,2,0))))</f>
        <v/>
      </c>
      <c r="V952" s="61" t="n"/>
      <c r="W952" s="62" t="n"/>
      <c r="X952" s="55">
        <f>AM952</f>
        <v/>
      </c>
      <c r="Y952" s="55">
        <f>MAX(AM952,G952)</f>
        <v/>
      </c>
      <c r="Z952" s="63" t="n"/>
      <c r="AA952" s="55">
        <f>IF(LEFT(Cockpit!$C$5,1)="A",G952,IF(BT952=1,BU952,IF(LEFT(Cockpit!$C$5,1)="B",AE952,MAX(AE952,G952))))</f>
        <v/>
      </c>
      <c r="AB952" s="55">
        <f>IF(BO952=1,0,ROUNDUP(AA952/BN952,0))</f>
        <v/>
      </c>
      <c r="AC952" s="64">
        <f>IF(BO952=1,IF(AA952&lt;=0,0,BP952*MAX(1,IF(G952&gt;0,AA952/G952,1))),AB952*Q952)</f>
        <v/>
      </c>
      <c r="AD952" s="55">
        <f>AA952*F952</f>
        <v/>
      </c>
      <c r="AE952" s="55">
        <f>ROUNDUP(MAX(I952/IF(BS952&gt;0,BS952,MAX(0.1,N(Cockpit!$C$6))),BV952)/BN952,0)*BN952</f>
        <v/>
      </c>
      <c r="AF952" s="56">
        <f>IF(AC952&gt;0,I952/AC952,-1)</f>
        <v/>
      </c>
      <c r="AG952" s="56">
        <f>IF(AND(OR(BR952="L1",BR952="L23"),AC952&gt;0),SUMIFS($AC$7:$AC$1570,$BR$7:$BR$1570,BR952,$AF$7:$AF$1570,"&gt;"&amp;AF952)+SUMIFS($AC$7:$AC$1570,$BR$7:$BR$1570,BR952,$AF$7:$AF$1570,AF952,$BL$7:$BL$1570,"&lt;="&amp;BL952),"")</f>
        <v/>
      </c>
      <c r="AH952" s="65">
        <f>IF(AG952="",0,MAX(0,MIN(1,(IF(BR952="L1",Parameter!$K$5,Parameter!$K$6+Parameter!$K$7)-(AG952-AC952))/AC952)))</f>
        <v/>
      </c>
      <c r="AI952" s="55">
        <f>IF(LEFT(Cockpit!$I$5,1)="A",G952,IF(BT952=1,BU952,IF(LEFT(Cockpit!$I$5,1)="B",AM952,MAX(AM952,G952))))</f>
        <v/>
      </c>
      <c r="AJ952" s="55">
        <f>IF(BO952=1,0,ROUNDUP(AI952/BN952,0))</f>
        <v/>
      </c>
      <c r="AK952" s="64">
        <f>IF(BO952=1,IF(AI952&lt;=0,0,BP952*MAX(1,IF(G952&gt;0,AI952/G952,1))),AJ952*Q952)</f>
        <v/>
      </c>
      <c r="AL952" s="55">
        <f>AI952*F952</f>
        <v/>
      </c>
      <c r="AM952" s="55">
        <f>ROUNDUP(MAX(I952/IF(BS952&gt;0,BS952,MAX(0.1,N(Cockpit!$I$6))),BV952)/BN952,0)*BN952</f>
        <v/>
      </c>
      <c r="AN952" s="56">
        <f>IF(AK952&gt;0,I952/AK952,-1)</f>
        <v/>
      </c>
      <c r="AO952" s="56">
        <f>IF(AND(OR(BR952="L1",BR952="L23"),AK952&gt;0),SUMIFS($AK$7:$AK$1570,$BR$7:$BR$1570,BR952,$AN$7:$AN$1570,"&gt;"&amp;AN952)+SUMIFS($AK$7:$AK$1570,$BR$7:$BR$1570,BR952,$AN$7:$AN$1570,AN952,$BL$7:$BL$1570,"&lt;="&amp;BL952),"")</f>
        <v/>
      </c>
      <c r="AP952" s="65">
        <f>IF(AO952="",0,MAX(0,MIN(1,(IF(BR952="L1",Parameter!$K$5,Parameter!$K$6+Parameter!$K$7)-(AO952-AK952))/AK952)))</f>
        <v/>
      </c>
      <c r="AQ952" s="55">
        <f>IF(LEFT(Cockpit!$O$5,1)="A",G952,IF(BT952=1,BU952,IF(LEFT(Cockpit!$O$5,1)="B",AU952,MAX(AU952,G952))))</f>
        <v/>
      </c>
      <c r="AR952" s="55">
        <f>IF(BO952=1,0,ROUNDUP(AQ952/BN952,0))</f>
        <v/>
      </c>
      <c r="AS952" s="64">
        <f>IF(BO952=1,IF(AQ952&lt;=0,0,BP952*MAX(1,IF(G952&gt;0,AQ952/G952,1))),AR952*Q952)</f>
        <v/>
      </c>
      <c r="AT952" s="55">
        <f>AQ952*F952</f>
        <v/>
      </c>
      <c r="AU952" s="55">
        <f>ROUNDUP(MAX(I952/IF(BS952&gt;0,BS952,MAX(0.1,N(Cockpit!$O$6))),BV952)/BN952,0)*BN952</f>
        <v/>
      </c>
      <c r="AV952" s="56">
        <f>IF(AS952&gt;0,I952/AS952,-1)</f>
        <v/>
      </c>
      <c r="AW952" s="56">
        <f>IF(AND(OR(BR952="L1",BR952="L23"),AS952&gt;0),SUMIFS($AS$7:$AS$1570,$BR$7:$BR$1570,BR952,$AV$7:$AV$1570,"&gt;"&amp;AV952)+SUMIFS($AS$7:$AS$1570,$BR$7:$BR$1570,BR952,$AV$7:$AV$1570,AV952,$BL$7:$BL$1570,"&lt;="&amp;BL952),"")</f>
        <v/>
      </c>
      <c r="AX952" s="65">
        <f>IF(AW952="",0,MAX(0,MIN(1,(IF(BR952="L1",Parameter!$K$5,Parameter!$K$6+Parameter!$K$7)-(AW952-AS952))/AS952)))</f>
        <v/>
      </c>
      <c r="AY952" s="53">
        <f>IF(AC952&lt;=0,"",IF(BR952="Aussen","Aussenlager",IF(BR952="-","Nicht im Lift",IF(AH952&gt;=1,"Lift",IF(AH952&lt;=0,"Aussenlager","teilweise")))))</f>
        <v/>
      </c>
      <c r="AZ952" s="53">
        <f>IF(AK952&lt;=0,"",IF(BR952="Aussen","Aussenlager",IF(BR952="-","Nicht im Lift",IF(AP952&gt;=1,"Lift",IF(AP952&lt;=0,"Aussenlager","teilweise")))))</f>
        <v/>
      </c>
      <c r="BA952" s="53">
        <f>IF(AS952&lt;=0,"",IF(BR952="Aussen","Aussenlager",IF(BR952="-","Nicht im Lift",IF(AX952&gt;=1,"Lift",IF(AX952&lt;=0,"Aussenlager","teilweise")))))</f>
        <v/>
      </c>
      <c r="BB952" s="53">
        <f>IF(A952="","",IF(BK952=1,"Neu; ","")&amp;IF(AND(BK952=0,BF952&lt;0),"negativer Bestand (Export "&amp;BF952&amp;"); ","")&amp;IF(I952&lt;=0,"Kein Verbrauch; ","")&amp;IF(BO952=1,"Lose – Fläche geschätzt; ","")&amp;IF(G952&gt;AM952,"Überbestand "&amp;ROUND(G952-AM952,0)&amp;" Stk / CHF "&amp;ROUND((G952-AM952)*F952,0)&amp;"; ","")&amp;IF(AND(BT952=1,BU952&lt;BV952),"MAX &lt; MB+LG; ","")&amp;IF(AND(BZ952&gt;0,BY952*10&gt;BZ952),"zu hoch für Tablar; ","")&amp;IF(AND(BK952=0,OR(BT952=1,V952&lt;&gt;"",S952&lt;&gt;"",T952&lt;&gt;"",W952&lt;&gt;"")),"manuell übersteuert; ","")&amp;IF(AND(BO952=0,Q952=0),"Gebinde unbekannt; ","")&amp;IF(AND(BO952=0,N(T952)&lt;=0,N(P952)&lt;=0),"Menge pro Gebinde fehlt (Ist = 1 Gebinde); ","")&amp;BJ952)</f>
        <v/>
      </c>
      <c r="BC952" s="53" t="n"/>
      <c r="BD952" s="53" t="n"/>
      <c r="BE952" s="61" t="n"/>
      <c r="BF952" s="55" t="n">
        <v>-5</v>
      </c>
      <c r="BG952" s="55" t="n">
        <v>5</v>
      </c>
      <c r="BH952" s="54" t="n">
        <v>-61.4</v>
      </c>
      <c r="BI952" s="55" t="n">
        <v>4</v>
      </c>
      <c r="BJ952" s="53" t="inlineStr">
        <is>
          <t>Verb.Lager</t>
        </is>
      </c>
      <c r="BK952" s="58" t="n">
        <v>0</v>
      </c>
      <c r="BL952" s="58" t="n">
        <v>952</v>
      </c>
      <c r="BM952" s="53">
        <f>IF(S952&lt;&gt;"",UPPER(TRIM(S952)),IF(O952="","LOSE",O952))</f>
        <v/>
      </c>
      <c r="BN952" s="55">
        <f>IF(BM952="LOSE",1,IF(N(T952)&gt;0,T952,IF(N(P952)&gt;0,P952,MAX(1,G952))))</f>
        <v/>
      </c>
      <c r="BO952" s="58">
        <f>IF(BM952="LOSE",1,0)</f>
        <v/>
      </c>
      <c r="BP952" s="64">
        <f>IF(BO952=0,0,IF(N(R952)&gt;0,R952,IFERROR(VLOOKUP(D952,Parameter!$A$35:$C$64,3,0)+0,0)))</f>
        <v/>
      </c>
      <c r="BQ952" s="53">
        <f>IF(V952&lt;&gt;"",V952,U952)</f>
        <v/>
      </c>
      <c r="BR952" s="53">
        <f>IF(BQ952=1,"L1",IF(OR(BQ952=2,BQ952=3),"L23",IF(BQ952="Aussen","Aussen","-")))</f>
        <v/>
      </c>
      <c r="BS952" s="66">
        <f>IF(N(W952)&gt;0,W952,0)</f>
        <v/>
      </c>
      <c r="BT952" s="58">
        <f>IF(ISNUMBER(Z952),1,0)</f>
        <v/>
      </c>
      <c r="BU952" s="55">
        <f>N(Z952)</f>
        <v/>
      </c>
      <c r="BV952" s="55">
        <f>N(L952)+N(M952)</f>
        <v/>
      </c>
      <c r="BW952" s="55">
        <f>ROUNDUP(G952/BN952,0)</f>
        <v/>
      </c>
      <c r="BX952" s="55">
        <f>ROUNDUP(BU952/BN952,0)</f>
        <v/>
      </c>
      <c r="BY952" s="58">
        <f>IF(BO952=1,0,IFERROR(VLOOKUP(BM952,'Gebinde-Kategorie'!$A$5:$G$45,5,0)+0,0))</f>
        <v/>
      </c>
      <c r="BZ952" s="58">
        <f>IFERROR(IF(OR(BQ952=1,BQ952=2,BQ952=3),N(INDEX(Parameter!$I$5:$I$7,BQ952)),0),0)</f>
        <v/>
      </c>
    </row>
    <row r="953">
      <c r="A953" s="53" t="inlineStr">
        <is>
          <t>109054</t>
        </is>
      </c>
      <c r="B953" s="53" t="inlineStr">
        <is>
          <t>Typenschild</t>
        </is>
      </c>
      <c r="C953" s="53" t="inlineStr">
        <is>
          <t>F</t>
        </is>
      </c>
      <c r="D953" s="53" t="inlineStr">
        <is>
          <t>KTL</t>
        </is>
      </c>
      <c r="E953" s="53" t="inlineStr">
        <is>
          <t>C</t>
        </is>
      </c>
      <c r="F953" s="54" t="n">
        <v>15.4</v>
      </c>
      <c r="G953" s="55">
        <f>MAX(0,IF(Parameter!$B$20="Jahresanfang 2025 + Export",BG953+BF953,BF953))</f>
        <v/>
      </c>
      <c r="H953" s="55">
        <f>G953*F953</f>
        <v/>
      </c>
      <c r="I953" s="55">
        <f>BI953*Parameter!$B$18</f>
        <v/>
      </c>
      <c r="J953" s="56" t="n">
        <v>27</v>
      </c>
      <c r="K953" s="57" t="n">
        <v>0</v>
      </c>
      <c r="L953" s="55" t="n">
        <v>0</v>
      </c>
      <c r="M953" s="55" t="n">
        <v>1</v>
      </c>
      <c r="N953" s="58" t="n">
        <v>28</v>
      </c>
      <c r="O953" s="53" t="inlineStr">
        <is>
          <t>S22</t>
        </is>
      </c>
      <c r="P953" s="55" t="n">
        <v>25</v>
      </c>
      <c r="Q953" s="59">
        <f>IF(BO953=1,0,IFERROR(VLOOKUP(BM953,'Gebinde-Kategorie'!$A$5:$G$45,6,0)+0,0))</f>
        <v/>
      </c>
      <c r="R953" s="60" t="n"/>
      <c r="S953" s="61" t="n"/>
      <c r="T953" s="61" t="n"/>
      <c r="U953" s="53">
        <f>IF(A953="","",IF(IFERROR(VLOOKUP(D953,Parameter!$A$35:$C$64,2,0),"Nein")="2+3",IF(ISNUMBER(SEARCH("grosser Artikel",BJ953)),2,IFERROR(VLOOKUP(BM953,Parameter!$F$35:$G$64,2,0),2)),IF(OR(IFERROR(VLOOKUP(D953,Parameter!$A$35:$C$64,2,0),"Nein")="Nein",IFERROR(VLOOKUP(D953,Parameter!$A$35:$C$64,2,0),"Nein")=""),"-",VLOOKUP(D953,Parameter!$A$35:$C$64,2,0))))</f>
        <v/>
      </c>
      <c r="V953" s="61" t="n"/>
      <c r="W953" s="62" t="n"/>
      <c r="X953" s="55">
        <f>AM953</f>
        <v/>
      </c>
      <c r="Y953" s="55">
        <f>MAX(AM953,G953)</f>
        <v/>
      </c>
      <c r="Z953" s="63" t="n"/>
      <c r="AA953" s="55">
        <f>IF(LEFT(Cockpit!$C$5,1)="A",G953,IF(BT953=1,BU953,IF(LEFT(Cockpit!$C$5,1)="B",AE953,MAX(AE953,G953))))</f>
        <v/>
      </c>
      <c r="AB953" s="55">
        <f>IF(BO953=1,0,ROUNDUP(AA953/BN953,0))</f>
        <v/>
      </c>
      <c r="AC953" s="64">
        <f>IF(BO953=1,IF(AA953&lt;=0,0,BP953*MAX(1,IF(G953&gt;0,AA953/G953,1))),AB953*Q953)</f>
        <v/>
      </c>
      <c r="AD953" s="55">
        <f>AA953*F953</f>
        <v/>
      </c>
      <c r="AE953" s="55">
        <f>ROUNDUP(MAX(I953/IF(BS953&gt;0,BS953,MAX(0.1,N(Cockpit!$C$6))),BV953)/BN953,0)*BN953</f>
        <v/>
      </c>
      <c r="AF953" s="56">
        <f>IF(AC953&gt;0,I953/AC953,-1)</f>
        <v/>
      </c>
      <c r="AG953" s="56">
        <f>IF(AND(OR(BR953="L1",BR953="L23"),AC953&gt;0),SUMIFS($AC$7:$AC$1570,$BR$7:$BR$1570,BR953,$AF$7:$AF$1570,"&gt;"&amp;AF953)+SUMIFS($AC$7:$AC$1570,$BR$7:$BR$1570,BR953,$AF$7:$AF$1570,AF953,$BL$7:$BL$1570,"&lt;="&amp;BL953),"")</f>
        <v/>
      </c>
      <c r="AH953" s="65">
        <f>IF(AG953="",0,MAX(0,MIN(1,(IF(BR953="L1",Parameter!$K$5,Parameter!$K$6+Parameter!$K$7)-(AG953-AC953))/AC953)))</f>
        <v/>
      </c>
      <c r="AI953" s="55">
        <f>IF(LEFT(Cockpit!$I$5,1)="A",G953,IF(BT953=1,BU953,IF(LEFT(Cockpit!$I$5,1)="B",AM953,MAX(AM953,G953))))</f>
        <v/>
      </c>
      <c r="AJ953" s="55">
        <f>IF(BO953=1,0,ROUNDUP(AI953/BN953,0))</f>
        <v/>
      </c>
      <c r="AK953" s="64">
        <f>IF(BO953=1,IF(AI953&lt;=0,0,BP953*MAX(1,IF(G953&gt;0,AI953/G953,1))),AJ953*Q953)</f>
        <v/>
      </c>
      <c r="AL953" s="55">
        <f>AI953*F953</f>
        <v/>
      </c>
      <c r="AM953" s="55">
        <f>ROUNDUP(MAX(I953/IF(BS953&gt;0,BS953,MAX(0.1,N(Cockpit!$I$6))),BV953)/BN953,0)*BN953</f>
        <v/>
      </c>
      <c r="AN953" s="56">
        <f>IF(AK953&gt;0,I953/AK953,-1)</f>
        <v/>
      </c>
      <c r="AO953" s="56">
        <f>IF(AND(OR(BR953="L1",BR953="L23"),AK953&gt;0),SUMIFS($AK$7:$AK$1570,$BR$7:$BR$1570,BR953,$AN$7:$AN$1570,"&gt;"&amp;AN953)+SUMIFS($AK$7:$AK$1570,$BR$7:$BR$1570,BR953,$AN$7:$AN$1570,AN953,$BL$7:$BL$1570,"&lt;="&amp;BL953),"")</f>
        <v/>
      </c>
      <c r="AP953" s="65">
        <f>IF(AO953="",0,MAX(0,MIN(1,(IF(BR953="L1",Parameter!$K$5,Parameter!$K$6+Parameter!$K$7)-(AO953-AK953))/AK953)))</f>
        <v/>
      </c>
      <c r="AQ953" s="55">
        <f>IF(LEFT(Cockpit!$O$5,1)="A",G953,IF(BT953=1,BU953,IF(LEFT(Cockpit!$O$5,1)="B",AU953,MAX(AU953,G953))))</f>
        <v/>
      </c>
      <c r="AR953" s="55">
        <f>IF(BO953=1,0,ROUNDUP(AQ953/BN953,0))</f>
        <v/>
      </c>
      <c r="AS953" s="64">
        <f>IF(BO953=1,IF(AQ953&lt;=0,0,BP953*MAX(1,IF(G953&gt;0,AQ953/G953,1))),AR953*Q953)</f>
        <v/>
      </c>
      <c r="AT953" s="55">
        <f>AQ953*F953</f>
        <v/>
      </c>
      <c r="AU953" s="55">
        <f>ROUNDUP(MAX(I953/IF(BS953&gt;0,BS953,MAX(0.1,N(Cockpit!$O$6))),BV953)/BN953,0)*BN953</f>
        <v/>
      </c>
      <c r="AV953" s="56">
        <f>IF(AS953&gt;0,I953/AS953,-1)</f>
        <v/>
      </c>
      <c r="AW953" s="56">
        <f>IF(AND(OR(BR953="L1",BR953="L23"),AS953&gt;0),SUMIFS($AS$7:$AS$1570,$BR$7:$BR$1570,BR953,$AV$7:$AV$1570,"&gt;"&amp;AV953)+SUMIFS($AS$7:$AS$1570,$BR$7:$BR$1570,BR953,$AV$7:$AV$1570,AV953,$BL$7:$BL$1570,"&lt;="&amp;BL953),"")</f>
        <v/>
      </c>
      <c r="AX953" s="65">
        <f>IF(AW953="",0,MAX(0,MIN(1,(IF(BR953="L1",Parameter!$K$5,Parameter!$K$6+Parameter!$K$7)-(AW953-AS953))/AS953)))</f>
        <v/>
      </c>
      <c r="AY953" s="53">
        <f>IF(AC953&lt;=0,"",IF(BR953="Aussen","Aussenlager",IF(BR953="-","Nicht im Lift",IF(AH953&gt;=1,"Lift",IF(AH953&lt;=0,"Aussenlager","teilweise")))))</f>
        <v/>
      </c>
      <c r="AZ953" s="53">
        <f>IF(AK953&lt;=0,"",IF(BR953="Aussen","Aussenlager",IF(BR953="-","Nicht im Lift",IF(AP953&gt;=1,"Lift",IF(AP953&lt;=0,"Aussenlager","teilweise")))))</f>
        <v/>
      </c>
      <c r="BA953" s="53">
        <f>IF(AS953&lt;=0,"",IF(BR953="Aussen","Aussenlager",IF(BR953="-","Nicht im Lift",IF(AX953&gt;=1,"Lift",IF(AX953&lt;=0,"Aussenlager","teilweise")))))</f>
        <v/>
      </c>
      <c r="BB953" s="53">
        <f>IF(A953="","",IF(BK953=1,"Neu; ","")&amp;IF(AND(BK953=0,BF953&lt;0),"negativer Bestand (Export "&amp;BF953&amp;"); ","")&amp;IF(I953&lt;=0,"Kein Verbrauch; ","")&amp;IF(BO953=1,"Lose – Fläche geschätzt; ","")&amp;IF(G953&gt;AM953,"Überbestand "&amp;ROUND(G953-AM953,0)&amp;" Stk / CHF "&amp;ROUND((G953-AM953)*F953,0)&amp;"; ","")&amp;IF(AND(BT953=1,BU953&lt;BV953),"MAX &lt; MB+LG; ","")&amp;IF(AND(BZ953&gt;0,BY953*10&gt;BZ953),"zu hoch für Tablar; ","")&amp;IF(AND(BK953=0,OR(BT953=1,V953&lt;&gt;"",S953&lt;&gt;"",T953&lt;&gt;"",W953&lt;&gt;"")),"manuell übersteuert; ","")&amp;IF(AND(BO953=0,Q953=0),"Gebinde unbekannt; ","")&amp;IF(AND(BO953=0,N(T953)&lt;=0,N(P953)&lt;=0),"Menge pro Gebinde fehlt (Ist = 1 Gebinde); ","")&amp;BJ953)</f>
        <v/>
      </c>
      <c r="BC953" s="53" t="n"/>
      <c r="BD953" s="53" t="n"/>
      <c r="BE953" s="61" t="n"/>
      <c r="BF953" s="55" t="n">
        <v>-4</v>
      </c>
      <c r="BG953" s="55" t="n">
        <v>29</v>
      </c>
      <c r="BH953" s="54" t="n">
        <v>-61.6</v>
      </c>
      <c r="BI953" s="55" t="n">
        <v>0</v>
      </c>
      <c r="BJ953" s="53" t="inlineStr">
        <is>
          <t>Neuer Art.</t>
        </is>
      </c>
      <c r="BK953" s="58" t="n">
        <v>0</v>
      </c>
      <c r="BL953" s="58" t="n">
        <v>953</v>
      </c>
      <c r="BM953" s="53">
        <f>IF(S953&lt;&gt;"",UPPER(TRIM(S953)),IF(O953="","LOSE",O953))</f>
        <v/>
      </c>
      <c r="BN953" s="55">
        <f>IF(BM953="LOSE",1,IF(N(T953)&gt;0,T953,IF(N(P953)&gt;0,P953,MAX(1,G953))))</f>
        <v/>
      </c>
      <c r="BO953" s="58">
        <f>IF(BM953="LOSE",1,0)</f>
        <v/>
      </c>
      <c r="BP953" s="64">
        <f>IF(BO953=0,0,IF(N(R953)&gt;0,R953,IFERROR(VLOOKUP(D953,Parameter!$A$35:$C$64,3,0)+0,0)))</f>
        <v/>
      </c>
      <c r="BQ953" s="53">
        <f>IF(V953&lt;&gt;"",V953,U953)</f>
        <v/>
      </c>
      <c r="BR953" s="53">
        <f>IF(BQ953=1,"L1",IF(OR(BQ953=2,BQ953=3),"L23",IF(BQ953="Aussen","Aussen","-")))</f>
        <v/>
      </c>
      <c r="BS953" s="66">
        <f>IF(N(W953)&gt;0,W953,0)</f>
        <v/>
      </c>
      <c r="BT953" s="58">
        <f>IF(ISNUMBER(Z953),1,0)</f>
        <v/>
      </c>
      <c r="BU953" s="55">
        <f>N(Z953)</f>
        <v/>
      </c>
      <c r="BV953" s="55">
        <f>N(L953)+N(M953)</f>
        <v/>
      </c>
      <c r="BW953" s="55">
        <f>ROUNDUP(G953/BN953,0)</f>
        <v/>
      </c>
      <c r="BX953" s="55">
        <f>ROUNDUP(BU953/BN953,0)</f>
        <v/>
      </c>
      <c r="BY953" s="58">
        <f>IF(BO953=1,0,IFERROR(VLOOKUP(BM953,'Gebinde-Kategorie'!$A$5:$G$45,5,0)+0,0))</f>
        <v/>
      </c>
      <c r="BZ953" s="58">
        <f>IFERROR(IF(OR(BQ953=1,BQ953=2,BQ953=3),N(INDEX(Parameter!$I$5:$I$7,BQ953)),0),0)</f>
        <v/>
      </c>
    </row>
    <row r="954">
      <c r="A954" s="53" t="inlineStr">
        <is>
          <t>005103</t>
        </is>
      </c>
      <c r="B954" s="53" t="inlineStr">
        <is>
          <t>SPS Ethernet Switch</t>
        </is>
      </c>
      <c r="C954" s="53" t="inlineStr">
        <is>
          <t>F</t>
        </is>
      </c>
      <c r="D954" s="53" t="inlineStr">
        <is>
          <t>KTL</t>
        </is>
      </c>
      <c r="E954" s="53" t="inlineStr">
        <is>
          <t>C</t>
        </is>
      </c>
      <c r="F954" s="54" t="n">
        <v>62.04</v>
      </c>
      <c r="G954" s="55">
        <f>MAX(0,IF(Parameter!$B$20="Jahresanfang 2025 + Export",BG954+BF954,BF954))</f>
        <v/>
      </c>
      <c r="H954" s="55">
        <f>G954*F954</f>
        <v/>
      </c>
      <c r="I954" s="55">
        <f>BI954*Parameter!$B$18</f>
        <v/>
      </c>
      <c r="J954" s="56" t="n">
        <v>1.5</v>
      </c>
      <c r="K954" s="57" t="n">
        <v>0.6666666666666666</v>
      </c>
      <c r="L954" s="55" t="n">
        <v>0</v>
      </c>
      <c r="M954" s="55" t="n">
        <v>1</v>
      </c>
      <c r="N954" s="58" t="n">
        <v>35</v>
      </c>
      <c r="O954" s="53" t="inlineStr">
        <is>
          <t>S32</t>
        </is>
      </c>
      <c r="P954" s="55" t="n">
        <v>2</v>
      </c>
      <c r="Q954" s="59">
        <f>IF(BO954=1,0,IFERROR(VLOOKUP(BM954,'Gebinde-Kategorie'!$A$5:$G$45,6,0)+0,0))</f>
        <v/>
      </c>
      <c r="R954" s="60" t="n"/>
      <c r="S954" s="61" t="n"/>
      <c r="T954" s="61" t="n"/>
      <c r="U954" s="53">
        <f>IF(A954="","",IF(IFERROR(VLOOKUP(D954,Parameter!$A$35:$C$64,2,0),"Nein")="2+3",IF(ISNUMBER(SEARCH("grosser Artikel",BJ954)),2,IFERROR(VLOOKUP(BM954,Parameter!$F$35:$G$64,2,0),2)),IF(OR(IFERROR(VLOOKUP(D954,Parameter!$A$35:$C$64,2,0),"Nein")="Nein",IFERROR(VLOOKUP(D954,Parameter!$A$35:$C$64,2,0),"Nein")=""),"-",VLOOKUP(D954,Parameter!$A$35:$C$64,2,0))))</f>
        <v/>
      </c>
      <c r="V954" s="61" t="n"/>
      <c r="W954" s="62" t="n"/>
      <c r="X954" s="55">
        <f>AM954</f>
        <v/>
      </c>
      <c r="Y954" s="55">
        <f>MAX(AM954,G954)</f>
        <v/>
      </c>
      <c r="Z954" s="63" t="n"/>
      <c r="AA954" s="55">
        <f>IF(LEFT(Cockpit!$C$5,1)="A",G954,IF(BT954=1,BU954,IF(LEFT(Cockpit!$C$5,1)="B",AE954,MAX(AE954,G954))))</f>
        <v/>
      </c>
      <c r="AB954" s="55">
        <f>IF(BO954=1,0,ROUNDUP(AA954/BN954,0))</f>
        <v/>
      </c>
      <c r="AC954" s="64">
        <f>IF(BO954=1,IF(AA954&lt;=0,0,BP954*MAX(1,IF(G954&gt;0,AA954/G954,1))),AB954*Q954)</f>
        <v/>
      </c>
      <c r="AD954" s="55">
        <f>AA954*F954</f>
        <v/>
      </c>
      <c r="AE954" s="55">
        <f>ROUNDUP(MAX(I954/IF(BS954&gt;0,BS954,MAX(0.1,N(Cockpit!$C$6))),BV954)/BN954,0)*BN954</f>
        <v/>
      </c>
      <c r="AF954" s="56">
        <f>IF(AC954&gt;0,I954/AC954,-1)</f>
        <v/>
      </c>
      <c r="AG954" s="56">
        <f>IF(AND(OR(BR954="L1",BR954="L23"),AC954&gt;0),SUMIFS($AC$7:$AC$1570,$BR$7:$BR$1570,BR954,$AF$7:$AF$1570,"&gt;"&amp;AF954)+SUMIFS($AC$7:$AC$1570,$BR$7:$BR$1570,BR954,$AF$7:$AF$1570,AF954,$BL$7:$BL$1570,"&lt;="&amp;BL954),"")</f>
        <v/>
      </c>
      <c r="AH954" s="65">
        <f>IF(AG954="",0,MAX(0,MIN(1,(IF(BR954="L1",Parameter!$K$5,Parameter!$K$6+Parameter!$K$7)-(AG954-AC954))/AC954)))</f>
        <v/>
      </c>
      <c r="AI954" s="55">
        <f>IF(LEFT(Cockpit!$I$5,1)="A",G954,IF(BT954=1,BU954,IF(LEFT(Cockpit!$I$5,1)="B",AM954,MAX(AM954,G954))))</f>
        <v/>
      </c>
      <c r="AJ954" s="55">
        <f>IF(BO954=1,0,ROUNDUP(AI954/BN954,0))</f>
        <v/>
      </c>
      <c r="AK954" s="64">
        <f>IF(BO954=1,IF(AI954&lt;=0,0,BP954*MAX(1,IF(G954&gt;0,AI954/G954,1))),AJ954*Q954)</f>
        <v/>
      </c>
      <c r="AL954" s="55">
        <f>AI954*F954</f>
        <v/>
      </c>
      <c r="AM954" s="55">
        <f>ROUNDUP(MAX(I954/IF(BS954&gt;0,BS954,MAX(0.1,N(Cockpit!$I$6))),BV954)/BN954,0)*BN954</f>
        <v/>
      </c>
      <c r="AN954" s="56">
        <f>IF(AK954&gt;0,I954/AK954,-1)</f>
        <v/>
      </c>
      <c r="AO954" s="56">
        <f>IF(AND(OR(BR954="L1",BR954="L23"),AK954&gt;0),SUMIFS($AK$7:$AK$1570,$BR$7:$BR$1570,BR954,$AN$7:$AN$1570,"&gt;"&amp;AN954)+SUMIFS($AK$7:$AK$1570,$BR$7:$BR$1570,BR954,$AN$7:$AN$1570,AN954,$BL$7:$BL$1570,"&lt;="&amp;BL954),"")</f>
        <v/>
      </c>
      <c r="AP954" s="65">
        <f>IF(AO954="",0,MAX(0,MIN(1,(IF(BR954="L1",Parameter!$K$5,Parameter!$K$6+Parameter!$K$7)-(AO954-AK954))/AK954)))</f>
        <v/>
      </c>
      <c r="AQ954" s="55">
        <f>IF(LEFT(Cockpit!$O$5,1)="A",G954,IF(BT954=1,BU954,IF(LEFT(Cockpit!$O$5,1)="B",AU954,MAX(AU954,G954))))</f>
        <v/>
      </c>
      <c r="AR954" s="55">
        <f>IF(BO954=1,0,ROUNDUP(AQ954/BN954,0))</f>
        <v/>
      </c>
      <c r="AS954" s="64">
        <f>IF(BO954=1,IF(AQ954&lt;=0,0,BP954*MAX(1,IF(G954&gt;0,AQ954/G954,1))),AR954*Q954)</f>
        <v/>
      </c>
      <c r="AT954" s="55">
        <f>AQ954*F954</f>
        <v/>
      </c>
      <c r="AU954" s="55">
        <f>ROUNDUP(MAX(I954/IF(BS954&gt;0,BS954,MAX(0.1,N(Cockpit!$O$6))),BV954)/BN954,0)*BN954</f>
        <v/>
      </c>
      <c r="AV954" s="56">
        <f>IF(AS954&gt;0,I954/AS954,-1)</f>
        <v/>
      </c>
      <c r="AW954" s="56">
        <f>IF(AND(OR(BR954="L1",BR954="L23"),AS954&gt;0),SUMIFS($AS$7:$AS$1570,$BR$7:$BR$1570,BR954,$AV$7:$AV$1570,"&gt;"&amp;AV954)+SUMIFS($AS$7:$AS$1570,$BR$7:$BR$1570,BR954,$AV$7:$AV$1570,AV954,$BL$7:$BL$1570,"&lt;="&amp;BL954),"")</f>
        <v/>
      </c>
      <c r="AX954" s="65">
        <f>IF(AW954="",0,MAX(0,MIN(1,(IF(BR954="L1",Parameter!$K$5,Parameter!$K$6+Parameter!$K$7)-(AW954-AS954))/AS954)))</f>
        <v/>
      </c>
      <c r="AY954" s="53">
        <f>IF(AC954&lt;=0,"",IF(BR954="Aussen","Aussenlager",IF(BR954="-","Nicht im Lift",IF(AH954&gt;=1,"Lift",IF(AH954&lt;=0,"Aussenlager","teilweise")))))</f>
        <v/>
      </c>
      <c r="AZ954" s="53">
        <f>IF(AK954&lt;=0,"",IF(BR954="Aussen","Aussenlager",IF(BR954="-","Nicht im Lift",IF(AP954&gt;=1,"Lift",IF(AP954&lt;=0,"Aussenlager","teilweise")))))</f>
        <v/>
      </c>
      <c r="BA954" s="53">
        <f>IF(AS954&lt;=0,"",IF(BR954="Aussen","Aussenlager",IF(BR954="-","Nicht im Lift",IF(AX954&gt;=1,"Lift",IF(AX954&lt;=0,"Aussenlager","teilweise")))))</f>
        <v/>
      </c>
      <c r="BB954" s="53">
        <f>IF(A954="","",IF(BK954=1,"Neu; ","")&amp;IF(AND(BK954=0,BF954&lt;0),"negativer Bestand (Export "&amp;BF954&amp;"); ","")&amp;IF(I954&lt;=0,"Kein Verbrauch; ","")&amp;IF(BO954=1,"Lose – Fläche geschätzt; ","")&amp;IF(G954&gt;AM954,"Überbestand "&amp;ROUND(G954-AM954,0)&amp;" Stk / CHF "&amp;ROUND((G954-AM954)*F954,0)&amp;"; ","")&amp;IF(AND(BT954=1,BU954&lt;BV954),"MAX &lt; MB+LG; ","")&amp;IF(AND(BZ954&gt;0,BY954*10&gt;BZ954),"zu hoch für Tablar; ","")&amp;IF(AND(BK954=0,OR(BT954=1,V954&lt;&gt;"",S954&lt;&gt;"",T954&lt;&gt;"",W954&lt;&gt;"")),"manuell übersteuert; ","")&amp;IF(AND(BO954=0,Q954=0),"Gebinde unbekannt; ","")&amp;IF(AND(BO954=0,N(T954)&lt;=0,N(P954)&lt;=0),"Menge pro Gebinde fehlt (Ist = 1 Gebinde); ","")&amp;BJ954)</f>
        <v/>
      </c>
      <c r="BC954" s="53" t="n"/>
      <c r="BD954" s="53" t="n"/>
      <c r="BE954" s="61" t="n"/>
      <c r="BF954" s="55" t="n">
        <v>-1</v>
      </c>
      <c r="BG954" s="55" t="n">
        <v>2</v>
      </c>
      <c r="BH954" s="54" t="n">
        <v>-62.04</v>
      </c>
      <c r="BI954" s="55" t="n">
        <v>1</v>
      </c>
      <c r="BJ954" s="53" t="inlineStr"/>
      <c r="BK954" s="58" t="n">
        <v>0</v>
      </c>
      <c r="BL954" s="58" t="n">
        <v>954</v>
      </c>
      <c r="BM954" s="53">
        <f>IF(S954&lt;&gt;"",UPPER(TRIM(S954)),IF(O954="","LOSE",O954))</f>
        <v/>
      </c>
      <c r="BN954" s="55">
        <f>IF(BM954="LOSE",1,IF(N(T954)&gt;0,T954,IF(N(P954)&gt;0,P954,MAX(1,G954))))</f>
        <v/>
      </c>
      <c r="BO954" s="58">
        <f>IF(BM954="LOSE",1,0)</f>
        <v/>
      </c>
      <c r="BP954" s="64">
        <f>IF(BO954=0,0,IF(N(R954)&gt;0,R954,IFERROR(VLOOKUP(D954,Parameter!$A$35:$C$64,3,0)+0,0)))</f>
        <v/>
      </c>
      <c r="BQ954" s="53">
        <f>IF(V954&lt;&gt;"",V954,U954)</f>
        <v/>
      </c>
      <c r="BR954" s="53">
        <f>IF(BQ954=1,"L1",IF(OR(BQ954=2,BQ954=3),"L23",IF(BQ954="Aussen","Aussen","-")))</f>
        <v/>
      </c>
      <c r="BS954" s="66">
        <f>IF(N(W954)&gt;0,W954,0)</f>
        <v/>
      </c>
      <c r="BT954" s="58">
        <f>IF(ISNUMBER(Z954),1,0)</f>
        <v/>
      </c>
      <c r="BU954" s="55">
        <f>N(Z954)</f>
        <v/>
      </c>
      <c r="BV954" s="55">
        <f>N(L954)+N(M954)</f>
        <v/>
      </c>
      <c r="BW954" s="55">
        <f>ROUNDUP(G954/BN954,0)</f>
        <v/>
      </c>
      <c r="BX954" s="55">
        <f>ROUNDUP(BU954/BN954,0)</f>
        <v/>
      </c>
      <c r="BY954" s="58">
        <f>IF(BO954=1,0,IFERROR(VLOOKUP(BM954,'Gebinde-Kategorie'!$A$5:$G$45,5,0)+0,0))</f>
        <v/>
      </c>
      <c r="BZ954" s="58">
        <f>IFERROR(IF(OR(BQ954=1,BQ954=2,BQ954=3),N(INDEX(Parameter!$I$5:$I$7,BQ954)),0),0)</f>
        <v/>
      </c>
    </row>
    <row r="955">
      <c r="A955" s="53" t="inlineStr">
        <is>
          <t>107106</t>
        </is>
      </c>
      <c r="B955" s="53" t="inlineStr">
        <is>
          <t>Sechskant-Schraubenzieher</t>
        </is>
      </c>
      <c r="C955" s="53" t="inlineStr">
        <is>
          <t>F</t>
        </is>
      </c>
      <c r="D955" s="53" t="inlineStr">
        <is>
          <t>KTL</t>
        </is>
      </c>
      <c r="E955" s="53" t="inlineStr">
        <is>
          <t>C</t>
        </is>
      </c>
      <c r="F955" s="54" t="n">
        <v>9.01</v>
      </c>
      <c r="G955" s="55">
        <f>MAX(0,IF(Parameter!$B$20="Jahresanfang 2025 + Export",BG955+BF955,BF955))</f>
        <v/>
      </c>
      <c r="H955" s="55">
        <f>G955*F955</f>
        <v/>
      </c>
      <c r="I955" s="55">
        <f>BI955*Parameter!$B$18</f>
        <v/>
      </c>
      <c r="J955" s="56" t="n">
        <v>8.5</v>
      </c>
      <c r="K955" s="57" t="n">
        <v>1.058823529411765</v>
      </c>
      <c r="L955" s="55" t="n">
        <v>0</v>
      </c>
      <c r="M955" s="55" t="n">
        <v>10</v>
      </c>
      <c r="N955" s="58" t="n">
        <v>17</v>
      </c>
      <c r="O955" s="53" t="inlineStr">
        <is>
          <t>S33</t>
        </is>
      </c>
      <c r="P955" s="55" t="n">
        <v>23</v>
      </c>
      <c r="Q955" s="59">
        <f>IF(BO955=1,0,IFERROR(VLOOKUP(BM955,'Gebinde-Kategorie'!$A$5:$G$45,6,0)+0,0))</f>
        <v/>
      </c>
      <c r="R955" s="60" t="n"/>
      <c r="S955" s="61" t="n"/>
      <c r="T955" s="61" t="n"/>
      <c r="U955" s="53">
        <f>IF(A955="","",IF(IFERROR(VLOOKUP(D955,Parameter!$A$35:$C$64,2,0),"Nein")="2+3",IF(ISNUMBER(SEARCH("grosser Artikel",BJ955)),2,IFERROR(VLOOKUP(BM955,Parameter!$F$35:$G$64,2,0),2)),IF(OR(IFERROR(VLOOKUP(D955,Parameter!$A$35:$C$64,2,0),"Nein")="Nein",IFERROR(VLOOKUP(D955,Parameter!$A$35:$C$64,2,0),"Nein")=""),"-",VLOOKUP(D955,Parameter!$A$35:$C$64,2,0))))</f>
        <v/>
      </c>
      <c r="V955" s="61" t="n"/>
      <c r="W955" s="62" t="n"/>
      <c r="X955" s="55">
        <f>AM955</f>
        <v/>
      </c>
      <c r="Y955" s="55">
        <f>MAX(AM955,G955)</f>
        <v/>
      </c>
      <c r="Z955" s="63" t="n"/>
      <c r="AA955" s="55">
        <f>IF(LEFT(Cockpit!$C$5,1)="A",G955,IF(BT955=1,BU955,IF(LEFT(Cockpit!$C$5,1)="B",AE955,MAX(AE955,G955))))</f>
        <v/>
      </c>
      <c r="AB955" s="55">
        <f>IF(BO955=1,0,ROUNDUP(AA955/BN955,0))</f>
        <v/>
      </c>
      <c r="AC955" s="64">
        <f>IF(BO955=1,IF(AA955&lt;=0,0,BP955*MAX(1,IF(G955&gt;0,AA955/G955,1))),AB955*Q955)</f>
        <v/>
      </c>
      <c r="AD955" s="55">
        <f>AA955*F955</f>
        <v/>
      </c>
      <c r="AE955" s="55">
        <f>ROUNDUP(MAX(I955/IF(BS955&gt;0,BS955,MAX(0.1,N(Cockpit!$C$6))),BV955)/BN955,0)*BN955</f>
        <v/>
      </c>
      <c r="AF955" s="56">
        <f>IF(AC955&gt;0,I955/AC955,-1)</f>
        <v/>
      </c>
      <c r="AG955" s="56">
        <f>IF(AND(OR(BR955="L1",BR955="L23"),AC955&gt;0),SUMIFS($AC$7:$AC$1570,$BR$7:$BR$1570,BR955,$AF$7:$AF$1570,"&gt;"&amp;AF955)+SUMIFS($AC$7:$AC$1570,$BR$7:$BR$1570,BR955,$AF$7:$AF$1570,AF955,$BL$7:$BL$1570,"&lt;="&amp;BL955),"")</f>
        <v/>
      </c>
      <c r="AH955" s="65">
        <f>IF(AG955="",0,MAX(0,MIN(1,(IF(BR955="L1",Parameter!$K$5,Parameter!$K$6+Parameter!$K$7)-(AG955-AC955))/AC955)))</f>
        <v/>
      </c>
      <c r="AI955" s="55">
        <f>IF(LEFT(Cockpit!$I$5,1)="A",G955,IF(BT955=1,BU955,IF(LEFT(Cockpit!$I$5,1)="B",AM955,MAX(AM955,G955))))</f>
        <v/>
      </c>
      <c r="AJ955" s="55">
        <f>IF(BO955=1,0,ROUNDUP(AI955/BN955,0))</f>
        <v/>
      </c>
      <c r="AK955" s="64">
        <f>IF(BO955=1,IF(AI955&lt;=0,0,BP955*MAX(1,IF(G955&gt;0,AI955/G955,1))),AJ955*Q955)</f>
        <v/>
      </c>
      <c r="AL955" s="55">
        <f>AI955*F955</f>
        <v/>
      </c>
      <c r="AM955" s="55">
        <f>ROUNDUP(MAX(I955/IF(BS955&gt;0,BS955,MAX(0.1,N(Cockpit!$I$6))),BV955)/BN955,0)*BN955</f>
        <v/>
      </c>
      <c r="AN955" s="56">
        <f>IF(AK955&gt;0,I955/AK955,-1)</f>
        <v/>
      </c>
      <c r="AO955" s="56">
        <f>IF(AND(OR(BR955="L1",BR955="L23"),AK955&gt;0),SUMIFS($AK$7:$AK$1570,$BR$7:$BR$1570,BR955,$AN$7:$AN$1570,"&gt;"&amp;AN955)+SUMIFS($AK$7:$AK$1570,$BR$7:$BR$1570,BR955,$AN$7:$AN$1570,AN955,$BL$7:$BL$1570,"&lt;="&amp;BL955),"")</f>
        <v/>
      </c>
      <c r="AP955" s="65">
        <f>IF(AO955="",0,MAX(0,MIN(1,(IF(BR955="L1",Parameter!$K$5,Parameter!$K$6+Parameter!$K$7)-(AO955-AK955))/AK955)))</f>
        <v/>
      </c>
      <c r="AQ955" s="55">
        <f>IF(LEFT(Cockpit!$O$5,1)="A",G955,IF(BT955=1,BU955,IF(LEFT(Cockpit!$O$5,1)="B",AU955,MAX(AU955,G955))))</f>
        <v/>
      </c>
      <c r="AR955" s="55">
        <f>IF(BO955=1,0,ROUNDUP(AQ955/BN955,0))</f>
        <v/>
      </c>
      <c r="AS955" s="64">
        <f>IF(BO955=1,IF(AQ955&lt;=0,0,BP955*MAX(1,IF(G955&gt;0,AQ955/G955,1))),AR955*Q955)</f>
        <v/>
      </c>
      <c r="AT955" s="55">
        <f>AQ955*F955</f>
        <v/>
      </c>
      <c r="AU955" s="55">
        <f>ROUNDUP(MAX(I955/IF(BS955&gt;0,BS955,MAX(0.1,N(Cockpit!$O$6))),BV955)/BN955,0)*BN955</f>
        <v/>
      </c>
      <c r="AV955" s="56">
        <f>IF(AS955&gt;0,I955/AS955,-1)</f>
        <v/>
      </c>
      <c r="AW955" s="56">
        <f>IF(AND(OR(BR955="L1",BR955="L23"),AS955&gt;0),SUMIFS($AS$7:$AS$1570,$BR$7:$BR$1570,BR955,$AV$7:$AV$1570,"&gt;"&amp;AV955)+SUMIFS($AS$7:$AS$1570,$BR$7:$BR$1570,BR955,$AV$7:$AV$1570,AV955,$BL$7:$BL$1570,"&lt;="&amp;BL955),"")</f>
        <v/>
      </c>
      <c r="AX955" s="65">
        <f>IF(AW955="",0,MAX(0,MIN(1,(IF(BR955="L1",Parameter!$K$5,Parameter!$K$6+Parameter!$K$7)-(AW955-AS955))/AS955)))</f>
        <v/>
      </c>
      <c r="AY955" s="53">
        <f>IF(AC955&lt;=0,"",IF(BR955="Aussen","Aussenlager",IF(BR955="-","Nicht im Lift",IF(AH955&gt;=1,"Lift",IF(AH955&lt;=0,"Aussenlager","teilweise")))))</f>
        <v/>
      </c>
      <c r="AZ955" s="53">
        <f>IF(AK955&lt;=0,"",IF(BR955="Aussen","Aussenlager",IF(BR955="-","Nicht im Lift",IF(AP955&gt;=1,"Lift",IF(AP955&lt;=0,"Aussenlager","teilweise")))))</f>
        <v/>
      </c>
      <c r="BA955" s="53">
        <f>IF(AS955&lt;=0,"",IF(BR955="Aussen","Aussenlager",IF(BR955="-","Nicht im Lift",IF(AX955&gt;=1,"Lift",IF(AX955&lt;=0,"Aussenlager","teilweise")))))</f>
        <v/>
      </c>
      <c r="BB955" s="53">
        <f>IF(A955="","",IF(BK955=1,"Neu; ","")&amp;IF(AND(BK955=0,BF955&lt;0),"negativer Bestand (Export "&amp;BF955&amp;"); ","")&amp;IF(I955&lt;=0,"Kein Verbrauch; ","")&amp;IF(BO955=1,"Lose – Fläche geschätzt; ","")&amp;IF(G955&gt;AM955,"Überbestand "&amp;ROUND(G955-AM955,0)&amp;" Stk / CHF "&amp;ROUND((G955-AM955)*F955,0)&amp;"; ","")&amp;IF(AND(BT955=1,BU955&lt;BV955),"MAX &lt; MB+LG; ","")&amp;IF(AND(BZ955&gt;0,BY955*10&gt;BZ955),"zu hoch für Tablar; ","")&amp;IF(AND(BK955=0,OR(BT955=1,V955&lt;&gt;"",S955&lt;&gt;"",T955&lt;&gt;"",W955&lt;&gt;"")),"manuell übersteuert; ","")&amp;IF(AND(BO955=0,Q955=0),"Gebinde unbekannt; ","")&amp;IF(AND(BO955=0,N(T955)&lt;=0,N(P955)&lt;=0),"Menge pro Gebinde fehlt (Ist = 1 Gebinde); ","")&amp;BJ955)</f>
        <v/>
      </c>
      <c r="BC955" s="53" t="n"/>
      <c r="BD955" s="53" t="n"/>
      <c r="BE955" s="61" t="n"/>
      <c r="BF955" s="55" t="n">
        <v>-8</v>
      </c>
      <c r="BG955" s="55" t="n">
        <v>12</v>
      </c>
      <c r="BH955" s="54" t="n">
        <v>-62.6</v>
      </c>
      <c r="BI955" s="55" t="n">
        <v>9</v>
      </c>
      <c r="BJ955" s="53" t="inlineStr"/>
      <c r="BK955" s="58" t="n">
        <v>0</v>
      </c>
      <c r="BL955" s="58" t="n">
        <v>955</v>
      </c>
      <c r="BM955" s="53">
        <f>IF(S955&lt;&gt;"",UPPER(TRIM(S955)),IF(O955="","LOSE",O955))</f>
        <v/>
      </c>
      <c r="BN955" s="55">
        <f>IF(BM955="LOSE",1,IF(N(T955)&gt;0,T955,IF(N(P955)&gt;0,P955,MAX(1,G955))))</f>
        <v/>
      </c>
      <c r="BO955" s="58">
        <f>IF(BM955="LOSE",1,0)</f>
        <v/>
      </c>
      <c r="BP955" s="64">
        <f>IF(BO955=0,0,IF(N(R955)&gt;0,R955,IFERROR(VLOOKUP(D955,Parameter!$A$35:$C$64,3,0)+0,0)))</f>
        <v/>
      </c>
      <c r="BQ955" s="53">
        <f>IF(V955&lt;&gt;"",V955,U955)</f>
        <v/>
      </c>
      <c r="BR955" s="53">
        <f>IF(BQ955=1,"L1",IF(OR(BQ955=2,BQ955=3),"L23",IF(BQ955="Aussen","Aussen","-")))</f>
        <v/>
      </c>
      <c r="BS955" s="66">
        <f>IF(N(W955)&gt;0,W955,0)</f>
        <v/>
      </c>
      <c r="BT955" s="58">
        <f>IF(ISNUMBER(Z955),1,0)</f>
        <v/>
      </c>
      <c r="BU955" s="55">
        <f>N(Z955)</f>
        <v/>
      </c>
      <c r="BV955" s="55">
        <f>N(L955)+N(M955)</f>
        <v/>
      </c>
      <c r="BW955" s="55">
        <f>ROUNDUP(G955/BN955,0)</f>
        <v/>
      </c>
      <c r="BX955" s="55">
        <f>ROUNDUP(BU955/BN955,0)</f>
        <v/>
      </c>
      <c r="BY955" s="58">
        <f>IF(BO955=1,0,IFERROR(VLOOKUP(BM955,'Gebinde-Kategorie'!$A$5:$G$45,5,0)+0,0))</f>
        <v/>
      </c>
      <c r="BZ955" s="58">
        <f>IFERROR(IF(OR(BQ955=1,BQ955=2,BQ955=3),N(INDEX(Parameter!$I$5:$I$7,BQ955)),0),0)</f>
        <v/>
      </c>
    </row>
    <row r="956">
      <c r="A956" s="53" t="inlineStr">
        <is>
          <t>100791</t>
        </is>
      </c>
      <c r="B956" s="53" t="inlineStr">
        <is>
          <t>Magnetspule ohne Kabel</t>
        </is>
      </c>
      <c r="C956" s="53" t="inlineStr">
        <is>
          <t>F</t>
        </is>
      </c>
      <c r="D956" s="53" t="inlineStr">
        <is>
          <t>KTL</t>
        </is>
      </c>
      <c r="E956" s="53" t="inlineStr">
        <is>
          <t>C</t>
        </is>
      </c>
      <c r="F956" s="54" t="n">
        <v>31.64</v>
      </c>
      <c r="G956" s="55">
        <f>MAX(0,IF(Parameter!$B$20="Jahresanfang 2025 + Export",BG956+BF956,BF956))</f>
        <v/>
      </c>
      <c r="H956" s="55">
        <f>G956*F956</f>
        <v/>
      </c>
      <c r="I956" s="55">
        <f>BI956*Parameter!$B$18</f>
        <v/>
      </c>
      <c r="J956" s="56" t="n">
        <v>16</v>
      </c>
      <c r="K956" s="57" t="n">
        <v>0.0625</v>
      </c>
      <c r="L956" s="55" t="n">
        <v>0</v>
      </c>
      <c r="M956" s="55" t="n">
        <v>5</v>
      </c>
      <c r="N956" s="58" t="n">
        <v>56</v>
      </c>
      <c r="O956" s="53" t="inlineStr">
        <is>
          <t>S33</t>
        </is>
      </c>
      <c r="P956" s="55" t="n">
        <v>22</v>
      </c>
      <c r="Q956" s="59">
        <f>IF(BO956=1,0,IFERROR(VLOOKUP(BM956,'Gebinde-Kategorie'!$A$5:$G$45,6,0)+0,0))</f>
        <v/>
      </c>
      <c r="R956" s="60" t="n"/>
      <c r="S956" s="61" t="n"/>
      <c r="T956" s="61" t="n"/>
      <c r="U956" s="53">
        <f>IF(A956="","",IF(IFERROR(VLOOKUP(D956,Parameter!$A$35:$C$64,2,0),"Nein")="2+3",IF(ISNUMBER(SEARCH("grosser Artikel",BJ956)),2,IFERROR(VLOOKUP(BM956,Parameter!$F$35:$G$64,2,0),2)),IF(OR(IFERROR(VLOOKUP(D956,Parameter!$A$35:$C$64,2,0),"Nein")="Nein",IFERROR(VLOOKUP(D956,Parameter!$A$35:$C$64,2,0),"Nein")=""),"-",VLOOKUP(D956,Parameter!$A$35:$C$64,2,0))))</f>
        <v/>
      </c>
      <c r="V956" s="61" t="n"/>
      <c r="W956" s="62" t="n"/>
      <c r="X956" s="55">
        <f>AM956</f>
        <v/>
      </c>
      <c r="Y956" s="55">
        <f>MAX(AM956,G956)</f>
        <v/>
      </c>
      <c r="Z956" s="63" t="n"/>
      <c r="AA956" s="55">
        <f>IF(LEFT(Cockpit!$C$5,1)="A",G956,IF(BT956=1,BU956,IF(LEFT(Cockpit!$C$5,1)="B",AE956,MAX(AE956,G956))))</f>
        <v/>
      </c>
      <c r="AB956" s="55">
        <f>IF(BO956=1,0,ROUNDUP(AA956/BN956,0))</f>
        <v/>
      </c>
      <c r="AC956" s="64">
        <f>IF(BO956=1,IF(AA956&lt;=0,0,BP956*MAX(1,IF(G956&gt;0,AA956/G956,1))),AB956*Q956)</f>
        <v/>
      </c>
      <c r="AD956" s="55">
        <f>AA956*F956</f>
        <v/>
      </c>
      <c r="AE956" s="55">
        <f>ROUNDUP(MAX(I956/IF(BS956&gt;0,BS956,MAX(0.1,N(Cockpit!$C$6))),BV956)/BN956,0)*BN956</f>
        <v/>
      </c>
      <c r="AF956" s="56">
        <f>IF(AC956&gt;0,I956/AC956,-1)</f>
        <v/>
      </c>
      <c r="AG956" s="56">
        <f>IF(AND(OR(BR956="L1",BR956="L23"),AC956&gt;0),SUMIFS($AC$7:$AC$1570,$BR$7:$BR$1570,BR956,$AF$7:$AF$1570,"&gt;"&amp;AF956)+SUMIFS($AC$7:$AC$1570,$BR$7:$BR$1570,BR956,$AF$7:$AF$1570,AF956,$BL$7:$BL$1570,"&lt;="&amp;BL956),"")</f>
        <v/>
      </c>
      <c r="AH956" s="65">
        <f>IF(AG956="",0,MAX(0,MIN(1,(IF(BR956="L1",Parameter!$K$5,Parameter!$K$6+Parameter!$K$7)-(AG956-AC956))/AC956)))</f>
        <v/>
      </c>
      <c r="AI956" s="55">
        <f>IF(LEFT(Cockpit!$I$5,1)="A",G956,IF(BT956=1,BU956,IF(LEFT(Cockpit!$I$5,1)="B",AM956,MAX(AM956,G956))))</f>
        <v/>
      </c>
      <c r="AJ956" s="55">
        <f>IF(BO956=1,0,ROUNDUP(AI956/BN956,0))</f>
        <v/>
      </c>
      <c r="AK956" s="64">
        <f>IF(BO956=1,IF(AI956&lt;=0,0,BP956*MAX(1,IF(G956&gt;0,AI956/G956,1))),AJ956*Q956)</f>
        <v/>
      </c>
      <c r="AL956" s="55">
        <f>AI956*F956</f>
        <v/>
      </c>
      <c r="AM956" s="55">
        <f>ROUNDUP(MAX(I956/IF(BS956&gt;0,BS956,MAX(0.1,N(Cockpit!$I$6))),BV956)/BN956,0)*BN956</f>
        <v/>
      </c>
      <c r="AN956" s="56">
        <f>IF(AK956&gt;0,I956/AK956,-1)</f>
        <v/>
      </c>
      <c r="AO956" s="56">
        <f>IF(AND(OR(BR956="L1",BR956="L23"),AK956&gt;0),SUMIFS($AK$7:$AK$1570,$BR$7:$BR$1570,BR956,$AN$7:$AN$1570,"&gt;"&amp;AN956)+SUMIFS($AK$7:$AK$1570,$BR$7:$BR$1570,BR956,$AN$7:$AN$1570,AN956,$BL$7:$BL$1570,"&lt;="&amp;BL956),"")</f>
        <v/>
      </c>
      <c r="AP956" s="65">
        <f>IF(AO956="",0,MAX(0,MIN(1,(IF(BR956="L1",Parameter!$K$5,Parameter!$K$6+Parameter!$K$7)-(AO956-AK956))/AK956)))</f>
        <v/>
      </c>
      <c r="AQ956" s="55">
        <f>IF(LEFT(Cockpit!$O$5,1)="A",G956,IF(BT956=1,BU956,IF(LEFT(Cockpit!$O$5,1)="B",AU956,MAX(AU956,G956))))</f>
        <v/>
      </c>
      <c r="AR956" s="55">
        <f>IF(BO956=1,0,ROUNDUP(AQ956/BN956,0))</f>
        <v/>
      </c>
      <c r="AS956" s="64">
        <f>IF(BO956=1,IF(AQ956&lt;=0,0,BP956*MAX(1,IF(G956&gt;0,AQ956/G956,1))),AR956*Q956)</f>
        <v/>
      </c>
      <c r="AT956" s="55">
        <f>AQ956*F956</f>
        <v/>
      </c>
      <c r="AU956" s="55">
        <f>ROUNDUP(MAX(I956/IF(BS956&gt;0,BS956,MAX(0.1,N(Cockpit!$O$6))),BV956)/BN956,0)*BN956</f>
        <v/>
      </c>
      <c r="AV956" s="56">
        <f>IF(AS956&gt;0,I956/AS956,-1)</f>
        <v/>
      </c>
      <c r="AW956" s="56">
        <f>IF(AND(OR(BR956="L1",BR956="L23"),AS956&gt;0),SUMIFS($AS$7:$AS$1570,$BR$7:$BR$1570,BR956,$AV$7:$AV$1570,"&gt;"&amp;AV956)+SUMIFS($AS$7:$AS$1570,$BR$7:$BR$1570,BR956,$AV$7:$AV$1570,AV956,$BL$7:$BL$1570,"&lt;="&amp;BL956),"")</f>
        <v/>
      </c>
      <c r="AX956" s="65">
        <f>IF(AW956="",0,MAX(0,MIN(1,(IF(BR956="L1",Parameter!$K$5,Parameter!$K$6+Parameter!$K$7)-(AW956-AS956))/AS956)))</f>
        <v/>
      </c>
      <c r="AY956" s="53">
        <f>IF(AC956&lt;=0,"",IF(BR956="Aussen","Aussenlager",IF(BR956="-","Nicht im Lift",IF(AH956&gt;=1,"Lift",IF(AH956&lt;=0,"Aussenlager","teilweise")))))</f>
        <v/>
      </c>
      <c r="AZ956" s="53">
        <f>IF(AK956&lt;=0,"",IF(BR956="Aussen","Aussenlager",IF(BR956="-","Nicht im Lift",IF(AP956&gt;=1,"Lift",IF(AP956&lt;=0,"Aussenlager","teilweise")))))</f>
        <v/>
      </c>
      <c r="BA956" s="53">
        <f>IF(AS956&lt;=0,"",IF(BR956="Aussen","Aussenlager",IF(BR956="-","Nicht im Lift",IF(AX956&gt;=1,"Lift",IF(AX956&lt;=0,"Aussenlager","teilweise")))))</f>
        <v/>
      </c>
      <c r="BB956" s="53">
        <f>IF(A956="","",IF(BK956=1,"Neu; ","")&amp;IF(AND(BK956=0,BF956&lt;0),"negativer Bestand (Export "&amp;BF956&amp;"); ","")&amp;IF(I956&lt;=0,"Kein Verbrauch; ","")&amp;IF(BO956=1,"Lose – Fläche geschätzt; ","")&amp;IF(G956&gt;AM956,"Überbestand "&amp;ROUND(G956-AM956,0)&amp;" Stk / CHF "&amp;ROUND((G956-AM956)*F956,0)&amp;"; ","")&amp;IF(AND(BT956=1,BU956&lt;BV956),"MAX &lt; MB+LG; ","")&amp;IF(AND(BZ956&gt;0,BY956*10&gt;BZ956),"zu hoch für Tablar; ","")&amp;IF(AND(BK956=0,OR(BT956=1,V956&lt;&gt;"",S956&lt;&gt;"",T956&lt;&gt;"",W956&lt;&gt;"")),"manuell übersteuert; ","")&amp;IF(AND(BO956=0,Q956=0),"Gebinde unbekannt; ","")&amp;IF(AND(BO956=0,N(T956)&lt;=0,N(P956)&lt;=0),"Menge pro Gebinde fehlt (Ist = 1 Gebinde); ","")&amp;BJ956)</f>
        <v/>
      </c>
      <c r="BC956" s="53" t="n"/>
      <c r="BD956" s="53" t="n"/>
      <c r="BE956" s="61" t="n"/>
      <c r="BF956" s="55" t="n">
        <v>-2</v>
      </c>
      <c r="BG956" s="55" t="n">
        <v>17</v>
      </c>
      <c r="BH956" s="54" t="n">
        <v>-63.28</v>
      </c>
      <c r="BI956" s="55" t="n">
        <v>1</v>
      </c>
      <c r="BJ956" s="53" t="inlineStr"/>
      <c r="BK956" s="58" t="n">
        <v>0</v>
      </c>
      <c r="BL956" s="58" t="n">
        <v>956</v>
      </c>
      <c r="BM956" s="53">
        <f>IF(S956&lt;&gt;"",UPPER(TRIM(S956)),IF(O956="","LOSE",O956))</f>
        <v/>
      </c>
      <c r="BN956" s="55">
        <f>IF(BM956="LOSE",1,IF(N(T956)&gt;0,T956,IF(N(P956)&gt;0,P956,MAX(1,G956))))</f>
        <v/>
      </c>
      <c r="BO956" s="58">
        <f>IF(BM956="LOSE",1,0)</f>
        <v/>
      </c>
      <c r="BP956" s="64">
        <f>IF(BO956=0,0,IF(N(R956)&gt;0,R956,IFERROR(VLOOKUP(D956,Parameter!$A$35:$C$64,3,0)+0,0)))</f>
        <v/>
      </c>
      <c r="BQ956" s="53">
        <f>IF(V956&lt;&gt;"",V956,U956)</f>
        <v/>
      </c>
      <c r="BR956" s="53">
        <f>IF(BQ956=1,"L1",IF(OR(BQ956=2,BQ956=3),"L23",IF(BQ956="Aussen","Aussen","-")))</f>
        <v/>
      </c>
      <c r="BS956" s="66">
        <f>IF(N(W956)&gt;0,W956,0)</f>
        <v/>
      </c>
      <c r="BT956" s="58">
        <f>IF(ISNUMBER(Z956),1,0)</f>
        <v/>
      </c>
      <c r="BU956" s="55">
        <f>N(Z956)</f>
        <v/>
      </c>
      <c r="BV956" s="55">
        <f>N(L956)+N(M956)</f>
        <v/>
      </c>
      <c r="BW956" s="55">
        <f>ROUNDUP(G956/BN956,0)</f>
        <v/>
      </c>
      <c r="BX956" s="55">
        <f>ROUNDUP(BU956/BN956,0)</f>
        <v/>
      </c>
      <c r="BY956" s="58">
        <f>IF(BO956=1,0,IFERROR(VLOOKUP(BM956,'Gebinde-Kategorie'!$A$5:$G$45,5,0)+0,0))</f>
        <v/>
      </c>
      <c r="BZ956" s="58">
        <f>IFERROR(IF(OR(BQ956=1,BQ956=2,BQ956=3),N(INDEX(Parameter!$I$5:$I$7,BQ956)),0),0)</f>
        <v/>
      </c>
    </row>
    <row r="957">
      <c r="A957" s="53" t="inlineStr">
        <is>
          <t>005400</t>
        </is>
      </c>
      <c r="B957" s="53" t="inlineStr">
        <is>
          <t>T-Stück</t>
        </is>
      </c>
      <c r="C957" s="53" t="inlineStr">
        <is>
          <t>F</t>
        </is>
      </c>
      <c r="D957" s="53" t="inlineStr">
        <is>
          <t>KTL</t>
        </is>
      </c>
      <c r="E957" s="53" t="inlineStr">
        <is>
          <t>C</t>
        </is>
      </c>
      <c r="F957" s="54" t="n">
        <v>21.34</v>
      </c>
      <c r="G957" s="55">
        <f>MAX(0,IF(Parameter!$B$20="Jahresanfang 2025 + Export",BG957+BF957,BF957))</f>
        <v/>
      </c>
      <c r="H957" s="55">
        <f>G957*F957</f>
        <v/>
      </c>
      <c r="I957" s="55">
        <f>BI957*Parameter!$B$18</f>
        <v/>
      </c>
      <c r="J957" s="56" t="n">
        <v>45</v>
      </c>
      <c r="K957" s="57" t="n">
        <v>0</v>
      </c>
      <c r="L957" s="55" t="n">
        <v>0</v>
      </c>
      <c r="M957" s="55" t="n">
        <v>1</v>
      </c>
      <c r="N957" s="58" t="n">
        <v>35</v>
      </c>
      <c r="O957" s="53" t="inlineStr">
        <is>
          <t>S32</t>
        </is>
      </c>
      <c r="P957" s="55" t="n">
        <v>54</v>
      </c>
      <c r="Q957" s="59">
        <f>IF(BO957=1,0,IFERROR(VLOOKUP(BM957,'Gebinde-Kategorie'!$A$5:$G$45,6,0)+0,0))</f>
        <v/>
      </c>
      <c r="R957" s="60" t="n"/>
      <c r="S957" s="61" t="n"/>
      <c r="T957" s="61" t="n"/>
      <c r="U957" s="53">
        <f>IF(A957="","",IF(IFERROR(VLOOKUP(D957,Parameter!$A$35:$C$64,2,0),"Nein")="2+3",IF(ISNUMBER(SEARCH("grosser Artikel",BJ957)),2,IFERROR(VLOOKUP(BM957,Parameter!$F$35:$G$64,2,0),2)),IF(OR(IFERROR(VLOOKUP(D957,Parameter!$A$35:$C$64,2,0),"Nein")="Nein",IFERROR(VLOOKUP(D957,Parameter!$A$35:$C$64,2,0),"Nein")=""),"-",VLOOKUP(D957,Parameter!$A$35:$C$64,2,0))))</f>
        <v/>
      </c>
      <c r="V957" s="61" t="n"/>
      <c r="W957" s="62" t="n"/>
      <c r="X957" s="55">
        <f>AM957</f>
        <v/>
      </c>
      <c r="Y957" s="55">
        <f>MAX(AM957,G957)</f>
        <v/>
      </c>
      <c r="Z957" s="63" t="n"/>
      <c r="AA957" s="55">
        <f>IF(LEFT(Cockpit!$C$5,1)="A",G957,IF(BT957=1,BU957,IF(LEFT(Cockpit!$C$5,1)="B",AE957,MAX(AE957,G957))))</f>
        <v/>
      </c>
      <c r="AB957" s="55">
        <f>IF(BO957=1,0,ROUNDUP(AA957/BN957,0))</f>
        <v/>
      </c>
      <c r="AC957" s="64">
        <f>IF(BO957=1,IF(AA957&lt;=0,0,BP957*MAX(1,IF(G957&gt;0,AA957/G957,1))),AB957*Q957)</f>
        <v/>
      </c>
      <c r="AD957" s="55">
        <f>AA957*F957</f>
        <v/>
      </c>
      <c r="AE957" s="55">
        <f>ROUNDUP(MAX(I957/IF(BS957&gt;0,BS957,MAX(0.1,N(Cockpit!$C$6))),BV957)/BN957,0)*BN957</f>
        <v/>
      </c>
      <c r="AF957" s="56">
        <f>IF(AC957&gt;0,I957/AC957,-1)</f>
        <v/>
      </c>
      <c r="AG957" s="56">
        <f>IF(AND(OR(BR957="L1",BR957="L23"),AC957&gt;0),SUMIFS($AC$7:$AC$1570,$BR$7:$BR$1570,BR957,$AF$7:$AF$1570,"&gt;"&amp;AF957)+SUMIFS($AC$7:$AC$1570,$BR$7:$BR$1570,BR957,$AF$7:$AF$1570,AF957,$BL$7:$BL$1570,"&lt;="&amp;BL957),"")</f>
        <v/>
      </c>
      <c r="AH957" s="65">
        <f>IF(AG957="",0,MAX(0,MIN(1,(IF(BR957="L1",Parameter!$K$5,Parameter!$K$6+Parameter!$K$7)-(AG957-AC957))/AC957)))</f>
        <v/>
      </c>
      <c r="AI957" s="55">
        <f>IF(LEFT(Cockpit!$I$5,1)="A",G957,IF(BT957=1,BU957,IF(LEFT(Cockpit!$I$5,1)="B",AM957,MAX(AM957,G957))))</f>
        <v/>
      </c>
      <c r="AJ957" s="55">
        <f>IF(BO957=1,0,ROUNDUP(AI957/BN957,0))</f>
        <v/>
      </c>
      <c r="AK957" s="64">
        <f>IF(BO957=1,IF(AI957&lt;=0,0,BP957*MAX(1,IF(G957&gt;0,AI957/G957,1))),AJ957*Q957)</f>
        <v/>
      </c>
      <c r="AL957" s="55">
        <f>AI957*F957</f>
        <v/>
      </c>
      <c r="AM957" s="55">
        <f>ROUNDUP(MAX(I957/IF(BS957&gt;0,BS957,MAX(0.1,N(Cockpit!$I$6))),BV957)/BN957,0)*BN957</f>
        <v/>
      </c>
      <c r="AN957" s="56">
        <f>IF(AK957&gt;0,I957/AK957,-1)</f>
        <v/>
      </c>
      <c r="AO957" s="56">
        <f>IF(AND(OR(BR957="L1",BR957="L23"),AK957&gt;0),SUMIFS($AK$7:$AK$1570,$BR$7:$BR$1570,BR957,$AN$7:$AN$1570,"&gt;"&amp;AN957)+SUMIFS($AK$7:$AK$1570,$BR$7:$BR$1570,BR957,$AN$7:$AN$1570,AN957,$BL$7:$BL$1570,"&lt;="&amp;BL957),"")</f>
        <v/>
      </c>
      <c r="AP957" s="65">
        <f>IF(AO957="",0,MAX(0,MIN(1,(IF(BR957="L1",Parameter!$K$5,Parameter!$K$6+Parameter!$K$7)-(AO957-AK957))/AK957)))</f>
        <v/>
      </c>
      <c r="AQ957" s="55">
        <f>IF(LEFT(Cockpit!$O$5,1)="A",G957,IF(BT957=1,BU957,IF(LEFT(Cockpit!$O$5,1)="B",AU957,MAX(AU957,G957))))</f>
        <v/>
      </c>
      <c r="AR957" s="55">
        <f>IF(BO957=1,0,ROUNDUP(AQ957/BN957,0))</f>
        <v/>
      </c>
      <c r="AS957" s="64">
        <f>IF(BO957=1,IF(AQ957&lt;=0,0,BP957*MAX(1,IF(G957&gt;0,AQ957/G957,1))),AR957*Q957)</f>
        <v/>
      </c>
      <c r="AT957" s="55">
        <f>AQ957*F957</f>
        <v/>
      </c>
      <c r="AU957" s="55">
        <f>ROUNDUP(MAX(I957/IF(BS957&gt;0,BS957,MAX(0.1,N(Cockpit!$O$6))),BV957)/BN957,0)*BN957</f>
        <v/>
      </c>
      <c r="AV957" s="56">
        <f>IF(AS957&gt;0,I957/AS957,-1)</f>
        <v/>
      </c>
      <c r="AW957" s="56">
        <f>IF(AND(OR(BR957="L1",BR957="L23"),AS957&gt;0),SUMIFS($AS$7:$AS$1570,$BR$7:$BR$1570,BR957,$AV$7:$AV$1570,"&gt;"&amp;AV957)+SUMIFS($AS$7:$AS$1570,$BR$7:$BR$1570,BR957,$AV$7:$AV$1570,AV957,$BL$7:$BL$1570,"&lt;="&amp;BL957),"")</f>
        <v/>
      </c>
      <c r="AX957" s="65">
        <f>IF(AW957="",0,MAX(0,MIN(1,(IF(BR957="L1",Parameter!$K$5,Parameter!$K$6+Parameter!$K$7)-(AW957-AS957))/AS957)))</f>
        <v/>
      </c>
      <c r="AY957" s="53">
        <f>IF(AC957&lt;=0,"",IF(BR957="Aussen","Aussenlager",IF(BR957="-","Nicht im Lift",IF(AH957&gt;=1,"Lift",IF(AH957&lt;=0,"Aussenlager","teilweise")))))</f>
        <v/>
      </c>
      <c r="AZ957" s="53">
        <f>IF(AK957&lt;=0,"",IF(BR957="Aussen","Aussenlager",IF(BR957="-","Nicht im Lift",IF(AP957&gt;=1,"Lift",IF(AP957&lt;=0,"Aussenlager","teilweise")))))</f>
        <v/>
      </c>
      <c r="BA957" s="53">
        <f>IF(AS957&lt;=0,"",IF(BR957="Aussen","Aussenlager",IF(BR957="-","Nicht im Lift",IF(AX957&gt;=1,"Lift",IF(AX957&lt;=0,"Aussenlager","teilweise")))))</f>
        <v/>
      </c>
      <c r="BB957" s="53">
        <f>IF(A957="","",IF(BK957=1,"Neu; ","")&amp;IF(AND(BK957=0,BF957&lt;0),"negativer Bestand (Export "&amp;BF957&amp;"); ","")&amp;IF(I957&lt;=0,"Kein Verbrauch; ","")&amp;IF(BO957=1,"Lose – Fläche geschätzt; ","")&amp;IF(G957&gt;AM957,"Überbestand "&amp;ROUND(G957-AM957,0)&amp;" Stk / CHF "&amp;ROUND((G957-AM957)*F957,0)&amp;"; ","")&amp;IF(AND(BT957=1,BU957&lt;BV957),"MAX &lt; MB+LG; ","")&amp;IF(AND(BZ957&gt;0,BY957*10&gt;BZ957),"zu hoch für Tablar; ","")&amp;IF(AND(BK957=0,OR(BT957=1,V957&lt;&gt;"",S957&lt;&gt;"",T957&lt;&gt;"",W957&lt;&gt;"")),"manuell übersteuert; ","")&amp;IF(AND(BO957=0,Q957=0),"Gebinde unbekannt; ","")&amp;IF(AND(BO957=0,N(T957)&lt;=0,N(P957)&lt;=0),"Menge pro Gebinde fehlt (Ist = 1 Gebinde); ","")&amp;BJ957)</f>
        <v/>
      </c>
      <c r="BC957" s="53" t="n"/>
      <c r="BD957" s="53" t="n"/>
      <c r="BE957" s="61" t="n"/>
      <c r="BF957" s="55" t="n">
        <v>-3</v>
      </c>
      <c r="BG957" s="55" t="n">
        <v>45</v>
      </c>
      <c r="BH957" s="54" t="n">
        <v>-64.02</v>
      </c>
      <c r="BI957" s="55" t="n">
        <v>0</v>
      </c>
      <c r="BJ957" s="53" t="inlineStr">
        <is>
          <t>Twin</t>
        </is>
      </c>
      <c r="BK957" s="58" t="n">
        <v>0</v>
      </c>
      <c r="BL957" s="58" t="n">
        <v>957</v>
      </c>
      <c r="BM957" s="53">
        <f>IF(S957&lt;&gt;"",UPPER(TRIM(S957)),IF(O957="","LOSE",O957))</f>
        <v/>
      </c>
      <c r="BN957" s="55">
        <f>IF(BM957="LOSE",1,IF(N(T957)&gt;0,T957,IF(N(P957)&gt;0,P957,MAX(1,G957))))</f>
        <v/>
      </c>
      <c r="BO957" s="58">
        <f>IF(BM957="LOSE",1,0)</f>
        <v/>
      </c>
      <c r="BP957" s="64">
        <f>IF(BO957=0,0,IF(N(R957)&gt;0,R957,IFERROR(VLOOKUP(D957,Parameter!$A$35:$C$64,3,0)+0,0)))</f>
        <v/>
      </c>
      <c r="BQ957" s="53">
        <f>IF(V957&lt;&gt;"",V957,U957)</f>
        <v/>
      </c>
      <c r="BR957" s="53">
        <f>IF(BQ957=1,"L1",IF(OR(BQ957=2,BQ957=3),"L23",IF(BQ957="Aussen","Aussen","-")))</f>
        <v/>
      </c>
      <c r="BS957" s="66">
        <f>IF(N(W957)&gt;0,W957,0)</f>
        <v/>
      </c>
      <c r="BT957" s="58">
        <f>IF(ISNUMBER(Z957),1,0)</f>
        <v/>
      </c>
      <c r="BU957" s="55">
        <f>N(Z957)</f>
        <v/>
      </c>
      <c r="BV957" s="55">
        <f>N(L957)+N(M957)</f>
        <v/>
      </c>
      <c r="BW957" s="55">
        <f>ROUNDUP(G957/BN957,0)</f>
        <v/>
      </c>
      <c r="BX957" s="55">
        <f>ROUNDUP(BU957/BN957,0)</f>
        <v/>
      </c>
      <c r="BY957" s="58">
        <f>IF(BO957=1,0,IFERROR(VLOOKUP(BM957,'Gebinde-Kategorie'!$A$5:$G$45,5,0)+0,0))</f>
        <v/>
      </c>
      <c r="BZ957" s="58">
        <f>IFERROR(IF(OR(BQ957=1,BQ957=2,BQ957=3),N(INDEX(Parameter!$I$5:$I$7,BQ957)),0),0)</f>
        <v/>
      </c>
    </row>
    <row r="958">
      <c r="A958" s="53" t="inlineStr">
        <is>
          <t>001199</t>
        </is>
      </c>
      <c r="B958" s="53" t="inlineStr">
        <is>
          <t>Abisolierzange</t>
        </is>
      </c>
      <c r="C958" s="53" t="inlineStr">
        <is>
          <t>F</t>
        </is>
      </c>
      <c r="D958" s="53" t="inlineStr">
        <is>
          <t>KTL</t>
        </is>
      </c>
      <c r="E958" s="53" t="inlineStr">
        <is>
          <t>C</t>
        </is>
      </c>
      <c r="F958" s="54" t="n">
        <v>65.36</v>
      </c>
      <c r="G958" s="55">
        <f>MAX(0,IF(Parameter!$B$20="Jahresanfang 2025 + Export",BG958+BF958,BF958))</f>
        <v/>
      </c>
      <c r="H958" s="55">
        <f>G958*F958</f>
        <v/>
      </c>
      <c r="I958" s="55">
        <f>BI958*Parameter!$B$18</f>
        <v/>
      </c>
      <c r="J958" s="56" t="n">
        <v>5.5</v>
      </c>
      <c r="K958" s="57" t="n">
        <v>0</v>
      </c>
      <c r="L958" s="55" t="n">
        <v>0</v>
      </c>
      <c r="M958" s="55" t="n">
        <v>1</v>
      </c>
      <c r="N958" s="58" t="n">
        <v>28</v>
      </c>
      <c r="O958" s="53" t="inlineStr">
        <is>
          <t>S41</t>
        </is>
      </c>
      <c r="P958" s="55" t="n">
        <v>10</v>
      </c>
      <c r="Q958" s="59">
        <f>IF(BO958=1,0,IFERROR(VLOOKUP(BM958,'Gebinde-Kategorie'!$A$5:$G$45,6,0)+0,0))</f>
        <v/>
      </c>
      <c r="R958" s="60" t="n"/>
      <c r="S958" s="61" t="n"/>
      <c r="T958" s="61" t="n"/>
      <c r="U958" s="53">
        <f>IF(A958="","",IF(IFERROR(VLOOKUP(D958,Parameter!$A$35:$C$64,2,0),"Nein")="2+3",IF(ISNUMBER(SEARCH("grosser Artikel",BJ958)),2,IFERROR(VLOOKUP(BM958,Parameter!$F$35:$G$64,2,0),2)),IF(OR(IFERROR(VLOOKUP(D958,Parameter!$A$35:$C$64,2,0),"Nein")="Nein",IFERROR(VLOOKUP(D958,Parameter!$A$35:$C$64,2,0),"Nein")=""),"-",VLOOKUP(D958,Parameter!$A$35:$C$64,2,0))))</f>
        <v/>
      </c>
      <c r="V958" s="61" t="n"/>
      <c r="W958" s="62" t="n"/>
      <c r="X958" s="55">
        <f>AM958</f>
        <v/>
      </c>
      <c r="Y958" s="55">
        <f>MAX(AM958,G958)</f>
        <v/>
      </c>
      <c r="Z958" s="63" t="n"/>
      <c r="AA958" s="55">
        <f>IF(LEFT(Cockpit!$C$5,1)="A",G958,IF(BT958=1,BU958,IF(LEFT(Cockpit!$C$5,1)="B",AE958,MAX(AE958,G958))))</f>
        <v/>
      </c>
      <c r="AB958" s="55">
        <f>IF(BO958=1,0,ROUNDUP(AA958/BN958,0))</f>
        <v/>
      </c>
      <c r="AC958" s="64">
        <f>IF(BO958=1,IF(AA958&lt;=0,0,BP958*MAX(1,IF(G958&gt;0,AA958/G958,1))),AB958*Q958)</f>
        <v/>
      </c>
      <c r="AD958" s="55">
        <f>AA958*F958</f>
        <v/>
      </c>
      <c r="AE958" s="55">
        <f>ROUNDUP(MAX(I958/IF(BS958&gt;0,BS958,MAX(0.1,N(Cockpit!$C$6))),BV958)/BN958,0)*BN958</f>
        <v/>
      </c>
      <c r="AF958" s="56">
        <f>IF(AC958&gt;0,I958/AC958,-1)</f>
        <v/>
      </c>
      <c r="AG958" s="56">
        <f>IF(AND(OR(BR958="L1",BR958="L23"),AC958&gt;0),SUMIFS($AC$7:$AC$1570,$BR$7:$BR$1570,BR958,$AF$7:$AF$1570,"&gt;"&amp;AF958)+SUMIFS($AC$7:$AC$1570,$BR$7:$BR$1570,BR958,$AF$7:$AF$1570,AF958,$BL$7:$BL$1570,"&lt;="&amp;BL958),"")</f>
        <v/>
      </c>
      <c r="AH958" s="65">
        <f>IF(AG958="",0,MAX(0,MIN(1,(IF(BR958="L1",Parameter!$K$5,Parameter!$K$6+Parameter!$K$7)-(AG958-AC958))/AC958)))</f>
        <v/>
      </c>
      <c r="AI958" s="55">
        <f>IF(LEFT(Cockpit!$I$5,1)="A",G958,IF(BT958=1,BU958,IF(LEFT(Cockpit!$I$5,1)="B",AM958,MAX(AM958,G958))))</f>
        <v/>
      </c>
      <c r="AJ958" s="55">
        <f>IF(BO958=1,0,ROUNDUP(AI958/BN958,0))</f>
        <v/>
      </c>
      <c r="AK958" s="64">
        <f>IF(BO958=1,IF(AI958&lt;=0,0,BP958*MAX(1,IF(G958&gt;0,AI958/G958,1))),AJ958*Q958)</f>
        <v/>
      </c>
      <c r="AL958" s="55">
        <f>AI958*F958</f>
        <v/>
      </c>
      <c r="AM958" s="55">
        <f>ROUNDUP(MAX(I958/IF(BS958&gt;0,BS958,MAX(0.1,N(Cockpit!$I$6))),BV958)/BN958,0)*BN958</f>
        <v/>
      </c>
      <c r="AN958" s="56">
        <f>IF(AK958&gt;0,I958/AK958,-1)</f>
        <v/>
      </c>
      <c r="AO958" s="56">
        <f>IF(AND(OR(BR958="L1",BR958="L23"),AK958&gt;0),SUMIFS($AK$7:$AK$1570,$BR$7:$BR$1570,BR958,$AN$7:$AN$1570,"&gt;"&amp;AN958)+SUMIFS($AK$7:$AK$1570,$BR$7:$BR$1570,BR958,$AN$7:$AN$1570,AN958,$BL$7:$BL$1570,"&lt;="&amp;BL958),"")</f>
        <v/>
      </c>
      <c r="AP958" s="65">
        <f>IF(AO958="",0,MAX(0,MIN(1,(IF(BR958="L1",Parameter!$K$5,Parameter!$K$6+Parameter!$K$7)-(AO958-AK958))/AK958)))</f>
        <v/>
      </c>
      <c r="AQ958" s="55">
        <f>IF(LEFT(Cockpit!$O$5,1)="A",G958,IF(BT958=1,BU958,IF(LEFT(Cockpit!$O$5,1)="B",AU958,MAX(AU958,G958))))</f>
        <v/>
      </c>
      <c r="AR958" s="55">
        <f>IF(BO958=1,0,ROUNDUP(AQ958/BN958,0))</f>
        <v/>
      </c>
      <c r="AS958" s="64">
        <f>IF(BO958=1,IF(AQ958&lt;=0,0,BP958*MAX(1,IF(G958&gt;0,AQ958/G958,1))),AR958*Q958)</f>
        <v/>
      </c>
      <c r="AT958" s="55">
        <f>AQ958*F958</f>
        <v/>
      </c>
      <c r="AU958" s="55">
        <f>ROUNDUP(MAX(I958/IF(BS958&gt;0,BS958,MAX(0.1,N(Cockpit!$O$6))),BV958)/BN958,0)*BN958</f>
        <v/>
      </c>
      <c r="AV958" s="56">
        <f>IF(AS958&gt;0,I958/AS958,-1)</f>
        <v/>
      </c>
      <c r="AW958" s="56">
        <f>IF(AND(OR(BR958="L1",BR958="L23"),AS958&gt;0),SUMIFS($AS$7:$AS$1570,$BR$7:$BR$1570,BR958,$AV$7:$AV$1570,"&gt;"&amp;AV958)+SUMIFS($AS$7:$AS$1570,$BR$7:$BR$1570,BR958,$AV$7:$AV$1570,AV958,$BL$7:$BL$1570,"&lt;="&amp;BL958),"")</f>
        <v/>
      </c>
      <c r="AX958" s="65">
        <f>IF(AW958="",0,MAX(0,MIN(1,(IF(BR958="L1",Parameter!$K$5,Parameter!$K$6+Parameter!$K$7)-(AW958-AS958))/AS958)))</f>
        <v/>
      </c>
      <c r="AY958" s="53">
        <f>IF(AC958&lt;=0,"",IF(BR958="Aussen","Aussenlager",IF(BR958="-","Nicht im Lift",IF(AH958&gt;=1,"Lift",IF(AH958&lt;=0,"Aussenlager","teilweise")))))</f>
        <v/>
      </c>
      <c r="AZ958" s="53">
        <f>IF(AK958&lt;=0,"",IF(BR958="Aussen","Aussenlager",IF(BR958="-","Nicht im Lift",IF(AP958&gt;=1,"Lift",IF(AP958&lt;=0,"Aussenlager","teilweise")))))</f>
        <v/>
      </c>
      <c r="BA958" s="53">
        <f>IF(AS958&lt;=0,"",IF(BR958="Aussen","Aussenlager",IF(BR958="-","Nicht im Lift",IF(AX958&gt;=1,"Lift",IF(AX958&lt;=0,"Aussenlager","teilweise")))))</f>
        <v/>
      </c>
      <c r="BB958" s="53">
        <f>IF(A958="","",IF(BK958=1,"Neu; ","")&amp;IF(AND(BK958=0,BF958&lt;0),"negativer Bestand (Export "&amp;BF958&amp;"); ","")&amp;IF(I958&lt;=0,"Kein Verbrauch; ","")&amp;IF(BO958=1,"Lose – Fläche geschätzt; ","")&amp;IF(G958&gt;AM958,"Überbestand "&amp;ROUND(G958-AM958,0)&amp;" Stk / CHF "&amp;ROUND((G958-AM958)*F958,0)&amp;"; ","")&amp;IF(AND(BT958=1,BU958&lt;BV958),"MAX &lt; MB+LG; ","")&amp;IF(AND(BZ958&gt;0,BY958*10&gt;BZ958),"zu hoch für Tablar; ","")&amp;IF(AND(BK958=0,OR(BT958=1,V958&lt;&gt;"",S958&lt;&gt;"",T958&lt;&gt;"",W958&lt;&gt;"")),"manuell übersteuert; ","")&amp;IF(AND(BO958=0,Q958=0),"Gebinde unbekannt; ","")&amp;IF(AND(BO958=0,N(T958)&lt;=0,N(P958)&lt;=0),"Menge pro Gebinde fehlt (Ist = 1 Gebinde); ","")&amp;BJ958)</f>
        <v/>
      </c>
      <c r="BC958" s="53" t="n"/>
      <c r="BD958" s="53" t="n"/>
      <c r="BE958" s="61" t="n"/>
      <c r="BF958" s="55" t="n">
        <v>-1</v>
      </c>
      <c r="BG958" s="55" t="n">
        <v>6</v>
      </c>
      <c r="BH958" s="54" t="n">
        <v>-65.36</v>
      </c>
      <c r="BI958" s="55" t="n">
        <v>0</v>
      </c>
      <c r="BJ958" s="53" t="inlineStr">
        <is>
          <t>Verb.Lager</t>
        </is>
      </c>
      <c r="BK958" s="58" t="n">
        <v>0</v>
      </c>
      <c r="BL958" s="58" t="n">
        <v>958</v>
      </c>
      <c r="BM958" s="53">
        <f>IF(S958&lt;&gt;"",UPPER(TRIM(S958)),IF(O958="","LOSE",O958))</f>
        <v/>
      </c>
      <c r="BN958" s="55">
        <f>IF(BM958="LOSE",1,IF(N(T958)&gt;0,T958,IF(N(P958)&gt;0,P958,MAX(1,G958))))</f>
        <v/>
      </c>
      <c r="BO958" s="58">
        <f>IF(BM958="LOSE",1,0)</f>
        <v/>
      </c>
      <c r="BP958" s="64">
        <f>IF(BO958=0,0,IF(N(R958)&gt;0,R958,IFERROR(VLOOKUP(D958,Parameter!$A$35:$C$64,3,0)+0,0)))</f>
        <v/>
      </c>
      <c r="BQ958" s="53">
        <f>IF(V958&lt;&gt;"",V958,U958)</f>
        <v/>
      </c>
      <c r="BR958" s="53">
        <f>IF(BQ958=1,"L1",IF(OR(BQ958=2,BQ958=3),"L23",IF(BQ958="Aussen","Aussen","-")))</f>
        <v/>
      </c>
      <c r="BS958" s="66">
        <f>IF(N(W958)&gt;0,W958,0)</f>
        <v/>
      </c>
      <c r="BT958" s="58">
        <f>IF(ISNUMBER(Z958),1,0)</f>
        <v/>
      </c>
      <c r="BU958" s="55">
        <f>N(Z958)</f>
        <v/>
      </c>
      <c r="BV958" s="55">
        <f>N(L958)+N(M958)</f>
        <v/>
      </c>
      <c r="BW958" s="55">
        <f>ROUNDUP(G958/BN958,0)</f>
        <v/>
      </c>
      <c r="BX958" s="55">
        <f>ROUNDUP(BU958/BN958,0)</f>
        <v/>
      </c>
      <c r="BY958" s="58">
        <f>IF(BO958=1,0,IFERROR(VLOOKUP(BM958,'Gebinde-Kategorie'!$A$5:$G$45,5,0)+0,0))</f>
        <v/>
      </c>
      <c r="BZ958" s="58">
        <f>IFERROR(IF(OR(BQ958=1,BQ958=2,BQ958=3),N(INDEX(Parameter!$I$5:$I$7,BQ958)),0),0)</f>
        <v/>
      </c>
    </row>
    <row r="959">
      <c r="A959" s="53" t="inlineStr">
        <is>
          <t>001035</t>
        </is>
      </c>
      <c r="B959" s="53" t="inlineStr">
        <is>
          <t>Kombi-Faservliesbürste</t>
        </is>
      </c>
      <c r="C959" s="53" t="inlineStr">
        <is>
          <t>F</t>
        </is>
      </c>
      <c r="D959" s="53" t="inlineStr">
        <is>
          <t>KTL</t>
        </is>
      </c>
      <c r="E959" s="53" t="inlineStr">
        <is>
          <t>C</t>
        </is>
      </c>
      <c r="F959" s="54" t="n">
        <v>21.84</v>
      </c>
      <c r="G959" s="55">
        <f>MAX(0,IF(Parameter!$B$20="Jahresanfang 2025 + Export",BG959+BF959,BF959))</f>
        <v/>
      </c>
      <c r="H959" s="55">
        <f>G959*F959</f>
        <v/>
      </c>
      <c r="I959" s="55">
        <f>BI959*Parameter!$B$18</f>
        <v/>
      </c>
      <c r="J959" s="56" t="n">
        <v>7.5</v>
      </c>
      <c r="K959" s="57" t="n">
        <v>0.268</v>
      </c>
      <c r="L959" s="55" t="n">
        <v>0</v>
      </c>
      <c r="M959" s="55" t="n">
        <v>1</v>
      </c>
      <c r="N959" s="58" t="n">
        <v>28</v>
      </c>
      <c r="O959" s="53" t="inlineStr">
        <is>
          <t>S41</t>
        </is>
      </c>
      <c r="P959" s="55" t="n">
        <v>12</v>
      </c>
      <c r="Q959" s="59">
        <f>IF(BO959=1,0,IFERROR(VLOOKUP(BM959,'Gebinde-Kategorie'!$A$5:$G$45,6,0)+0,0))</f>
        <v/>
      </c>
      <c r="R959" s="60" t="n"/>
      <c r="S959" s="61" t="n"/>
      <c r="T959" s="61" t="n"/>
      <c r="U959" s="53">
        <f>IF(A959="","",IF(IFERROR(VLOOKUP(D959,Parameter!$A$35:$C$64,2,0),"Nein")="2+3",IF(ISNUMBER(SEARCH("grosser Artikel",BJ959)),2,IFERROR(VLOOKUP(BM959,Parameter!$F$35:$G$64,2,0),2)),IF(OR(IFERROR(VLOOKUP(D959,Parameter!$A$35:$C$64,2,0),"Nein")="Nein",IFERROR(VLOOKUP(D959,Parameter!$A$35:$C$64,2,0),"Nein")=""),"-",VLOOKUP(D959,Parameter!$A$35:$C$64,2,0))))</f>
        <v/>
      </c>
      <c r="V959" s="61" t="n"/>
      <c r="W959" s="62" t="n"/>
      <c r="X959" s="55">
        <f>AM959</f>
        <v/>
      </c>
      <c r="Y959" s="55">
        <f>MAX(AM959,G959)</f>
        <v/>
      </c>
      <c r="Z959" s="63" t="n"/>
      <c r="AA959" s="55">
        <f>IF(LEFT(Cockpit!$C$5,1)="A",G959,IF(BT959=1,BU959,IF(LEFT(Cockpit!$C$5,1)="B",AE959,MAX(AE959,G959))))</f>
        <v/>
      </c>
      <c r="AB959" s="55">
        <f>IF(BO959=1,0,ROUNDUP(AA959/BN959,0))</f>
        <v/>
      </c>
      <c r="AC959" s="64">
        <f>IF(BO959=1,IF(AA959&lt;=0,0,BP959*MAX(1,IF(G959&gt;0,AA959/G959,1))),AB959*Q959)</f>
        <v/>
      </c>
      <c r="AD959" s="55">
        <f>AA959*F959</f>
        <v/>
      </c>
      <c r="AE959" s="55">
        <f>ROUNDUP(MAX(I959/IF(BS959&gt;0,BS959,MAX(0.1,N(Cockpit!$C$6))),BV959)/BN959,0)*BN959</f>
        <v/>
      </c>
      <c r="AF959" s="56">
        <f>IF(AC959&gt;0,I959/AC959,-1)</f>
        <v/>
      </c>
      <c r="AG959" s="56">
        <f>IF(AND(OR(BR959="L1",BR959="L23"),AC959&gt;0),SUMIFS($AC$7:$AC$1570,$BR$7:$BR$1570,BR959,$AF$7:$AF$1570,"&gt;"&amp;AF959)+SUMIFS($AC$7:$AC$1570,$BR$7:$BR$1570,BR959,$AF$7:$AF$1570,AF959,$BL$7:$BL$1570,"&lt;="&amp;BL959),"")</f>
        <v/>
      </c>
      <c r="AH959" s="65">
        <f>IF(AG959="",0,MAX(0,MIN(1,(IF(BR959="L1",Parameter!$K$5,Parameter!$K$6+Parameter!$K$7)-(AG959-AC959))/AC959)))</f>
        <v/>
      </c>
      <c r="AI959" s="55">
        <f>IF(LEFT(Cockpit!$I$5,1)="A",G959,IF(BT959=1,BU959,IF(LEFT(Cockpit!$I$5,1)="B",AM959,MAX(AM959,G959))))</f>
        <v/>
      </c>
      <c r="AJ959" s="55">
        <f>IF(BO959=1,0,ROUNDUP(AI959/BN959,0))</f>
        <v/>
      </c>
      <c r="AK959" s="64">
        <f>IF(BO959=1,IF(AI959&lt;=0,0,BP959*MAX(1,IF(G959&gt;0,AI959/G959,1))),AJ959*Q959)</f>
        <v/>
      </c>
      <c r="AL959" s="55">
        <f>AI959*F959</f>
        <v/>
      </c>
      <c r="AM959" s="55">
        <f>ROUNDUP(MAX(I959/IF(BS959&gt;0,BS959,MAX(0.1,N(Cockpit!$I$6))),BV959)/BN959,0)*BN959</f>
        <v/>
      </c>
      <c r="AN959" s="56">
        <f>IF(AK959&gt;0,I959/AK959,-1)</f>
        <v/>
      </c>
      <c r="AO959" s="56">
        <f>IF(AND(OR(BR959="L1",BR959="L23"),AK959&gt;0),SUMIFS($AK$7:$AK$1570,$BR$7:$BR$1570,BR959,$AN$7:$AN$1570,"&gt;"&amp;AN959)+SUMIFS($AK$7:$AK$1570,$BR$7:$BR$1570,BR959,$AN$7:$AN$1570,AN959,$BL$7:$BL$1570,"&lt;="&amp;BL959),"")</f>
        <v/>
      </c>
      <c r="AP959" s="65">
        <f>IF(AO959="",0,MAX(0,MIN(1,(IF(BR959="L1",Parameter!$K$5,Parameter!$K$6+Parameter!$K$7)-(AO959-AK959))/AK959)))</f>
        <v/>
      </c>
      <c r="AQ959" s="55">
        <f>IF(LEFT(Cockpit!$O$5,1)="A",G959,IF(BT959=1,BU959,IF(LEFT(Cockpit!$O$5,1)="B",AU959,MAX(AU959,G959))))</f>
        <v/>
      </c>
      <c r="AR959" s="55">
        <f>IF(BO959=1,0,ROUNDUP(AQ959/BN959,0))</f>
        <v/>
      </c>
      <c r="AS959" s="64">
        <f>IF(BO959=1,IF(AQ959&lt;=0,0,BP959*MAX(1,IF(G959&gt;0,AQ959/G959,1))),AR959*Q959)</f>
        <v/>
      </c>
      <c r="AT959" s="55">
        <f>AQ959*F959</f>
        <v/>
      </c>
      <c r="AU959" s="55">
        <f>ROUNDUP(MAX(I959/IF(BS959&gt;0,BS959,MAX(0.1,N(Cockpit!$O$6))),BV959)/BN959,0)*BN959</f>
        <v/>
      </c>
      <c r="AV959" s="56">
        <f>IF(AS959&gt;0,I959/AS959,-1)</f>
        <v/>
      </c>
      <c r="AW959" s="56">
        <f>IF(AND(OR(BR959="L1",BR959="L23"),AS959&gt;0),SUMIFS($AS$7:$AS$1570,$BR$7:$BR$1570,BR959,$AV$7:$AV$1570,"&gt;"&amp;AV959)+SUMIFS($AS$7:$AS$1570,$BR$7:$BR$1570,BR959,$AV$7:$AV$1570,AV959,$BL$7:$BL$1570,"&lt;="&amp;BL959),"")</f>
        <v/>
      </c>
      <c r="AX959" s="65">
        <f>IF(AW959="",0,MAX(0,MIN(1,(IF(BR959="L1",Parameter!$K$5,Parameter!$K$6+Parameter!$K$7)-(AW959-AS959))/AS959)))</f>
        <v/>
      </c>
      <c r="AY959" s="53">
        <f>IF(AC959&lt;=0,"",IF(BR959="Aussen","Aussenlager",IF(BR959="-","Nicht im Lift",IF(AH959&gt;=1,"Lift",IF(AH959&lt;=0,"Aussenlager","teilweise")))))</f>
        <v/>
      </c>
      <c r="AZ959" s="53">
        <f>IF(AK959&lt;=0,"",IF(BR959="Aussen","Aussenlager",IF(BR959="-","Nicht im Lift",IF(AP959&gt;=1,"Lift",IF(AP959&lt;=0,"Aussenlager","teilweise")))))</f>
        <v/>
      </c>
      <c r="BA959" s="53">
        <f>IF(AS959&lt;=0,"",IF(BR959="Aussen","Aussenlager",IF(BR959="-","Nicht im Lift",IF(AX959&gt;=1,"Lift",IF(AX959&lt;=0,"Aussenlager","teilweise")))))</f>
        <v/>
      </c>
      <c r="BB959" s="53">
        <f>IF(A959="","",IF(BK959=1,"Neu; ","")&amp;IF(AND(BK959=0,BF959&lt;0),"negativer Bestand (Export "&amp;BF959&amp;"); ","")&amp;IF(I959&lt;=0,"Kein Verbrauch; ","")&amp;IF(BO959=1,"Lose – Fläche geschätzt; ","")&amp;IF(G959&gt;AM959,"Überbestand "&amp;ROUND(G959-AM959,0)&amp;" Stk / CHF "&amp;ROUND((G959-AM959)*F959,0)&amp;"; ","")&amp;IF(AND(BT959=1,BU959&lt;BV959),"MAX &lt; MB+LG; ","")&amp;IF(AND(BZ959&gt;0,BY959*10&gt;BZ959),"zu hoch für Tablar; ","")&amp;IF(AND(BK959=0,OR(BT959=1,V959&lt;&gt;"",S959&lt;&gt;"",T959&lt;&gt;"",W959&lt;&gt;"")),"manuell übersteuert; ","")&amp;IF(AND(BO959=0,Q959=0),"Gebinde unbekannt; ","")&amp;IF(AND(BO959=0,N(T959)&lt;=0,N(P959)&lt;=0),"Menge pro Gebinde fehlt (Ist = 1 Gebinde); ","")&amp;BJ959)</f>
        <v/>
      </c>
      <c r="BC959" s="53" t="n"/>
      <c r="BD959" s="53" t="n"/>
      <c r="BE959" s="61" t="n"/>
      <c r="BF959" s="55" t="n">
        <v>-3</v>
      </c>
      <c r="BG959" s="55" t="n">
        <v>9</v>
      </c>
      <c r="BH959" s="54" t="n">
        <v>-65.52000000000001</v>
      </c>
      <c r="BI959" s="55" t="n">
        <v>2.01</v>
      </c>
      <c r="BJ959" s="53" t="inlineStr"/>
      <c r="BK959" s="58" t="n">
        <v>0</v>
      </c>
      <c r="BL959" s="58" t="n">
        <v>959</v>
      </c>
      <c r="BM959" s="53">
        <f>IF(S959&lt;&gt;"",UPPER(TRIM(S959)),IF(O959="","LOSE",O959))</f>
        <v/>
      </c>
      <c r="BN959" s="55">
        <f>IF(BM959="LOSE",1,IF(N(T959)&gt;0,T959,IF(N(P959)&gt;0,P959,MAX(1,G959))))</f>
        <v/>
      </c>
      <c r="BO959" s="58">
        <f>IF(BM959="LOSE",1,0)</f>
        <v/>
      </c>
      <c r="BP959" s="64">
        <f>IF(BO959=0,0,IF(N(R959)&gt;0,R959,IFERROR(VLOOKUP(D959,Parameter!$A$35:$C$64,3,0)+0,0)))</f>
        <v/>
      </c>
      <c r="BQ959" s="53">
        <f>IF(V959&lt;&gt;"",V959,U959)</f>
        <v/>
      </c>
      <c r="BR959" s="53">
        <f>IF(BQ959=1,"L1",IF(OR(BQ959=2,BQ959=3),"L23",IF(BQ959="Aussen","Aussen","-")))</f>
        <v/>
      </c>
      <c r="BS959" s="66">
        <f>IF(N(W959)&gt;0,W959,0)</f>
        <v/>
      </c>
      <c r="BT959" s="58">
        <f>IF(ISNUMBER(Z959),1,0)</f>
        <v/>
      </c>
      <c r="BU959" s="55">
        <f>N(Z959)</f>
        <v/>
      </c>
      <c r="BV959" s="55">
        <f>N(L959)+N(M959)</f>
        <v/>
      </c>
      <c r="BW959" s="55">
        <f>ROUNDUP(G959/BN959,0)</f>
        <v/>
      </c>
      <c r="BX959" s="55">
        <f>ROUNDUP(BU959/BN959,0)</f>
        <v/>
      </c>
      <c r="BY959" s="58">
        <f>IF(BO959=1,0,IFERROR(VLOOKUP(BM959,'Gebinde-Kategorie'!$A$5:$G$45,5,0)+0,0))</f>
        <v/>
      </c>
      <c r="BZ959" s="58">
        <f>IFERROR(IF(OR(BQ959=1,BQ959=2,BQ959=3),N(INDEX(Parameter!$I$5:$I$7,BQ959)),0),0)</f>
        <v/>
      </c>
    </row>
    <row r="960">
      <c r="A960" s="53" t="inlineStr">
        <is>
          <t>005139</t>
        </is>
      </c>
      <c r="B960" s="53" t="inlineStr">
        <is>
          <t>Leuchtmelder</t>
        </is>
      </c>
      <c r="C960" s="53" t="inlineStr">
        <is>
          <t>F</t>
        </is>
      </c>
      <c r="D960" s="53" t="inlineStr">
        <is>
          <t>KTL</t>
        </is>
      </c>
      <c r="E960" s="53" t="inlineStr">
        <is>
          <t>C</t>
        </is>
      </c>
      <c r="F960" s="54" t="n">
        <v>16.51</v>
      </c>
      <c r="G960" s="55">
        <f>MAX(0,IF(Parameter!$B$20="Jahresanfang 2025 + Export",BG960+BF960,BF960))</f>
        <v/>
      </c>
      <c r="H960" s="55">
        <f>G960*F960</f>
        <v/>
      </c>
      <c r="I960" s="55">
        <f>BI960*Parameter!$B$18</f>
        <v/>
      </c>
      <c r="J960" s="56" t="n">
        <v>10.5</v>
      </c>
      <c r="K960" s="57" t="n">
        <v>0</v>
      </c>
      <c r="L960" s="55" t="n">
        <v>0</v>
      </c>
      <c r="M960" s="55" t="n">
        <v>1</v>
      </c>
      <c r="N960" s="58" t="n">
        <v>35</v>
      </c>
      <c r="O960" s="53" t="inlineStr">
        <is>
          <t>S33</t>
        </is>
      </c>
      <c r="P960" s="55" t="n">
        <v>14</v>
      </c>
      <c r="Q960" s="59">
        <f>IF(BO960=1,0,IFERROR(VLOOKUP(BM960,'Gebinde-Kategorie'!$A$5:$G$45,6,0)+0,0))</f>
        <v/>
      </c>
      <c r="R960" s="60" t="n"/>
      <c r="S960" s="61" t="n"/>
      <c r="T960" s="61" t="n"/>
      <c r="U960" s="53">
        <f>IF(A960="","",IF(IFERROR(VLOOKUP(D960,Parameter!$A$35:$C$64,2,0),"Nein")="2+3",IF(ISNUMBER(SEARCH("grosser Artikel",BJ960)),2,IFERROR(VLOOKUP(BM960,Parameter!$F$35:$G$64,2,0),2)),IF(OR(IFERROR(VLOOKUP(D960,Parameter!$A$35:$C$64,2,0),"Nein")="Nein",IFERROR(VLOOKUP(D960,Parameter!$A$35:$C$64,2,0),"Nein")=""),"-",VLOOKUP(D960,Parameter!$A$35:$C$64,2,0))))</f>
        <v/>
      </c>
      <c r="V960" s="61" t="n"/>
      <c r="W960" s="62" t="n"/>
      <c r="X960" s="55">
        <f>AM960</f>
        <v/>
      </c>
      <c r="Y960" s="55">
        <f>MAX(AM960,G960)</f>
        <v/>
      </c>
      <c r="Z960" s="63" t="n"/>
      <c r="AA960" s="55">
        <f>IF(LEFT(Cockpit!$C$5,1)="A",G960,IF(BT960=1,BU960,IF(LEFT(Cockpit!$C$5,1)="B",AE960,MAX(AE960,G960))))</f>
        <v/>
      </c>
      <c r="AB960" s="55">
        <f>IF(BO960=1,0,ROUNDUP(AA960/BN960,0))</f>
        <v/>
      </c>
      <c r="AC960" s="64">
        <f>IF(BO960=1,IF(AA960&lt;=0,0,BP960*MAX(1,IF(G960&gt;0,AA960/G960,1))),AB960*Q960)</f>
        <v/>
      </c>
      <c r="AD960" s="55">
        <f>AA960*F960</f>
        <v/>
      </c>
      <c r="AE960" s="55">
        <f>ROUNDUP(MAX(I960/IF(BS960&gt;0,BS960,MAX(0.1,N(Cockpit!$C$6))),BV960)/BN960,0)*BN960</f>
        <v/>
      </c>
      <c r="AF960" s="56">
        <f>IF(AC960&gt;0,I960/AC960,-1)</f>
        <v/>
      </c>
      <c r="AG960" s="56">
        <f>IF(AND(OR(BR960="L1",BR960="L23"),AC960&gt;0),SUMIFS($AC$7:$AC$1570,$BR$7:$BR$1570,BR960,$AF$7:$AF$1570,"&gt;"&amp;AF960)+SUMIFS($AC$7:$AC$1570,$BR$7:$BR$1570,BR960,$AF$7:$AF$1570,AF960,$BL$7:$BL$1570,"&lt;="&amp;BL960),"")</f>
        <v/>
      </c>
      <c r="AH960" s="65">
        <f>IF(AG960="",0,MAX(0,MIN(1,(IF(BR960="L1",Parameter!$K$5,Parameter!$K$6+Parameter!$K$7)-(AG960-AC960))/AC960)))</f>
        <v/>
      </c>
      <c r="AI960" s="55">
        <f>IF(LEFT(Cockpit!$I$5,1)="A",G960,IF(BT960=1,BU960,IF(LEFT(Cockpit!$I$5,1)="B",AM960,MAX(AM960,G960))))</f>
        <v/>
      </c>
      <c r="AJ960" s="55">
        <f>IF(BO960=1,0,ROUNDUP(AI960/BN960,0))</f>
        <v/>
      </c>
      <c r="AK960" s="64">
        <f>IF(BO960=1,IF(AI960&lt;=0,0,BP960*MAX(1,IF(G960&gt;0,AI960/G960,1))),AJ960*Q960)</f>
        <v/>
      </c>
      <c r="AL960" s="55">
        <f>AI960*F960</f>
        <v/>
      </c>
      <c r="AM960" s="55">
        <f>ROUNDUP(MAX(I960/IF(BS960&gt;0,BS960,MAX(0.1,N(Cockpit!$I$6))),BV960)/BN960,0)*BN960</f>
        <v/>
      </c>
      <c r="AN960" s="56">
        <f>IF(AK960&gt;0,I960/AK960,-1)</f>
        <v/>
      </c>
      <c r="AO960" s="56">
        <f>IF(AND(OR(BR960="L1",BR960="L23"),AK960&gt;0),SUMIFS($AK$7:$AK$1570,$BR$7:$BR$1570,BR960,$AN$7:$AN$1570,"&gt;"&amp;AN960)+SUMIFS($AK$7:$AK$1570,$BR$7:$BR$1570,BR960,$AN$7:$AN$1570,AN960,$BL$7:$BL$1570,"&lt;="&amp;BL960),"")</f>
        <v/>
      </c>
      <c r="AP960" s="65">
        <f>IF(AO960="",0,MAX(0,MIN(1,(IF(BR960="L1",Parameter!$K$5,Parameter!$K$6+Parameter!$K$7)-(AO960-AK960))/AK960)))</f>
        <v/>
      </c>
      <c r="AQ960" s="55">
        <f>IF(LEFT(Cockpit!$O$5,1)="A",G960,IF(BT960=1,BU960,IF(LEFT(Cockpit!$O$5,1)="B",AU960,MAX(AU960,G960))))</f>
        <v/>
      </c>
      <c r="AR960" s="55">
        <f>IF(BO960=1,0,ROUNDUP(AQ960/BN960,0))</f>
        <v/>
      </c>
      <c r="AS960" s="64">
        <f>IF(BO960=1,IF(AQ960&lt;=0,0,BP960*MAX(1,IF(G960&gt;0,AQ960/G960,1))),AR960*Q960)</f>
        <v/>
      </c>
      <c r="AT960" s="55">
        <f>AQ960*F960</f>
        <v/>
      </c>
      <c r="AU960" s="55">
        <f>ROUNDUP(MAX(I960/IF(BS960&gt;0,BS960,MAX(0.1,N(Cockpit!$O$6))),BV960)/BN960,0)*BN960</f>
        <v/>
      </c>
      <c r="AV960" s="56">
        <f>IF(AS960&gt;0,I960/AS960,-1)</f>
        <v/>
      </c>
      <c r="AW960" s="56">
        <f>IF(AND(OR(BR960="L1",BR960="L23"),AS960&gt;0),SUMIFS($AS$7:$AS$1570,$BR$7:$BR$1570,BR960,$AV$7:$AV$1570,"&gt;"&amp;AV960)+SUMIFS($AS$7:$AS$1570,$BR$7:$BR$1570,BR960,$AV$7:$AV$1570,AV960,$BL$7:$BL$1570,"&lt;="&amp;BL960),"")</f>
        <v/>
      </c>
      <c r="AX960" s="65">
        <f>IF(AW960="",0,MAX(0,MIN(1,(IF(BR960="L1",Parameter!$K$5,Parameter!$K$6+Parameter!$K$7)-(AW960-AS960))/AS960)))</f>
        <v/>
      </c>
      <c r="AY960" s="53">
        <f>IF(AC960&lt;=0,"",IF(BR960="Aussen","Aussenlager",IF(BR960="-","Nicht im Lift",IF(AH960&gt;=1,"Lift",IF(AH960&lt;=0,"Aussenlager","teilweise")))))</f>
        <v/>
      </c>
      <c r="AZ960" s="53">
        <f>IF(AK960&lt;=0,"",IF(BR960="Aussen","Aussenlager",IF(BR960="-","Nicht im Lift",IF(AP960&gt;=1,"Lift",IF(AP960&lt;=0,"Aussenlager","teilweise")))))</f>
        <v/>
      </c>
      <c r="BA960" s="53">
        <f>IF(AS960&lt;=0,"",IF(BR960="Aussen","Aussenlager",IF(BR960="-","Nicht im Lift",IF(AX960&gt;=1,"Lift",IF(AX960&lt;=0,"Aussenlager","teilweise")))))</f>
        <v/>
      </c>
      <c r="BB960" s="53">
        <f>IF(A960="","",IF(BK960=1,"Neu; ","")&amp;IF(AND(BK960=0,BF960&lt;0),"negativer Bestand (Export "&amp;BF960&amp;"); ","")&amp;IF(I960&lt;=0,"Kein Verbrauch; ","")&amp;IF(BO960=1,"Lose – Fläche geschätzt; ","")&amp;IF(G960&gt;AM960,"Überbestand "&amp;ROUND(G960-AM960,0)&amp;" Stk / CHF "&amp;ROUND((G960-AM960)*F960,0)&amp;"; ","")&amp;IF(AND(BT960=1,BU960&lt;BV960),"MAX &lt; MB+LG; ","")&amp;IF(AND(BZ960&gt;0,BY960*10&gt;BZ960),"zu hoch für Tablar; ","")&amp;IF(AND(BK960=0,OR(BT960=1,V960&lt;&gt;"",S960&lt;&gt;"",T960&lt;&gt;"",W960&lt;&gt;"")),"manuell übersteuert; ","")&amp;IF(AND(BO960=0,Q960=0),"Gebinde unbekannt; ","")&amp;IF(AND(BO960=0,N(T960)&lt;=0,N(P960)&lt;=0),"Menge pro Gebinde fehlt (Ist = 1 Gebinde); ","")&amp;BJ960)</f>
        <v/>
      </c>
      <c r="BC960" s="53" t="n"/>
      <c r="BD960" s="53" t="n"/>
      <c r="BE960" s="61" t="n"/>
      <c r="BF960" s="55" t="n">
        <v>-4</v>
      </c>
      <c r="BG960" s="55" t="n">
        <v>12</v>
      </c>
      <c r="BH960" s="54" t="n">
        <v>-66.04000000000001</v>
      </c>
      <c r="BI960" s="55" t="n">
        <v>0</v>
      </c>
      <c r="BJ960" s="53" t="inlineStr"/>
      <c r="BK960" s="58" t="n">
        <v>0</v>
      </c>
      <c r="BL960" s="58" t="n">
        <v>960</v>
      </c>
      <c r="BM960" s="53">
        <f>IF(S960&lt;&gt;"",UPPER(TRIM(S960)),IF(O960="","LOSE",O960))</f>
        <v/>
      </c>
      <c r="BN960" s="55">
        <f>IF(BM960="LOSE",1,IF(N(T960)&gt;0,T960,IF(N(P960)&gt;0,P960,MAX(1,G960))))</f>
        <v/>
      </c>
      <c r="BO960" s="58">
        <f>IF(BM960="LOSE",1,0)</f>
        <v/>
      </c>
      <c r="BP960" s="64">
        <f>IF(BO960=0,0,IF(N(R960)&gt;0,R960,IFERROR(VLOOKUP(D960,Parameter!$A$35:$C$64,3,0)+0,0)))</f>
        <v/>
      </c>
      <c r="BQ960" s="53">
        <f>IF(V960&lt;&gt;"",V960,U960)</f>
        <v/>
      </c>
      <c r="BR960" s="53">
        <f>IF(BQ960=1,"L1",IF(OR(BQ960=2,BQ960=3),"L23",IF(BQ960="Aussen","Aussen","-")))</f>
        <v/>
      </c>
      <c r="BS960" s="66">
        <f>IF(N(W960)&gt;0,W960,0)</f>
        <v/>
      </c>
      <c r="BT960" s="58">
        <f>IF(ISNUMBER(Z960),1,0)</f>
        <v/>
      </c>
      <c r="BU960" s="55">
        <f>N(Z960)</f>
        <v/>
      </c>
      <c r="BV960" s="55">
        <f>N(L960)+N(M960)</f>
        <v/>
      </c>
      <c r="BW960" s="55">
        <f>ROUNDUP(G960/BN960,0)</f>
        <v/>
      </c>
      <c r="BX960" s="55">
        <f>ROUNDUP(BU960/BN960,0)</f>
        <v/>
      </c>
      <c r="BY960" s="58">
        <f>IF(BO960=1,0,IFERROR(VLOOKUP(BM960,'Gebinde-Kategorie'!$A$5:$G$45,5,0)+0,0))</f>
        <v/>
      </c>
      <c r="BZ960" s="58">
        <f>IFERROR(IF(OR(BQ960=1,BQ960=2,BQ960=3),N(INDEX(Parameter!$I$5:$I$7,BQ960)),0),0)</f>
        <v/>
      </c>
    </row>
    <row r="961">
      <c r="A961" s="53" t="inlineStr">
        <is>
          <t>108487</t>
        </is>
      </c>
      <c r="B961" s="53" t="inlineStr">
        <is>
          <t>Patchkabel Prüfgerät</t>
        </is>
      </c>
      <c r="C961" s="53" t="inlineStr">
        <is>
          <t>F</t>
        </is>
      </c>
      <c r="D961" s="53" t="inlineStr">
        <is>
          <t>KTL</t>
        </is>
      </c>
      <c r="E961" s="53" t="inlineStr">
        <is>
          <t>C</t>
        </is>
      </c>
      <c r="F961" s="54" t="n">
        <v>67.23999999999999</v>
      </c>
      <c r="G961" s="55">
        <f>MAX(0,IF(Parameter!$B$20="Jahresanfang 2025 + Export",BG961+BF961,BF961))</f>
        <v/>
      </c>
      <c r="H961" s="55">
        <f>G961*F961</f>
        <v/>
      </c>
      <c r="I961" s="55">
        <f>BI961*Parameter!$B$18</f>
        <v/>
      </c>
      <c r="J961" s="56" t="n">
        <v>4</v>
      </c>
      <c r="K961" s="57" t="n">
        <v>0.25</v>
      </c>
      <c r="L961" s="55" t="n">
        <v>0</v>
      </c>
      <c r="M961" s="55" t="n">
        <v>1</v>
      </c>
      <c r="N961" s="58" t="n">
        <v>21</v>
      </c>
      <c r="O961" s="53" t="inlineStr">
        <is>
          <t>S51</t>
        </is>
      </c>
      <c r="P961" s="55" t="n">
        <v>6</v>
      </c>
      <c r="Q961" s="59">
        <f>IF(BO961=1,0,IFERROR(VLOOKUP(BM961,'Gebinde-Kategorie'!$A$5:$G$45,6,0)+0,0))</f>
        <v/>
      </c>
      <c r="R961" s="60" t="n"/>
      <c r="S961" s="61" t="n"/>
      <c r="T961" s="61" t="n"/>
      <c r="U961" s="53">
        <f>IF(A961="","",IF(IFERROR(VLOOKUP(D961,Parameter!$A$35:$C$64,2,0),"Nein")="2+3",IF(ISNUMBER(SEARCH("grosser Artikel",BJ961)),2,IFERROR(VLOOKUP(BM961,Parameter!$F$35:$G$64,2,0),2)),IF(OR(IFERROR(VLOOKUP(D961,Parameter!$A$35:$C$64,2,0),"Nein")="Nein",IFERROR(VLOOKUP(D961,Parameter!$A$35:$C$64,2,0),"Nein")=""),"-",VLOOKUP(D961,Parameter!$A$35:$C$64,2,0))))</f>
        <v/>
      </c>
      <c r="V961" s="61" t="n"/>
      <c r="W961" s="62" t="n"/>
      <c r="X961" s="55">
        <f>AM961</f>
        <v/>
      </c>
      <c r="Y961" s="55">
        <f>MAX(AM961,G961)</f>
        <v/>
      </c>
      <c r="Z961" s="63" t="n"/>
      <c r="AA961" s="55">
        <f>IF(LEFT(Cockpit!$C$5,1)="A",G961,IF(BT961=1,BU961,IF(LEFT(Cockpit!$C$5,1)="B",AE961,MAX(AE961,G961))))</f>
        <v/>
      </c>
      <c r="AB961" s="55">
        <f>IF(BO961=1,0,ROUNDUP(AA961/BN961,0))</f>
        <v/>
      </c>
      <c r="AC961" s="64">
        <f>IF(BO961=1,IF(AA961&lt;=0,0,BP961*MAX(1,IF(G961&gt;0,AA961/G961,1))),AB961*Q961)</f>
        <v/>
      </c>
      <c r="AD961" s="55">
        <f>AA961*F961</f>
        <v/>
      </c>
      <c r="AE961" s="55">
        <f>ROUNDUP(MAX(I961/IF(BS961&gt;0,BS961,MAX(0.1,N(Cockpit!$C$6))),BV961)/BN961,0)*BN961</f>
        <v/>
      </c>
      <c r="AF961" s="56">
        <f>IF(AC961&gt;0,I961/AC961,-1)</f>
        <v/>
      </c>
      <c r="AG961" s="56">
        <f>IF(AND(OR(BR961="L1",BR961="L23"),AC961&gt;0),SUMIFS($AC$7:$AC$1570,$BR$7:$BR$1570,BR961,$AF$7:$AF$1570,"&gt;"&amp;AF961)+SUMIFS($AC$7:$AC$1570,$BR$7:$BR$1570,BR961,$AF$7:$AF$1570,AF961,$BL$7:$BL$1570,"&lt;="&amp;BL961),"")</f>
        <v/>
      </c>
      <c r="AH961" s="65">
        <f>IF(AG961="",0,MAX(0,MIN(1,(IF(BR961="L1",Parameter!$K$5,Parameter!$K$6+Parameter!$K$7)-(AG961-AC961))/AC961)))</f>
        <v/>
      </c>
      <c r="AI961" s="55">
        <f>IF(LEFT(Cockpit!$I$5,1)="A",G961,IF(BT961=1,BU961,IF(LEFT(Cockpit!$I$5,1)="B",AM961,MAX(AM961,G961))))</f>
        <v/>
      </c>
      <c r="AJ961" s="55">
        <f>IF(BO961=1,0,ROUNDUP(AI961/BN961,0))</f>
        <v/>
      </c>
      <c r="AK961" s="64">
        <f>IF(BO961=1,IF(AI961&lt;=0,0,BP961*MAX(1,IF(G961&gt;0,AI961/G961,1))),AJ961*Q961)</f>
        <v/>
      </c>
      <c r="AL961" s="55">
        <f>AI961*F961</f>
        <v/>
      </c>
      <c r="AM961" s="55">
        <f>ROUNDUP(MAX(I961/IF(BS961&gt;0,BS961,MAX(0.1,N(Cockpit!$I$6))),BV961)/BN961,0)*BN961</f>
        <v/>
      </c>
      <c r="AN961" s="56">
        <f>IF(AK961&gt;0,I961/AK961,-1)</f>
        <v/>
      </c>
      <c r="AO961" s="56">
        <f>IF(AND(OR(BR961="L1",BR961="L23"),AK961&gt;0),SUMIFS($AK$7:$AK$1570,$BR$7:$BR$1570,BR961,$AN$7:$AN$1570,"&gt;"&amp;AN961)+SUMIFS($AK$7:$AK$1570,$BR$7:$BR$1570,BR961,$AN$7:$AN$1570,AN961,$BL$7:$BL$1570,"&lt;="&amp;BL961),"")</f>
        <v/>
      </c>
      <c r="AP961" s="65">
        <f>IF(AO961="",0,MAX(0,MIN(1,(IF(BR961="L1",Parameter!$K$5,Parameter!$K$6+Parameter!$K$7)-(AO961-AK961))/AK961)))</f>
        <v/>
      </c>
      <c r="AQ961" s="55">
        <f>IF(LEFT(Cockpit!$O$5,1)="A",G961,IF(BT961=1,BU961,IF(LEFT(Cockpit!$O$5,1)="B",AU961,MAX(AU961,G961))))</f>
        <v/>
      </c>
      <c r="AR961" s="55">
        <f>IF(BO961=1,0,ROUNDUP(AQ961/BN961,0))</f>
        <v/>
      </c>
      <c r="AS961" s="64">
        <f>IF(BO961=1,IF(AQ961&lt;=0,0,BP961*MAX(1,IF(G961&gt;0,AQ961/G961,1))),AR961*Q961)</f>
        <v/>
      </c>
      <c r="AT961" s="55">
        <f>AQ961*F961</f>
        <v/>
      </c>
      <c r="AU961" s="55">
        <f>ROUNDUP(MAX(I961/IF(BS961&gt;0,BS961,MAX(0.1,N(Cockpit!$O$6))),BV961)/BN961,0)*BN961</f>
        <v/>
      </c>
      <c r="AV961" s="56">
        <f>IF(AS961&gt;0,I961/AS961,-1)</f>
        <v/>
      </c>
      <c r="AW961" s="56">
        <f>IF(AND(OR(BR961="L1",BR961="L23"),AS961&gt;0),SUMIFS($AS$7:$AS$1570,$BR$7:$BR$1570,BR961,$AV$7:$AV$1570,"&gt;"&amp;AV961)+SUMIFS($AS$7:$AS$1570,$BR$7:$BR$1570,BR961,$AV$7:$AV$1570,AV961,$BL$7:$BL$1570,"&lt;="&amp;BL961),"")</f>
        <v/>
      </c>
      <c r="AX961" s="65">
        <f>IF(AW961="",0,MAX(0,MIN(1,(IF(BR961="L1",Parameter!$K$5,Parameter!$K$6+Parameter!$K$7)-(AW961-AS961))/AS961)))</f>
        <v/>
      </c>
      <c r="AY961" s="53">
        <f>IF(AC961&lt;=0,"",IF(BR961="Aussen","Aussenlager",IF(BR961="-","Nicht im Lift",IF(AH961&gt;=1,"Lift",IF(AH961&lt;=0,"Aussenlager","teilweise")))))</f>
        <v/>
      </c>
      <c r="AZ961" s="53">
        <f>IF(AK961&lt;=0,"",IF(BR961="Aussen","Aussenlager",IF(BR961="-","Nicht im Lift",IF(AP961&gt;=1,"Lift",IF(AP961&lt;=0,"Aussenlager","teilweise")))))</f>
        <v/>
      </c>
      <c r="BA961" s="53">
        <f>IF(AS961&lt;=0,"",IF(BR961="Aussen","Aussenlager",IF(BR961="-","Nicht im Lift",IF(AX961&gt;=1,"Lift",IF(AX961&lt;=0,"Aussenlager","teilweise")))))</f>
        <v/>
      </c>
      <c r="BB961" s="53">
        <f>IF(A961="","",IF(BK961=1,"Neu; ","")&amp;IF(AND(BK961=0,BF961&lt;0),"negativer Bestand (Export "&amp;BF961&amp;"); ","")&amp;IF(I961&lt;=0,"Kein Verbrauch; ","")&amp;IF(BO961=1,"Lose – Fläche geschätzt; ","")&amp;IF(G961&gt;AM961,"Überbestand "&amp;ROUND(G961-AM961,0)&amp;" Stk / CHF "&amp;ROUND((G961-AM961)*F961,0)&amp;"; ","")&amp;IF(AND(BT961=1,BU961&lt;BV961),"MAX &lt; MB+LG; ","")&amp;IF(AND(BZ961&gt;0,BY961*10&gt;BZ961),"zu hoch für Tablar; ","")&amp;IF(AND(BK961=0,OR(BT961=1,V961&lt;&gt;"",S961&lt;&gt;"",T961&lt;&gt;"",W961&lt;&gt;"")),"manuell übersteuert; ","")&amp;IF(AND(BO961=0,Q961=0),"Gebinde unbekannt; ","")&amp;IF(AND(BO961=0,N(T961)&lt;=0,N(P961)&lt;=0),"Menge pro Gebinde fehlt (Ist = 1 Gebinde); ","")&amp;BJ961)</f>
        <v/>
      </c>
      <c r="BC961" s="53" t="n"/>
      <c r="BD961" s="53" t="n"/>
      <c r="BE961" s="61" t="n"/>
      <c r="BF961" s="55" t="n">
        <v>-1</v>
      </c>
      <c r="BG961" s="55" t="n">
        <v>4</v>
      </c>
      <c r="BH961" s="54" t="n">
        <v>-67.23999999999999</v>
      </c>
      <c r="BI961" s="55" t="n">
        <v>1</v>
      </c>
      <c r="BJ961" s="53" t="inlineStr"/>
      <c r="BK961" s="58" t="n">
        <v>0</v>
      </c>
      <c r="BL961" s="58" t="n">
        <v>961</v>
      </c>
      <c r="BM961" s="53">
        <f>IF(S961&lt;&gt;"",UPPER(TRIM(S961)),IF(O961="","LOSE",O961))</f>
        <v/>
      </c>
      <c r="BN961" s="55">
        <f>IF(BM961="LOSE",1,IF(N(T961)&gt;0,T961,IF(N(P961)&gt;0,P961,MAX(1,G961))))</f>
        <v/>
      </c>
      <c r="BO961" s="58">
        <f>IF(BM961="LOSE",1,0)</f>
        <v/>
      </c>
      <c r="BP961" s="64">
        <f>IF(BO961=0,0,IF(N(R961)&gt;0,R961,IFERROR(VLOOKUP(D961,Parameter!$A$35:$C$64,3,0)+0,0)))</f>
        <v/>
      </c>
      <c r="BQ961" s="53">
        <f>IF(V961&lt;&gt;"",V961,U961)</f>
        <v/>
      </c>
      <c r="BR961" s="53">
        <f>IF(BQ961=1,"L1",IF(OR(BQ961=2,BQ961=3),"L23",IF(BQ961="Aussen","Aussen","-")))</f>
        <v/>
      </c>
      <c r="BS961" s="66">
        <f>IF(N(W961)&gt;0,W961,0)</f>
        <v/>
      </c>
      <c r="BT961" s="58">
        <f>IF(ISNUMBER(Z961),1,0)</f>
        <v/>
      </c>
      <c r="BU961" s="55">
        <f>N(Z961)</f>
        <v/>
      </c>
      <c r="BV961" s="55">
        <f>N(L961)+N(M961)</f>
        <v/>
      </c>
      <c r="BW961" s="55">
        <f>ROUNDUP(G961/BN961,0)</f>
        <v/>
      </c>
      <c r="BX961" s="55">
        <f>ROUNDUP(BU961/BN961,0)</f>
        <v/>
      </c>
      <c r="BY961" s="58">
        <f>IF(BO961=1,0,IFERROR(VLOOKUP(BM961,'Gebinde-Kategorie'!$A$5:$G$45,5,0)+0,0))</f>
        <v/>
      </c>
      <c r="BZ961" s="58">
        <f>IFERROR(IF(OR(BQ961=1,BQ961=2,BQ961=3),N(INDEX(Parameter!$I$5:$I$7,BQ961)),0),0)</f>
        <v/>
      </c>
    </row>
    <row r="962">
      <c r="A962" s="53" t="inlineStr">
        <is>
          <t>107226</t>
        </is>
      </c>
      <c r="B962" s="53" t="inlineStr">
        <is>
          <t>Ring-Gabelschlüssel-Satz</t>
        </is>
      </c>
      <c r="C962" s="53" t="inlineStr">
        <is>
          <t>F</t>
        </is>
      </c>
      <c r="D962" s="53" t="inlineStr">
        <is>
          <t>KTL</t>
        </is>
      </c>
      <c r="E962" s="53" t="inlineStr">
        <is>
          <t>C</t>
        </is>
      </c>
      <c r="F962" s="54" t="n">
        <v>68.34</v>
      </c>
      <c r="G962" s="55">
        <f>MAX(0,IF(Parameter!$B$20="Jahresanfang 2025 + Export",BG962+BF962,BF962))</f>
        <v/>
      </c>
      <c r="H962" s="55">
        <f>G962*F962</f>
        <v/>
      </c>
      <c r="I962" s="55">
        <f>BI962*Parameter!$B$18</f>
        <v/>
      </c>
      <c r="J962" s="56" t="n">
        <v>7</v>
      </c>
      <c r="K962" s="57" t="n">
        <v>0.4285714285714285</v>
      </c>
      <c r="L962" s="55" t="n">
        <v>0</v>
      </c>
      <c r="M962" s="55" t="n">
        <v>5</v>
      </c>
      <c r="N962" s="58" t="n">
        <v>14</v>
      </c>
      <c r="O962" s="53" t="inlineStr">
        <is>
          <t>S62</t>
        </is>
      </c>
      <c r="P962" s="55" t="n">
        <v>13</v>
      </c>
      <c r="Q962" s="59">
        <f>IF(BO962=1,0,IFERROR(VLOOKUP(BM962,'Gebinde-Kategorie'!$A$5:$G$45,6,0)+0,0))</f>
        <v/>
      </c>
      <c r="R962" s="60" t="n"/>
      <c r="S962" s="61" t="n"/>
      <c r="T962" s="61" t="n"/>
      <c r="U962" s="53">
        <f>IF(A962="","",IF(IFERROR(VLOOKUP(D962,Parameter!$A$35:$C$64,2,0),"Nein")="2+3",IF(ISNUMBER(SEARCH("grosser Artikel",BJ962)),2,IFERROR(VLOOKUP(BM962,Parameter!$F$35:$G$64,2,0),2)),IF(OR(IFERROR(VLOOKUP(D962,Parameter!$A$35:$C$64,2,0),"Nein")="Nein",IFERROR(VLOOKUP(D962,Parameter!$A$35:$C$64,2,0),"Nein")=""),"-",VLOOKUP(D962,Parameter!$A$35:$C$64,2,0))))</f>
        <v/>
      </c>
      <c r="V962" s="61" t="n"/>
      <c r="W962" s="62" t="n"/>
      <c r="X962" s="55">
        <f>AM962</f>
        <v/>
      </c>
      <c r="Y962" s="55">
        <f>MAX(AM962,G962)</f>
        <v/>
      </c>
      <c r="Z962" s="63" t="n"/>
      <c r="AA962" s="55">
        <f>IF(LEFT(Cockpit!$C$5,1)="A",G962,IF(BT962=1,BU962,IF(LEFT(Cockpit!$C$5,1)="B",AE962,MAX(AE962,G962))))</f>
        <v/>
      </c>
      <c r="AB962" s="55">
        <f>IF(BO962=1,0,ROUNDUP(AA962/BN962,0))</f>
        <v/>
      </c>
      <c r="AC962" s="64">
        <f>IF(BO962=1,IF(AA962&lt;=0,0,BP962*MAX(1,IF(G962&gt;0,AA962/G962,1))),AB962*Q962)</f>
        <v/>
      </c>
      <c r="AD962" s="55">
        <f>AA962*F962</f>
        <v/>
      </c>
      <c r="AE962" s="55">
        <f>ROUNDUP(MAX(I962/IF(BS962&gt;0,BS962,MAX(0.1,N(Cockpit!$C$6))),BV962)/BN962,0)*BN962</f>
        <v/>
      </c>
      <c r="AF962" s="56">
        <f>IF(AC962&gt;0,I962/AC962,-1)</f>
        <v/>
      </c>
      <c r="AG962" s="56">
        <f>IF(AND(OR(BR962="L1",BR962="L23"),AC962&gt;0),SUMIFS($AC$7:$AC$1570,$BR$7:$BR$1570,BR962,$AF$7:$AF$1570,"&gt;"&amp;AF962)+SUMIFS($AC$7:$AC$1570,$BR$7:$BR$1570,BR962,$AF$7:$AF$1570,AF962,$BL$7:$BL$1570,"&lt;="&amp;BL962),"")</f>
        <v/>
      </c>
      <c r="AH962" s="65">
        <f>IF(AG962="",0,MAX(0,MIN(1,(IF(BR962="L1",Parameter!$K$5,Parameter!$K$6+Parameter!$K$7)-(AG962-AC962))/AC962)))</f>
        <v/>
      </c>
      <c r="AI962" s="55">
        <f>IF(LEFT(Cockpit!$I$5,1)="A",G962,IF(BT962=1,BU962,IF(LEFT(Cockpit!$I$5,1)="B",AM962,MAX(AM962,G962))))</f>
        <v/>
      </c>
      <c r="AJ962" s="55">
        <f>IF(BO962=1,0,ROUNDUP(AI962/BN962,0))</f>
        <v/>
      </c>
      <c r="AK962" s="64">
        <f>IF(BO962=1,IF(AI962&lt;=0,0,BP962*MAX(1,IF(G962&gt;0,AI962/G962,1))),AJ962*Q962)</f>
        <v/>
      </c>
      <c r="AL962" s="55">
        <f>AI962*F962</f>
        <v/>
      </c>
      <c r="AM962" s="55">
        <f>ROUNDUP(MAX(I962/IF(BS962&gt;0,BS962,MAX(0.1,N(Cockpit!$I$6))),BV962)/BN962,0)*BN962</f>
        <v/>
      </c>
      <c r="AN962" s="56">
        <f>IF(AK962&gt;0,I962/AK962,-1)</f>
        <v/>
      </c>
      <c r="AO962" s="56">
        <f>IF(AND(OR(BR962="L1",BR962="L23"),AK962&gt;0),SUMIFS($AK$7:$AK$1570,$BR$7:$BR$1570,BR962,$AN$7:$AN$1570,"&gt;"&amp;AN962)+SUMIFS($AK$7:$AK$1570,$BR$7:$BR$1570,BR962,$AN$7:$AN$1570,AN962,$BL$7:$BL$1570,"&lt;="&amp;BL962),"")</f>
        <v/>
      </c>
      <c r="AP962" s="65">
        <f>IF(AO962="",0,MAX(0,MIN(1,(IF(BR962="L1",Parameter!$K$5,Parameter!$K$6+Parameter!$K$7)-(AO962-AK962))/AK962)))</f>
        <v/>
      </c>
      <c r="AQ962" s="55">
        <f>IF(LEFT(Cockpit!$O$5,1)="A",G962,IF(BT962=1,BU962,IF(LEFT(Cockpit!$O$5,1)="B",AU962,MAX(AU962,G962))))</f>
        <v/>
      </c>
      <c r="AR962" s="55">
        <f>IF(BO962=1,0,ROUNDUP(AQ962/BN962,0))</f>
        <v/>
      </c>
      <c r="AS962" s="64">
        <f>IF(BO962=1,IF(AQ962&lt;=0,0,BP962*MAX(1,IF(G962&gt;0,AQ962/G962,1))),AR962*Q962)</f>
        <v/>
      </c>
      <c r="AT962" s="55">
        <f>AQ962*F962</f>
        <v/>
      </c>
      <c r="AU962" s="55">
        <f>ROUNDUP(MAX(I962/IF(BS962&gt;0,BS962,MAX(0.1,N(Cockpit!$O$6))),BV962)/BN962,0)*BN962</f>
        <v/>
      </c>
      <c r="AV962" s="56">
        <f>IF(AS962&gt;0,I962/AS962,-1)</f>
        <v/>
      </c>
      <c r="AW962" s="56">
        <f>IF(AND(OR(BR962="L1",BR962="L23"),AS962&gt;0),SUMIFS($AS$7:$AS$1570,$BR$7:$BR$1570,BR962,$AV$7:$AV$1570,"&gt;"&amp;AV962)+SUMIFS($AS$7:$AS$1570,$BR$7:$BR$1570,BR962,$AV$7:$AV$1570,AV962,$BL$7:$BL$1570,"&lt;="&amp;BL962),"")</f>
        <v/>
      </c>
      <c r="AX962" s="65">
        <f>IF(AW962="",0,MAX(0,MIN(1,(IF(BR962="L1",Parameter!$K$5,Parameter!$K$6+Parameter!$K$7)-(AW962-AS962))/AS962)))</f>
        <v/>
      </c>
      <c r="AY962" s="53">
        <f>IF(AC962&lt;=0,"",IF(BR962="Aussen","Aussenlager",IF(BR962="-","Nicht im Lift",IF(AH962&gt;=1,"Lift",IF(AH962&lt;=0,"Aussenlager","teilweise")))))</f>
        <v/>
      </c>
      <c r="AZ962" s="53">
        <f>IF(AK962&lt;=0,"",IF(BR962="Aussen","Aussenlager",IF(BR962="-","Nicht im Lift",IF(AP962&gt;=1,"Lift",IF(AP962&lt;=0,"Aussenlager","teilweise")))))</f>
        <v/>
      </c>
      <c r="BA962" s="53">
        <f>IF(AS962&lt;=0,"",IF(BR962="Aussen","Aussenlager",IF(BR962="-","Nicht im Lift",IF(AX962&gt;=1,"Lift",IF(AX962&lt;=0,"Aussenlager","teilweise")))))</f>
        <v/>
      </c>
      <c r="BB962" s="53">
        <f>IF(A962="","",IF(BK962=1,"Neu; ","")&amp;IF(AND(BK962=0,BF962&lt;0),"negativer Bestand (Export "&amp;BF962&amp;"); ","")&amp;IF(I962&lt;=0,"Kein Verbrauch; ","")&amp;IF(BO962=1,"Lose – Fläche geschätzt; ","")&amp;IF(G962&gt;AM962,"Überbestand "&amp;ROUND(G962-AM962,0)&amp;" Stk / CHF "&amp;ROUND((G962-AM962)*F962,0)&amp;"; ","")&amp;IF(AND(BT962=1,BU962&lt;BV962),"MAX &lt; MB+LG; ","")&amp;IF(AND(BZ962&gt;0,BY962*10&gt;BZ962),"zu hoch für Tablar; ","")&amp;IF(AND(BK962=0,OR(BT962=1,V962&lt;&gt;"",S962&lt;&gt;"",T962&lt;&gt;"",W962&lt;&gt;"")),"manuell übersteuert; ","")&amp;IF(AND(BO962=0,Q962=0),"Gebinde unbekannt; ","")&amp;IF(AND(BO962=0,N(T962)&lt;=0,N(P962)&lt;=0),"Menge pro Gebinde fehlt (Ist = 1 Gebinde); ","")&amp;BJ962)</f>
        <v/>
      </c>
      <c r="BC962" s="53" t="n"/>
      <c r="BD962" s="53" t="n"/>
      <c r="BE962" s="61" t="n"/>
      <c r="BF962" s="55" t="n">
        <v>-1</v>
      </c>
      <c r="BG962" s="55" t="n">
        <v>8</v>
      </c>
      <c r="BH962" s="54" t="n">
        <v>-68.34</v>
      </c>
      <c r="BI962" s="55" t="n">
        <v>3</v>
      </c>
      <c r="BJ962" s="53" t="inlineStr"/>
      <c r="BK962" s="58" t="n">
        <v>0</v>
      </c>
      <c r="BL962" s="58" t="n">
        <v>962</v>
      </c>
      <c r="BM962" s="53">
        <f>IF(S962&lt;&gt;"",UPPER(TRIM(S962)),IF(O962="","LOSE",O962))</f>
        <v/>
      </c>
      <c r="BN962" s="55">
        <f>IF(BM962="LOSE",1,IF(N(T962)&gt;0,T962,IF(N(P962)&gt;0,P962,MAX(1,G962))))</f>
        <v/>
      </c>
      <c r="BO962" s="58">
        <f>IF(BM962="LOSE",1,0)</f>
        <v/>
      </c>
      <c r="BP962" s="64">
        <f>IF(BO962=0,0,IF(N(R962)&gt;0,R962,IFERROR(VLOOKUP(D962,Parameter!$A$35:$C$64,3,0)+0,0)))</f>
        <v/>
      </c>
      <c r="BQ962" s="53">
        <f>IF(V962&lt;&gt;"",V962,U962)</f>
        <v/>
      </c>
      <c r="BR962" s="53">
        <f>IF(BQ962=1,"L1",IF(OR(BQ962=2,BQ962=3),"L23",IF(BQ962="Aussen","Aussen","-")))</f>
        <v/>
      </c>
      <c r="BS962" s="66">
        <f>IF(N(W962)&gt;0,W962,0)</f>
        <v/>
      </c>
      <c r="BT962" s="58">
        <f>IF(ISNUMBER(Z962),1,0)</f>
        <v/>
      </c>
      <c r="BU962" s="55">
        <f>N(Z962)</f>
        <v/>
      </c>
      <c r="BV962" s="55">
        <f>N(L962)+N(M962)</f>
        <v/>
      </c>
      <c r="BW962" s="55">
        <f>ROUNDUP(G962/BN962,0)</f>
        <v/>
      </c>
      <c r="BX962" s="55">
        <f>ROUNDUP(BU962/BN962,0)</f>
        <v/>
      </c>
      <c r="BY962" s="58">
        <f>IF(BO962=1,0,IFERROR(VLOOKUP(BM962,'Gebinde-Kategorie'!$A$5:$G$45,5,0)+0,0))</f>
        <v/>
      </c>
      <c r="BZ962" s="58">
        <f>IFERROR(IF(OR(BQ962=1,BQ962=2,BQ962=3),N(INDEX(Parameter!$I$5:$I$7,BQ962)),0),0)</f>
        <v/>
      </c>
    </row>
    <row r="963">
      <c r="A963" s="53" t="inlineStr">
        <is>
          <t>101495</t>
        </is>
      </c>
      <c r="B963" s="53" t="inlineStr">
        <is>
          <t>Stützring</t>
        </is>
      </c>
      <c r="C963" s="53" t="inlineStr">
        <is>
          <t>F</t>
        </is>
      </c>
      <c r="D963" s="53" t="inlineStr">
        <is>
          <t>KTL</t>
        </is>
      </c>
      <c r="E963" s="53" t="inlineStr">
        <is>
          <t>C</t>
        </is>
      </c>
      <c r="F963" s="54" t="n">
        <v>1.22</v>
      </c>
      <c r="G963" s="55">
        <f>MAX(0,IF(Parameter!$B$20="Jahresanfang 2025 + Export",BG963+BF963,BF963))</f>
        <v/>
      </c>
      <c r="H963" s="55">
        <f>G963*F963</f>
        <v/>
      </c>
      <c r="I963" s="55">
        <f>BI963*Parameter!$B$18</f>
        <v/>
      </c>
      <c r="J963" s="56" t="n">
        <v>345.5</v>
      </c>
      <c r="K963" s="57" t="n">
        <v>1.221418234442836</v>
      </c>
      <c r="L963" s="55" t="n">
        <v>16</v>
      </c>
      <c r="M963" s="55" t="n">
        <v>420</v>
      </c>
      <c r="N963" s="58" t="n">
        <v>14</v>
      </c>
      <c r="O963" s="53" t="inlineStr">
        <is>
          <t>S51</t>
        </is>
      </c>
      <c r="P963" s="55" t="n">
        <v>621</v>
      </c>
      <c r="Q963" s="59">
        <f>IF(BO963=1,0,IFERROR(VLOOKUP(BM963,'Gebinde-Kategorie'!$A$5:$G$45,6,0)+0,0))</f>
        <v/>
      </c>
      <c r="R963" s="60" t="n"/>
      <c r="S963" s="61" t="n"/>
      <c r="T963" s="61" t="n"/>
      <c r="U963" s="53">
        <f>IF(A963="","",IF(IFERROR(VLOOKUP(D963,Parameter!$A$35:$C$64,2,0),"Nein")="2+3",IF(ISNUMBER(SEARCH("grosser Artikel",BJ963)),2,IFERROR(VLOOKUP(BM963,Parameter!$F$35:$G$64,2,0),2)),IF(OR(IFERROR(VLOOKUP(D963,Parameter!$A$35:$C$64,2,0),"Nein")="Nein",IFERROR(VLOOKUP(D963,Parameter!$A$35:$C$64,2,0),"Nein")=""),"-",VLOOKUP(D963,Parameter!$A$35:$C$64,2,0))))</f>
        <v/>
      </c>
      <c r="V963" s="61" t="n"/>
      <c r="W963" s="62" t="n"/>
      <c r="X963" s="55">
        <f>AM963</f>
        <v/>
      </c>
      <c r="Y963" s="55">
        <f>MAX(AM963,G963)</f>
        <v/>
      </c>
      <c r="Z963" s="63" t="n"/>
      <c r="AA963" s="55">
        <f>IF(LEFT(Cockpit!$C$5,1)="A",G963,IF(BT963=1,BU963,IF(LEFT(Cockpit!$C$5,1)="B",AE963,MAX(AE963,G963))))</f>
        <v/>
      </c>
      <c r="AB963" s="55">
        <f>IF(BO963=1,0,ROUNDUP(AA963/BN963,0))</f>
        <v/>
      </c>
      <c r="AC963" s="64">
        <f>IF(BO963=1,IF(AA963&lt;=0,0,BP963*MAX(1,IF(G963&gt;0,AA963/G963,1))),AB963*Q963)</f>
        <v/>
      </c>
      <c r="AD963" s="55">
        <f>AA963*F963</f>
        <v/>
      </c>
      <c r="AE963" s="55">
        <f>ROUNDUP(MAX(I963/IF(BS963&gt;0,BS963,MAX(0.1,N(Cockpit!$C$6))),BV963)/BN963,0)*BN963</f>
        <v/>
      </c>
      <c r="AF963" s="56">
        <f>IF(AC963&gt;0,I963/AC963,-1)</f>
        <v/>
      </c>
      <c r="AG963" s="56">
        <f>IF(AND(OR(BR963="L1",BR963="L23"),AC963&gt;0),SUMIFS($AC$7:$AC$1570,$BR$7:$BR$1570,BR963,$AF$7:$AF$1570,"&gt;"&amp;AF963)+SUMIFS($AC$7:$AC$1570,$BR$7:$BR$1570,BR963,$AF$7:$AF$1570,AF963,$BL$7:$BL$1570,"&lt;="&amp;BL963),"")</f>
        <v/>
      </c>
      <c r="AH963" s="65">
        <f>IF(AG963="",0,MAX(0,MIN(1,(IF(BR963="L1",Parameter!$K$5,Parameter!$K$6+Parameter!$K$7)-(AG963-AC963))/AC963)))</f>
        <v/>
      </c>
      <c r="AI963" s="55">
        <f>IF(LEFT(Cockpit!$I$5,1)="A",G963,IF(BT963=1,BU963,IF(LEFT(Cockpit!$I$5,1)="B",AM963,MAX(AM963,G963))))</f>
        <v/>
      </c>
      <c r="AJ963" s="55">
        <f>IF(BO963=1,0,ROUNDUP(AI963/BN963,0))</f>
        <v/>
      </c>
      <c r="AK963" s="64">
        <f>IF(BO963=1,IF(AI963&lt;=0,0,BP963*MAX(1,IF(G963&gt;0,AI963/G963,1))),AJ963*Q963)</f>
        <v/>
      </c>
      <c r="AL963" s="55">
        <f>AI963*F963</f>
        <v/>
      </c>
      <c r="AM963" s="55">
        <f>ROUNDUP(MAX(I963/IF(BS963&gt;0,BS963,MAX(0.1,N(Cockpit!$I$6))),BV963)/BN963,0)*BN963</f>
        <v/>
      </c>
      <c r="AN963" s="56">
        <f>IF(AK963&gt;0,I963/AK963,-1)</f>
        <v/>
      </c>
      <c r="AO963" s="56">
        <f>IF(AND(OR(BR963="L1",BR963="L23"),AK963&gt;0),SUMIFS($AK$7:$AK$1570,$BR$7:$BR$1570,BR963,$AN$7:$AN$1570,"&gt;"&amp;AN963)+SUMIFS($AK$7:$AK$1570,$BR$7:$BR$1570,BR963,$AN$7:$AN$1570,AN963,$BL$7:$BL$1570,"&lt;="&amp;BL963),"")</f>
        <v/>
      </c>
      <c r="AP963" s="65">
        <f>IF(AO963="",0,MAX(0,MIN(1,(IF(BR963="L1",Parameter!$K$5,Parameter!$K$6+Parameter!$K$7)-(AO963-AK963))/AK963)))</f>
        <v/>
      </c>
      <c r="AQ963" s="55">
        <f>IF(LEFT(Cockpit!$O$5,1)="A",G963,IF(BT963=1,BU963,IF(LEFT(Cockpit!$O$5,1)="B",AU963,MAX(AU963,G963))))</f>
        <v/>
      </c>
      <c r="AR963" s="55">
        <f>IF(BO963=1,0,ROUNDUP(AQ963/BN963,0))</f>
        <v/>
      </c>
      <c r="AS963" s="64">
        <f>IF(BO963=1,IF(AQ963&lt;=0,0,BP963*MAX(1,IF(G963&gt;0,AQ963/G963,1))),AR963*Q963)</f>
        <v/>
      </c>
      <c r="AT963" s="55">
        <f>AQ963*F963</f>
        <v/>
      </c>
      <c r="AU963" s="55">
        <f>ROUNDUP(MAX(I963/IF(BS963&gt;0,BS963,MAX(0.1,N(Cockpit!$O$6))),BV963)/BN963,0)*BN963</f>
        <v/>
      </c>
      <c r="AV963" s="56">
        <f>IF(AS963&gt;0,I963/AS963,-1)</f>
        <v/>
      </c>
      <c r="AW963" s="56">
        <f>IF(AND(OR(BR963="L1",BR963="L23"),AS963&gt;0),SUMIFS($AS$7:$AS$1570,$BR$7:$BR$1570,BR963,$AV$7:$AV$1570,"&gt;"&amp;AV963)+SUMIFS($AS$7:$AS$1570,$BR$7:$BR$1570,BR963,$AV$7:$AV$1570,AV963,$BL$7:$BL$1570,"&lt;="&amp;BL963),"")</f>
        <v/>
      </c>
      <c r="AX963" s="65">
        <f>IF(AW963="",0,MAX(0,MIN(1,(IF(BR963="L1",Parameter!$K$5,Parameter!$K$6+Parameter!$K$7)-(AW963-AS963))/AS963)))</f>
        <v/>
      </c>
      <c r="AY963" s="53">
        <f>IF(AC963&lt;=0,"",IF(BR963="Aussen","Aussenlager",IF(BR963="-","Nicht im Lift",IF(AH963&gt;=1,"Lift",IF(AH963&lt;=0,"Aussenlager","teilweise")))))</f>
        <v/>
      </c>
      <c r="AZ963" s="53">
        <f>IF(AK963&lt;=0,"",IF(BR963="Aussen","Aussenlager",IF(BR963="-","Nicht im Lift",IF(AP963&gt;=1,"Lift",IF(AP963&lt;=0,"Aussenlager","teilweise")))))</f>
        <v/>
      </c>
      <c r="BA963" s="53">
        <f>IF(AS963&lt;=0,"",IF(BR963="Aussen","Aussenlager",IF(BR963="-","Nicht im Lift",IF(AX963&gt;=1,"Lift",IF(AX963&lt;=0,"Aussenlager","teilweise")))))</f>
        <v/>
      </c>
      <c r="BB963" s="53">
        <f>IF(A963="","",IF(BK963=1,"Neu; ","")&amp;IF(AND(BK963=0,BF963&lt;0),"negativer Bestand (Export "&amp;BF963&amp;"); ","")&amp;IF(I963&lt;=0,"Kein Verbrauch; ","")&amp;IF(BO963=1,"Lose – Fläche geschätzt; ","")&amp;IF(G963&gt;AM963,"Überbestand "&amp;ROUND(G963-AM963,0)&amp;" Stk / CHF "&amp;ROUND((G963-AM963)*F963,0)&amp;"; ","")&amp;IF(AND(BT963=1,BU963&lt;BV963),"MAX &lt; MB+LG; ","")&amp;IF(AND(BZ963&gt;0,BY963*10&gt;BZ963),"zu hoch für Tablar; ","")&amp;IF(AND(BK963=0,OR(BT963=1,V963&lt;&gt;"",S963&lt;&gt;"",T963&lt;&gt;"",W963&lt;&gt;"")),"manuell übersteuert; ","")&amp;IF(AND(BO963=0,Q963=0),"Gebinde unbekannt; ","")&amp;IF(AND(BO963=0,N(T963)&lt;=0,N(P963)&lt;=0),"Menge pro Gebinde fehlt (Ist = 1 Gebinde); ","")&amp;BJ963)</f>
        <v/>
      </c>
      <c r="BC963" s="53" t="n"/>
      <c r="BD963" s="53" t="n"/>
      <c r="BE963" s="61" t="n"/>
      <c r="BF963" s="55" t="n">
        <v>-65</v>
      </c>
      <c r="BG963" s="55" t="n">
        <v>252</v>
      </c>
      <c r="BH963" s="54" t="n">
        <v>-69.21999999999997</v>
      </c>
      <c r="BI963" s="55" t="n">
        <v>422</v>
      </c>
      <c r="BJ963" s="53" t="inlineStr"/>
      <c r="BK963" s="58" t="n">
        <v>0</v>
      </c>
      <c r="BL963" s="58" t="n">
        <v>963</v>
      </c>
      <c r="BM963" s="53">
        <f>IF(S963&lt;&gt;"",UPPER(TRIM(S963)),IF(O963="","LOSE",O963))</f>
        <v/>
      </c>
      <c r="BN963" s="55">
        <f>IF(BM963="LOSE",1,IF(N(T963)&gt;0,T963,IF(N(P963)&gt;0,P963,MAX(1,G963))))</f>
        <v/>
      </c>
      <c r="BO963" s="58">
        <f>IF(BM963="LOSE",1,0)</f>
        <v/>
      </c>
      <c r="BP963" s="64">
        <f>IF(BO963=0,0,IF(N(R963)&gt;0,R963,IFERROR(VLOOKUP(D963,Parameter!$A$35:$C$64,3,0)+0,0)))</f>
        <v/>
      </c>
      <c r="BQ963" s="53">
        <f>IF(V963&lt;&gt;"",V963,U963)</f>
        <v/>
      </c>
      <c r="BR963" s="53">
        <f>IF(BQ963=1,"L1",IF(OR(BQ963=2,BQ963=3),"L23",IF(BQ963="Aussen","Aussen","-")))</f>
        <v/>
      </c>
      <c r="BS963" s="66">
        <f>IF(N(W963)&gt;0,W963,0)</f>
        <v/>
      </c>
      <c r="BT963" s="58">
        <f>IF(ISNUMBER(Z963),1,0)</f>
        <v/>
      </c>
      <c r="BU963" s="55">
        <f>N(Z963)</f>
        <v/>
      </c>
      <c r="BV963" s="55">
        <f>N(L963)+N(M963)</f>
        <v/>
      </c>
      <c r="BW963" s="55">
        <f>ROUNDUP(G963/BN963,0)</f>
        <v/>
      </c>
      <c r="BX963" s="55">
        <f>ROUNDUP(BU963/BN963,0)</f>
        <v/>
      </c>
      <c r="BY963" s="58">
        <f>IF(BO963=1,0,IFERROR(VLOOKUP(BM963,'Gebinde-Kategorie'!$A$5:$G$45,5,0)+0,0))</f>
        <v/>
      </c>
      <c r="BZ963" s="58">
        <f>IFERROR(IF(OR(BQ963=1,BQ963=2,BQ963=3),N(INDEX(Parameter!$I$5:$I$7,BQ963)),0),0)</f>
        <v/>
      </c>
    </row>
    <row r="964">
      <c r="A964" s="53" t="inlineStr">
        <is>
          <t>101572</t>
        </is>
      </c>
      <c r="B964" s="53" t="inlineStr">
        <is>
          <t>Stützring</t>
        </is>
      </c>
      <c r="C964" s="53" t="inlineStr">
        <is>
          <t>F</t>
        </is>
      </c>
      <c r="D964" s="53" t="inlineStr">
        <is>
          <t>KTL</t>
        </is>
      </c>
      <c r="E964" s="53" t="inlineStr">
        <is>
          <t>C</t>
        </is>
      </c>
      <c r="F964" s="54" t="n">
        <v>1.74</v>
      </c>
      <c r="G964" s="55">
        <f>MAX(0,IF(Parameter!$B$20="Jahresanfang 2025 + Export",BG964+BF964,BF964))</f>
        <v/>
      </c>
      <c r="H964" s="55">
        <f>G964*F964</f>
        <v/>
      </c>
      <c r="I964" s="55">
        <f>BI964*Parameter!$B$18</f>
        <v/>
      </c>
      <c r="J964" s="56" t="n">
        <v>157</v>
      </c>
      <c r="K964" s="57" t="n">
        <v>1.732484076433121</v>
      </c>
      <c r="L964" s="55" t="n">
        <v>10</v>
      </c>
      <c r="M964" s="55" t="n">
        <v>300</v>
      </c>
      <c r="N964" s="58" t="n">
        <v>14</v>
      </c>
      <c r="O964" s="53" t="inlineStr">
        <is>
          <t>S33</t>
        </is>
      </c>
      <c r="P964" s="55" t="n">
        <v>486</v>
      </c>
      <c r="Q964" s="59">
        <f>IF(BO964=1,0,IFERROR(VLOOKUP(BM964,'Gebinde-Kategorie'!$A$5:$G$45,6,0)+0,0))</f>
        <v/>
      </c>
      <c r="R964" s="60" t="n"/>
      <c r="S964" s="61" t="n"/>
      <c r="T964" s="61" t="n"/>
      <c r="U964" s="53">
        <f>IF(A964="","",IF(IFERROR(VLOOKUP(D964,Parameter!$A$35:$C$64,2,0),"Nein")="2+3",IF(ISNUMBER(SEARCH("grosser Artikel",BJ964)),2,IFERROR(VLOOKUP(BM964,Parameter!$F$35:$G$64,2,0),2)),IF(OR(IFERROR(VLOOKUP(D964,Parameter!$A$35:$C$64,2,0),"Nein")="Nein",IFERROR(VLOOKUP(D964,Parameter!$A$35:$C$64,2,0),"Nein")=""),"-",VLOOKUP(D964,Parameter!$A$35:$C$64,2,0))))</f>
        <v/>
      </c>
      <c r="V964" s="61" t="n"/>
      <c r="W964" s="62" t="n"/>
      <c r="X964" s="55">
        <f>AM964</f>
        <v/>
      </c>
      <c r="Y964" s="55">
        <f>MAX(AM964,G964)</f>
        <v/>
      </c>
      <c r="Z964" s="63" t="n"/>
      <c r="AA964" s="55">
        <f>IF(LEFT(Cockpit!$C$5,1)="A",G964,IF(BT964=1,BU964,IF(LEFT(Cockpit!$C$5,1)="B",AE964,MAX(AE964,G964))))</f>
        <v/>
      </c>
      <c r="AB964" s="55">
        <f>IF(BO964=1,0,ROUNDUP(AA964/BN964,0))</f>
        <v/>
      </c>
      <c r="AC964" s="64">
        <f>IF(BO964=1,IF(AA964&lt;=0,0,BP964*MAX(1,IF(G964&gt;0,AA964/G964,1))),AB964*Q964)</f>
        <v/>
      </c>
      <c r="AD964" s="55">
        <f>AA964*F964</f>
        <v/>
      </c>
      <c r="AE964" s="55">
        <f>ROUNDUP(MAX(I964/IF(BS964&gt;0,BS964,MAX(0.1,N(Cockpit!$C$6))),BV964)/BN964,0)*BN964</f>
        <v/>
      </c>
      <c r="AF964" s="56">
        <f>IF(AC964&gt;0,I964/AC964,-1)</f>
        <v/>
      </c>
      <c r="AG964" s="56">
        <f>IF(AND(OR(BR964="L1",BR964="L23"),AC964&gt;0),SUMIFS($AC$7:$AC$1570,$BR$7:$BR$1570,BR964,$AF$7:$AF$1570,"&gt;"&amp;AF964)+SUMIFS($AC$7:$AC$1570,$BR$7:$BR$1570,BR964,$AF$7:$AF$1570,AF964,$BL$7:$BL$1570,"&lt;="&amp;BL964),"")</f>
        <v/>
      </c>
      <c r="AH964" s="65">
        <f>IF(AG964="",0,MAX(0,MIN(1,(IF(BR964="L1",Parameter!$K$5,Parameter!$K$6+Parameter!$K$7)-(AG964-AC964))/AC964)))</f>
        <v/>
      </c>
      <c r="AI964" s="55">
        <f>IF(LEFT(Cockpit!$I$5,1)="A",G964,IF(BT964=1,BU964,IF(LEFT(Cockpit!$I$5,1)="B",AM964,MAX(AM964,G964))))</f>
        <v/>
      </c>
      <c r="AJ964" s="55">
        <f>IF(BO964=1,0,ROUNDUP(AI964/BN964,0))</f>
        <v/>
      </c>
      <c r="AK964" s="64">
        <f>IF(BO964=1,IF(AI964&lt;=0,0,BP964*MAX(1,IF(G964&gt;0,AI964/G964,1))),AJ964*Q964)</f>
        <v/>
      </c>
      <c r="AL964" s="55">
        <f>AI964*F964</f>
        <v/>
      </c>
      <c r="AM964" s="55">
        <f>ROUNDUP(MAX(I964/IF(BS964&gt;0,BS964,MAX(0.1,N(Cockpit!$I$6))),BV964)/BN964,0)*BN964</f>
        <v/>
      </c>
      <c r="AN964" s="56">
        <f>IF(AK964&gt;0,I964/AK964,-1)</f>
        <v/>
      </c>
      <c r="AO964" s="56">
        <f>IF(AND(OR(BR964="L1",BR964="L23"),AK964&gt;0),SUMIFS($AK$7:$AK$1570,$BR$7:$BR$1570,BR964,$AN$7:$AN$1570,"&gt;"&amp;AN964)+SUMIFS($AK$7:$AK$1570,$BR$7:$BR$1570,BR964,$AN$7:$AN$1570,AN964,$BL$7:$BL$1570,"&lt;="&amp;BL964),"")</f>
        <v/>
      </c>
      <c r="AP964" s="65">
        <f>IF(AO964="",0,MAX(0,MIN(1,(IF(BR964="L1",Parameter!$K$5,Parameter!$K$6+Parameter!$K$7)-(AO964-AK964))/AK964)))</f>
        <v/>
      </c>
      <c r="AQ964" s="55">
        <f>IF(LEFT(Cockpit!$O$5,1)="A",G964,IF(BT964=1,BU964,IF(LEFT(Cockpit!$O$5,1)="B",AU964,MAX(AU964,G964))))</f>
        <v/>
      </c>
      <c r="AR964" s="55">
        <f>IF(BO964=1,0,ROUNDUP(AQ964/BN964,0))</f>
        <v/>
      </c>
      <c r="AS964" s="64">
        <f>IF(BO964=1,IF(AQ964&lt;=0,0,BP964*MAX(1,IF(G964&gt;0,AQ964/G964,1))),AR964*Q964)</f>
        <v/>
      </c>
      <c r="AT964" s="55">
        <f>AQ964*F964</f>
        <v/>
      </c>
      <c r="AU964" s="55">
        <f>ROUNDUP(MAX(I964/IF(BS964&gt;0,BS964,MAX(0.1,N(Cockpit!$O$6))),BV964)/BN964,0)*BN964</f>
        <v/>
      </c>
      <c r="AV964" s="56">
        <f>IF(AS964&gt;0,I964/AS964,-1)</f>
        <v/>
      </c>
      <c r="AW964" s="56">
        <f>IF(AND(OR(BR964="L1",BR964="L23"),AS964&gt;0),SUMIFS($AS$7:$AS$1570,$BR$7:$BR$1570,BR964,$AV$7:$AV$1570,"&gt;"&amp;AV964)+SUMIFS($AS$7:$AS$1570,$BR$7:$BR$1570,BR964,$AV$7:$AV$1570,AV964,$BL$7:$BL$1570,"&lt;="&amp;BL964),"")</f>
        <v/>
      </c>
      <c r="AX964" s="65">
        <f>IF(AW964="",0,MAX(0,MIN(1,(IF(BR964="L1",Parameter!$K$5,Parameter!$K$6+Parameter!$K$7)-(AW964-AS964))/AS964)))</f>
        <v/>
      </c>
      <c r="AY964" s="53">
        <f>IF(AC964&lt;=0,"",IF(BR964="Aussen","Aussenlager",IF(BR964="-","Nicht im Lift",IF(AH964&gt;=1,"Lift",IF(AH964&lt;=0,"Aussenlager","teilweise")))))</f>
        <v/>
      </c>
      <c r="AZ964" s="53">
        <f>IF(AK964&lt;=0,"",IF(BR964="Aussen","Aussenlager",IF(BR964="-","Nicht im Lift",IF(AP964&gt;=1,"Lift",IF(AP964&lt;=0,"Aussenlager","teilweise")))))</f>
        <v/>
      </c>
      <c r="BA964" s="53">
        <f>IF(AS964&lt;=0,"",IF(BR964="Aussen","Aussenlager",IF(BR964="-","Nicht im Lift",IF(AX964&gt;=1,"Lift",IF(AX964&lt;=0,"Aussenlager","teilweise")))))</f>
        <v/>
      </c>
      <c r="BB964" s="53">
        <f>IF(A964="","",IF(BK964=1,"Neu; ","")&amp;IF(AND(BK964=0,BF964&lt;0),"negativer Bestand (Export "&amp;BF964&amp;"); ","")&amp;IF(I964&lt;=0,"Kein Verbrauch; ","")&amp;IF(BO964=1,"Lose – Fläche geschätzt; ","")&amp;IF(G964&gt;AM964,"Überbestand "&amp;ROUND(G964-AM964,0)&amp;" Stk / CHF "&amp;ROUND((G964-AM964)*F964,0)&amp;"; ","")&amp;IF(AND(BT964=1,BU964&lt;BV964),"MAX &lt; MB+LG; ","")&amp;IF(AND(BZ964&gt;0,BY964*10&gt;BZ964),"zu hoch für Tablar; ","")&amp;IF(AND(BK964=0,OR(BT964=1,V964&lt;&gt;"",S964&lt;&gt;"",T964&lt;&gt;"",W964&lt;&gt;"")),"manuell übersteuert; ","")&amp;IF(AND(BO964=0,Q964=0),"Gebinde unbekannt; ","")&amp;IF(AND(BO964=0,N(T964)&lt;=0,N(P964)&lt;=0),"Menge pro Gebinde fehlt (Ist = 1 Gebinde); ","")&amp;BJ964)</f>
        <v/>
      </c>
      <c r="BC964" s="53" t="n"/>
      <c r="BD964" s="53" t="n"/>
      <c r="BE964" s="61" t="n"/>
      <c r="BF964" s="55" t="n">
        <v>-39</v>
      </c>
      <c r="BG964" s="55" t="n">
        <v>93</v>
      </c>
      <c r="BH964" s="54" t="n">
        <v>-69.39999999999989</v>
      </c>
      <c r="BI964" s="55" t="n">
        <v>272</v>
      </c>
      <c r="BJ964" s="53" t="inlineStr"/>
      <c r="BK964" s="58" t="n">
        <v>0</v>
      </c>
      <c r="BL964" s="58" t="n">
        <v>964</v>
      </c>
      <c r="BM964" s="53">
        <f>IF(S964&lt;&gt;"",UPPER(TRIM(S964)),IF(O964="","LOSE",O964))</f>
        <v/>
      </c>
      <c r="BN964" s="55">
        <f>IF(BM964="LOSE",1,IF(N(T964)&gt;0,T964,IF(N(P964)&gt;0,P964,MAX(1,G964))))</f>
        <v/>
      </c>
      <c r="BO964" s="58">
        <f>IF(BM964="LOSE",1,0)</f>
        <v/>
      </c>
      <c r="BP964" s="64">
        <f>IF(BO964=0,0,IF(N(R964)&gt;0,R964,IFERROR(VLOOKUP(D964,Parameter!$A$35:$C$64,3,0)+0,0)))</f>
        <v/>
      </c>
      <c r="BQ964" s="53">
        <f>IF(V964&lt;&gt;"",V964,U964)</f>
        <v/>
      </c>
      <c r="BR964" s="53">
        <f>IF(BQ964=1,"L1",IF(OR(BQ964=2,BQ964=3),"L23",IF(BQ964="Aussen","Aussen","-")))</f>
        <v/>
      </c>
      <c r="BS964" s="66">
        <f>IF(N(W964)&gt;0,W964,0)</f>
        <v/>
      </c>
      <c r="BT964" s="58">
        <f>IF(ISNUMBER(Z964),1,0)</f>
        <v/>
      </c>
      <c r="BU964" s="55">
        <f>N(Z964)</f>
        <v/>
      </c>
      <c r="BV964" s="55">
        <f>N(L964)+N(M964)</f>
        <v/>
      </c>
      <c r="BW964" s="55">
        <f>ROUNDUP(G964/BN964,0)</f>
        <v/>
      </c>
      <c r="BX964" s="55">
        <f>ROUNDUP(BU964/BN964,0)</f>
        <v/>
      </c>
      <c r="BY964" s="58">
        <f>IF(BO964=1,0,IFERROR(VLOOKUP(BM964,'Gebinde-Kategorie'!$A$5:$G$45,5,0)+0,0))</f>
        <v/>
      </c>
      <c r="BZ964" s="58">
        <f>IFERROR(IF(OR(BQ964=1,BQ964=2,BQ964=3),N(INDEX(Parameter!$I$5:$I$7,BQ964)),0),0)</f>
        <v/>
      </c>
    </row>
    <row r="965">
      <c r="A965" s="53" t="inlineStr">
        <is>
          <t>100862</t>
        </is>
      </c>
      <c r="B965" s="53" t="inlineStr">
        <is>
          <t>O-Ring</t>
        </is>
      </c>
      <c r="C965" s="53" t="inlineStr">
        <is>
          <t>F</t>
        </is>
      </c>
      <c r="D965" s="53" t="inlineStr">
        <is>
          <t>KTL</t>
        </is>
      </c>
      <c r="E965" s="53" t="inlineStr">
        <is>
          <t>C</t>
        </is>
      </c>
      <c r="F965" s="54" t="n">
        <v>5.06</v>
      </c>
      <c r="G965" s="55">
        <f>MAX(0,IF(Parameter!$B$20="Jahresanfang 2025 + Export",BG965+BF965,BF965))</f>
        <v/>
      </c>
      <c r="H965" s="55">
        <f>G965*F965</f>
        <v/>
      </c>
      <c r="I965" s="55">
        <f>BI965*Parameter!$B$18</f>
        <v/>
      </c>
      <c r="J965" s="56" t="n">
        <v>130</v>
      </c>
      <c r="K965" s="57" t="n">
        <v>2.030769230769231</v>
      </c>
      <c r="L965" s="55" t="n">
        <v>10</v>
      </c>
      <c r="M965" s="55" t="n">
        <v>265</v>
      </c>
      <c r="N965" s="58" t="n">
        <v>14</v>
      </c>
      <c r="O965" s="53" t="inlineStr">
        <is>
          <t>S33</t>
        </is>
      </c>
      <c r="P965" s="55" t="n">
        <v>61</v>
      </c>
      <c r="Q965" s="59">
        <f>IF(BO965=1,0,IFERROR(VLOOKUP(BM965,'Gebinde-Kategorie'!$A$5:$G$45,6,0)+0,0))</f>
        <v/>
      </c>
      <c r="R965" s="60" t="n"/>
      <c r="S965" s="61" t="n"/>
      <c r="T965" s="61" t="n"/>
      <c r="U965" s="53">
        <f>IF(A965="","",IF(IFERROR(VLOOKUP(D965,Parameter!$A$35:$C$64,2,0),"Nein")="2+3",IF(ISNUMBER(SEARCH("grosser Artikel",BJ965)),2,IFERROR(VLOOKUP(BM965,Parameter!$F$35:$G$64,2,0),2)),IF(OR(IFERROR(VLOOKUP(D965,Parameter!$A$35:$C$64,2,0),"Nein")="Nein",IFERROR(VLOOKUP(D965,Parameter!$A$35:$C$64,2,0),"Nein")=""),"-",VLOOKUP(D965,Parameter!$A$35:$C$64,2,0))))</f>
        <v/>
      </c>
      <c r="V965" s="61" t="n"/>
      <c r="W965" s="62" t="n"/>
      <c r="X965" s="55">
        <f>AM965</f>
        <v/>
      </c>
      <c r="Y965" s="55">
        <f>MAX(AM965,G965)</f>
        <v/>
      </c>
      <c r="Z965" s="63" t="n"/>
      <c r="AA965" s="55">
        <f>IF(LEFT(Cockpit!$C$5,1)="A",G965,IF(BT965=1,BU965,IF(LEFT(Cockpit!$C$5,1)="B",AE965,MAX(AE965,G965))))</f>
        <v/>
      </c>
      <c r="AB965" s="55">
        <f>IF(BO965=1,0,ROUNDUP(AA965/BN965,0))</f>
        <v/>
      </c>
      <c r="AC965" s="64">
        <f>IF(BO965=1,IF(AA965&lt;=0,0,BP965*MAX(1,IF(G965&gt;0,AA965/G965,1))),AB965*Q965)</f>
        <v/>
      </c>
      <c r="AD965" s="55">
        <f>AA965*F965</f>
        <v/>
      </c>
      <c r="AE965" s="55">
        <f>ROUNDUP(MAX(I965/IF(BS965&gt;0,BS965,MAX(0.1,N(Cockpit!$C$6))),BV965)/BN965,0)*BN965</f>
        <v/>
      </c>
      <c r="AF965" s="56">
        <f>IF(AC965&gt;0,I965/AC965,-1)</f>
        <v/>
      </c>
      <c r="AG965" s="56">
        <f>IF(AND(OR(BR965="L1",BR965="L23"),AC965&gt;0),SUMIFS($AC$7:$AC$1570,$BR$7:$BR$1570,BR965,$AF$7:$AF$1570,"&gt;"&amp;AF965)+SUMIFS($AC$7:$AC$1570,$BR$7:$BR$1570,BR965,$AF$7:$AF$1570,AF965,$BL$7:$BL$1570,"&lt;="&amp;BL965),"")</f>
        <v/>
      </c>
      <c r="AH965" s="65">
        <f>IF(AG965="",0,MAX(0,MIN(1,(IF(BR965="L1",Parameter!$K$5,Parameter!$K$6+Parameter!$K$7)-(AG965-AC965))/AC965)))</f>
        <v/>
      </c>
      <c r="AI965" s="55">
        <f>IF(LEFT(Cockpit!$I$5,1)="A",G965,IF(BT965=1,BU965,IF(LEFT(Cockpit!$I$5,1)="B",AM965,MAX(AM965,G965))))</f>
        <v/>
      </c>
      <c r="AJ965" s="55">
        <f>IF(BO965=1,0,ROUNDUP(AI965/BN965,0))</f>
        <v/>
      </c>
      <c r="AK965" s="64">
        <f>IF(BO965=1,IF(AI965&lt;=0,0,BP965*MAX(1,IF(G965&gt;0,AI965/G965,1))),AJ965*Q965)</f>
        <v/>
      </c>
      <c r="AL965" s="55">
        <f>AI965*F965</f>
        <v/>
      </c>
      <c r="AM965" s="55">
        <f>ROUNDUP(MAX(I965/IF(BS965&gt;0,BS965,MAX(0.1,N(Cockpit!$I$6))),BV965)/BN965,0)*BN965</f>
        <v/>
      </c>
      <c r="AN965" s="56">
        <f>IF(AK965&gt;0,I965/AK965,-1)</f>
        <v/>
      </c>
      <c r="AO965" s="56">
        <f>IF(AND(OR(BR965="L1",BR965="L23"),AK965&gt;0),SUMIFS($AK$7:$AK$1570,$BR$7:$BR$1570,BR965,$AN$7:$AN$1570,"&gt;"&amp;AN965)+SUMIFS($AK$7:$AK$1570,$BR$7:$BR$1570,BR965,$AN$7:$AN$1570,AN965,$BL$7:$BL$1570,"&lt;="&amp;BL965),"")</f>
        <v/>
      </c>
      <c r="AP965" s="65">
        <f>IF(AO965="",0,MAX(0,MIN(1,(IF(BR965="L1",Parameter!$K$5,Parameter!$K$6+Parameter!$K$7)-(AO965-AK965))/AK965)))</f>
        <v/>
      </c>
      <c r="AQ965" s="55">
        <f>IF(LEFT(Cockpit!$O$5,1)="A",G965,IF(BT965=1,BU965,IF(LEFT(Cockpit!$O$5,1)="B",AU965,MAX(AU965,G965))))</f>
        <v/>
      </c>
      <c r="AR965" s="55">
        <f>IF(BO965=1,0,ROUNDUP(AQ965/BN965,0))</f>
        <v/>
      </c>
      <c r="AS965" s="64">
        <f>IF(BO965=1,IF(AQ965&lt;=0,0,BP965*MAX(1,IF(G965&gt;0,AQ965/G965,1))),AR965*Q965)</f>
        <v/>
      </c>
      <c r="AT965" s="55">
        <f>AQ965*F965</f>
        <v/>
      </c>
      <c r="AU965" s="55">
        <f>ROUNDUP(MAX(I965/IF(BS965&gt;0,BS965,MAX(0.1,N(Cockpit!$O$6))),BV965)/BN965,0)*BN965</f>
        <v/>
      </c>
      <c r="AV965" s="56">
        <f>IF(AS965&gt;0,I965/AS965,-1)</f>
        <v/>
      </c>
      <c r="AW965" s="56">
        <f>IF(AND(OR(BR965="L1",BR965="L23"),AS965&gt;0),SUMIFS($AS$7:$AS$1570,$BR$7:$BR$1570,BR965,$AV$7:$AV$1570,"&gt;"&amp;AV965)+SUMIFS($AS$7:$AS$1570,$BR$7:$BR$1570,BR965,$AV$7:$AV$1570,AV965,$BL$7:$BL$1570,"&lt;="&amp;BL965),"")</f>
        <v/>
      </c>
      <c r="AX965" s="65">
        <f>IF(AW965="",0,MAX(0,MIN(1,(IF(BR965="L1",Parameter!$K$5,Parameter!$K$6+Parameter!$K$7)-(AW965-AS965))/AS965)))</f>
        <v/>
      </c>
      <c r="AY965" s="53">
        <f>IF(AC965&lt;=0,"",IF(BR965="Aussen","Aussenlager",IF(BR965="-","Nicht im Lift",IF(AH965&gt;=1,"Lift",IF(AH965&lt;=0,"Aussenlager","teilweise")))))</f>
        <v/>
      </c>
      <c r="AZ965" s="53">
        <f>IF(AK965&lt;=0,"",IF(BR965="Aussen","Aussenlager",IF(BR965="-","Nicht im Lift",IF(AP965&gt;=1,"Lift",IF(AP965&lt;=0,"Aussenlager","teilweise")))))</f>
        <v/>
      </c>
      <c r="BA965" s="53">
        <f>IF(AS965&lt;=0,"",IF(BR965="Aussen","Aussenlager",IF(BR965="-","Nicht im Lift",IF(AX965&gt;=1,"Lift",IF(AX965&lt;=0,"Aussenlager","teilweise")))))</f>
        <v/>
      </c>
      <c r="BB965" s="53">
        <f>IF(A965="","",IF(BK965=1,"Neu; ","")&amp;IF(AND(BK965=0,BF965&lt;0),"negativer Bestand (Export "&amp;BF965&amp;"); ","")&amp;IF(I965&lt;=0,"Kein Verbrauch; ","")&amp;IF(BO965=1,"Lose – Fläche geschätzt; ","")&amp;IF(G965&gt;AM965,"Überbestand "&amp;ROUND(G965-AM965,0)&amp;" Stk / CHF "&amp;ROUND((G965-AM965)*F965,0)&amp;"; ","")&amp;IF(AND(BT965=1,BU965&lt;BV965),"MAX &lt; MB+LG; ","")&amp;IF(AND(BZ965&gt;0,BY965*10&gt;BZ965),"zu hoch für Tablar; ","")&amp;IF(AND(BK965=0,OR(BT965=1,V965&lt;&gt;"",S965&lt;&gt;"",T965&lt;&gt;"",W965&lt;&gt;"")),"manuell übersteuert; ","")&amp;IF(AND(BO965=0,Q965=0),"Gebinde unbekannt; ","")&amp;IF(AND(BO965=0,N(T965)&lt;=0,N(P965)&lt;=0),"Menge pro Gebinde fehlt (Ist = 1 Gebinde); ","")&amp;BJ965)</f>
        <v/>
      </c>
      <c r="BC965" s="53" t="n"/>
      <c r="BD965" s="53" t="n"/>
      <c r="BE965" s="61" t="n"/>
      <c r="BF965" s="55" t="n">
        <v>2</v>
      </c>
      <c r="BG965" s="55" t="n">
        <v>188</v>
      </c>
      <c r="BH965" s="54" t="n">
        <v>-69.8600000000007</v>
      </c>
      <c r="BI965" s="55" t="n">
        <v>264</v>
      </c>
      <c r="BJ965" s="53" t="inlineStr"/>
      <c r="BK965" s="58" t="n">
        <v>0</v>
      </c>
      <c r="BL965" s="58" t="n">
        <v>965</v>
      </c>
      <c r="BM965" s="53">
        <f>IF(S965&lt;&gt;"",UPPER(TRIM(S965)),IF(O965="","LOSE",O965))</f>
        <v/>
      </c>
      <c r="BN965" s="55">
        <f>IF(BM965="LOSE",1,IF(N(T965)&gt;0,T965,IF(N(P965)&gt;0,P965,MAX(1,G965))))</f>
        <v/>
      </c>
      <c r="BO965" s="58">
        <f>IF(BM965="LOSE",1,0)</f>
        <v/>
      </c>
      <c r="BP965" s="64">
        <f>IF(BO965=0,0,IF(N(R965)&gt;0,R965,IFERROR(VLOOKUP(D965,Parameter!$A$35:$C$64,3,0)+0,0)))</f>
        <v/>
      </c>
      <c r="BQ965" s="53">
        <f>IF(V965&lt;&gt;"",V965,U965)</f>
        <v/>
      </c>
      <c r="BR965" s="53">
        <f>IF(BQ965=1,"L1",IF(OR(BQ965=2,BQ965=3),"L23",IF(BQ965="Aussen","Aussen","-")))</f>
        <v/>
      </c>
      <c r="BS965" s="66">
        <f>IF(N(W965)&gt;0,W965,0)</f>
        <v/>
      </c>
      <c r="BT965" s="58">
        <f>IF(ISNUMBER(Z965),1,0)</f>
        <v/>
      </c>
      <c r="BU965" s="55">
        <f>N(Z965)</f>
        <v/>
      </c>
      <c r="BV965" s="55">
        <f>N(L965)+N(M965)</f>
        <v/>
      </c>
      <c r="BW965" s="55">
        <f>ROUNDUP(G965/BN965,0)</f>
        <v/>
      </c>
      <c r="BX965" s="55">
        <f>ROUNDUP(BU965/BN965,0)</f>
        <v/>
      </c>
      <c r="BY965" s="58">
        <f>IF(BO965=1,0,IFERROR(VLOOKUP(BM965,'Gebinde-Kategorie'!$A$5:$G$45,5,0)+0,0))</f>
        <v/>
      </c>
      <c r="BZ965" s="58">
        <f>IFERROR(IF(OR(BQ965=1,BQ965=2,BQ965=3),N(INDEX(Parameter!$I$5:$I$7,BQ965)),0),0)</f>
        <v/>
      </c>
    </row>
    <row r="966">
      <c r="A966" s="53" t="inlineStr">
        <is>
          <t>OC-101558</t>
        </is>
      </c>
      <c r="B966" s="53" t="inlineStr">
        <is>
          <t>Kranbahn-Profil</t>
        </is>
      </c>
      <c r="C966" s="53" t="inlineStr">
        <is>
          <t>F</t>
        </is>
      </c>
      <c r="D966" s="53" t="inlineStr">
        <is>
          <t>OCC</t>
        </is>
      </c>
      <c r="E966" s="53" t="inlineStr">
        <is>
          <t>C</t>
        </is>
      </c>
      <c r="F966" s="54" t="n">
        <v>71.23</v>
      </c>
      <c r="G966" s="55">
        <f>MAX(0,IF(Parameter!$B$20="Jahresanfang 2025 + Export",BG966+BF966,BF966))</f>
        <v/>
      </c>
      <c r="H966" s="55">
        <f>G966*F966</f>
        <v/>
      </c>
      <c r="I966" s="55">
        <f>BI966*Parameter!$B$18</f>
        <v/>
      </c>
      <c r="J966" s="56" t="n">
        <v>0.5</v>
      </c>
      <c r="K966" s="57" t="n">
        <v>0</v>
      </c>
      <c r="L966" s="55" t="n">
        <v>0</v>
      </c>
      <c r="M966" s="55" t="n">
        <v>0</v>
      </c>
      <c r="N966" s="58" t="n">
        <v>28</v>
      </c>
      <c r="O966" s="53" t="inlineStr">
        <is>
          <t>LOSE</t>
        </is>
      </c>
      <c r="P966" s="55" t="n"/>
      <c r="Q966" s="59">
        <f>IF(BO966=1,0,IFERROR(VLOOKUP(BM966,'Gebinde-Kategorie'!$A$5:$G$45,6,0)+0,0))</f>
        <v/>
      </c>
      <c r="R966" s="60" t="n"/>
      <c r="S966" s="61" t="n"/>
      <c r="T966" s="61" t="n"/>
      <c r="U966" s="53">
        <f>IF(A966="","",IF(IFERROR(VLOOKUP(D966,Parameter!$A$35:$C$64,2,0),"Nein")="2+3",IF(ISNUMBER(SEARCH("grosser Artikel",BJ966)),2,IFERROR(VLOOKUP(BM966,Parameter!$F$35:$G$64,2,0),2)),IF(OR(IFERROR(VLOOKUP(D966,Parameter!$A$35:$C$64,2,0),"Nein")="Nein",IFERROR(VLOOKUP(D966,Parameter!$A$35:$C$64,2,0),"Nein")=""),"-",VLOOKUP(D966,Parameter!$A$35:$C$64,2,0))))</f>
        <v/>
      </c>
      <c r="V966" s="61" t="n"/>
      <c r="W966" s="62" t="n"/>
      <c r="X966" s="55">
        <f>AM966</f>
        <v/>
      </c>
      <c r="Y966" s="55">
        <f>MAX(AM966,G966)</f>
        <v/>
      </c>
      <c r="Z966" s="63" t="n"/>
      <c r="AA966" s="55">
        <f>IF(LEFT(Cockpit!$C$5,1)="A",G966,IF(BT966=1,BU966,IF(LEFT(Cockpit!$C$5,1)="B",AE966,MAX(AE966,G966))))</f>
        <v/>
      </c>
      <c r="AB966" s="55">
        <f>IF(BO966=1,0,ROUNDUP(AA966/BN966,0))</f>
        <v/>
      </c>
      <c r="AC966" s="64">
        <f>IF(BO966=1,IF(AA966&lt;=0,0,BP966*MAX(1,IF(G966&gt;0,AA966/G966,1))),AB966*Q966)</f>
        <v/>
      </c>
      <c r="AD966" s="55">
        <f>AA966*F966</f>
        <v/>
      </c>
      <c r="AE966" s="55">
        <f>ROUNDUP(MAX(I966/IF(BS966&gt;0,BS966,MAX(0.1,N(Cockpit!$C$6))),BV966)/BN966,0)*BN966</f>
        <v/>
      </c>
      <c r="AF966" s="56">
        <f>IF(AC966&gt;0,I966/AC966,-1)</f>
        <v/>
      </c>
      <c r="AG966" s="56">
        <f>IF(AND(OR(BR966="L1",BR966="L23"),AC966&gt;0),SUMIFS($AC$7:$AC$1570,$BR$7:$BR$1570,BR966,$AF$7:$AF$1570,"&gt;"&amp;AF966)+SUMIFS($AC$7:$AC$1570,$BR$7:$BR$1570,BR966,$AF$7:$AF$1570,AF966,$BL$7:$BL$1570,"&lt;="&amp;BL966),"")</f>
        <v/>
      </c>
      <c r="AH966" s="65">
        <f>IF(AG966="",0,MAX(0,MIN(1,(IF(BR966="L1",Parameter!$K$5,Parameter!$K$6+Parameter!$K$7)-(AG966-AC966))/AC966)))</f>
        <v/>
      </c>
      <c r="AI966" s="55">
        <f>IF(LEFT(Cockpit!$I$5,1)="A",G966,IF(BT966=1,BU966,IF(LEFT(Cockpit!$I$5,1)="B",AM966,MAX(AM966,G966))))</f>
        <v/>
      </c>
      <c r="AJ966" s="55">
        <f>IF(BO966=1,0,ROUNDUP(AI966/BN966,0))</f>
        <v/>
      </c>
      <c r="AK966" s="64">
        <f>IF(BO966=1,IF(AI966&lt;=0,0,BP966*MAX(1,IF(G966&gt;0,AI966/G966,1))),AJ966*Q966)</f>
        <v/>
      </c>
      <c r="AL966" s="55">
        <f>AI966*F966</f>
        <v/>
      </c>
      <c r="AM966" s="55">
        <f>ROUNDUP(MAX(I966/IF(BS966&gt;0,BS966,MAX(0.1,N(Cockpit!$I$6))),BV966)/BN966,0)*BN966</f>
        <v/>
      </c>
      <c r="AN966" s="56">
        <f>IF(AK966&gt;0,I966/AK966,-1)</f>
        <v/>
      </c>
      <c r="AO966" s="56">
        <f>IF(AND(OR(BR966="L1",BR966="L23"),AK966&gt;0),SUMIFS($AK$7:$AK$1570,$BR$7:$BR$1570,BR966,$AN$7:$AN$1570,"&gt;"&amp;AN966)+SUMIFS($AK$7:$AK$1570,$BR$7:$BR$1570,BR966,$AN$7:$AN$1570,AN966,$BL$7:$BL$1570,"&lt;="&amp;BL966),"")</f>
        <v/>
      </c>
      <c r="AP966" s="65">
        <f>IF(AO966="",0,MAX(0,MIN(1,(IF(BR966="L1",Parameter!$K$5,Parameter!$K$6+Parameter!$K$7)-(AO966-AK966))/AK966)))</f>
        <v/>
      </c>
      <c r="AQ966" s="55">
        <f>IF(LEFT(Cockpit!$O$5,1)="A",G966,IF(BT966=1,BU966,IF(LEFT(Cockpit!$O$5,1)="B",AU966,MAX(AU966,G966))))</f>
        <v/>
      </c>
      <c r="AR966" s="55">
        <f>IF(BO966=1,0,ROUNDUP(AQ966/BN966,0))</f>
        <v/>
      </c>
      <c r="AS966" s="64">
        <f>IF(BO966=1,IF(AQ966&lt;=0,0,BP966*MAX(1,IF(G966&gt;0,AQ966/G966,1))),AR966*Q966)</f>
        <v/>
      </c>
      <c r="AT966" s="55">
        <f>AQ966*F966</f>
        <v/>
      </c>
      <c r="AU966" s="55">
        <f>ROUNDUP(MAX(I966/IF(BS966&gt;0,BS966,MAX(0.1,N(Cockpit!$O$6))),BV966)/BN966,0)*BN966</f>
        <v/>
      </c>
      <c r="AV966" s="56">
        <f>IF(AS966&gt;0,I966/AS966,-1)</f>
        <v/>
      </c>
      <c r="AW966" s="56">
        <f>IF(AND(OR(BR966="L1",BR966="L23"),AS966&gt;0),SUMIFS($AS$7:$AS$1570,$BR$7:$BR$1570,BR966,$AV$7:$AV$1570,"&gt;"&amp;AV966)+SUMIFS($AS$7:$AS$1570,$BR$7:$BR$1570,BR966,$AV$7:$AV$1570,AV966,$BL$7:$BL$1570,"&lt;="&amp;BL966),"")</f>
        <v/>
      </c>
      <c r="AX966" s="65">
        <f>IF(AW966="",0,MAX(0,MIN(1,(IF(BR966="L1",Parameter!$K$5,Parameter!$K$6+Parameter!$K$7)-(AW966-AS966))/AS966)))</f>
        <v/>
      </c>
      <c r="AY966" s="53">
        <f>IF(AC966&lt;=0,"",IF(BR966="Aussen","Aussenlager",IF(BR966="-","Nicht im Lift",IF(AH966&gt;=1,"Lift",IF(AH966&lt;=0,"Aussenlager","teilweise")))))</f>
        <v/>
      </c>
      <c r="AZ966" s="53">
        <f>IF(AK966&lt;=0,"",IF(BR966="Aussen","Aussenlager",IF(BR966="-","Nicht im Lift",IF(AP966&gt;=1,"Lift",IF(AP966&lt;=0,"Aussenlager","teilweise")))))</f>
        <v/>
      </c>
      <c r="BA966" s="53">
        <f>IF(AS966&lt;=0,"",IF(BR966="Aussen","Aussenlager",IF(BR966="-","Nicht im Lift",IF(AX966&gt;=1,"Lift",IF(AX966&lt;=0,"Aussenlager","teilweise")))))</f>
        <v/>
      </c>
      <c r="BB966" s="53">
        <f>IF(A966="","",IF(BK966=1,"Neu; ","")&amp;IF(AND(BK966=0,BF966&lt;0),"negativer Bestand (Export "&amp;BF966&amp;"); ","")&amp;IF(I966&lt;=0,"Kein Verbrauch; ","")&amp;IF(BO966=1,"Lose – Fläche geschätzt; ","")&amp;IF(G966&gt;AM966,"Überbestand "&amp;ROUND(G966-AM966,0)&amp;" Stk / CHF "&amp;ROUND((G966-AM966)*F966,0)&amp;"; ","")&amp;IF(AND(BT966=1,BU966&lt;BV966),"MAX &lt; MB+LG; ","")&amp;IF(AND(BZ966&gt;0,BY966*10&gt;BZ966),"zu hoch für Tablar; ","")&amp;IF(AND(BK966=0,OR(BT966=1,V966&lt;&gt;"",S966&lt;&gt;"",T966&lt;&gt;"",W966&lt;&gt;"")),"manuell übersteuert; ","")&amp;IF(AND(BO966=0,Q966=0),"Gebinde unbekannt; ","")&amp;IF(AND(BO966=0,N(T966)&lt;=0,N(P966)&lt;=0),"Menge pro Gebinde fehlt (Ist = 1 Gebinde); ","")&amp;BJ966)</f>
        <v/>
      </c>
      <c r="BC966" s="53" t="n"/>
      <c r="BD966" s="53" t="n"/>
      <c r="BE966" s="61" t="n"/>
      <c r="BF966" s="55" t="n">
        <v>-1</v>
      </c>
      <c r="BG966" s="55" t="n">
        <v>1</v>
      </c>
      <c r="BH966" s="54" t="n">
        <v>-71.23</v>
      </c>
      <c r="BI966" s="55" t="n">
        <v>0</v>
      </c>
      <c r="BJ966" s="53" t="inlineStr"/>
      <c r="BK966" s="58" t="n">
        <v>0</v>
      </c>
      <c r="BL966" s="58" t="n">
        <v>966</v>
      </c>
      <c r="BM966" s="53">
        <f>IF(S966&lt;&gt;"",UPPER(TRIM(S966)),IF(O966="","LOSE",O966))</f>
        <v/>
      </c>
      <c r="BN966" s="55">
        <f>IF(BM966="LOSE",1,IF(N(T966)&gt;0,T966,IF(N(P966)&gt;0,P966,MAX(1,G966))))</f>
        <v/>
      </c>
      <c r="BO966" s="58">
        <f>IF(BM966="LOSE",1,0)</f>
        <v/>
      </c>
      <c r="BP966" s="64">
        <f>IF(BO966=0,0,IF(N(R966)&gt;0,R966,IFERROR(VLOOKUP(D966,Parameter!$A$35:$C$64,3,0)+0,0)))</f>
        <v/>
      </c>
      <c r="BQ966" s="53">
        <f>IF(V966&lt;&gt;"",V966,U966)</f>
        <v/>
      </c>
      <c r="BR966" s="53">
        <f>IF(BQ966=1,"L1",IF(OR(BQ966=2,BQ966=3),"L23",IF(BQ966="Aussen","Aussen","-")))</f>
        <v/>
      </c>
      <c r="BS966" s="66">
        <f>IF(N(W966)&gt;0,W966,0)</f>
        <v/>
      </c>
      <c r="BT966" s="58">
        <f>IF(ISNUMBER(Z966),1,0)</f>
        <v/>
      </c>
      <c r="BU966" s="55">
        <f>N(Z966)</f>
        <v/>
      </c>
      <c r="BV966" s="55">
        <f>N(L966)+N(M966)</f>
        <v/>
      </c>
      <c r="BW966" s="55">
        <f>ROUNDUP(G966/BN966,0)</f>
        <v/>
      </c>
      <c r="BX966" s="55">
        <f>ROUNDUP(BU966/BN966,0)</f>
        <v/>
      </c>
      <c r="BY966" s="58">
        <f>IF(BO966=1,0,IFERROR(VLOOKUP(BM966,'Gebinde-Kategorie'!$A$5:$G$45,5,0)+0,0))</f>
        <v/>
      </c>
      <c r="BZ966" s="58">
        <f>IFERROR(IF(OR(BQ966=1,BQ966=2,BQ966=3),N(INDEX(Parameter!$I$5:$I$7,BQ966)),0),0)</f>
        <v/>
      </c>
    </row>
    <row r="967">
      <c r="A967" s="53" t="inlineStr">
        <is>
          <t>001134</t>
        </is>
      </c>
      <c r="B967" s="53" t="inlineStr">
        <is>
          <t>Schraubendreher Einsatz SPAX T-Plus</t>
        </is>
      </c>
      <c r="C967" s="53" t="inlineStr">
        <is>
          <t>F</t>
        </is>
      </c>
      <c r="D967" s="53" t="inlineStr">
        <is>
          <t>KTL</t>
        </is>
      </c>
      <c r="E967" s="53" t="inlineStr">
        <is>
          <t>C</t>
        </is>
      </c>
      <c r="F967" s="54" t="n">
        <v>2.5</v>
      </c>
      <c r="G967" s="55">
        <f>MAX(0,IF(Parameter!$B$20="Jahresanfang 2025 + Export",BG967+BF967,BF967))</f>
        <v/>
      </c>
      <c r="H967" s="55">
        <f>G967*F967</f>
        <v/>
      </c>
      <c r="I967" s="55">
        <f>BI967*Parameter!$B$18</f>
        <v/>
      </c>
      <c r="J967" s="56" t="n">
        <v>26</v>
      </c>
      <c r="K967" s="57" t="n">
        <v>0.6538461538461539</v>
      </c>
      <c r="L967" s="55" t="n">
        <v>0</v>
      </c>
      <c r="M967" s="55" t="n">
        <v>15</v>
      </c>
      <c r="N967" s="58" t="n">
        <v>14</v>
      </c>
      <c r="O967" s="53" t="inlineStr">
        <is>
          <t>S21</t>
        </is>
      </c>
      <c r="P967" s="55" t="n">
        <v>20</v>
      </c>
      <c r="Q967" s="59">
        <f>IF(BO967=1,0,IFERROR(VLOOKUP(BM967,'Gebinde-Kategorie'!$A$5:$G$45,6,0)+0,0))</f>
        <v/>
      </c>
      <c r="R967" s="60" t="n"/>
      <c r="S967" s="61" t="n"/>
      <c r="T967" s="61" t="n"/>
      <c r="U967" s="53">
        <f>IF(A967="","",IF(IFERROR(VLOOKUP(D967,Parameter!$A$35:$C$64,2,0),"Nein")="2+3",IF(ISNUMBER(SEARCH("grosser Artikel",BJ967)),2,IFERROR(VLOOKUP(BM967,Parameter!$F$35:$G$64,2,0),2)),IF(OR(IFERROR(VLOOKUP(D967,Parameter!$A$35:$C$64,2,0),"Nein")="Nein",IFERROR(VLOOKUP(D967,Parameter!$A$35:$C$64,2,0),"Nein")=""),"-",VLOOKUP(D967,Parameter!$A$35:$C$64,2,0))))</f>
        <v/>
      </c>
      <c r="V967" s="61" t="n"/>
      <c r="W967" s="62" t="n"/>
      <c r="X967" s="55">
        <f>AM967</f>
        <v/>
      </c>
      <c r="Y967" s="55">
        <f>MAX(AM967,G967)</f>
        <v/>
      </c>
      <c r="Z967" s="63" t="n"/>
      <c r="AA967" s="55">
        <f>IF(LEFT(Cockpit!$C$5,1)="A",G967,IF(BT967=1,BU967,IF(LEFT(Cockpit!$C$5,1)="B",AE967,MAX(AE967,G967))))</f>
        <v/>
      </c>
      <c r="AB967" s="55">
        <f>IF(BO967=1,0,ROUNDUP(AA967/BN967,0))</f>
        <v/>
      </c>
      <c r="AC967" s="64">
        <f>IF(BO967=1,IF(AA967&lt;=0,0,BP967*MAX(1,IF(G967&gt;0,AA967/G967,1))),AB967*Q967)</f>
        <v/>
      </c>
      <c r="AD967" s="55">
        <f>AA967*F967</f>
        <v/>
      </c>
      <c r="AE967" s="55">
        <f>ROUNDUP(MAX(I967/IF(BS967&gt;0,BS967,MAX(0.1,N(Cockpit!$C$6))),BV967)/BN967,0)*BN967</f>
        <v/>
      </c>
      <c r="AF967" s="56">
        <f>IF(AC967&gt;0,I967/AC967,-1)</f>
        <v/>
      </c>
      <c r="AG967" s="56">
        <f>IF(AND(OR(BR967="L1",BR967="L23"),AC967&gt;0),SUMIFS($AC$7:$AC$1570,$BR$7:$BR$1570,BR967,$AF$7:$AF$1570,"&gt;"&amp;AF967)+SUMIFS($AC$7:$AC$1570,$BR$7:$BR$1570,BR967,$AF$7:$AF$1570,AF967,$BL$7:$BL$1570,"&lt;="&amp;BL967),"")</f>
        <v/>
      </c>
      <c r="AH967" s="65">
        <f>IF(AG967="",0,MAX(0,MIN(1,(IF(BR967="L1",Parameter!$K$5,Parameter!$K$6+Parameter!$K$7)-(AG967-AC967))/AC967)))</f>
        <v/>
      </c>
      <c r="AI967" s="55">
        <f>IF(LEFT(Cockpit!$I$5,1)="A",G967,IF(BT967=1,BU967,IF(LEFT(Cockpit!$I$5,1)="B",AM967,MAX(AM967,G967))))</f>
        <v/>
      </c>
      <c r="AJ967" s="55">
        <f>IF(BO967=1,0,ROUNDUP(AI967/BN967,0))</f>
        <v/>
      </c>
      <c r="AK967" s="64">
        <f>IF(BO967=1,IF(AI967&lt;=0,0,BP967*MAX(1,IF(G967&gt;0,AI967/G967,1))),AJ967*Q967)</f>
        <v/>
      </c>
      <c r="AL967" s="55">
        <f>AI967*F967</f>
        <v/>
      </c>
      <c r="AM967" s="55">
        <f>ROUNDUP(MAX(I967/IF(BS967&gt;0,BS967,MAX(0.1,N(Cockpit!$I$6))),BV967)/BN967,0)*BN967</f>
        <v/>
      </c>
      <c r="AN967" s="56">
        <f>IF(AK967&gt;0,I967/AK967,-1)</f>
        <v/>
      </c>
      <c r="AO967" s="56">
        <f>IF(AND(OR(BR967="L1",BR967="L23"),AK967&gt;0),SUMIFS($AK$7:$AK$1570,$BR$7:$BR$1570,BR967,$AN$7:$AN$1570,"&gt;"&amp;AN967)+SUMIFS($AK$7:$AK$1570,$BR$7:$BR$1570,BR967,$AN$7:$AN$1570,AN967,$BL$7:$BL$1570,"&lt;="&amp;BL967),"")</f>
        <v/>
      </c>
      <c r="AP967" s="65">
        <f>IF(AO967="",0,MAX(0,MIN(1,(IF(BR967="L1",Parameter!$K$5,Parameter!$K$6+Parameter!$K$7)-(AO967-AK967))/AK967)))</f>
        <v/>
      </c>
      <c r="AQ967" s="55">
        <f>IF(LEFT(Cockpit!$O$5,1)="A",G967,IF(BT967=1,BU967,IF(LEFT(Cockpit!$O$5,1)="B",AU967,MAX(AU967,G967))))</f>
        <v/>
      </c>
      <c r="AR967" s="55">
        <f>IF(BO967=1,0,ROUNDUP(AQ967/BN967,0))</f>
        <v/>
      </c>
      <c r="AS967" s="64">
        <f>IF(BO967=1,IF(AQ967&lt;=0,0,BP967*MAX(1,IF(G967&gt;0,AQ967/G967,1))),AR967*Q967)</f>
        <v/>
      </c>
      <c r="AT967" s="55">
        <f>AQ967*F967</f>
        <v/>
      </c>
      <c r="AU967" s="55">
        <f>ROUNDUP(MAX(I967/IF(BS967&gt;0,BS967,MAX(0.1,N(Cockpit!$O$6))),BV967)/BN967,0)*BN967</f>
        <v/>
      </c>
      <c r="AV967" s="56">
        <f>IF(AS967&gt;0,I967/AS967,-1)</f>
        <v/>
      </c>
      <c r="AW967" s="56">
        <f>IF(AND(OR(BR967="L1",BR967="L23"),AS967&gt;0),SUMIFS($AS$7:$AS$1570,$BR$7:$BR$1570,BR967,$AV$7:$AV$1570,"&gt;"&amp;AV967)+SUMIFS($AS$7:$AS$1570,$BR$7:$BR$1570,BR967,$AV$7:$AV$1570,AV967,$BL$7:$BL$1570,"&lt;="&amp;BL967),"")</f>
        <v/>
      </c>
      <c r="AX967" s="65">
        <f>IF(AW967="",0,MAX(0,MIN(1,(IF(BR967="L1",Parameter!$K$5,Parameter!$K$6+Parameter!$K$7)-(AW967-AS967))/AS967)))</f>
        <v/>
      </c>
      <c r="AY967" s="53">
        <f>IF(AC967&lt;=0,"",IF(BR967="Aussen","Aussenlager",IF(BR967="-","Nicht im Lift",IF(AH967&gt;=1,"Lift",IF(AH967&lt;=0,"Aussenlager","teilweise")))))</f>
        <v/>
      </c>
      <c r="AZ967" s="53">
        <f>IF(AK967&lt;=0,"",IF(BR967="Aussen","Aussenlager",IF(BR967="-","Nicht im Lift",IF(AP967&gt;=1,"Lift",IF(AP967&lt;=0,"Aussenlager","teilweise")))))</f>
        <v/>
      </c>
      <c r="BA967" s="53">
        <f>IF(AS967&lt;=0,"",IF(BR967="Aussen","Aussenlager",IF(BR967="-","Nicht im Lift",IF(AX967&gt;=1,"Lift",IF(AX967&lt;=0,"Aussenlager","teilweise")))))</f>
        <v/>
      </c>
      <c r="BB967" s="53">
        <f>IF(A967="","",IF(BK967=1,"Neu; ","")&amp;IF(AND(BK967=0,BF967&lt;0),"negativer Bestand (Export "&amp;BF967&amp;"); ","")&amp;IF(I967&lt;=0,"Kein Verbrauch; ","")&amp;IF(BO967=1,"Lose – Fläche geschätzt; ","")&amp;IF(G967&gt;AM967,"Überbestand "&amp;ROUND(G967-AM967,0)&amp;" Stk / CHF "&amp;ROUND((G967-AM967)*F967,0)&amp;"; ","")&amp;IF(AND(BT967=1,BU967&lt;BV967),"MAX &lt; MB+LG; ","")&amp;IF(AND(BZ967&gt;0,BY967*10&gt;BZ967),"zu hoch für Tablar; ","")&amp;IF(AND(BK967=0,OR(BT967=1,V967&lt;&gt;"",S967&lt;&gt;"",T967&lt;&gt;"",W967&lt;&gt;"")),"manuell übersteuert; ","")&amp;IF(AND(BO967=0,Q967=0),"Gebinde unbekannt; ","")&amp;IF(AND(BO967=0,N(T967)&lt;=0,N(P967)&lt;=0),"Menge pro Gebinde fehlt (Ist = 1 Gebinde); ","")&amp;BJ967)</f>
        <v/>
      </c>
      <c r="BC967" s="53" t="n"/>
      <c r="BD967" s="53" t="n"/>
      <c r="BE967" s="61" t="n"/>
      <c r="BF967" s="55" t="n">
        <v>-29</v>
      </c>
      <c r="BG967" s="55" t="n">
        <v>29</v>
      </c>
      <c r="BH967" s="54" t="n">
        <v>-71.63</v>
      </c>
      <c r="BI967" s="55" t="n">
        <v>17</v>
      </c>
      <c r="BJ967" s="53" t="inlineStr"/>
      <c r="BK967" s="58" t="n">
        <v>0</v>
      </c>
      <c r="BL967" s="58" t="n">
        <v>967</v>
      </c>
      <c r="BM967" s="53">
        <f>IF(S967&lt;&gt;"",UPPER(TRIM(S967)),IF(O967="","LOSE",O967))</f>
        <v/>
      </c>
      <c r="BN967" s="55">
        <f>IF(BM967="LOSE",1,IF(N(T967)&gt;0,T967,IF(N(P967)&gt;0,P967,MAX(1,G967))))</f>
        <v/>
      </c>
      <c r="BO967" s="58">
        <f>IF(BM967="LOSE",1,0)</f>
        <v/>
      </c>
      <c r="BP967" s="64">
        <f>IF(BO967=0,0,IF(N(R967)&gt;0,R967,IFERROR(VLOOKUP(D967,Parameter!$A$35:$C$64,3,0)+0,0)))</f>
        <v/>
      </c>
      <c r="BQ967" s="53">
        <f>IF(V967&lt;&gt;"",V967,U967)</f>
        <v/>
      </c>
      <c r="BR967" s="53">
        <f>IF(BQ967=1,"L1",IF(OR(BQ967=2,BQ967=3),"L23",IF(BQ967="Aussen","Aussen","-")))</f>
        <v/>
      </c>
      <c r="BS967" s="66">
        <f>IF(N(W967)&gt;0,W967,0)</f>
        <v/>
      </c>
      <c r="BT967" s="58">
        <f>IF(ISNUMBER(Z967),1,0)</f>
        <v/>
      </c>
      <c r="BU967" s="55">
        <f>N(Z967)</f>
        <v/>
      </c>
      <c r="BV967" s="55">
        <f>N(L967)+N(M967)</f>
        <v/>
      </c>
      <c r="BW967" s="55">
        <f>ROUNDUP(G967/BN967,0)</f>
        <v/>
      </c>
      <c r="BX967" s="55">
        <f>ROUNDUP(BU967/BN967,0)</f>
        <v/>
      </c>
      <c r="BY967" s="58">
        <f>IF(BO967=1,0,IFERROR(VLOOKUP(BM967,'Gebinde-Kategorie'!$A$5:$G$45,5,0)+0,0))</f>
        <v/>
      </c>
      <c r="BZ967" s="58">
        <f>IFERROR(IF(OR(BQ967=1,BQ967=2,BQ967=3),N(INDEX(Parameter!$I$5:$I$7,BQ967)),0),0)</f>
        <v/>
      </c>
    </row>
    <row r="968">
      <c r="A968" s="53" t="inlineStr">
        <is>
          <t>107231</t>
        </is>
      </c>
      <c r="B968" s="53" t="inlineStr">
        <is>
          <t>Zangen-Set</t>
        </is>
      </c>
      <c r="C968" s="53" t="inlineStr">
        <is>
          <t>F</t>
        </is>
      </c>
      <c r="D968" s="53" t="inlineStr">
        <is>
          <t>KTL</t>
        </is>
      </c>
      <c r="E968" s="53" t="inlineStr">
        <is>
          <t>C</t>
        </is>
      </c>
      <c r="F968" s="54" t="n">
        <v>72.05</v>
      </c>
      <c r="G968" s="55">
        <f>MAX(0,IF(Parameter!$B$20="Jahresanfang 2025 + Export",BG968+BF968,BF968))</f>
        <v/>
      </c>
      <c r="H968" s="55">
        <f>G968*F968</f>
        <v/>
      </c>
      <c r="I968" s="55">
        <f>BI968*Parameter!$B$18</f>
        <v/>
      </c>
      <c r="J968" s="56" t="n">
        <v>6</v>
      </c>
      <c r="K968" s="57" t="n">
        <v>0.1666666666666667</v>
      </c>
      <c r="L968" s="55" t="n">
        <v>0</v>
      </c>
      <c r="M968" s="55" t="n">
        <v>1</v>
      </c>
      <c r="N968" s="58" t="n">
        <v>14</v>
      </c>
      <c r="O968" s="53" t="inlineStr">
        <is>
          <t>S52</t>
        </is>
      </c>
      <c r="P968" s="55" t="n">
        <v>12</v>
      </c>
      <c r="Q968" s="59">
        <f>IF(BO968=1,0,IFERROR(VLOOKUP(BM968,'Gebinde-Kategorie'!$A$5:$G$45,6,0)+0,0))</f>
        <v/>
      </c>
      <c r="R968" s="60" t="n"/>
      <c r="S968" s="61" t="n"/>
      <c r="T968" s="61" t="n"/>
      <c r="U968" s="53">
        <f>IF(A968="","",IF(IFERROR(VLOOKUP(D968,Parameter!$A$35:$C$64,2,0),"Nein")="2+3",IF(ISNUMBER(SEARCH("grosser Artikel",BJ968)),2,IFERROR(VLOOKUP(BM968,Parameter!$F$35:$G$64,2,0),2)),IF(OR(IFERROR(VLOOKUP(D968,Parameter!$A$35:$C$64,2,0),"Nein")="Nein",IFERROR(VLOOKUP(D968,Parameter!$A$35:$C$64,2,0),"Nein")=""),"-",VLOOKUP(D968,Parameter!$A$35:$C$64,2,0))))</f>
        <v/>
      </c>
      <c r="V968" s="61" t="n"/>
      <c r="W968" s="62" t="n"/>
      <c r="X968" s="55">
        <f>AM968</f>
        <v/>
      </c>
      <c r="Y968" s="55">
        <f>MAX(AM968,G968)</f>
        <v/>
      </c>
      <c r="Z968" s="63" t="n"/>
      <c r="AA968" s="55">
        <f>IF(LEFT(Cockpit!$C$5,1)="A",G968,IF(BT968=1,BU968,IF(LEFT(Cockpit!$C$5,1)="B",AE968,MAX(AE968,G968))))</f>
        <v/>
      </c>
      <c r="AB968" s="55">
        <f>IF(BO968=1,0,ROUNDUP(AA968/BN968,0))</f>
        <v/>
      </c>
      <c r="AC968" s="64">
        <f>IF(BO968=1,IF(AA968&lt;=0,0,BP968*MAX(1,IF(G968&gt;0,AA968/G968,1))),AB968*Q968)</f>
        <v/>
      </c>
      <c r="AD968" s="55">
        <f>AA968*F968</f>
        <v/>
      </c>
      <c r="AE968" s="55">
        <f>ROUNDUP(MAX(I968/IF(BS968&gt;0,BS968,MAX(0.1,N(Cockpit!$C$6))),BV968)/BN968,0)*BN968</f>
        <v/>
      </c>
      <c r="AF968" s="56">
        <f>IF(AC968&gt;0,I968/AC968,-1)</f>
        <v/>
      </c>
      <c r="AG968" s="56">
        <f>IF(AND(OR(BR968="L1",BR968="L23"),AC968&gt;0),SUMIFS($AC$7:$AC$1570,$BR$7:$BR$1570,BR968,$AF$7:$AF$1570,"&gt;"&amp;AF968)+SUMIFS($AC$7:$AC$1570,$BR$7:$BR$1570,BR968,$AF$7:$AF$1570,AF968,$BL$7:$BL$1570,"&lt;="&amp;BL968),"")</f>
        <v/>
      </c>
      <c r="AH968" s="65">
        <f>IF(AG968="",0,MAX(0,MIN(1,(IF(BR968="L1",Parameter!$K$5,Parameter!$K$6+Parameter!$K$7)-(AG968-AC968))/AC968)))</f>
        <v/>
      </c>
      <c r="AI968" s="55">
        <f>IF(LEFT(Cockpit!$I$5,1)="A",G968,IF(BT968=1,BU968,IF(LEFT(Cockpit!$I$5,1)="B",AM968,MAX(AM968,G968))))</f>
        <v/>
      </c>
      <c r="AJ968" s="55">
        <f>IF(BO968=1,0,ROUNDUP(AI968/BN968,0))</f>
        <v/>
      </c>
      <c r="AK968" s="64">
        <f>IF(BO968=1,IF(AI968&lt;=0,0,BP968*MAX(1,IF(G968&gt;0,AI968/G968,1))),AJ968*Q968)</f>
        <v/>
      </c>
      <c r="AL968" s="55">
        <f>AI968*F968</f>
        <v/>
      </c>
      <c r="AM968" s="55">
        <f>ROUNDUP(MAX(I968/IF(BS968&gt;0,BS968,MAX(0.1,N(Cockpit!$I$6))),BV968)/BN968,0)*BN968</f>
        <v/>
      </c>
      <c r="AN968" s="56">
        <f>IF(AK968&gt;0,I968/AK968,-1)</f>
        <v/>
      </c>
      <c r="AO968" s="56">
        <f>IF(AND(OR(BR968="L1",BR968="L23"),AK968&gt;0),SUMIFS($AK$7:$AK$1570,$BR$7:$BR$1570,BR968,$AN$7:$AN$1570,"&gt;"&amp;AN968)+SUMIFS($AK$7:$AK$1570,$BR$7:$BR$1570,BR968,$AN$7:$AN$1570,AN968,$BL$7:$BL$1570,"&lt;="&amp;BL968),"")</f>
        <v/>
      </c>
      <c r="AP968" s="65">
        <f>IF(AO968="",0,MAX(0,MIN(1,(IF(BR968="L1",Parameter!$K$5,Parameter!$K$6+Parameter!$K$7)-(AO968-AK968))/AK968)))</f>
        <v/>
      </c>
      <c r="AQ968" s="55">
        <f>IF(LEFT(Cockpit!$O$5,1)="A",G968,IF(BT968=1,BU968,IF(LEFT(Cockpit!$O$5,1)="B",AU968,MAX(AU968,G968))))</f>
        <v/>
      </c>
      <c r="AR968" s="55">
        <f>IF(BO968=1,0,ROUNDUP(AQ968/BN968,0))</f>
        <v/>
      </c>
      <c r="AS968" s="64">
        <f>IF(BO968=1,IF(AQ968&lt;=0,0,BP968*MAX(1,IF(G968&gt;0,AQ968/G968,1))),AR968*Q968)</f>
        <v/>
      </c>
      <c r="AT968" s="55">
        <f>AQ968*F968</f>
        <v/>
      </c>
      <c r="AU968" s="55">
        <f>ROUNDUP(MAX(I968/IF(BS968&gt;0,BS968,MAX(0.1,N(Cockpit!$O$6))),BV968)/BN968,0)*BN968</f>
        <v/>
      </c>
      <c r="AV968" s="56">
        <f>IF(AS968&gt;0,I968/AS968,-1)</f>
        <v/>
      </c>
      <c r="AW968" s="56">
        <f>IF(AND(OR(BR968="L1",BR968="L23"),AS968&gt;0),SUMIFS($AS$7:$AS$1570,$BR$7:$BR$1570,BR968,$AV$7:$AV$1570,"&gt;"&amp;AV968)+SUMIFS($AS$7:$AS$1570,$BR$7:$BR$1570,BR968,$AV$7:$AV$1570,AV968,$BL$7:$BL$1570,"&lt;="&amp;BL968),"")</f>
        <v/>
      </c>
      <c r="AX968" s="65">
        <f>IF(AW968="",0,MAX(0,MIN(1,(IF(BR968="L1",Parameter!$K$5,Parameter!$K$6+Parameter!$K$7)-(AW968-AS968))/AS968)))</f>
        <v/>
      </c>
      <c r="AY968" s="53">
        <f>IF(AC968&lt;=0,"",IF(BR968="Aussen","Aussenlager",IF(BR968="-","Nicht im Lift",IF(AH968&gt;=1,"Lift",IF(AH968&lt;=0,"Aussenlager","teilweise")))))</f>
        <v/>
      </c>
      <c r="AZ968" s="53">
        <f>IF(AK968&lt;=0,"",IF(BR968="Aussen","Aussenlager",IF(BR968="-","Nicht im Lift",IF(AP968&gt;=1,"Lift",IF(AP968&lt;=0,"Aussenlager","teilweise")))))</f>
        <v/>
      </c>
      <c r="BA968" s="53">
        <f>IF(AS968&lt;=0,"",IF(BR968="Aussen","Aussenlager",IF(BR968="-","Nicht im Lift",IF(AX968&gt;=1,"Lift",IF(AX968&lt;=0,"Aussenlager","teilweise")))))</f>
        <v/>
      </c>
      <c r="BB968" s="53">
        <f>IF(A968="","",IF(BK968=1,"Neu; ","")&amp;IF(AND(BK968=0,BF968&lt;0),"negativer Bestand (Export "&amp;BF968&amp;"); ","")&amp;IF(I968&lt;=0,"Kein Verbrauch; ","")&amp;IF(BO968=1,"Lose – Fläche geschätzt; ","")&amp;IF(G968&gt;AM968,"Überbestand "&amp;ROUND(G968-AM968,0)&amp;" Stk / CHF "&amp;ROUND((G968-AM968)*F968,0)&amp;"; ","")&amp;IF(AND(BT968=1,BU968&lt;BV968),"MAX &lt; MB+LG; ","")&amp;IF(AND(BZ968&gt;0,BY968*10&gt;BZ968),"zu hoch für Tablar; ","")&amp;IF(AND(BK968=0,OR(BT968=1,V968&lt;&gt;"",S968&lt;&gt;"",T968&lt;&gt;"",W968&lt;&gt;"")),"manuell übersteuert; ","")&amp;IF(AND(BO968=0,Q968=0),"Gebinde unbekannt; ","")&amp;IF(AND(BO968=0,N(T968)&lt;=0,N(P968)&lt;=0),"Menge pro Gebinde fehlt (Ist = 1 Gebinde); ","")&amp;BJ968)</f>
        <v/>
      </c>
      <c r="BC968" s="53" t="n"/>
      <c r="BD968" s="53" t="n"/>
      <c r="BE968" s="61" t="n"/>
      <c r="BF968" s="55" t="n">
        <v>-1</v>
      </c>
      <c r="BG968" s="55" t="n">
        <v>7</v>
      </c>
      <c r="BH968" s="54" t="n">
        <v>-72.05</v>
      </c>
      <c r="BI968" s="55" t="n">
        <v>1</v>
      </c>
      <c r="BJ968" s="53" t="inlineStr"/>
      <c r="BK968" s="58" t="n">
        <v>0</v>
      </c>
      <c r="BL968" s="58" t="n">
        <v>968</v>
      </c>
      <c r="BM968" s="53">
        <f>IF(S968&lt;&gt;"",UPPER(TRIM(S968)),IF(O968="","LOSE",O968))</f>
        <v/>
      </c>
      <c r="BN968" s="55">
        <f>IF(BM968="LOSE",1,IF(N(T968)&gt;0,T968,IF(N(P968)&gt;0,P968,MAX(1,G968))))</f>
        <v/>
      </c>
      <c r="BO968" s="58">
        <f>IF(BM968="LOSE",1,0)</f>
        <v/>
      </c>
      <c r="BP968" s="64">
        <f>IF(BO968=0,0,IF(N(R968)&gt;0,R968,IFERROR(VLOOKUP(D968,Parameter!$A$35:$C$64,3,0)+0,0)))</f>
        <v/>
      </c>
      <c r="BQ968" s="53">
        <f>IF(V968&lt;&gt;"",V968,U968)</f>
        <v/>
      </c>
      <c r="BR968" s="53">
        <f>IF(BQ968=1,"L1",IF(OR(BQ968=2,BQ968=3),"L23",IF(BQ968="Aussen","Aussen","-")))</f>
        <v/>
      </c>
      <c r="BS968" s="66">
        <f>IF(N(W968)&gt;0,W968,0)</f>
        <v/>
      </c>
      <c r="BT968" s="58">
        <f>IF(ISNUMBER(Z968),1,0)</f>
        <v/>
      </c>
      <c r="BU968" s="55">
        <f>N(Z968)</f>
        <v/>
      </c>
      <c r="BV968" s="55">
        <f>N(L968)+N(M968)</f>
        <v/>
      </c>
      <c r="BW968" s="55">
        <f>ROUNDUP(G968/BN968,0)</f>
        <v/>
      </c>
      <c r="BX968" s="55">
        <f>ROUNDUP(BU968/BN968,0)</f>
        <v/>
      </c>
      <c r="BY968" s="58">
        <f>IF(BO968=1,0,IFERROR(VLOOKUP(BM968,'Gebinde-Kategorie'!$A$5:$G$45,5,0)+0,0))</f>
        <v/>
      </c>
      <c r="BZ968" s="58">
        <f>IFERROR(IF(OR(BQ968=1,BQ968=2,BQ968=3),N(INDEX(Parameter!$I$5:$I$7,BQ968)),0),0)</f>
        <v/>
      </c>
    </row>
    <row r="969">
      <c r="A969" s="53" t="inlineStr">
        <is>
          <t>110094</t>
        </is>
      </c>
      <c r="B969" s="53" t="inlineStr">
        <is>
          <t>LED-Dauerlichtelement</t>
        </is>
      </c>
      <c r="C969" s="53" t="inlineStr">
        <is>
          <t>F</t>
        </is>
      </c>
      <c r="D969" s="53" t="inlineStr">
        <is>
          <t>PAL</t>
        </is>
      </c>
      <c r="E969" s="53" t="inlineStr">
        <is>
          <t>C</t>
        </is>
      </c>
      <c r="F969" s="54" t="n">
        <v>36.14</v>
      </c>
      <c r="G969" s="55">
        <f>MAX(0,IF(Parameter!$B$20="Jahresanfang 2025 + Export",BG969+BF969,BF969))</f>
        <v/>
      </c>
      <c r="H969" s="55">
        <f>G969*F969</f>
        <v/>
      </c>
      <c r="I969" s="55">
        <f>BI969*Parameter!$B$18</f>
        <v/>
      </c>
      <c r="J969" s="56" t="n">
        <v>18</v>
      </c>
      <c r="K969" s="57" t="n">
        <v>0.1111111111111111</v>
      </c>
      <c r="L969" s="55" t="n">
        <v>10</v>
      </c>
      <c r="M969" s="55" t="n">
        <v>1</v>
      </c>
      <c r="N969" s="58" t="n">
        <v>28</v>
      </c>
      <c r="O969" s="53" t="inlineStr">
        <is>
          <t>LOSE</t>
        </is>
      </c>
      <c r="P969" s="55" t="n"/>
      <c r="Q969" s="59">
        <f>IF(BO969=1,0,IFERROR(VLOOKUP(BM969,'Gebinde-Kategorie'!$A$5:$G$45,6,0)+0,0))</f>
        <v/>
      </c>
      <c r="R969" s="60" t="n"/>
      <c r="S969" s="61" t="n"/>
      <c r="T969" s="61" t="n"/>
      <c r="U969" s="53">
        <f>IF(A969="","",IF(IFERROR(VLOOKUP(D969,Parameter!$A$35:$C$64,2,0),"Nein")="2+3",IF(ISNUMBER(SEARCH("grosser Artikel",BJ969)),2,IFERROR(VLOOKUP(BM969,Parameter!$F$35:$G$64,2,0),2)),IF(OR(IFERROR(VLOOKUP(D969,Parameter!$A$35:$C$64,2,0),"Nein")="Nein",IFERROR(VLOOKUP(D969,Parameter!$A$35:$C$64,2,0),"Nein")=""),"-",VLOOKUP(D969,Parameter!$A$35:$C$64,2,0))))</f>
        <v/>
      </c>
      <c r="V969" s="61" t="n"/>
      <c r="W969" s="62" t="n"/>
      <c r="X969" s="55">
        <f>AM969</f>
        <v/>
      </c>
      <c r="Y969" s="55">
        <f>MAX(AM969,G969)</f>
        <v/>
      </c>
      <c r="Z969" s="63" t="n"/>
      <c r="AA969" s="55">
        <f>IF(LEFT(Cockpit!$C$5,1)="A",G969,IF(BT969=1,BU969,IF(LEFT(Cockpit!$C$5,1)="B",AE969,MAX(AE969,G969))))</f>
        <v/>
      </c>
      <c r="AB969" s="55">
        <f>IF(BO969=1,0,ROUNDUP(AA969/BN969,0))</f>
        <v/>
      </c>
      <c r="AC969" s="64">
        <f>IF(BO969=1,IF(AA969&lt;=0,0,BP969*MAX(1,IF(G969&gt;0,AA969/G969,1))),AB969*Q969)</f>
        <v/>
      </c>
      <c r="AD969" s="55">
        <f>AA969*F969</f>
        <v/>
      </c>
      <c r="AE969" s="55">
        <f>ROUNDUP(MAX(I969/IF(BS969&gt;0,BS969,MAX(0.1,N(Cockpit!$C$6))),BV969)/BN969,0)*BN969</f>
        <v/>
      </c>
      <c r="AF969" s="56">
        <f>IF(AC969&gt;0,I969/AC969,-1)</f>
        <v/>
      </c>
      <c r="AG969" s="56">
        <f>IF(AND(OR(BR969="L1",BR969="L23"),AC969&gt;0),SUMIFS($AC$7:$AC$1570,$BR$7:$BR$1570,BR969,$AF$7:$AF$1570,"&gt;"&amp;AF969)+SUMIFS($AC$7:$AC$1570,$BR$7:$BR$1570,BR969,$AF$7:$AF$1570,AF969,$BL$7:$BL$1570,"&lt;="&amp;BL969),"")</f>
        <v/>
      </c>
      <c r="AH969" s="65">
        <f>IF(AG969="",0,MAX(0,MIN(1,(IF(BR969="L1",Parameter!$K$5,Parameter!$K$6+Parameter!$K$7)-(AG969-AC969))/AC969)))</f>
        <v/>
      </c>
      <c r="AI969" s="55">
        <f>IF(LEFT(Cockpit!$I$5,1)="A",G969,IF(BT969=1,BU969,IF(LEFT(Cockpit!$I$5,1)="B",AM969,MAX(AM969,G969))))</f>
        <v/>
      </c>
      <c r="AJ969" s="55">
        <f>IF(BO969=1,0,ROUNDUP(AI969/BN969,0))</f>
        <v/>
      </c>
      <c r="AK969" s="64">
        <f>IF(BO969=1,IF(AI969&lt;=0,0,BP969*MAX(1,IF(G969&gt;0,AI969/G969,1))),AJ969*Q969)</f>
        <v/>
      </c>
      <c r="AL969" s="55">
        <f>AI969*F969</f>
        <v/>
      </c>
      <c r="AM969" s="55">
        <f>ROUNDUP(MAX(I969/IF(BS969&gt;0,BS969,MAX(0.1,N(Cockpit!$I$6))),BV969)/BN969,0)*BN969</f>
        <v/>
      </c>
      <c r="AN969" s="56">
        <f>IF(AK969&gt;0,I969/AK969,-1)</f>
        <v/>
      </c>
      <c r="AO969" s="56">
        <f>IF(AND(OR(BR969="L1",BR969="L23"),AK969&gt;0),SUMIFS($AK$7:$AK$1570,$BR$7:$BR$1570,BR969,$AN$7:$AN$1570,"&gt;"&amp;AN969)+SUMIFS($AK$7:$AK$1570,$BR$7:$BR$1570,BR969,$AN$7:$AN$1570,AN969,$BL$7:$BL$1570,"&lt;="&amp;BL969),"")</f>
        <v/>
      </c>
      <c r="AP969" s="65">
        <f>IF(AO969="",0,MAX(0,MIN(1,(IF(BR969="L1",Parameter!$K$5,Parameter!$K$6+Parameter!$K$7)-(AO969-AK969))/AK969)))</f>
        <v/>
      </c>
      <c r="AQ969" s="55">
        <f>IF(LEFT(Cockpit!$O$5,1)="A",G969,IF(BT969=1,BU969,IF(LEFT(Cockpit!$O$5,1)="B",AU969,MAX(AU969,G969))))</f>
        <v/>
      </c>
      <c r="AR969" s="55">
        <f>IF(BO969=1,0,ROUNDUP(AQ969/BN969,0))</f>
        <v/>
      </c>
      <c r="AS969" s="64">
        <f>IF(BO969=1,IF(AQ969&lt;=0,0,BP969*MAX(1,IF(G969&gt;0,AQ969/G969,1))),AR969*Q969)</f>
        <v/>
      </c>
      <c r="AT969" s="55">
        <f>AQ969*F969</f>
        <v/>
      </c>
      <c r="AU969" s="55">
        <f>ROUNDUP(MAX(I969/IF(BS969&gt;0,BS969,MAX(0.1,N(Cockpit!$O$6))),BV969)/BN969,0)*BN969</f>
        <v/>
      </c>
      <c r="AV969" s="56">
        <f>IF(AS969&gt;0,I969/AS969,-1)</f>
        <v/>
      </c>
      <c r="AW969" s="56">
        <f>IF(AND(OR(BR969="L1",BR969="L23"),AS969&gt;0),SUMIFS($AS$7:$AS$1570,$BR$7:$BR$1570,BR969,$AV$7:$AV$1570,"&gt;"&amp;AV969)+SUMIFS($AS$7:$AS$1570,$BR$7:$BR$1570,BR969,$AV$7:$AV$1570,AV969,$BL$7:$BL$1570,"&lt;="&amp;BL969),"")</f>
        <v/>
      </c>
      <c r="AX969" s="65">
        <f>IF(AW969="",0,MAX(0,MIN(1,(IF(BR969="L1",Parameter!$K$5,Parameter!$K$6+Parameter!$K$7)-(AW969-AS969))/AS969)))</f>
        <v/>
      </c>
      <c r="AY969" s="53">
        <f>IF(AC969&lt;=0,"",IF(BR969="Aussen","Aussenlager",IF(BR969="-","Nicht im Lift",IF(AH969&gt;=1,"Lift",IF(AH969&lt;=0,"Aussenlager","teilweise")))))</f>
        <v/>
      </c>
      <c r="AZ969" s="53">
        <f>IF(AK969&lt;=0,"",IF(BR969="Aussen","Aussenlager",IF(BR969="-","Nicht im Lift",IF(AP969&gt;=1,"Lift",IF(AP969&lt;=0,"Aussenlager","teilweise")))))</f>
        <v/>
      </c>
      <c r="BA969" s="53">
        <f>IF(AS969&lt;=0,"",IF(BR969="Aussen","Aussenlager",IF(BR969="-","Nicht im Lift",IF(AX969&gt;=1,"Lift",IF(AX969&lt;=0,"Aussenlager","teilweise")))))</f>
        <v/>
      </c>
      <c r="BB969" s="53">
        <f>IF(A969="","",IF(BK969=1,"Neu; ","")&amp;IF(AND(BK969=0,BF969&lt;0),"negativer Bestand (Export "&amp;BF969&amp;"); ","")&amp;IF(I969&lt;=0,"Kein Verbrauch; ","")&amp;IF(BO969=1,"Lose – Fläche geschätzt; ","")&amp;IF(G969&gt;AM969,"Überbestand "&amp;ROUND(G969-AM969,0)&amp;" Stk / CHF "&amp;ROUND((G969-AM969)*F969,0)&amp;"; ","")&amp;IF(AND(BT969=1,BU969&lt;BV969),"MAX &lt; MB+LG; ","")&amp;IF(AND(BZ969&gt;0,BY969*10&gt;BZ969),"zu hoch für Tablar; ","")&amp;IF(AND(BK969=0,OR(BT969=1,V969&lt;&gt;"",S969&lt;&gt;"",T969&lt;&gt;"",W969&lt;&gt;"")),"manuell übersteuert; ","")&amp;IF(AND(BO969=0,Q969=0),"Gebinde unbekannt; ","")&amp;IF(AND(BO969=0,N(T969)&lt;=0,N(P969)&lt;=0),"Menge pro Gebinde fehlt (Ist = 1 Gebinde); ","")&amp;BJ969)</f>
        <v/>
      </c>
      <c r="BC969" s="53" t="n"/>
      <c r="BD969" s="53" t="n"/>
      <c r="BE969" s="61" t="n"/>
      <c r="BF969" s="55" t="n">
        <v>-2</v>
      </c>
      <c r="BG969" s="55" t="n">
        <v>19</v>
      </c>
      <c r="BH969" s="54" t="n">
        <v>-72.28</v>
      </c>
      <c r="BI969" s="55" t="n">
        <v>2</v>
      </c>
      <c r="BJ969" s="53" t="inlineStr"/>
      <c r="BK969" s="58" t="n">
        <v>0</v>
      </c>
      <c r="BL969" s="58" t="n">
        <v>969</v>
      </c>
      <c r="BM969" s="53">
        <f>IF(S969&lt;&gt;"",UPPER(TRIM(S969)),IF(O969="","LOSE",O969))</f>
        <v/>
      </c>
      <c r="BN969" s="55">
        <f>IF(BM969="LOSE",1,IF(N(T969)&gt;0,T969,IF(N(P969)&gt;0,P969,MAX(1,G969))))</f>
        <v/>
      </c>
      <c r="BO969" s="58">
        <f>IF(BM969="LOSE",1,0)</f>
        <v/>
      </c>
      <c r="BP969" s="64">
        <f>IF(BO969=0,0,IF(N(R969)&gt;0,R969,IFERROR(VLOOKUP(D969,Parameter!$A$35:$C$64,3,0)+0,0)))</f>
        <v/>
      </c>
      <c r="BQ969" s="53">
        <f>IF(V969&lt;&gt;"",V969,U969)</f>
        <v/>
      </c>
      <c r="BR969" s="53">
        <f>IF(BQ969=1,"L1",IF(OR(BQ969=2,BQ969=3),"L23",IF(BQ969="Aussen","Aussen","-")))</f>
        <v/>
      </c>
      <c r="BS969" s="66">
        <f>IF(N(W969)&gt;0,W969,0)</f>
        <v/>
      </c>
      <c r="BT969" s="58">
        <f>IF(ISNUMBER(Z969),1,0)</f>
        <v/>
      </c>
      <c r="BU969" s="55">
        <f>N(Z969)</f>
        <v/>
      </c>
      <c r="BV969" s="55">
        <f>N(L969)+N(M969)</f>
        <v/>
      </c>
      <c r="BW969" s="55">
        <f>ROUNDUP(G969/BN969,0)</f>
        <v/>
      </c>
      <c r="BX969" s="55">
        <f>ROUNDUP(BU969/BN969,0)</f>
        <v/>
      </c>
      <c r="BY969" s="58">
        <f>IF(BO969=1,0,IFERROR(VLOOKUP(BM969,'Gebinde-Kategorie'!$A$5:$G$45,5,0)+0,0))</f>
        <v/>
      </c>
      <c r="BZ969" s="58">
        <f>IFERROR(IF(OR(BQ969=1,BQ969=2,BQ969=3),N(INDEX(Parameter!$I$5:$I$7,BQ969)),0),0)</f>
        <v/>
      </c>
    </row>
    <row r="970">
      <c r="A970" s="53" t="inlineStr">
        <is>
          <t>107562</t>
        </is>
      </c>
      <c r="B970" s="53" t="inlineStr">
        <is>
          <t>Flansch</t>
        </is>
      </c>
      <c r="C970" s="53" t="inlineStr">
        <is>
          <t>F</t>
        </is>
      </c>
      <c r="D970" s="53" t="inlineStr">
        <is>
          <t>PAL</t>
        </is>
      </c>
      <c r="E970" s="53" t="inlineStr">
        <is>
          <t>C</t>
        </is>
      </c>
      <c r="F970" s="54" t="n">
        <v>72.28</v>
      </c>
      <c r="G970" s="55">
        <f>MAX(0,IF(Parameter!$B$20="Jahresanfang 2025 + Export",BG970+BF970,BF970))</f>
        <v/>
      </c>
      <c r="H970" s="55">
        <f>G970*F970</f>
        <v/>
      </c>
      <c r="I970" s="55">
        <f>BI970*Parameter!$B$18</f>
        <v/>
      </c>
      <c r="J970" s="56" t="n">
        <v>26</v>
      </c>
      <c r="K970" s="57" t="n">
        <v>0</v>
      </c>
      <c r="L970" s="55" t="n">
        <v>0</v>
      </c>
      <c r="M970" s="55" t="n">
        <v>1</v>
      </c>
      <c r="N970" s="58" t="n">
        <v>28</v>
      </c>
      <c r="O970" s="53" t="inlineStr">
        <is>
          <t>S61</t>
        </is>
      </c>
      <c r="P970" s="55" t="n">
        <v>26</v>
      </c>
      <c r="Q970" s="59">
        <f>IF(BO970=1,0,IFERROR(VLOOKUP(BM970,'Gebinde-Kategorie'!$A$5:$G$45,6,0)+0,0))</f>
        <v/>
      </c>
      <c r="R970" s="60" t="n"/>
      <c r="S970" s="61" t="n"/>
      <c r="T970" s="61" t="n"/>
      <c r="U970" s="53">
        <f>IF(A970="","",IF(IFERROR(VLOOKUP(D970,Parameter!$A$35:$C$64,2,0),"Nein")="2+3",IF(ISNUMBER(SEARCH("grosser Artikel",BJ970)),2,IFERROR(VLOOKUP(BM970,Parameter!$F$35:$G$64,2,0),2)),IF(OR(IFERROR(VLOOKUP(D970,Parameter!$A$35:$C$64,2,0),"Nein")="Nein",IFERROR(VLOOKUP(D970,Parameter!$A$35:$C$64,2,0),"Nein")=""),"-",VLOOKUP(D970,Parameter!$A$35:$C$64,2,0))))</f>
        <v/>
      </c>
      <c r="V970" s="61" t="n"/>
      <c r="W970" s="62" t="n"/>
      <c r="X970" s="55">
        <f>AM970</f>
        <v/>
      </c>
      <c r="Y970" s="55">
        <f>MAX(AM970,G970)</f>
        <v/>
      </c>
      <c r="Z970" s="63" t="n"/>
      <c r="AA970" s="55">
        <f>IF(LEFT(Cockpit!$C$5,1)="A",G970,IF(BT970=1,BU970,IF(LEFT(Cockpit!$C$5,1)="B",AE970,MAX(AE970,G970))))</f>
        <v/>
      </c>
      <c r="AB970" s="55">
        <f>IF(BO970=1,0,ROUNDUP(AA970/BN970,0))</f>
        <v/>
      </c>
      <c r="AC970" s="64">
        <f>IF(BO970=1,IF(AA970&lt;=0,0,BP970*MAX(1,IF(G970&gt;0,AA970/G970,1))),AB970*Q970)</f>
        <v/>
      </c>
      <c r="AD970" s="55">
        <f>AA970*F970</f>
        <v/>
      </c>
      <c r="AE970" s="55">
        <f>ROUNDUP(MAX(I970/IF(BS970&gt;0,BS970,MAX(0.1,N(Cockpit!$C$6))),BV970)/BN970,0)*BN970</f>
        <v/>
      </c>
      <c r="AF970" s="56">
        <f>IF(AC970&gt;0,I970/AC970,-1)</f>
        <v/>
      </c>
      <c r="AG970" s="56">
        <f>IF(AND(OR(BR970="L1",BR970="L23"),AC970&gt;0),SUMIFS($AC$7:$AC$1570,$BR$7:$BR$1570,BR970,$AF$7:$AF$1570,"&gt;"&amp;AF970)+SUMIFS($AC$7:$AC$1570,$BR$7:$BR$1570,BR970,$AF$7:$AF$1570,AF970,$BL$7:$BL$1570,"&lt;="&amp;BL970),"")</f>
        <v/>
      </c>
      <c r="AH970" s="65">
        <f>IF(AG970="",0,MAX(0,MIN(1,(IF(BR970="L1",Parameter!$K$5,Parameter!$K$6+Parameter!$K$7)-(AG970-AC970))/AC970)))</f>
        <v/>
      </c>
      <c r="AI970" s="55">
        <f>IF(LEFT(Cockpit!$I$5,1)="A",G970,IF(BT970=1,BU970,IF(LEFT(Cockpit!$I$5,1)="B",AM970,MAX(AM970,G970))))</f>
        <v/>
      </c>
      <c r="AJ970" s="55">
        <f>IF(BO970=1,0,ROUNDUP(AI970/BN970,0))</f>
        <v/>
      </c>
      <c r="AK970" s="64">
        <f>IF(BO970=1,IF(AI970&lt;=0,0,BP970*MAX(1,IF(G970&gt;0,AI970/G970,1))),AJ970*Q970)</f>
        <v/>
      </c>
      <c r="AL970" s="55">
        <f>AI970*F970</f>
        <v/>
      </c>
      <c r="AM970" s="55">
        <f>ROUNDUP(MAX(I970/IF(BS970&gt;0,BS970,MAX(0.1,N(Cockpit!$I$6))),BV970)/BN970,0)*BN970</f>
        <v/>
      </c>
      <c r="AN970" s="56">
        <f>IF(AK970&gt;0,I970/AK970,-1)</f>
        <v/>
      </c>
      <c r="AO970" s="56">
        <f>IF(AND(OR(BR970="L1",BR970="L23"),AK970&gt;0),SUMIFS($AK$7:$AK$1570,$BR$7:$BR$1570,BR970,$AN$7:$AN$1570,"&gt;"&amp;AN970)+SUMIFS($AK$7:$AK$1570,$BR$7:$BR$1570,BR970,$AN$7:$AN$1570,AN970,$BL$7:$BL$1570,"&lt;="&amp;BL970),"")</f>
        <v/>
      </c>
      <c r="AP970" s="65">
        <f>IF(AO970="",0,MAX(0,MIN(1,(IF(BR970="L1",Parameter!$K$5,Parameter!$K$6+Parameter!$K$7)-(AO970-AK970))/AK970)))</f>
        <v/>
      </c>
      <c r="AQ970" s="55">
        <f>IF(LEFT(Cockpit!$O$5,1)="A",G970,IF(BT970=1,BU970,IF(LEFT(Cockpit!$O$5,1)="B",AU970,MAX(AU970,G970))))</f>
        <v/>
      </c>
      <c r="AR970" s="55">
        <f>IF(BO970=1,0,ROUNDUP(AQ970/BN970,0))</f>
        <v/>
      </c>
      <c r="AS970" s="64">
        <f>IF(BO970=1,IF(AQ970&lt;=0,0,BP970*MAX(1,IF(G970&gt;0,AQ970/G970,1))),AR970*Q970)</f>
        <v/>
      </c>
      <c r="AT970" s="55">
        <f>AQ970*F970</f>
        <v/>
      </c>
      <c r="AU970" s="55">
        <f>ROUNDUP(MAX(I970/IF(BS970&gt;0,BS970,MAX(0.1,N(Cockpit!$O$6))),BV970)/BN970,0)*BN970</f>
        <v/>
      </c>
      <c r="AV970" s="56">
        <f>IF(AS970&gt;0,I970/AS970,-1)</f>
        <v/>
      </c>
      <c r="AW970" s="56">
        <f>IF(AND(OR(BR970="L1",BR970="L23"),AS970&gt;0),SUMIFS($AS$7:$AS$1570,$BR$7:$BR$1570,BR970,$AV$7:$AV$1570,"&gt;"&amp;AV970)+SUMIFS($AS$7:$AS$1570,$BR$7:$BR$1570,BR970,$AV$7:$AV$1570,AV970,$BL$7:$BL$1570,"&lt;="&amp;BL970),"")</f>
        <v/>
      </c>
      <c r="AX970" s="65">
        <f>IF(AW970="",0,MAX(0,MIN(1,(IF(BR970="L1",Parameter!$K$5,Parameter!$K$6+Parameter!$K$7)-(AW970-AS970))/AS970)))</f>
        <v/>
      </c>
      <c r="AY970" s="53">
        <f>IF(AC970&lt;=0,"",IF(BR970="Aussen","Aussenlager",IF(BR970="-","Nicht im Lift",IF(AH970&gt;=1,"Lift",IF(AH970&lt;=0,"Aussenlager","teilweise")))))</f>
        <v/>
      </c>
      <c r="AZ970" s="53">
        <f>IF(AK970&lt;=0,"",IF(BR970="Aussen","Aussenlager",IF(BR970="-","Nicht im Lift",IF(AP970&gt;=1,"Lift",IF(AP970&lt;=0,"Aussenlager","teilweise")))))</f>
        <v/>
      </c>
      <c r="BA970" s="53">
        <f>IF(AS970&lt;=0,"",IF(BR970="Aussen","Aussenlager",IF(BR970="-","Nicht im Lift",IF(AX970&gt;=1,"Lift",IF(AX970&lt;=0,"Aussenlager","teilweise")))))</f>
        <v/>
      </c>
      <c r="BB970" s="53">
        <f>IF(A970="","",IF(BK970=1,"Neu; ","")&amp;IF(AND(BK970=0,BF970&lt;0),"negativer Bestand (Export "&amp;BF970&amp;"); ","")&amp;IF(I970&lt;=0,"Kein Verbrauch; ","")&amp;IF(BO970=1,"Lose – Fläche geschätzt; ","")&amp;IF(G970&gt;AM970,"Überbestand "&amp;ROUND(G970-AM970,0)&amp;" Stk / CHF "&amp;ROUND((G970-AM970)*F970,0)&amp;"; ","")&amp;IF(AND(BT970=1,BU970&lt;BV970),"MAX &lt; MB+LG; ","")&amp;IF(AND(BZ970&gt;0,BY970*10&gt;BZ970),"zu hoch für Tablar; ","")&amp;IF(AND(BK970=0,OR(BT970=1,V970&lt;&gt;"",S970&lt;&gt;"",T970&lt;&gt;"",W970&lt;&gt;"")),"manuell übersteuert; ","")&amp;IF(AND(BO970=0,Q970=0),"Gebinde unbekannt; ","")&amp;IF(AND(BO970=0,N(T970)&lt;=0,N(P970)&lt;=0),"Menge pro Gebinde fehlt (Ist = 1 Gebinde); ","")&amp;BJ970)</f>
        <v/>
      </c>
      <c r="BC970" s="53" t="n"/>
      <c r="BD970" s="53" t="n"/>
      <c r="BE970" s="61" t="n"/>
      <c r="BF970" s="55" t="n">
        <v>-1</v>
      </c>
      <c r="BG970" s="55" t="n">
        <v>26</v>
      </c>
      <c r="BH970" s="54" t="n">
        <v>-72.28</v>
      </c>
      <c r="BI970" s="55" t="n">
        <v>0</v>
      </c>
      <c r="BJ970" s="53" t="inlineStr"/>
      <c r="BK970" s="58" t="n">
        <v>0</v>
      </c>
      <c r="BL970" s="58" t="n">
        <v>970</v>
      </c>
      <c r="BM970" s="53">
        <f>IF(S970&lt;&gt;"",UPPER(TRIM(S970)),IF(O970="","LOSE",O970))</f>
        <v/>
      </c>
      <c r="BN970" s="55">
        <f>IF(BM970="LOSE",1,IF(N(T970)&gt;0,T970,IF(N(P970)&gt;0,P970,MAX(1,G970))))</f>
        <v/>
      </c>
      <c r="BO970" s="58">
        <f>IF(BM970="LOSE",1,0)</f>
        <v/>
      </c>
      <c r="BP970" s="64">
        <f>IF(BO970=0,0,IF(N(R970)&gt;0,R970,IFERROR(VLOOKUP(D970,Parameter!$A$35:$C$64,3,0)+0,0)))</f>
        <v/>
      </c>
      <c r="BQ970" s="53">
        <f>IF(V970&lt;&gt;"",V970,U970)</f>
        <v/>
      </c>
      <c r="BR970" s="53">
        <f>IF(BQ970=1,"L1",IF(OR(BQ970=2,BQ970=3),"L23",IF(BQ970="Aussen","Aussen","-")))</f>
        <v/>
      </c>
      <c r="BS970" s="66">
        <f>IF(N(W970)&gt;0,W970,0)</f>
        <v/>
      </c>
      <c r="BT970" s="58">
        <f>IF(ISNUMBER(Z970),1,0)</f>
        <v/>
      </c>
      <c r="BU970" s="55">
        <f>N(Z970)</f>
        <v/>
      </c>
      <c r="BV970" s="55">
        <f>N(L970)+N(M970)</f>
        <v/>
      </c>
      <c r="BW970" s="55">
        <f>ROUNDUP(G970/BN970,0)</f>
        <v/>
      </c>
      <c r="BX970" s="55">
        <f>ROUNDUP(BU970/BN970,0)</f>
        <v/>
      </c>
      <c r="BY970" s="58">
        <f>IF(BO970=1,0,IFERROR(VLOOKUP(BM970,'Gebinde-Kategorie'!$A$5:$G$45,5,0)+0,0))</f>
        <v/>
      </c>
      <c r="BZ970" s="58">
        <f>IFERROR(IF(OR(BQ970=1,BQ970=2,BQ970=3),N(INDEX(Parameter!$I$5:$I$7,BQ970)),0),0)</f>
        <v/>
      </c>
    </row>
    <row r="971">
      <c r="A971" s="53" t="inlineStr">
        <is>
          <t>005615</t>
        </is>
      </c>
      <c r="B971" s="53" t="inlineStr">
        <is>
          <t>Temperatursensor ohne Stecker</t>
        </is>
      </c>
      <c r="C971" s="53" t="inlineStr">
        <is>
          <t>F</t>
        </is>
      </c>
      <c r="D971" s="53" t="inlineStr">
        <is>
          <t>KTL</t>
        </is>
      </c>
      <c r="E971" s="53" t="inlineStr">
        <is>
          <t>C</t>
        </is>
      </c>
      <c r="F971" s="54" t="n">
        <v>72.69</v>
      </c>
      <c r="G971" s="55">
        <f>MAX(0,IF(Parameter!$B$20="Jahresanfang 2025 + Export",BG971+BF971,BF971))</f>
        <v/>
      </c>
      <c r="H971" s="55">
        <f>G971*F971</f>
        <v/>
      </c>
      <c r="I971" s="55">
        <f>BI971*Parameter!$B$18</f>
        <v/>
      </c>
      <c r="J971" s="56" t="n">
        <v>9.5</v>
      </c>
      <c r="K971" s="57" t="n">
        <v>0</v>
      </c>
      <c r="L971" s="55" t="n">
        <v>0</v>
      </c>
      <c r="M971" s="55" t="n">
        <v>1</v>
      </c>
      <c r="N971" s="58" t="n">
        <v>97</v>
      </c>
      <c r="O971" s="53" t="inlineStr">
        <is>
          <t>S52</t>
        </is>
      </c>
      <c r="P971" s="55" t="n">
        <v>10</v>
      </c>
      <c r="Q971" s="59">
        <f>IF(BO971=1,0,IFERROR(VLOOKUP(BM971,'Gebinde-Kategorie'!$A$5:$G$45,6,0)+0,0))</f>
        <v/>
      </c>
      <c r="R971" s="60" t="n"/>
      <c r="S971" s="61" t="n"/>
      <c r="T971" s="61" t="n"/>
      <c r="U971" s="53">
        <f>IF(A971="","",IF(IFERROR(VLOOKUP(D971,Parameter!$A$35:$C$64,2,0),"Nein")="2+3",IF(ISNUMBER(SEARCH("grosser Artikel",BJ971)),2,IFERROR(VLOOKUP(BM971,Parameter!$F$35:$G$64,2,0),2)),IF(OR(IFERROR(VLOOKUP(D971,Parameter!$A$35:$C$64,2,0),"Nein")="Nein",IFERROR(VLOOKUP(D971,Parameter!$A$35:$C$64,2,0),"Nein")=""),"-",VLOOKUP(D971,Parameter!$A$35:$C$64,2,0))))</f>
        <v/>
      </c>
      <c r="V971" s="61" t="n"/>
      <c r="W971" s="62" t="n"/>
      <c r="X971" s="55">
        <f>AM971</f>
        <v/>
      </c>
      <c r="Y971" s="55">
        <f>MAX(AM971,G971)</f>
        <v/>
      </c>
      <c r="Z971" s="63" t="n"/>
      <c r="AA971" s="55">
        <f>IF(LEFT(Cockpit!$C$5,1)="A",G971,IF(BT971=1,BU971,IF(LEFT(Cockpit!$C$5,1)="B",AE971,MAX(AE971,G971))))</f>
        <v/>
      </c>
      <c r="AB971" s="55">
        <f>IF(BO971=1,0,ROUNDUP(AA971/BN971,0))</f>
        <v/>
      </c>
      <c r="AC971" s="64">
        <f>IF(BO971=1,IF(AA971&lt;=0,0,BP971*MAX(1,IF(G971&gt;0,AA971/G971,1))),AB971*Q971)</f>
        <v/>
      </c>
      <c r="AD971" s="55">
        <f>AA971*F971</f>
        <v/>
      </c>
      <c r="AE971" s="55">
        <f>ROUNDUP(MAX(I971/IF(BS971&gt;0,BS971,MAX(0.1,N(Cockpit!$C$6))),BV971)/BN971,0)*BN971</f>
        <v/>
      </c>
      <c r="AF971" s="56">
        <f>IF(AC971&gt;0,I971/AC971,-1)</f>
        <v/>
      </c>
      <c r="AG971" s="56">
        <f>IF(AND(OR(BR971="L1",BR971="L23"),AC971&gt;0),SUMIFS($AC$7:$AC$1570,$BR$7:$BR$1570,BR971,$AF$7:$AF$1570,"&gt;"&amp;AF971)+SUMIFS($AC$7:$AC$1570,$BR$7:$BR$1570,BR971,$AF$7:$AF$1570,AF971,$BL$7:$BL$1570,"&lt;="&amp;BL971),"")</f>
        <v/>
      </c>
      <c r="AH971" s="65">
        <f>IF(AG971="",0,MAX(0,MIN(1,(IF(BR971="L1",Parameter!$K$5,Parameter!$K$6+Parameter!$K$7)-(AG971-AC971))/AC971)))</f>
        <v/>
      </c>
      <c r="AI971" s="55">
        <f>IF(LEFT(Cockpit!$I$5,1)="A",G971,IF(BT971=1,BU971,IF(LEFT(Cockpit!$I$5,1)="B",AM971,MAX(AM971,G971))))</f>
        <v/>
      </c>
      <c r="AJ971" s="55">
        <f>IF(BO971=1,0,ROUNDUP(AI971/BN971,0))</f>
        <v/>
      </c>
      <c r="AK971" s="64">
        <f>IF(BO971=1,IF(AI971&lt;=0,0,BP971*MAX(1,IF(G971&gt;0,AI971/G971,1))),AJ971*Q971)</f>
        <v/>
      </c>
      <c r="AL971" s="55">
        <f>AI971*F971</f>
        <v/>
      </c>
      <c r="AM971" s="55">
        <f>ROUNDUP(MAX(I971/IF(BS971&gt;0,BS971,MAX(0.1,N(Cockpit!$I$6))),BV971)/BN971,0)*BN971</f>
        <v/>
      </c>
      <c r="AN971" s="56">
        <f>IF(AK971&gt;0,I971/AK971,-1)</f>
        <v/>
      </c>
      <c r="AO971" s="56">
        <f>IF(AND(OR(BR971="L1",BR971="L23"),AK971&gt;0),SUMIFS($AK$7:$AK$1570,$BR$7:$BR$1570,BR971,$AN$7:$AN$1570,"&gt;"&amp;AN971)+SUMIFS($AK$7:$AK$1570,$BR$7:$BR$1570,BR971,$AN$7:$AN$1570,AN971,$BL$7:$BL$1570,"&lt;="&amp;BL971),"")</f>
        <v/>
      </c>
      <c r="AP971" s="65">
        <f>IF(AO971="",0,MAX(0,MIN(1,(IF(BR971="L1",Parameter!$K$5,Parameter!$K$6+Parameter!$K$7)-(AO971-AK971))/AK971)))</f>
        <v/>
      </c>
      <c r="AQ971" s="55">
        <f>IF(LEFT(Cockpit!$O$5,1)="A",G971,IF(BT971=1,BU971,IF(LEFT(Cockpit!$O$5,1)="B",AU971,MAX(AU971,G971))))</f>
        <v/>
      </c>
      <c r="AR971" s="55">
        <f>IF(BO971=1,0,ROUNDUP(AQ971/BN971,0))</f>
        <v/>
      </c>
      <c r="AS971" s="64">
        <f>IF(BO971=1,IF(AQ971&lt;=0,0,BP971*MAX(1,IF(G971&gt;0,AQ971/G971,1))),AR971*Q971)</f>
        <v/>
      </c>
      <c r="AT971" s="55">
        <f>AQ971*F971</f>
        <v/>
      </c>
      <c r="AU971" s="55">
        <f>ROUNDUP(MAX(I971/IF(BS971&gt;0,BS971,MAX(0.1,N(Cockpit!$O$6))),BV971)/BN971,0)*BN971</f>
        <v/>
      </c>
      <c r="AV971" s="56">
        <f>IF(AS971&gt;0,I971/AS971,-1)</f>
        <v/>
      </c>
      <c r="AW971" s="56">
        <f>IF(AND(OR(BR971="L1",BR971="L23"),AS971&gt;0),SUMIFS($AS$7:$AS$1570,$BR$7:$BR$1570,BR971,$AV$7:$AV$1570,"&gt;"&amp;AV971)+SUMIFS($AS$7:$AS$1570,$BR$7:$BR$1570,BR971,$AV$7:$AV$1570,AV971,$BL$7:$BL$1570,"&lt;="&amp;BL971),"")</f>
        <v/>
      </c>
      <c r="AX971" s="65">
        <f>IF(AW971="",0,MAX(0,MIN(1,(IF(BR971="L1",Parameter!$K$5,Parameter!$K$6+Parameter!$K$7)-(AW971-AS971))/AS971)))</f>
        <v/>
      </c>
      <c r="AY971" s="53">
        <f>IF(AC971&lt;=0,"",IF(BR971="Aussen","Aussenlager",IF(BR971="-","Nicht im Lift",IF(AH971&gt;=1,"Lift",IF(AH971&lt;=0,"Aussenlager","teilweise")))))</f>
        <v/>
      </c>
      <c r="AZ971" s="53">
        <f>IF(AK971&lt;=0,"",IF(BR971="Aussen","Aussenlager",IF(BR971="-","Nicht im Lift",IF(AP971&gt;=1,"Lift",IF(AP971&lt;=0,"Aussenlager","teilweise")))))</f>
        <v/>
      </c>
      <c r="BA971" s="53">
        <f>IF(AS971&lt;=0,"",IF(BR971="Aussen","Aussenlager",IF(BR971="-","Nicht im Lift",IF(AX971&gt;=1,"Lift",IF(AX971&lt;=0,"Aussenlager","teilweise")))))</f>
        <v/>
      </c>
      <c r="BB971" s="53">
        <f>IF(A971="","",IF(BK971=1,"Neu; ","")&amp;IF(AND(BK971=0,BF971&lt;0),"negativer Bestand (Export "&amp;BF971&amp;"); ","")&amp;IF(I971&lt;=0,"Kein Verbrauch; ","")&amp;IF(BO971=1,"Lose – Fläche geschätzt; ","")&amp;IF(G971&gt;AM971,"Überbestand "&amp;ROUND(G971-AM971,0)&amp;" Stk / CHF "&amp;ROUND((G971-AM971)*F971,0)&amp;"; ","")&amp;IF(AND(BT971=1,BU971&lt;BV971),"MAX &lt; MB+LG; ","")&amp;IF(AND(BZ971&gt;0,BY971*10&gt;BZ971),"zu hoch für Tablar; ","")&amp;IF(AND(BK971=0,OR(BT971=1,V971&lt;&gt;"",S971&lt;&gt;"",T971&lt;&gt;"",W971&lt;&gt;"")),"manuell übersteuert; ","")&amp;IF(AND(BO971=0,Q971=0),"Gebinde unbekannt; ","")&amp;IF(AND(BO971=0,N(T971)&lt;=0,N(P971)&lt;=0),"Menge pro Gebinde fehlt (Ist = 1 Gebinde); ","")&amp;BJ971)</f>
        <v/>
      </c>
      <c r="BC971" s="53" t="n"/>
      <c r="BD971" s="53" t="n"/>
      <c r="BE971" s="61" t="n"/>
      <c r="BF971" s="55" t="n">
        <v>-1</v>
      </c>
      <c r="BG971" s="55" t="n">
        <v>10</v>
      </c>
      <c r="BH971" s="54" t="n">
        <v>-72.69</v>
      </c>
      <c r="BI971" s="55" t="n">
        <v>0</v>
      </c>
      <c r="BJ971" s="53" t="inlineStr">
        <is>
          <t>Überbestand</t>
        </is>
      </c>
      <c r="BK971" s="58" t="n">
        <v>0</v>
      </c>
      <c r="BL971" s="58" t="n">
        <v>971</v>
      </c>
      <c r="BM971" s="53">
        <f>IF(S971&lt;&gt;"",UPPER(TRIM(S971)),IF(O971="","LOSE",O971))</f>
        <v/>
      </c>
      <c r="BN971" s="55">
        <f>IF(BM971="LOSE",1,IF(N(T971)&gt;0,T971,IF(N(P971)&gt;0,P971,MAX(1,G971))))</f>
        <v/>
      </c>
      <c r="BO971" s="58">
        <f>IF(BM971="LOSE",1,0)</f>
        <v/>
      </c>
      <c r="BP971" s="64">
        <f>IF(BO971=0,0,IF(N(R971)&gt;0,R971,IFERROR(VLOOKUP(D971,Parameter!$A$35:$C$64,3,0)+0,0)))</f>
        <v/>
      </c>
      <c r="BQ971" s="53">
        <f>IF(V971&lt;&gt;"",V971,U971)</f>
        <v/>
      </c>
      <c r="BR971" s="53">
        <f>IF(BQ971=1,"L1",IF(OR(BQ971=2,BQ971=3),"L23",IF(BQ971="Aussen","Aussen","-")))</f>
        <v/>
      </c>
      <c r="BS971" s="66">
        <f>IF(N(W971)&gt;0,W971,0)</f>
        <v/>
      </c>
      <c r="BT971" s="58">
        <f>IF(ISNUMBER(Z971),1,0)</f>
        <v/>
      </c>
      <c r="BU971" s="55">
        <f>N(Z971)</f>
        <v/>
      </c>
      <c r="BV971" s="55">
        <f>N(L971)+N(M971)</f>
        <v/>
      </c>
      <c r="BW971" s="55">
        <f>ROUNDUP(G971/BN971,0)</f>
        <v/>
      </c>
      <c r="BX971" s="55">
        <f>ROUNDUP(BU971/BN971,0)</f>
        <v/>
      </c>
      <c r="BY971" s="58">
        <f>IF(BO971=1,0,IFERROR(VLOOKUP(BM971,'Gebinde-Kategorie'!$A$5:$G$45,5,0)+0,0))</f>
        <v/>
      </c>
      <c r="BZ971" s="58">
        <f>IFERROR(IF(OR(BQ971=1,BQ971=2,BQ971=3),N(INDEX(Parameter!$I$5:$I$7,BQ971)),0),0)</f>
        <v/>
      </c>
    </row>
    <row r="972">
      <c r="A972" s="53" t="inlineStr">
        <is>
          <t>101575</t>
        </is>
      </c>
      <c r="B972" s="53" t="inlineStr">
        <is>
          <t>Stützring</t>
        </is>
      </c>
      <c r="C972" s="53" t="inlineStr">
        <is>
          <t>F</t>
        </is>
      </c>
      <c r="D972" s="53" t="inlineStr">
        <is>
          <t>KTL</t>
        </is>
      </c>
      <c r="E972" s="53" t="inlineStr">
        <is>
          <t>C</t>
        </is>
      </c>
      <c r="F972" s="54" t="n">
        <v>1.36</v>
      </c>
      <c r="G972" s="55">
        <f>MAX(0,IF(Parameter!$B$20="Jahresanfang 2025 + Export",BG972+BF972,BF972))</f>
        <v/>
      </c>
      <c r="H972" s="55">
        <f>G972*F972</f>
        <v/>
      </c>
      <c r="I972" s="55">
        <f>BI972*Parameter!$B$18</f>
        <v/>
      </c>
      <c r="J972" s="56" t="n">
        <v>352.5</v>
      </c>
      <c r="K972" s="57" t="n">
        <v>1.912056737588653</v>
      </c>
      <c r="L972" s="55" t="n">
        <v>26</v>
      </c>
      <c r="M972" s="55" t="n">
        <v>675</v>
      </c>
      <c r="N972" s="58" t="n">
        <v>14</v>
      </c>
      <c r="O972" s="53" t="inlineStr">
        <is>
          <t>S51</t>
        </is>
      </c>
      <c r="P972" s="55" t="n">
        <v>1739</v>
      </c>
      <c r="Q972" s="59">
        <f>IF(BO972=1,0,IFERROR(VLOOKUP(BM972,'Gebinde-Kategorie'!$A$5:$G$45,6,0)+0,0))</f>
        <v/>
      </c>
      <c r="R972" s="60" t="n"/>
      <c r="S972" s="61" t="n"/>
      <c r="T972" s="61" t="n"/>
      <c r="U972" s="53">
        <f>IF(A972="","",IF(IFERROR(VLOOKUP(D972,Parameter!$A$35:$C$64,2,0),"Nein")="2+3",IF(ISNUMBER(SEARCH("grosser Artikel",BJ972)),2,IFERROR(VLOOKUP(BM972,Parameter!$F$35:$G$64,2,0),2)),IF(OR(IFERROR(VLOOKUP(D972,Parameter!$A$35:$C$64,2,0),"Nein")="Nein",IFERROR(VLOOKUP(D972,Parameter!$A$35:$C$64,2,0),"Nein")=""),"-",VLOOKUP(D972,Parameter!$A$35:$C$64,2,0))))</f>
        <v/>
      </c>
      <c r="V972" s="61" t="n"/>
      <c r="W972" s="62" t="n"/>
      <c r="X972" s="55">
        <f>AM972</f>
        <v/>
      </c>
      <c r="Y972" s="55">
        <f>MAX(AM972,G972)</f>
        <v/>
      </c>
      <c r="Z972" s="63" t="n"/>
      <c r="AA972" s="55">
        <f>IF(LEFT(Cockpit!$C$5,1)="A",G972,IF(BT972=1,BU972,IF(LEFT(Cockpit!$C$5,1)="B",AE972,MAX(AE972,G972))))</f>
        <v/>
      </c>
      <c r="AB972" s="55">
        <f>IF(BO972=1,0,ROUNDUP(AA972/BN972,0))</f>
        <v/>
      </c>
      <c r="AC972" s="64">
        <f>IF(BO972=1,IF(AA972&lt;=0,0,BP972*MAX(1,IF(G972&gt;0,AA972/G972,1))),AB972*Q972)</f>
        <v/>
      </c>
      <c r="AD972" s="55">
        <f>AA972*F972</f>
        <v/>
      </c>
      <c r="AE972" s="55">
        <f>ROUNDUP(MAX(I972/IF(BS972&gt;0,BS972,MAX(0.1,N(Cockpit!$C$6))),BV972)/BN972,0)*BN972</f>
        <v/>
      </c>
      <c r="AF972" s="56">
        <f>IF(AC972&gt;0,I972/AC972,-1)</f>
        <v/>
      </c>
      <c r="AG972" s="56">
        <f>IF(AND(OR(BR972="L1",BR972="L23"),AC972&gt;0),SUMIFS($AC$7:$AC$1570,$BR$7:$BR$1570,BR972,$AF$7:$AF$1570,"&gt;"&amp;AF972)+SUMIFS($AC$7:$AC$1570,$BR$7:$BR$1570,BR972,$AF$7:$AF$1570,AF972,$BL$7:$BL$1570,"&lt;="&amp;BL972),"")</f>
        <v/>
      </c>
      <c r="AH972" s="65">
        <f>IF(AG972="",0,MAX(0,MIN(1,(IF(BR972="L1",Parameter!$K$5,Parameter!$K$6+Parameter!$K$7)-(AG972-AC972))/AC972)))</f>
        <v/>
      </c>
      <c r="AI972" s="55">
        <f>IF(LEFT(Cockpit!$I$5,1)="A",G972,IF(BT972=1,BU972,IF(LEFT(Cockpit!$I$5,1)="B",AM972,MAX(AM972,G972))))</f>
        <v/>
      </c>
      <c r="AJ972" s="55">
        <f>IF(BO972=1,0,ROUNDUP(AI972/BN972,0))</f>
        <v/>
      </c>
      <c r="AK972" s="64">
        <f>IF(BO972=1,IF(AI972&lt;=0,0,BP972*MAX(1,IF(G972&gt;0,AI972/G972,1))),AJ972*Q972)</f>
        <v/>
      </c>
      <c r="AL972" s="55">
        <f>AI972*F972</f>
        <v/>
      </c>
      <c r="AM972" s="55">
        <f>ROUNDUP(MAX(I972/IF(BS972&gt;0,BS972,MAX(0.1,N(Cockpit!$I$6))),BV972)/BN972,0)*BN972</f>
        <v/>
      </c>
      <c r="AN972" s="56">
        <f>IF(AK972&gt;0,I972/AK972,-1)</f>
        <v/>
      </c>
      <c r="AO972" s="56">
        <f>IF(AND(OR(BR972="L1",BR972="L23"),AK972&gt;0),SUMIFS($AK$7:$AK$1570,$BR$7:$BR$1570,BR972,$AN$7:$AN$1570,"&gt;"&amp;AN972)+SUMIFS($AK$7:$AK$1570,$BR$7:$BR$1570,BR972,$AN$7:$AN$1570,AN972,$BL$7:$BL$1570,"&lt;="&amp;BL972),"")</f>
        <v/>
      </c>
      <c r="AP972" s="65">
        <f>IF(AO972="",0,MAX(0,MIN(1,(IF(BR972="L1",Parameter!$K$5,Parameter!$K$6+Parameter!$K$7)-(AO972-AK972))/AK972)))</f>
        <v/>
      </c>
      <c r="AQ972" s="55">
        <f>IF(LEFT(Cockpit!$O$5,1)="A",G972,IF(BT972=1,BU972,IF(LEFT(Cockpit!$O$5,1)="B",AU972,MAX(AU972,G972))))</f>
        <v/>
      </c>
      <c r="AR972" s="55">
        <f>IF(BO972=1,0,ROUNDUP(AQ972/BN972,0))</f>
        <v/>
      </c>
      <c r="AS972" s="64">
        <f>IF(BO972=1,IF(AQ972&lt;=0,0,BP972*MAX(1,IF(G972&gt;0,AQ972/G972,1))),AR972*Q972)</f>
        <v/>
      </c>
      <c r="AT972" s="55">
        <f>AQ972*F972</f>
        <v/>
      </c>
      <c r="AU972" s="55">
        <f>ROUNDUP(MAX(I972/IF(BS972&gt;0,BS972,MAX(0.1,N(Cockpit!$O$6))),BV972)/BN972,0)*BN972</f>
        <v/>
      </c>
      <c r="AV972" s="56">
        <f>IF(AS972&gt;0,I972/AS972,-1)</f>
        <v/>
      </c>
      <c r="AW972" s="56">
        <f>IF(AND(OR(BR972="L1",BR972="L23"),AS972&gt;0),SUMIFS($AS$7:$AS$1570,$BR$7:$BR$1570,BR972,$AV$7:$AV$1570,"&gt;"&amp;AV972)+SUMIFS($AS$7:$AS$1570,$BR$7:$BR$1570,BR972,$AV$7:$AV$1570,AV972,$BL$7:$BL$1570,"&lt;="&amp;BL972),"")</f>
        <v/>
      </c>
      <c r="AX972" s="65">
        <f>IF(AW972="",0,MAX(0,MIN(1,(IF(BR972="L1",Parameter!$K$5,Parameter!$K$6+Parameter!$K$7)-(AW972-AS972))/AS972)))</f>
        <v/>
      </c>
      <c r="AY972" s="53">
        <f>IF(AC972&lt;=0,"",IF(BR972="Aussen","Aussenlager",IF(BR972="-","Nicht im Lift",IF(AH972&gt;=1,"Lift",IF(AH972&lt;=0,"Aussenlager","teilweise")))))</f>
        <v/>
      </c>
      <c r="AZ972" s="53">
        <f>IF(AK972&lt;=0,"",IF(BR972="Aussen","Aussenlager",IF(BR972="-","Nicht im Lift",IF(AP972&gt;=1,"Lift",IF(AP972&lt;=0,"Aussenlager","teilweise")))))</f>
        <v/>
      </c>
      <c r="BA972" s="53">
        <f>IF(AS972&lt;=0,"",IF(BR972="Aussen","Aussenlager",IF(BR972="-","Nicht im Lift",IF(AX972&gt;=1,"Lift",IF(AX972&lt;=0,"Aussenlager","teilweise")))))</f>
        <v/>
      </c>
      <c r="BB972" s="53">
        <f>IF(A972="","",IF(BK972=1,"Neu; ","")&amp;IF(AND(BK972=0,BF972&lt;0),"negativer Bestand (Export "&amp;BF972&amp;"); ","")&amp;IF(I972&lt;=0,"Kein Verbrauch; ","")&amp;IF(BO972=1,"Lose – Fläche geschätzt; ","")&amp;IF(G972&gt;AM972,"Überbestand "&amp;ROUND(G972-AM972,0)&amp;" Stk / CHF "&amp;ROUND((G972-AM972)*F972,0)&amp;"; ","")&amp;IF(AND(BT972=1,BU972&lt;BV972),"MAX &lt; MB+LG; ","")&amp;IF(AND(BZ972&gt;0,BY972*10&gt;BZ972),"zu hoch für Tablar; ","")&amp;IF(AND(BK972=0,OR(BT972=1,V972&lt;&gt;"",S972&lt;&gt;"",T972&lt;&gt;"",W972&lt;&gt;"")),"manuell übersteuert; ","")&amp;IF(AND(BO972=0,Q972=0),"Gebinde unbekannt; ","")&amp;IF(AND(BO972=0,N(T972)&lt;=0,N(P972)&lt;=0),"Menge pro Gebinde fehlt (Ist = 1 Gebinde); ","")&amp;BJ972)</f>
        <v/>
      </c>
      <c r="BC972" s="53" t="n"/>
      <c r="BD972" s="53" t="n"/>
      <c r="BE972" s="61" t="n"/>
      <c r="BF972" s="55" t="n">
        <v>-54</v>
      </c>
      <c r="BG972" s="55" t="n">
        <v>425</v>
      </c>
      <c r="BH972" s="54" t="n">
        <v>-73.43999999999983</v>
      </c>
      <c r="BI972" s="55" t="n">
        <v>674</v>
      </c>
      <c r="BJ972" s="53" t="inlineStr"/>
      <c r="BK972" s="58" t="n">
        <v>0</v>
      </c>
      <c r="BL972" s="58" t="n">
        <v>972</v>
      </c>
      <c r="BM972" s="53">
        <f>IF(S972&lt;&gt;"",UPPER(TRIM(S972)),IF(O972="","LOSE",O972))</f>
        <v/>
      </c>
      <c r="BN972" s="55">
        <f>IF(BM972="LOSE",1,IF(N(T972)&gt;0,T972,IF(N(P972)&gt;0,P972,MAX(1,G972))))</f>
        <v/>
      </c>
      <c r="BO972" s="58">
        <f>IF(BM972="LOSE",1,0)</f>
        <v/>
      </c>
      <c r="BP972" s="64">
        <f>IF(BO972=0,0,IF(N(R972)&gt;0,R972,IFERROR(VLOOKUP(D972,Parameter!$A$35:$C$64,3,0)+0,0)))</f>
        <v/>
      </c>
      <c r="BQ972" s="53">
        <f>IF(V972&lt;&gt;"",V972,U972)</f>
        <v/>
      </c>
      <c r="BR972" s="53">
        <f>IF(BQ972=1,"L1",IF(OR(BQ972=2,BQ972=3),"L23",IF(BQ972="Aussen","Aussen","-")))</f>
        <v/>
      </c>
      <c r="BS972" s="66">
        <f>IF(N(W972)&gt;0,W972,0)</f>
        <v/>
      </c>
      <c r="BT972" s="58">
        <f>IF(ISNUMBER(Z972),1,0)</f>
        <v/>
      </c>
      <c r="BU972" s="55">
        <f>N(Z972)</f>
        <v/>
      </c>
      <c r="BV972" s="55">
        <f>N(L972)+N(M972)</f>
        <v/>
      </c>
      <c r="BW972" s="55">
        <f>ROUNDUP(G972/BN972,0)</f>
        <v/>
      </c>
      <c r="BX972" s="55">
        <f>ROUNDUP(BU972/BN972,0)</f>
        <v/>
      </c>
      <c r="BY972" s="58">
        <f>IF(BO972=1,0,IFERROR(VLOOKUP(BM972,'Gebinde-Kategorie'!$A$5:$G$45,5,0)+0,0))</f>
        <v/>
      </c>
      <c r="BZ972" s="58">
        <f>IFERROR(IF(OR(BQ972=1,BQ972=2,BQ972=3),N(INDEX(Parameter!$I$5:$I$7,BQ972)),0),0)</f>
        <v/>
      </c>
    </row>
    <row r="973">
      <c r="A973" s="53" t="inlineStr">
        <is>
          <t>101861</t>
        </is>
      </c>
      <c r="B973" s="53" t="inlineStr">
        <is>
          <t>Adapter</t>
        </is>
      </c>
      <c r="C973" s="53" t="inlineStr">
        <is>
          <t>F</t>
        </is>
      </c>
      <c r="D973" s="53" t="inlineStr">
        <is>
          <t>KTL</t>
        </is>
      </c>
      <c r="E973" s="53" t="inlineStr">
        <is>
          <t>C</t>
        </is>
      </c>
      <c r="F973" s="54" t="n">
        <v>9.199999999999999</v>
      </c>
      <c r="G973" s="55">
        <f>MAX(0,IF(Parameter!$B$20="Jahresanfang 2025 + Export",BG973+BF973,BF973))</f>
        <v/>
      </c>
      <c r="H973" s="55">
        <f>G973*F973</f>
        <v/>
      </c>
      <c r="I973" s="55">
        <f>BI973*Parameter!$B$18</f>
        <v/>
      </c>
      <c r="J973" s="56" t="n">
        <v>152.5</v>
      </c>
      <c r="K973" s="57" t="n">
        <v>0.03934426229508197</v>
      </c>
      <c r="L973" s="55" t="n">
        <v>0</v>
      </c>
      <c r="M973" s="55" t="n">
        <v>5</v>
      </c>
      <c r="N973" s="58" t="n">
        <v>35</v>
      </c>
      <c r="O973" s="53" t="inlineStr">
        <is>
          <t>S41</t>
        </is>
      </c>
      <c r="P973" s="55" t="n">
        <v>157</v>
      </c>
      <c r="Q973" s="59">
        <f>IF(BO973=1,0,IFERROR(VLOOKUP(BM973,'Gebinde-Kategorie'!$A$5:$G$45,6,0)+0,0))</f>
        <v/>
      </c>
      <c r="R973" s="60" t="n"/>
      <c r="S973" s="61" t="n"/>
      <c r="T973" s="61" t="n"/>
      <c r="U973" s="53">
        <f>IF(A973="","",IF(IFERROR(VLOOKUP(D973,Parameter!$A$35:$C$64,2,0),"Nein")="2+3",IF(ISNUMBER(SEARCH("grosser Artikel",BJ973)),2,IFERROR(VLOOKUP(BM973,Parameter!$F$35:$G$64,2,0),2)),IF(OR(IFERROR(VLOOKUP(D973,Parameter!$A$35:$C$64,2,0),"Nein")="Nein",IFERROR(VLOOKUP(D973,Parameter!$A$35:$C$64,2,0),"Nein")=""),"-",VLOOKUP(D973,Parameter!$A$35:$C$64,2,0))))</f>
        <v/>
      </c>
      <c r="V973" s="61" t="n"/>
      <c r="W973" s="62" t="n"/>
      <c r="X973" s="55">
        <f>AM973</f>
        <v/>
      </c>
      <c r="Y973" s="55">
        <f>MAX(AM973,G973)</f>
        <v/>
      </c>
      <c r="Z973" s="63" t="n"/>
      <c r="AA973" s="55">
        <f>IF(LEFT(Cockpit!$C$5,1)="A",G973,IF(BT973=1,BU973,IF(LEFT(Cockpit!$C$5,1)="B",AE973,MAX(AE973,G973))))</f>
        <v/>
      </c>
      <c r="AB973" s="55">
        <f>IF(BO973=1,0,ROUNDUP(AA973/BN973,0))</f>
        <v/>
      </c>
      <c r="AC973" s="64">
        <f>IF(BO973=1,IF(AA973&lt;=0,0,BP973*MAX(1,IF(G973&gt;0,AA973/G973,1))),AB973*Q973)</f>
        <v/>
      </c>
      <c r="AD973" s="55">
        <f>AA973*F973</f>
        <v/>
      </c>
      <c r="AE973" s="55">
        <f>ROUNDUP(MAX(I973/IF(BS973&gt;0,BS973,MAX(0.1,N(Cockpit!$C$6))),BV973)/BN973,0)*BN973</f>
        <v/>
      </c>
      <c r="AF973" s="56">
        <f>IF(AC973&gt;0,I973/AC973,-1)</f>
        <v/>
      </c>
      <c r="AG973" s="56">
        <f>IF(AND(OR(BR973="L1",BR973="L23"),AC973&gt;0),SUMIFS($AC$7:$AC$1570,$BR$7:$BR$1570,BR973,$AF$7:$AF$1570,"&gt;"&amp;AF973)+SUMIFS($AC$7:$AC$1570,$BR$7:$BR$1570,BR973,$AF$7:$AF$1570,AF973,$BL$7:$BL$1570,"&lt;="&amp;BL973),"")</f>
        <v/>
      </c>
      <c r="AH973" s="65">
        <f>IF(AG973="",0,MAX(0,MIN(1,(IF(BR973="L1",Parameter!$K$5,Parameter!$K$6+Parameter!$K$7)-(AG973-AC973))/AC973)))</f>
        <v/>
      </c>
      <c r="AI973" s="55">
        <f>IF(LEFT(Cockpit!$I$5,1)="A",G973,IF(BT973=1,BU973,IF(LEFT(Cockpit!$I$5,1)="B",AM973,MAX(AM973,G973))))</f>
        <v/>
      </c>
      <c r="AJ973" s="55">
        <f>IF(BO973=1,0,ROUNDUP(AI973/BN973,0))</f>
        <v/>
      </c>
      <c r="AK973" s="64">
        <f>IF(BO973=1,IF(AI973&lt;=0,0,BP973*MAX(1,IF(G973&gt;0,AI973/G973,1))),AJ973*Q973)</f>
        <v/>
      </c>
      <c r="AL973" s="55">
        <f>AI973*F973</f>
        <v/>
      </c>
      <c r="AM973" s="55">
        <f>ROUNDUP(MAX(I973/IF(BS973&gt;0,BS973,MAX(0.1,N(Cockpit!$I$6))),BV973)/BN973,0)*BN973</f>
        <v/>
      </c>
      <c r="AN973" s="56">
        <f>IF(AK973&gt;0,I973/AK973,-1)</f>
        <v/>
      </c>
      <c r="AO973" s="56">
        <f>IF(AND(OR(BR973="L1",BR973="L23"),AK973&gt;0),SUMIFS($AK$7:$AK$1570,$BR$7:$BR$1570,BR973,$AN$7:$AN$1570,"&gt;"&amp;AN973)+SUMIFS($AK$7:$AK$1570,$BR$7:$BR$1570,BR973,$AN$7:$AN$1570,AN973,$BL$7:$BL$1570,"&lt;="&amp;BL973),"")</f>
        <v/>
      </c>
      <c r="AP973" s="65">
        <f>IF(AO973="",0,MAX(0,MIN(1,(IF(BR973="L1",Parameter!$K$5,Parameter!$K$6+Parameter!$K$7)-(AO973-AK973))/AK973)))</f>
        <v/>
      </c>
      <c r="AQ973" s="55">
        <f>IF(LEFT(Cockpit!$O$5,1)="A",G973,IF(BT973=1,BU973,IF(LEFT(Cockpit!$O$5,1)="B",AU973,MAX(AU973,G973))))</f>
        <v/>
      </c>
      <c r="AR973" s="55">
        <f>IF(BO973=1,0,ROUNDUP(AQ973/BN973,0))</f>
        <v/>
      </c>
      <c r="AS973" s="64">
        <f>IF(BO973=1,IF(AQ973&lt;=0,0,BP973*MAX(1,IF(G973&gt;0,AQ973/G973,1))),AR973*Q973)</f>
        <v/>
      </c>
      <c r="AT973" s="55">
        <f>AQ973*F973</f>
        <v/>
      </c>
      <c r="AU973" s="55">
        <f>ROUNDUP(MAX(I973/IF(BS973&gt;0,BS973,MAX(0.1,N(Cockpit!$O$6))),BV973)/BN973,0)*BN973</f>
        <v/>
      </c>
      <c r="AV973" s="56">
        <f>IF(AS973&gt;0,I973/AS973,-1)</f>
        <v/>
      </c>
      <c r="AW973" s="56">
        <f>IF(AND(OR(BR973="L1",BR973="L23"),AS973&gt;0),SUMIFS($AS$7:$AS$1570,$BR$7:$BR$1570,BR973,$AV$7:$AV$1570,"&gt;"&amp;AV973)+SUMIFS($AS$7:$AS$1570,$BR$7:$BR$1570,BR973,$AV$7:$AV$1570,AV973,$BL$7:$BL$1570,"&lt;="&amp;BL973),"")</f>
        <v/>
      </c>
      <c r="AX973" s="65">
        <f>IF(AW973="",0,MAX(0,MIN(1,(IF(BR973="L1",Parameter!$K$5,Parameter!$K$6+Parameter!$K$7)-(AW973-AS973))/AS973)))</f>
        <v/>
      </c>
      <c r="AY973" s="53">
        <f>IF(AC973&lt;=0,"",IF(BR973="Aussen","Aussenlager",IF(BR973="-","Nicht im Lift",IF(AH973&gt;=1,"Lift",IF(AH973&lt;=0,"Aussenlager","teilweise")))))</f>
        <v/>
      </c>
      <c r="AZ973" s="53">
        <f>IF(AK973&lt;=0,"",IF(BR973="Aussen","Aussenlager",IF(BR973="-","Nicht im Lift",IF(AP973&gt;=1,"Lift",IF(AP973&lt;=0,"Aussenlager","teilweise")))))</f>
        <v/>
      </c>
      <c r="BA973" s="53">
        <f>IF(AS973&lt;=0,"",IF(BR973="Aussen","Aussenlager",IF(BR973="-","Nicht im Lift",IF(AX973&gt;=1,"Lift",IF(AX973&lt;=0,"Aussenlager","teilweise")))))</f>
        <v/>
      </c>
      <c r="BB973" s="53">
        <f>IF(A973="","",IF(BK973=1,"Neu; ","")&amp;IF(AND(BK973=0,BF973&lt;0),"negativer Bestand (Export "&amp;BF973&amp;"); ","")&amp;IF(I973&lt;=0,"Kein Verbrauch; ","")&amp;IF(BO973=1,"Lose – Fläche geschätzt; ","")&amp;IF(G973&gt;AM973,"Überbestand "&amp;ROUND(G973-AM973,0)&amp;" Stk / CHF "&amp;ROUND((G973-AM973)*F973,0)&amp;"; ","")&amp;IF(AND(BT973=1,BU973&lt;BV973),"MAX &lt; MB+LG; ","")&amp;IF(AND(BZ973&gt;0,BY973*10&gt;BZ973),"zu hoch für Tablar; ","")&amp;IF(AND(BK973=0,OR(BT973=1,V973&lt;&gt;"",S973&lt;&gt;"",T973&lt;&gt;"",W973&lt;&gt;"")),"manuell übersteuert; ","")&amp;IF(AND(BO973=0,Q973=0),"Gebinde unbekannt; ","")&amp;IF(AND(BO973=0,N(T973)&lt;=0,N(P973)&lt;=0),"Menge pro Gebinde fehlt (Ist = 1 Gebinde); ","")&amp;BJ973)</f>
        <v/>
      </c>
      <c r="BC973" s="53" t="n"/>
      <c r="BD973" s="53" t="n"/>
      <c r="BE973" s="61" t="n"/>
      <c r="BF973" s="55" t="n">
        <v>-8</v>
      </c>
      <c r="BG973" s="55" t="n">
        <v>155</v>
      </c>
      <c r="BH973" s="54" t="n">
        <v>-73.59999999999999</v>
      </c>
      <c r="BI973" s="55" t="n">
        <v>6</v>
      </c>
      <c r="BJ973" s="53" t="inlineStr">
        <is>
          <t>Überbestand</t>
        </is>
      </c>
      <c r="BK973" s="58" t="n">
        <v>0</v>
      </c>
      <c r="BL973" s="58" t="n">
        <v>973</v>
      </c>
      <c r="BM973" s="53">
        <f>IF(S973&lt;&gt;"",UPPER(TRIM(S973)),IF(O973="","LOSE",O973))</f>
        <v/>
      </c>
      <c r="BN973" s="55">
        <f>IF(BM973="LOSE",1,IF(N(T973)&gt;0,T973,IF(N(P973)&gt;0,P973,MAX(1,G973))))</f>
        <v/>
      </c>
      <c r="BO973" s="58">
        <f>IF(BM973="LOSE",1,0)</f>
        <v/>
      </c>
      <c r="BP973" s="64">
        <f>IF(BO973=0,0,IF(N(R973)&gt;0,R973,IFERROR(VLOOKUP(D973,Parameter!$A$35:$C$64,3,0)+0,0)))</f>
        <v/>
      </c>
      <c r="BQ973" s="53">
        <f>IF(V973&lt;&gt;"",V973,U973)</f>
        <v/>
      </c>
      <c r="BR973" s="53">
        <f>IF(BQ973=1,"L1",IF(OR(BQ973=2,BQ973=3),"L23",IF(BQ973="Aussen","Aussen","-")))</f>
        <v/>
      </c>
      <c r="BS973" s="66">
        <f>IF(N(W973)&gt;0,W973,0)</f>
        <v/>
      </c>
      <c r="BT973" s="58">
        <f>IF(ISNUMBER(Z973),1,0)</f>
        <v/>
      </c>
      <c r="BU973" s="55">
        <f>N(Z973)</f>
        <v/>
      </c>
      <c r="BV973" s="55">
        <f>N(L973)+N(M973)</f>
        <v/>
      </c>
      <c r="BW973" s="55">
        <f>ROUNDUP(G973/BN973,0)</f>
        <v/>
      </c>
      <c r="BX973" s="55">
        <f>ROUNDUP(BU973/BN973,0)</f>
        <v/>
      </c>
      <c r="BY973" s="58">
        <f>IF(BO973=1,0,IFERROR(VLOOKUP(BM973,'Gebinde-Kategorie'!$A$5:$G$45,5,0)+0,0))</f>
        <v/>
      </c>
      <c r="BZ973" s="58">
        <f>IFERROR(IF(OR(BQ973=1,BQ973=2,BQ973=3),N(INDEX(Parameter!$I$5:$I$7,BQ973)),0),0)</f>
        <v/>
      </c>
    </row>
    <row r="974">
      <c r="A974" s="53" t="inlineStr">
        <is>
          <t>107300</t>
        </is>
      </c>
      <c r="B974" s="53" t="inlineStr">
        <is>
          <t>Ventilschlüssel</t>
        </is>
      </c>
      <c r="C974" s="53" t="inlineStr">
        <is>
          <t>F</t>
        </is>
      </c>
      <c r="D974" s="53" t="inlineStr">
        <is>
          <t>KTL</t>
        </is>
      </c>
      <c r="E974" s="53" t="inlineStr">
        <is>
          <t>C</t>
        </is>
      </c>
      <c r="F974" s="54" t="n">
        <v>68.15000000000001</v>
      </c>
      <c r="G974" s="55">
        <f>MAX(0,IF(Parameter!$B$20="Jahresanfang 2025 + Export",BG974+BF974,BF974))</f>
        <v/>
      </c>
      <c r="H974" s="55">
        <f>G974*F974</f>
        <v/>
      </c>
      <c r="I974" s="55">
        <f>BI974*Parameter!$B$18</f>
        <v/>
      </c>
      <c r="J974" s="56" t="n">
        <v>4.5</v>
      </c>
      <c r="K974" s="57" t="n">
        <v>1.111111111111111</v>
      </c>
      <c r="L974" s="55" t="n">
        <v>0</v>
      </c>
      <c r="M974" s="55" t="n">
        <v>5</v>
      </c>
      <c r="N974" s="58" t="n">
        <v>21</v>
      </c>
      <c r="O974" s="53" t="inlineStr">
        <is>
          <t>S33</t>
        </is>
      </c>
      <c r="P974" s="55" t="n">
        <v>11</v>
      </c>
      <c r="Q974" s="59">
        <f>IF(BO974=1,0,IFERROR(VLOOKUP(BM974,'Gebinde-Kategorie'!$A$5:$G$45,6,0)+0,0))</f>
        <v/>
      </c>
      <c r="R974" s="60" t="n"/>
      <c r="S974" s="61" t="n"/>
      <c r="T974" s="61" t="n"/>
      <c r="U974" s="53">
        <f>IF(A974="","",IF(IFERROR(VLOOKUP(D974,Parameter!$A$35:$C$64,2,0),"Nein")="2+3",IF(ISNUMBER(SEARCH("grosser Artikel",BJ974)),2,IFERROR(VLOOKUP(BM974,Parameter!$F$35:$G$64,2,0),2)),IF(OR(IFERROR(VLOOKUP(D974,Parameter!$A$35:$C$64,2,0),"Nein")="Nein",IFERROR(VLOOKUP(D974,Parameter!$A$35:$C$64,2,0),"Nein")=""),"-",VLOOKUP(D974,Parameter!$A$35:$C$64,2,0))))</f>
        <v/>
      </c>
      <c r="V974" s="61" t="n"/>
      <c r="W974" s="62" t="n"/>
      <c r="X974" s="55">
        <f>AM974</f>
        <v/>
      </c>
      <c r="Y974" s="55">
        <f>MAX(AM974,G974)</f>
        <v/>
      </c>
      <c r="Z974" s="63" t="n"/>
      <c r="AA974" s="55">
        <f>IF(LEFT(Cockpit!$C$5,1)="A",G974,IF(BT974=1,BU974,IF(LEFT(Cockpit!$C$5,1)="B",AE974,MAX(AE974,G974))))</f>
        <v/>
      </c>
      <c r="AB974" s="55">
        <f>IF(BO974=1,0,ROUNDUP(AA974/BN974,0))</f>
        <v/>
      </c>
      <c r="AC974" s="64">
        <f>IF(BO974=1,IF(AA974&lt;=0,0,BP974*MAX(1,IF(G974&gt;0,AA974/G974,1))),AB974*Q974)</f>
        <v/>
      </c>
      <c r="AD974" s="55">
        <f>AA974*F974</f>
        <v/>
      </c>
      <c r="AE974" s="55">
        <f>ROUNDUP(MAX(I974/IF(BS974&gt;0,BS974,MAX(0.1,N(Cockpit!$C$6))),BV974)/BN974,0)*BN974</f>
        <v/>
      </c>
      <c r="AF974" s="56">
        <f>IF(AC974&gt;0,I974/AC974,-1)</f>
        <v/>
      </c>
      <c r="AG974" s="56">
        <f>IF(AND(OR(BR974="L1",BR974="L23"),AC974&gt;0),SUMIFS($AC$7:$AC$1570,$BR$7:$BR$1570,BR974,$AF$7:$AF$1570,"&gt;"&amp;AF974)+SUMIFS($AC$7:$AC$1570,$BR$7:$BR$1570,BR974,$AF$7:$AF$1570,AF974,$BL$7:$BL$1570,"&lt;="&amp;BL974),"")</f>
        <v/>
      </c>
      <c r="AH974" s="65">
        <f>IF(AG974="",0,MAX(0,MIN(1,(IF(BR974="L1",Parameter!$K$5,Parameter!$K$6+Parameter!$K$7)-(AG974-AC974))/AC974)))</f>
        <v/>
      </c>
      <c r="AI974" s="55">
        <f>IF(LEFT(Cockpit!$I$5,1)="A",G974,IF(BT974=1,BU974,IF(LEFT(Cockpit!$I$5,1)="B",AM974,MAX(AM974,G974))))</f>
        <v/>
      </c>
      <c r="AJ974" s="55">
        <f>IF(BO974=1,0,ROUNDUP(AI974/BN974,0))</f>
        <v/>
      </c>
      <c r="AK974" s="64">
        <f>IF(BO974=1,IF(AI974&lt;=0,0,BP974*MAX(1,IF(G974&gt;0,AI974/G974,1))),AJ974*Q974)</f>
        <v/>
      </c>
      <c r="AL974" s="55">
        <f>AI974*F974</f>
        <v/>
      </c>
      <c r="AM974" s="55">
        <f>ROUNDUP(MAX(I974/IF(BS974&gt;0,BS974,MAX(0.1,N(Cockpit!$I$6))),BV974)/BN974,0)*BN974</f>
        <v/>
      </c>
      <c r="AN974" s="56">
        <f>IF(AK974&gt;0,I974/AK974,-1)</f>
        <v/>
      </c>
      <c r="AO974" s="56">
        <f>IF(AND(OR(BR974="L1",BR974="L23"),AK974&gt;0),SUMIFS($AK$7:$AK$1570,$BR$7:$BR$1570,BR974,$AN$7:$AN$1570,"&gt;"&amp;AN974)+SUMIFS($AK$7:$AK$1570,$BR$7:$BR$1570,BR974,$AN$7:$AN$1570,AN974,$BL$7:$BL$1570,"&lt;="&amp;BL974),"")</f>
        <v/>
      </c>
      <c r="AP974" s="65">
        <f>IF(AO974="",0,MAX(0,MIN(1,(IF(BR974="L1",Parameter!$K$5,Parameter!$K$6+Parameter!$K$7)-(AO974-AK974))/AK974)))</f>
        <v/>
      </c>
      <c r="AQ974" s="55">
        <f>IF(LEFT(Cockpit!$O$5,1)="A",G974,IF(BT974=1,BU974,IF(LEFT(Cockpit!$O$5,1)="B",AU974,MAX(AU974,G974))))</f>
        <v/>
      </c>
      <c r="AR974" s="55">
        <f>IF(BO974=1,0,ROUNDUP(AQ974/BN974,0))</f>
        <v/>
      </c>
      <c r="AS974" s="64">
        <f>IF(BO974=1,IF(AQ974&lt;=0,0,BP974*MAX(1,IF(G974&gt;0,AQ974/G974,1))),AR974*Q974)</f>
        <v/>
      </c>
      <c r="AT974" s="55">
        <f>AQ974*F974</f>
        <v/>
      </c>
      <c r="AU974" s="55">
        <f>ROUNDUP(MAX(I974/IF(BS974&gt;0,BS974,MAX(0.1,N(Cockpit!$O$6))),BV974)/BN974,0)*BN974</f>
        <v/>
      </c>
      <c r="AV974" s="56">
        <f>IF(AS974&gt;0,I974/AS974,-1)</f>
        <v/>
      </c>
      <c r="AW974" s="56">
        <f>IF(AND(OR(BR974="L1",BR974="L23"),AS974&gt;0),SUMIFS($AS$7:$AS$1570,$BR$7:$BR$1570,BR974,$AV$7:$AV$1570,"&gt;"&amp;AV974)+SUMIFS($AS$7:$AS$1570,$BR$7:$BR$1570,BR974,$AV$7:$AV$1570,AV974,$BL$7:$BL$1570,"&lt;="&amp;BL974),"")</f>
        <v/>
      </c>
      <c r="AX974" s="65">
        <f>IF(AW974="",0,MAX(0,MIN(1,(IF(BR974="L1",Parameter!$K$5,Parameter!$K$6+Parameter!$K$7)-(AW974-AS974))/AS974)))</f>
        <v/>
      </c>
      <c r="AY974" s="53">
        <f>IF(AC974&lt;=0,"",IF(BR974="Aussen","Aussenlager",IF(BR974="-","Nicht im Lift",IF(AH974&gt;=1,"Lift",IF(AH974&lt;=0,"Aussenlager","teilweise")))))</f>
        <v/>
      </c>
      <c r="AZ974" s="53">
        <f>IF(AK974&lt;=0,"",IF(BR974="Aussen","Aussenlager",IF(BR974="-","Nicht im Lift",IF(AP974&gt;=1,"Lift",IF(AP974&lt;=0,"Aussenlager","teilweise")))))</f>
        <v/>
      </c>
      <c r="BA974" s="53">
        <f>IF(AS974&lt;=0,"",IF(BR974="Aussen","Aussenlager",IF(BR974="-","Nicht im Lift",IF(AX974&gt;=1,"Lift",IF(AX974&lt;=0,"Aussenlager","teilweise")))))</f>
        <v/>
      </c>
      <c r="BB974" s="53">
        <f>IF(A974="","",IF(BK974=1,"Neu; ","")&amp;IF(AND(BK974=0,BF974&lt;0),"negativer Bestand (Export "&amp;BF974&amp;"); ","")&amp;IF(I974&lt;=0,"Kein Verbrauch; ","")&amp;IF(BO974=1,"Lose – Fläche geschätzt; ","")&amp;IF(G974&gt;AM974,"Überbestand "&amp;ROUND(G974-AM974,0)&amp;" Stk / CHF "&amp;ROUND((G974-AM974)*F974,0)&amp;"; ","")&amp;IF(AND(BT974=1,BU974&lt;BV974),"MAX &lt; MB+LG; ","")&amp;IF(AND(BZ974&gt;0,BY974*10&gt;BZ974),"zu hoch für Tablar; ","")&amp;IF(AND(BK974=0,OR(BT974=1,V974&lt;&gt;"",S974&lt;&gt;"",T974&lt;&gt;"",W974&lt;&gt;"")),"manuell übersteuert; ","")&amp;IF(AND(BO974=0,Q974=0),"Gebinde unbekannt; ","")&amp;IF(AND(BO974=0,N(T974)&lt;=0,N(P974)&lt;=0),"Menge pro Gebinde fehlt (Ist = 1 Gebinde); ","")&amp;BJ974)</f>
        <v/>
      </c>
      <c r="BC974" s="53" t="n"/>
      <c r="BD974" s="53" t="n"/>
      <c r="BE974" s="61" t="n"/>
      <c r="BF974" s="55" t="n">
        <v>-2</v>
      </c>
      <c r="BG974" s="55" t="n">
        <v>6</v>
      </c>
      <c r="BH974" s="54" t="n">
        <v>-73.66</v>
      </c>
      <c r="BI974" s="55" t="n">
        <v>5</v>
      </c>
      <c r="BJ974" s="53" t="inlineStr"/>
      <c r="BK974" s="58" t="n">
        <v>0</v>
      </c>
      <c r="BL974" s="58" t="n">
        <v>974</v>
      </c>
      <c r="BM974" s="53">
        <f>IF(S974&lt;&gt;"",UPPER(TRIM(S974)),IF(O974="","LOSE",O974))</f>
        <v/>
      </c>
      <c r="BN974" s="55">
        <f>IF(BM974="LOSE",1,IF(N(T974)&gt;0,T974,IF(N(P974)&gt;0,P974,MAX(1,G974))))</f>
        <v/>
      </c>
      <c r="BO974" s="58">
        <f>IF(BM974="LOSE",1,0)</f>
        <v/>
      </c>
      <c r="BP974" s="64">
        <f>IF(BO974=0,0,IF(N(R974)&gt;0,R974,IFERROR(VLOOKUP(D974,Parameter!$A$35:$C$64,3,0)+0,0)))</f>
        <v/>
      </c>
      <c r="BQ974" s="53">
        <f>IF(V974&lt;&gt;"",V974,U974)</f>
        <v/>
      </c>
      <c r="BR974" s="53">
        <f>IF(BQ974=1,"L1",IF(OR(BQ974=2,BQ974=3),"L23",IF(BQ974="Aussen","Aussen","-")))</f>
        <v/>
      </c>
      <c r="BS974" s="66">
        <f>IF(N(W974)&gt;0,W974,0)</f>
        <v/>
      </c>
      <c r="BT974" s="58">
        <f>IF(ISNUMBER(Z974),1,0)</f>
        <v/>
      </c>
      <c r="BU974" s="55">
        <f>N(Z974)</f>
        <v/>
      </c>
      <c r="BV974" s="55">
        <f>N(L974)+N(M974)</f>
        <v/>
      </c>
      <c r="BW974" s="55">
        <f>ROUNDUP(G974/BN974,0)</f>
        <v/>
      </c>
      <c r="BX974" s="55">
        <f>ROUNDUP(BU974/BN974,0)</f>
        <v/>
      </c>
      <c r="BY974" s="58">
        <f>IF(BO974=1,0,IFERROR(VLOOKUP(BM974,'Gebinde-Kategorie'!$A$5:$G$45,5,0)+0,0))</f>
        <v/>
      </c>
      <c r="BZ974" s="58">
        <f>IFERROR(IF(OR(BQ974=1,BQ974=2,BQ974=3),N(INDEX(Parameter!$I$5:$I$7,BQ974)),0),0)</f>
        <v/>
      </c>
    </row>
    <row r="975">
      <c r="A975" s="53" t="inlineStr">
        <is>
          <t>005805</t>
        </is>
      </c>
      <c r="B975" s="53" t="inlineStr">
        <is>
          <t>Verschlusskappe</t>
        </is>
      </c>
      <c r="C975" s="53" t="inlineStr">
        <is>
          <t>F</t>
        </is>
      </c>
      <c r="D975" s="53" t="inlineStr">
        <is>
          <t>KTL</t>
        </is>
      </c>
      <c r="E975" s="53" t="inlineStr">
        <is>
          <t>C</t>
        </is>
      </c>
      <c r="F975" s="54" t="n">
        <v>0.16</v>
      </c>
      <c r="G975" s="55">
        <f>MAX(0,IF(Parameter!$B$20="Jahresanfang 2025 + Export",BG975+BF975,BF975))</f>
        <v/>
      </c>
      <c r="H975" s="55">
        <f>G975*F975</f>
        <v/>
      </c>
      <c r="I975" s="55">
        <f>BI975*Parameter!$B$18</f>
        <v/>
      </c>
      <c r="J975" s="56" t="n">
        <v>565.5</v>
      </c>
      <c r="K975" s="57" t="n">
        <v>0.3465959328028294</v>
      </c>
      <c r="L975" s="55" t="n">
        <v>11</v>
      </c>
      <c r="M975" s="55" t="n">
        <v>195</v>
      </c>
      <c r="N975" s="58" t="n">
        <v>21</v>
      </c>
      <c r="O975" s="53" t="inlineStr">
        <is>
          <t>S52</t>
        </is>
      </c>
      <c r="P975" s="55" t="n">
        <v>609</v>
      </c>
      <c r="Q975" s="59">
        <f>IF(BO975=1,0,IFERROR(VLOOKUP(BM975,'Gebinde-Kategorie'!$A$5:$G$45,6,0)+0,0))</f>
        <v/>
      </c>
      <c r="R975" s="60" t="n"/>
      <c r="S975" s="61" t="n"/>
      <c r="T975" s="61" t="n"/>
      <c r="U975" s="53">
        <f>IF(A975="","",IF(IFERROR(VLOOKUP(D975,Parameter!$A$35:$C$64,2,0),"Nein")="2+3",IF(ISNUMBER(SEARCH("grosser Artikel",BJ975)),2,IFERROR(VLOOKUP(BM975,Parameter!$F$35:$G$64,2,0),2)),IF(OR(IFERROR(VLOOKUP(D975,Parameter!$A$35:$C$64,2,0),"Nein")="Nein",IFERROR(VLOOKUP(D975,Parameter!$A$35:$C$64,2,0),"Nein")=""),"-",VLOOKUP(D975,Parameter!$A$35:$C$64,2,0))))</f>
        <v/>
      </c>
      <c r="V975" s="61" t="n"/>
      <c r="W975" s="62" t="n"/>
      <c r="X975" s="55">
        <f>AM975</f>
        <v/>
      </c>
      <c r="Y975" s="55">
        <f>MAX(AM975,G975)</f>
        <v/>
      </c>
      <c r="Z975" s="63" t="n"/>
      <c r="AA975" s="55">
        <f>IF(LEFT(Cockpit!$C$5,1)="A",G975,IF(BT975=1,BU975,IF(LEFT(Cockpit!$C$5,1)="B",AE975,MAX(AE975,G975))))</f>
        <v/>
      </c>
      <c r="AB975" s="55">
        <f>IF(BO975=1,0,ROUNDUP(AA975/BN975,0))</f>
        <v/>
      </c>
      <c r="AC975" s="64">
        <f>IF(BO975=1,IF(AA975&lt;=0,0,BP975*MAX(1,IF(G975&gt;0,AA975/G975,1))),AB975*Q975)</f>
        <v/>
      </c>
      <c r="AD975" s="55">
        <f>AA975*F975</f>
        <v/>
      </c>
      <c r="AE975" s="55">
        <f>ROUNDUP(MAX(I975/IF(BS975&gt;0,BS975,MAX(0.1,N(Cockpit!$C$6))),BV975)/BN975,0)*BN975</f>
        <v/>
      </c>
      <c r="AF975" s="56">
        <f>IF(AC975&gt;0,I975/AC975,-1)</f>
        <v/>
      </c>
      <c r="AG975" s="56">
        <f>IF(AND(OR(BR975="L1",BR975="L23"),AC975&gt;0),SUMIFS($AC$7:$AC$1570,$BR$7:$BR$1570,BR975,$AF$7:$AF$1570,"&gt;"&amp;AF975)+SUMIFS($AC$7:$AC$1570,$BR$7:$BR$1570,BR975,$AF$7:$AF$1570,AF975,$BL$7:$BL$1570,"&lt;="&amp;BL975),"")</f>
        <v/>
      </c>
      <c r="AH975" s="65">
        <f>IF(AG975="",0,MAX(0,MIN(1,(IF(BR975="L1",Parameter!$K$5,Parameter!$K$6+Parameter!$K$7)-(AG975-AC975))/AC975)))</f>
        <v/>
      </c>
      <c r="AI975" s="55">
        <f>IF(LEFT(Cockpit!$I$5,1)="A",G975,IF(BT975=1,BU975,IF(LEFT(Cockpit!$I$5,1)="B",AM975,MAX(AM975,G975))))</f>
        <v/>
      </c>
      <c r="AJ975" s="55">
        <f>IF(BO975=1,0,ROUNDUP(AI975/BN975,0))</f>
        <v/>
      </c>
      <c r="AK975" s="64">
        <f>IF(BO975=1,IF(AI975&lt;=0,0,BP975*MAX(1,IF(G975&gt;0,AI975/G975,1))),AJ975*Q975)</f>
        <v/>
      </c>
      <c r="AL975" s="55">
        <f>AI975*F975</f>
        <v/>
      </c>
      <c r="AM975" s="55">
        <f>ROUNDUP(MAX(I975/IF(BS975&gt;0,BS975,MAX(0.1,N(Cockpit!$I$6))),BV975)/BN975,0)*BN975</f>
        <v/>
      </c>
      <c r="AN975" s="56">
        <f>IF(AK975&gt;0,I975/AK975,-1)</f>
        <v/>
      </c>
      <c r="AO975" s="56">
        <f>IF(AND(OR(BR975="L1",BR975="L23"),AK975&gt;0),SUMIFS($AK$7:$AK$1570,$BR$7:$BR$1570,BR975,$AN$7:$AN$1570,"&gt;"&amp;AN975)+SUMIFS($AK$7:$AK$1570,$BR$7:$BR$1570,BR975,$AN$7:$AN$1570,AN975,$BL$7:$BL$1570,"&lt;="&amp;BL975),"")</f>
        <v/>
      </c>
      <c r="AP975" s="65">
        <f>IF(AO975="",0,MAX(0,MIN(1,(IF(BR975="L1",Parameter!$K$5,Parameter!$K$6+Parameter!$K$7)-(AO975-AK975))/AK975)))</f>
        <v/>
      </c>
      <c r="AQ975" s="55">
        <f>IF(LEFT(Cockpit!$O$5,1)="A",G975,IF(BT975=1,BU975,IF(LEFT(Cockpit!$O$5,1)="B",AU975,MAX(AU975,G975))))</f>
        <v/>
      </c>
      <c r="AR975" s="55">
        <f>IF(BO975=1,0,ROUNDUP(AQ975/BN975,0))</f>
        <v/>
      </c>
      <c r="AS975" s="64">
        <f>IF(BO975=1,IF(AQ975&lt;=0,0,BP975*MAX(1,IF(G975&gt;0,AQ975/G975,1))),AR975*Q975)</f>
        <v/>
      </c>
      <c r="AT975" s="55">
        <f>AQ975*F975</f>
        <v/>
      </c>
      <c r="AU975" s="55">
        <f>ROUNDUP(MAX(I975/IF(BS975&gt;0,BS975,MAX(0.1,N(Cockpit!$O$6))),BV975)/BN975,0)*BN975</f>
        <v/>
      </c>
      <c r="AV975" s="56">
        <f>IF(AS975&gt;0,I975/AS975,-1)</f>
        <v/>
      </c>
      <c r="AW975" s="56">
        <f>IF(AND(OR(BR975="L1",BR975="L23"),AS975&gt;0),SUMIFS($AS$7:$AS$1570,$BR$7:$BR$1570,BR975,$AV$7:$AV$1570,"&gt;"&amp;AV975)+SUMIFS($AS$7:$AS$1570,$BR$7:$BR$1570,BR975,$AV$7:$AV$1570,AV975,$BL$7:$BL$1570,"&lt;="&amp;BL975),"")</f>
        <v/>
      </c>
      <c r="AX975" s="65">
        <f>IF(AW975="",0,MAX(0,MIN(1,(IF(BR975="L1",Parameter!$K$5,Parameter!$K$6+Parameter!$K$7)-(AW975-AS975))/AS975)))</f>
        <v/>
      </c>
      <c r="AY975" s="53">
        <f>IF(AC975&lt;=0,"",IF(BR975="Aussen","Aussenlager",IF(BR975="-","Nicht im Lift",IF(AH975&gt;=1,"Lift",IF(AH975&lt;=0,"Aussenlager","teilweise")))))</f>
        <v/>
      </c>
      <c r="AZ975" s="53">
        <f>IF(AK975&lt;=0,"",IF(BR975="Aussen","Aussenlager",IF(BR975="-","Nicht im Lift",IF(AP975&gt;=1,"Lift",IF(AP975&lt;=0,"Aussenlager","teilweise")))))</f>
        <v/>
      </c>
      <c r="BA975" s="53">
        <f>IF(AS975&lt;=0,"",IF(BR975="Aussen","Aussenlager",IF(BR975="-","Nicht im Lift",IF(AX975&gt;=1,"Lift",IF(AX975&lt;=0,"Aussenlager","teilweise")))))</f>
        <v/>
      </c>
      <c r="BB975" s="53">
        <f>IF(A975="","",IF(BK975=1,"Neu; ","")&amp;IF(AND(BK975=0,BF975&lt;0),"negativer Bestand (Export "&amp;BF975&amp;"); ","")&amp;IF(I975&lt;=0,"Kein Verbrauch; ","")&amp;IF(BO975=1,"Lose – Fläche geschätzt; ","")&amp;IF(G975&gt;AM975,"Überbestand "&amp;ROUND(G975-AM975,0)&amp;" Stk / CHF "&amp;ROUND((G975-AM975)*F975,0)&amp;"; ","")&amp;IF(AND(BT975=1,BU975&lt;BV975),"MAX &lt; MB+LG; ","")&amp;IF(AND(BZ975&gt;0,BY975*10&gt;BZ975),"zu hoch für Tablar; ","")&amp;IF(AND(BK975=0,OR(BT975=1,V975&lt;&gt;"",S975&lt;&gt;"",T975&lt;&gt;"",W975&lt;&gt;"")),"manuell übersteuert; ","")&amp;IF(AND(BO975=0,Q975=0),"Gebinde unbekannt; ","")&amp;IF(AND(BO975=0,N(T975)&lt;=0,N(P975)&lt;=0),"Menge pro Gebinde fehlt (Ist = 1 Gebinde); ","")&amp;BJ975)</f>
        <v/>
      </c>
      <c r="BC975" s="53" t="n"/>
      <c r="BD975" s="53" t="n"/>
      <c r="BE975" s="61" t="n"/>
      <c r="BF975" s="55" t="n">
        <v>-464</v>
      </c>
      <c r="BG975" s="55" t="n">
        <v>706</v>
      </c>
      <c r="BH975" s="54" t="n">
        <v>-74.23999999999999</v>
      </c>
      <c r="BI975" s="55" t="n">
        <v>196</v>
      </c>
      <c r="BJ975" s="53" t="inlineStr"/>
      <c r="BK975" s="58" t="n">
        <v>0</v>
      </c>
      <c r="BL975" s="58" t="n">
        <v>975</v>
      </c>
      <c r="BM975" s="53">
        <f>IF(S975&lt;&gt;"",UPPER(TRIM(S975)),IF(O975="","LOSE",O975))</f>
        <v/>
      </c>
      <c r="BN975" s="55">
        <f>IF(BM975="LOSE",1,IF(N(T975)&gt;0,T975,IF(N(P975)&gt;0,P975,MAX(1,G975))))</f>
        <v/>
      </c>
      <c r="BO975" s="58">
        <f>IF(BM975="LOSE",1,0)</f>
        <v/>
      </c>
      <c r="BP975" s="64">
        <f>IF(BO975=0,0,IF(N(R975)&gt;0,R975,IFERROR(VLOOKUP(D975,Parameter!$A$35:$C$64,3,0)+0,0)))</f>
        <v/>
      </c>
      <c r="BQ975" s="53">
        <f>IF(V975&lt;&gt;"",V975,U975)</f>
        <v/>
      </c>
      <c r="BR975" s="53">
        <f>IF(BQ975=1,"L1",IF(OR(BQ975=2,BQ975=3),"L23",IF(BQ975="Aussen","Aussen","-")))</f>
        <v/>
      </c>
      <c r="BS975" s="66">
        <f>IF(N(W975)&gt;0,W975,0)</f>
        <v/>
      </c>
      <c r="BT975" s="58">
        <f>IF(ISNUMBER(Z975),1,0)</f>
        <v/>
      </c>
      <c r="BU975" s="55">
        <f>N(Z975)</f>
        <v/>
      </c>
      <c r="BV975" s="55">
        <f>N(L975)+N(M975)</f>
        <v/>
      </c>
      <c r="BW975" s="55">
        <f>ROUNDUP(G975/BN975,0)</f>
        <v/>
      </c>
      <c r="BX975" s="55">
        <f>ROUNDUP(BU975/BN975,0)</f>
        <v/>
      </c>
      <c r="BY975" s="58">
        <f>IF(BO975=1,0,IFERROR(VLOOKUP(BM975,'Gebinde-Kategorie'!$A$5:$G$45,5,0)+0,0))</f>
        <v/>
      </c>
      <c r="BZ975" s="58">
        <f>IFERROR(IF(OR(BQ975=1,BQ975=2,BQ975=3),N(INDEX(Parameter!$I$5:$I$7,BQ975)),0),0)</f>
        <v/>
      </c>
    </row>
    <row r="976">
      <c r="A976" s="53" t="inlineStr">
        <is>
          <t>100364</t>
        </is>
      </c>
      <c r="B976" s="53" t="inlineStr">
        <is>
          <t>O-Ring</t>
        </is>
      </c>
      <c r="C976" s="53" t="inlineStr">
        <is>
          <t>F</t>
        </is>
      </c>
      <c r="D976" s="53" t="inlineStr">
        <is>
          <t>KTL</t>
        </is>
      </c>
      <c r="E976" s="53" t="inlineStr">
        <is>
          <t>C</t>
        </is>
      </c>
      <c r="F976" s="54" t="n">
        <v>0.87</v>
      </c>
      <c r="G976" s="55">
        <f>MAX(0,IF(Parameter!$B$20="Jahresanfang 2025 + Export",BG976+BF976,BF976))</f>
        <v/>
      </c>
      <c r="H976" s="55">
        <f>G976*F976</f>
        <v/>
      </c>
      <c r="I976" s="55">
        <f>BI976*Parameter!$B$18</f>
        <v/>
      </c>
      <c r="J976" s="56" t="n">
        <v>181</v>
      </c>
      <c r="K976" s="57" t="n">
        <v>0.8011049723756906</v>
      </c>
      <c r="L976" s="55" t="n">
        <v>5</v>
      </c>
      <c r="M976" s="55" t="n">
        <v>145</v>
      </c>
      <c r="N976" s="58" t="n">
        <v>14</v>
      </c>
      <c r="O976" s="53" t="inlineStr">
        <is>
          <t>S51</t>
        </is>
      </c>
      <c r="P976" s="55" t="n">
        <v>165</v>
      </c>
      <c r="Q976" s="59">
        <f>IF(BO976=1,0,IFERROR(VLOOKUP(BM976,'Gebinde-Kategorie'!$A$5:$G$45,6,0)+0,0))</f>
        <v/>
      </c>
      <c r="R976" s="60" t="n"/>
      <c r="S976" s="61" t="n"/>
      <c r="T976" s="61" t="n"/>
      <c r="U976" s="53">
        <f>IF(A976="","",IF(IFERROR(VLOOKUP(D976,Parameter!$A$35:$C$64,2,0),"Nein")="2+3",IF(ISNUMBER(SEARCH("grosser Artikel",BJ976)),2,IFERROR(VLOOKUP(BM976,Parameter!$F$35:$G$64,2,0),2)),IF(OR(IFERROR(VLOOKUP(D976,Parameter!$A$35:$C$64,2,0),"Nein")="Nein",IFERROR(VLOOKUP(D976,Parameter!$A$35:$C$64,2,0),"Nein")=""),"-",VLOOKUP(D976,Parameter!$A$35:$C$64,2,0))))</f>
        <v/>
      </c>
      <c r="V976" s="61" t="n"/>
      <c r="W976" s="62" t="n"/>
      <c r="X976" s="55">
        <f>AM976</f>
        <v/>
      </c>
      <c r="Y976" s="55">
        <f>MAX(AM976,G976)</f>
        <v/>
      </c>
      <c r="Z976" s="63" t="n"/>
      <c r="AA976" s="55">
        <f>IF(LEFT(Cockpit!$C$5,1)="A",G976,IF(BT976=1,BU976,IF(LEFT(Cockpit!$C$5,1)="B",AE976,MAX(AE976,G976))))</f>
        <v/>
      </c>
      <c r="AB976" s="55">
        <f>IF(BO976=1,0,ROUNDUP(AA976/BN976,0))</f>
        <v/>
      </c>
      <c r="AC976" s="64">
        <f>IF(BO976=1,IF(AA976&lt;=0,0,BP976*MAX(1,IF(G976&gt;0,AA976/G976,1))),AB976*Q976)</f>
        <v/>
      </c>
      <c r="AD976" s="55">
        <f>AA976*F976</f>
        <v/>
      </c>
      <c r="AE976" s="55">
        <f>ROUNDUP(MAX(I976/IF(BS976&gt;0,BS976,MAX(0.1,N(Cockpit!$C$6))),BV976)/BN976,0)*BN976</f>
        <v/>
      </c>
      <c r="AF976" s="56">
        <f>IF(AC976&gt;0,I976/AC976,-1)</f>
        <v/>
      </c>
      <c r="AG976" s="56">
        <f>IF(AND(OR(BR976="L1",BR976="L23"),AC976&gt;0),SUMIFS($AC$7:$AC$1570,$BR$7:$BR$1570,BR976,$AF$7:$AF$1570,"&gt;"&amp;AF976)+SUMIFS($AC$7:$AC$1570,$BR$7:$BR$1570,BR976,$AF$7:$AF$1570,AF976,$BL$7:$BL$1570,"&lt;="&amp;BL976),"")</f>
        <v/>
      </c>
      <c r="AH976" s="65">
        <f>IF(AG976="",0,MAX(0,MIN(1,(IF(BR976="L1",Parameter!$K$5,Parameter!$K$6+Parameter!$K$7)-(AG976-AC976))/AC976)))</f>
        <v/>
      </c>
      <c r="AI976" s="55">
        <f>IF(LEFT(Cockpit!$I$5,1)="A",G976,IF(BT976=1,BU976,IF(LEFT(Cockpit!$I$5,1)="B",AM976,MAX(AM976,G976))))</f>
        <v/>
      </c>
      <c r="AJ976" s="55">
        <f>IF(BO976=1,0,ROUNDUP(AI976/BN976,0))</f>
        <v/>
      </c>
      <c r="AK976" s="64">
        <f>IF(BO976=1,IF(AI976&lt;=0,0,BP976*MAX(1,IF(G976&gt;0,AI976/G976,1))),AJ976*Q976)</f>
        <v/>
      </c>
      <c r="AL976" s="55">
        <f>AI976*F976</f>
        <v/>
      </c>
      <c r="AM976" s="55">
        <f>ROUNDUP(MAX(I976/IF(BS976&gt;0,BS976,MAX(0.1,N(Cockpit!$I$6))),BV976)/BN976,0)*BN976</f>
        <v/>
      </c>
      <c r="AN976" s="56">
        <f>IF(AK976&gt;0,I976/AK976,-1)</f>
        <v/>
      </c>
      <c r="AO976" s="56">
        <f>IF(AND(OR(BR976="L1",BR976="L23"),AK976&gt;0),SUMIFS($AK$7:$AK$1570,$BR$7:$BR$1570,BR976,$AN$7:$AN$1570,"&gt;"&amp;AN976)+SUMIFS($AK$7:$AK$1570,$BR$7:$BR$1570,BR976,$AN$7:$AN$1570,AN976,$BL$7:$BL$1570,"&lt;="&amp;BL976),"")</f>
        <v/>
      </c>
      <c r="AP976" s="65">
        <f>IF(AO976="",0,MAX(0,MIN(1,(IF(BR976="L1",Parameter!$K$5,Parameter!$K$6+Parameter!$K$7)-(AO976-AK976))/AK976)))</f>
        <v/>
      </c>
      <c r="AQ976" s="55">
        <f>IF(LEFT(Cockpit!$O$5,1)="A",G976,IF(BT976=1,BU976,IF(LEFT(Cockpit!$O$5,1)="B",AU976,MAX(AU976,G976))))</f>
        <v/>
      </c>
      <c r="AR976" s="55">
        <f>IF(BO976=1,0,ROUNDUP(AQ976/BN976,0))</f>
        <v/>
      </c>
      <c r="AS976" s="64">
        <f>IF(BO976=1,IF(AQ976&lt;=0,0,BP976*MAX(1,IF(G976&gt;0,AQ976/G976,1))),AR976*Q976)</f>
        <v/>
      </c>
      <c r="AT976" s="55">
        <f>AQ976*F976</f>
        <v/>
      </c>
      <c r="AU976" s="55">
        <f>ROUNDUP(MAX(I976/IF(BS976&gt;0,BS976,MAX(0.1,N(Cockpit!$O$6))),BV976)/BN976,0)*BN976</f>
        <v/>
      </c>
      <c r="AV976" s="56">
        <f>IF(AS976&gt;0,I976/AS976,-1)</f>
        <v/>
      </c>
      <c r="AW976" s="56">
        <f>IF(AND(OR(BR976="L1",BR976="L23"),AS976&gt;0),SUMIFS($AS$7:$AS$1570,$BR$7:$BR$1570,BR976,$AV$7:$AV$1570,"&gt;"&amp;AV976)+SUMIFS($AS$7:$AS$1570,$BR$7:$BR$1570,BR976,$AV$7:$AV$1570,AV976,$BL$7:$BL$1570,"&lt;="&amp;BL976),"")</f>
        <v/>
      </c>
      <c r="AX976" s="65">
        <f>IF(AW976="",0,MAX(0,MIN(1,(IF(BR976="L1",Parameter!$K$5,Parameter!$K$6+Parameter!$K$7)-(AW976-AS976))/AS976)))</f>
        <v/>
      </c>
      <c r="AY976" s="53">
        <f>IF(AC976&lt;=0,"",IF(BR976="Aussen","Aussenlager",IF(BR976="-","Nicht im Lift",IF(AH976&gt;=1,"Lift",IF(AH976&lt;=0,"Aussenlager","teilweise")))))</f>
        <v/>
      </c>
      <c r="AZ976" s="53">
        <f>IF(AK976&lt;=0,"",IF(BR976="Aussen","Aussenlager",IF(BR976="-","Nicht im Lift",IF(AP976&gt;=1,"Lift",IF(AP976&lt;=0,"Aussenlager","teilweise")))))</f>
        <v/>
      </c>
      <c r="BA976" s="53">
        <f>IF(AS976&lt;=0,"",IF(BR976="Aussen","Aussenlager",IF(BR976="-","Nicht im Lift",IF(AX976&gt;=1,"Lift",IF(AX976&lt;=0,"Aussenlager","teilweise")))))</f>
        <v/>
      </c>
      <c r="BB976" s="53">
        <f>IF(A976="","",IF(BK976=1,"Neu; ","")&amp;IF(AND(BK976=0,BF976&lt;0),"negativer Bestand (Export "&amp;BF976&amp;"); ","")&amp;IF(I976&lt;=0,"Kein Verbrauch; ","")&amp;IF(BO976=1,"Lose – Fläche geschätzt; ","")&amp;IF(G976&gt;AM976,"Überbestand "&amp;ROUND(G976-AM976,0)&amp;" Stk / CHF "&amp;ROUND((G976-AM976)*F976,0)&amp;"; ","")&amp;IF(AND(BT976=1,BU976&lt;BV976),"MAX &lt; MB+LG; ","")&amp;IF(AND(BZ976&gt;0,BY976*10&gt;BZ976),"zu hoch für Tablar; ","")&amp;IF(AND(BK976=0,OR(BT976=1,V976&lt;&gt;"",S976&lt;&gt;"",T976&lt;&gt;"",W976&lt;&gt;"")),"manuell übersteuert; ","")&amp;IF(AND(BO976=0,Q976=0),"Gebinde unbekannt; ","")&amp;IF(AND(BO976=0,N(T976)&lt;=0,N(P976)&lt;=0),"Menge pro Gebinde fehlt (Ist = 1 Gebinde); ","")&amp;BJ976)</f>
        <v/>
      </c>
      <c r="BC976" s="53" t="n"/>
      <c r="BD976" s="53" t="n"/>
      <c r="BE976" s="61" t="n"/>
      <c r="BF976" s="55" t="n">
        <v>-94</v>
      </c>
      <c r="BG976" s="55" t="n">
        <v>187</v>
      </c>
      <c r="BH976" s="54" t="n">
        <v>-74.49999999999994</v>
      </c>
      <c r="BI976" s="55" t="n">
        <v>145</v>
      </c>
      <c r="BJ976" s="53" t="inlineStr"/>
      <c r="BK976" s="58" t="n">
        <v>0</v>
      </c>
      <c r="BL976" s="58" t="n">
        <v>976</v>
      </c>
      <c r="BM976" s="53">
        <f>IF(S976&lt;&gt;"",UPPER(TRIM(S976)),IF(O976="","LOSE",O976))</f>
        <v/>
      </c>
      <c r="BN976" s="55">
        <f>IF(BM976="LOSE",1,IF(N(T976)&gt;0,T976,IF(N(P976)&gt;0,P976,MAX(1,G976))))</f>
        <v/>
      </c>
      <c r="BO976" s="58">
        <f>IF(BM976="LOSE",1,0)</f>
        <v/>
      </c>
      <c r="BP976" s="64">
        <f>IF(BO976=0,0,IF(N(R976)&gt;0,R976,IFERROR(VLOOKUP(D976,Parameter!$A$35:$C$64,3,0)+0,0)))</f>
        <v/>
      </c>
      <c r="BQ976" s="53">
        <f>IF(V976&lt;&gt;"",V976,U976)</f>
        <v/>
      </c>
      <c r="BR976" s="53">
        <f>IF(BQ976=1,"L1",IF(OR(BQ976=2,BQ976=3),"L23",IF(BQ976="Aussen","Aussen","-")))</f>
        <v/>
      </c>
      <c r="BS976" s="66">
        <f>IF(N(W976)&gt;0,W976,0)</f>
        <v/>
      </c>
      <c r="BT976" s="58">
        <f>IF(ISNUMBER(Z976),1,0)</f>
        <v/>
      </c>
      <c r="BU976" s="55">
        <f>N(Z976)</f>
        <v/>
      </c>
      <c r="BV976" s="55">
        <f>N(L976)+N(M976)</f>
        <v/>
      </c>
      <c r="BW976" s="55">
        <f>ROUNDUP(G976/BN976,0)</f>
        <v/>
      </c>
      <c r="BX976" s="55">
        <f>ROUNDUP(BU976/BN976,0)</f>
        <v/>
      </c>
      <c r="BY976" s="58">
        <f>IF(BO976=1,0,IFERROR(VLOOKUP(BM976,'Gebinde-Kategorie'!$A$5:$G$45,5,0)+0,0))</f>
        <v/>
      </c>
      <c r="BZ976" s="58">
        <f>IFERROR(IF(OR(BQ976=1,BQ976=2,BQ976=3),N(INDEX(Parameter!$I$5:$I$7,BQ976)),0),0)</f>
        <v/>
      </c>
    </row>
    <row r="977">
      <c r="A977" s="53" t="inlineStr">
        <is>
          <t>107105</t>
        </is>
      </c>
      <c r="B977" s="53" t="inlineStr">
        <is>
          <t>Sechskant-Schraubenzieher</t>
        </is>
      </c>
      <c r="C977" s="53" t="inlineStr">
        <is>
          <t>F</t>
        </is>
      </c>
      <c r="D977" s="53" t="inlineStr">
        <is>
          <t>KTL</t>
        </is>
      </c>
      <c r="E977" s="53" t="inlineStr">
        <is>
          <t>C</t>
        </is>
      </c>
      <c r="F977" s="54" t="n">
        <v>8.33</v>
      </c>
      <c r="G977" s="55">
        <f>MAX(0,IF(Parameter!$B$20="Jahresanfang 2025 + Export",BG977+BF977,BF977))</f>
        <v/>
      </c>
      <c r="H977" s="55">
        <f>G977*F977</f>
        <v/>
      </c>
      <c r="I977" s="55">
        <f>BI977*Parameter!$B$18</f>
        <v/>
      </c>
      <c r="J977" s="56" t="n">
        <v>8</v>
      </c>
      <c r="K977" s="57" t="n">
        <v>1</v>
      </c>
      <c r="L977" s="55" t="n">
        <v>0</v>
      </c>
      <c r="M977" s="55" t="n">
        <v>10</v>
      </c>
      <c r="N977" s="58" t="n">
        <v>17</v>
      </c>
      <c r="O977" s="53" t="inlineStr">
        <is>
          <t>S33</t>
        </is>
      </c>
      <c r="P977" s="55" t="n">
        <v>23</v>
      </c>
      <c r="Q977" s="59">
        <f>IF(BO977=1,0,IFERROR(VLOOKUP(BM977,'Gebinde-Kategorie'!$A$5:$G$45,6,0)+0,0))</f>
        <v/>
      </c>
      <c r="R977" s="60" t="n"/>
      <c r="S977" s="61" t="n"/>
      <c r="T977" s="61" t="n"/>
      <c r="U977" s="53">
        <f>IF(A977="","",IF(IFERROR(VLOOKUP(D977,Parameter!$A$35:$C$64,2,0),"Nein")="2+3",IF(ISNUMBER(SEARCH("grosser Artikel",BJ977)),2,IFERROR(VLOOKUP(BM977,Parameter!$F$35:$G$64,2,0),2)),IF(OR(IFERROR(VLOOKUP(D977,Parameter!$A$35:$C$64,2,0),"Nein")="Nein",IFERROR(VLOOKUP(D977,Parameter!$A$35:$C$64,2,0),"Nein")=""),"-",VLOOKUP(D977,Parameter!$A$35:$C$64,2,0))))</f>
        <v/>
      </c>
      <c r="V977" s="61" t="n"/>
      <c r="W977" s="62" t="n"/>
      <c r="X977" s="55">
        <f>AM977</f>
        <v/>
      </c>
      <c r="Y977" s="55">
        <f>MAX(AM977,G977)</f>
        <v/>
      </c>
      <c r="Z977" s="63" t="n"/>
      <c r="AA977" s="55">
        <f>IF(LEFT(Cockpit!$C$5,1)="A",G977,IF(BT977=1,BU977,IF(LEFT(Cockpit!$C$5,1)="B",AE977,MAX(AE977,G977))))</f>
        <v/>
      </c>
      <c r="AB977" s="55">
        <f>IF(BO977=1,0,ROUNDUP(AA977/BN977,0))</f>
        <v/>
      </c>
      <c r="AC977" s="64">
        <f>IF(BO977=1,IF(AA977&lt;=0,0,BP977*MAX(1,IF(G977&gt;0,AA977/G977,1))),AB977*Q977)</f>
        <v/>
      </c>
      <c r="AD977" s="55">
        <f>AA977*F977</f>
        <v/>
      </c>
      <c r="AE977" s="55">
        <f>ROUNDUP(MAX(I977/IF(BS977&gt;0,BS977,MAX(0.1,N(Cockpit!$C$6))),BV977)/BN977,0)*BN977</f>
        <v/>
      </c>
      <c r="AF977" s="56">
        <f>IF(AC977&gt;0,I977/AC977,-1)</f>
        <v/>
      </c>
      <c r="AG977" s="56">
        <f>IF(AND(OR(BR977="L1",BR977="L23"),AC977&gt;0),SUMIFS($AC$7:$AC$1570,$BR$7:$BR$1570,BR977,$AF$7:$AF$1570,"&gt;"&amp;AF977)+SUMIFS($AC$7:$AC$1570,$BR$7:$BR$1570,BR977,$AF$7:$AF$1570,AF977,$BL$7:$BL$1570,"&lt;="&amp;BL977),"")</f>
        <v/>
      </c>
      <c r="AH977" s="65">
        <f>IF(AG977="",0,MAX(0,MIN(1,(IF(BR977="L1",Parameter!$K$5,Parameter!$K$6+Parameter!$K$7)-(AG977-AC977))/AC977)))</f>
        <v/>
      </c>
      <c r="AI977" s="55">
        <f>IF(LEFT(Cockpit!$I$5,1)="A",G977,IF(BT977=1,BU977,IF(LEFT(Cockpit!$I$5,1)="B",AM977,MAX(AM977,G977))))</f>
        <v/>
      </c>
      <c r="AJ977" s="55">
        <f>IF(BO977=1,0,ROUNDUP(AI977/BN977,0))</f>
        <v/>
      </c>
      <c r="AK977" s="64">
        <f>IF(BO977=1,IF(AI977&lt;=0,0,BP977*MAX(1,IF(G977&gt;0,AI977/G977,1))),AJ977*Q977)</f>
        <v/>
      </c>
      <c r="AL977" s="55">
        <f>AI977*F977</f>
        <v/>
      </c>
      <c r="AM977" s="55">
        <f>ROUNDUP(MAX(I977/IF(BS977&gt;0,BS977,MAX(0.1,N(Cockpit!$I$6))),BV977)/BN977,0)*BN977</f>
        <v/>
      </c>
      <c r="AN977" s="56">
        <f>IF(AK977&gt;0,I977/AK977,-1)</f>
        <v/>
      </c>
      <c r="AO977" s="56">
        <f>IF(AND(OR(BR977="L1",BR977="L23"),AK977&gt;0),SUMIFS($AK$7:$AK$1570,$BR$7:$BR$1570,BR977,$AN$7:$AN$1570,"&gt;"&amp;AN977)+SUMIFS($AK$7:$AK$1570,$BR$7:$BR$1570,BR977,$AN$7:$AN$1570,AN977,$BL$7:$BL$1570,"&lt;="&amp;BL977),"")</f>
        <v/>
      </c>
      <c r="AP977" s="65">
        <f>IF(AO977="",0,MAX(0,MIN(1,(IF(BR977="L1",Parameter!$K$5,Parameter!$K$6+Parameter!$K$7)-(AO977-AK977))/AK977)))</f>
        <v/>
      </c>
      <c r="AQ977" s="55">
        <f>IF(LEFT(Cockpit!$O$5,1)="A",G977,IF(BT977=1,BU977,IF(LEFT(Cockpit!$O$5,1)="B",AU977,MAX(AU977,G977))))</f>
        <v/>
      </c>
      <c r="AR977" s="55">
        <f>IF(BO977=1,0,ROUNDUP(AQ977/BN977,0))</f>
        <v/>
      </c>
      <c r="AS977" s="64">
        <f>IF(BO977=1,IF(AQ977&lt;=0,0,BP977*MAX(1,IF(G977&gt;0,AQ977/G977,1))),AR977*Q977)</f>
        <v/>
      </c>
      <c r="AT977" s="55">
        <f>AQ977*F977</f>
        <v/>
      </c>
      <c r="AU977" s="55">
        <f>ROUNDUP(MAX(I977/IF(BS977&gt;0,BS977,MAX(0.1,N(Cockpit!$O$6))),BV977)/BN977,0)*BN977</f>
        <v/>
      </c>
      <c r="AV977" s="56">
        <f>IF(AS977&gt;0,I977/AS977,-1)</f>
        <v/>
      </c>
      <c r="AW977" s="56">
        <f>IF(AND(OR(BR977="L1",BR977="L23"),AS977&gt;0),SUMIFS($AS$7:$AS$1570,$BR$7:$BR$1570,BR977,$AV$7:$AV$1570,"&gt;"&amp;AV977)+SUMIFS($AS$7:$AS$1570,$BR$7:$BR$1570,BR977,$AV$7:$AV$1570,AV977,$BL$7:$BL$1570,"&lt;="&amp;BL977),"")</f>
        <v/>
      </c>
      <c r="AX977" s="65">
        <f>IF(AW977="",0,MAX(0,MIN(1,(IF(BR977="L1",Parameter!$K$5,Parameter!$K$6+Parameter!$K$7)-(AW977-AS977))/AS977)))</f>
        <v/>
      </c>
      <c r="AY977" s="53">
        <f>IF(AC977&lt;=0,"",IF(BR977="Aussen","Aussenlager",IF(BR977="-","Nicht im Lift",IF(AH977&gt;=1,"Lift",IF(AH977&lt;=0,"Aussenlager","teilweise")))))</f>
        <v/>
      </c>
      <c r="AZ977" s="53">
        <f>IF(AK977&lt;=0,"",IF(BR977="Aussen","Aussenlager",IF(BR977="-","Nicht im Lift",IF(AP977&gt;=1,"Lift",IF(AP977&lt;=0,"Aussenlager","teilweise")))))</f>
        <v/>
      </c>
      <c r="BA977" s="53">
        <f>IF(AS977&lt;=0,"",IF(BR977="Aussen","Aussenlager",IF(BR977="-","Nicht im Lift",IF(AX977&gt;=1,"Lift",IF(AX977&lt;=0,"Aussenlager","teilweise")))))</f>
        <v/>
      </c>
      <c r="BB977" s="53">
        <f>IF(A977="","",IF(BK977=1,"Neu; ","")&amp;IF(AND(BK977=0,BF977&lt;0),"negativer Bestand (Export "&amp;BF977&amp;"); ","")&amp;IF(I977&lt;=0,"Kein Verbrauch; ","")&amp;IF(BO977=1,"Lose – Fläche geschätzt; ","")&amp;IF(G977&gt;AM977,"Überbestand "&amp;ROUND(G977-AM977,0)&amp;" Stk / CHF "&amp;ROUND((G977-AM977)*F977,0)&amp;"; ","")&amp;IF(AND(BT977=1,BU977&lt;BV977),"MAX &lt; MB+LG; ","")&amp;IF(AND(BZ977&gt;0,BY977*10&gt;BZ977),"zu hoch für Tablar; ","")&amp;IF(AND(BK977=0,OR(BT977=1,V977&lt;&gt;"",S977&lt;&gt;"",T977&lt;&gt;"",W977&lt;&gt;"")),"manuell übersteuert; ","")&amp;IF(AND(BO977=0,Q977=0),"Gebinde unbekannt; ","")&amp;IF(AND(BO977=0,N(T977)&lt;=0,N(P977)&lt;=0),"Menge pro Gebinde fehlt (Ist = 1 Gebinde); ","")&amp;BJ977)</f>
        <v/>
      </c>
      <c r="BC977" s="53" t="n"/>
      <c r="BD977" s="53" t="n"/>
      <c r="BE977" s="61" t="n"/>
      <c r="BF977" s="55" t="n">
        <v>-9</v>
      </c>
      <c r="BG977" s="55" t="n">
        <v>12</v>
      </c>
      <c r="BH977" s="54" t="n">
        <v>-74.97000000000001</v>
      </c>
      <c r="BI977" s="55" t="n">
        <v>8</v>
      </c>
      <c r="BJ977" s="53" t="inlineStr"/>
      <c r="BK977" s="58" t="n">
        <v>0</v>
      </c>
      <c r="BL977" s="58" t="n">
        <v>977</v>
      </c>
      <c r="BM977" s="53">
        <f>IF(S977&lt;&gt;"",UPPER(TRIM(S977)),IF(O977="","LOSE",O977))</f>
        <v/>
      </c>
      <c r="BN977" s="55">
        <f>IF(BM977="LOSE",1,IF(N(T977)&gt;0,T977,IF(N(P977)&gt;0,P977,MAX(1,G977))))</f>
        <v/>
      </c>
      <c r="BO977" s="58">
        <f>IF(BM977="LOSE",1,0)</f>
        <v/>
      </c>
      <c r="BP977" s="64">
        <f>IF(BO977=0,0,IF(N(R977)&gt;0,R977,IFERROR(VLOOKUP(D977,Parameter!$A$35:$C$64,3,0)+0,0)))</f>
        <v/>
      </c>
      <c r="BQ977" s="53">
        <f>IF(V977&lt;&gt;"",V977,U977)</f>
        <v/>
      </c>
      <c r="BR977" s="53">
        <f>IF(BQ977=1,"L1",IF(OR(BQ977=2,BQ977=3),"L23",IF(BQ977="Aussen","Aussen","-")))</f>
        <v/>
      </c>
      <c r="BS977" s="66">
        <f>IF(N(W977)&gt;0,W977,0)</f>
        <v/>
      </c>
      <c r="BT977" s="58">
        <f>IF(ISNUMBER(Z977),1,0)</f>
        <v/>
      </c>
      <c r="BU977" s="55">
        <f>N(Z977)</f>
        <v/>
      </c>
      <c r="BV977" s="55">
        <f>N(L977)+N(M977)</f>
        <v/>
      </c>
      <c r="BW977" s="55">
        <f>ROUNDUP(G977/BN977,0)</f>
        <v/>
      </c>
      <c r="BX977" s="55">
        <f>ROUNDUP(BU977/BN977,0)</f>
        <v/>
      </c>
      <c r="BY977" s="58">
        <f>IF(BO977=1,0,IFERROR(VLOOKUP(BM977,'Gebinde-Kategorie'!$A$5:$G$45,5,0)+0,0))</f>
        <v/>
      </c>
      <c r="BZ977" s="58">
        <f>IFERROR(IF(OR(BQ977=1,BQ977=2,BQ977=3),N(INDEX(Parameter!$I$5:$I$7,BQ977)),0),0)</f>
        <v/>
      </c>
    </row>
    <row r="978">
      <c r="A978" s="53" t="inlineStr">
        <is>
          <t>105455</t>
        </is>
      </c>
      <c r="B978" s="53" t="inlineStr">
        <is>
          <t>Pop-Niete</t>
        </is>
      </c>
      <c r="C978" s="53" t="inlineStr">
        <is>
          <t>F</t>
        </is>
      </c>
      <c r="D978" s="53" t="inlineStr">
        <is>
          <t>KTL</t>
        </is>
      </c>
      <c r="E978" s="53" t="inlineStr">
        <is>
          <t>C</t>
        </is>
      </c>
      <c r="F978" s="54" t="n">
        <v>0.63</v>
      </c>
      <c r="G978" s="55">
        <f>MAX(0,IF(Parameter!$B$20="Jahresanfang 2025 + Export",BG978+BF978,BF978))</f>
        <v/>
      </c>
      <c r="H978" s="55">
        <f>G978*F978</f>
        <v/>
      </c>
      <c r="I978" s="55">
        <f>BI978*Parameter!$B$18</f>
        <v/>
      </c>
      <c r="J978" s="56" t="n">
        <v>60</v>
      </c>
      <c r="K978" s="57" t="n">
        <v>0</v>
      </c>
      <c r="L978" s="55" t="n">
        <v>0</v>
      </c>
      <c r="M978" s="55" t="n">
        <v>1</v>
      </c>
      <c r="N978" s="58" t="n">
        <v>14</v>
      </c>
      <c r="O978" s="53" t="inlineStr">
        <is>
          <t>LOSE</t>
        </is>
      </c>
      <c r="P978" s="55" t="n"/>
      <c r="Q978" s="59">
        <f>IF(BO978=1,0,IFERROR(VLOOKUP(BM978,'Gebinde-Kategorie'!$A$5:$G$45,6,0)+0,0))</f>
        <v/>
      </c>
      <c r="R978" s="60" t="n"/>
      <c r="S978" s="61" t="n"/>
      <c r="T978" s="61" t="n"/>
      <c r="U978" s="53">
        <f>IF(A978="","",IF(IFERROR(VLOOKUP(D978,Parameter!$A$35:$C$64,2,0),"Nein")="2+3",IF(ISNUMBER(SEARCH("grosser Artikel",BJ978)),2,IFERROR(VLOOKUP(BM978,Parameter!$F$35:$G$64,2,0),2)),IF(OR(IFERROR(VLOOKUP(D978,Parameter!$A$35:$C$64,2,0),"Nein")="Nein",IFERROR(VLOOKUP(D978,Parameter!$A$35:$C$64,2,0),"Nein")=""),"-",VLOOKUP(D978,Parameter!$A$35:$C$64,2,0))))</f>
        <v/>
      </c>
      <c r="V978" s="61" t="n"/>
      <c r="W978" s="62" t="n"/>
      <c r="X978" s="55">
        <f>AM978</f>
        <v/>
      </c>
      <c r="Y978" s="55">
        <f>MAX(AM978,G978)</f>
        <v/>
      </c>
      <c r="Z978" s="63" t="n"/>
      <c r="AA978" s="55">
        <f>IF(LEFT(Cockpit!$C$5,1)="A",G978,IF(BT978=1,BU978,IF(LEFT(Cockpit!$C$5,1)="B",AE978,MAX(AE978,G978))))</f>
        <v/>
      </c>
      <c r="AB978" s="55">
        <f>IF(BO978=1,0,ROUNDUP(AA978/BN978,0))</f>
        <v/>
      </c>
      <c r="AC978" s="64">
        <f>IF(BO978=1,IF(AA978&lt;=0,0,BP978*MAX(1,IF(G978&gt;0,AA978/G978,1))),AB978*Q978)</f>
        <v/>
      </c>
      <c r="AD978" s="55">
        <f>AA978*F978</f>
        <v/>
      </c>
      <c r="AE978" s="55">
        <f>ROUNDUP(MAX(I978/IF(BS978&gt;0,BS978,MAX(0.1,N(Cockpit!$C$6))),BV978)/BN978,0)*BN978</f>
        <v/>
      </c>
      <c r="AF978" s="56">
        <f>IF(AC978&gt;0,I978/AC978,-1)</f>
        <v/>
      </c>
      <c r="AG978" s="56">
        <f>IF(AND(OR(BR978="L1",BR978="L23"),AC978&gt;0),SUMIFS($AC$7:$AC$1570,$BR$7:$BR$1570,BR978,$AF$7:$AF$1570,"&gt;"&amp;AF978)+SUMIFS($AC$7:$AC$1570,$BR$7:$BR$1570,BR978,$AF$7:$AF$1570,AF978,$BL$7:$BL$1570,"&lt;="&amp;BL978),"")</f>
        <v/>
      </c>
      <c r="AH978" s="65">
        <f>IF(AG978="",0,MAX(0,MIN(1,(IF(BR978="L1",Parameter!$K$5,Parameter!$K$6+Parameter!$K$7)-(AG978-AC978))/AC978)))</f>
        <v/>
      </c>
      <c r="AI978" s="55">
        <f>IF(LEFT(Cockpit!$I$5,1)="A",G978,IF(BT978=1,BU978,IF(LEFT(Cockpit!$I$5,1)="B",AM978,MAX(AM978,G978))))</f>
        <v/>
      </c>
      <c r="AJ978" s="55">
        <f>IF(BO978=1,0,ROUNDUP(AI978/BN978,0))</f>
        <v/>
      </c>
      <c r="AK978" s="64">
        <f>IF(BO978=1,IF(AI978&lt;=0,0,BP978*MAX(1,IF(G978&gt;0,AI978/G978,1))),AJ978*Q978)</f>
        <v/>
      </c>
      <c r="AL978" s="55">
        <f>AI978*F978</f>
        <v/>
      </c>
      <c r="AM978" s="55">
        <f>ROUNDUP(MAX(I978/IF(BS978&gt;0,BS978,MAX(0.1,N(Cockpit!$I$6))),BV978)/BN978,0)*BN978</f>
        <v/>
      </c>
      <c r="AN978" s="56">
        <f>IF(AK978&gt;0,I978/AK978,-1)</f>
        <v/>
      </c>
      <c r="AO978" s="56">
        <f>IF(AND(OR(BR978="L1",BR978="L23"),AK978&gt;0),SUMIFS($AK$7:$AK$1570,$BR$7:$BR$1570,BR978,$AN$7:$AN$1570,"&gt;"&amp;AN978)+SUMIFS($AK$7:$AK$1570,$BR$7:$BR$1570,BR978,$AN$7:$AN$1570,AN978,$BL$7:$BL$1570,"&lt;="&amp;BL978),"")</f>
        <v/>
      </c>
      <c r="AP978" s="65">
        <f>IF(AO978="",0,MAX(0,MIN(1,(IF(BR978="L1",Parameter!$K$5,Parameter!$K$6+Parameter!$K$7)-(AO978-AK978))/AK978)))</f>
        <v/>
      </c>
      <c r="AQ978" s="55">
        <f>IF(LEFT(Cockpit!$O$5,1)="A",G978,IF(BT978=1,BU978,IF(LEFT(Cockpit!$O$5,1)="B",AU978,MAX(AU978,G978))))</f>
        <v/>
      </c>
      <c r="AR978" s="55">
        <f>IF(BO978=1,0,ROUNDUP(AQ978/BN978,0))</f>
        <v/>
      </c>
      <c r="AS978" s="64">
        <f>IF(BO978=1,IF(AQ978&lt;=0,0,BP978*MAX(1,IF(G978&gt;0,AQ978/G978,1))),AR978*Q978)</f>
        <v/>
      </c>
      <c r="AT978" s="55">
        <f>AQ978*F978</f>
        <v/>
      </c>
      <c r="AU978" s="55">
        <f>ROUNDUP(MAX(I978/IF(BS978&gt;0,BS978,MAX(0.1,N(Cockpit!$O$6))),BV978)/BN978,0)*BN978</f>
        <v/>
      </c>
      <c r="AV978" s="56">
        <f>IF(AS978&gt;0,I978/AS978,-1)</f>
        <v/>
      </c>
      <c r="AW978" s="56">
        <f>IF(AND(OR(BR978="L1",BR978="L23"),AS978&gt;0),SUMIFS($AS$7:$AS$1570,$BR$7:$BR$1570,BR978,$AV$7:$AV$1570,"&gt;"&amp;AV978)+SUMIFS($AS$7:$AS$1570,$BR$7:$BR$1570,BR978,$AV$7:$AV$1570,AV978,$BL$7:$BL$1570,"&lt;="&amp;BL978),"")</f>
        <v/>
      </c>
      <c r="AX978" s="65">
        <f>IF(AW978="",0,MAX(0,MIN(1,(IF(BR978="L1",Parameter!$K$5,Parameter!$K$6+Parameter!$K$7)-(AW978-AS978))/AS978)))</f>
        <v/>
      </c>
      <c r="AY978" s="53">
        <f>IF(AC978&lt;=0,"",IF(BR978="Aussen","Aussenlager",IF(BR978="-","Nicht im Lift",IF(AH978&gt;=1,"Lift",IF(AH978&lt;=0,"Aussenlager","teilweise")))))</f>
        <v/>
      </c>
      <c r="AZ978" s="53">
        <f>IF(AK978&lt;=0,"",IF(BR978="Aussen","Aussenlager",IF(BR978="-","Nicht im Lift",IF(AP978&gt;=1,"Lift",IF(AP978&lt;=0,"Aussenlager","teilweise")))))</f>
        <v/>
      </c>
      <c r="BA978" s="53">
        <f>IF(AS978&lt;=0,"",IF(BR978="Aussen","Aussenlager",IF(BR978="-","Nicht im Lift",IF(AX978&gt;=1,"Lift",IF(AX978&lt;=0,"Aussenlager","teilweise")))))</f>
        <v/>
      </c>
      <c r="BB978" s="53">
        <f>IF(A978="","",IF(BK978=1,"Neu; ","")&amp;IF(AND(BK978=0,BF978&lt;0),"negativer Bestand (Export "&amp;BF978&amp;"); ","")&amp;IF(I978&lt;=0,"Kein Verbrauch; ","")&amp;IF(BO978=1,"Lose – Fläche geschätzt; ","")&amp;IF(G978&gt;AM978,"Überbestand "&amp;ROUND(G978-AM978,0)&amp;" Stk / CHF "&amp;ROUND((G978-AM978)*F978,0)&amp;"; ","")&amp;IF(AND(BT978=1,BU978&lt;BV978),"MAX &lt; MB+LG; ","")&amp;IF(AND(BZ978&gt;0,BY978*10&gt;BZ978),"zu hoch für Tablar; ","")&amp;IF(AND(BK978=0,OR(BT978=1,V978&lt;&gt;"",S978&lt;&gt;"",T978&lt;&gt;"",W978&lt;&gt;"")),"manuell übersteuert; ","")&amp;IF(AND(BO978=0,Q978=0),"Gebinde unbekannt; ","")&amp;IF(AND(BO978=0,N(T978)&lt;=0,N(P978)&lt;=0),"Menge pro Gebinde fehlt (Ist = 1 Gebinde); ","")&amp;BJ978)</f>
        <v/>
      </c>
      <c r="BC978" s="53" t="n"/>
      <c r="BD978" s="53" t="n"/>
      <c r="BE978" s="61" t="n"/>
      <c r="BF978" s="55" t="n">
        <v>-120</v>
      </c>
      <c r="BG978" s="55" t="n">
        <v>120</v>
      </c>
      <c r="BH978" s="54" t="n">
        <v>-75.59999999999999</v>
      </c>
      <c r="BI978" s="55" t="n">
        <v>0</v>
      </c>
      <c r="BJ978" s="53" t="inlineStr"/>
      <c r="BK978" s="58" t="n">
        <v>0</v>
      </c>
      <c r="BL978" s="58" t="n">
        <v>978</v>
      </c>
      <c r="BM978" s="53">
        <f>IF(S978&lt;&gt;"",UPPER(TRIM(S978)),IF(O978="","LOSE",O978))</f>
        <v/>
      </c>
      <c r="BN978" s="55">
        <f>IF(BM978="LOSE",1,IF(N(T978)&gt;0,T978,IF(N(P978)&gt;0,P978,MAX(1,G978))))</f>
        <v/>
      </c>
      <c r="BO978" s="58">
        <f>IF(BM978="LOSE",1,0)</f>
        <v/>
      </c>
      <c r="BP978" s="64">
        <f>IF(BO978=0,0,IF(N(R978)&gt;0,R978,IFERROR(VLOOKUP(D978,Parameter!$A$35:$C$64,3,0)+0,0)))</f>
        <v/>
      </c>
      <c r="BQ978" s="53">
        <f>IF(V978&lt;&gt;"",V978,U978)</f>
        <v/>
      </c>
      <c r="BR978" s="53">
        <f>IF(BQ978=1,"L1",IF(OR(BQ978=2,BQ978=3),"L23",IF(BQ978="Aussen","Aussen","-")))</f>
        <v/>
      </c>
      <c r="BS978" s="66">
        <f>IF(N(W978)&gt;0,W978,0)</f>
        <v/>
      </c>
      <c r="BT978" s="58">
        <f>IF(ISNUMBER(Z978),1,0)</f>
        <v/>
      </c>
      <c r="BU978" s="55">
        <f>N(Z978)</f>
        <v/>
      </c>
      <c r="BV978" s="55">
        <f>N(L978)+N(M978)</f>
        <v/>
      </c>
      <c r="BW978" s="55">
        <f>ROUNDUP(G978/BN978,0)</f>
        <v/>
      </c>
      <c r="BX978" s="55">
        <f>ROUNDUP(BU978/BN978,0)</f>
        <v/>
      </c>
      <c r="BY978" s="58">
        <f>IF(BO978=1,0,IFERROR(VLOOKUP(BM978,'Gebinde-Kategorie'!$A$5:$G$45,5,0)+0,0))</f>
        <v/>
      </c>
      <c r="BZ978" s="58">
        <f>IFERROR(IF(OR(BQ978=1,BQ978=2,BQ978=3),N(INDEX(Parameter!$I$5:$I$7,BQ978)),0),0)</f>
        <v/>
      </c>
    </row>
    <row r="979">
      <c r="A979" s="53" t="inlineStr">
        <is>
          <t>005746</t>
        </is>
      </c>
      <c r="B979" s="53" t="inlineStr">
        <is>
          <t>Set Blockierelemente</t>
        </is>
      </c>
      <c r="C979" s="53" t="inlineStr">
        <is>
          <t>F</t>
        </is>
      </c>
      <c r="D979" s="53" t="inlineStr">
        <is>
          <t>KTL</t>
        </is>
      </c>
      <c r="E979" s="53" t="inlineStr">
        <is>
          <t>C</t>
        </is>
      </c>
      <c r="F979" s="54" t="n">
        <v>37.82</v>
      </c>
      <c r="G979" s="55">
        <f>MAX(0,IF(Parameter!$B$20="Jahresanfang 2025 + Export",BG979+BF979,BF979))</f>
        <v/>
      </c>
      <c r="H979" s="55">
        <f>G979*F979</f>
        <v/>
      </c>
      <c r="I979" s="55">
        <f>BI979*Parameter!$B$18</f>
        <v/>
      </c>
      <c r="J979" s="56" t="n">
        <v>3.5</v>
      </c>
      <c r="K979" s="57" t="n">
        <v>0.8571428571428571</v>
      </c>
      <c r="L979" s="55" t="n">
        <v>0</v>
      </c>
      <c r="M979" s="55" t="n">
        <v>5</v>
      </c>
      <c r="N979" s="58" t="n">
        <v>70</v>
      </c>
      <c r="O979" s="53" t="inlineStr">
        <is>
          <t>S41</t>
        </is>
      </c>
      <c r="P979" s="55" t="n">
        <v>5</v>
      </c>
      <c r="Q979" s="59">
        <f>IF(BO979=1,0,IFERROR(VLOOKUP(BM979,'Gebinde-Kategorie'!$A$5:$G$45,6,0)+0,0))</f>
        <v/>
      </c>
      <c r="R979" s="60" t="n"/>
      <c r="S979" s="61" t="n"/>
      <c r="T979" s="61" t="n"/>
      <c r="U979" s="53">
        <f>IF(A979="","",IF(IFERROR(VLOOKUP(D979,Parameter!$A$35:$C$64,2,0),"Nein")="2+3",IF(ISNUMBER(SEARCH("grosser Artikel",BJ979)),2,IFERROR(VLOOKUP(BM979,Parameter!$F$35:$G$64,2,0),2)),IF(OR(IFERROR(VLOOKUP(D979,Parameter!$A$35:$C$64,2,0),"Nein")="Nein",IFERROR(VLOOKUP(D979,Parameter!$A$35:$C$64,2,0),"Nein")=""),"-",VLOOKUP(D979,Parameter!$A$35:$C$64,2,0))))</f>
        <v/>
      </c>
      <c r="V979" s="61" t="n"/>
      <c r="W979" s="62" t="n"/>
      <c r="X979" s="55">
        <f>AM979</f>
        <v/>
      </c>
      <c r="Y979" s="55">
        <f>MAX(AM979,G979)</f>
        <v/>
      </c>
      <c r="Z979" s="63" t="n"/>
      <c r="AA979" s="55">
        <f>IF(LEFT(Cockpit!$C$5,1)="A",G979,IF(BT979=1,BU979,IF(LEFT(Cockpit!$C$5,1)="B",AE979,MAX(AE979,G979))))</f>
        <v/>
      </c>
      <c r="AB979" s="55">
        <f>IF(BO979=1,0,ROUNDUP(AA979/BN979,0))</f>
        <v/>
      </c>
      <c r="AC979" s="64">
        <f>IF(BO979=1,IF(AA979&lt;=0,0,BP979*MAX(1,IF(G979&gt;0,AA979/G979,1))),AB979*Q979)</f>
        <v/>
      </c>
      <c r="AD979" s="55">
        <f>AA979*F979</f>
        <v/>
      </c>
      <c r="AE979" s="55">
        <f>ROUNDUP(MAX(I979/IF(BS979&gt;0,BS979,MAX(0.1,N(Cockpit!$C$6))),BV979)/BN979,0)*BN979</f>
        <v/>
      </c>
      <c r="AF979" s="56">
        <f>IF(AC979&gt;0,I979/AC979,-1)</f>
        <v/>
      </c>
      <c r="AG979" s="56">
        <f>IF(AND(OR(BR979="L1",BR979="L23"),AC979&gt;0),SUMIFS($AC$7:$AC$1570,$BR$7:$BR$1570,BR979,$AF$7:$AF$1570,"&gt;"&amp;AF979)+SUMIFS($AC$7:$AC$1570,$BR$7:$BR$1570,BR979,$AF$7:$AF$1570,AF979,$BL$7:$BL$1570,"&lt;="&amp;BL979),"")</f>
        <v/>
      </c>
      <c r="AH979" s="65">
        <f>IF(AG979="",0,MAX(0,MIN(1,(IF(BR979="L1",Parameter!$K$5,Parameter!$K$6+Parameter!$K$7)-(AG979-AC979))/AC979)))</f>
        <v/>
      </c>
      <c r="AI979" s="55">
        <f>IF(LEFT(Cockpit!$I$5,1)="A",G979,IF(BT979=1,BU979,IF(LEFT(Cockpit!$I$5,1)="B",AM979,MAX(AM979,G979))))</f>
        <v/>
      </c>
      <c r="AJ979" s="55">
        <f>IF(BO979=1,0,ROUNDUP(AI979/BN979,0))</f>
        <v/>
      </c>
      <c r="AK979" s="64">
        <f>IF(BO979=1,IF(AI979&lt;=0,0,BP979*MAX(1,IF(G979&gt;0,AI979/G979,1))),AJ979*Q979)</f>
        <v/>
      </c>
      <c r="AL979" s="55">
        <f>AI979*F979</f>
        <v/>
      </c>
      <c r="AM979" s="55">
        <f>ROUNDUP(MAX(I979/IF(BS979&gt;0,BS979,MAX(0.1,N(Cockpit!$I$6))),BV979)/BN979,0)*BN979</f>
        <v/>
      </c>
      <c r="AN979" s="56">
        <f>IF(AK979&gt;0,I979/AK979,-1)</f>
        <v/>
      </c>
      <c r="AO979" s="56">
        <f>IF(AND(OR(BR979="L1",BR979="L23"),AK979&gt;0),SUMIFS($AK$7:$AK$1570,$BR$7:$BR$1570,BR979,$AN$7:$AN$1570,"&gt;"&amp;AN979)+SUMIFS($AK$7:$AK$1570,$BR$7:$BR$1570,BR979,$AN$7:$AN$1570,AN979,$BL$7:$BL$1570,"&lt;="&amp;BL979),"")</f>
        <v/>
      </c>
      <c r="AP979" s="65">
        <f>IF(AO979="",0,MAX(0,MIN(1,(IF(BR979="L1",Parameter!$K$5,Parameter!$K$6+Parameter!$K$7)-(AO979-AK979))/AK979)))</f>
        <v/>
      </c>
      <c r="AQ979" s="55">
        <f>IF(LEFT(Cockpit!$O$5,1)="A",G979,IF(BT979=1,BU979,IF(LEFT(Cockpit!$O$5,1)="B",AU979,MAX(AU979,G979))))</f>
        <v/>
      </c>
      <c r="AR979" s="55">
        <f>IF(BO979=1,0,ROUNDUP(AQ979/BN979,0))</f>
        <v/>
      </c>
      <c r="AS979" s="64">
        <f>IF(BO979=1,IF(AQ979&lt;=0,0,BP979*MAX(1,IF(G979&gt;0,AQ979/G979,1))),AR979*Q979)</f>
        <v/>
      </c>
      <c r="AT979" s="55">
        <f>AQ979*F979</f>
        <v/>
      </c>
      <c r="AU979" s="55">
        <f>ROUNDUP(MAX(I979/IF(BS979&gt;0,BS979,MAX(0.1,N(Cockpit!$O$6))),BV979)/BN979,0)*BN979</f>
        <v/>
      </c>
      <c r="AV979" s="56">
        <f>IF(AS979&gt;0,I979/AS979,-1)</f>
        <v/>
      </c>
      <c r="AW979" s="56">
        <f>IF(AND(OR(BR979="L1",BR979="L23"),AS979&gt;0),SUMIFS($AS$7:$AS$1570,$BR$7:$BR$1570,BR979,$AV$7:$AV$1570,"&gt;"&amp;AV979)+SUMIFS($AS$7:$AS$1570,$BR$7:$BR$1570,BR979,$AV$7:$AV$1570,AV979,$BL$7:$BL$1570,"&lt;="&amp;BL979),"")</f>
        <v/>
      </c>
      <c r="AX979" s="65">
        <f>IF(AW979="",0,MAX(0,MIN(1,(IF(BR979="L1",Parameter!$K$5,Parameter!$K$6+Parameter!$K$7)-(AW979-AS979))/AS979)))</f>
        <v/>
      </c>
      <c r="AY979" s="53">
        <f>IF(AC979&lt;=0,"",IF(BR979="Aussen","Aussenlager",IF(BR979="-","Nicht im Lift",IF(AH979&gt;=1,"Lift",IF(AH979&lt;=0,"Aussenlager","teilweise")))))</f>
        <v/>
      </c>
      <c r="AZ979" s="53">
        <f>IF(AK979&lt;=0,"",IF(BR979="Aussen","Aussenlager",IF(BR979="-","Nicht im Lift",IF(AP979&gt;=1,"Lift",IF(AP979&lt;=0,"Aussenlager","teilweise")))))</f>
        <v/>
      </c>
      <c r="BA979" s="53">
        <f>IF(AS979&lt;=0,"",IF(BR979="Aussen","Aussenlager",IF(BR979="-","Nicht im Lift",IF(AX979&gt;=1,"Lift",IF(AX979&lt;=0,"Aussenlager","teilweise")))))</f>
        <v/>
      </c>
      <c r="BB979" s="53">
        <f>IF(A979="","",IF(BK979=1,"Neu; ","")&amp;IF(AND(BK979=0,BF979&lt;0),"negativer Bestand (Export "&amp;BF979&amp;"); ","")&amp;IF(I979&lt;=0,"Kein Verbrauch; ","")&amp;IF(BO979=1,"Lose – Fläche geschätzt; ","")&amp;IF(G979&gt;AM979,"Überbestand "&amp;ROUND(G979-AM979,0)&amp;" Stk / CHF "&amp;ROUND((G979-AM979)*F979,0)&amp;"; ","")&amp;IF(AND(BT979=1,BU979&lt;BV979),"MAX &lt; MB+LG; ","")&amp;IF(AND(BZ979&gt;0,BY979*10&gt;BZ979),"zu hoch für Tablar; ","")&amp;IF(AND(BK979=0,OR(BT979=1,V979&lt;&gt;"",S979&lt;&gt;"",T979&lt;&gt;"",W979&lt;&gt;"")),"manuell übersteuert; ","")&amp;IF(AND(BO979=0,Q979=0),"Gebinde unbekannt; ","")&amp;IF(AND(BO979=0,N(T979)&lt;=0,N(P979)&lt;=0),"Menge pro Gebinde fehlt (Ist = 1 Gebinde); ","")&amp;BJ979)</f>
        <v/>
      </c>
      <c r="BC979" s="53" t="n"/>
      <c r="BD979" s="53" t="n"/>
      <c r="BE979" s="61" t="n"/>
      <c r="BF979" s="55" t="n">
        <v>-2</v>
      </c>
      <c r="BG979" s="55" t="n">
        <v>5</v>
      </c>
      <c r="BH979" s="54" t="n">
        <v>-75.63999999999999</v>
      </c>
      <c r="BI979" s="55" t="n">
        <v>3</v>
      </c>
      <c r="BJ979" s="53" t="inlineStr">
        <is>
          <t>Überbestand</t>
        </is>
      </c>
      <c r="BK979" s="58" t="n">
        <v>0</v>
      </c>
      <c r="BL979" s="58" t="n">
        <v>979</v>
      </c>
      <c r="BM979" s="53">
        <f>IF(S979&lt;&gt;"",UPPER(TRIM(S979)),IF(O979="","LOSE",O979))</f>
        <v/>
      </c>
      <c r="BN979" s="55">
        <f>IF(BM979="LOSE",1,IF(N(T979)&gt;0,T979,IF(N(P979)&gt;0,P979,MAX(1,G979))))</f>
        <v/>
      </c>
      <c r="BO979" s="58">
        <f>IF(BM979="LOSE",1,0)</f>
        <v/>
      </c>
      <c r="BP979" s="64">
        <f>IF(BO979=0,0,IF(N(R979)&gt;0,R979,IFERROR(VLOOKUP(D979,Parameter!$A$35:$C$64,3,0)+0,0)))</f>
        <v/>
      </c>
      <c r="BQ979" s="53">
        <f>IF(V979&lt;&gt;"",V979,U979)</f>
        <v/>
      </c>
      <c r="BR979" s="53">
        <f>IF(BQ979=1,"L1",IF(OR(BQ979=2,BQ979=3),"L23",IF(BQ979="Aussen","Aussen","-")))</f>
        <v/>
      </c>
      <c r="BS979" s="66">
        <f>IF(N(W979)&gt;0,W979,0)</f>
        <v/>
      </c>
      <c r="BT979" s="58">
        <f>IF(ISNUMBER(Z979),1,0)</f>
        <v/>
      </c>
      <c r="BU979" s="55">
        <f>N(Z979)</f>
        <v/>
      </c>
      <c r="BV979" s="55">
        <f>N(L979)+N(M979)</f>
        <v/>
      </c>
      <c r="BW979" s="55">
        <f>ROUNDUP(G979/BN979,0)</f>
        <v/>
      </c>
      <c r="BX979" s="55">
        <f>ROUNDUP(BU979/BN979,0)</f>
        <v/>
      </c>
      <c r="BY979" s="58">
        <f>IF(BO979=1,0,IFERROR(VLOOKUP(BM979,'Gebinde-Kategorie'!$A$5:$G$45,5,0)+0,0))</f>
        <v/>
      </c>
      <c r="BZ979" s="58">
        <f>IFERROR(IF(OR(BQ979=1,BQ979=2,BQ979=3),N(INDEX(Parameter!$I$5:$I$7,BQ979)),0),0)</f>
        <v/>
      </c>
    </row>
    <row r="980">
      <c r="A980" s="53" t="inlineStr">
        <is>
          <t>002037</t>
        </is>
      </c>
      <c r="B980" s="53" t="inlineStr">
        <is>
          <t>Ersatzklingen zu Universalmesser</t>
        </is>
      </c>
      <c r="C980" s="53" t="inlineStr">
        <is>
          <t>A</t>
        </is>
      </c>
      <c r="D980" s="53" t="inlineStr">
        <is>
          <t>KTL</t>
        </is>
      </c>
      <c r="E980" s="53" t="inlineStr">
        <is>
          <t>C</t>
        </is>
      </c>
      <c r="F980" s="54" t="n">
        <v>4.45</v>
      </c>
      <c r="G980" s="55">
        <f>MAX(0,IF(Parameter!$B$20="Jahresanfang 2025 + Export",BG980+BF980,BF980))</f>
        <v/>
      </c>
      <c r="H980" s="55">
        <f>G980*F980</f>
        <v/>
      </c>
      <c r="I980" s="55">
        <f>BI980*Parameter!$B$18</f>
        <v/>
      </c>
      <c r="J980" s="56" t="n">
        <v>110</v>
      </c>
      <c r="K980" s="57" t="n">
        <v>0</v>
      </c>
      <c r="L980" s="55" t="n">
        <v>0</v>
      </c>
      <c r="M980" s="55" t="n">
        <v>1</v>
      </c>
      <c r="N980" s="58" t="n">
        <v>14</v>
      </c>
      <c r="O980" s="53" t="inlineStr">
        <is>
          <t>S32</t>
        </is>
      </c>
      <c r="P980" s="55" t="n">
        <v>20</v>
      </c>
      <c r="Q980" s="59">
        <f>IF(BO980=1,0,IFERROR(VLOOKUP(BM980,'Gebinde-Kategorie'!$A$5:$G$45,6,0)+0,0))</f>
        <v/>
      </c>
      <c r="R980" s="60" t="n"/>
      <c r="S980" s="61" t="n"/>
      <c r="T980" s="61" t="n"/>
      <c r="U980" s="53">
        <f>IF(A980="","",IF(IFERROR(VLOOKUP(D980,Parameter!$A$35:$C$64,2,0),"Nein")="2+3",IF(ISNUMBER(SEARCH("grosser Artikel",BJ980)),2,IFERROR(VLOOKUP(BM980,Parameter!$F$35:$G$64,2,0),2)),IF(OR(IFERROR(VLOOKUP(D980,Parameter!$A$35:$C$64,2,0),"Nein")="Nein",IFERROR(VLOOKUP(D980,Parameter!$A$35:$C$64,2,0),"Nein")=""),"-",VLOOKUP(D980,Parameter!$A$35:$C$64,2,0))))</f>
        <v/>
      </c>
      <c r="V980" s="61" t="n"/>
      <c r="W980" s="62" t="n"/>
      <c r="X980" s="55">
        <f>AM980</f>
        <v/>
      </c>
      <c r="Y980" s="55">
        <f>MAX(AM980,G980)</f>
        <v/>
      </c>
      <c r="Z980" s="63" t="n"/>
      <c r="AA980" s="55">
        <f>IF(LEFT(Cockpit!$C$5,1)="A",G980,IF(BT980=1,BU980,IF(LEFT(Cockpit!$C$5,1)="B",AE980,MAX(AE980,G980))))</f>
        <v/>
      </c>
      <c r="AB980" s="55">
        <f>IF(BO980=1,0,ROUNDUP(AA980/BN980,0))</f>
        <v/>
      </c>
      <c r="AC980" s="64">
        <f>IF(BO980=1,IF(AA980&lt;=0,0,BP980*MAX(1,IF(G980&gt;0,AA980/G980,1))),AB980*Q980)</f>
        <v/>
      </c>
      <c r="AD980" s="55">
        <f>AA980*F980</f>
        <v/>
      </c>
      <c r="AE980" s="55">
        <f>ROUNDUP(MAX(I980/IF(BS980&gt;0,BS980,MAX(0.1,N(Cockpit!$C$6))),BV980)/BN980,0)*BN980</f>
        <v/>
      </c>
      <c r="AF980" s="56">
        <f>IF(AC980&gt;0,I980/AC980,-1)</f>
        <v/>
      </c>
      <c r="AG980" s="56">
        <f>IF(AND(OR(BR980="L1",BR980="L23"),AC980&gt;0),SUMIFS($AC$7:$AC$1570,$BR$7:$BR$1570,BR980,$AF$7:$AF$1570,"&gt;"&amp;AF980)+SUMIFS($AC$7:$AC$1570,$BR$7:$BR$1570,BR980,$AF$7:$AF$1570,AF980,$BL$7:$BL$1570,"&lt;="&amp;BL980),"")</f>
        <v/>
      </c>
      <c r="AH980" s="65">
        <f>IF(AG980="",0,MAX(0,MIN(1,(IF(BR980="L1",Parameter!$K$5,Parameter!$K$6+Parameter!$K$7)-(AG980-AC980))/AC980)))</f>
        <v/>
      </c>
      <c r="AI980" s="55">
        <f>IF(LEFT(Cockpit!$I$5,1)="A",G980,IF(BT980=1,BU980,IF(LEFT(Cockpit!$I$5,1)="B",AM980,MAX(AM980,G980))))</f>
        <v/>
      </c>
      <c r="AJ980" s="55">
        <f>IF(BO980=1,0,ROUNDUP(AI980/BN980,0))</f>
        <v/>
      </c>
      <c r="AK980" s="64">
        <f>IF(BO980=1,IF(AI980&lt;=0,0,BP980*MAX(1,IF(G980&gt;0,AI980/G980,1))),AJ980*Q980)</f>
        <v/>
      </c>
      <c r="AL980" s="55">
        <f>AI980*F980</f>
        <v/>
      </c>
      <c r="AM980" s="55">
        <f>ROUNDUP(MAX(I980/IF(BS980&gt;0,BS980,MAX(0.1,N(Cockpit!$I$6))),BV980)/BN980,0)*BN980</f>
        <v/>
      </c>
      <c r="AN980" s="56">
        <f>IF(AK980&gt;0,I980/AK980,-1)</f>
        <v/>
      </c>
      <c r="AO980" s="56">
        <f>IF(AND(OR(BR980="L1",BR980="L23"),AK980&gt;0),SUMIFS($AK$7:$AK$1570,$BR$7:$BR$1570,BR980,$AN$7:$AN$1570,"&gt;"&amp;AN980)+SUMIFS($AK$7:$AK$1570,$BR$7:$BR$1570,BR980,$AN$7:$AN$1570,AN980,$BL$7:$BL$1570,"&lt;="&amp;BL980),"")</f>
        <v/>
      </c>
      <c r="AP980" s="65">
        <f>IF(AO980="",0,MAX(0,MIN(1,(IF(BR980="L1",Parameter!$K$5,Parameter!$K$6+Parameter!$K$7)-(AO980-AK980))/AK980)))</f>
        <v/>
      </c>
      <c r="AQ980" s="55">
        <f>IF(LEFT(Cockpit!$O$5,1)="A",G980,IF(BT980=1,BU980,IF(LEFT(Cockpit!$O$5,1)="B",AU980,MAX(AU980,G980))))</f>
        <v/>
      </c>
      <c r="AR980" s="55">
        <f>IF(BO980=1,0,ROUNDUP(AQ980/BN980,0))</f>
        <v/>
      </c>
      <c r="AS980" s="64">
        <f>IF(BO980=1,IF(AQ980&lt;=0,0,BP980*MAX(1,IF(G980&gt;0,AQ980/G980,1))),AR980*Q980)</f>
        <v/>
      </c>
      <c r="AT980" s="55">
        <f>AQ980*F980</f>
        <v/>
      </c>
      <c r="AU980" s="55">
        <f>ROUNDUP(MAX(I980/IF(BS980&gt;0,BS980,MAX(0.1,N(Cockpit!$O$6))),BV980)/BN980,0)*BN980</f>
        <v/>
      </c>
      <c r="AV980" s="56">
        <f>IF(AS980&gt;0,I980/AS980,-1)</f>
        <v/>
      </c>
      <c r="AW980" s="56">
        <f>IF(AND(OR(BR980="L1",BR980="L23"),AS980&gt;0),SUMIFS($AS$7:$AS$1570,$BR$7:$BR$1570,BR980,$AV$7:$AV$1570,"&gt;"&amp;AV980)+SUMIFS($AS$7:$AS$1570,$BR$7:$BR$1570,BR980,$AV$7:$AV$1570,AV980,$BL$7:$BL$1570,"&lt;="&amp;BL980),"")</f>
        <v/>
      </c>
      <c r="AX980" s="65">
        <f>IF(AW980="",0,MAX(0,MIN(1,(IF(BR980="L1",Parameter!$K$5,Parameter!$K$6+Parameter!$K$7)-(AW980-AS980))/AS980)))</f>
        <v/>
      </c>
      <c r="AY980" s="53">
        <f>IF(AC980&lt;=0,"",IF(BR980="Aussen","Aussenlager",IF(BR980="-","Nicht im Lift",IF(AH980&gt;=1,"Lift",IF(AH980&lt;=0,"Aussenlager","teilweise")))))</f>
        <v/>
      </c>
      <c r="AZ980" s="53">
        <f>IF(AK980&lt;=0,"",IF(BR980="Aussen","Aussenlager",IF(BR980="-","Nicht im Lift",IF(AP980&gt;=1,"Lift",IF(AP980&lt;=0,"Aussenlager","teilweise")))))</f>
        <v/>
      </c>
      <c r="BA980" s="53">
        <f>IF(AS980&lt;=0,"",IF(BR980="Aussen","Aussenlager",IF(BR980="-","Nicht im Lift",IF(AX980&gt;=1,"Lift",IF(AX980&lt;=0,"Aussenlager","teilweise")))))</f>
        <v/>
      </c>
      <c r="BB980" s="53">
        <f>IF(A980="","",IF(BK980=1,"Neu; ","")&amp;IF(AND(BK980=0,BF980&lt;0),"negativer Bestand (Export "&amp;BF980&amp;"); ","")&amp;IF(I980&lt;=0,"Kein Verbrauch; ","")&amp;IF(BO980=1,"Lose – Fläche geschätzt; ","")&amp;IF(G980&gt;AM980,"Überbestand "&amp;ROUND(G980-AM980,0)&amp;" Stk / CHF "&amp;ROUND((G980-AM980)*F980,0)&amp;"; ","")&amp;IF(AND(BT980=1,BU980&lt;BV980),"MAX &lt; MB+LG; ","")&amp;IF(AND(BZ980&gt;0,BY980*10&gt;BZ980),"zu hoch für Tablar; ","")&amp;IF(AND(BK980=0,OR(BT980=1,V980&lt;&gt;"",S980&lt;&gt;"",T980&lt;&gt;"",W980&lt;&gt;"")),"manuell übersteuert; ","")&amp;IF(AND(BO980=0,Q980=0),"Gebinde unbekannt; ","")&amp;IF(AND(BO980=0,N(T980)&lt;=0,N(P980)&lt;=0),"Menge pro Gebinde fehlt (Ist = 1 Gebinde); ","")&amp;BJ980)</f>
        <v/>
      </c>
      <c r="BC980" s="53" t="n"/>
      <c r="BD980" s="53" t="n"/>
      <c r="BE980" s="61" t="n"/>
      <c r="BF980" s="55" t="n">
        <v>-17</v>
      </c>
      <c r="BG980" s="55" t="n">
        <v>115</v>
      </c>
      <c r="BH980" s="54" t="n">
        <v>-75.65000000000001</v>
      </c>
      <c r="BI980" s="55" t="n">
        <v>0</v>
      </c>
      <c r="BJ980" s="53" t="inlineStr">
        <is>
          <t>Verb.Lager</t>
        </is>
      </c>
      <c r="BK980" s="58" t="n">
        <v>0</v>
      </c>
      <c r="BL980" s="58" t="n">
        <v>980</v>
      </c>
      <c r="BM980" s="53">
        <f>IF(S980&lt;&gt;"",UPPER(TRIM(S980)),IF(O980="","LOSE",O980))</f>
        <v/>
      </c>
      <c r="BN980" s="55">
        <f>IF(BM980="LOSE",1,IF(N(T980)&gt;0,T980,IF(N(P980)&gt;0,P980,MAX(1,G980))))</f>
        <v/>
      </c>
      <c r="BO980" s="58">
        <f>IF(BM980="LOSE",1,0)</f>
        <v/>
      </c>
      <c r="BP980" s="64">
        <f>IF(BO980=0,0,IF(N(R980)&gt;0,R980,IFERROR(VLOOKUP(D980,Parameter!$A$35:$C$64,3,0)+0,0)))</f>
        <v/>
      </c>
      <c r="BQ980" s="53">
        <f>IF(V980&lt;&gt;"",V980,U980)</f>
        <v/>
      </c>
      <c r="BR980" s="53">
        <f>IF(BQ980=1,"L1",IF(OR(BQ980=2,BQ980=3),"L23",IF(BQ980="Aussen","Aussen","-")))</f>
        <v/>
      </c>
      <c r="BS980" s="66">
        <f>IF(N(W980)&gt;0,W980,0)</f>
        <v/>
      </c>
      <c r="BT980" s="58">
        <f>IF(ISNUMBER(Z980),1,0)</f>
        <v/>
      </c>
      <c r="BU980" s="55">
        <f>N(Z980)</f>
        <v/>
      </c>
      <c r="BV980" s="55">
        <f>N(L980)+N(M980)</f>
        <v/>
      </c>
      <c r="BW980" s="55">
        <f>ROUNDUP(G980/BN980,0)</f>
        <v/>
      </c>
      <c r="BX980" s="55">
        <f>ROUNDUP(BU980/BN980,0)</f>
        <v/>
      </c>
      <c r="BY980" s="58">
        <f>IF(BO980=1,0,IFERROR(VLOOKUP(BM980,'Gebinde-Kategorie'!$A$5:$G$45,5,0)+0,0))</f>
        <v/>
      </c>
      <c r="BZ980" s="58">
        <f>IFERROR(IF(OR(BQ980=1,BQ980=2,BQ980=3),N(INDEX(Parameter!$I$5:$I$7,BQ980)),0),0)</f>
        <v/>
      </c>
    </row>
    <row r="981">
      <c r="A981" s="53" t="inlineStr">
        <is>
          <t>110008</t>
        </is>
      </c>
      <c r="B981" s="53" t="inlineStr">
        <is>
          <t>Adapter</t>
        </is>
      </c>
      <c r="C981" s="53" t="inlineStr">
        <is>
          <t>F</t>
        </is>
      </c>
      <c r="D981" s="53" t="inlineStr">
        <is>
          <t>KTL</t>
        </is>
      </c>
      <c r="E981" s="53" t="inlineStr">
        <is>
          <t>C</t>
        </is>
      </c>
      <c r="F981" s="54" t="n">
        <v>37.92</v>
      </c>
      <c r="G981" s="55">
        <f>MAX(0,IF(Parameter!$B$20="Jahresanfang 2025 + Export",BG981+BF981,BF981))</f>
        <v/>
      </c>
      <c r="H981" s="55">
        <f>G981*F981</f>
        <v/>
      </c>
      <c r="I981" s="55">
        <f>BI981*Parameter!$B$18</f>
        <v/>
      </c>
      <c r="J981" s="56" t="n">
        <v>19</v>
      </c>
      <c r="K981" s="57" t="n">
        <v>0.2105263157894737</v>
      </c>
      <c r="L981" s="55" t="n">
        <v>0</v>
      </c>
      <c r="M981" s="55" t="n">
        <v>5</v>
      </c>
      <c r="N981" s="58" t="n">
        <v>28</v>
      </c>
      <c r="O981" s="53" t="inlineStr">
        <is>
          <t>S22</t>
        </is>
      </c>
      <c r="P981" s="55" t="n">
        <v>20</v>
      </c>
      <c r="Q981" s="59">
        <f>IF(BO981=1,0,IFERROR(VLOOKUP(BM981,'Gebinde-Kategorie'!$A$5:$G$45,6,0)+0,0))</f>
        <v/>
      </c>
      <c r="R981" s="60" t="n"/>
      <c r="S981" s="61" t="n"/>
      <c r="T981" s="61" t="n"/>
      <c r="U981" s="53">
        <f>IF(A981="","",IF(IFERROR(VLOOKUP(D981,Parameter!$A$35:$C$64,2,0),"Nein")="2+3",IF(ISNUMBER(SEARCH("grosser Artikel",BJ981)),2,IFERROR(VLOOKUP(BM981,Parameter!$F$35:$G$64,2,0),2)),IF(OR(IFERROR(VLOOKUP(D981,Parameter!$A$35:$C$64,2,0),"Nein")="Nein",IFERROR(VLOOKUP(D981,Parameter!$A$35:$C$64,2,0),"Nein")=""),"-",VLOOKUP(D981,Parameter!$A$35:$C$64,2,0))))</f>
        <v/>
      </c>
      <c r="V981" s="61" t="n"/>
      <c r="W981" s="62" t="n"/>
      <c r="X981" s="55">
        <f>AM981</f>
        <v/>
      </c>
      <c r="Y981" s="55">
        <f>MAX(AM981,G981)</f>
        <v/>
      </c>
      <c r="Z981" s="63" t="n"/>
      <c r="AA981" s="55">
        <f>IF(LEFT(Cockpit!$C$5,1)="A",G981,IF(BT981=1,BU981,IF(LEFT(Cockpit!$C$5,1)="B",AE981,MAX(AE981,G981))))</f>
        <v/>
      </c>
      <c r="AB981" s="55">
        <f>IF(BO981=1,0,ROUNDUP(AA981/BN981,0))</f>
        <v/>
      </c>
      <c r="AC981" s="64">
        <f>IF(BO981=1,IF(AA981&lt;=0,0,BP981*MAX(1,IF(G981&gt;0,AA981/G981,1))),AB981*Q981)</f>
        <v/>
      </c>
      <c r="AD981" s="55">
        <f>AA981*F981</f>
        <v/>
      </c>
      <c r="AE981" s="55">
        <f>ROUNDUP(MAX(I981/IF(BS981&gt;0,BS981,MAX(0.1,N(Cockpit!$C$6))),BV981)/BN981,0)*BN981</f>
        <v/>
      </c>
      <c r="AF981" s="56">
        <f>IF(AC981&gt;0,I981/AC981,-1)</f>
        <v/>
      </c>
      <c r="AG981" s="56">
        <f>IF(AND(OR(BR981="L1",BR981="L23"),AC981&gt;0),SUMIFS($AC$7:$AC$1570,$BR$7:$BR$1570,BR981,$AF$7:$AF$1570,"&gt;"&amp;AF981)+SUMIFS($AC$7:$AC$1570,$BR$7:$BR$1570,BR981,$AF$7:$AF$1570,AF981,$BL$7:$BL$1570,"&lt;="&amp;BL981),"")</f>
        <v/>
      </c>
      <c r="AH981" s="65">
        <f>IF(AG981="",0,MAX(0,MIN(1,(IF(BR981="L1",Parameter!$K$5,Parameter!$K$6+Parameter!$K$7)-(AG981-AC981))/AC981)))</f>
        <v/>
      </c>
      <c r="AI981" s="55">
        <f>IF(LEFT(Cockpit!$I$5,1)="A",G981,IF(BT981=1,BU981,IF(LEFT(Cockpit!$I$5,1)="B",AM981,MAX(AM981,G981))))</f>
        <v/>
      </c>
      <c r="AJ981" s="55">
        <f>IF(BO981=1,0,ROUNDUP(AI981/BN981,0))</f>
        <v/>
      </c>
      <c r="AK981" s="64">
        <f>IF(BO981=1,IF(AI981&lt;=0,0,BP981*MAX(1,IF(G981&gt;0,AI981/G981,1))),AJ981*Q981)</f>
        <v/>
      </c>
      <c r="AL981" s="55">
        <f>AI981*F981</f>
        <v/>
      </c>
      <c r="AM981" s="55">
        <f>ROUNDUP(MAX(I981/IF(BS981&gt;0,BS981,MAX(0.1,N(Cockpit!$I$6))),BV981)/BN981,0)*BN981</f>
        <v/>
      </c>
      <c r="AN981" s="56">
        <f>IF(AK981&gt;0,I981/AK981,-1)</f>
        <v/>
      </c>
      <c r="AO981" s="56">
        <f>IF(AND(OR(BR981="L1",BR981="L23"),AK981&gt;0),SUMIFS($AK$7:$AK$1570,$BR$7:$BR$1570,BR981,$AN$7:$AN$1570,"&gt;"&amp;AN981)+SUMIFS($AK$7:$AK$1570,$BR$7:$BR$1570,BR981,$AN$7:$AN$1570,AN981,$BL$7:$BL$1570,"&lt;="&amp;BL981),"")</f>
        <v/>
      </c>
      <c r="AP981" s="65">
        <f>IF(AO981="",0,MAX(0,MIN(1,(IF(BR981="L1",Parameter!$K$5,Parameter!$K$6+Parameter!$K$7)-(AO981-AK981))/AK981)))</f>
        <v/>
      </c>
      <c r="AQ981" s="55">
        <f>IF(LEFT(Cockpit!$O$5,1)="A",G981,IF(BT981=1,BU981,IF(LEFT(Cockpit!$O$5,1)="B",AU981,MAX(AU981,G981))))</f>
        <v/>
      </c>
      <c r="AR981" s="55">
        <f>IF(BO981=1,0,ROUNDUP(AQ981/BN981,0))</f>
        <v/>
      </c>
      <c r="AS981" s="64">
        <f>IF(BO981=1,IF(AQ981&lt;=0,0,BP981*MAX(1,IF(G981&gt;0,AQ981/G981,1))),AR981*Q981)</f>
        <v/>
      </c>
      <c r="AT981" s="55">
        <f>AQ981*F981</f>
        <v/>
      </c>
      <c r="AU981" s="55">
        <f>ROUNDUP(MAX(I981/IF(BS981&gt;0,BS981,MAX(0.1,N(Cockpit!$O$6))),BV981)/BN981,0)*BN981</f>
        <v/>
      </c>
      <c r="AV981" s="56">
        <f>IF(AS981&gt;0,I981/AS981,-1)</f>
        <v/>
      </c>
      <c r="AW981" s="56">
        <f>IF(AND(OR(BR981="L1",BR981="L23"),AS981&gt;0),SUMIFS($AS$7:$AS$1570,$BR$7:$BR$1570,BR981,$AV$7:$AV$1570,"&gt;"&amp;AV981)+SUMIFS($AS$7:$AS$1570,$BR$7:$BR$1570,BR981,$AV$7:$AV$1570,AV981,$BL$7:$BL$1570,"&lt;="&amp;BL981),"")</f>
        <v/>
      </c>
      <c r="AX981" s="65">
        <f>IF(AW981="",0,MAX(0,MIN(1,(IF(BR981="L1",Parameter!$K$5,Parameter!$K$6+Parameter!$K$7)-(AW981-AS981))/AS981)))</f>
        <v/>
      </c>
      <c r="AY981" s="53">
        <f>IF(AC981&lt;=0,"",IF(BR981="Aussen","Aussenlager",IF(BR981="-","Nicht im Lift",IF(AH981&gt;=1,"Lift",IF(AH981&lt;=0,"Aussenlager","teilweise")))))</f>
        <v/>
      </c>
      <c r="AZ981" s="53">
        <f>IF(AK981&lt;=0,"",IF(BR981="Aussen","Aussenlager",IF(BR981="-","Nicht im Lift",IF(AP981&gt;=1,"Lift",IF(AP981&lt;=0,"Aussenlager","teilweise")))))</f>
        <v/>
      </c>
      <c r="BA981" s="53">
        <f>IF(AS981&lt;=0,"",IF(BR981="Aussen","Aussenlager",IF(BR981="-","Nicht im Lift",IF(AX981&gt;=1,"Lift",IF(AX981&lt;=0,"Aussenlager","teilweise")))))</f>
        <v/>
      </c>
      <c r="BB981" s="53">
        <f>IF(A981="","",IF(BK981=1,"Neu; ","")&amp;IF(AND(BK981=0,BF981&lt;0),"negativer Bestand (Export "&amp;BF981&amp;"); ","")&amp;IF(I981&lt;=0,"Kein Verbrauch; ","")&amp;IF(BO981=1,"Lose – Fläche geschätzt; ","")&amp;IF(G981&gt;AM981,"Überbestand "&amp;ROUND(G981-AM981,0)&amp;" Stk / CHF "&amp;ROUND((G981-AM981)*F981,0)&amp;"; ","")&amp;IF(AND(BT981=1,BU981&lt;BV981),"MAX &lt; MB+LG; ","")&amp;IF(AND(BZ981&gt;0,BY981*10&gt;BZ981),"zu hoch für Tablar; ","")&amp;IF(AND(BK981=0,OR(BT981=1,V981&lt;&gt;"",S981&lt;&gt;"",T981&lt;&gt;"",W981&lt;&gt;"")),"manuell übersteuert; ","")&amp;IF(AND(BO981=0,Q981=0),"Gebinde unbekannt; ","")&amp;IF(AND(BO981=0,N(T981)&lt;=0,N(P981)&lt;=0),"Menge pro Gebinde fehlt (Ist = 1 Gebinde); ","")&amp;BJ981)</f>
        <v/>
      </c>
      <c r="BC981" s="53" t="n"/>
      <c r="BD981" s="53" t="n"/>
      <c r="BE981" s="61" t="n"/>
      <c r="BF981" s="55" t="n">
        <v>-2</v>
      </c>
      <c r="BG981" s="55" t="n">
        <v>20</v>
      </c>
      <c r="BH981" s="54" t="n">
        <v>-75.84</v>
      </c>
      <c r="BI981" s="55" t="n">
        <v>4</v>
      </c>
      <c r="BJ981" s="53" t="inlineStr"/>
      <c r="BK981" s="58" t="n">
        <v>0</v>
      </c>
      <c r="BL981" s="58" t="n">
        <v>981</v>
      </c>
      <c r="BM981" s="53">
        <f>IF(S981&lt;&gt;"",UPPER(TRIM(S981)),IF(O981="","LOSE",O981))</f>
        <v/>
      </c>
      <c r="BN981" s="55">
        <f>IF(BM981="LOSE",1,IF(N(T981)&gt;0,T981,IF(N(P981)&gt;0,P981,MAX(1,G981))))</f>
        <v/>
      </c>
      <c r="BO981" s="58">
        <f>IF(BM981="LOSE",1,0)</f>
        <v/>
      </c>
      <c r="BP981" s="64">
        <f>IF(BO981=0,0,IF(N(R981)&gt;0,R981,IFERROR(VLOOKUP(D981,Parameter!$A$35:$C$64,3,0)+0,0)))</f>
        <v/>
      </c>
      <c r="BQ981" s="53">
        <f>IF(V981&lt;&gt;"",V981,U981)</f>
        <v/>
      </c>
      <c r="BR981" s="53">
        <f>IF(BQ981=1,"L1",IF(OR(BQ981=2,BQ981=3),"L23",IF(BQ981="Aussen","Aussen","-")))</f>
        <v/>
      </c>
      <c r="BS981" s="66">
        <f>IF(N(W981)&gt;0,W981,0)</f>
        <v/>
      </c>
      <c r="BT981" s="58">
        <f>IF(ISNUMBER(Z981),1,0)</f>
        <v/>
      </c>
      <c r="BU981" s="55">
        <f>N(Z981)</f>
        <v/>
      </c>
      <c r="BV981" s="55">
        <f>N(L981)+N(M981)</f>
        <v/>
      </c>
      <c r="BW981" s="55">
        <f>ROUNDUP(G981/BN981,0)</f>
        <v/>
      </c>
      <c r="BX981" s="55">
        <f>ROUNDUP(BU981/BN981,0)</f>
        <v/>
      </c>
      <c r="BY981" s="58">
        <f>IF(BO981=1,0,IFERROR(VLOOKUP(BM981,'Gebinde-Kategorie'!$A$5:$G$45,5,0)+0,0))</f>
        <v/>
      </c>
      <c r="BZ981" s="58">
        <f>IFERROR(IF(OR(BQ981=1,BQ981=2,BQ981=3),N(INDEX(Parameter!$I$5:$I$7,BQ981)),0),0)</f>
        <v/>
      </c>
    </row>
    <row r="982">
      <c r="A982" s="53" t="inlineStr">
        <is>
          <t>101395</t>
        </is>
      </c>
      <c r="B982" s="53" t="inlineStr">
        <is>
          <t>Zylinderschraube mit Innensechskant</t>
        </is>
      </c>
      <c r="C982" s="53" t="inlineStr">
        <is>
          <t>F</t>
        </is>
      </c>
      <c r="D982" s="53" t="inlineStr">
        <is>
          <t>KTL</t>
        </is>
      </c>
      <c r="E982" s="53" t="inlineStr">
        <is>
          <t>C</t>
        </is>
      </c>
      <c r="F982" s="54" t="n">
        <v>1.54</v>
      </c>
      <c r="G982" s="55">
        <f>MAX(0,IF(Parameter!$B$20="Jahresanfang 2025 + Export",BG982+BF982,BF982))</f>
        <v/>
      </c>
      <c r="H982" s="55">
        <f>G982*F982</f>
        <v/>
      </c>
      <c r="I982" s="55">
        <f>BI982*Parameter!$B$18</f>
        <v/>
      </c>
      <c r="J982" s="56" t="n">
        <v>225.5</v>
      </c>
      <c r="K982" s="57" t="n">
        <v>0.1862527716186253</v>
      </c>
      <c r="L982" s="55" t="n">
        <v>3</v>
      </c>
      <c r="M982" s="55" t="n">
        <v>40</v>
      </c>
      <c r="N982" s="58" t="n">
        <v>28</v>
      </c>
      <c r="O982" s="53" t="inlineStr">
        <is>
          <t>S51</t>
        </is>
      </c>
      <c r="P982" s="55" t="n">
        <v>196</v>
      </c>
      <c r="Q982" s="59">
        <f>IF(BO982=1,0,IFERROR(VLOOKUP(BM982,'Gebinde-Kategorie'!$A$5:$G$45,6,0)+0,0))</f>
        <v/>
      </c>
      <c r="R982" s="60" t="n"/>
      <c r="S982" s="61" t="n"/>
      <c r="T982" s="61" t="n"/>
      <c r="U982" s="53">
        <f>IF(A982="","",IF(IFERROR(VLOOKUP(D982,Parameter!$A$35:$C$64,2,0),"Nein")="2+3",IF(ISNUMBER(SEARCH("grosser Artikel",BJ982)),2,IFERROR(VLOOKUP(BM982,Parameter!$F$35:$G$64,2,0),2)),IF(OR(IFERROR(VLOOKUP(D982,Parameter!$A$35:$C$64,2,0),"Nein")="Nein",IFERROR(VLOOKUP(D982,Parameter!$A$35:$C$64,2,0),"Nein")=""),"-",VLOOKUP(D982,Parameter!$A$35:$C$64,2,0))))</f>
        <v/>
      </c>
      <c r="V982" s="61" t="n"/>
      <c r="W982" s="62" t="n"/>
      <c r="X982" s="55">
        <f>AM982</f>
        <v/>
      </c>
      <c r="Y982" s="55">
        <f>MAX(AM982,G982)</f>
        <v/>
      </c>
      <c r="Z982" s="63" t="n"/>
      <c r="AA982" s="55">
        <f>IF(LEFT(Cockpit!$C$5,1)="A",G982,IF(BT982=1,BU982,IF(LEFT(Cockpit!$C$5,1)="B",AE982,MAX(AE982,G982))))</f>
        <v/>
      </c>
      <c r="AB982" s="55">
        <f>IF(BO982=1,0,ROUNDUP(AA982/BN982,0))</f>
        <v/>
      </c>
      <c r="AC982" s="64">
        <f>IF(BO982=1,IF(AA982&lt;=0,0,BP982*MAX(1,IF(G982&gt;0,AA982/G982,1))),AB982*Q982)</f>
        <v/>
      </c>
      <c r="AD982" s="55">
        <f>AA982*F982</f>
        <v/>
      </c>
      <c r="AE982" s="55">
        <f>ROUNDUP(MAX(I982/IF(BS982&gt;0,BS982,MAX(0.1,N(Cockpit!$C$6))),BV982)/BN982,0)*BN982</f>
        <v/>
      </c>
      <c r="AF982" s="56">
        <f>IF(AC982&gt;0,I982/AC982,-1)</f>
        <v/>
      </c>
      <c r="AG982" s="56">
        <f>IF(AND(OR(BR982="L1",BR982="L23"),AC982&gt;0),SUMIFS($AC$7:$AC$1570,$BR$7:$BR$1570,BR982,$AF$7:$AF$1570,"&gt;"&amp;AF982)+SUMIFS($AC$7:$AC$1570,$BR$7:$BR$1570,BR982,$AF$7:$AF$1570,AF982,$BL$7:$BL$1570,"&lt;="&amp;BL982),"")</f>
        <v/>
      </c>
      <c r="AH982" s="65">
        <f>IF(AG982="",0,MAX(0,MIN(1,(IF(BR982="L1",Parameter!$K$5,Parameter!$K$6+Parameter!$K$7)-(AG982-AC982))/AC982)))</f>
        <v/>
      </c>
      <c r="AI982" s="55">
        <f>IF(LEFT(Cockpit!$I$5,1)="A",G982,IF(BT982=1,BU982,IF(LEFT(Cockpit!$I$5,1)="B",AM982,MAX(AM982,G982))))</f>
        <v/>
      </c>
      <c r="AJ982" s="55">
        <f>IF(BO982=1,0,ROUNDUP(AI982/BN982,0))</f>
        <v/>
      </c>
      <c r="AK982" s="64">
        <f>IF(BO982=1,IF(AI982&lt;=0,0,BP982*MAX(1,IF(G982&gt;0,AI982/G982,1))),AJ982*Q982)</f>
        <v/>
      </c>
      <c r="AL982" s="55">
        <f>AI982*F982</f>
        <v/>
      </c>
      <c r="AM982" s="55">
        <f>ROUNDUP(MAX(I982/IF(BS982&gt;0,BS982,MAX(0.1,N(Cockpit!$I$6))),BV982)/BN982,0)*BN982</f>
        <v/>
      </c>
      <c r="AN982" s="56">
        <f>IF(AK982&gt;0,I982/AK982,-1)</f>
        <v/>
      </c>
      <c r="AO982" s="56">
        <f>IF(AND(OR(BR982="L1",BR982="L23"),AK982&gt;0),SUMIFS($AK$7:$AK$1570,$BR$7:$BR$1570,BR982,$AN$7:$AN$1570,"&gt;"&amp;AN982)+SUMIFS($AK$7:$AK$1570,$BR$7:$BR$1570,BR982,$AN$7:$AN$1570,AN982,$BL$7:$BL$1570,"&lt;="&amp;BL982),"")</f>
        <v/>
      </c>
      <c r="AP982" s="65">
        <f>IF(AO982="",0,MAX(0,MIN(1,(IF(BR982="L1",Parameter!$K$5,Parameter!$K$6+Parameter!$K$7)-(AO982-AK982))/AK982)))</f>
        <v/>
      </c>
      <c r="AQ982" s="55">
        <f>IF(LEFT(Cockpit!$O$5,1)="A",G982,IF(BT982=1,BU982,IF(LEFT(Cockpit!$O$5,1)="B",AU982,MAX(AU982,G982))))</f>
        <v/>
      </c>
      <c r="AR982" s="55">
        <f>IF(BO982=1,0,ROUNDUP(AQ982/BN982,0))</f>
        <v/>
      </c>
      <c r="AS982" s="64">
        <f>IF(BO982=1,IF(AQ982&lt;=0,0,BP982*MAX(1,IF(G982&gt;0,AQ982/G982,1))),AR982*Q982)</f>
        <v/>
      </c>
      <c r="AT982" s="55">
        <f>AQ982*F982</f>
        <v/>
      </c>
      <c r="AU982" s="55">
        <f>ROUNDUP(MAX(I982/IF(BS982&gt;0,BS982,MAX(0.1,N(Cockpit!$O$6))),BV982)/BN982,0)*BN982</f>
        <v/>
      </c>
      <c r="AV982" s="56">
        <f>IF(AS982&gt;0,I982/AS982,-1)</f>
        <v/>
      </c>
      <c r="AW982" s="56">
        <f>IF(AND(OR(BR982="L1",BR982="L23"),AS982&gt;0),SUMIFS($AS$7:$AS$1570,$BR$7:$BR$1570,BR982,$AV$7:$AV$1570,"&gt;"&amp;AV982)+SUMIFS($AS$7:$AS$1570,$BR$7:$BR$1570,BR982,$AV$7:$AV$1570,AV982,$BL$7:$BL$1570,"&lt;="&amp;BL982),"")</f>
        <v/>
      </c>
      <c r="AX982" s="65">
        <f>IF(AW982="",0,MAX(0,MIN(1,(IF(BR982="L1",Parameter!$K$5,Parameter!$K$6+Parameter!$K$7)-(AW982-AS982))/AS982)))</f>
        <v/>
      </c>
      <c r="AY982" s="53">
        <f>IF(AC982&lt;=0,"",IF(BR982="Aussen","Aussenlager",IF(BR982="-","Nicht im Lift",IF(AH982&gt;=1,"Lift",IF(AH982&lt;=0,"Aussenlager","teilweise")))))</f>
        <v/>
      </c>
      <c r="AZ982" s="53">
        <f>IF(AK982&lt;=0,"",IF(BR982="Aussen","Aussenlager",IF(BR982="-","Nicht im Lift",IF(AP982&gt;=1,"Lift",IF(AP982&lt;=0,"Aussenlager","teilweise")))))</f>
        <v/>
      </c>
      <c r="BA982" s="53">
        <f>IF(AS982&lt;=0,"",IF(BR982="Aussen","Aussenlager",IF(BR982="-","Nicht im Lift",IF(AX982&gt;=1,"Lift",IF(AX982&lt;=0,"Aussenlager","teilweise")))))</f>
        <v/>
      </c>
      <c r="BB982" s="53">
        <f>IF(A982="","",IF(BK982=1,"Neu; ","")&amp;IF(AND(BK982=0,BF982&lt;0),"negativer Bestand (Export "&amp;BF982&amp;"); ","")&amp;IF(I982&lt;=0,"Kein Verbrauch; ","")&amp;IF(BO982=1,"Lose – Fläche geschätzt; ","")&amp;IF(G982&gt;AM982,"Überbestand "&amp;ROUND(G982-AM982,0)&amp;" Stk / CHF "&amp;ROUND((G982-AM982)*F982,0)&amp;"; ","")&amp;IF(AND(BT982=1,BU982&lt;BV982),"MAX &lt; MB+LG; ","")&amp;IF(AND(BZ982&gt;0,BY982*10&gt;BZ982),"zu hoch für Tablar; ","")&amp;IF(AND(BK982=0,OR(BT982=1,V982&lt;&gt;"",S982&lt;&gt;"",T982&lt;&gt;"",W982&lt;&gt;"")),"manuell übersteuert; ","")&amp;IF(AND(BO982=0,Q982=0),"Gebinde unbekannt; ","")&amp;IF(AND(BO982=0,N(T982)&lt;=0,N(P982)&lt;=0),"Menge pro Gebinde fehlt (Ist = 1 Gebinde); ","")&amp;BJ982)</f>
        <v/>
      </c>
      <c r="BC982" s="53" t="n"/>
      <c r="BD982" s="53" t="n"/>
      <c r="BE982" s="61" t="n"/>
      <c r="BF982" s="55" t="n">
        <v>-50</v>
      </c>
      <c r="BG982" s="55" t="n">
        <v>247</v>
      </c>
      <c r="BH982" s="54" t="n">
        <v>-77.00000000000003</v>
      </c>
      <c r="BI982" s="55" t="n">
        <v>42</v>
      </c>
      <c r="BJ982" s="53" t="inlineStr"/>
      <c r="BK982" s="58" t="n">
        <v>0</v>
      </c>
      <c r="BL982" s="58" t="n">
        <v>982</v>
      </c>
      <c r="BM982" s="53">
        <f>IF(S982&lt;&gt;"",UPPER(TRIM(S982)),IF(O982="","LOSE",O982))</f>
        <v/>
      </c>
      <c r="BN982" s="55">
        <f>IF(BM982="LOSE",1,IF(N(T982)&gt;0,T982,IF(N(P982)&gt;0,P982,MAX(1,G982))))</f>
        <v/>
      </c>
      <c r="BO982" s="58">
        <f>IF(BM982="LOSE",1,0)</f>
        <v/>
      </c>
      <c r="BP982" s="64">
        <f>IF(BO982=0,0,IF(N(R982)&gt;0,R982,IFERROR(VLOOKUP(D982,Parameter!$A$35:$C$64,3,0)+0,0)))</f>
        <v/>
      </c>
      <c r="BQ982" s="53">
        <f>IF(V982&lt;&gt;"",V982,U982)</f>
        <v/>
      </c>
      <c r="BR982" s="53">
        <f>IF(BQ982=1,"L1",IF(OR(BQ982=2,BQ982=3),"L23",IF(BQ982="Aussen","Aussen","-")))</f>
        <v/>
      </c>
      <c r="BS982" s="66">
        <f>IF(N(W982)&gt;0,W982,0)</f>
        <v/>
      </c>
      <c r="BT982" s="58">
        <f>IF(ISNUMBER(Z982),1,0)</f>
        <v/>
      </c>
      <c r="BU982" s="55">
        <f>N(Z982)</f>
        <v/>
      </c>
      <c r="BV982" s="55">
        <f>N(L982)+N(M982)</f>
        <v/>
      </c>
      <c r="BW982" s="55">
        <f>ROUNDUP(G982/BN982,0)</f>
        <v/>
      </c>
      <c r="BX982" s="55">
        <f>ROUNDUP(BU982/BN982,0)</f>
        <v/>
      </c>
      <c r="BY982" s="58">
        <f>IF(BO982=1,0,IFERROR(VLOOKUP(BM982,'Gebinde-Kategorie'!$A$5:$G$45,5,0)+0,0))</f>
        <v/>
      </c>
      <c r="BZ982" s="58">
        <f>IFERROR(IF(OR(BQ982=1,BQ982=2,BQ982=3),N(INDEX(Parameter!$I$5:$I$7,BQ982)),0),0)</f>
        <v/>
      </c>
    </row>
    <row r="983">
      <c r="A983" s="53" t="inlineStr">
        <is>
          <t>106616</t>
        </is>
      </c>
      <c r="B983" s="53" t="inlineStr">
        <is>
          <t>Blende</t>
        </is>
      </c>
      <c r="C983" s="53" t="inlineStr">
        <is>
          <t>F</t>
        </is>
      </c>
      <c r="D983" s="53" t="inlineStr">
        <is>
          <t>KTL</t>
        </is>
      </c>
      <c r="E983" s="53" t="inlineStr">
        <is>
          <t>C</t>
        </is>
      </c>
      <c r="F983" s="54" t="n">
        <v>1.66</v>
      </c>
      <c r="G983" s="55">
        <f>MAX(0,IF(Parameter!$B$20="Jahresanfang 2025 + Export",BG983+BF983,BF983))</f>
        <v/>
      </c>
      <c r="H983" s="55">
        <f>G983*F983</f>
        <v/>
      </c>
      <c r="I983" s="55">
        <f>BI983*Parameter!$B$18</f>
        <v/>
      </c>
      <c r="J983" s="56" t="n">
        <v>148</v>
      </c>
      <c r="K983" s="57" t="n">
        <v>2.094594594594595</v>
      </c>
      <c r="L983" s="55" t="n">
        <v>12</v>
      </c>
      <c r="M983" s="55" t="n">
        <v>310</v>
      </c>
      <c r="N983" s="58" t="n">
        <v>14</v>
      </c>
      <c r="O983" s="53" t="inlineStr">
        <is>
          <t>S21</t>
        </is>
      </c>
      <c r="P983" s="55" t="n">
        <v>74</v>
      </c>
      <c r="Q983" s="59">
        <f>IF(BO983=1,0,IFERROR(VLOOKUP(BM983,'Gebinde-Kategorie'!$A$5:$G$45,6,0)+0,0))</f>
        <v/>
      </c>
      <c r="R983" s="60" t="n"/>
      <c r="S983" s="61" t="n"/>
      <c r="T983" s="61" t="n"/>
      <c r="U983" s="53">
        <f>IF(A983="","",IF(IFERROR(VLOOKUP(D983,Parameter!$A$35:$C$64,2,0),"Nein")="2+3",IF(ISNUMBER(SEARCH("grosser Artikel",BJ983)),2,IFERROR(VLOOKUP(BM983,Parameter!$F$35:$G$64,2,0),2)),IF(OR(IFERROR(VLOOKUP(D983,Parameter!$A$35:$C$64,2,0),"Nein")="Nein",IFERROR(VLOOKUP(D983,Parameter!$A$35:$C$64,2,0),"Nein")=""),"-",VLOOKUP(D983,Parameter!$A$35:$C$64,2,0))))</f>
        <v/>
      </c>
      <c r="V983" s="61" t="n"/>
      <c r="W983" s="62" t="n"/>
      <c r="X983" s="55">
        <f>AM983</f>
        <v/>
      </c>
      <c r="Y983" s="55">
        <f>MAX(AM983,G983)</f>
        <v/>
      </c>
      <c r="Z983" s="63" t="n"/>
      <c r="AA983" s="55">
        <f>IF(LEFT(Cockpit!$C$5,1)="A",G983,IF(BT983=1,BU983,IF(LEFT(Cockpit!$C$5,1)="B",AE983,MAX(AE983,G983))))</f>
        <v/>
      </c>
      <c r="AB983" s="55">
        <f>IF(BO983=1,0,ROUNDUP(AA983/BN983,0))</f>
        <v/>
      </c>
      <c r="AC983" s="64">
        <f>IF(BO983=1,IF(AA983&lt;=0,0,BP983*MAX(1,IF(G983&gt;0,AA983/G983,1))),AB983*Q983)</f>
        <v/>
      </c>
      <c r="AD983" s="55">
        <f>AA983*F983</f>
        <v/>
      </c>
      <c r="AE983" s="55">
        <f>ROUNDUP(MAX(I983/IF(BS983&gt;0,BS983,MAX(0.1,N(Cockpit!$C$6))),BV983)/BN983,0)*BN983</f>
        <v/>
      </c>
      <c r="AF983" s="56">
        <f>IF(AC983&gt;0,I983/AC983,-1)</f>
        <v/>
      </c>
      <c r="AG983" s="56">
        <f>IF(AND(OR(BR983="L1",BR983="L23"),AC983&gt;0),SUMIFS($AC$7:$AC$1570,$BR$7:$BR$1570,BR983,$AF$7:$AF$1570,"&gt;"&amp;AF983)+SUMIFS($AC$7:$AC$1570,$BR$7:$BR$1570,BR983,$AF$7:$AF$1570,AF983,$BL$7:$BL$1570,"&lt;="&amp;BL983),"")</f>
        <v/>
      </c>
      <c r="AH983" s="65">
        <f>IF(AG983="",0,MAX(0,MIN(1,(IF(BR983="L1",Parameter!$K$5,Parameter!$K$6+Parameter!$K$7)-(AG983-AC983))/AC983)))</f>
        <v/>
      </c>
      <c r="AI983" s="55">
        <f>IF(LEFT(Cockpit!$I$5,1)="A",G983,IF(BT983=1,BU983,IF(LEFT(Cockpit!$I$5,1)="B",AM983,MAX(AM983,G983))))</f>
        <v/>
      </c>
      <c r="AJ983" s="55">
        <f>IF(BO983=1,0,ROUNDUP(AI983/BN983,0))</f>
        <v/>
      </c>
      <c r="AK983" s="64">
        <f>IF(BO983=1,IF(AI983&lt;=0,0,BP983*MAX(1,IF(G983&gt;0,AI983/G983,1))),AJ983*Q983)</f>
        <v/>
      </c>
      <c r="AL983" s="55">
        <f>AI983*F983</f>
        <v/>
      </c>
      <c r="AM983" s="55">
        <f>ROUNDUP(MAX(I983/IF(BS983&gt;0,BS983,MAX(0.1,N(Cockpit!$I$6))),BV983)/BN983,0)*BN983</f>
        <v/>
      </c>
      <c r="AN983" s="56">
        <f>IF(AK983&gt;0,I983/AK983,-1)</f>
        <v/>
      </c>
      <c r="AO983" s="56">
        <f>IF(AND(OR(BR983="L1",BR983="L23"),AK983&gt;0),SUMIFS($AK$7:$AK$1570,$BR$7:$BR$1570,BR983,$AN$7:$AN$1570,"&gt;"&amp;AN983)+SUMIFS($AK$7:$AK$1570,$BR$7:$BR$1570,BR983,$AN$7:$AN$1570,AN983,$BL$7:$BL$1570,"&lt;="&amp;BL983),"")</f>
        <v/>
      </c>
      <c r="AP983" s="65">
        <f>IF(AO983="",0,MAX(0,MIN(1,(IF(BR983="L1",Parameter!$K$5,Parameter!$K$6+Parameter!$K$7)-(AO983-AK983))/AK983)))</f>
        <v/>
      </c>
      <c r="AQ983" s="55">
        <f>IF(LEFT(Cockpit!$O$5,1)="A",G983,IF(BT983=1,BU983,IF(LEFT(Cockpit!$O$5,1)="B",AU983,MAX(AU983,G983))))</f>
        <v/>
      </c>
      <c r="AR983" s="55">
        <f>IF(BO983=1,0,ROUNDUP(AQ983/BN983,0))</f>
        <v/>
      </c>
      <c r="AS983" s="64">
        <f>IF(BO983=1,IF(AQ983&lt;=0,0,BP983*MAX(1,IF(G983&gt;0,AQ983/G983,1))),AR983*Q983)</f>
        <v/>
      </c>
      <c r="AT983" s="55">
        <f>AQ983*F983</f>
        <v/>
      </c>
      <c r="AU983" s="55">
        <f>ROUNDUP(MAX(I983/IF(BS983&gt;0,BS983,MAX(0.1,N(Cockpit!$O$6))),BV983)/BN983,0)*BN983</f>
        <v/>
      </c>
      <c r="AV983" s="56">
        <f>IF(AS983&gt;0,I983/AS983,-1)</f>
        <v/>
      </c>
      <c r="AW983" s="56">
        <f>IF(AND(OR(BR983="L1",BR983="L23"),AS983&gt;0),SUMIFS($AS$7:$AS$1570,$BR$7:$BR$1570,BR983,$AV$7:$AV$1570,"&gt;"&amp;AV983)+SUMIFS($AS$7:$AS$1570,$BR$7:$BR$1570,BR983,$AV$7:$AV$1570,AV983,$BL$7:$BL$1570,"&lt;="&amp;BL983),"")</f>
        <v/>
      </c>
      <c r="AX983" s="65">
        <f>IF(AW983="",0,MAX(0,MIN(1,(IF(BR983="L1",Parameter!$K$5,Parameter!$K$6+Parameter!$K$7)-(AW983-AS983))/AS983)))</f>
        <v/>
      </c>
      <c r="AY983" s="53">
        <f>IF(AC983&lt;=0,"",IF(BR983="Aussen","Aussenlager",IF(BR983="-","Nicht im Lift",IF(AH983&gt;=1,"Lift",IF(AH983&lt;=0,"Aussenlager","teilweise")))))</f>
        <v/>
      </c>
      <c r="AZ983" s="53">
        <f>IF(AK983&lt;=0,"",IF(BR983="Aussen","Aussenlager",IF(BR983="-","Nicht im Lift",IF(AP983&gt;=1,"Lift",IF(AP983&lt;=0,"Aussenlager","teilweise")))))</f>
        <v/>
      </c>
      <c r="BA983" s="53">
        <f>IF(AS983&lt;=0,"",IF(BR983="Aussen","Aussenlager",IF(BR983="-","Nicht im Lift",IF(AX983&gt;=1,"Lift",IF(AX983&lt;=0,"Aussenlager","teilweise")))))</f>
        <v/>
      </c>
      <c r="BB983" s="53">
        <f>IF(A983="","",IF(BK983=1,"Neu; ","")&amp;IF(AND(BK983=0,BF983&lt;0),"negativer Bestand (Export "&amp;BF983&amp;"); ","")&amp;IF(I983&lt;=0,"Kein Verbrauch; ","")&amp;IF(BO983=1,"Lose – Fläche geschätzt; ","")&amp;IF(G983&gt;AM983,"Überbestand "&amp;ROUND(G983-AM983,0)&amp;" Stk / CHF "&amp;ROUND((G983-AM983)*F983,0)&amp;"; ","")&amp;IF(AND(BT983=1,BU983&lt;BV983),"MAX &lt; MB+LG; ","")&amp;IF(AND(BZ983&gt;0,BY983*10&gt;BZ983),"zu hoch für Tablar; ","")&amp;IF(AND(BK983=0,OR(BT983=1,V983&lt;&gt;"",S983&lt;&gt;"",T983&lt;&gt;"",W983&lt;&gt;"")),"manuell übersteuert; ","")&amp;IF(AND(BO983=0,Q983=0),"Gebinde unbekannt; ","")&amp;IF(AND(BO983=0,N(T983)&lt;=0,N(P983)&lt;=0),"Menge pro Gebinde fehlt (Ist = 1 Gebinde); ","")&amp;BJ983)</f>
        <v/>
      </c>
      <c r="BC983" s="53" t="n"/>
      <c r="BD983" s="53" t="n"/>
      <c r="BE983" s="61" t="n"/>
      <c r="BF983" s="55" t="n">
        <v>-44</v>
      </c>
      <c r="BG983" s="55" t="n">
        <v>202</v>
      </c>
      <c r="BH983" s="54" t="n">
        <v>-77.07999999999993</v>
      </c>
      <c r="BI983" s="55" t="n">
        <v>310</v>
      </c>
      <c r="BJ983" s="53" t="inlineStr"/>
      <c r="BK983" s="58" t="n">
        <v>0</v>
      </c>
      <c r="BL983" s="58" t="n">
        <v>983</v>
      </c>
      <c r="BM983" s="53">
        <f>IF(S983&lt;&gt;"",UPPER(TRIM(S983)),IF(O983="","LOSE",O983))</f>
        <v/>
      </c>
      <c r="BN983" s="55">
        <f>IF(BM983="LOSE",1,IF(N(T983)&gt;0,T983,IF(N(P983)&gt;0,P983,MAX(1,G983))))</f>
        <v/>
      </c>
      <c r="BO983" s="58">
        <f>IF(BM983="LOSE",1,0)</f>
        <v/>
      </c>
      <c r="BP983" s="64">
        <f>IF(BO983=0,0,IF(N(R983)&gt;0,R983,IFERROR(VLOOKUP(D983,Parameter!$A$35:$C$64,3,0)+0,0)))</f>
        <v/>
      </c>
      <c r="BQ983" s="53">
        <f>IF(V983&lt;&gt;"",V983,U983)</f>
        <v/>
      </c>
      <c r="BR983" s="53">
        <f>IF(BQ983=1,"L1",IF(OR(BQ983=2,BQ983=3),"L23",IF(BQ983="Aussen","Aussen","-")))</f>
        <v/>
      </c>
      <c r="BS983" s="66">
        <f>IF(N(W983)&gt;0,W983,0)</f>
        <v/>
      </c>
      <c r="BT983" s="58">
        <f>IF(ISNUMBER(Z983),1,0)</f>
        <v/>
      </c>
      <c r="BU983" s="55">
        <f>N(Z983)</f>
        <v/>
      </c>
      <c r="BV983" s="55">
        <f>N(L983)+N(M983)</f>
        <v/>
      </c>
      <c r="BW983" s="55">
        <f>ROUNDUP(G983/BN983,0)</f>
        <v/>
      </c>
      <c r="BX983" s="55">
        <f>ROUNDUP(BU983/BN983,0)</f>
        <v/>
      </c>
      <c r="BY983" s="58">
        <f>IF(BO983=1,0,IFERROR(VLOOKUP(BM983,'Gebinde-Kategorie'!$A$5:$G$45,5,0)+0,0))</f>
        <v/>
      </c>
      <c r="BZ983" s="58">
        <f>IFERROR(IF(OR(BQ983=1,BQ983=2,BQ983=3),N(INDEX(Parameter!$I$5:$I$7,BQ983)),0),0)</f>
        <v/>
      </c>
    </row>
    <row r="984">
      <c r="A984" s="53" t="inlineStr">
        <is>
          <t>005485</t>
        </is>
      </c>
      <c r="B984" s="53" t="inlineStr">
        <is>
          <t>Einschraubadapter</t>
        </is>
      </c>
      <c r="C984" s="53" t="inlineStr">
        <is>
          <t>F</t>
        </is>
      </c>
      <c r="D984" s="53" t="inlineStr">
        <is>
          <t>KTL</t>
        </is>
      </c>
      <c r="E984" s="53" t="inlineStr">
        <is>
          <t>C</t>
        </is>
      </c>
      <c r="F984" s="54" t="n">
        <v>25.86</v>
      </c>
      <c r="G984" s="55">
        <f>MAX(0,IF(Parameter!$B$20="Jahresanfang 2025 + Export",BG984+BF984,BF984))</f>
        <v/>
      </c>
      <c r="H984" s="55">
        <f>G984*F984</f>
        <v/>
      </c>
      <c r="I984" s="55">
        <f>BI984*Parameter!$B$18</f>
        <v/>
      </c>
      <c r="J984" s="56" t="n">
        <v>62</v>
      </c>
      <c r="K984" s="57" t="n">
        <v>0</v>
      </c>
      <c r="L984" s="55" t="n">
        <v>0</v>
      </c>
      <c r="M984" s="55" t="n">
        <v>1</v>
      </c>
      <c r="N984" s="58" t="n">
        <v>14</v>
      </c>
      <c r="O984" s="53" t="inlineStr">
        <is>
          <t>S32</t>
        </is>
      </c>
      <c r="P984" s="55" t="n">
        <v>78</v>
      </c>
      <c r="Q984" s="59">
        <f>IF(BO984=1,0,IFERROR(VLOOKUP(BM984,'Gebinde-Kategorie'!$A$5:$G$45,6,0)+0,0))</f>
        <v/>
      </c>
      <c r="R984" s="60" t="n"/>
      <c r="S984" s="61" t="n"/>
      <c r="T984" s="61" t="n"/>
      <c r="U984" s="53">
        <f>IF(A984="","",IF(IFERROR(VLOOKUP(D984,Parameter!$A$35:$C$64,2,0),"Nein")="2+3",IF(ISNUMBER(SEARCH("grosser Artikel",BJ984)),2,IFERROR(VLOOKUP(BM984,Parameter!$F$35:$G$64,2,0),2)),IF(OR(IFERROR(VLOOKUP(D984,Parameter!$A$35:$C$64,2,0),"Nein")="Nein",IFERROR(VLOOKUP(D984,Parameter!$A$35:$C$64,2,0),"Nein")=""),"-",VLOOKUP(D984,Parameter!$A$35:$C$64,2,0))))</f>
        <v/>
      </c>
      <c r="V984" s="61" t="n"/>
      <c r="W984" s="62" t="n"/>
      <c r="X984" s="55">
        <f>AM984</f>
        <v/>
      </c>
      <c r="Y984" s="55">
        <f>MAX(AM984,G984)</f>
        <v/>
      </c>
      <c r="Z984" s="63" t="n"/>
      <c r="AA984" s="55">
        <f>IF(LEFT(Cockpit!$C$5,1)="A",G984,IF(BT984=1,BU984,IF(LEFT(Cockpit!$C$5,1)="B",AE984,MAX(AE984,G984))))</f>
        <v/>
      </c>
      <c r="AB984" s="55">
        <f>IF(BO984=1,0,ROUNDUP(AA984/BN984,0))</f>
        <v/>
      </c>
      <c r="AC984" s="64">
        <f>IF(BO984=1,IF(AA984&lt;=0,0,BP984*MAX(1,IF(G984&gt;0,AA984/G984,1))),AB984*Q984)</f>
        <v/>
      </c>
      <c r="AD984" s="55">
        <f>AA984*F984</f>
        <v/>
      </c>
      <c r="AE984" s="55">
        <f>ROUNDUP(MAX(I984/IF(BS984&gt;0,BS984,MAX(0.1,N(Cockpit!$C$6))),BV984)/BN984,0)*BN984</f>
        <v/>
      </c>
      <c r="AF984" s="56">
        <f>IF(AC984&gt;0,I984/AC984,-1)</f>
        <v/>
      </c>
      <c r="AG984" s="56">
        <f>IF(AND(OR(BR984="L1",BR984="L23"),AC984&gt;0),SUMIFS($AC$7:$AC$1570,$BR$7:$BR$1570,BR984,$AF$7:$AF$1570,"&gt;"&amp;AF984)+SUMIFS($AC$7:$AC$1570,$BR$7:$BR$1570,BR984,$AF$7:$AF$1570,AF984,$BL$7:$BL$1570,"&lt;="&amp;BL984),"")</f>
        <v/>
      </c>
      <c r="AH984" s="65">
        <f>IF(AG984="",0,MAX(0,MIN(1,(IF(BR984="L1",Parameter!$K$5,Parameter!$K$6+Parameter!$K$7)-(AG984-AC984))/AC984)))</f>
        <v/>
      </c>
      <c r="AI984" s="55">
        <f>IF(LEFT(Cockpit!$I$5,1)="A",G984,IF(BT984=1,BU984,IF(LEFT(Cockpit!$I$5,1)="B",AM984,MAX(AM984,G984))))</f>
        <v/>
      </c>
      <c r="AJ984" s="55">
        <f>IF(BO984=1,0,ROUNDUP(AI984/BN984,0))</f>
        <v/>
      </c>
      <c r="AK984" s="64">
        <f>IF(BO984=1,IF(AI984&lt;=0,0,BP984*MAX(1,IF(G984&gt;0,AI984/G984,1))),AJ984*Q984)</f>
        <v/>
      </c>
      <c r="AL984" s="55">
        <f>AI984*F984</f>
        <v/>
      </c>
      <c r="AM984" s="55">
        <f>ROUNDUP(MAX(I984/IF(BS984&gt;0,BS984,MAX(0.1,N(Cockpit!$I$6))),BV984)/BN984,0)*BN984</f>
        <v/>
      </c>
      <c r="AN984" s="56">
        <f>IF(AK984&gt;0,I984/AK984,-1)</f>
        <v/>
      </c>
      <c r="AO984" s="56">
        <f>IF(AND(OR(BR984="L1",BR984="L23"),AK984&gt;0),SUMIFS($AK$7:$AK$1570,$BR$7:$BR$1570,BR984,$AN$7:$AN$1570,"&gt;"&amp;AN984)+SUMIFS($AK$7:$AK$1570,$BR$7:$BR$1570,BR984,$AN$7:$AN$1570,AN984,$BL$7:$BL$1570,"&lt;="&amp;BL984),"")</f>
        <v/>
      </c>
      <c r="AP984" s="65">
        <f>IF(AO984="",0,MAX(0,MIN(1,(IF(BR984="L1",Parameter!$K$5,Parameter!$K$6+Parameter!$K$7)-(AO984-AK984))/AK984)))</f>
        <v/>
      </c>
      <c r="AQ984" s="55">
        <f>IF(LEFT(Cockpit!$O$5,1)="A",G984,IF(BT984=1,BU984,IF(LEFT(Cockpit!$O$5,1)="B",AU984,MAX(AU984,G984))))</f>
        <v/>
      </c>
      <c r="AR984" s="55">
        <f>IF(BO984=1,0,ROUNDUP(AQ984/BN984,0))</f>
        <v/>
      </c>
      <c r="AS984" s="64">
        <f>IF(BO984=1,IF(AQ984&lt;=0,0,BP984*MAX(1,IF(G984&gt;0,AQ984/G984,1))),AR984*Q984)</f>
        <v/>
      </c>
      <c r="AT984" s="55">
        <f>AQ984*F984</f>
        <v/>
      </c>
      <c r="AU984" s="55">
        <f>ROUNDUP(MAX(I984/IF(BS984&gt;0,BS984,MAX(0.1,N(Cockpit!$O$6))),BV984)/BN984,0)*BN984</f>
        <v/>
      </c>
      <c r="AV984" s="56">
        <f>IF(AS984&gt;0,I984/AS984,-1)</f>
        <v/>
      </c>
      <c r="AW984" s="56">
        <f>IF(AND(OR(BR984="L1",BR984="L23"),AS984&gt;0),SUMIFS($AS$7:$AS$1570,$BR$7:$BR$1570,BR984,$AV$7:$AV$1570,"&gt;"&amp;AV984)+SUMIFS($AS$7:$AS$1570,$BR$7:$BR$1570,BR984,$AV$7:$AV$1570,AV984,$BL$7:$BL$1570,"&lt;="&amp;BL984),"")</f>
        <v/>
      </c>
      <c r="AX984" s="65">
        <f>IF(AW984="",0,MAX(0,MIN(1,(IF(BR984="L1",Parameter!$K$5,Parameter!$K$6+Parameter!$K$7)-(AW984-AS984))/AS984)))</f>
        <v/>
      </c>
      <c r="AY984" s="53">
        <f>IF(AC984&lt;=0,"",IF(BR984="Aussen","Aussenlager",IF(BR984="-","Nicht im Lift",IF(AH984&gt;=1,"Lift",IF(AH984&lt;=0,"Aussenlager","teilweise")))))</f>
        <v/>
      </c>
      <c r="AZ984" s="53">
        <f>IF(AK984&lt;=0,"",IF(BR984="Aussen","Aussenlager",IF(BR984="-","Nicht im Lift",IF(AP984&gt;=1,"Lift",IF(AP984&lt;=0,"Aussenlager","teilweise")))))</f>
        <v/>
      </c>
      <c r="BA984" s="53">
        <f>IF(AS984&lt;=0,"",IF(BR984="Aussen","Aussenlager",IF(BR984="-","Nicht im Lift",IF(AX984&gt;=1,"Lift",IF(AX984&lt;=0,"Aussenlager","teilweise")))))</f>
        <v/>
      </c>
      <c r="BB984" s="53">
        <f>IF(A984="","",IF(BK984=1,"Neu; ","")&amp;IF(AND(BK984=0,BF984&lt;0),"negativer Bestand (Export "&amp;BF984&amp;"); ","")&amp;IF(I984&lt;=0,"Kein Verbrauch; ","")&amp;IF(BO984=1,"Lose – Fläche geschätzt; ","")&amp;IF(G984&gt;AM984,"Überbestand "&amp;ROUND(G984-AM984,0)&amp;" Stk / CHF "&amp;ROUND((G984-AM984)*F984,0)&amp;"; ","")&amp;IF(AND(BT984=1,BU984&lt;BV984),"MAX &lt; MB+LG; ","")&amp;IF(AND(BZ984&gt;0,BY984*10&gt;BZ984),"zu hoch für Tablar; ","")&amp;IF(AND(BK984=0,OR(BT984=1,V984&lt;&gt;"",S984&lt;&gt;"",T984&lt;&gt;"",W984&lt;&gt;"")),"manuell übersteuert; ","")&amp;IF(AND(BO984=0,Q984=0),"Gebinde unbekannt; ","")&amp;IF(AND(BO984=0,N(T984)&lt;=0,N(P984)&lt;=0),"Menge pro Gebinde fehlt (Ist = 1 Gebinde); ","")&amp;BJ984)</f>
        <v/>
      </c>
      <c r="BC984" s="53" t="n"/>
      <c r="BD984" s="53" t="n"/>
      <c r="BE984" s="61" t="n"/>
      <c r="BF984" s="55" t="n">
        <v>-3</v>
      </c>
      <c r="BG984" s="55" t="n">
        <v>62</v>
      </c>
      <c r="BH984" s="54" t="n">
        <v>-77.58</v>
      </c>
      <c r="BI984" s="55" t="n">
        <v>0</v>
      </c>
      <c r="BJ984" s="53" t="inlineStr"/>
      <c r="BK984" s="58" t="n">
        <v>0</v>
      </c>
      <c r="BL984" s="58" t="n">
        <v>984</v>
      </c>
      <c r="BM984" s="53">
        <f>IF(S984&lt;&gt;"",UPPER(TRIM(S984)),IF(O984="","LOSE",O984))</f>
        <v/>
      </c>
      <c r="BN984" s="55">
        <f>IF(BM984="LOSE",1,IF(N(T984)&gt;0,T984,IF(N(P984)&gt;0,P984,MAX(1,G984))))</f>
        <v/>
      </c>
      <c r="BO984" s="58">
        <f>IF(BM984="LOSE",1,0)</f>
        <v/>
      </c>
      <c r="BP984" s="64">
        <f>IF(BO984=0,0,IF(N(R984)&gt;0,R984,IFERROR(VLOOKUP(D984,Parameter!$A$35:$C$64,3,0)+0,0)))</f>
        <v/>
      </c>
      <c r="BQ984" s="53">
        <f>IF(V984&lt;&gt;"",V984,U984)</f>
        <v/>
      </c>
      <c r="BR984" s="53">
        <f>IF(BQ984=1,"L1",IF(OR(BQ984=2,BQ984=3),"L23",IF(BQ984="Aussen","Aussen","-")))</f>
        <v/>
      </c>
      <c r="BS984" s="66">
        <f>IF(N(W984)&gt;0,W984,0)</f>
        <v/>
      </c>
      <c r="BT984" s="58">
        <f>IF(ISNUMBER(Z984),1,0)</f>
        <v/>
      </c>
      <c r="BU984" s="55">
        <f>N(Z984)</f>
        <v/>
      </c>
      <c r="BV984" s="55">
        <f>N(L984)+N(M984)</f>
        <v/>
      </c>
      <c r="BW984" s="55">
        <f>ROUNDUP(G984/BN984,0)</f>
        <v/>
      </c>
      <c r="BX984" s="55">
        <f>ROUNDUP(BU984/BN984,0)</f>
        <v/>
      </c>
      <c r="BY984" s="58">
        <f>IF(BO984=1,0,IFERROR(VLOOKUP(BM984,'Gebinde-Kategorie'!$A$5:$G$45,5,0)+0,0))</f>
        <v/>
      </c>
      <c r="BZ984" s="58">
        <f>IFERROR(IF(OR(BQ984=1,BQ984=2,BQ984=3),N(INDEX(Parameter!$I$5:$I$7,BQ984)),0),0)</f>
        <v/>
      </c>
    </row>
    <row r="985">
      <c r="A985" s="53" t="inlineStr">
        <is>
          <t>108869</t>
        </is>
      </c>
      <c r="B985" s="53" t="inlineStr">
        <is>
          <t>Klebeetikette -F200.2</t>
        </is>
      </c>
      <c r="C985" s="53" t="inlineStr">
        <is>
          <t>G</t>
        </is>
      </c>
      <c r="D985" s="53" t="inlineStr">
        <is>
          <t>KTL</t>
        </is>
      </c>
      <c r="E985" s="53" t="inlineStr">
        <is>
          <t>C</t>
        </is>
      </c>
      <c r="F985" s="54" t="n">
        <v>2</v>
      </c>
      <c r="G985" s="55">
        <f>MAX(0,IF(Parameter!$B$20="Jahresanfang 2025 + Export",BG985+BF985,BF985))</f>
        <v/>
      </c>
      <c r="H985" s="55">
        <f>G985*F985</f>
        <v/>
      </c>
      <c r="I985" s="55">
        <f>BI985*Parameter!$B$18</f>
        <v/>
      </c>
      <c r="J985" s="56" t="n">
        <v>40</v>
      </c>
      <c r="K985" s="57" t="n">
        <v>0</v>
      </c>
      <c r="L985" s="55" t="n">
        <v>0</v>
      </c>
      <c r="M985" s="55" t="n">
        <v>1</v>
      </c>
      <c r="N985" s="58" t="n">
        <v>21</v>
      </c>
      <c r="O985" s="53" t="inlineStr">
        <is>
          <t>LOSE</t>
        </is>
      </c>
      <c r="P985" s="55" t="n"/>
      <c r="Q985" s="59">
        <f>IF(BO985=1,0,IFERROR(VLOOKUP(BM985,'Gebinde-Kategorie'!$A$5:$G$45,6,0)+0,0))</f>
        <v/>
      </c>
      <c r="R985" s="60" t="n"/>
      <c r="S985" s="61" t="n"/>
      <c r="T985" s="61" t="n"/>
      <c r="U985" s="53">
        <f>IF(A985="","",IF(IFERROR(VLOOKUP(D985,Parameter!$A$35:$C$64,2,0),"Nein")="2+3",IF(ISNUMBER(SEARCH("grosser Artikel",BJ985)),2,IFERROR(VLOOKUP(BM985,Parameter!$F$35:$G$64,2,0),2)),IF(OR(IFERROR(VLOOKUP(D985,Parameter!$A$35:$C$64,2,0),"Nein")="Nein",IFERROR(VLOOKUP(D985,Parameter!$A$35:$C$64,2,0),"Nein")=""),"-",VLOOKUP(D985,Parameter!$A$35:$C$64,2,0))))</f>
        <v/>
      </c>
      <c r="V985" s="61" t="n"/>
      <c r="W985" s="62" t="n"/>
      <c r="X985" s="55">
        <f>AM985</f>
        <v/>
      </c>
      <c r="Y985" s="55">
        <f>MAX(AM985,G985)</f>
        <v/>
      </c>
      <c r="Z985" s="63" t="n"/>
      <c r="AA985" s="55">
        <f>IF(LEFT(Cockpit!$C$5,1)="A",G985,IF(BT985=1,BU985,IF(LEFT(Cockpit!$C$5,1)="B",AE985,MAX(AE985,G985))))</f>
        <v/>
      </c>
      <c r="AB985" s="55">
        <f>IF(BO985=1,0,ROUNDUP(AA985/BN985,0))</f>
        <v/>
      </c>
      <c r="AC985" s="64">
        <f>IF(BO985=1,IF(AA985&lt;=0,0,BP985*MAX(1,IF(G985&gt;0,AA985/G985,1))),AB985*Q985)</f>
        <v/>
      </c>
      <c r="AD985" s="55">
        <f>AA985*F985</f>
        <v/>
      </c>
      <c r="AE985" s="55">
        <f>ROUNDUP(MAX(I985/IF(BS985&gt;0,BS985,MAX(0.1,N(Cockpit!$C$6))),BV985)/BN985,0)*BN985</f>
        <v/>
      </c>
      <c r="AF985" s="56">
        <f>IF(AC985&gt;0,I985/AC985,-1)</f>
        <v/>
      </c>
      <c r="AG985" s="56">
        <f>IF(AND(OR(BR985="L1",BR985="L23"),AC985&gt;0),SUMIFS($AC$7:$AC$1570,$BR$7:$BR$1570,BR985,$AF$7:$AF$1570,"&gt;"&amp;AF985)+SUMIFS($AC$7:$AC$1570,$BR$7:$BR$1570,BR985,$AF$7:$AF$1570,AF985,$BL$7:$BL$1570,"&lt;="&amp;BL985),"")</f>
        <v/>
      </c>
      <c r="AH985" s="65">
        <f>IF(AG985="",0,MAX(0,MIN(1,(IF(BR985="L1",Parameter!$K$5,Parameter!$K$6+Parameter!$K$7)-(AG985-AC985))/AC985)))</f>
        <v/>
      </c>
      <c r="AI985" s="55">
        <f>IF(LEFT(Cockpit!$I$5,1)="A",G985,IF(BT985=1,BU985,IF(LEFT(Cockpit!$I$5,1)="B",AM985,MAX(AM985,G985))))</f>
        <v/>
      </c>
      <c r="AJ985" s="55">
        <f>IF(BO985=1,0,ROUNDUP(AI985/BN985,0))</f>
        <v/>
      </c>
      <c r="AK985" s="64">
        <f>IF(BO985=1,IF(AI985&lt;=0,0,BP985*MAX(1,IF(G985&gt;0,AI985/G985,1))),AJ985*Q985)</f>
        <v/>
      </c>
      <c r="AL985" s="55">
        <f>AI985*F985</f>
        <v/>
      </c>
      <c r="AM985" s="55">
        <f>ROUNDUP(MAX(I985/IF(BS985&gt;0,BS985,MAX(0.1,N(Cockpit!$I$6))),BV985)/BN985,0)*BN985</f>
        <v/>
      </c>
      <c r="AN985" s="56">
        <f>IF(AK985&gt;0,I985/AK985,-1)</f>
        <v/>
      </c>
      <c r="AO985" s="56">
        <f>IF(AND(OR(BR985="L1",BR985="L23"),AK985&gt;0),SUMIFS($AK$7:$AK$1570,$BR$7:$BR$1570,BR985,$AN$7:$AN$1570,"&gt;"&amp;AN985)+SUMIFS($AK$7:$AK$1570,$BR$7:$BR$1570,BR985,$AN$7:$AN$1570,AN985,$BL$7:$BL$1570,"&lt;="&amp;BL985),"")</f>
        <v/>
      </c>
      <c r="AP985" s="65">
        <f>IF(AO985="",0,MAX(0,MIN(1,(IF(BR985="L1",Parameter!$K$5,Parameter!$K$6+Parameter!$K$7)-(AO985-AK985))/AK985)))</f>
        <v/>
      </c>
      <c r="AQ985" s="55">
        <f>IF(LEFT(Cockpit!$O$5,1)="A",G985,IF(BT985=1,BU985,IF(LEFT(Cockpit!$O$5,1)="B",AU985,MAX(AU985,G985))))</f>
        <v/>
      </c>
      <c r="AR985" s="55">
        <f>IF(BO985=1,0,ROUNDUP(AQ985/BN985,0))</f>
        <v/>
      </c>
      <c r="AS985" s="64">
        <f>IF(BO985=1,IF(AQ985&lt;=0,0,BP985*MAX(1,IF(G985&gt;0,AQ985/G985,1))),AR985*Q985)</f>
        <v/>
      </c>
      <c r="AT985" s="55">
        <f>AQ985*F985</f>
        <v/>
      </c>
      <c r="AU985" s="55">
        <f>ROUNDUP(MAX(I985/IF(BS985&gt;0,BS985,MAX(0.1,N(Cockpit!$O$6))),BV985)/BN985,0)*BN985</f>
        <v/>
      </c>
      <c r="AV985" s="56">
        <f>IF(AS985&gt;0,I985/AS985,-1)</f>
        <v/>
      </c>
      <c r="AW985" s="56">
        <f>IF(AND(OR(BR985="L1",BR985="L23"),AS985&gt;0),SUMIFS($AS$7:$AS$1570,$BR$7:$BR$1570,BR985,$AV$7:$AV$1570,"&gt;"&amp;AV985)+SUMIFS($AS$7:$AS$1570,$BR$7:$BR$1570,BR985,$AV$7:$AV$1570,AV985,$BL$7:$BL$1570,"&lt;="&amp;BL985),"")</f>
        <v/>
      </c>
      <c r="AX985" s="65">
        <f>IF(AW985="",0,MAX(0,MIN(1,(IF(BR985="L1",Parameter!$K$5,Parameter!$K$6+Parameter!$K$7)-(AW985-AS985))/AS985)))</f>
        <v/>
      </c>
      <c r="AY985" s="53">
        <f>IF(AC985&lt;=0,"",IF(BR985="Aussen","Aussenlager",IF(BR985="-","Nicht im Lift",IF(AH985&gt;=1,"Lift",IF(AH985&lt;=0,"Aussenlager","teilweise")))))</f>
        <v/>
      </c>
      <c r="AZ985" s="53">
        <f>IF(AK985&lt;=0,"",IF(BR985="Aussen","Aussenlager",IF(BR985="-","Nicht im Lift",IF(AP985&gt;=1,"Lift",IF(AP985&lt;=0,"Aussenlager","teilweise")))))</f>
        <v/>
      </c>
      <c r="BA985" s="53">
        <f>IF(AS985&lt;=0,"",IF(BR985="Aussen","Aussenlager",IF(BR985="-","Nicht im Lift",IF(AX985&gt;=1,"Lift",IF(AX985&lt;=0,"Aussenlager","teilweise")))))</f>
        <v/>
      </c>
      <c r="BB985" s="53">
        <f>IF(A985="","",IF(BK985=1,"Neu; ","")&amp;IF(AND(BK985=0,BF985&lt;0),"negativer Bestand (Export "&amp;BF985&amp;"); ","")&amp;IF(I985&lt;=0,"Kein Verbrauch; ","")&amp;IF(BO985=1,"Lose – Fläche geschätzt; ","")&amp;IF(G985&gt;AM985,"Überbestand "&amp;ROUND(G985-AM985,0)&amp;" Stk / CHF "&amp;ROUND((G985-AM985)*F985,0)&amp;"; ","")&amp;IF(AND(BT985=1,BU985&lt;BV985),"MAX &lt; MB+LG; ","")&amp;IF(AND(BZ985&gt;0,BY985*10&gt;BZ985),"zu hoch für Tablar; ","")&amp;IF(AND(BK985=0,OR(BT985=1,V985&lt;&gt;"",S985&lt;&gt;"",T985&lt;&gt;"",W985&lt;&gt;"")),"manuell übersteuert; ","")&amp;IF(AND(BO985=0,Q985=0),"Gebinde unbekannt; ","")&amp;IF(AND(BO985=0,N(T985)&lt;=0,N(P985)&lt;=0),"Menge pro Gebinde fehlt (Ist = 1 Gebinde); ","")&amp;BJ985)</f>
        <v/>
      </c>
      <c r="BC985" s="53" t="n"/>
      <c r="BD985" s="53" t="n"/>
      <c r="BE985" s="61" t="n"/>
      <c r="BF985" s="55" t="n">
        <v>-40</v>
      </c>
      <c r="BG985" s="55" t="n">
        <v>40</v>
      </c>
      <c r="BH985" s="54" t="n">
        <v>-80</v>
      </c>
      <c r="BI985" s="55" t="n">
        <v>0</v>
      </c>
      <c r="BJ985" s="53" t="inlineStr"/>
      <c r="BK985" s="58" t="n">
        <v>0</v>
      </c>
      <c r="BL985" s="58" t="n">
        <v>985</v>
      </c>
      <c r="BM985" s="53">
        <f>IF(S985&lt;&gt;"",UPPER(TRIM(S985)),IF(O985="","LOSE",O985))</f>
        <v/>
      </c>
      <c r="BN985" s="55">
        <f>IF(BM985="LOSE",1,IF(N(T985)&gt;0,T985,IF(N(P985)&gt;0,P985,MAX(1,G985))))</f>
        <v/>
      </c>
      <c r="BO985" s="58">
        <f>IF(BM985="LOSE",1,0)</f>
        <v/>
      </c>
      <c r="BP985" s="64">
        <f>IF(BO985=0,0,IF(N(R985)&gt;0,R985,IFERROR(VLOOKUP(D985,Parameter!$A$35:$C$64,3,0)+0,0)))</f>
        <v/>
      </c>
      <c r="BQ985" s="53">
        <f>IF(V985&lt;&gt;"",V985,U985)</f>
        <v/>
      </c>
      <c r="BR985" s="53">
        <f>IF(BQ985=1,"L1",IF(OR(BQ985=2,BQ985=3),"L23",IF(BQ985="Aussen","Aussen","-")))</f>
        <v/>
      </c>
      <c r="BS985" s="66">
        <f>IF(N(W985)&gt;0,W985,0)</f>
        <v/>
      </c>
      <c r="BT985" s="58">
        <f>IF(ISNUMBER(Z985),1,0)</f>
        <v/>
      </c>
      <c r="BU985" s="55">
        <f>N(Z985)</f>
        <v/>
      </c>
      <c r="BV985" s="55">
        <f>N(L985)+N(M985)</f>
        <v/>
      </c>
      <c r="BW985" s="55">
        <f>ROUNDUP(G985/BN985,0)</f>
        <v/>
      </c>
      <c r="BX985" s="55">
        <f>ROUNDUP(BU985/BN985,0)</f>
        <v/>
      </c>
      <c r="BY985" s="58">
        <f>IF(BO985=1,0,IFERROR(VLOOKUP(BM985,'Gebinde-Kategorie'!$A$5:$G$45,5,0)+0,0))</f>
        <v/>
      </c>
      <c r="BZ985" s="58">
        <f>IFERROR(IF(OR(BQ985=1,BQ985=2,BQ985=3),N(INDEX(Parameter!$I$5:$I$7,BQ985)),0),0)</f>
        <v/>
      </c>
    </row>
    <row r="986">
      <c r="A986" s="53" t="inlineStr">
        <is>
          <t>108870</t>
        </is>
      </c>
      <c r="B986" s="53" t="inlineStr">
        <is>
          <t>Klebeetikette -G200.2</t>
        </is>
      </c>
      <c r="C986" s="53" t="inlineStr">
        <is>
          <t>G</t>
        </is>
      </c>
      <c r="D986" s="53" t="inlineStr">
        <is>
          <t>KTL</t>
        </is>
      </c>
      <c r="E986" s="53" t="inlineStr">
        <is>
          <t>C</t>
        </is>
      </c>
      <c r="F986" s="54" t="n">
        <v>2</v>
      </c>
      <c r="G986" s="55">
        <f>MAX(0,IF(Parameter!$B$20="Jahresanfang 2025 + Export",BG986+BF986,BF986))</f>
        <v/>
      </c>
      <c r="H986" s="55">
        <f>G986*F986</f>
        <v/>
      </c>
      <c r="I986" s="55">
        <f>BI986*Parameter!$B$18</f>
        <v/>
      </c>
      <c r="J986" s="56" t="n">
        <v>37.5</v>
      </c>
      <c r="K986" s="57" t="n">
        <v>0</v>
      </c>
      <c r="L986" s="55" t="n">
        <v>0</v>
      </c>
      <c r="M986" s="55" t="n">
        <v>1</v>
      </c>
      <c r="N986" s="58" t="n">
        <v>21</v>
      </c>
      <c r="O986" s="53" t="inlineStr">
        <is>
          <t>LOSE</t>
        </is>
      </c>
      <c r="P986" s="55" t="n"/>
      <c r="Q986" s="59">
        <f>IF(BO986=1,0,IFERROR(VLOOKUP(BM986,'Gebinde-Kategorie'!$A$5:$G$45,6,0)+0,0))</f>
        <v/>
      </c>
      <c r="R986" s="60" t="n"/>
      <c r="S986" s="61" t="n"/>
      <c r="T986" s="61" t="n"/>
      <c r="U986" s="53">
        <f>IF(A986="","",IF(IFERROR(VLOOKUP(D986,Parameter!$A$35:$C$64,2,0),"Nein")="2+3",IF(ISNUMBER(SEARCH("grosser Artikel",BJ986)),2,IFERROR(VLOOKUP(BM986,Parameter!$F$35:$G$64,2,0),2)),IF(OR(IFERROR(VLOOKUP(D986,Parameter!$A$35:$C$64,2,0),"Nein")="Nein",IFERROR(VLOOKUP(D986,Parameter!$A$35:$C$64,2,0),"Nein")=""),"-",VLOOKUP(D986,Parameter!$A$35:$C$64,2,0))))</f>
        <v/>
      </c>
      <c r="V986" s="61" t="n"/>
      <c r="W986" s="62" t="n"/>
      <c r="X986" s="55">
        <f>AM986</f>
        <v/>
      </c>
      <c r="Y986" s="55">
        <f>MAX(AM986,G986)</f>
        <v/>
      </c>
      <c r="Z986" s="63" t="n"/>
      <c r="AA986" s="55">
        <f>IF(LEFT(Cockpit!$C$5,1)="A",G986,IF(BT986=1,BU986,IF(LEFT(Cockpit!$C$5,1)="B",AE986,MAX(AE986,G986))))</f>
        <v/>
      </c>
      <c r="AB986" s="55">
        <f>IF(BO986=1,0,ROUNDUP(AA986/BN986,0))</f>
        <v/>
      </c>
      <c r="AC986" s="64">
        <f>IF(BO986=1,IF(AA986&lt;=0,0,BP986*MAX(1,IF(G986&gt;0,AA986/G986,1))),AB986*Q986)</f>
        <v/>
      </c>
      <c r="AD986" s="55">
        <f>AA986*F986</f>
        <v/>
      </c>
      <c r="AE986" s="55">
        <f>ROUNDUP(MAX(I986/IF(BS986&gt;0,BS986,MAX(0.1,N(Cockpit!$C$6))),BV986)/BN986,0)*BN986</f>
        <v/>
      </c>
      <c r="AF986" s="56">
        <f>IF(AC986&gt;0,I986/AC986,-1)</f>
        <v/>
      </c>
      <c r="AG986" s="56">
        <f>IF(AND(OR(BR986="L1",BR986="L23"),AC986&gt;0),SUMIFS($AC$7:$AC$1570,$BR$7:$BR$1570,BR986,$AF$7:$AF$1570,"&gt;"&amp;AF986)+SUMIFS($AC$7:$AC$1570,$BR$7:$BR$1570,BR986,$AF$7:$AF$1570,AF986,$BL$7:$BL$1570,"&lt;="&amp;BL986),"")</f>
        <v/>
      </c>
      <c r="AH986" s="65">
        <f>IF(AG986="",0,MAX(0,MIN(1,(IF(BR986="L1",Parameter!$K$5,Parameter!$K$6+Parameter!$K$7)-(AG986-AC986))/AC986)))</f>
        <v/>
      </c>
      <c r="AI986" s="55">
        <f>IF(LEFT(Cockpit!$I$5,1)="A",G986,IF(BT986=1,BU986,IF(LEFT(Cockpit!$I$5,1)="B",AM986,MAX(AM986,G986))))</f>
        <v/>
      </c>
      <c r="AJ986" s="55">
        <f>IF(BO986=1,0,ROUNDUP(AI986/BN986,0))</f>
        <v/>
      </c>
      <c r="AK986" s="64">
        <f>IF(BO986=1,IF(AI986&lt;=0,0,BP986*MAX(1,IF(G986&gt;0,AI986/G986,1))),AJ986*Q986)</f>
        <v/>
      </c>
      <c r="AL986" s="55">
        <f>AI986*F986</f>
        <v/>
      </c>
      <c r="AM986" s="55">
        <f>ROUNDUP(MAX(I986/IF(BS986&gt;0,BS986,MAX(0.1,N(Cockpit!$I$6))),BV986)/BN986,0)*BN986</f>
        <v/>
      </c>
      <c r="AN986" s="56">
        <f>IF(AK986&gt;0,I986/AK986,-1)</f>
        <v/>
      </c>
      <c r="AO986" s="56">
        <f>IF(AND(OR(BR986="L1",BR986="L23"),AK986&gt;0),SUMIFS($AK$7:$AK$1570,$BR$7:$BR$1570,BR986,$AN$7:$AN$1570,"&gt;"&amp;AN986)+SUMIFS($AK$7:$AK$1570,$BR$7:$BR$1570,BR986,$AN$7:$AN$1570,AN986,$BL$7:$BL$1570,"&lt;="&amp;BL986),"")</f>
        <v/>
      </c>
      <c r="AP986" s="65">
        <f>IF(AO986="",0,MAX(0,MIN(1,(IF(BR986="L1",Parameter!$K$5,Parameter!$K$6+Parameter!$K$7)-(AO986-AK986))/AK986)))</f>
        <v/>
      </c>
      <c r="AQ986" s="55">
        <f>IF(LEFT(Cockpit!$O$5,1)="A",G986,IF(BT986=1,BU986,IF(LEFT(Cockpit!$O$5,1)="B",AU986,MAX(AU986,G986))))</f>
        <v/>
      </c>
      <c r="AR986" s="55">
        <f>IF(BO986=1,0,ROUNDUP(AQ986/BN986,0))</f>
        <v/>
      </c>
      <c r="AS986" s="64">
        <f>IF(BO986=1,IF(AQ986&lt;=0,0,BP986*MAX(1,IF(G986&gt;0,AQ986/G986,1))),AR986*Q986)</f>
        <v/>
      </c>
      <c r="AT986" s="55">
        <f>AQ986*F986</f>
        <v/>
      </c>
      <c r="AU986" s="55">
        <f>ROUNDUP(MAX(I986/IF(BS986&gt;0,BS986,MAX(0.1,N(Cockpit!$O$6))),BV986)/BN986,0)*BN986</f>
        <v/>
      </c>
      <c r="AV986" s="56">
        <f>IF(AS986&gt;0,I986/AS986,-1)</f>
        <v/>
      </c>
      <c r="AW986" s="56">
        <f>IF(AND(OR(BR986="L1",BR986="L23"),AS986&gt;0),SUMIFS($AS$7:$AS$1570,$BR$7:$BR$1570,BR986,$AV$7:$AV$1570,"&gt;"&amp;AV986)+SUMIFS($AS$7:$AS$1570,$BR$7:$BR$1570,BR986,$AV$7:$AV$1570,AV986,$BL$7:$BL$1570,"&lt;="&amp;BL986),"")</f>
        <v/>
      </c>
      <c r="AX986" s="65">
        <f>IF(AW986="",0,MAX(0,MIN(1,(IF(BR986="L1",Parameter!$K$5,Parameter!$K$6+Parameter!$K$7)-(AW986-AS986))/AS986)))</f>
        <v/>
      </c>
      <c r="AY986" s="53">
        <f>IF(AC986&lt;=0,"",IF(BR986="Aussen","Aussenlager",IF(BR986="-","Nicht im Lift",IF(AH986&gt;=1,"Lift",IF(AH986&lt;=0,"Aussenlager","teilweise")))))</f>
        <v/>
      </c>
      <c r="AZ986" s="53">
        <f>IF(AK986&lt;=0,"",IF(BR986="Aussen","Aussenlager",IF(BR986="-","Nicht im Lift",IF(AP986&gt;=1,"Lift",IF(AP986&lt;=0,"Aussenlager","teilweise")))))</f>
        <v/>
      </c>
      <c r="BA986" s="53">
        <f>IF(AS986&lt;=0,"",IF(BR986="Aussen","Aussenlager",IF(BR986="-","Nicht im Lift",IF(AX986&gt;=1,"Lift",IF(AX986&lt;=0,"Aussenlager","teilweise")))))</f>
        <v/>
      </c>
      <c r="BB986" s="53">
        <f>IF(A986="","",IF(BK986=1,"Neu; ","")&amp;IF(AND(BK986=0,BF986&lt;0),"negativer Bestand (Export "&amp;BF986&amp;"); ","")&amp;IF(I986&lt;=0,"Kein Verbrauch; ","")&amp;IF(BO986=1,"Lose – Fläche geschätzt; ","")&amp;IF(G986&gt;AM986,"Überbestand "&amp;ROUND(G986-AM986,0)&amp;" Stk / CHF "&amp;ROUND((G986-AM986)*F986,0)&amp;"; ","")&amp;IF(AND(BT986=1,BU986&lt;BV986),"MAX &lt; MB+LG; ","")&amp;IF(AND(BZ986&gt;0,BY986*10&gt;BZ986),"zu hoch für Tablar; ","")&amp;IF(AND(BK986=0,OR(BT986=1,V986&lt;&gt;"",S986&lt;&gt;"",T986&lt;&gt;"",W986&lt;&gt;"")),"manuell übersteuert; ","")&amp;IF(AND(BO986=0,Q986=0),"Gebinde unbekannt; ","")&amp;IF(AND(BO986=0,N(T986)&lt;=0,N(P986)&lt;=0),"Menge pro Gebinde fehlt (Ist = 1 Gebinde); ","")&amp;BJ986)</f>
        <v/>
      </c>
      <c r="BC986" s="53" t="n"/>
      <c r="BD986" s="53" t="n"/>
      <c r="BE986" s="61" t="n"/>
      <c r="BF986" s="55" t="n">
        <v>-40</v>
      </c>
      <c r="BG986" s="55" t="n">
        <v>40</v>
      </c>
      <c r="BH986" s="54" t="n">
        <v>-80</v>
      </c>
      <c r="BI986" s="55" t="n">
        <v>0</v>
      </c>
      <c r="BJ986" s="53" t="inlineStr"/>
      <c r="BK986" s="58" t="n">
        <v>0</v>
      </c>
      <c r="BL986" s="58" t="n">
        <v>986</v>
      </c>
      <c r="BM986" s="53">
        <f>IF(S986&lt;&gt;"",UPPER(TRIM(S986)),IF(O986="","LOSE",O986))</f>
        <v/>
      </c>
      <c r="BN986" s="55">
        <f>IF(BM986="LOSE",1,IF(N(T986)&gt;0,T986,IF(N(P986)&gt;0,P986,MAX(1,G986))))</f>
        <v/>
      </c>
      <c r="BO986" s="58">
        <f>IF(BM986="LOSE",1,0)</f>
        <v/>
      </c>
      <c r="BP986" s="64">
        <f>IF(BO986=0,0,IF(N(R986)&gt;0,R986,IFERROR(VLOOKUP(D986,Parameter!$A$35:$C$64,3,0)+0,0)))</f>
        <v/>
      </c>
      <c r="BQ986" s="53">
        <f>IF(V986&lt;&gt;"",V986,U986)</f>
        <v/>
      </c>
      <c r="BR986" s="53">
        <f>IF(BQ986=1,"L1",IF(OR(BQ986=2,BQ986=3),"L23",IF(BQ986="Aussen","Aussen","-")))</f>
        <v/>
      </c>
      <c r="BS986" s="66">
        <f>IF(N(W986)&gt;0,W986,0)</f>
        <v/>
      </c>
      <c r="BT986" s="58">
        <f>IF(ISNUMBER(Z986),1,0)</f>
        <v/>
      </c>
      <c r="BU986" s="55">
        <f>N(Z986)</f>
        <v/>
      </c>
      <c r="BV986" s="55">
        <f>N(L986)+N(M986)</f>
        <v/>
      </c>
      <c r="BW986" s="55">
        <f>ROUNDUP(G986/BN986,0)</f>
        <v/>
      </c>
      <c r="BX986" s="55">
        <f>ROUNDUP(BU986/BN986,0)</f>
        <v/>
      </c>
      <c r="BY986" s="58">
        <f>IF(BO986=1,0,IFERROR(VLOOKUP(BM986,'Gebinde-Kategorie'!$A$5:$G$45,5,0)+0,0))</f>
        <v/>
      </c>
      <c r="BZ986" s="58">
        <f>IFERROR(IF(OR(BQ986=1,BQ986=2,BQ986=3),N(INDEX(Parameter!$I$5:$I$7,BQ986)),0),0)</f>
        <v/>
      </c>
    </row>
    <row r="987">
      <c r="A987" s="53" t="inlineStr">
        <is>
          <t>002001</t>
        </is>
      </c>
      <c r="B987" s="53" t="inlineStr">
        <is>
          <t>Multimeter 250V</t>
        </is>
      </c>
      <c r="C987" s="53" t="inlineStr">
        <is>
          <t>F</t>
        </is>
      </c>
      <c r="D987" s="53" t="inlineStr">
        <is>
          <t>KTL</t>
        </is>
      </c>
      <c r="E987" s="53" t="inlineStr">
        <is>
          <t>C</t>
        </is>
      </c>
      <c r="F987" s="54" t="n">
        <v>80.81</v>
      </c>
      <c r="G987" s="55">
        <f>MAX(0,IF(Parameter!$B$20="Jahresanfang 2025 + Export",BG987+BF987,BF987))</f>
        <v/>
      </c>
      <c r="H987" s="55">
        <f>G987*F987</f>
        <v/>
      </c>
      <c r="I987" s="55">
        <f>BI987*Parameter!$B$18</f>
        <v/>
      </c>
      <c r="J987" s="56" t="n">
        <v>1.5</v>
      </c>
      <c r="K987" s="57" t="n">
        <v>0.6666666666666666</v>
      </c>
      <c r="L987" s="55" t="n">
        <v>0</v>
      </c>
      <c r="M987" s="55" t="n">
        <v>1</v>
      </c>
      <c r="N987" s="58" t="n">
        <v>14</v>
      </c>
      <c r="O987" s="53" t="inlineStr">
        <is>
          <t>S51</t>
        </is>
      </c>
      <c r="P987" s="55" t="n">
        <v>8</v>
      </c>
      <c r="Q987" s="59">
        <f>IF(BO987=1,0,IFERROR(VLOOKUP(BM987,'Gebinde-Kategorie'!$A$5:$G$45,6,0)+0,0))</f>
        <v/>
      </c>
      <c r="R987" s="60" t="n"/>
      <c r="S987" s="61" t="n"/>
      <c r="T987" s="61" t="n"/>
      <c r="U987" s="53">
        <f>IF(A987="","",IF(IFERROR(VLOOKUP(D987,Parameter!$A$35:$C$64,2,0),"Nein")="2+3",IF(ISNUMBER(SEARCH("grosser Artikel",BJ987)),2,IFERROR(VLOOKUP(BM987,Parameter!$F$35:$G$64,2,0),2)),IF(OR(IFERROR(VLOOKUP(D987,Parameter!$A$35:$C$64,2,0),"Nein")="Nein",IFERROR(VLOOKUP(D987,Parameter!$A$35:$C$64,2,0),"Nein")=""),"-",VLOOKUP(D987,Parameter!$A$35:$C$64,2,0))))</f>
        <v/>
      </c>
      <c r="V987" s="61" t="n"/>
      <c r="W987" s="62" t="n"/>
      <c r="X987" s="55">
        <f>AM987</f>
        <v/>
      </c>
      <c r="Y987" s="55">
        <f>MAX(AM987,G987)</f>
        <v/>
      </c>
      <c r="Z987" s="63" t="n"/>
      <c r="AA987" s="55">
        <f>IF(LEFT(Cockpit!$C$5,1)="A",G987,IF(BT987=1,BU987,IF(LEFT(Cockpit!$C$5,1)="B",AE987,MAX(AE987,G987))))</f>
        <v/>
      </c>
      <c r="AB987" s="55">
        <f>IF(BO987=1,0,ROUNDUP(AA987/BN987,0))</f>
        <v/>
      </c>
      <c r="AC987" s="64">
        <f>IF(BO987=1,IF(AA987&lt;=0,0,BP987*MAX(1,IF(G987&gt;0,AA987/G987,1))),AB987*Q987)</f>
        <v/>
      </c>
      <c r="AD987" s="55">
        <f>AA987*F987</f>
        <v/>
      </c>
      <c r="AE987" s="55">
        <f>ROUNDUP(MAX(I987/IF(BS987&gt;0,BS987,MAX(0.1,N(Cockpit!$C$6))),BV987)/BN987,0)*BN987</f>
        <v/>
      </c>
      <c r="AF987" s="56">
        <f>IF(AC987&gt;0,I987/AC987,-1)</f>
        <v/>
      </c>
      <c r="AG987" s="56">
        <f>IF(AND(OR(BR987="L1",BR987="L23"),AC987&gt;0),SUMIFS($AC$7:$AC$1570,$BR$7:$BR$1570,BR987,$AF$7:$AF$1570,"&gt;"&amp;AF987)+SUMIFS($AC$7:$AC$1570,$BR$7:$BR$1570,BR987,$AF$7:$AF$1570,AF987,$BL$7:$BL$1570,"&lt;="&amp;BL987),"")</f>
        <v/>
      </c>
      <c r="AH987" s="65">
        <f>IF(AG987="",0,MAX(0,MIN(1,(IF(BR987="L1",Parameter!$K$5,Parameter!$K$6+Parameter!$K$7)-(AG987-AC987))/AC987)))</f>
        <v/>
      </c>
      <c r="AI987" s="55">
        <f>IF(LEFT(Cockpit!$I$5,1)="A",G987,IF(BT987=1,BU987,IF(LEFT(Cockpit!$I$5,1)="B",AM987,MAX(AM987,G987))))</f>
        <v/>
      </c>
      <c r="AJ987" s="55">
        <f>IF(BO987=1,0,ROUNDUP(AI987/BN987,0))</f>
        <v/>
      </c>
      <c r="AK987" s="64">
        <f>IF(BO987=1,IF(AI987&lt;=0,0,BP987*MAX(1,IF(G987&gt;0,AI987/G987,1))),AJ987*Q987)</f>
        <v/>
      </c>
      <c r="AL987" s="55">
        <f>AI987*F987</f>
        <v/>
      </c>
      <c r="AM987" s="55">
        <f>ROUNDUP(MAX(I987/IF(BS987&gt;0,BS987,MAX(0.1,N(Cockpit!$I$6))),BV987)/BN987,0)*BN987</f>
        <v/>
      </c>
      <c r="AN987" s="56">
        <f>IF(AK987&gt;0,I987/AK987,-1)</f>
        <v/>
      </c>
      <c r="AO987" s="56">
        <f>IF(AND(OR(BR987="L1",BR987="L23"),AK987&gt;0),SUMIFS($AK$7:$AK$1570,$BR$7:$BR$1570,BR987,$AN$7:$AN$1570,"&gt;"&amp;AN987)+SUMIFS($AK$7:$AK$1570,$BR$7:$BR$1570,BR987,$AN$7:$AN$1570,AN987,$BL$7:$BL$1570,"&lt;="&amp;BL987),"")</f>
        <v/>
      </c>
      <c r="AP987" s="65">
        <f>IF(AO987="",0,MAX(0,MIN(1,(IF(BR987="L1",Parameter!$K$5,Parameter!$K$6+Parameter!$K$7)-(AO987-AK987))/AK987)))</f>
        <v/>
      </c>
      <c r="AQ987" s="55">
        <f>IF(LEFT(Cockpit!$O$5,1)="A",G987,IF(BT987=1,BU987,IF(LEFT(Cockpit!$O$5,1)="B",AU987,MAX(AU987,G987))))</f>
        <v/>
      </c>
      <c r="AR987" s="55">
        <f>IF(BO987=1,0,ROUNDUP(AQ987/BN987,0))</f>
        <v/>
      </c>
      <c r="AS987" s="64">
        <f>IF(BO987=1,IF(AQ987&lt;=0,0,BP987*MAX(1,IF(G987&gt;0,AQ987/G987,1))),AR987*Q987)</f>
        <v/>
      </c>
      <c r="AT987" s="55">
        <f>AQ987*F987</f>
        <v/>
      </c>
      <c r="AU987" s="55">
        <f>ROUNDUP(MAX(I987/IF(BS987&gt;0,BS987,MAX(0.1,N(Cockpit!$O$6))),BV987)/BN987,0)*BN987</f>
        <v/>
      </c>
      <c r="AV987" s="56">
        <f>IF(AS987&gt;0,I987/AS987,-1)</f>
        <v/>
      </c>
      <c r="AW987" s="56">
        <f>IF(AND(OR(BR987="L1",BR987="L23"),AS987&gt;0),SUMIFS($AS$7:$AS$1570,$BR$7:$BR$1570,BR987,$AV$7:$AV$1570,"&gt;"&amp;AV987)+SUMIFS($AS$7:$AS$1570,$BR$7:$BR$1570,BR987,$AV$7:$AV$1570,AV987,$BL$7:$BL$1570,"&lt;="&amp;BL987),"")</f>
        <v/>
      </c>
      <c r="AX987" s="65">
        <f>IF(AW987="",0,MAX(0,MIN(1,(IF(BR987="L1",Parameter!$K$5,Parameter!$K$6+Parameter!$K$7)-(AW987-AS987))/AS987)))</f>
        <v/>
      </c>
      <c r="AY987" s="53">
        <f>IF(AC987&lt;=0,"",IF(BR987="Aussen","Aussenlager",IF(BR987="-","Nicht im Lift",IF(AH987&gt;=1,"Lift",IF(AH987&lt;=0,"Aussenlager","teilweise")))))</f>
        <v/>
      </c>
      <c r="AZ987" s="53">
        <f>IF(AK987&lt;=0,"",IF(BR987="Aussen","Aussenlager",IF(BR987="-","Nicht im Lift",IF(AP987&gt;=1,"Lift",IF(AP987&lt;=0,"Aussenlager","teilweise")))))</f>
        <v/>
      </c>
      <c r="BA987" s="53">
        <f>IF(AS987&lt;=0,"",IF(BR987="Aussen","Aussenlager",IF(BR987="-","Nicht im Lift",IF(AX987&gt;=1,"Lift",IF(AX987&lt;=0,"Aussenlager","teilweise")))))</f>
        <v/>
      </c>
      <c r="BB987" s="53">
        <f>IF(A987="","",IF(BK987=1,"Neu; ","")&amp;IF(AND(BK987=0,BF987&lt;0),"negativer Bestand (Export "&amp;BF987&amp;"); ","")&amp;IF(I987&lt;=0,"Kein Verbrauch; ","")&amp;IF(BO987=1,"Lose – Fläche geschätzt; ","")&amp;IF(G987&gt;AM987,"Überbestand "&amp;ROUND(G987-AM987,0)&amp;" Stk / CHF "&amp;ROUND((G987-AM987)*F987,0)&amp;"; ","")&amp;IF(AND(BT987=1,BU987&lt;BV987),"MAX &lt; MB+LG; ","")&amp;IF(AND(BZ987&gt;0,BY987*10&gt;BZ987),"zu hoch für Tablar; ","")&amp;IF(AND(BK987=0,OR(BT987=1,V987&lt;&gt;"",S987&lt;&gt;"",T987&lt;&gt;"",W987&lt;&gt;"")),"manuell übersteuert; ","")&amp;IF(AND(BO987=0,Q987=0),"Gebinde unbekannt; ","")&amp;IF(AND(BO987=0,N(T987)&lt;=0,N(P987)&lt;=0),"Menge pro Gebinde fehlt (Ist = 1 Gebinde); ","")&amp;BJ987)</f>
        <v/>
      </c>
      <c r="BC987" s="53" t="n"/>
      <c r="BD987" s="53" t="n"/>
      <c r="BE987" s="61" t="n"/>
      <c r="BF987" s="55" t="n">
        <v>-1</v>
      </c>
      <c r="BG987" s="55" t="n">
        <v>2</v>
      </c>
      <c r="BH987" s="54" t="n">
        <v>-80.81</v>
      </c>
      <c r="BI987" s="55" t="n">
        <v>1</v>
      </c>
      <c r="BJ987" s="53" t="inlineStr"/>
      <c r="BK987" s="58" t="n">
        <v>0</v>
      </c>
      <c r="BL987" s="58" t="n">
        <v>987</v>
      </c>
      <c r="BM987" s="53">
        <f>IF(S987&lt;&gt;"",UPPER(TRIM(S987)),IF(O987="","LOSE",O987))</f>
        <v/>
      </c>
      <c r="BN987" s="55">
        <f>IF(BM987="LOSE",1,IF(N(T987)&gt;0,T987,IF(N(P987)&gt;0,P987,MAX(1,G987))))</f>
        <v/>
      </c>
      <c r="BO987" s="58">
        <f>IF(BM987="LOSE",1,0)</f>
        <v/>
      </c>
      <c r="BP987" s="64">
        <f>IF(BO987=0,0,IF(N(R987)&gt;0,R987,IFERROR(VLOOKUP(D987,Parameter!$A$35:$C$64,3,0)+0,0)))</f>
        <v/>
      </c>
      <c r="BQ987" s="53">
        <f>IF(V987&lt;&gt;"",V987,U987)</f>
        <v/>
      </c>
      <c r="BR987" s="53">
        <f>IF(BQ987=1,"L1",IF(OR(BQ987=2,BQ987=3),"L23",IF(BQ987="Aussen","Aussen","-")))</f>
        <v/>
      </c>
      <c r="BS987" s="66">
        <f>IF(N(W987)&gt;0,W987,0)</f>
        <v/>
      </c>
      <c r="BT987" s="58">
        <f>IF(ISNUMBER(Z987),1,0)</f>
        <v/>
      </c>
      <c r="BU987" s="55">
        <f>N(Z987)</f>
        <v/>
      </c>
      <c r="BV987" s="55">
        <f>N(L987)+N(M987)</f>
        <v/>
      </c>
      <c r="BW987" s="55">
        <f>ROUNDUP(G987/BN987,0)</f>
        <v/>
      </c>
      <c r="BX987" s="55">
        <f>ROUNDUP(BU987/BN987,0)</f>
        <v/>
      </c>
      <c r="BY987" s="58">
        <f>IF(BO987=1,0,IFERROR(VLOOKUP(BM987,'Gebinde-Kategorie'!$A$5:$G$45,5,0)+0,0))</f>
        <v/>
      </c>
      <c r="BZ987" s="58">
        <f>IFERROR(IF(OR(BQ987=1,BQ987=2,BQ987=3),N(INDEX(Parameter!$I$5:$I$7,BQ987)),0),0)</f>
        <v/>
      </c>
    </row>
    <row r="988">
      <c r="A988" s="53" t="inlineStr">
        <is>
          <t>103477</t>
        </is>
      </c>
      <c r="B988" s="53" t="inlineStr">
        <is>
          <t>Verlängerung</t>
        </is>
      </c>
      <c r="C988" s="53" t="inlineStr">
        <is>
          <t>F</t>
        </is>
      </c>
      <c r="D988" s="53" t="inlineStr">
        <is>
          <t>KTL</t>
        </is>
      </c>
      <c r="E988" s="53" t="inlineStr">
        <is>
          <t>C</t>
        </is>
      </c>
      <c r="F988" s="54" t="n">
        <v>40.5</v>
      </c>
      <c r="G988" s="55">
        <f>MAX(0,IF(Parameter!$B$20="Jahresanfang 2025 + Export",BG988+BF988,BF988))</f>
        <v/>
      </c>
      <c r="H988" s="55">
        <f>G988*F988</f>
        <v/>
      </c>
      <c r="I988" s="55">
        <f>BI988*Parameter!$B$18</f>
        <v/>
      </c>
      <c r="J988" s="56" t="n">
        <v>25.5</v>
      </c>
      <c r="K988" s="57" t="n">
        <v>0.1568627450980392</v>
      </c>
      <c r="L988" s="55" t="n">
        <v>0</v>
      </c>
      <c r="M988" s="55" t="n">
        <v>5</v>
      </c>
      <c r="N988" s="58" t="n">
        <v>14</v>
      </c>
      <c r="O988" s="53" t="inlineStr">
        <is>
          <t>S32</t>
        </is>
      </c>
      <c r="P988" s="55" t="n">
        <v>29</v>
      </c>
      <c r="Q988" s="59">
        <f>IF(BO988=1,0,IFERROR(VLOOKUP(BM988,'Gebinde-Kategorie'!$A$5:$G$45,6,0)+0,0))</f>
        <v/>
      </c>
      <c r="R988" s="60" t="n"/>
      <c r="S988" s="61" t="n"/>
      <c r="T988" s="61" t="n"/>
      <c r="U988" s="53">
        <f>IF(A988="","",IF(IFERROR(VLOOKUP(D988,Parameter!$A$35:$C$64,2,0),"Nein")="2+3",IF(ISNUMBER(SEARCH("grosser Artikel",BJ988)),2,IFERROR(VLOOKUP(BM988,Parameter!$F$35:$G$64,2,0),2)),IF(OR(IFERROR(VLOOKUP(D988,Parameter!$A$35:$C$64,2,0),"Nein")="Nein",IFERROR(VLOOKUP(D988,Parameter!$A$35:$C$64,2,0),"Nein")=""),"-",VLOOKUP(D988,Parameter!$A$35:$C$64,2,0))))</f>
        <v/>
      </c>
      <c r="V988" s="61" t="n"/>
      <c r="W988" s="62" t="n"/>
      <c r="X988" s="55">
        <f>AM988</f>
        <v/>
      </c>
      <c r="Y988" s="55">
        <f>MAX(AM988,G988)</f>
        <v/>
      </c>
      <c r="Z988" s="63" t="n"/>
      <c r="AA988" s="55">
        <f>IF(LEFT(Cockpit!$C$5,1)="A",G988,IF(BT988=1,BU988,IF(LEFT(Cockpit!$C$5,1)="B",AE988,MAX(AE988,G988))))</f>
        <v/>
      </c>
      <c r="AB988" s="55">
        <f>IF(BO988=1,0,ROUNDUP(AA988/BN988,0))</f>
        <v/>
      </c>
      <c r="AC988" s="64">
        <f>IF(BO988=1,IF(AA988&lt;=0,0,BP988*MAX(1,IF(G988&gt;0,AA988/G988,1))),AB988*Q988)</f>
        <v/>
      </c>
      <c r="AD988" s="55">
        <f>AA988*F988</f>
        <v/>
      </c>
      <c r="AE988" s="55">
        <f>ROUNDUP(MAX(I988/IF(BS988&gt;0,BS988,MAX(0.1,N(Cockpit!$C$6))),BV988)/BN988,0)*BN988</f>
        <v/>
      </c>
      <c r="AF988" s="56">
        <f>IF(AC988&gt;0,I988/AC988,-1)</f>
        <v/>
      </c>
      <c r="AG988" s="56">
        <f>IF(AND(OR(BR988="L1",BR988="L23"),AC988&gt;0),SUMIFS($AC$7:$AC$1570,$BR$7:$BR$1570,BR988,$AF$7:$AF$1570,"&gt;"&amp;AF988)+SUMIFS($AC$7:$AC$1570,$BR$7:$BR$1570,BR988,$AF$7:$AF$1570,AF988,$BL$7:$BL$1570,"&lt;="&amp;BL988),"")</f>
        <v/>
      </c>
      <c r="AH988" s="65">
        <f>IF(AG988="",0,MAX(0,MIN(1,(IF(BR988="L1",Parameter!$K$5,Parameter!$K$6+Parameter!$K$7)-(AG988-AC988))/AC988)))</f>
        <v/>
      </c>
      <c r="AI988" s="55">
        <f>IF(LEFT(Cockpit!$I$5,1)="A",G988,IF(BT988=1,BU988,IF(LEFT(Cockpit!$I$5,1)="B",AM988,MAX(AM988,G988))))</f>
        <v/>
      </c>
      <c r="AJ988" s="55">
        <f>IF(BO988=1,0,ROUNDUP(AI988/BN988,0))</f>
        <v/>
      </c>
      <c r="AK988" s="64">
        <f>IF(BO988=1,IF(AI988&lt;=0,0,BP988*MAX(1,IF(G988&gt;0,AI988/G988,1))),AJ988*Q988)</f>
        <v/>
      </c>
      <c r="AL988" s="55">
        <f>AI988*F988</f>
        <v/>
      </c>
      <c r="AM988" s="55">
        <f>ROUNDUP(MAX(I988/IF(BS988&gt;0,BS988,MAX(0.1,N(Cockpit!$I$6))),BV988)/BN988,0)*BN988</f>
        <v/>
      </c>
      <c r="AN988" s="56">
        <f>IF(AK988&gt;0,I988/AK988,-1)</f>
        <v/>
      </c>
      <c r="AO988" s="56">
        <f>IF(AND(OR(BR988="L1",BR988="L23"),AK988&gt;0),SUMIFS($AK$7:$AK$1570,$BR$7:$BR$1570,BR988,$AN$7:$AN$1570,"&gt;"&amp;AN988)+SUMIFS($AK$7:$AK$1570,$BR$7:$BR$1570,BR988,$AN$7:$AN$1570,AN988,$BL$7:$BL$1570,"&lt;="&amp;BL988),"")</f>
        <v/>
      </c>
      <c r="AP988" s="65">
        <f>IF(AO988="",0,MAX(0,MIN(1,(IF(BR988="L1",Parameter!$K$5,Parameter!$K$6+Parameter!$K$7)-(AO988-AK988))/AK988)))</f>
        <v/>
      </c>
      <c r="AQ988" s="55">
        <f>IF(LEFT(Cockpit!$O$5,1)="A",G988,IF(BT988=1,BU988,IF(LEFT(Cockpit!$O$5,1)="B",AU988,MAX(AU988,G988))))</f>
        <v/>
      </c>
      <c r="AR988" s="55">
        <f>IF(BO988=1,0,ROUNDUP(AQ988/BN988,0))</f>
        <v/>
      </c>
      <c r="AS988" s="64">
        <f>IF(BO988=1,IF(AQ988&lt;=0,0,BP988*MAX(1,IF(G988&gt;0,AQ988/G988,1))),AR988*Q988)</f>
        <v/>
      </c>
      <c r="AT988" s="55">
        <f>AQ988*F988</f>
        <v/>
      </c>
      <c r="AU988" s="55">
        <f>ROUNDUP(MAX(I988/IF(BS988&gt;0,BS988,MAX(0.1,N(Cockpit!$O$6))),BV988)/BN988,0)*BN988</f>
        <v/>
      </c>
      <c r="AV988" s="56">
        <f>IF(AS988&gt;0,I988/AS988,-1)</f>
        <v/>
      </c>
      <c r="AW988" s="56">
        <f>IF(AND(OR(BR988="L1",BR988="L23"),AS988&gt;0),SUMIFS($AS$7:$AS$1570,$BR$7:$BR$1570,BR988,$AV$7:$AV$1570,"&gt;"&amp;AV988)+SUMIFS($AS$7:$AS$1570,$BR$7:$BR$1570,BR988,$AV$7:$AV$1570,AV988,$BL$7:$BL$1570,"&lt;="&amp;BL988),"")</f>
        <v/>
      </c>
      <c r="AX988" s="65">
        <f>IF(AW988="",0,MAX(0,MIN(1,(IF(BR988="L1",Parameter!$K$5,Parameter!$K$6+Parameter!$K$7)-(AW988-AS988))/AS988)))</f>
        <v/>
      </c>
      <c r="AY988" s="53">
        <f>IF(AC988&lt;=0,"",IF(BR988="Aussen","Aussenlager",IF(BR988="-","Nicht im Lift",IF(AH988&gt;=1,"Lift",IF(AH988&lt;=0,"Aussenlager","teilweise")))))</f>
        <v/>
      </c>
      <c r="AZ988" s="53">
        <f>IF(AK988&lt;=0,"",IF(BR988="Aussen","Aussenlager",IF(BR988="-","Nicht im Lift",IF(AP988&gt;=1,"Lift",IF(AP988&lt;=0,"Aussenlager","teilweise")))))</f>
        <v/>
      </c>
      <c r="BA988" s="53">
        <f>IF(AS988&lt;=0,"",IF(BR988="Aussen","Aussenlager",IF(BR988="-","Nicht im Lift",IF(AX988&gt;=1,"Lift",IF(AX988&lt;=0,"Aussenlager","teilweise")))))</f>
        <v/>
      </c>
      <c r="BB988" s="53">
        <f>IF(A988="","",IF(BK988=1,"Neu; ","")&amp;IF(AND(BK988=0,BF988&lt;0),"negativer Bestand (Export "&amp;BF988&amp;"); ","")&amp;IF(I988&lt;=0,"Kein Verbrauch; ","")&amp;IF(BO988=1,"Lose – Fläche geschätzt; ","")&amp;IF(G988&gt;AM988,"Überbestand "&amp;ROUND(G988-AM988,0)&amp;" Stk / CHF "&amp;ROUND((G988-AM988)*F988,0)&amp;"; ","")&amp;IF(AND(BT988=1,BU988&lt;BV988),"MAX &lt; MB+LG; ","")&amp;IF(AND(BZ988&gt;0,BY988*10&gt;BZ988),"zu hoch für Tablar; ","")&amp;IF(AND(BK988=0,OR(BT988=1,V988&lt;&gt;"",S988&lt;&gt;"",T988&lt;&gt;"",W988&lt;&gt;"")),"manuell übersteuert; ","")&amp;IF(AND(BO988=0,Q988=0),"Gebinde unbekannt; ","")&amp;IF(AND(BO988=0,N(T988)&lt;=0,N(P988)&lt;=0),"Menge pro Gebinde fehlt (Ist = 1 Gebinde); ","")&amp;BJ988)</f>
        <v/>
      </c>
      <c r="BC988" s="53" t="n"/>
      <c r="BD988" s="53" t="n"/>
      <c r="BE988" s="61" t="n"/>
      <c r="BF988" s="55" t="n">
        <v>-2</v>
      </c>
      <c r="BG988" s="55" t="n">
        <v>27</v>
      </c>
      <c r="BH988" s="54" t="n">
        <v>-81</v>
      </c>
      <c r="BI988" s="55" t="n">
        <v>4</v>
      </c>
      <c r="BJ988" s="53" t="inlineStr"/>
      <c r="BK988" s="58" t="n">
        <v>0</v>
      </c>
      <c r="BL988" s="58" t="n">
        <v>988</v>
      </c>
      <c r="BM988" s="53">
        <f>IF(S988&lt;&gt;"",UPPER(TRIM(S988)),IF(O988="","LOSE",O988))</f>
        <v/>
      </c>
      <c r="BN988" s="55">
        <f>IF(BM988="LOSE",1,IF(N(T988)&gt;0,T988,IF(N(P988)&gt;0,P988,MAX(1,G988))))</f>
        <v/>
      </c>
      <c r="BO988" s="58">
        <f>IF(BM988="LOSE",1,0)</f>
        <v/>
      </c>
      <c r="BP988" s="64">
        <f>IF(BO988=0,0,IF(N(R988)&gt;0,R988,IFERROR(VLOOKUP(D988,Parameter!$A$35:$C$64,3,0)+0,0)))</f>
        <v/>
      </c>
      <c r="BQ988" s="53">
        <f>IF(V988&lt;&gt;"",V988,U988)</f>
        <v/>
      </c>
      <c r="BR988" s="53">
        <f>IF(BQ988=1,"L1",IF(OR(BQ988=2,BQ988=3),"L23",IF(BQ988="Aussen","Aussen","-")))</f>
        <v/>
      </c>
      <c r="BS988" s="66">
        <f>IF(N(W988)&gt;0,W988,0)</f>
        <v/>
      </c>
      <c r="BT988" s="58">
        <f>IF(ISNUMBER(Z988),1,0)</f>
        <v/>
      </c>
      <c r="BU988" s="55">
        <f>N(Z988)</f>
        <v/>
      </c>
      <c r="BV988" s="55">
        <f>N(L988)+N(M988)</f>
        <v/>
      </c>
      <c r="BW988" s="55">
        <f>ROUNDUP(G988/BN988,0)</f>
        <v/>
      </c>
      <c r="BX988" s="55">
        <f>ROUNDUP(BU988/BN988,0)</f>
        <v/>
      </c>
      <c r="BY988" s="58">
        <f>IF(BO988=1,0,IFERROR(VLOOKUP(BM988,'Gebinde-Kategorie'!$A$5:$G$45,5,0)+0,0))</f>
        <v/>
      </c>
      <c r="BZ988" s="58">
        <f>IFERROR(IF(OR(BQ988=1,BQ988=2,BQ988=3),N(INDEX(Parameter!$I$5:$I$7,BQ988)),0),0)</f>
        <v/>
      </c>
    </row>
    <row r="989">
      <c r="A989" s="53" t="inlineStr">
        <is>
          <t>101658</t>
        </is>
      </c>
      <c r="B989" s="53" t="inlineStr">
        <is>
          <t>Reduzierverschraubung Edelstahl</t>
        </is>
      </c>
      <c r="C989" s="53" t="inlineStr">
        <is>
          <t>F</t>
        </is>
      </c>
      <c r="D989" s="53" t="inlineStr">
        <is>
          <t>KTL</t>
        </is>
      </c>
      <c r="E989" s="53" t="inlineStr">
        <is>
          <t>C</t>
        </is>
      </c>
      <c r="F989" s="54" t="n">
        <v>20.42</v>
      </c>
      <c r="G989" s="55">
        <f>MAX(0,IF(Parameter!$B$20="Jahresanfang 2025 + Export",BG989+BF989,BF989))</f>
        <v/>
      </c>
      <c r="H989" s="55">
        <f>G989*F989</f>
        <v/>
      </c>
      <c r="I989" s="55">
        <f>BI989*Parameter!$B$18</f>
        <v/>
      </c>
      <c r="J989" s="56" t="n">
        <v>60</v>
      </c>
      <c r="K989" s="57" t="n">
        <v>0</v>
      </c>
      <c r="L989" s="55" t="n">
        <v>0</v>
      </c>
      <c r="M989" s="55" t="n">
        <v>1</v>
      </c>
      <c r="N989" s="58" t="n">
        <v>14</v>
      </c>
      <c r="O989" s="53" t="inlineStr">
        <is>
          <t>S33</t>
        </is>
      </c>
      <c r="P989" s="55" t="n">
        <v>88</v>
      </c>
      <c r="Q989" s="59">
        <f>IF(BO989=1,0,IFERROR(VLOOKUP(BM989,'Gebinde-Kategorie'!$A$5:$G$45,6,0)+0,0))</f>
        <v/>
      </c>
      <c r="R989" s="60" t="n"/>
      <c r="S989" s="61" t="n"/>
      <c r="T989" s="61" t="n"/>
      <c r="U989" s="53">
        <f>IF(A989="","",IF(IFERROR(VLOOKUP(D989,Parameter!$A$35:$C$64,2,0),"Nein")="2+3",IF(ISNUMBER(SEARCH("grosser Artikel",BJ989)),2,IFERROR(VLOOKUP(BM989,Parameter!$F$35:$G$64,2,0),2)),IF(OR(IFERROR(VLOOKUP(D989,Parameter!$A$35:$C$64,2,0),"Nein")="Nein",IFERROR(VLOOKUP(D989,Parameter!$A$35:$C$64,2,0),"Nein")=""),"-",VLOOKUP(D989,Parameter!$A$35:$C$64,2,0))))</f>
        <v/>
      </c>
      <c r="V989" s="61" t="n"/>
      <c r="W989" s="62" t="n"/>
      <c r="X989" s="55">
        <f>AM989</f>
        <v/>
      </c>
      <c r="Y989" s="55">
        <f>MAX(AM989,G989)</f>
        <v/>
      </c>
      <c r="Z989" s="63" t="n"/>
      <c r="AA989" s="55">
        <f>IF(LEFT(Cockpit!$C$5,1)="A",G989,IF(BT989=1,BU989,IF(LEFT(Cockpit!$C$5,1)="B",AE989,MAX(AE989,G989))))</f>
        <v/>
      </c>
      <c r="AB989" s="55">
        <f>IF(BO989=1,0,ROUNDUP(AA989/BN989,0))</f>
        <v/>
      </c>
      <c r="AC989" s="64">
        <f>IF(BO989=1,IF(AA989&lt;=0,0,BP989*MAX(1,IF(G989&gt;0,AA989/G989,1))),AB989*Q989)</f>
        <v/>
      </c>
      <c r="AD989" s="55">
        <f>AA989*F989</f>
        <v/>
      </c>
      <c r="AE989" s="55">
        <f>ROUNDUP(MAX(I989/IF(BS989&gt;0,BS989,MAX(0.1,N(Cockpit!$C$6))),BV989)/BN989,0)*BN989</f>
        <v/>
      </c>
      <c r="AF989" s="56">
        <f>IF(AC989&gt;0,I989/AC989,-1)</f>
        <v/>
      </c>
      <c r="AG989" s="56">
        <f>IF(AND(OR(BR989="L1",BR989="L23"),AC989&gt;0),SUMIFS($AC$7:$AC$1570,$BR$7:$BR$1570,BR989,$AF$7:$AF$1570,"&gt;"&amp;AF989)+SUMIFS($AC$7:$AC$1570,$BR$7:$BR$1570,BR989,$AF$7:$AF$1570,AF989,$BL$7:$BL$1570,"&lt;="&amp;BL989),"")</f>
        <v/>
      </c>
      <c r="AH989" s="65">
        <f>IF(AG989="",0,MAX(0,MIN(1,(IF(BR989="L1",Parameter!$K$5,Parameter!$K$6+Parameter!$K$7)-(AG989-AC989))/AC989)))</f>
        <v/>
      </c>
      <c r="AI989" s="55">
        <f>IF(LEFT(Cockpit!$I$5,1)="A",G989,IF(BT989=1,BU989,IF(LEFT(Cockpit!$I$5,1)="B",AM989,MAX(AM989,G989))))</f>
        <v/>
      </c>
      <c r="AJ989" s="55">
        <f>IF(BO989=1,0,ROUNDUP(AI989/BN989,0))</f>
        <v/>
      </c>
      <c r="AK989" s="64">
        <f>IF(BO989=1,IF(AI989&lt;=0,0,BP989*MAX(1,IF(G989&gt;0,AI989/G989,1))),AJ989*Q989)</f>
        <v/>
      </c>
      <c r="AL989" s="55">
        <f>AI989*F989</f>
        <v/>
      </c>
      <c r="AM989" s="55">
        <f>ROUNDUP(MAX(I989/IF(BS989&gt;0,BS989,MAX(0.1,N(Cockpit!$I$6))),BV989)/BN989,0)*BN989</f>
        <v/>
      </c>
      <c r="AN989" s="56">
        <f>IF(AK989&gt;0,I989/AK989,-1)</f>
        <v/>
      </c>
      <c r="AO989" s="56">
        <f>IF(AND(OR(BR989="L1",BR989="L23"),AK989&gt;0),SUMIFS($AK$7:$AK$1570,$BR$7:$BR$1570,BR989,$AN$7:$AN$1570,"&gt;"&amp;AN989)+SUMIFS($AK$7:$AK$1570,$BR$7:$BR$1570,BR989,$AN$7:$AN$1570,AN989,$BL$7:$BL$1570,"&lt;="&amp;BL989),"")</f>
        <v/>
      </c>
      <c r="AP989" s="65">
        <f>IF(AO989="",0,MAX(0,MIN(1,(IF(BR989="L1",Parameter!$K$5,Parameter!$K$6+Parameter!$K$7)-(AO989-AK989))/AK989)))</f>
        <v/>
      </c>
      <c r="AQ989" s="55">
        <f>IF(LEFT(Cockpit!$O$5,1)="A",G989,IF(BT989=1,BU989,IF(LEFT(Cockpit!$O$5,1)="B",AU989,MAX(AU989,G989))))</f>
        <v/>
      </c>
      <c r="AR989" s="55">
        <f>IF(BO989=1,0,ROUNDUP(AQ989/BN989,0))</f>
        <v/>
      </c>
      <c r="AS989" s="64">
        <f>IF(BO989=1,IF(AQ989&lt;=0,0,BP989*MAX(1,IF(G989&gt;0,AQ989/G989,1))),AR989*Q989)</f>
        <v/>
      </c>
      <c r="AT989" s="55">
        <f>AQ989*F989</f>
        <v/>
      </c>
      <c r="AU989" s="55">
        <f>ROUNDUP(MAX(I989/IF(BS989&gt;0,BS989,MAX(0.1,N(Cockpit!$O$6))),BV989)/BN989,0)*BN989</f>
        <v/>
      </c>
      <c r="AV989" s="56">
        <f>IF(AS989&gt;0,I989/AS989,-1)</f>
        <v/>
      </c>
      <c r="AW989" s="56">
        <f>IF(AND(OR(BR989="L1",BR989="L23"),AS989&gt;0),SUMIFS($AS$7:$AS$1570,$BR$7:$BR$1570,BR989,$AV$7:$AV$1570,"&gt;"&amp;AV989)+SUMIFS($AS$7:$AS$1570,$BR$7:$BR$1570,BR989,$AV$7:$AV$1570,AV989,$BL$7:$BL$1570,"&lt;="&amp;BL989),"")</f>
        <v/>
      </c>
      <c r="AX989" s="65">
        <f>IF(AW989="",0,MAX(0,MIN(1,(IF(BR989="L1",Parameter!$K$5,Parameter!$K$6+Parameter!$K$7)-(AW989-AS989))/AS989)))</f>
        <v/>
      </c>
      <c r="AY989" s="53">
        <f>IF(AC989&lt;=0,"",IF(BR989="Aussen","Aussenlager",IF(BR989="-","Nicht im Lift",IF(AH989&gt;=1,"Lift",IF(AH989&lt;=0,"Aussenlager","teilweise")))))</f>
        <v/>
      </c>
      <c r="AZ989" s="53">
        <f>IF(AK989&lt;=0,"",IF(BR989="Aussen","Aussenlager",IF(BR989="-","Nicht im Lift",IF(AP989&gt;=1,"Lift",IF(AP989&lt;=0,"Aussenlager","teilweise")))))</f>
        <v/>
      </c>
      <c r="BA989" s="53">
        <f>IF(AS989&lt;=0,"",IF(BR989="Aussen","Aussenlager",IF(BR989="-","Nicht im Lift",IF(AX989&gt;=1,"Lift",IF(AX989&lt;=0,"Aussenlager","teilweise")))))</f>
        <v/>
      </c>
      <c r="BB989" s="53">
        <f>IF(A989="","",IF(BK989=1,"Neu; ","")&amp;IF(AND(BK989=0,BF989&lt;0),"negativer Bestand (Export "&amp;BF989&amp;"); ","")&amp;IF(I989&lt;=0,"Kein Verbrauch; ","")&amp;IF(BO989=1,"Lose – Fläche geschätzt; ","")&amp;IF(G989&gt;AM989,"Überbestand "&amp;ROUND(G989-AM989,0)&amp;" Stk / CHF "&amp;ROUND((G989-AM989)*F989,0)&amp;"; ","")&amp;IF(AND(BT989=1,BU989&lt;BV989),"MAX &lt; MB+LG; ","")&amp;IF(AND(BZ989&gt;0,BY989*10&gt;BZ989),"zu hoch für Tablar; ","")&amp;IF(AND(BK989=0,OR(BT989=1,V989&lt;&gt;"",S989&lt;&gt;"",T989&lt;&gt;"",W989&lt;&gt;"")),"manuell übersteuert; ","")&amp;IF(AND(BO989=0,Q989=0),"Gebinde unbekannt; ","")&amp;IF(AND(BO989=0,N(T989)&lt;=0,N(P989)&lt;=0),"Menge pro Gebinde fehlt (Ist = 1 Gebinde); ","")&amp;BJ989)</f>
        <v/>
      </c>
      <c r="BC989" s="53" t="n"/>
      <c r="BD989" s="53" t="n"/>
      <c r="BE989" s="61" t="n"/>
      <c r="BF989" s="55" t="n">
        <v>-4</v>
      </c>
      <c r="BG989" s="55" t="n">
        <v>60</v>
      </c>
      <c r="BH989" s="54" t="n">
        <v>-81.68000000000001</v>
      </c>
      <c r="BI989" s="55" t="n">
        <v>0</v>
      </c>
      <c r="BJ989" s="53" t="inlineStr">
        <is>
          <t>Überbestand</t>
        </is>
      </c>
      <c r="BK989" s="58" t="n">
        <v>0</v>
      </c>
      <c r="BL989" s="58" t="n">
        <v>989</v>
      </c>
      <c r="BM989" s="53">
        <f>IF(S989&lt;&gt;"",UPPER(TRIM(S989)),IF(O989="","LOSE",O989))</f>
        <v/>
      </c>
      <c r="BN989" s="55">
        <f>IF(BM989="LOSE",1,IF(N(T989)&gt;0,T989,IF(N(P989)&gt;0,P989,MAX(1,G989))))</f>
        <v/>
      </c>
      <c r="BO989" s="58">
        <f>IF(BM989="LOSE",1,0)</f>
        <v/>
      </c>
      <c r="BP989" s="64">
        <f>IF(BO989=0,0,IF(N(R989)&gt;0,R989,IFERROR(VLOOKUP(D989,Parameter!$A$35:$C$64,3,0)+0,0)))</f>
        <v/>
      </c>
      <c r="BQ989" s="53">
        <f>IF(V989&lt;&gt;"",V989,U989)</f>
        <v/>
      </c>
      <c r="BR989" s="53">
        <f>IF(BQ989=1,"L1",IF(OR(BQ989=2,BQ989=3),"L23",IF(BQ989="Aussen","Aussen","-")))</f>
        <v/>
      </c>
      <c r="BS989" s="66">
        <f>IF(N(W989)&gt;0,W989,0)</f>
        <v/>
      </c>
      <c r="BT989" s="58">
        <f>IF(ISNUMBER(Z989),1,0)</f>
        <v/>
      </c>
      <c r="BU989" s="55">
        <f>N(Z989)</f>
        <v/>
      </c>
      <c r="BV989" s="55">
        <f>N(L989)+N(M989)</f>
        <v/>
      </c>
      <c r="BW989" s="55">
        <f>ROUNDUP(G989/BN989,0)</f>
        <v/>
      </c>
      <c r="BX989" s="55">
        <f>ROUNDUP(BU989/BN989,0)</f>
        <v/>
      </c>
      <c r="BY989" s="58">
        <f>IF(BO989=1,0,IFERROR(VLOOKUP(BM989,'Gebinde-Kategorie'!$A$5:$G$45,5,0)+0,0))</f>
        <v/>
      </c>
      <c r="BZ989" s="58">
        <f>IFERROR(IF(OR(BQ989=1,BQ989=2,BQ989=3),N(INDEX(Parameter!$I$5:$I$7,BQ989)),0),0)</f>
        <v/>
      </c>
    </row>
    <row r="990">
      <c r="A990" s="53" t="inlineStr">
        <is>
          <t>102395</t>
        </is>
      </c>
      <c r="B990" s="53" t="inlineStr">
        <is>
          <t>Unterlagsscheibe</t>
        </is>
      </c>
      <c r="C990" s="53" t="inlineStr">
        <is>
          <t>F</t>
        </is>
      </c>
      <c r="D990" s="53" t="inlineStr">
        <is>
          <t>KTL</t>
        </is>
      </c>
      <c r="E990" s="53" t="inlineStr">
        <is>
          <t>C</t>
        </is>
      </c>
      <c r="F990" s="54" t="n">
        <v>0.32</v>
      </c>
      <c r="G990" s="55">
        <f>MAX(0,IF(Parameter!$B$20="Jahresanfang 2025 + Export",BG990+BF990,BF990))</f>
        <v/>
      </c>
      <c r="H990" s="55">
        <f>G990*F990</f>
        <v/>
      </c>
      <c r="I990" s="55">
        <f>BI990*Parameter!$B$18</f>
        <v/>
      </c>
      <c r="J990" s="56" t="n">
        <v>691.5</v>
      </c>
      <c r="K990" s="57" t="n">
        <v>0.2024584237165582</v>
      </c>
      <c r="L990" s="55" t="n">
        <v>8</v>
      </c>
      <c r="M990" s="55" t="n">
        <v>200</v>
      </c>
      <c r="N990" s="58" t="n">
        <v>21</v>
      </c>
      <c r="O990" s="53" t="inlineStr">
        <is>
          <t>S22</t>
        </is>
      </c>
      <c r="P990" s="55" t="n">
        <v>787</v>
      </c>
      <c r="Q990" s="59">
        <f>IF(BO990=1,0,IFERROR(VLOOKUP(BM990,'Gebinde-Kategorie'!$A$5:$G$45,6,0)+0,0))</f>
        <v/>
      </c>
      <c r="R990" s="60" t="n"/>
      <c r="S990" s="61" t="n"/>
      <c r="T990" s="61" t="n"/>
      <c r="U990" s="53">
        <f>IF(A990="","",IF(IFERROR(VLOOKUP(D990,Parameter!$A$35:$C$64,2,0),"Nein")="2+3",IF(ISNUMBER(SEARCH("grosser Artikel",BJ990)),2,IFERROR(VLOOKUP(BM990,Parameter!$F$35:$G$64,2,0),2)),IF(OR(IFERROR(VLOOKUP(D990,Parameter!$A$35:$C$64,2,0),"Nein")="Nein",IFERROR(VLOOKUP(D990,Parameter!$A$35:$C$64,2,0),"Nein")=""),"-",VLOOKUP(D990,Parameter!$A$35:$C$64,2,0))))</f>
        <v/>
      </c>
      <c r="V990" s="61" t="n"/>
      <c r="W990" s="62" t="n"/>
      <c r="X990" s="55">
        <f>AM990</f>
        <v/>
      </c>
      <c r="Y990" s="55">
        <f>MAX(AM990,G990)</f>
        <v/>
      </c>
      <c r="Z990" s="63" t="n"/>
      <c r="AA990" s="55">
        <f>IF(LEFT(Cockpit!$C$5,1)="A",G990,IF(BT990=1,BU990,IF(LEFT(Cockpit!$C$5,1)="B",AE990,MAX(AE990,G990))))</f>
        <v/>
      </c>
      <c r="AB990" s="55">
        <f>IF(BO990=1,0,ROUNDUP(AA990/BN990,0))</f>
        <v/>
      </c>
      <c r="AC990" s="64">
        <f>IF(BO990=1,IF(AA990&lt;=0,0,BP990*MAX(1,IF(G990&gt;0,AA990/G990,1))),AB990*Q990)</f>
        <v/>
      </c>
      <c r="AD990" s="55">
        <f>AA990*F990</f>
        <v/>
      </c>
      <c r="AE990" s="55">
        <f>ROUNDUP(MAX(I990/IF(BS990&gt;0,BS990,MAX(0.1,N(Cockpit!$C$6))),BV990)/BN990,0)*BN990</f>
        <v/>
      </c>
      <c r="AF990" s="56">
        <f>IF(AC990&gt;0,I990/AC990,-1)</f>
        <v/>
      </c>
      <c r="AG990" s="56">
        <f>IF(AND(OR(BR990="L1",BR990="L23"),AC990&gt;0),SUMIFS($AC$7:$AC$1570,$BR$7:$BR$1570,BR990,$AF$7:$AF$1570,"&gt;"&amp;AF990)+SUMIFS($AC$7:$AC$1570,$BR$7:$BR$1570,BR990,$AF$7:$AF$1570,AF990,$BL$7:$BL$1570,"&lt;="&amp;BL990),"")</f>
        <v/>
      </c>
      <c r="AH990" s="65">
        <f>IF(AG990="",0,MAX(0,MIN(1,(IF(BR990="L1",Parameter!$K$5,Parameter!$K$6+Parameter!$K$7)-(AG990-AC990))/AC990)))</f>
        <v/>
      </c>
      <c r="AI990" s="55">
        <f>IF(LEFT(Cockpit!$I$5,1)="A",G990,IF(BT990=1,BU990,IF(LEFT(Cockpit!$I$5,1)="B",AM990,MAX(AM990,G990))))</f>
        <v/>
      </c>
      <c r="AJ990" s="55">
        <f>IF(BO990=1,0,ROUNDUP(AI990/BN990,0))</f>
        <v/>
      </c>
      <c r="AK990" s="64">
        <f>IF(BO990=1,IF(AI990&lt;=0,0,BP990*MAX(1,IF(G990&gt;0,AI990/G990,1))),AJ990*Q990)</f>
        <v/>
      </c>
      <c r="AL990" s="55">
        <f>AI990*F990</f>
        <v/>
      </c>
      <c r="AM990" s="55">
        <f>ROUNDUP(MAX(I990/IF(BS990&gt;0,BS990,MAX(0.1,N(Cockpit!$I$6))),BV990)/BN990,0)*BN990</f>
        <v/>
      </c>
      <c r="AN990" s="56">
        <f>IF(AK990&gt;0,I990/AK990,-1)</f>
        <v/>
      </c>
      <c r="AO990" s="56">
        <f>IF(AND(OR(BR990="L1",BR990="L23"),AK990&gt;0),SUMIFS($AK$7:$AK$1570,$BR$7:$BR$1570,BR990,$AN$7:$AN$1570,"&gt;"&amp;AN990)+SUMIFS($AK$7:$AK$1570,$BR$7:$BR$1570,BR990,$AN$7:$AN$1570,AN990,$BL$7:$BL$1570,"&lt;="&amp;BL990),"")</f>
        <v/>
      </c>
      <c r="AP990" s="65">
        <f>IF(AO990="",0,MAX(0,MIN(1,(IF(BR990="L1",Parameter!$K$5,Parameter!$K$6+Parameter!$K$7)-(AO990-AK990))/AK990)))</f>
        <v/>
      </c>
      <c r="AQ990" s="55">
        <f>IF(LEFT(Cockpit!$O$5,1)="A",G990,IF(BT990=1,BU990,IF(LEFT(Cockpit!$O$5,1)="B",AU990,MAX(AU990,G990))))</f>
        <v/>
      </c>
      <c r="AR990" s="55">
        <f>IF(BO990=1,0,ROUNDUP(AQ990/BN990,0))</f>
        <v/>
      </c>
      <c r="AS990" s="64">
        <f>IF(BO990=1,IF(AQ990&lt;=0,0,BP990*MAX(1,IF(G990&gt;0,AQ990/G990,1))),AR990*Q990)</f>
        <v/>
      </c>
      <c r="AT990" s="55">
        <f>AQ990*F990</f>
        <v/>
      </c>
      <c r="AU990" s="55">
        <f>ROUNDUP(MAX(I990/IF(BS990&gt;0,BS990,MAX(0.1,N(Cockpit!$O$6))),BV990)/BN990,0)*BN990</f>
        <v/>
      </c>
      <c r="AV990" s="56">
        <f>IF(AS990&gt;0,I990/AS990,-1)</f>
        <v/>
      </c>
      <c r="AW990" s="56">
        <f>IF(AND(OR(BR990="L1",BR990="L23"),AS990&gt;0),SUMIFS($AS$7:$AS$1570,$BR$7:$BR$1570,BR990,$AV$7:$AV$1570,"&gt;"&amp;AV990)+SUMIFS($AS$7:$AS$1570,$BR$7:$BR$1570,BR990,$AV$7:$AV$1570,AV990,$BL$7:$BL$1570,"&lt;="&amp;BL990),"")</f>
        <v/>
      </c>
      <c r="AX990" s="65">
        <f>IF(AW990="",0,MAX(0,MIN(1,(IF(BR990="L1",Parameter!$K$5,Parameter!$K$6+Parameter!$K$7)-(AW990-AS990))/AS990)))</f>
        <v/>
      </c>
      <c r="AY990" s="53">
        <f>IF(AC990&lt;=0,"",IF(BR990="Aussen","Aussenlager",IF(BR990="-","Nicht im Lift",IF(AH990&gt;=1,"Lift",IF(AH990&lt;=0,"Aussenlager","teilweise")))))</f>
        <v/>
      </c>
      <c r="AZ990" s="53">
        <f>IF(AK990&lt;=0,"",IF(BR990="Aussen","Aussenlager",IF(BR990="-","Nicht im Lift",IF(AP990&gt;=1,"Lift",IF(AP990&lt;=0,"Aussenlager","teilweise")))))</f>
        <v/>
      </c>
      <c r="BA990" s="53">
        <f>IF(AS990&lt;=0,"",IF(BR990="Aussen","Aussenlager",IF(BR990="-","Nicht im Lift",IF(AX990&gt;=1,"Lift",IF(AX990&lt;=0,"Aussenlager","teilweise")))))</f>
        <v/>
      </c>
      <c r="BB990" s="53">
        <f>IF(A990="","",IF(BK990=1,"Neu; ","")&amp;IF(AND(BK990=0,BF990&lt;0),"negativer Bestand (Export "&amp;BF990&amp;"); ","")&amp;IF(I990&lt;=0,"Kein Verbrauch; ","")&amp;IF(BO990=1,"Lose – Fläche geschätzt; ","")&amp;IF(G990&gt;AM990,"Überbestand "&amp;ROUND(G990-AM990,0)&amp;" Stk / CHF "&amp;ROUND((G990-AM990)*F990,0)&amp;"; ","")&amp;IF(AND(BT990=1,BU990&lt;BV990),"MAX &lt; MB+LG; ","")&amp;IF(AND(BZ990&gt;0,BY990*10&gt;BZ990),"zu hoch für Tablar; ","")&amp;IF(AND(BK990=0,OR(BT990=1,V990&lt;&gt;"",S990&lt;&gt;"",T990&lt;&gt;"",W990&lt;&gt;"")),"manuell übersteuert; ","")&amp;IF(AND(BO990=0,Q990=0),"Gebinde unbekannt; ","")&amp;IF(AND(BO990=0,N(T990)&lt;=0,N(P990)&lt;=0),"Menge pro Gebinde fehlt (Ist = 1 Gebinde); ","")&amp;BJ990)</f>
        <v/>
      </c>
      <c r="BC990" s="53" t="n"/>
      <c r="BD990" s="53" t="n"/>
      <c r="BE990" s="61" t="n"/>
      <c r="BF990" s="55" t="n">
        <v>-1036</v>
      </c>
      <c r="BG990" s="55" t="n">
        <v>1036</v>
      </c>
      <c r="BH990" s="54" t="n">
        <v>-82.88</v>
      </c>
      <c r="BI990" s="55" t="n">
        <v>140</v>
      </c>
      <c r="BJ990" s="53" t="inlineStr"/>
      <c r="BK990" s="58" t="n">
        <v>0</v>
      </c>
      <c r="BL990" s="58" t="n">
        <v>990</v>
      </c>
      <c r="BM990" s="53">
        <f>IF(S990&lt;&gt;"",UPPER(TRIM(S990)),IF(O990="","LOSE",O990))</f>
        <v/>
      </c>
      <c r="BN990" s="55">
        <f>IF(BM990="LOSE",1,IF(N(T990)&gt;0,T990,IF(N(P990)&gt;0,P990,MAX(1,G990))))</f>
        <v/>
      </c>
      <c r="BO990" s="58">
        <f>IF(BM990="LOSE",1,0)</f>
        <v/>
      </c>
      <c r="BP990" s="64">
        <f>IF(BO990=0,0,IF(N(R990)&gt;0,R990,IFERROR(VLOOKUP(D990,Parameter!$A$35:$C$64,3,0)+0,0)))</f>
        <v/>
      </c>
      <c r="BQ990" s="53">
        <f>IF(V990&lt;&gt;"",V990,U990)</f>
        <v/>
      </c>
      <c r="BR990" s="53">
        <f>IF(BQ990=1,"L1",IF(OR(BQ990=2,BQ990=3),"L23",IF(BQ990="Aussen","Aussen","-")))</f>
        <v/>
      </c>
      <c r="BS990" s="66">
        <f>IF(N(W990)&gt;0,W990,0)</f>
        <v/>
      </c>
      <c r="BT990" s="58">
        <f>IF(ISNUMBER(Z990),1,0)</f>
        <v/>
      </c>
      <c r="BU990" s="55">
        <f>N(Z990)</f>
        <v/>
      </c>
      <c r="BV990" s="55">
        <f>N(L990)+N(M990)</f>
        <v/>
      </c>
      <c r="BW990" s="55">
        <f>ROUNDUP(G990/BN990,0)</f>
        <v/>
      </c>
      <c r="BX990" s="55">
        <f>ROUNDUP(BU990/BN990,0)</f>
        <v/>
      </c>
      <c r="BY990" s="58">
        <f>IF(BO990=1,0,IFERROR(VLOOKUP(BM990,'Gebinde-Kategorie'!$A$5:$G$45,5,0)+0,0))</f>
        <v/>
      </c>
      <c r="BZ990" s="58">
        <f>IFERROR(IF(OR(BQ990=1,BQ990=2,BQ990=3),N(INDEX(Parameter!$I$5:$I$7,BQ990)),0),0)</f>
        <v/>
      </c>
    </row>
    <row r="991">
      <c r="A991" s="53" t="inlineStr">
        <is>
          <t>107307</t>
        </is>
      </c>
      <c r="B991" s="53" t="inlineStr">
        <is>
          <t>Universalschmierpaste</t>
        </is>
      </c>
      <c r="C991" s="53" t="inlineStr">
        <is>
          <t>F</t>
        </is>
      </c>
      <c r="D991" s="53" t="inlineStr">
        <is>
          <t>KTL</t>
        </is>
      </c>
      <c r="E991" s="53" t="inlineStr">
        <is>
          <t>C</t>
        </is>
      </c>
      <c r="F991" s="54" t="n">
        <v>35.92</v>
      </c>
      <c r="G991" s="55">
        <f>MAX(0,IF(Parameter!$B$20="Jahresanfang 2025 + Export",BG991+BF991,BF991))</f>
        <v/>
      </c>
      <c r="H991" s="55">
        <f>G991*F991</f>
        <v/>
      </c>
      <c r="I991" s="55">
        <f>BI991*Parameter!$B$18</f>
        <v/>
      </c>
      <c r="J991" s="56" t="n">
        <v>5</v>
      </c>
      <c r="K991" s="57" t="n">
        <v>1</v>
      </c>
      <c r="L991" s="55" t="n">
        <v>0</v>
      </c>
      <c r="M991" s="55" t="n">
        <v>5</v>
      </c>
      <c r="N991" s="58" t="n">
        <v>21</v>
      </c>
      <c r="O991" s="53" t="inlineStr">
        <is>
          <t>S51</t>
        </is>
      </c>
      <c r="P991" s="55" t="n">
        <v>11</v>
      </c>
      <c r="Q991" s="59">
        <f>IF(BO991=1,0,IFERROR(VLOOKUP(BM991,'Gebinde-Kategorie'!$A$5:$G$45,6,0)+0,0))</f>
        <v/>
      </c>
      <c r="R991" s="60" t="n"/>
      <c r="S991" s="61" t="n"/>
      <c r="T991" s="61" t="n"/>
      <c r="U991" s="53">
        <f>IF(A991="","",IF(IFERROR(VLOOKUP(D991,Parameter!$A$35:$C$64,2,0),"Nein")="2+3",IF(ISNUMBER(SEARCH("grosser Artikel",BJ991)),2,IFERROR(VLOOKUP(BM991,Parameter!$F$35:$G$64,2,0),2)),IF(OR(IFERROR(VLOOKUP(D991,Parameter!$A$35:$C$64,2,0),"Nein")="Nein",IFERROR(VLOOKUP(D991,Parameter!$A$35:$C$64,2,0),"Nein")=""),"-",VLOOKUP(D991,Parameter!$A$35:$C$64,2,0))))</f>
        <v/>
      </c>
      <c r="V991" s="61" t="n"/>
      <c r="W991" s="62" t="n"/>
      <c r="X991" s="55">
        <f>AM991</f>
        <v/>
      </c>
      <c r="Y991" s="55">
        <f>MAX(AM991,G991)</f>
        <v/>
      </c>
      <c r="Z991" s="63" t="n"/>
      <c r="AA991" s="55">
        <f>IF(LEFT(Cockpit!$C$5,1)="A",G991,IF(BT991=1,BU991,IF(LEFT(Cockpit!$C$5,1)="B",AE991,MAX(AE991,G991))))</f>
        <v/>
      </c>
      <c r="AB991" s="55">
        <f>IF(BO991=1,0,ROUNDUP(AA991/BN991,0))</f>
        <v/>
      </c>
      <c r="AC991" s="64">
        <f>IF(BO991=1,IF(AA991&lt;=0,0,BP991*MAX(1,IF(G991&gt;0,AA991/G991,1))),AB991*Q991)</f>
        <v/>
      </c>
      <c r="AD991" s="55">
        <f>AA991*F991</f>
        <v/>
      </c>
      <c r="AE991" s="55">
        <f>ROUNDUP(MAX(I991/IF(BS991&gt;0,BS991,MAX(0.1,N(Cockpit!$C$6))),BV991)/BN991,0)*BN991</f>
        <v/>
      </c>
      <c r="AF991" s="56">
        <f>IF(AC991&gt;0,I991/AC991,-1)</f>
        <v/>
      </c>
      <c r="AG991" s="56">
        <f>IF(AND(OR(BR991="L1",BR991="L23"),AC991&gt;0),SUMIFS($AC$7:$AC$1570,$BR$7:$BR$1570,BR991,$AF$7:$AF$1570,"&gt;"&amp;AF991)+SUMIFS($AC$7:$AC$1570,$BR$7:$BR$1570,BR991,$AF$7:$AF$1570,AF991,$BL$7:$BL$1570,"&lt;="&amp;BL991),"")</f>
        <v/>
      </c>
      <c r="AH991" s="65">
        <f>IF(AG991="",0,MAX(0,MIN(1,(IF(BR991="L1",Parameter!$K$5,Parameter!$K$6+Parameter!$K$7)-(AG991-AC991))/AC991)))</f>
        <v/>
      </c>
      <c r="AI991" s="55">
        <f>IF(LEFT(Cockpit!$I$5,1)="A",G991,IF(BT991=1,BU991,IF(LEFT(Cockpit!$I$5,1)="B",AM991,MAX(AM991,G991))))</f>
        <v/>
      </c>
      <c r="AJ991" s="55">
        <f>IF(BO991=1,0,ROUNDUP(AI991/BN991,0))</f>
        <v/>
      </c>
      <c r="AK991" s="64">
        <f>IF(BO991=1,IF(AI991&lt;=0,0,BP991*MAX(1,IF(G991&gt;0,AI991/G991,1))),AJ991*Q991)</f>
        <v/>
      </c>
      <c r="AL991" s="55">
        <f>AI991*F991</f>
        <v/>
      </c>
      <c r="AM991" s="55">
        <f>ROUNDUP(MAX(I991/IF(BS991&gt;0,BS991,MAX(0.1,N(Cockpit!$I$6))),BV991)/BN991,0)*BN991</f>
        <v/>
      </c>
      <c r="AN991" s="56">
        <f>IF(AK991&gt;0,I991/AK991,-1)</f>
        <v/>
      </c>
      <c r="AO991" s="56">
        <f>IF(AND(OR(BR991="L1",BR991="L23"),AK991&gt;0),SUMIFS($AK$7:$AK$1570,$BR$7:$BR$1570,BR991,$AN$7:$AN$1570,"&gt;"&amp;AN991)+SUMIFS($AK$7:$AK$1570,$BR$7:$BR$1570,BR991,$AN$7:$AN$1570,AN991,$BL$7:$BL$1570,"&lt;="&amp;BL991),"")</f>
        <v/>
      </c>
      <c r="AP991" s="65">
        <f>IF(AO991="",0,MAX(0,MIN(1,(IF(BR991="L1",Parameter!$K$5,Parameter!$K$6+Parameter!$K$7)-(AO991-AK991))/AK991)))</f>
        <v/>
      </c>
      <c r="AQ991" s="55">
        <f>IF(LEFT(Cockpit!$O$5,1)="A",G991,IF(BT991=1,BU991,IF(LEFT(Cockpit!$O$5,1)="B",AU991,MAX(AU991,G991))))</f>
        <v/>
      </c>
      <c r="AR991" s="55">
        <f>IF(BO991=1,0,ROUNDUP(AQ991/BN991,0))</f>
        <v/>
      </c>
      <c r="AS991" s="64">
        <f>IF(BO991=1,IF(AQ991&lt;=0,0,BP991*MAX(1,IF(G991&gt;0,AQ991/G991,1))),AR991*Q991)</f>
        <v/>
      </c>
      <c r="AT991" s="55">
        <f>AQ991*F991</f>
        <v/>
      </c>
      <c r="AU991" s="55">
        <f>ROUNDUP(MAX(I991/IF(BS991&gt;0,BS991,MAX(0.1,N(Cockpit!$O$6))),BV991)/BN991,0)*BN991</f>
        <v/>
      </c>
      <c r="AV991" s="56">
        <f>IF(AS991&gt;0,I991/AS991,-1)</f>
        <v/>
      </c>
      <c r="AW991" s="56">
        <f>IF(AND(OR(BR991="L1",BR991="L23"),AS991&gt;0),SUMIFS($AS$7:$AS$1570,$BR$7:$BR$1570,BR991,$AV$7:$AV$1570,"&gt;"&amp;AV991)+SUMIFS($AS$7:$AS$1570,$BR$7:$BR$1570,BR991,$AV$7:$AV$1570,AV991,$BL$7:$BL$1570,"&lt;="&amp;BL991),"")</f>
        <v/>
      </c>
      <c r="AX991" s="65">
        <f>IF(AW991="",0,MAX(0,MIN(1,(IF(BR991="L1",Parameter!$K$5,Parameter!$K$6+Parameter!$K$7)-(AW991-AS991))/AS991)))</f>
        <v/>
      </c>
      <c r="AY991" s="53">
        <f>IF(AC991&lt;=0,"",IF(BR991="Aussen","Aussenlager",IF(BR991="-","Nicht im Lift",IF(AH991&gt;=1,"Lift",IF(AH991&lt;=0,"Aussenlager","teilweise")))))</f>
        <v/>
      </c>
      <c r="AZ991" s="53">
        <f>IF(AK991&lt;=0,"",IF(BR991="Aussen","Aussenlager",IF(BR991="-","Nicht im Lift",IF(AP991&gt;=1,"Lift",IF(AP991&lt;=0,"Aussenlager","teilweise")))))</f>
        <v/>
      </c>
      <c r="BA991" s="53">
        <f>IF(AS991&lt;=0,"",IF(BR991="Aussen","Aussenlager",IF(BR991="-","Nicht im Lift",IF(AX991&gt;=1,"Lift",IF(AX991&lt;=0,"Aussenlager","teilweise")))))</f>
        <v/>
      </c>
      <c r="BB991" s="53">
        <f>IF(A991="","",IF(BK991=1,"Neu; ","")&amp;IF(AND(BK991=0,BF991&lt;0),"negativer Bestand (Export "&amp;BF991&amp;"); ","")&amp;IF(I991&lt;=0,"Kein Verbrauch; ","")&amp;IF(BO991=1,"Lose – Fläche geschätzt; ","")&amp;IF(G991&gt;AM991,"Überbestand "&amp;ROUND(G991-AM991,0)&amp;" Stk / CHF "&amp;ROUND((G991-AM991)*F991,0)&amp;"; ","")&amp;IF(AND(BT991=1,BU991&lt;BV991),"MAX &lt; MB+LG; ","")&amp;IF(AND(BZ991&gt;0,BY991*10&gt;BZ991),"zu hoch für Tablar; ","")&amp;IF(AND(BK991=0,OR(BT991=1,V991&lt;&gt;"",S991&lt;&gt;"",T991&lt;&gt;"",W991&lt;&gt;"")),"manuell übersteuert; ","")&amp;IF(AND(BO991=0,Q991=0),"Gebinde unbekannt; ","")&amp;IF(AND(BO991=0,N(T991)&lt;=0,N(P991)&lt;=0),"Menge pro Gebinde fehlt (Ist = 1 Gebinde); ","")&amp;BJ991)</f>
        <v/>
      </c>
      <c r="BC991" s="53" t="n"/>
      <c r="BD991" s="53" t="n"/>
      <c r="BE991" s="61" t="n"/>
      <c r="BF991" s="55" t="n">
        <v>-3</v>
      </c>
      <c r="BG991" s="55" t="n">
        <v>6</v>
      </c>
      <c r="BH991" s="54" t="n">
        <v>-84.83999999999997</v>
      </c>
      <c r="BI991" s="55" t="n">
        <v>5</v>
      </c>
      <c r="BJ991" s="53" t="inlineStr"/>
      <c r="BK991" s="58" t="n">
        <v>0</v>
      </c>
      <c r="BL991" s="58" t="n">
        <v>991</v>
      </c>
      <c r="BM991" s="53">
        <f>IF(S991&lt;&gt;"",UPPER(TRIM(S991)),IF(O991="","LOSE",O991))</f>
        <v/>
      </c>
      <c r="BN991" s="55">
        <f>IF(BM991="LOSE",1,IF(N(T991)&gt;0,T991,IF(N(P991)&gt;0,P991,MAX(1,G991))))</f>
        <v/>
      </c>
      <c r="BO991" s="58">
        <f>IF(BM991="LOSE",1,0)</f>
        <v/>
      </c>
      <c r="BP991" s="64">
        <f>IF(BO991=0,0,IF(N(R991)&gt;0,R991,IFERROR(VLOOKUP(D991,Parameter!$A$35:$C$64,3,0)+0,0)))</f>
        <v/>
      </c>
      <c r="BQ991" s="53">
        <f>IF(V991&lt;&gt;"",V991,U991)</f>
        <v/>
      </c>
      <c r="BR991" s="53">
        <f>IF(BQ991=1,"L1",IF(OR(BQ991=2,BQ991=3),"L23",IF(BQ991="Aussen","Aussen","-")))</f>
        <v/>
      </c>
      <c r="BS991" s="66">
        <f>IF(N(W991)&gt;0,W991,0)</f>
        <v/>
      </c>
      <c r="BT991" s="58">
        <f>IF(ISNUMBER(Z991),1,0)</f>
        <v/>
      </c>
      <c r="BU991" s="55">
        <f>N(Z991)</f>
        <v/>
      </c>
      <c r="BV991" s="55">
        <f>N(L991)+N(M991)</f>
        <v/>
      </c>
      <c r="BW991" s="55">
        <f>ROUNDUP(G991/BN991,0)</f>
        <v/>
      </c>
      <c r="BX991" s="55">
        <f>ROUNDUP(BU991/BN991,0)</f>
        <v/>
      </c>
      <c r="BY991" s="58">
        <f>IF(BO991=1,0,IFERROR(VLOOKUP(BM991,'Gebinde-Kategorie'!$A$5:$G$45,5,0)+0,0))</f>
        <v/>
      </c>
      <c r="BZ991" s="58">
        <f>IFERROR(IF(OR(BQ991=1,BQ991=2,BQ991=3),N(INDEX(Parameter!$I$5:$I$7,BQ991)),0),0)</f>
        <v/>
      </c>
    </row>
    <row r="992">
      <c r="A992" s="53" t="inlineStr">
        <is>
          <t>103394</t>
        </is>
      </c>
      <c r="B992" s="53" t="inlineStr">
        <is>
          <t>Gewindebohrer</t>
        </is>
      </c>
      <c r="C992" s="53" t="inlineStr">
        <is>
          <t>F</t>
        </is>
      </c>
      <c r="D992" s="53" t="inlineStr">
        <is>
          <t>KTL</t>
        </is>
      </c>
      <c r="E992" s="53" t="inlineStr">
        <is>
          <t>C</t>
        </is>
      </c>
      <c r="F992" s="54" t="n">
        <v>43.78</v>
      </c>
      <c r="G992" s="55">
        <f>MAX(0,IF(Parameter!$B$20="Jahresanfang 2025 + Export",BG992+BF992,BF992))</f>
        <v/>
      </c>
      <c r="H992" s="55">
        <f>G992*F992</f>
        <v/>
      </c>
      <c r="I992" s="55">
        <f>BI992*Parameter!$B$18</f>
        <v/>
      </c>
      <c r="J992" s="56" t="n">
        <v>13.5</v>
      </c>
      <c r="K992" s="57" t="n">
        <v>0.2962962962962963</v>
      </c>
      <c r="L992" s="55" t="n">
        <v>0</v>
      </c>
      <c r="M992" s="55" t="n">
        <v>5</v>
      </c>
      <c r="N992" s="58" t="n">
        <v>16</v>
      </c>
      <c r="O992" s="53" t="inlineStr">
        <is>
          <t>S22</t>
        </is>
      </c>
      <c r="P992" s="55" t="n">
        <v>17</v>
      </c>
      <c r="Q992" s="59">
        <f>IF(BO992=1,0,IFERROR(VLOOKUP(BM992,'Gebinde-Kategorie'!$A$5:$G$45,6,0)+0,0))</f>
        <v/>
      </c>
      <c r="R992" s="60" t="n"/>
      <c r="S992" s="61" t="n"/>
      <c r="T992" s="61" t="n"/>
      <c r="U992" s="53">
        <f>IF(A992="","",IF(IFERROR(VLOOKUP(D992,Parameter!$A$35:$C$64,2,0),"Nein")="2+3",IF(ISNUMBER(SEARCH("grosser Artikel",BJ992)),2,IFERROR(VLOOKUP(BM992,Parameter!$F$35:$G$64,2,0),2)),IF(OR(IFERROR(VLOOKUP(D992,Parameter!$A$35:$C$64,2,0),"Nein")="Nein",IFERROR(VLOOKUP(D992,Parameter!$A$35:$C$64,2,0),"Nein")=""),"-",VLOOKUP(D992,Parameter!$A$35:$C$64,2,0))))</f>
        <v/>
      </c>
      <c r="V992" s="61" t="n"/>
      <c r="W992" s="62" t="n"/>
      <c r="X992" s="55">
        <f>AM992</f>
        <v/>
      </c>
      <c r="Y992" s="55">
        <f>MAX(AM992,G992)</f>
        <v/>
      </c>
      <c r="Z992" s="63" t="n"/>
      <c r="AA992" s="55">
        <f>IF(LEFT(Cockpit!$C$5,1)="A",G992,IF(BT992=1,BU992,IF(LEFT(Cockpit!$C$5,1)="B",AE992,MAX(AE992,G992))))</f>
        <v/>
      </c>
      <c r="AB992" s="55">
        <f>IF(BO992=1,0,ROUNDUP(AA992/BN992,0))</f>
        <v/>
      </c>
      <c r="AC992" s="64">
        <f>IF(BO992=1,IF(AA992&lt;=0,0,BP992*MAX(1,IF(G992&gt;0,AA992/G992,1))),AB992*Q992)</f>
        <v/>
      </c>
      <c r="AD992" s="55">
        <f>AA992*F992</f>
        <v/>
      </c>
      <c r="AE992" s="55">
        <f>ROUNDUP(MAX(I992/IF(BS992&gt;0,BS992,MAX(0.1,N(Cockpit!$C$6))),BV992)/BN992,0)*BN992</f>
        <v/>
      </c>
      <c r="AF992" s="56">
        <f>IF(AC992&gt;0,I992/AC992,-1)</f>
        <v/>
      </c>
      <c r="AG992" s="56">
        <f>IF(AND(OR(BR992="L1",BR992="L23"),AC992&gt;0),SUMIFS($AC$7:$AC$1570,$BR$7:$BR$1570,BR992,$AF$7:$AF$1570,"&gt;"&amp;AF992)+SUMIFS($AC$7:$AC$1570,$BR$7:$BR$1570,BR992,$AF$7:$AF$1570,AF992,$BL$7:$BL$1570,"&lt;="&amp;BL992),"")</f>
        <v/>
      </c>
      <c r="AH992" s="65">
        <f>IF(AG992="",0,MAX(0,MIN(1,(IF(BR992="L1",Parameter!$K$5,Parameter!$K$6+Parameter!$K$7)-(AG992-AC992))/AC992)))</f>
        <v/>
      </c>
      <c r="AI992" s="55">
        <f>IF(LEFT(Cockpit!$I$5,1)="A",G992,IF(BT992=1,BU992,IF(LEFT(Cockpit!$I$5,1)="B",AM992,MAX(AM992,G992))))</f>
        <v/>
      </c>
      <c r="AJ992" s="55">
        <f>IF(BO992=1,0,ROUNDUP(AI992/BN992,0))</f>
        <v/>
      </c>
      <c r="AK992" s="64">
        <f>IF(BO992=1,IF(AI992&lt;=0,0,BP992*MAX(1,IF(G992&gt;0,AI992/G992,1))),AJ992*Q992)</f>
        <v/>
      </c>
      <c r="AL992" s="55">
        <f>AI992*F992</f>
        <v/>
      </c>
      <c r="AM992" s="55">
        <f>ROUNDUP(MAX(I992/IF(BS992&gt;0,BS992,MAX(0.1,N(Cockpit!$I$6))),BV992)/BN992,0)*BN992</f>
        <v/>
      </c>
      <c r="AN992" s="56">
        <f>IF(AK992&gt;0,I992/AK992,-1)</f>
        <v/>
      </c>
      <c r="AO992" s="56">
        <f>IF(AND(OR(BR992="L1",BR992="L23"),AK992&gt;0),SUMIFS($AK$7:$AK$1570,$BR$7:$BR$1570,BR992,$AN$7:$AN$1570,"&gt;"&amp;AN992)+SUMIFS($AK$7:$AK$1570,$BR$7:$BR$1570,BR992,$AN$7:$AN$1570,AN992,$BL$7:$BL$1570,"&lt;="&amp;BL992),"")</f>
        <v/>
      </c>
      <c r="AP992" s="65">
        <f>IF(AO992="",0,MAX(0,MIN(1,(IF(BR992="L1",Parameter!$K$5,Parameter!$K$6+Parameter!$K$7)-(AO992-AK992))/AK992)))</f>
        <v/>
      </c>
      <c r="AQ992" s="55">
        <f>IF(LEFT(Cockpit!$O$5,1)="A",G992,IF(BT992=1,BU992,IF(LEFT(Cockpit!$O$5,1)="B",AU992,MAX(AU992,G992))))</f>
        <v/>
      </c>
      <c r="AR992" s="55">
        <f>IF(BO992=1,0,ROUNDUP(AQ992/BN992,0))</f>
        <v/>
      </c>
      <c r="AS992" s="64">
        <f>IF(BO992=1,IF(AQ992&lt;=0,0,BP992*MAX(1,IF(G992&gt;0,AQ992/G992,1))),AR992*Q992)</f>
        <v/>
      </c>
      <c r="AT992" s="55">
        <f>AQ992*F992</f>
        <v/>
      </c>
      <c r="AU992" s="55">
        <f>ROUNDUP(MAX(I992/IF(BS992&gt;0,BS992,MAX(0.1,N(Cockpit!$O$6))),BV992)/BN992,0)*BN992</f>
        <v/>
      </c>
      <c r="AV992" s="56">
        <f>IF(AS992&gt;0,I992/AS992,-1)</f>
        <v/>
      </c>
      <c r="AW992" s="56">
        <f>IF(AND(OR(BR992="L1",BR992="L23"),AS992&gt;0),SUMIFS($AS$7:$AS$1570,$BR$7:$BR$1570,BR992,$AV$7:$AV$1570,"&gt;"&amp;AV992)+SUMIFS($AS$7:$AS$1570,$BR$7:$BR$1570,BR992,$AV$7:$AV$1570,AV992,$BL$7:$BL$1570,"&lt;="&amp;BL992),"")</f>
        <v/>
      </c>
      <c r="AX992" s="65">
        <f>IF(AW992="",0,MAX(0,MIN(1,(IF(BR992="L1",Parameter!$K$5,Parameter!$K$6+Parameter!$K$7)-(AW992-AS992))/AS992)))</f>
        <v/>
      </c>
      <c r="AY992" s="53">
        <f>IF(AC992&lt;=0,"",IF(BR992="Aussen","Aussenlager",IF(BR992="-","Nicht im Lift",IF(AH992&gt;=1,"Lift",IF(AH992&lt;=0,"Aussenlager","teilweise")))))</f>
        <v/>
      </c>
      <c r="AZ992" s="53">
        <f>IF(AK992&lt;=0,"",IF(BR992="Aussen","Aussenlager",IF(BR992="-","Nicht im Lift",IF(AP992&gt;=1,"Lift",IF(AP992&lt;=0,"Aussenlager","teilweise")))))</f>
        <v/>
      </c>
      <c r="BA992" s="53">
        <f>IF(AS992&lt;=0,"",IF(BR992="Aussen","Aussenlager",IF(BR992="-","Nicht im Lift",IF(AX992&gt;=1,"Lift",IF(AX992&lt;=0,"Aussenlager","teilweise")))))</f>
        <v/>
      </c>
      <c r="BB992" s="53">
        <f>IF(A992="","",IF(BK992=1,"Neu; ","")&amp;IF(AND(BK992=0,BF992&lt;0),"negativer Bestand (Export "&amp;BF992&amp;"); ","")&amp;IF(I992&lt;=0,"Kein Verbrauch; ","")&amp;IF(BO992=1,"Lose – Fläche geschätzt; ","")&amp;IF(G992&gt;AM992,"Überbestand "&amp;ROUND(G992-AM992,0)&amp;" Stk / CHF "&amp;ROUND((G992-AM992)*F992,0)&amp;"; ","")&amp;IF(AND(BT992=1,BU992&lt;BV992),"MAX &lt; MB+LG; ","")&amp;IF(AND(BZ992&gt;0,BY992*10&gt;BZ992),"zu hoch für Tablar; ","")&amp;IF(AND(BK992=0,OR(BT992=1,V992&lt;&gt;"",S992&lt;&gt;"",T992&lt;&gt;"",W992&lt;&gt;"")),"manuell übersteuert; ","")&amp;IF(AND(BO992=0,Q992=0),"Gebinde unbekannt; ","")&amp;IF(AND(BO992=0,N(T992)&lt;=0,N(P992)&lt;=0),"Menge pro Gebinde fehlt (Ist = 1 Gebinde); ","")&amp;BJ992)</f>
        <v/>
      </c>
      <c r="BC992" s="53" t="n"/>
      <c r="BD992" s="53" t="n"/>
      <c r="BE992" s="61" t="n"/>
      <c r="BF992" s="55" t="n">
        <v>-2</v>
      </c>
      <c r="BG992" s="55" t="n">
        <v>15</v>
      </c>
      <c r="BH992" s="54" t="n">
        <v>-87.56</v>
      </c>
      <c r="BI992" s="55" t="n">
        <v>4</v>
      </c>
      <c r="BJ992" s="53" t="inlineStr"/>
      <c r="BK992" s="58" t="n">
        <v>0</v>
      </c>
      <c r="BL992" s="58" t="n">
        <v>992</v>
      </c>
      <c r="BM992" s="53">
        <f>IF(S992&lt;&gt;"",UPPER(TRIM(S992)),IF(O992="","LOSE",O992))</f>
        <v/>
      </c>
      <c r="BN992" s="55">
        <f>IF(BM992="LOSE",1,IF(N(T992)&gt;0,T992,IF(N(P992)&gt;0,P992,MAX(1,G992))))</f>
        <v/>
      </c>
      <c r="BO992" s="58">
        <f>IF(BM992="LOSE",1,0)</f>
        <v/>
      </c>
      <c r="BP992" s="64">
        <f>IF(BO992=0,0,IF(N(R992)&gt;0,R992,IFERROR(VLOOKUP(D992,Parameter!$A$35:$C$64,3,0)+0,0)))</f>
        <v/>
      </c>
      <c r="BQ992" s="53">
        <f>IF(V992&lt;&gt;"",V992,U992)</f>
        <v/>
      </c>
      <c r="BR992" s="53">
        <f>IF(BQ992=1,"L1",IF(OR(BQ992=2,BQ992=3),"L23",IF(BQ992="Aussen","Aussen","-")))</f>
        <v/>
      </c>
      <c r="BS992" s="66">
        <f>IF(N(W992)&gt;0,W992,0)</f>
        <v/>
      </c>
      <c r="BT992" s="58">
        <f>IF(ISNUMBER(Z992),1,0)</f>
        <v/>
      </c>
      <c r="BU992" s="55">
        <f>N(Z992)</f>
        <v/>
      </c>
      <c r="BV992" s="55">
        <f>N(L992)+N(M992)</f>
        <v/>
      </c>
      <c r="BW992" s="55">
        <f>ROUNDUP(G992/BN992,0)</f>
        <v/>
      </c>
      <c r="BX992" s="55">
        <f>ROUNDUP(BU992/BN992,0)</f>
        <v/>
      </c>
      <c r="BY992" s="58">
        <f>IF(BO992=1,0,IFERROR(VLOOKUP(BM992,'Gebinde-Kategorie'!$A$5:$G$45,5,0)+0,0))</f>
        <v/>
      </c>
      <c r="BZ992" s="58">
        <f>IFERROR(IF(OR(BQ992=1,BQ992=2,BQ992=3),N(INDEX(Parameter!$I$5:$I$7,BQ992)),0),0)</f>
        <v/>
      </c>
    </row>
    <row r="993">
      <c r="A993" s="53" t="inlineStr">
        <is>
          <t>107707</t>
        </is>
      </c>
      <c r="B993" s="53" t="inlineStr">
        <is>
          <t>Sechskant Stifteinsatz</t>
        </is>
      </c>
      <c r="C993" s="53" t="inlineStr">
        <is>
          <t>F</t>
        </is>
      </c>
      <c r="D993" s="53" t="inlineStr">
        <is>
          <t>KTL</t>
        </is>
      </c>
      <c r="E993" s="53" t="inlineStr">
        <is>
          <t>C</t>
        </is>
      </c>
      <c r="F993" s="54" t="n">
        <v>14.65</v>
      </c>
      <c r="G993" s="55">
        <f>MAX(0,IF(Parameter!$B$20="Jahresanfang 2025 + Export",BG993+BF993,BF993))</f>
        <v/>
      </c>
      <c r="H993" s="55">
        <f>G993*F993</f>
        <v/>
      </c>
      <c r="I993" s="55">
        <f>BI993*Parameter!$B$18</f>
        <v/>
      </c>
      <c r="J993" s="56" t="n">
        <v>8</v>
      </c>
      <c r="K993" s="57" t="n">
        <v>0.75</v>
      </c>
      <c r="L993" s="55" t="n">
        <v>0</v>
      </c>
      <c r="M993" s="55" t="n">
        <v>5</v>
      </c>
      <c r="N993" s="58" t="n">
        <v>14</v>
      </c>
      <c r="O993" s="53" t="inlineStr">
        <is>
          <t>S32</t>
        </is>
      </c>
      <c r="P993" s="55" t="n">
        <v>19</v>
      </c>
      <c r="Q993" s="59">
        <f>IF(BO993=1,0,IFERROR(VLOOKUP(BM993,'Gebinde-Kategorie'!$A$5:$G$45,6,0)+0,0))</f>
        <v/>
      </c>
      <c r="R993" s="60" t="n"/>
      <c r="S993" s="61" t="n"/>
      <c r="T993" s="61" t="n"/>
      <c r="U993" s="53">
        <f>IF(A993="","",IF(IFERROR(VLOOKUP(D993,Parameter!$A$35:$C$64,2,0),"Nein")="2+3",IF(ISNUMBER(SEARCH("grosser Artikel",BJ993)),2,IFERROR(VLOOKUP(BM993,Parameter!$F$35:$G$64,2,0),2)),IF(OR(IFERROR(VLOOKUP(D993,Parameter!$A$35:$C$64,2,0),"Nein")="Nein",IFERROR(VLOOKUP(D993,Parameter!$A$35:$C$64,2,0),"Nein")=""),"-",VLOOKUP(D993,Parameter!$A$35:$C$64,2,0))))</f>
        <v/>
      </c>
      <c r="V993" s="61" t="n"/>
      <c r="W993" s="62" t="n"/>
      <c r="X993" s="55">
        <f>AM993</f>
        <v/>
      </c>
      <c r="Y993" s="55">
        <f>MAX(AM993,G993)</f>
        <v/>
      </c>
      <c r="Z993" s="63" t="n"/>
      <c r="AA993" s="55">
        <f>IF(LEFT(Cockpit!$C$5,1)="A",G993,IF(BT993=1,BU993,IF(LEFT(Cockpit!$C$5,1)="B",AE993,MAX(AE993,G993))))</f>
        <v/>
      </c>
      <c r="AB993" s="55">
        <f>IF(BO993=1,0,ROUNDUP(AA993/BN993,0))</f>
        <v/>
      </c>
      <c r="AC993" s="64">
        <f>IF(BO993=1,IF(AA993&lt;=0,0,BP993*MAX(1,IF(G993&gt;0,AA993/G993,1))),AB993*Q993)</f>
        <v/>
      </c>
      <c r="AD993" s="55">
        <f>AA993*F993</f>
        <v/>
      </c>
      <c r="AE993" s="55">
        <f>ROUNDUP(MAX(I993/IF(BS993&gt;0,BS993,MAX(0.1,N(Cockpit!$C$6))),BV993)/BN993,0)*BN993</f>
        <v/>
      </c>
      <c r="AF993" s="56">
        <f>IF(AC993&gt;0,I993/AC993,-1)</f>
        <v/>
      </c>
      <c r="AG993" s="56">
        <f>IF(AND(OR(BR993="L1",BR993="L23"),AC993&gt;0),SUMIFS($AC$7:$AC$1570,$BR$7:$BR$1570,BR993,$AF$7:$AF$1570,"&gt;"&amp;AF993)+SUMIFS($AC$7:$AC$1570,$BR$7:$BR$1570,BR993,$AF$7:$AF$1570,AF993,$BL$7:$BL$1570,"&lt;="&amp;BL993),"")</f>
        <v/>
      </c>
      <c r="AH993" s="65">
        <f>IF(AG993="",0,MAX(0,MIN(1,(IF(BR993="L1",Parameter!$K$5,Parameter!$K$6+Parameter!$K$7)-(AG993-AC993))/AC993)))</f>
        <v/>
      </c>
      <c r="AI993" s="55">
        <f>IF(LEFT(Cockpit!$I$5,1)="A",G993,IF(BT993=1,BU993,IF(LEFT(Cockpit!$I$5,1)="B",AM993,MAX(AM993,G993))))</f>
        <v/>
      </c>
      <c r="AJ993" s="55">
        <f>IF(BO993=1,0,ROUNDUP(AI993/BN993,0))</f>
        <v/>
      </c>
      <c r="AK993" s="64">
        <f>IF(BO993=1,IF(AI993&lt;=0,0,BP993*MAX(1,IF(G993&gt;0,AI993/G993,1))),AJ993*Q993)</f>
        <v/>
      </c>
      <c r="AL993" s="55">
        <f>AI993*F993</f>
        <v/>
      </c>
      <c r="AM993" s="55">
        <f>ROUNDUP(MAX(I993/IF(BS993&gt;0,BS993,MAX(0.1,N(Cockpit!$I$6))),BV993)/BN993,0)*BN993</f>
        <v/>
      </c>
      <c r="AN993" s="56">
        <f>IF(AK993&gt;0,I993/AK993,-1)</f>
        <v/>
      </c>
      <c r="AO993" s="56">
        <f>IF(AND(OR(BR993="L1",BR993="L23"),AK993&gt;0),SUMIFS($AK$7:$AK$1570,$BR$7:$BR$1570,BR993,$AN$7:$AN$1570,"&gt;"&amp;AN993)+SUMIFS($AK$7:$AK$1570,$BR$7:$BR$1570,BR993,$AN$7:$AN$1570,AN993,$BL$7:$BL$1570,"&lt;="&amp;BL993),"")</f>
        <v/>
      </c>
      <c r="AP993" s="65">
        <f>IF(AO993="",0,MAX(0,MIN(1,(IF(BR993="L1",Parameter!$K$5,Parameter!$K$6+Parameter!$K$7)-(AO993-AK993))/AK993)))</f>
        <v/>
      </c>
      <c r="AQ993" s="55">
        <f>IF(LEFT(Cockpit!$O$5,1)="A",G993,IF(BT993=1,BU993,IF(LEFT(Cockpit!$O$5,1)="B",AU993,MAX(AU993,G993))))</f>
        <v/>
      </c>
      <c r="AR993" s="55">
        <f>IF(BO993=1,0,ROUNDUP(AQ993/BN993,0))</f>
        <v/>
      </c>
      <c r="AS993" s="64">
        <f>IF(BO993=1,IF(AQ993&lt;=0,0,BP993*MAX(1,IF(G993&gt;0,AQ993/G993,1))),AR993*Q993)</f>
        <v/>
      </c>
      <c r="AT993" s="55">
        <f>AQ993*F993</f>
        <v/>
      </c>
      <c r="AU993" s="55">
        <f>ROUNDUP(MAX(I993/IF(BS993&gt;0,BS993,MAX(0.1,N(Cockpit!$O$6))),BV993)/BN993,0)*BN993</f>
        <v/>
      </c>
      <c r="AV993" s="56">
        <f>IF(AS993&gt;0,I993/AS993,-1)</f>
        <v/>
      </c>
      <c r="AW993" s="56">
        <f>IF(AND(OR(BR993="L1",BR993="L23"),AS993&gt;0),SUMIFS($AS$7:$AS$1570,$BR$7:$BR$1570,BR993,$AV$7:$AV$1570,"&gt;"&amp;AV993)+SUMIFS($AS$7:$AS$1570,$BR$7:$BR$1570,BR993,$AV$7:$AV$1570,AV993,$BL$7:$BL$1570,"&lt;="&amp;BL993),"")</f>
        <v/>
      </c>
      <c r="AX993" s="65">
        <f>IF(AW993="",0,MAX(0,MIN(1,(IF(BR993="L1",Parameter!$K$5,Parameter!$K$6+Parameter!$K$7)-(AW993-AS993))/AS993)))</f>
        <v/>
      </c>
      <c r="AY993" s="53">
        <f>IF(AC993&lt;=0,"",IF(BR993="Aussen","Aussenlager",IF(BR993="-","Nicht im Lift",IF(AH993&gt;=1,"Lift",IF(AH993&lt;=0,"Aussenlager","teilweise")))))</f>
        <v/>
      </c>
      <c r="AZ993" s="53">
        <f>IF(AK993&lt;=0,"",IF(BR993="Aussen","Aussenlager",IF(BR993="-","Nicht im Lift",IF(AP993&gt;=1,"Lift",IF(AP993&lt;=0,"Aussenlager","teilweise")))))</f>
        <v/>
      </c>
      <c r="BA993" s="53">
        <f>IF(AS993&lt;=0,"",IF(BR993="Aussen","Aussenlager",IF(BR993="-","Nicht im Lift",IF(AX993&gt;=1,"Lift",IF(AX993&lt;=0,"Aussenlager","teilweise")))))</f>
        <v/>
      </c>
      <c r="BB993" s="53">
        <f>IF(A993="","",IF(BK993=1,"Neu; ","")&amp;IF(AND(BK993=0,BF993&lt;0),"negativer Bestand (Export "&amp;BF993&amp;"); ","")&amp;IF(I993&lt;=0,"Kein Verbrauch; ","")&amp;IF(BO993=1,"Lose – Fläche geschätzt; ","")&amp;IF(G993&gt;AM993,"Überbestand "&amp;ROUND(G993-AM993,0)&amp;" Stk / CHF "&amp;ROUND((G993-AM993)*F993,0)&amp;"; ","")&amp;IF(AND(BT993=1,BU993&lt;BV993),"MAX &lt; MB+LG; ","")&amp;IF(AND(BZ993&gt;0,BY993*10&gt;BZ993),"zu hoch für Tablar; ","")&amp;IF(AND(BK993=0,OR(BT993=1,V993&lt;&gt;"",S993&lt;&gt;"",T993&lt;&gt;"",W993&lt;&gt;"")),"manuell übersteuert; ","")&amp;IF(AND(BO993=0,Q993=0),"Gebinde unbekannt; ","")&amp;IF(AND(BO993=0,N(T993)&lt;=0,N(P993)&lt;=0),"Menge pro Gebinde fehlt (Ist = 1 Gebinde); ","")&amp;BJ993)</f>
        <v/>
      </c>
      <c r="BC993" s="53" t="n"/>
      <c r="BD993" s="53" t="n"/>
      <c r="BE993" s="61" t="n"/>
      <c r="BF993" s="55" t="n">
        <v>-6</v>
      </c>
      <c r="BG993" s="55" t="n">
        <v>11</v>
      </c>
      <c r="BH993" s="54" t="n">
        <v>-87.90000000000001</v>
      </c>
      <c r="BI993" s="55" t="n">
        <v>6</v>
      </c>
      <c r="BJ993" s="53" t="inlineStr"/>
      <c r="BK993" s="58" t="n">
        <v>0</v>
      </c>
      <c r="BL993" s="58" t="n">
        <v>993</v>
      </c>
      <c r="BM993" s="53">
        <f>IF(S993&lt;&gt;"",UPPER(TRIM(S993)),IF(O993="","LOSE",O993))</f>
        <v/>
      </c>
      <c r="BN993" s="55">
        <f>IF(BM993="LOSE",1,IF(N(T993)&gt;0,T993,IF(N(P993)&gt;0,P993,MAX(1,G993))))</f>
        <v/>
      </c>
      <c r="BO993" s="58">
        <f>IF(BM993="LOSE",1,0)</f>
        <v/>
      </c>
      <c r="BP993" s="64">
        <f>IF(BO993=0,0,IF(N(R993)&gt;0,R993,IFERROR(VLOOKUP(D993,Parameter!$A$35:$C$64,3,0)+0,0)))</f>
        <v/>
      </c>
      <c r="BQ993" s="53">
        <f>IF(V993&lt;&gt;"",V993,U993)</f>
        <v/>
      </c>
      <c r="BR993" s="53">
        <f>IF(BQ993=1,"L1",IF(OR(BQ993=2,BQ993=3),"L23",IF(BQ993="Aussen","Aussen","-")))</f>
        <v/>
      </c>
      <c r="BS993" s="66">
        <f>IF(N(W993)&gt;0,W993,0)</f>
        <v/>
      </c>
      <c r="BT993" s="58">
        <f>IF(ISNUMBER(Z993),1,0)</f>
        <v/>
      </c>
      <c r="BU993" s="55">
        <f>N(Z993)</f>
        <v/>
      </c>
      <c r="BV993" s="55">
        <f>N(L993)+N(M993)</f>
        <v/>
      </c>
      <c r="BW993" s="55">
        <f>ROUNDUP(G993/BN993,0)</f>
        <v/>
      </c>
      <c r="BX993" s="55">
        <f>ROUNDUP(BU993/BN993,0)</f>
        <v/>
      </c>
      <c r="BY993" s="58">
        <f>IF(BO993=1,0,IFERROR(VLOOKUP(BM993,'Gebinde-Kategorie'!$A$5:$G$45,5,0)+0,0))</f>
        <v/>
      </c>
      <c r="BZ993" s="58">
        <f>IFERROR(IF(OR(BQ993=1,BQ993=2,BQ993=3),N(INDEX(Parameter!$I$5:$I$7,BQ993)),0),0)</f>
        <v/>
      </c>
    </row>
    <row r="994">
      <c r="A994" s="53" t="inlineStr">
        <is>
          <t>005161</t>
        </is>
      </c>
      <c r="B994" s="53" t="inlineStr">
        <is>
          <t>Schutzleiterklemme</t>
        </is>
      </c>
      <c r="C994" s="53" t="inlineStr">
        <is>
          <t>F</t>
        </is>
      </c>
      <c r="D994" s="53" t="inlineStr">
        <is>
          <t>KTL</t>
        </is>
      </c>
      <c r="E994" s="53" t="inlineStr">
        <is>
          <t>C</t>
        </is>
      </c>
      <c r="F994" s="54" t="n">
        <v>3.58</v>
      </c>
      <c r="G994" s="55">
        <f>MAX(0,IF(Parameter!$B$20="Jahresanfang 2025 + Export",BG994+BF994,BF994))</f>
        <v/>
      </c>
      <c r="H994" s="55">
        <f>G994*F994</f>
        <v/>
      </c>
      <c r="I994" s="55">
        <f>BI994*Parameter!$B$18</f>
        <v/>
      </c>
      <c r="J994" s="56" t="n">
        <v>45</v>
      </c>
      <c r="K994" s="57" t="n">
        <v>0</v>
      </c>
      <c r="L994" s="55" t="n">
        <v>0</v>
      </c>
      <c r="M994" s="55" t="n">
        <v>1</v>
      </c>
      <c r="N994" s="58" t="n">
        <v>21</v>
      </c>
      <c r="O994" s="53" t="inlineStr">
        <is>
          <t>S33</t>
        </is>
      </c>
      <c r="P994" s="55" t="n">
        <v>71</v>
      </c>
      <c r="Q994" s="59">
        <f>IF(BO994=1,0,IFERROR(VLOOKUP(BM994,'Gebinde-Kategorie'!$A$5:$G$45,6,0)+0,0))</f>
        <v/>
      </c>
      <c r="R994" s="60" t="n"/>
      <c r="S994" s="61" t="n"/>
      <c r="T994" s="61" t="n"/>
      <c r="U994" s="53">
        <f>IF(A994="","",IF(IFERROR(VLOOKUP(D994,Parameter!$A$35:$C$64,2,0),"Nein")="2+3",IF(ISNUMBER(SEARCH("grosser Artikel",BJ994)),2,IFERROR(VLOOKUP(BM994,Parameter!$F$35:$G$64,2,0),2)),IF(OR(IFERROR(VLOOKUP(D994,Parameter!$A$35:$C$64,2,0),"Nein")="Nein",IFERROR(VLOOKUP(D994,Parameter!$A$35:$C$64,2,0),"Nein")=""),"-",VLOOKUP(D994,Parameter!$A$35:$C$64,2,0))))</f>
        <v/>
      </c>
      <c r="V994" s="61" t="n"/>
      <c r="W994" s="62" t="n"/>
      <c r="X994" s="55">
        <f>AM994</f>
        <v/>
      </c>
      <c r="Y994" s="55">
        <f>MAX(AM994,G994)</f>
        <v/>
      </c>
      <c r="Z994" s="63" t="n"/>
      <c r="AA994" s="55">
        <f>IF(LEFT(Cockpit!$C$5,1)="A",G994,IF(BT994=1,BU994,IF(LEFT(Cockpit!$C$5,1)="B",AE994,MAX(AE994,G994))))</f>
        <v/>
      </c>
      <c r="AB994" s="55">
        <f>IF(BO994=1,0,ROUNDUP(AA994/BN994,0))</f>
        <v/>
      </c>
      <c r="AC994" s="64">
        <f>IF(BO994=1,IF(AA994&lt;=0,0,BP994*MAX(1,IF(G994&gt;0,AA994/G994,1))),AB994*Q994)</f>
        <v/>
      </c>
      <c r="AD994" s="55">
        <f>AA994*F994</f>
        <v/>
      </c>
      <c r="AE994" s="55">
        <f>ROUNDUP(MAX(I994/IF(BS994&gt;0,BS994,MAX(0.1,N(Cockpit!$C$6))),BV994)/BN994,0)*BN994</f>
        <v/>
      </c>
      <c r="AF994" s="56">
        <f>IF(AC994&gt;0,I994/AC994,-1)</f>
        <v/>
      </c>
      <c r="AG994" s="56">
        <f>IF(AND(OR(BR994="L1",BR994="L23"),AC994&gt;0),SUMIFS($AC$7:$AC$1570,$BR$7:$BR$1570,BR994,$AF$7:$AF$1570,"&gt;"&amp;AF994)+SUMIFS($AC$7:$AC$1570,$BR$7:$BR$1570,BR994,$AF$7:$AF$1570,AF994,$BL$7:$BL$1570,"&lt;="&amp;BL994),"")</f>
        <v/>
      </c>
      <c r="AH994" s="65">
        <f>IF(AG994="",0,MAX(0,MIN(1,(IF(BR994="L1",Parameter!$K$5,Parameter!$K$6+Parameter!$K$7)-(AG994-AC994))/AC994)))</f>
        <v/>
      </c>
      <c r="AI994" s="55">
        <f>IF(LEFT(Cockpit!$I$5,1)="A",G994,IF(BT994=1,BU994,IF(LEFT(Cockpit!$I$5,1)="B",AM994,MAX(AM994,G994))))</f>
        <v/>
      </c>
      <c r="AJ994" s="55">
        <f>IF(BO994=1,0,ROUNDUP(AI994/BN994,0))</f>
        <v/>
      </c>
      <c r="AK994" s="64">
        <f>IF(BO994=1,IF(AI994&lt;=0,0,BP994*MAX(1,IF(G994&gt;0,AI994/G994,1))),AJ994*Q994)</f>
        <v/>
      </c>
      <c r="AL994" s="55">
        <f>AI994*F994</f>
        <v/>
      </c>
      <c r="AM994" s="55">
        <f>ROUNDUP(MAX(I994/IF(BS994&gt;0,BS994,MAX(0.1,N(Cockpit!$I$6))),BV994)/BN994,0)*BN994</f>
        <v/>
      </c>
      <c r="AN994" s="56">
        <f>IF(AK994&gt;0,I994/AK994,-1)</f>
        <v/>
      </c>
      <c r="AO994" s="56">
        <f>IF(AND(OR(BR994="L1",BR994="L23"),AK994&gt;0),SUMIFS($AK$7:$AK$1570,$BR$7:$BR$1570,BR994,$AN$7:$AN$1570,"&gt;"&amp;AN994)+SUMIFS($AK$7:$AK$1570,$BR$7:$BR$1570,BR994,$AN$7:$AN$1570,AN994,$BL$7:$BL$1570,"&lt;="&amp;BL994),"")</f>
        <v/>
      </c>
      <c r="AP994" s="65">
        <f>IF(AO994="",0,MAX(0,MIN(1,(IF(BR994="L1",Parameter!$K$5,Parameter!$K$6+Parameter!$K$7)-(AO994-AK994))/AK994)))</f>
        <v/>
      </c>
      <c r="AQ994" s="55">
        <f>IF(LEFT(Cockpit!$O$5,1)="A",G994,IF(BT994=1,BU994,IF(LEFT(Cockpit!$O$5,1)="B",AU994,MAX(AU994,G994))))</f>
        <v/>
      </c>
      <c r="AR994" s="55">
        <f>IF(BO994=1,0,ROUNDUP(AQ994/BN994,0))</f>
        <v/>
      </c>
      <c r="AS994" s="64">
        <f>IF(BO994=1,IF(AQ994&lt;=0,0,BP994*MAX(1,IF(G994&gt;0,AQ994/G994,1))),AR994*Q994)</f>
        <v/>
      </c>
      <c r="AT994" s="55">
        <f>AQ994*F994</f>
        <v/>
      </c>
      <c r="AU994" s="55">
        <f>ROUNDUP(MAX(I994/IF(BS994&gt;0,BS994,MAX(0.1,N(Cockpit!$O$6))),BV994)/BN994,0)*BN994</f>
        <v/>
      </c>
      <c r="AV994" s="56">
        <f>IF(AS994&gt;0,I994/AS994,-1)</f>
        <v/>
      </c>
      <c r="AW994" s="56">
        <f>IF(AND(OR(BR994="L1",BR994="L23"),AS994&gt;0),SUMIFS($AS$7:$AS$1570,$BR$7:$BR$1570,BR994,$AV$7:$AV$1570,"&gt;"&amp;AV994)+SUMIFS($AS$7:$AS$1570,$BR$7:$BR$1570,BR994,$AV$7:$AV$1570,AV994,$BL$7:$BL$1570,"&lt;="&amp;BL994),"")</f>
        <v/>
      </c>
      <c r="AX994" s="65">
        <f>IF(AW994="",0,MAX(0,MIN(1,(IF(BR994="L1",Parameter!$K$5,Parameter!$K$6+Parameter!$K$7)-(AW994-AS994))/AS994)))</f>
        <v/>
      </c>
      <c r="AY994" s="53">
        <f>IF(AC994&lt;=0,"",IF(BR994="Aussen","Aussenlager",IF(BR994="-","Nicht im Lift",IF(AH994&gt;=1,"Lift",IF(AH994&lt;=0,"Aussenlager","teilweise")))))</f>
        <v/>
      </c>
      <c r="AZ994" s="53">
        <f>IF(AK994&lt;=0,"",IF(BR994="Aussen","Aussenlager",IF(BR994="-","Nicht im Lift",IF(AP994&gt;=1,"Lift",IF(AP994&lt;=0,"Aussenlager","teilweise")))))</f>
        <v/>
      </c>
      <c r="BA994" s="53">
        <f>IF(AS994&lt;=0,"",IF(BR994="Aussen","Aussenlager",IF(BR994="-","Nicht im Lift",IF(AX994&gt;=1,"Lift",IF(AX994&lt;=0,"Aussenlager","teilweise")))))</f>
        <v/>
      </c>
      <c r="BB994" s="53">
        <f>IF(A994="","",IF(BK994=1,"Neu; ","")&amp;IF(AND(BK994=0,BF994&lt;0),"negativer Bestand (Export "&amp;BF994&amp;"); ","")&amp;IF(I994&lt;=0,"Kein Verbrauch; ","")&amp;IF(BO994=1,"Lose – Fläche geschätzt; ","")&amp;IF(G994&gt;AM994,"Überbestand "&amp;ROUND(G994-AM994,0)&amp;" Stk / CHF "&amp;ROUND((G994-AM994)*F994,0)&amp;"; ","")&amp;IF(AND(BT994=1,BU994&lt;BV994),"MAX &lt; MB+LG; ","")&amp;IF(AND(BZ994&gt;0,BY994*10&gt;BZ994),"zu hoch für Tablar; ","")&amp;IF(AND(BK994=0,OR(BT994=1,V994&lt;&gt;"",S994&lt;&gt;"",T994&lt;&gt;"",W994&lt;&gt;"")),"manuell übersteuert; ","")&amp;IF(AND(BO994=0,Q994=0),"Gebinde unbekannt; ","")&amp;IF(AND(BO994=0,N(T994)&lt;=0,N(P994)&lt;=0),"Menge pro Gebinde fehlt (Ist = 1 Gebinde); ","")&amp;BJ994)</f>
        <v/>
      </c>
      <c r="BC994" s="53" t="n"/>
      <c r="BD994" s="53" t="n"/>
      <c r="BE994" s="61" t="n"/>
      <c r="BF994" s="55" t="n">
        <v>-60</v>
      </c>
      <c r="BG994" s="55" t="n">
        <v>60</v>
      </c>
      <c r="BH994" s="54" t="n">
        <v>-88.2</v>
      </c>
      <c r="BI994" s="55" t="n">
        <v>0</v>
      </c>
      <c r="BJ994" s="53" t="inlineStr">
        <is>
          <t>Überbestand</t>
        </is>
      </c>
      <c r="BK994" s="58" t="n">
        <v>0</v>
      </c>
      <c r="BL994" s="58" t="n">
        <v>994</v>
      </c>
      <c r="BM994" s="53">
        <f>IF(S994&lt;&gt;"",UPPER(TRIM(S994)),IF(O994="","LOSE",O994))</f>
        <v/>
      </c>
      <c r="BN994" s="55">
        <f>IF(BM994="LOSE",1,IF(N(T994)&gt;0,T994,IF(N(P994)&gt;0,P994,MAX(1,G994))))</f>
        <v/>
      </c>
      <c r="BO994" s="58">
        <f>IF(BM994="LOSE",1,0)</f>
        <v/>
      </c>
      <c r="BP994" s="64">
        <f>IF(BO994=0,0,IF(N(R994)&gt;0,R994,IFERROR(VLOOKUP(D994,Parameter!$A$35:$C$64,3,0)+0,0)))</f>
        <v/>
      </c>
      <c r="BQ994" s="53">
        <f>IF(V994&lt;&gt;"",V994,U994)</f>
        <v/>
      </c>
      <c r="BR994" s="53">
        <f>IF(BQ994=1,"L1",IF(OR(BQ994=2,BQ994=3),"L23",IF(BQ994="Aussen","Aussen","-")))</f>
        <v/>
      </c>
      <c r="BS994" s="66">
        <f>IF(N(W994)&gt;0,W994,0)</f>
        <v/>
      </c>
      <c r="BT994" s="58">
        <f>IF(ISNUMBER(Z994),1,0)</f>
        <v/>
      </c>
      <c r="BU994" s="55">
        <f>N(Z994)</f>
        <v/>
      </c>
      <c r="BV994" s="55">
        <f>N(L994)+N(M994)</f>
        <v/>
      </c>
      <c r="BW994" s="55">
        <f>ROUNDUP(G994/BN994,0)</f>
        <v/>
      </c>
      <c r="BX994" s="55">
        <f>ROUNDUP(BU994/BN994,0)</f>
        <v/>
      </c>
      <c r="BY994" s="58">
        <f>IF(BO994=1,0,IFERROR(VLOOKUP(BM994,'Gebinde-Kategorie'!$A$5:$G$45,5,0)+0,0))</f>
        <v/>
      </c>
      <c r="BZ994" s="58">
        <f>IFERROR(IF(OR(BQ994=1,BQ994=2,BQ994=3),N(INDEX(Parameter!$I$5:$I$7,BQ994)),0),0)</f>
        <v/>
      </c>
    </row>
    <row r="995">
      <c r="A995" s="53" t="inlineStr">
        <is>
          <t>005342</t>
        </is>
      </c>
      <c r="B995" s="53" t="inlineStr">
        <is>
          <t>Sechskant Stifteinsatz</t>
        </is>
      </c>
      <c r="C995" s="53" t="inlineStr">
        <is>
          <t>F</t>
        </is>
      </c>
      <c r="D995" s="53" t="inlineStr">
        <is>
          <t>KTL</t>
        </is>
      </c>
      <c r="E995" s="53" t="inlineStr">
        <is>
          <t>C</t>
        </is>
      </c>
      <c r="F995" s="54" t="n">
        <v>13.01</v>
      </c>
      <c r="G995" s="55">
        <f>MAX(0,IF(Parameter!$B$20="Jahresanfang 2025 + Export",BG995+BF995,BF995))</f>
        <v/>
      </c>
      <c r="H995" s="55">
        <f>G995*F995</f>
        <v/>
      </c>
      <c r="I995" s="55">
        <f>BI995*Parameter!$B$18</f>
        <v/>
      </c>
      <c r="J995" s="56" t="n">
        <v>16.5</v>
      </c>
      <c r="K995" s="57" t="n">
        <v>0.4242424242424243</v>
      </c>
      <c r="L995" s="55" t="n">
        <v>0</v>
      </c>
      <c r="M995" s="55" t="n">
        <v>5</v>
      </c>
      <c r="N995" s="58" t="n">
        <v>18</v>
      </c>
      <c r="O995" s="53" t="inlineStr">
        <is>
          <t>S32</t>
        </is>
      </c>
      <c r="P995" s="55" t="n">
        <v>28</v>
      </c>
      <c r="Q995" s="59">
        <f>IF(BO995=1,0,IFERROR(VLOOKUP(BM995,'Gebinde-Kategorie'!$A$5:$G$45,6,0)+0,0))</f>
        <v/>
      </c>
      <c r="R995" s="60" t="n"/>
      <c r="S995" s="61" t="n"/>
      <c r="T995" s="61" t="n"/>
      <c r="U995" s="53">
        <f>IF(A995="","",IF(IFERROR(VLOOKUP(D995,Parameter!$A$35:$C$64,2,0),"Nein")="2+3",IF(ISNUMBER(SEARCH("grosser Artikel",BJ995)),2,IFERROR(VLOOKUP(BM995,Parameter!$F$35:$G$64,2,0),2)),IF(OR(IFERROR(VLOOKUP(D995,Parameter!$A$35:$C$64,2,0),"Nein")="Nein",IFERROR(VLOOKUP(D995,Parameter!$A$35:$C$64,2,0),"Nein")=""),"-",VLOOKUP(D995,Parameter!$A$35:$C$64,2,0))))</f>
        <v/>
      </c>
      <c r="V995" s="61" t="n"/>
      <c r="W995" s="62" t="n"/>
      <c r="X995" s="55">
        <f>AM995</f>
        <v/>
      </c>
      <c r="Y995" s="55">
        <f>MAX(AM995,G995)</f>
        <v/>
      </c>
      <c r="Z995" s="63" t="n"/>
      <c r="AA995" s="55">
        <f>IF(LEFT(Cockpit!$C$5,1)="A",G995,IF(BT995=1,BU995,IF(LEFT(Cockpit!$C$5,1)="B",AE995,MAX(AE995,G995))))</f>
        <v/>
      </c>
      <c r="AB995" s="55">
        <f>IF(BO995=1,0,ROUNDUP(AA995/BN995,0))</f>
        <v/>
      </c>
      <c r="AC995" s="64">
        <f>IF(BO995=1,IF(AA995&lt;=0,0,BP995*MAX(1,IF(G995&gt;0,AA995/G995,1))),AB995*Q995)</f>
        <v/>
      </c>
      <c r="AD995" s="55">
        <f>AA995*F995</f>
        <v/>
      </c>
      <c r="AE995" s="55">
        <f>ROUNDUP(MAX(I995/IF(BS995&gt;0,BS995,MAX(0.1,N(Cockpit!$C$6))),BV995)/BN995,0)*BN995</f>
        <v/>
      </c>
      <c r="AF995" s="56">
        <f>IF(AC995&gt;0,I995/AC995,-1)</f>
        <v/>
      </c>
      <c r="AG995" s="56">
        <f>IF(AND(OR(BR995="L1",BR995="L23"),AC995&gt;0),SUMIFS($AC$7:$AC$1570,$BR$7:$BR$1570,BR995,$AF$7:$AF$1570,"&gt;"&amp;AF995)+SUMIFS($AC$7:$AC$1570,$BR$7:$BR$1570,BR995,$AF$7:$AF$1570,AF995,$BL$7:$BL$1570,"&lt;="&amp;BL995),"")</f>
        <v/>
      </c>
      <c r="AH995" s="65">
        <f>IF(AG995="",0,MAX(0,MIN(1,(IF(BR995="L1",Parameter!$K$5,Parameter!$K$6+Parameter!$K$7)-(AG995-AC995))/AC995)))</f>
        <v/>
      </c>
      <c r="AI995" s="55">
        <f>IF(LEFT(Cockpit!$I$5,1)="A",G995,IF(BT995=1,BU995,IF(LEFT(Cockpit!$I$5,1)="B",AM995,MAX(AM995,G995))))</f>
        <v/>
      </c>
      <c r="AJ995" s="55">
        <f>IF(BO995=1,0,ROUNDUP(AI995/BN995,0))</f>
        <v/>
      </c>
      <c r="AK995" s="64">
        <f>IF(BO995=1,IF(AI995&lt;=0,0,BP995*MAX(1,IF(G995&gt;0,AI995/G995,1))),AJ995*Q995)</f>
        <v/>
      </c>
      <c r="AL995" s="55">
        <f>AI995*F995</f>
        <v/>
      </c>
      <c r="AM995" s="55">
        <f>ROUNDUP(MAX(I995/IF(BS995&gt;0,BS995,MAX(0.1,N(Cockpit!$I$6))),BV995)/BN995,0)*BN995</f>
        <v/>
      </c>
      <c r="AN995" s="56">
        <f>IF(AK995&gt;0,I995/AK995,-1)</f>
        <v/>
      </c>
      <c r="AO995" s="56">
        <f>IF(AND(OR(BR995="L1",BR995="L23"),AK995&gt;0),SUMIFS($AK$7:$AK$1570,$BR$7:$BR$1570,BR995,$AN$7:$AN$1570,"&gt;"&amp;AN995)+SUMIFS($AK$7:$AK$1570,$BR$7:$BR$1570,BR995,$AN$7:$AN$1570,AN995,$BL$7:$BL$1570,"&lt;="&amp;BL995),"")</f>
        <v/>
      </c>
      <c r="AP995" s="65">
        <f>IF(AO995="",0,MAX(0,MIN(1,(IF(BR995="L1",Parameter!$K$5,Parameter!$K$6+Parameter!$K$7)-(AO995-AK995))/AK995)))</f>
        <v/>
      </c>
      <c r="AQ995" s="55">
        <f>IF(LEFT(Cockpit!$O$5,1)="A",G995,IF(BT995=1,BU995,IF(LEFT(Cockpit!$O$5,1)="B",AU995,MAX(AU995,G995))))</f>
        <v/>
      </c>
      <c r="AR995" s="55">
        <f>IF(BO995=1,0,ROUNDUP(AQ995/BN995,0))</f>
        <v/>
      </c>
      <c r="AS995" s="64">
        <f>IF(BO995=1,IF(AQ995&lt;=0,0,BP995*MAX(1,IF(G995&gt;0,AQ995/G995,1))),AR995*Q995)</f>
        <v/>
      </c>
      <c r="AT995" s="55">
        <f>AQ995*F995</f>
        <v/>
      </c>
      <c r="AU995" s="55">
        <f>ROUNDUP(MAX(I995/IF(BS995&gt;0,BS995,MAX(0.1,N(Cockpit!$O$6))),BV995)/BN995,0)*BN995</f>
        <v/>
      </c>
      <c r="AV995" s="56">
        <f>IF(AS995&gt;0,I995/AS995,-1)</f>
        <v/>
      </c>
      <c r="AW995" s="56">
        <f>IF(AND(OR(BR995="L1",BR995="L23"),AS995&gt;0),SUMIFS($AS$7:$AS$1570,$BR$7:$BR$1570,BR995,$AV$7:$AV$1570,"&gt;"&amp;AV995)+SUMIFS($AS$7:$AS$1570,$BR$7:$BR$1570,BR995,$AV$7:$AV$1570,AV995,$BL$7:$BL$1570,"&lt;="&amp;BL995),"")</f>
        <v/>
      </c>
      <c r="AX995" s="65">
        <f>IF(AW995="",0,MAX(0,MIN(1,(IF(BR995="L1",Parameter!$K$5,Parameter!$K$6+Parameter!$K$7)-(AW995-AS995))/AS995)))</f>
        <v/>
      </c>
      <c r="AY995" s="53">
        <f>IF(AC995&lt;=0,"",IF(BR995="Aussen","Aussenlager",IF(BR995="-","Nicht im Lift",IF(AH995&gt;=1,"Lift",IF(AH995&lt;=0,"Aussenlager","teilweise")))))</f>
        <v/>
      </c>
      <c r="AZ995" s="53">
        <f>IF(AK995&lt;=0,"",IF(BR995="Aussen","Aussenlager",IF(BR995="-","Nicht im Lift",IF(AP995&gt;=1,"Lift",IF(AP995&lt;=0,"Aussenlager","teilweise")))))</f>
        <v/>
      </c>
      <c r="BA995" s="53">
        <f>IF(AS995&lt;=0,"",IF(BR995="Aussen","Aussenlager",IF(BR995="-","Nicht im Lift",IF(AX995&gt;=1,"Lift",IF(AX995&lt;=0,"Aussenlager","teilweise")))))</f>
        <v/>
      </c>
      <c r="BB995" s="53">
        <f>IF(A995="","",IF(BK995=1,"Neu; ","")&amp;IF(AND(BK995=0,BF995&lt;0),"negativer Bestand (Export "&amp;BF995&amp;"); ","")&amp;IF(I995&lt;=0,"Kein Verbrauch; ","")&amp;IF(BO995=1,"Lose – Fläche geschätzt; ","")&amp;IF(G995&gt;AM995,"Überbestand "&amp;ROUND(G995-AM995,0)&amp;" Stk / CHF "&amp;ROUND((G995-AM995)*F995,0)&amp;"; ","")&amp;IF(AND(BT995=1,BU995&lt;BV995),"MAX &lt; MB+LG; ","")&amp;IF(AND(BZ995&gt;0,BY995*10&gt;BZ995),"zu hoch für Tablar; ","")&amp;IF(AND(BK995=0,OR(BT995=1,V995&lt;&gt;"",S995&lt;&gt;"",T995&lt;&gt;"",W995&lt;&gt;"")),"manuell übersteuert; ","")&amp;IF(AND(BO995=0,Q995=0),"Gebinde unbekannt; ","")&amp;IF(AND(BO995=0,N(T995)&lt;=0,N(P995)&lt;=0),"Menge pro Gebinde fehlt (Ist = 1 Gebinde); ","")&amp;BJ995)</f>
        <v/>
      </c>
      <c r="BC995" s="53" t="n"/>
      <c r="BD995" s="53" t="n"/>
      <c r="BE995" s="61" t="n"/>
      <c r="BF995" s="55" t="n">
        <v>-7</v>
      </c>
      <c r="BG995" s="55" t="n">
        <v>20</v>
      </c>
      <c r="BH995" s="54" t="n">
        <v>-91.07000000000001</v>
      </c>
      <c r="BI995" s="55" t="n">
        <v>7</v>
      </c>
      <c r="BJ995" s="53" t="inlineStr"/>
      <c r="BK995" s="58" t="n">
        <v>0</v>
      </c>
      <c r="BL995" s="58" t="n">
        <v>995</v>
      </c>
      <c r="BM995" s="53">
        <f>IF(S995&lt;&gt;"",UPPER(TRIM(S995)),IF(O995="","LOSE",O995))</f>
        <v/>
      </c>
      <c r="BN995" s="55">
        <f>IF(BM995="LOSE",1,IF(N(T995)&gt;0,T995,IF(N(P995)&gt;0,P995,MAX(1,G995))))</f>
        <v/>
      </c>
      <c r="BO995" s="58">
        <f>IF(BM995="LOSE",1,0)</f>
        <v/>
      </c>
      <c r="BP995" s="64">
        <f>IF(BO995=0,0,IF(N(R995)&gt;0,R995,IFERROR(VLOOKUP(D995,Parameter!$A$35:$C$64,3,0)+0,0)))</f>
        <v/>
      </c>
      <c r="BQ995" s="53">
        <f>IF(V995&lt;&gt;"",V995,U995)</f>
        <v/>
      </c>
      <c r="BR995" s="53">
        <f>IF(BQ995=1,"L1",IF(OR(BQ995=2,BQ995=3),"L23",IF(BQ995="Aussen","Aussen","-")))</f>
        <v/>
      </c>
      <c r="BS995" s="66">
        <f>IF(N(W995)&gt;0,W995,0)</f>
        <v/>
      </c>
      <c r="BT995" s="58">
        <f>IF(ISNUMBER(Z995),1,0)</f>
        <v/>
      </c>
      <c r="BU995" s="55">
        <f>N(Z995)</f>
        <v/>
      </c>
      <c r="BV995" s="55">
        <f>N(L995)+N(M995)</f>
        <v/>
      </c>
      <c r="BW995" s="55">
        <f>ROUNDUP(G995/BN995,0)</f>
        <v/>
      </c>
      <c r="BX995" s="55">
        <f>ROUNDUP(BU995/BN995,0)</f>
        <v/>
      </c>
      <c r="BY995" s="58">
        <f>IF(BO995=1,0,IFERROR(VLOOKUP(BM995,'Gebinde-Kategorie'!$A$5:$G$45,5,0)+0,0))</f>
        <v/>
      </c>
      <c r="BZ995" s="58">
        <f>IFERROR(IF(OR(BQ995=1,BQ995=2,BQ995=3),N(INDEX(Parameter!$I$5:$I$7,BQ995)),0),0)</f>
        <v/>
      </c>
    </row>
    <row r="996">
      <c r="A996" s="53" t="inlineStr">
        <is>
          <t>109749</t>
        </is>
      </c>
      <c r="B996" s="53" t="inlineStr">
        <is>
          <t>Achse</t>
        </is>
      </c>
      <c r="C996" s="53" t="inlineStr">
        <is>
          <t>F</t>
        </is>
      </c>
      <c r="D996" s="53" t="inlineStr">
        <is>
          <t>KTL</t>
        </is>
      </c>
      <c r="E996" s="53" t="inlineStr">
        <is>
          <t>C</t>
        </is>
      </c>
      <c r="F996" s="54" t="n">
        <v>42.17</v>
      </c>
      <c r="G996" s="55">
        <f>MAX(0,IF(Parameter!$B$20="Jahresanfang 2025 + Export",BG996+BF996,BF996))</f>
        <v/>
      </c>
      <c r="H996" s="55">
        <f>G996*F996</f>
        <v/>
      </c>
      <c r="I996" s="55">
        <f>BI996*Parameter!$B$18</f>
        <v/>
      </c>
      <c r="J996" s="56" t="n">
        <v>3.5</v>
      </c>
      <c r="K996" s="57" t="n">
        <v>1.428571428571429</v>
      </c>
      <c r="L996" s="55" t="n">
        <v>0</v>
      </c>
      <c r="M996" s="55" t="n">
        <v>5</v>
      </c>
      <c r="N996" s="58" t="n">
        <v>28</v>
      </c>
      <c r="O996" s="53" t="inlineStr">
        <is>
          <t>S41</t>
        </is>
      </c>
      <c r="P996" s="55" t="n">
        <v>20</v>
      </c>
      <c r="Q996" s="59">
        <f>IF(BO996=1,0,IFERROR(VLOOKUP(BM996,'Gebinde-Kategorie'!$A$5:$G$45,6,0)+0,0))</f>
        <v/>
      </c>
      <c r="R996" s="60" t="n"/>
      <c r="S996" s="61" t="n"/>
      <c r="T996" s="61" t="n"/>
      <c r="U996" s="53">
        <f>IF(A996="","",IF(IFERROR(VLOOKUP(D996,Parameter!$A$35:$C$64,2,0),"Nein")="2+3",IF(ISNUMBER(SEARCH("grosser Artikel",BJ996)),2,IFERROR(VLOOKUP(BM996,Parameter!$F$35:$G$64,2,0),2)),IF(OR(IFERROR(VLOOKUP(D996,Parameter!$A$35:$C$64,2,0),"Nein")="Nein",IFERROR(VLOOKUP(D996,Parameter!$A$35:$C$64,2,0),"Nein")=""),"-",VLOOKUP(D996,Parameter!$A$35:$C$64,2,0))))</f>
        <v/>
      </c>
      <c r="V996" s="61" t="n"/>
      <c r="W996" s="62" t="n"/>
      <c r="X996" s="55">
        <f>AM996</f>
        <v/>
      </c>
      <c r="Y996" s="55">
        <f>MAX(AM996,G996)</f>
        <v/>
      </c>
      <c r="Z996" s="63" t="n"/>
      <c r="AA996" s="55">
        <f>IF(LEFT(Cockpit!$C$5,1)="A",G996,IF(BT996=1,BU996,IF(LEFT(Cockpit!$C$5,1)="B",AE996,MAX(AE996,G996))))</f>
        <v/>
      </c>
      <c r="AB996" s="55">
        <f>IF(BO996=1,0,ROUNDUP(AA996/BN996,0))</f>
        <v/>
      </c>
      <c r="AC996" s="64">
        <f>IF(BO996=1,IF(AA996&lt;=0,0,BP996*MAX(1,IF(G996&gt;0,AA996/G996,1))),AB996*Q996)</f>
        <v/>
      </c>
      <c r="AD996" s="55">
        <f>AA996*F996</f>
        <v/>
      </c>
      <c r="AE996" s="55">
        <f>ROUNDUP(MAX(I996/IF(BS996&gt;0,BS996,MAX(0.1,N(Cockpit!$C$6))),BV996)/BN996,0)*BN996</f>
        <v/>
      </c>
      <c r="AF996" s="56">
        <f>IF(AC996&gt;0,I996/AC996,-1)</f>
        <v/>
      </c>
      <c r="AG996" s="56">
        <f>IF(AND(OR(BR996="L1",BR996="L23"),AC996&gt;0),SUMIFS($AC$7:$AC$1570,$BR$7:$BR$1570,BR996,$AF$7:$AF$1570,"&gt;"&amp;AF996)+SUMIFS($AC$7:$AC$1570,$BR$7:$BR$1570,BR996,$AF$7:$AF$1570,AF996,$BL$7:$BL$1570,"&lt;="&amp;BL996),"")</f>
        <v/>
      </c>
      <c r="AH996" s="65">
        <f>IF(AG996="",0,MAX(0,MIN(1,(IF(BR996="L1",Parameter!$K$5,Parameter!$K$6+Parameter!$K$7)-(AG996-AC996))/AC996)))</f>
        <v/>
      </c>
      <c r="AI996" s="55">
        <f>IF(LEFT(Cockpit!$I$5,1)="A",G996,IF(BT996=1,BU996,IF(LEFT(Cockpit!$I$5,1)="B",AM996,MAX(AM996,G996))))</f>
        <v/>
      </c>
      <c r="AJ996" s="55">
        <f>IF(BO996=1,0,ROUNDUP(AI996/BN996,0))</f>
        <v/>
      </c>
      <c r="AK996" s="64">
        <f>IF(BO996=1,IF(AI996&lt;=0,0,BP996*MAX(1,IF(G996&gt;0,AI996/G996,1))),AJ996*Q996)</f>
        <v/>
      </c>
      <c r="AL996" s="55">
        <f>AI996*F996</f>
        <v/>
      </c>
      <c r="AM996" s="55">
        <f>ROUNDUP(MAX(I996/IF(BS996&gt;0,BS996,MAX(0.1,N(Cockpit!$I$6))),BV996)/BN996,0)*BN996</f>
        <v/>
      </c>
      <c r="AN996" s="56">
        <f>IF(AK996&gt;0,I996/AK996,-1)</f>
        <v/>
      </c>
      <c r="AO996" s="56">
        <f>IF(AND(OR(BR996="L1",BR996="L23"),AK996&gt;0),SUMIFS($AK$7:$AK$1570,$BR$7:$BR$1570,BR996,$AN$7:$AN$1570,"&gt;"&amp;AN996)+SUMIFS($AK$7:$AK$1570,$BR$7:$BR$1570,BR996,$AN$7:$AN$1570,AN996,$BL$7:$BL$1570,"&lt;="&amp;BL996),"")</f>
        <v/>
      </c>
      <c r="AP996" s="65">
        <f>IF(AO996="",0,MAX(0,MIN(1,(IF(BR996="L1",Parameter!$K$5,Parameter!$K$6+Parameter!$K$7)-(AO996-AK996))/AK996)))</f>
        <v/>
      </c>
      <c r="AQ996" s="55">
        <f>IF(LEFT(Cockpit!$O$5,1)="A",G996,IF(BT996=1,BU996,IF(LEFT(Cockpit!$O$5,1)="B",AU996,MAX(AU996,G996))))</f>
        <v/>
      </c>
      <c r="AR996" s="55">
        <f>IF(BO996=1,0,ROUNDUP(AQ996/BN996,0))</f>
        <v/>
      </c>
      <c r="AS996" s="64">
        <f>IF(BO996=1,IF(AQ996&lt;=0,0,BP996*MAX(1,IF(G996&gt;0,AQ996/G996,1))),AR996*Q996)</f>
        <v/>
      </c>
      <c r="AT996" s="55">
        <f>AQ996*F996</f>
        <v/>
      </c>
      <c r="AU996" s="55">
        <f>ROUNDUP(MAX(I996/IF(BS996&gt;0,BS996,MAX(0.1,N(Cockpit!$O$6))),BV996)/BN996,0)*BN996</f>
        <v/>
      </c>
      <c r="AV996" s="56">
        <f>IF(AS996&gt;0,I996/AS996,-1)</f>
        <v/>
      </c>
      <c r="AW996" s="56">
        <f>IF(AND(OR(BR996="L1",BR996="L23"),AS996&gt;0),SUMIFS($AS$7:$AS$1570,$BR$7:$BR$1570,BR996,$AV$7:$AV$1570,"&gt;"&amp;AV996)+SUMIFS($AS$7:$AS$1570,$BR$7:$BR$1570,BR996,$AV$7:$AV$1570,AV996,$BL$7:$BL$1570,"&lt;="&amp;BL996),"")</f>
        <v/>
      </c>
      <c r="AX996" s="65">
        <f>IF(AW996="",0,MAX(0,MIN(1,(IF(BR996="L1",Parameter!$K$5,Parameter!$K$6+Parameter!$K$7)-(AW996-AS996))/AS996)))</f>
        <v/>
      </c>
      <c r="AY996" s="53">
        <f>IF(AC996&lt;=0,"",IF(BR996="Aussen","Aussenlager",IF(BR996="-","Nicht im Lift",IF(AH996&gt;=1,"Lift",IF(AH996&lt;=0,"Aussenlager","teilweise")))))</f>
        <v/>
      </c>
      <c r="AZ996" s="53">
        <f>IF(AK996&lt;=0,"",IF(BR996="Aussen","Aussenlager",IF(BR996="-","Nicht im Lift",IF(AP996&gt;=1,"Lift",IF(AP996&lt;=0,"Aussenlager","teilweise")))))</f>
        <v/>
      </c>
      <c r="BA996" s="53">
        <f>IF(AS996&lt;=0,"",IF(BR996="Aussen","Aussenlager",IF(BR996="-","Nicht im Lift",IF(AX996&gt;=1,"Lift",IF(AX996&lt;=0,"Aussenlager","teilweise")))))</f>
        <v/>
      </c>
      <c r="BB996" s="53">
        <f>IF(A996="","",IF(BK996=1,"Neu; ","")&amp;IF(AND(BK996=0,BF996&lt;0),"negativer Bestand (Export "&amp;BF996&amp;"); ","")&amp;IF(I996&lt;=0,"Kein Verbrauch; ","")&amp;IF(BO996=1,"Lose – Fläche geschätzt; ","")&amp;IF(G996&gt;AM996,"Überbestand "&amp;ROUND(G996-AM996,0)&amp;" Stk / CHF "&amp;ROUND((G996-AM996)*F996,0)&amp;"; ","")&amp;IF(AND(BT996=1,BU996&lt;BV996),"MAX &lt; MB+LG; ","")&amp;IF(AND(BZ996&gt;0,BY996*10&gt;BZ996),"zu hoch für Tablar; ","")&amp;IF(AND(BK996=0,OR(BT996=1,V996&lt;&gt;"",S996&lt;&gt;"",T996&lt;&gt;"",W996&lt;&gt;"")),"manuell übersteuert; ","")&amp;IF(AND(BO996=0,Q996=0),"Gebinde unbekannt; ","")&amp;IF(AND(BO996=0,N(T996)&lt;=0,N(P996)&lt;=0),"Menge pro Gebinde fehlt (Ist = 1 Gebinde); ","")&amp;BJ996)</f>
        <v/>
      </c>
      <c r="BC996" s="53" t="n"/>
      <c r="BD996" s="53" t="n"/>
      <c r="BE996" s="61" t="n"/>
      <c r="BF996" s="55" t="n">
        <v>0</v>
      </c>
      <c r="BG996" s="55" t="n">
        <v>4</v>
      </c>
      <c r="BH996" s="54" t="n">
        <v>-91.72000000000003</v>
      </c>
      <c r="BI996" s="55" t="n">
        <v>5</v>
      </c>
      <c r="BJ996" s="53" t="inlineStr"/>
      <c r="BK996" s="58" t="n">
        <v>0</v>
      </c>
      <c r="BL996" s="58" t="n">
        <v>996</v>
      </c>
      <c r="BM996" s="53">
        <f>IF(S996&lt;&gt;"",UPPER(TRIM(S996)),IF(O996="","LOSE",O996))</f>
        <v/>
      </c>
      <c r="BN996" s="55">
        <f>IF(BM996="LOSE",1,IF(N(T996)&gt;0,T996,IF(N(P996)&gt;0,P996,MAX(1,G996))))</f>
        <v/>
      </c>
      <c r="BO996" s="58">
        <f>IF(BM996="LOSE",1,0)</f>
        <v/>
      </c>
      <c r="BP996" s="64">
        <f>IF(BO996=0,0,IF(N(R996)&gt;0,R996,IFERROR(VLOOKUP(D996,Parameter!$A$35:$C$64,3,0)+0,0)))</f>
        <v/>
      </c>
      <c r="BQ996" s="53">
        <f>IF(V996&lt;&gt;"",V996,U996)</f>
        <v/>
      </c>
      <c r="BR996" s="53">
        <f>IF(BQ996=1,"L1",IF(OR(BQ996=2,BQ996=3),"L23",IF(BQ996="Aussen","Aussen","-")))</f>
        <v/>
      </c>
      <c r="BS996" s="66">
        <f>IF(N(W996)&gt;0,W996,0)</f>
        <v/>
      </c>
      <c r="BT996" s="58">
        <f>IF(ISNUMBER(Z996),1,0)</f>
        <v/>
      </c>
      <c r="BU996" s="55">
        <f>N(Z996)</f>
        <v/>
      </c>
      <c r="BV996" s="55">
        <f>N(L996)+N(M996)</f>
        <v/>
      </c>
      <c r="BW996" s="55">
        <f>ROUNDUP(G996/BN996,0)</f>
        <v/>
      </c>
      <c r="BX996" s="55">
        <f>ROUNDUP(BU996/BN996,0)</f>
        <v/>
      </c>
      <c r="BY996" s="58">
        <f>IF(BO996=1,0,IFERROR(VLOOKUP(BM996,'Gebinde-Kategorie'!$A$5:$G$45,5,0)+0,0))</f>
        <v/>
      </c>
      <c r="BZ996" s="58">
        <f>IFERROR(IF(OR(BQ996=1,BQ996=2,BQ996=3),N(INDEX(Parameter!$I$5:$I$7,BQ996)),0),0)</f>
        <v/>
      </c>
    </row>
    <row r="997">
      <c r="A997" s="53" t="inlineStr">
        <is>
          <t>005715</t>
        </is>
      </c>
      <c r="B997" s="53" t="inlineStr">
        <is>
          <t>Hinweisschild</t>
        </is>
      </c>
      <c r="C997" s="53" t="inlineStr">
        <is>
          <t>F</t>
        </is>
      </c>
      <c r="D997" s="53" t="inlineStr">
        <is>
          <t>KTL</t>
        </is>
      </c>
      <c r="E997" s="53" t="inlineStr">
        <is>
          <t>C</t>
        </is>
      </c>
      <c r="F997" s="54" t="n">
        <v>2.13</v>
      </c>
      <c r="G997" s="55">
        <f>MAX(0,IF(Parameter!$B$20="Jahresanfang 2025 + Export",BG997+BF997,BF997))</f>
        <v/>
      </c>
      <c r="H997" s="55">
        <f>G997*F997</f>
        <v/>
      </c>
      <c r="I997" s="55">
        <f>BI997*Parameter!$B$18</f>
        <v/>
      </c>
      <c r="J997" s="56" t="n">
        <v>112</v>
      </c>
      <c r="K997" s="57" t="n">
        <v>2.901785714285714</v>
      </c>
      <c r="L997" s="55" t="n">
        <v>18</v>
      </c>
      <c r="M997" s="55" t="n">
        <v>100</v>
      </c>
      <c r="N997" s="58" t="n">
        <v>2</v>
      </c>
      <c r="O997" s="53" t="inlineStr">
        <is>
          <t>S32</t>
        </is>
      </c>
      <c r="P997" s="55" t="n">
        <v>120</v>
      </c>
      <c r="Q997" s="59">
        <f>IF(BO997=1,0,IFERROR(VLOOKUP(BM997,'Gebinde-Kategorie'!$A$5:$G$45,6,0)+0,0))</f>
        <v/>
      </c>
      <c r="R997" s="60" t="n"/>
      <c r="S997" s="61" t="n"/>
      <c r="T997" s="61" t="n"/>
      <c r="U997" s="53">
        <f>IF(A997="","",IF(IFERROR(VLOOKUP(D997,Parameter!$A$35:$C$64,2,0),"Nein")="2+3",IF(ISNUMBER(SEARCH("grosser Artikel",BJ997)),2,IFERROR(VLOOKUP(BM997,Parameter!$F$35:$G$64,2,0),2)),IF(OR(IFERROR(VLOOKUP(D997,Parameter!$A$35:$C$64,2,0),"Nein")="Nein",IFERROR(VLOOKUP(D997,Parameter!$A$35:$C$64,2,0),"Nein")=""),"-",VLOOKUP(D997,Parameter!$A$35:$C$64,2,0))))</f>
        <v/>
      </c>
      <c r="V997" s="61" t="n"/>
      <c r="W997" s="62" t="n"/>
      <c r="X997" s="55">
        <f>AM997</f>
        <v/>
      </c>
      <c r="Y997" s="55">
        <f>MAX(AM997,G997)</f>
        <v/>
      </c>
      <c r="Z997" s="63" t="n"/>
      <c r="AA997" s="55">
        <f>IF(LEFT(Cockpit!$C$5,1)="A",G997,IF(BT997=1,BU997,IF(LEFT(Cockpit!$C$5,1)="B",AE997,MAX(AE997,G997))))</f>
        <v/>
      </c>
      <c r="AB997" s="55">
        <f>IF(BO997=1,0,ROUNDUP(AA997/BN997,0))</f>
        <v/>
      </c>
      <c r="AC997" s="64">
        <f>IF(BO997=1,IF(AA997&lt;=0,0,BP997*MAX(1,IF(G997&gt;0,AA997/G997,1))),AB997*Q997)</f>
        <v/>
      </c>
      <c r="AD997" s="55">
        <f>AA997*F997</f>
        <v/>
      </c>
      <c r="AE997" s="55">
        <f>ROUNDUP(MAX(I997/IF(BS997&gt;0,BS997,MAX(0.1,N(Cockpit!$C$6))),BV997)/BN997,0)*BN997</f>
        <v/>
      </c>
      <c r="AF997" s="56">
        <f>IF(AC997&gt;0,I997/AC997,-1)</f>
        <v/>
      </c>
      <c r="AG997" s="56">
        <f>IF(AND(OR(BR997="L1",BR997="L23"),AC997&gt;0),SUMIFS($AC$7:$AC$1570,$BR$7:$BR$1570,BR997,$AF$7:$AF$1570,"&gt;"&amp;AF997)+SUMIFS($AC$7:$AC$1570,$BR$7:$BR$1570,BR997,$AF$7:$AF$1570,AF997,$BL$7:$BL$1570,"&lt;="&amp;BL997),"")</f>
        <v/>
      </c>
      <c r="AH997" s="65">
        <f>IF(AG997="",0,MAX(0,MIN(1,(IF(BR997="L1",Parameter!$K$5,Parameter!$K$6+Parameter!$K$7)-(AG997-AC997))/AC997)))</f>
        <v/>
      </c>
      <c r="AI997" s="55">
        <f>IF(LEFT(Cockpit!$I$5,1)="A",G997,IF(BT997=1,BU997,IF(LEFT(Cockpit!$I$5,1)="B",AM997,MAX(AM997,G997))))</f>
        <v/>
      </c>
      <c r="AJ997" s="55">
        <f>IF(BO997=1,0,ROUNDUP(AI997/BN997,0))</f>
        <v/>
      </c>
      <c r="AK997" s="64">
        <f>IF(BO997=1,IF(AI997&lt;=0,0,BP997*MAX(1,IF(G997&gt;0,AI997/G997,1))),AJ997*Q997)</f>
        <v/>
      </c>
      <c r="AL997" s="55">
        <f>AI997*F997</f>
        <v/>
      </c>
      <c r="AM997" s="55">
        <f>ROUNDUP(MAX(I997/IF(BS997&gt;0,BS997,MAX(0.1,N(Cockpit!$I$6))),BV997)/BN997,0)*BN997</f>
        <v/>
      </c>
      <c r="AN997" s="56">
        <f>IF(AK997&gt;0,I997/AK997,-1)</f>
        <v/>
      </c>
      <c r="AO997" s="56">
        <f>IF(AND(OR(BR997="L1",BR997="L23"),AK997&gt;0),SUMIFS($AK$7:$AK$1570,$BR$7:$BR$1570,BR997,$AN$7:$AN$1570,"&gt;"&amp;AN997)+SUMIFS($AK$7:$AK$1570,$BR$7:$BR$1570,BR997,$AN$7:$AN$1570,AN997,$BL$7:$BL$1570,"&lt;="&amp;BL997),"")</f>
        <v/>
      </c>
      <c r="AP997" s="65">
        <f>IF(AO997="",0,MAX(0,MIN(1,(IF(BR997="L1",Parameter!$K$5,Parameter!$K$6+Parameter!$K$7)-(AO997-AK997))/AK997)))</f>
        <v/>
      </c>
      <c r="AQ997" s="55">
        <f>IF(LEFT(Cockpit!$O$5,1)="A",G997,IF(BT997=1,BU997,IF(LEFT(Cockpit!$O$5,1)="B",AU997,MAX(AU997,G997))))</f>
        <v/>
      </c>
      <c r="AR997" s="55">
        <f>IF(BO997=1,0,ROUNDUP(AQ997/BN997,0))</f>
        <v/>
      </c>
      <c r="AS997" s="64">
        <f>IF(BO997=1,IF(AQ997&lt;=0,0,BP997*MAX(1,IF(G997&gt;0,AQ997/G997,1))),AR997*Q997)</f>
        <v/>
      </c>
      <c r="AT997" s="55">
        <f>AQ997*F997</f>
        <v/>
      </c>
      <c r="AU997" s="55">
        <f>ROUNDUP(MAX(I997/IF(BS997&gt;0,BS997,MAX(0.1,N(Cockpit!$O$6))),BV997)/BN997,0)*BN997</f>
        <v/>
      </c>
      <c r="AV997" s="56">
        <f>IF(AS997&gt;0,I997/AS997,-1)</f>
        <v/>
      </c>
      <c r="AW997" s="56">
        <f>IF(AND(OR(BR997="L1",BR997="L23"),AS997&gt;0),SUMIFS($AS$7:$AS$1570,$BR$7:$BR$1570,BR997,$AV$7:$AV$1570,"&gt;"&amp;AV997)+SUMIFS($AS$7:$AS$1570,$BR$7:$BR$1570,BR997,$AV$7:$AV$1570,AV997,$BL$7:$BL$1570,"&lt;="&amp;BL997),"")</f>
        <v/>
      </c>
      <c r="AX997" s="65">
        <f>IF(AW997="",0,MAX(0,MIN(1,(IF(BR997="L1",Parameter!$K$5,Parameter!$K$6+Parameter!$K$7)-(AW997-AS997))/AS997)))</f>
        <v/>
      </c>
      <c r="AY997" s="53">
        <f>IF(AC997&lt;=0,"",IF(BR997="Aussen","Aussenlager",IF(BR997="-","Nicht im Lift",IF(AH997&gt;=1,"Lift",IF(AH997&lt;=0,"Aussenlager","teilweise")))))</f>
        <v/>
      </c>
      <c r="AZ997" s="53">
        <f>IF(AK997&lt;=0,"",IF(BR997="Aussen","Aussenlager",IF(BR997="-","Nicht im Lift",IF(AP997&gt;=1,"Lift",IF(AP997&lt;=0,"Aussenlager","teilweise")))))</f>
        <v/>
      </c>
      <c r="BA997" s="53">
        <f>IF(AS997&lt;=0,"",IF(BR997="Aussen","Aussenlager",IF(BR997="-","Nicht im Lift",IF(AX997&gt;=1,"Lift",IF(AX997&lt;=0,"Aussenlager","teilweise")))))</f>
        <v/>
      </c>
      <c r="BB997" s="53">
        <f>IF(A997="","",IF(BK997=1,"Neu; ","")&amp;IF(AND(BK997=0,BF997&lt;0),"negativer Bestand (Export "&amp;BF997&amp;"); ","")&amp;IF(I997&lt;=0,"Kein Verbrauch; ","")&amp;IF(BO997=1,"Lose – Fläche geschätzt; ","")&amp;IF(G997&gt;AM997,"Überbestand "&amp;ROUND(G997-AM997,0)&amp;" Stk / CHF "&amp;ROUND((G997-AM997)*F997,0)&amp;"; ","")&amp;IF(AND(BT997=1,BU997&lt;BV997),"MAX &lt; MB+LG; ","")&amp;IF(AND(BZ997&gt;0,BY997*10&gt;BZ997),"zu hoch für Tablar; ","")&amp;IF(AND(BK997=0,OR(BT997=1,V997&lt;&gt;"",S997&lt;&gt;"",T997&lt;&gt;"",W997&lt;&gt;"")),"manuell übersteuert; ","")&amp;IF(AND(BO997=0,Q997=0),"Gebinde unbekannt; ","")&amp;IF(AND(BO997=0,N(T997)&lt;=0,N(P997)&lt;=0),"Menge pro Gebinde fehlt (Ist = 1 Gebinde); ","")&amp;BJ997)</f>
        <v/>
      </c>
      <c r="BC997" s="53" t="n"/>
      <c r="BD997" s="53" t="n"/>
      <c r="BE997" s="61" t="n"/>
      <c r="BF997" s="55" t="n">
        <v>-44</v>
      </c>
      <c r="BG997" s="55" t="n">
        <v>116</v>
      </c>
      <c r="BH997" s="54" t="n">
        <v>-93.71999999999991</v>
      </c>
      <c r="BI997" s="55" t="n">
        <v>325</v>
      </c>
      <c r="BJ997" s="53" t="inlineStr"/>
      <c r="BK997" s="58" t="n">
        <v>0</v>
      </c>
      <c r="BL997" s="58" t="n">
        <v>997</v>
      </c>
      <c r="BM997" s="53">
        <f>IF(S997&lt;&gt;"",UPPER(TRIM(S997)),IF(O997="","LOSE",O997))</f>
        <v/>
      </c>
      <c r="BN997" s="55">
        <f>IF(BM997="LOSE",1,IF(N(T997)&gt;0,T997,IF(N(P997)&gt;0,P997,MAX(1,G997))))</f>
        <v/>
      </c>
      <c r="BO997" s="58">
        <f>IF(BM997="LOSE",1,0)</f>
        <v/>
      </c>
      <c r="BP997" s="64">
        <f>IF(BO997=0,0,IF(N(R997)&gt;0,R997,IFERROR(VLOOKUP(D997,Parameter!$A$35:$C$64,3,0)+0,0)))</f>
        <v/>
      </c>
      <c r="BQ997" s="53">
        <f>IF(V997&lt;&gt;"",V997,U997)</f>
        <v/>
      </c>
      <c r="BR997" s="53">
        <f>IF(BQ997=1,"L1",IF(OR(BQ997=2,BQ997=3),"L23",IF(BQ997="Aussen","Aussen","-")))</f>
        <v/>
      </c>
      <c r="BS997" s="66">
        <f>IF(N(W997)&gt;0,W997,0)</f>
        <v/>
      </c>
      <c r="BT997" s="58">
        <f>IF(ISNUMBER(Z997),1,0)</f>
        <v/>
      </c>
      <c r="BU997" s="55">
        <f>N(Z997)</f>
        <v/>
      </c>
      <c r="BV997" s="55">
        <f>N(L997)+N(M997)</f>
        <v/>
      </c>
      <c r="BW997" s="55">
        <f>ROUNDUP(G997/BN997,0)</f>
        <v/>
      </c>
      <c r="BX997" s="55">
        <f>ROUNDUP(BU997/BN997,0)</f>
        <v/>
      </c>
      <c r="BY997" s="58">
        <f>IF(BO997=1,0,IFERROR(VLOOKUP(BM997,'Gebinde-Kategorie'!$A$5:$G$45,5,0)+0,0))</f>
        <v/>
      </c>
      <c r="BZ997" s="58">
        <f>IFERROR(IF(OR(BQ997=1,BQ997=2,BQ997=3),N(INDEX(Parameter!$I$5:$I$7,BQ997)),0),0)</f>
        <v/>
      </c>
    </row>
    <row r="998">
      <c r="A998" s="53" t="inlineStr">
        <is>
          <t>002046</t>
        </is>
      </c>
      <c r="B998" s="53" t="inlineStr">
        <is>
          <t>VCI Klebeband</t>
        </is>
      </c>
      <c r="C998" s="53" t="inlineStr">
        <is>
          <t>F</t>
        </is>
      </c>
      <c r="D998" s="53" t="inlineStr">
        <is>
          <t>KTL</t>
        </is>
      </c>
      <c r="E998" s="53" t="inlineStr">
        <is>
          <t>C</t>
        </is>
      </c>
      <c r="F998" s="54" t="n">
        <v>8.57</v>
      </c>
      <c r="G998" s="55">
        <f>MAX(0,IF(Parameter!$B$20="Jahresanfang 2025 + Export",BG998+BF998,BF998))</f>
        <v/>
      </c>
      <c r="H998" s="55">
        <f>G998*F998</f>
        <v/>
      </c>
      <c r="I998" s="55">
        <f>BI998*Parameter!$B$18</f>
        <v/>
      </c>
      <c r="J998" s="56" t="n">
        <v>27</v>
      </c>
      <c r="K998" s="57" t="n">
        <v>0</v>
      </c>
      <c r="L998" s="55" t="n">
        <v>0</v>
      </c>
      <c r="M998" s="55" t="n">
        <v>10</v>
      </c>
      <c r="N998" s="58" t="n">
        <v>28</v>
      </c>
      <c r="O998" s="53" t="inlineStr">
        <is>
          <t>S52</t>
        </is>
      </c>
      <c r="P998" s="55" t="n">
        <v>18</v>
      </c>
      <c r="Q998" s="59">
        <f>IF(BO998=1,0,IFERROR(VLOOKUP(BM998,'Gebinde-Kategorie'!$A$5:$G$45,6,0)+0,0))</f>
        <v/>
      </c>
      <c r="R998" s="60" t="n"/>
      <c r="S998" s="61" t="n"/>
      <c r="T998" s="61" t="n"/>
      <c r="U998" s="53">
        <f>IF(A998="","",IF(IFERROR(VLOOKUP(D998,Parameter!$A$35:$C$64,2,0),"Nein")="2+3",IF(ISNUMBER(SEARCH("grosser Artikel",BJ998)),2,IFERROR(VLOOKUP(BM998,Parameter!$F$35:$G$64,2,0),2)),IF(OR(IFERROR(VLOOKUP(D998,Parameter!$A$35:$C$64,2,0),"Nein")="Nein",IFERROR(VLOOKUP(D998,Parameter!$A$35:$C$64,2,0),"Nein")=""),"-",VLOOKUP(D998,Parameter!$A$35:$C$64,2,0))))</f>
        <v/>
      </c>
      <c r="V998" s="61" t="n"/>
      <c r="W998" s="62" t="n"/>
      <c r="X998" s="55">
        <f>AM998</f>
        <v/>
      </c>
      <c r="Y998" s="55">
        <f>MAX(AM998,G998)</f>
        <v/>
      </c>
      <c r="Z998" s="63" t="n"/>
      <c r="AA998" s="55">
        <f>IF(LEFT(Cockpit!$C$5,1)="A",G998,IF(BT998=1,BU998,IF(LEFT(Cockpit!$C$5,1)="B",AE998,MAX(AE998,G998))))</f>
        <v/>
      </c>
      <c r="AB998" s="55">
        <f>IF(BO998=1,0,ROUNDUP(AA998/BN998,0))</f>
        <v/>
      </c>
      <c r="AC998" s="64">
        <f>IF(BO998=1,IF(AA998&lt;=0,0,BP998*MAX(1,IF(G998&gt;0,AA998/G998,1))),AB998*Q998)</f>
        <v/>
      </c>
      <c r="AD998" s="55">
        <f>AA998*F998</f>
        <v/>
      </c>
      <c r="AE998" s="55">
        <f>ROUNDUP(MAX(I998/IF(BS998&gt;0,BS998,MAX(0.1,N(Cockpit!$C$6))),BV998)/BN998,0)*BN998</f>
        <v/>
      </c>
      <c r="AF998" s="56">
        <f>IF(AC998&gt;0,I998/AC998,-1)</f>
        <v/>
      </c>
      <c r="AG998" s="56">
        <f>IF(AND(OR(BR998="L1",BR998="L23"),AC998&gt;0),SUMIFS($AC$7:$AC$1570,$BR$7:$BR$1570,BR998,$AF$7:$AF$1570,"&gt;"&amp;AF998)+SUMIFS($AC$7:$AC$1570,$BR$7:$BR$1570,BR998,$AF$7:$AF$1570,AF998,$BL$7:$BL$1570,"&lt;="&amp;BL998),"")</f>
        <v/>
      </c>
      <c r="AH998" s="65">
        <f>IF(AG998="",0,MAX(0,MIN(1,(IF(BR998="L1",Parameter!$K$5,Parameter!$K$6+Parameter!$K$7)-(AG998-AC998))/AC998)))</f>
        <v/>
      </c>
      <c r="AI998" s="55">
        <f>IF(LEFT(Cockpit!$I$5,1)="A",G998,IF(BT998=1,BU998,IF(LEFT(Cockpit!$I$5,1)="B",AM998,MAX(AM998,G998))))</f>
        <v/>
      </c>
      <c r="AJ998" s="55">
        <f>IF(BO998=1,0,ROUNDUP(AI998/BN998,0))</f>
        <v/>
      </c>
      <c r="AK998" s="64">
        <f>IF(BO998=1,IF(AI998&lt;=0,0,BP998*MAX(1,IF(G998&gt;0,AI998/G998,1))),AJ998*Q998)</f>
        <v/>
      </c>
      <c r="AL998" s="55">
        <f>AI998*F998</f>
        <v/>
      </c>
      <c r="AM998" s="55">
        <f>ROUNDUP(MAX(I998/IF(BS998&gt;0,BS998,MAX(0.1,N(Cockpit!$I$6))),BV998)/BN998,0)*BN998</f>
        <v/>
      </c>
      <c r="AN998" s="56">
        <f>IF(AK998&gt;0,I998/AK998,-1)</f>
        <v/>
      </c>
      <c r="AO998" s="56">
        <f>IF(AND(OR(BR998="L1",BR998="L23"),AK998&gt;0),SUMIFS($AK$7:$AK$1570,$BR$7:$BR$1570,BR998,$AN$7:$AN$1570,"&gt;"&amp;AN998)+SUMIFS($AK$7:$AK$1570,$BR$7:$BR$1570,BR998,$AN$7:$AN$1570,AN998,$BL$7:$BL$1570,"&lt;="&amp;BL998),"")</f>
        <v/>
      </c>
      <c r="AP998" s="65">
        <f>IF(AO998="",0,MAX(0,MIN(1,(IF(BR998="L1",Parameter!$K$5,Parameter!$K$6+Parameter!$K$7)-(AO998-AK998))/AK998)))</f>
        <v/>
      </c>
      <c r="AQ998" s="55">
        <f>IF(LEFT(Cockpit!$O$5,1)="A",G998,IF(BT998=1,BU998,IF(LEFT(Cockpit!$O$5,1)="B",AU998,MAX(AU998,G998))))</f>
        <v/>
      </c>
      <c r="AR998" s="55">
        <f>IF(BO998=1,0,ROUNDUP(AQ998/BN998,0))</f>
        <v/>
      </c>
      <c r="AS998" s="64">
        <f>IF(BO998=1,IF(AQ998&lt;=0,0,BP998*MAX(1,IF(G998&gt;0,AQ998/G998,1))),AR998*Q998)</f>
        <v/>
      </c>
      <c r="AT998" s="55">
        <f>AQ998*F998</f>
        <v/>
      </c>
      <c r="AU998" s="55">
        <f>ROUNDUP(MAX(I998/IF(BS998&gt;0,BS998,MAX(0.1,N(Cockpit!$O$6))),BV998)/BN998,0)*BN998</f>
        <v/>
      </c>
      <c r="AV998" s="56">
        <f>IF(AS998&gt;0,I998/AS998,-1)</f>
        <v/>
      </c>
      <c r="AW998" s="56">
        <f>IF(AND(OR(BR998="L1",BR998="L23"),AS998&gt;0),SUMIFS($AS$7:$AS$1570,$BR$7:$BR$1570,BR998,$AV$7:$AV$1570,"&gt;"&amp;AV998)+SUMIFS($AS$7:$AS$1570,$BR$7:$BR$1570,BR998,$AV$7:$AV$1570,AV998,$BL$7:$BL$1570,"&lt;="&amp;BL998),"")</f>
        <v/>
      </c>
      <c r="AX998" s="65">
        <f>IF(AW998="",0,MAX(0,MIN(1,(IF(BR998="L1",Parameter!$K$5,Parameter!$K$6+Parameter!$K$7)-(AW998-AS998))/AS998)))</f>
        <v/>
      </c>
      <c r="AY998" s="53">
        <f>IF(AC998&lt;=0,"",IF(BR998="Aussen","Aussenlager",IF(BR998="-","Nicht im Lift",IF(AH998&gt;=1,"Lift",IF(AH998&lt;=0,"Aussenlager","teilweise")))))</f>
        <v/>
      </c>
      <c r="AZ998" s="53">
        <f>IF(AK998&lt;=0,"",IF(BR998="Aussen","Aussenlager",IF(BR998="-","Nicht im Lift",IF(AP998&gt;=1,"Lift",IF(AP998&lt;=0,"Aussenlager","teilweise")))))</f>
        <v/>
      </c>
      <c r="BA998" s="53">
        <f>IF(AS998&lt;=0,"",IF(BR998="Aussen","Aussenlager",IF(BR998="-","Nicht im Lift",IF(AX998&gt;=1,"Lift",IF(AX998&lt;=0,"Aussenlager","teilweise")))))</f>
        <v/>
      </c>
      <c r="BB998" s="53">
        <f>IF(A998="","",IF(BK998=1,"Neu; ","")&amp;IF(AND(BK998=0,BF998&lt;0),"negativer Bestand (Export "&amp;BF998&amp;"); ","")&amp;IF(I998&lt;=0,"Kein Verbrauch; ","")&amp;IF(BO998=1,"Lose – Fläche geschätzt; ","")&amp;IF(G998&gt;AM998,"Überbestand "&amp;ROUND(G998-AM998,0)&amp;" Stk / CHF "&amp;ROUND((G998-AM998)*F998,0)&amp;"; ","")&amp;IF(AND(BT998=1,BU998&lt;BV998),"MAX &lt; MB+LG; ","")&amp;IF(AND(BZ998&gt;0,BY998*10&gt;BZ998),"zu hoch für Tablar; ","")&amp;IF(AND(BK998=0,OR(BT998=1,V998&lt;&gt;"",S998&lt;&gt;"",T998&lt;&gt;"",W998&lt;&gt;"")),"manuell übersteuert; ","")&amp;IF(AND(BO998=0,Q998=0),"Gebinde unbekannt; ","")&amp;IF(AND(BO998=0,N(T998)&lt;=0,N(P998)&lt;=0),"Menge pro Gebinde fehlt (Ist = 1 Gebinde); ","")&amp;BJ998)</f>
        <v/>
      </c>
      <c r="BC998" s="53" t="n"/>
      <c r="BD998" s="53" t="n"/>
      <c r="BE998" s="61" t="n"/>
      <c r="BF998" s="55" t="n">
        <v>-11</v>
      </c>
      <c r="BG998" s="55" t="n">
        <v>33</v>
      </c>
      <c r="BH998" s="54" t="n">
        <v>-94.27000000000001</v>
      </c>
      <c r="BI998" s="55" t="n">
        <v>0</v>
      </c>
      <c r="BJ998" s="53" t="inlineStr"/>
      <c r="BK998" s="58" t="n">
        <v>0</v>
      </c>
      <c r="BL998" s="58" t="n">
        <v>998</v>
      </c>
      <c r="BM998" s="53">
        <f>IF(S998&lt;&gt;"",UPPER(TRIM(S998)),IF(O998="","LOSE",O998))</f>
        <v/>
      </c>
      <c r="BN998" s="55">
        <f>IF(BM998="LOSE",1,IF(N(T998)&gt;0,T998,IF(N(P998)&gt;0,P998,MAX(1,G998))))</f>
        <v/>
      </c>
      <c r="BO998" s="58">
        <f>IF(BM998="LOSE",1,0)</f>
        <v/>
      </c>
      <c r="BP998" s="64">
        <f>IF(BO998=0,0,IF(N(R998)&gt;0,R998,IFERROR(VLOOKUP(D998,Parameter!$A$35:$C$64,3,0)+0,0)))</f>
        <v/>
      </c>
      <c r="BQ998" s="53">
        <f>IF(V998&lt;&gt;"",V998,U998)</f>
        <v/>
      </c>
      <c r="BR998" s="53">
        <f>IF(BQ998=1,"L1",IF(OR(BQ998=2,BQ998=3),"L23",IF(BQ998="Aussen","Aussen","-")))</f>
        <v/>
      </c>
      <c r="BS998" s="66">
        <f>IF(N(W998)&gt;0,W998,0)</f>
        <v/>
      </c>
      <c r="BT998" s="58">
        <f>IF(ISNUMBER(Z998),1,0)</f>
        <v/>
      </c>
      <c r="BU998" s="55">
        <f>N(Z998)</f>
        <v/>
      </c>
      <c r="BV998" s="55">
        <f>N(L998)+N(M998)</f>
        <v/>
      </c>
      <c r="BW998" s="55">
        <f>ROUNDUP(G998/BN998,0)</f>
        <v/>
      </c>
      <c r="BX998" s="55">
        <f>ROUNDUP(BU998/BN998,0)</f>
        <v/>
      </c>
      <c r="BY998" s="58">
        <f>IF(BO998=1,0,IFERROR(VLOOKUP(BM998,'Gebinde-Kategorie'!$A$5:$G$45,5,0)+0,0))</f>
        <v/>
      </c>
      <c r="BZ998" s="58">
        <f>IFERROR(IF(OR(BQ998=1,BQ998=2,BQ998=3),N(INDEX(Parameter!$I$5:$I$7,BQ998)),0),0)</f>
        <v/>
      </c>
    </row>
    <row r="999">
      <c r="A999" s="53" t="inlineStr">
        <is>
          <t>100366</t>
        </is>
      </c>
      <c r="B999" s="53" t="inlineStr">
        <is>
          <t>O-Ring</t>
        </is>
      </c>
      <c r="C999" s="53" t="inlineStr">
        <is>
          <t>F</t>
        </is>
      </c>
      <c r="D999" s="53" t="inlineStr">
        <is>
          <t>KTL</t>
        </is>
      </c>
      <c r="E999" s="53" t="inlineStr">
        <is>
          <t>C</t>
        </is>
      </c>
      <c r="F999" s="54" t="n">
        <v>0.44</v>
      </c>
      <c r="G999" s="55">
        <f>MAX(0,IF(Parameter!$B$20="Jahresanfang 2025 + Export",BG999+BF999,BF999))</f>
        <v/>
      </c>
      <c r="H999" s="55">
        <f>G999*F999</f>
        <v/>
      </c>
      <c r="I999" s="55">
        <f>BI999*Parameter!$B$18</f>
        <v/>
      </c>
      <c r="J999" s="56" t="n">
        <v>343.5</v>
      </c>
      <c r="K999" s="57" t="n">
        <v>0.6841339155749636</v>
      </c>
      <c r="L999" s="55" t="n">
        <v>9</v>
      </c>
      <c r="M999" s="55" t="n">
        <v>235</v>
      </c>
      <c r="N999" s="58" t="n">
        <v>14</v>
      </c>
      <c r="O999" s="53" t="inlineStr">
        <is>
          <t>S41</t>
        </is>
      </c>
      <c r="P999" s="55" t="n">
        <v>224</v>
      </c>
      <c r="Q999" s="59">
        <f>IF(BO999=1,0,IFERROR(VLOOKUP(BM999,'Gebinde-Kategorie'!$A$5:$G$45,6,0)+0,0))</f>
        <v/>
      </c>
      <c r="R999" s="60" t="n"/>
      <c r="S999" s="61" t="n"/>
      <c r="T999" s="61" t="n"/>
      <c r="U999" s="53">
        <f>IF(A999="","",IF(IFERROR(VLOOKUP(D999,Parameter!$A$35:$C$64,2,0),"Nein")="2+3",IF(ISNUMBER(SEARCH("grosser Artikel",BJ999)),2,IFERROR(VLOOKUP(BM999,Parameter!$F$35:$G$64,2,0),2)),IF(OR(IFERROR(VLOOKUP(D999,Parameter!$A$35:$C$64,2,0),"Nein")="Nein",IFERROR(VLOOKUP(D999,Parameter!$A$35:$C$64,2,0),"Nein")=""),"-",VLOOKUP(D999,Parameter!$A$35:$C$64,2,0))))</f>
        <v/>
      </c>
      <c r="V999" s="61" t="n"/>
      <c r="W999" s="62" t="n"/>
      <c r="X999" s="55">
        <f>AM999</f>
        <v/>
      </c>
      <c r="Y999" s="55">
        <f>MAX(AM999,G999)</f>
        <v/>
      </c>
      <c r="Z999" s="63" t="n"/>
      <c r="AA999" s="55">
        <f>IF(LEFT(Cockpit!$C$5,1)="A",G999,IF(BT999=1,BU999,IF(LEFT(Cockpit!$C$5,1)="B",AE999,MAX(AE999,G999))))</f>
        <v/>
      </c>
      <c r="AB999" s="55">
        <f>IF(BO999=1,0,ROUNDUP(AA999/BN999,0))</f>
        <v/>
      </c>
      <c r="AC999" s="64">
        <f>IF(BO999=1,IF(AA999&lt;=0,0,BP999*MAX(1,IF(G999&gt;0,AA999/G999,1))),AB999*Q999)</f>
        <v/>
      </c>
      <c r="AD999" s="55">
        <f>AA999*F999</f>
        <v/>
      </c>
      <c r="AE999" s="55">
        <f>ROUNDUP(MAX(I999/IF(BS999&gt;0,BS999,MAX(0.1,N(Cockpit!$C$6))),BV999)/BN999,0)*BN999</f>
        <v/>
      </c>
      <c r="AF999" s="56">
        <f>IF(AC999&gt;0,I999/AC999,-1)</f>
        <v/>
      </c>
      <c r="AG999" s="56">
        <f>IF(AND(OR(BR999="L1",BR999="L23"),AC999&gt;0),SUMIFS($AC$7:$AC$1570,$BR$7:$BR$1570,BR999,$AF$7:$AF$1570,"&gt;"&amp;AF999)+SUMIFS($AC$7:$AC$1570,$BR$7:$BR$1570,BR999,$AF$7:$AF$1570,AF999,$BL$7:$BL$1570,"&lt;="&amp;BL999),"")</f>
        <v/>
      </c>
      <c r="AH999" s="65">
        <f>IF(AG999="",0,MAX(0,MIN(1,(IF(BR999="L1",Parameter!$K$5,Parameter!$K$6+Parameter!$K$7)-(AG999-AC999))/AC999)))</f>
        <v/>
      </c>
      <c r="AI999" s="55">
        <f>IF(LEFT(Cockpit!$I$5,1)="A",G999,IF(BT999=1,BU999,IF(LEFT(Cockpit!$I$5,1)="B",AM999,MAX(AM999,G999))))</f>
        <v/>
      </c>
      <c r="AJ999" s="55">
        <f>IF(BO999=1,0,ROUNDUP(AI999/BN999,0))</f>
        <v/>
      </c>
      <c r="AK999" s="64">
        <f>IF(BO999=1,IF(AI999&lt;=0,0,BP999*MAX(1,IF(G999&gt;0,AI999/G999,1))),AJ999*Q999)</f>
        <v/>
      </c>
      <c r="AL999" s="55">
        <f>AI999*F999</f>
        <v/>
      </c>
      <c r="AM999" s="55">
        <f>ROUNDUP(MAX(I999/IF(BS999&gt;0,BS999,MAX(0.1,N(Cockpit!$I$6))),BV999)/BN999,0)*BN999</f>
        <v/>
      </c>
      <c r="AN999" s="56">
        <f>IF(AK999&gt;0,I999/AK999,-1)</f>
        <v/>
      </c>
      <c r="AO999" s="56">
        <f>IF(AND(OR(BR999="L1",BR999="L23"),AK999&gt;0),SUMIFS($AK$7:$AK$1570,$BR$7:$BR$1570,BR999,$AN$7:$AN$1570,"&gt;"&amp;AN999)+SUMIFS($AK$7:$AK$1570,$BR$7:$BR$1570,BR999,$AN$7:$AN$1570,AN999,$BL$7:$BL$1570,"&lt;="&amp;BL999),"")</f>
        <v/>
      </c>
      <c r="AP999" s="65">
        <f>IF(AO999="",0,MAX(0,MIN(1,(IF(BR999="L1",Parameter!$K$5,Parameter!$K$6+Parameter!$K$7)-(AO999-AK999))/AK999)))</f>
        <v/>
      </c>
      <c r="AQ999" s="55">
        <f>IF(LEFT(Cockpit!$O$5,1)="A",G999,IF(BT999=1,BU999,IF(LEFT(Cockpit!$O$5,1)="B",AU999,MAX(AU999,G999))))</f>
        <v/>
      </c>
      <c r="AR999" s="55">
        <f>IF(BO999=1,0,ROUNDUP(AQ999/BN999,0))</f>
        <v/>
      </c>
      <c r="AS999" s="64">
        <f>IF(BO999=1,IF(AQ999&lt;=0,0,BP999*MAX(1,IF(G999&gt;0,AQ999/G999,1))),AR999*Q999)</f>
        <v/>
      </c>
      <c r="AT999" s="55">
        <f>AQ999*F999</f>
        <v/>
      </c>
      <c r="AU999" s="55">
        <f>ROUNDUP(MAX(I999/IF(BS999&gt;0,BS999,MAX(0.1,N(Cockpit!$O$6))),BV999)/BN999,0)*BN999</f>
        <v/>
      </c>
      <c r="AV999" s="56">
        <f>IF(AS999&gt;0,I999/AS999,-1)</f>
        <v/>
      </c>
      <c r="AW999" s="56">
        <f>IF(AND(OR(BR999="L1",BR999="L23"),AS999&gt;0),SUMIFS($AS$7:$AS$1570,$BR$7:$BR$1570,BR999,$AV$7:$AV$1570,"&gt;"&amp;AV999)+SUMIFS($AS$7:$AS$1570,$BR$7:$BR$1570,BR999,$AV$7:$AV$1570,AV999,$BL$7:$BL$1570,"&lt;="&amp;BL999),"")</f>
        <v/>
      </c>
      <c r="AX999" s="65">
        <f>IF(AW999="",0,MAX(0,MIN(1,(IF(BR999="L1",Parameter!$K$5,Parameter!$K$6+Parameter!$K$7)-(AW999-AS999))/AS999)))</f>
        <v/>
      </c>
      <c r="AY999" s="53">
        <f>IF(AC999&lt;=0,"",IF(BR999="Aussen","Aussenlager",IF(BR999="-","Nicht im Lift",IF(AH999&gt;=1,"Lift",IF(AH999&lt;=0,"Aussenlager","teilweise")))))</f>
        <v/>
      </c>
      <c r="AZ999" s="53">
        <f>IF(AK999&lt;=0,"",IF(BR999="Aussen","Aussenlager",IF(BR999="-","Nicht im Lift",IF(AP999&gt;=1,"Lift",IF(AP999&lt;=0,"Aussenlager","teilweise")))))</f>
        <v/>
      </c>
      <c r="BA999" s="53">
        <f>IF(AS999&lt;=0,"",IF(BR999="Aussen","Aussenlager",IF(BR999="-","Nicht im Lift",IF(AX999&gt;=1,"Lift",IF(AX999&lt;=0,"Aussenlager","teilweise")))))</f>
        <v/>
      </c>
      <c r="BB999" s="53">
        <f>IF(A999="","",IF(BK999=1,"Neu; ","")&amp;IF(AND(BK999=0,BF999&lt;0),"negativer Bestand (Export "&amp;BF999&amp;"); ","")&amp;IF(I999&lt;=0,"Kein Verbrauch; ","")&amp;IF(BO999=1,"Lose – Fläche geschätzt; ","")&amp;IF(G999&gt;AM999,"Überbestand "&amp;ROUND(G999-AM999,0)&amp;" Stk / CHF "&amp;ROUND((G999-AM999)*F999,0)&amp;"; ","")&amp;IF(AND(BT999=1,BU999&lt;BV999),"MAX &lt; MB+LG; ","")&amp;IF(AND(BZ999&gt;0,BY999*10&gt;BZ999),"zu hoch für Tablar; ","")&amp;IF(AND(BK999=0,OR(BT999=1,V999&lt;&gt;"",S999&lt;&gt;"",T999&lt;&gt;"",W999&lt;&gt;"")),"manuell übersteuert; ","")&amp;IF(AND(BO999=0,Q999=0),"Gebinde unbekannt; ","")&amp;IF(AND(BO999=0,N(T999)&lt;=0,N(P999)&lt;=0),"Menge pro Gebinde fehlt (Ist = 1 Gebinde); ","")&amp;BJ999)</f>
        <v/>
      </c>
      <c r="BC999" s="53" t="n"/>
      <c r="BD999" s="53" t="n"/>
      <c r="BE999" s="61" t="n"/>
      <c r="BF999" s="55" t="n">
        <v>-224</v>
      </c>
      <c r="BG999" s="55" t="n">
        <v>361</v>
      </c>
      <c r="BH999" s="54" t="n">
        <v>-95.09999999999994</v>
      </c>
      <c r="BI999" s="55" t="n">
        <v>235</v>
      </c>
      <c r="BJ999" s="53" t="inlineStr"/>
      <c r="BK999" s="58" t="n">
        <v>0</v>
      </c>
      <c r="BL999" s="58" t="n">
        <v>999</v>
      </c>
      <c r="BM999" s="53">
        <f>IF(S999&lt;&gt;"",UPPER(TRIM(S999)),IF(O999="","LOSE",O999))</f>
        <v/>
      </c>
      <c r="BN999" s="55">
        <f>IF(BM999="LOSE",1,IF(N(T999)&gt;0,T999,IF(N(P999)&gt;0,P999,MAX(1,G999))))</f>
        <v/>
      </c>
      <c r="BO999" s="58">
        <f>IF(BM999="LOSE",1,0)</f>
        <v/>
      </c>
      <c r="BP999" s="64">
        <f>IF(BO999=0,0,IF(N(R999)&gt;0,R999,IFERROR(VLOOKUP(D999,Parameter!$A$35:$C$64,3,0)+0,0)))</f>
        <v/>
      </c>
      <c r="BQ999" s="53">
        <f>IF(V999&lt;&gt;"",V999,U999)</f>
        <v/>
      </c>
      <c r="BR999" s="53">
        <f>IF(BQ999=1,"L1",IF(OR(BQ999=2,BQ999=3),"L23",IF(BQ999="Aussen","Aussen","-")))</f>
        <v/>
      </c>
      <c r="BS999" s="66">
        <f>IF(N(W999)&gt;0,W999,0)</f>
        <v/>
      </c>
      <c r="BT999" s="58">
        <f>IF(ISNUMBER(Z999),1,0)</f>
        <v/>
      </c>
      <c r="BU999" s="55">
        <f>N(Z999)</f>
        <v/>
      </c>
      <c r="BV999" s="55">
        <f>N(L999)+N(M999)</f>
        <v/>
      </c>
      <c r="BW999" s="55">
        <f>ROUNDUP(G999/BN999,0)</f>
        <v/>
      </c>
      <c r="BX999" s="55">
        <f>ROUNDUP(BU999/BN999,0)</f>
        <v/>
      </c>
      <c r="BY999" s="58">
        <f>IF(BO999=1,0,IFERROR(VLOOKUP(BM999,'Gebinde-Kategorie'!$A$5:$G$45,5,0)+0,0))</f>
        <v/>
      </c>
      <c r="BZ999" s="58">
        <f>IFERROR(IF(OR(BQ999=1,BQ999=2,BQ999=3),N(INDEX(Parameter!$I$5:$I$7,BQ999)),0),0)</f>
        <v/>
      </c>
    </row>
    <row r="1000">
      <c r="A1000" s="53" t="inlineStr">
        <is>
          <t>109751</t>
        </is>
      </c>
      <c r="B1000" s="53" t="inlineStr">
        <is>
          <t>Bügel</t>
        </is>
      </c>
      <c r="C1000" s="53" t="inlineStr">
        <is>
          <t>F</t>
        </is>
      </c>
      <c r="D1000" s="53" t="inlineStr">
        <is>
          <t>KTL</t>
        </is>
      </c>
      <c r="E1000" s="53" t="inlineStr">
        <is>
          <t>C</t>
        </is>
      </c>
      <c r="F1000" s="54" t="n">
        <v>28.43</v>
      </c>
      <c r="G1000" s="55">
        <f>MAX(0,IF(Parameter!$B$20="Jahresanfang 2025 + Export",BG1000+BF1000,BF1000))</f>
        <v/>
      </c>
      <c r="H1000" s="55">
        <f>G1000*F1000</f>
        <v/>
      </c>
      <c r="I1000" s="55">
        <f>BI1000*Parameter!$B$18</f>
        <v/>
      </c>
      <c r="J1000" s="56" t="n">
        <v>11.5</v>
      </c>
      <c r="K1000" s="57" t="n">
        <v>0.4347826086956522</v>
      </c>
      <c r="L1000" s="55" t="n">
        <v>0</v>
      </c>
      <c r="M1000" s="55" t="n">
        <v>5</v>
      </c>
      <c r="N1000" s="58" t="n">
        <v>21</v>
      </c>
      <c r="O1000" s="53" t="inlineStr">
        <is>
          <t>S41</t>
        </is>
      </c>
      <c r="P1000" s="55" t="n">
        <v>5</v>
      </c>
      <c r="Q1000" s="59">
        <f>IF(BO1000=1,0,IFERROR(VLOOKUP(BM1000,'Gebinde-Kategorie'!$A$5:$G$45,6,0)+0,0))</f>
        <v/>
      </c>
      <c r="R1000" s="60" t="n"/>
      <c r="S1000" s="61" t="n"/>
      <c r="T1000" s="61" t="n"/>
      <c r="U1000" s="53">
        <f>IF(A1000="","",IF(IFERROR(VLOOKUP(D1000,Parameter!$A$35:$C$64,2,0),"Nein")="2+3",IF(ISNUMBER(SEARCH("grosser Artikel",BJ1000)),2,IFERROR(VLOOKUP(BM1000,Parameter!$F$35:$G$64,2,0),2)),IF(OR(IFERROR(VLOOKUP(D1000,Parameter!$A$35:$C$64,2,0),"Nein")="Nein",IFERROR(VLOOKUP(D1000,Parameter!$A$35:$C$64,2,0),"Nein")=""),"-",VLOOKUP(D1000,Parameter!$A$35:$C$64,2,0))))</f>
        <v/>
      </c>
      <c r="V1000" s="61" t="n"/>
      <c r="W1000" s="62" t="n"/>
      <c r="X1000" s="55">
        <f>AM1000</f>
        <v/>
      </c>
      <c r="Y1000" s="55">
        <f>MAX(AM1000,G1000)</f>
        <v/>
      </c>
      <c r="Z1000" s="63" t="n"/>
      <c r="AA1000" s="55">
        <f>IF(LEFT(Cockpit!$C$5,1)="A",G1000,IF(BT1000=1,BU1000,IF(LEFT(Cockpit!$C$5,1)="B",AE1000,MAX(AE1000,G1000))))</f>
        <v/>
      </c>
      <c r="AB1000" s="55">
        <f>IF(BO1000=1,0,ROUNDUP(AA1000/BN1000,0))</f>
        <v/>
      </c>
      <c r="AC1000" s="64">
        <f>IF(BO1000=1,IF(AA1000&lt;=0,0,BP1000*MAX(1,IF(G1000&gt;0,AA1000/G1000,1))),AB1000*Q1000)</f>
        <v/>
      </c>
      <c r="AD1000" s="55">
        <f>AA1000*F1000</f>
        <v/>
      </c>
      <c r="AE1000" s="55">
        <f>ROUNDUP(MAX(I1000/IF(BS1000&gt;0,BS1000,MAX(0.1,N(Cockpit!$C$6))),BV1000)/BN1000,0)*BN1000</f>
        <v/>
      </c>
      <c r="AF1000" s="56">
        <f>IF(AC1000&gt;0,I1000/AC1000,-1)</f>
        <v/>
      </c>
      <c r="AG1000" s="56">
        <f>IF(AND(OR(BR1000="L1",BR1000="L23"),AC1000&gt;0),SUMIFS($AC$7:$AC$1570,$BR$7:$BR$1570,BR1000,$AF$7:$AF$1570,"&gt;"&amp;AF1000)+SUMIFS($AC$7:$AC$1570,$BR$7:$BR$1570,BR1000,$AF$7:$AF$1570,AF1000,$BL$7:$BL$1570,"&lt;="&amp;BL1000),"")</f>
        <v/>
      </c>
      <c r="AH1000" s="65">
        <f>IF(AG1000="",0,MAX(0,MIN(1,(IF(BR1000="L1",Parameter!$K$5,Parameter!$K$6+Parameter!$K$7)-(AG1000-AC1000))/AC1000)))</f>
        <v/>
      </c>
      <c r="AI1000" s="55">
        <f>IF(LEFT(Cockpit!$I$5,1)="A",G1000,IF(BT1000=1,BU1000,IF(LEFT(Cockpit!$I$5,1)="B",AM1000,MAX(AM1000,G1000))))</f>
        <v/>
      </c>
      <c r="AJ1000" s="55">
        <f>IF(BO1000=1,0,ROUNDUP(AI1000/BN1000,0))</f>
        <v/>
      </c>
      <c r="AK1000" s="64">
        <f>IF(BO1000=1,IF(AI1000&lt;=0,0,BP1000*MAX(1,IF(G1000&gt;0,AI1000/G1000,1))),AJ1000*Q1000)</f>
        <v/>
      </c>
      <c r="AL1000" s="55">
        <f>AI1000*F1000</f>
        <v/>
      </c>
      <c r="AM1000" s="55">
        <f>ROUNDUP(MAX(I1000/IF(BS1000&gt;0,BS1000,MAX(0.1,N(Cockpit!$I$6))),BV1000)/BN1000,0)*BN1000</f>
        <v/>
      </c>
      <c r="AN1000" s="56">
        <f>IF(AK1000&gt;0,I1000/AK1000,-1)</f>
        <v/>
      </c>
      <c r="AO1000" s="56">
        <f>IF(AND(OR(BR1000="L1",BR1000="L23"),AK1000&gt;0),SUMIFS($AK$7:$AK$1570,$BR$7:$BR$1570,BR1000,$AN$7:$AN$1570,"&gt;"&amp;AN1000)+SUMIFS($AK$7:$AK$1570,$BR$7:$BR$1570,BR1000,$AN$7:$AN$1570,AN1000,$BL$7:$BL$1570,"&lt;="&amp;BL1000),"")</f>
        <v/>
      </c>
      <c r="AP1000" s="65">
        <f>IF(AO1000="",0,MAX(0,MIN(1,(IF(BR1000="L1",Parameter!$K$5,Parameter!$K$6+Parameter!$K$7)-(AO1000-AK1000))/AK1000)))</f>
        <v/>
      </c>
      <c r="AQ1000" s="55">
        <f>IF(LEFT(Cockpit!$O$5,1)="A",G1000,IF(BT1000=1,BU1000,IF(LEFT(Cockpit!$O$5,1)="B",AU1000,MAX(AU1000,G1000))))</f>
        <v/>
      </c>
      <c r="AR1000" s="55">
        <f>IF(BO1000=1,0,ROUNDUP(AQ1000/BN1000,0))</f>
        <v/>
      </c>
      <c r="AS1000" s="64">
        <f>IF(BO1000=1,IF(AQ1000&lt;=0,0,BP1000*MAX(1,IF(G1000&gt;0,AQ1000/G1000,1))),AR1000*Q1000)</f>
        <v/>
      </c>
      <c r="AT1000" s="55">
        <f>AQ1000*F1000</f>
        <v/>
      </c>
      <c r="AU1000" s="55">
        <f>ROUNDUP(MAX(I1000/IF(BS1000&gt;0,BS1000,MAX(0.1,N(Cockpit!$O$6))),BV1000)/BN1000,0)*BN1000</f>
        <v/>
      </c>
      <c r="AV1000" s="56">
        <f>IF(AS1000&gt;0,I1000/AS1000,-1)</f>
        <v/>
      </c>
      <c r="AW1000" s="56">
        <f>IF(AND(OR(BR1000="L1",BR1000="L23"),AS1000&gt;0),SUMIFS($AS$7:$AS$1570,$BR$7:$BR$1570,BR1000,$AV$7:$AV$1570,"&gt;"&amp;AV1000)+SUMIFS($AS$7:$AS$1570,$BR$7:$BR$1570,BR1000,$AV$7:$AV$1570,AV1000,$BL$7:$BL$1570,"&lt;="&amp;BL1000),"")</f>
        <v/>
      </c>
      <c r="AX1000" s="65">
        <f>IF(AW1000="",0,MAX(0,MIN(1,(IF(BR1000="L1",Parameter!$K$5,Parameter!$K$6+Parameter!$K$7)-(AW1000-AS1000))/AS1000)))</f>
        <v/>
      </c>
      <c r="AY1000" s="53">
        <f>IF(AC1000&lt;=0,"",IF(BR1000="Aussen","Aussenlager",IF(BR1000="-","Nicht im Lift",IF(AH1000&gt;=1,"Lift",IF(AH1000&lt;=0,"Aussenlager","teilweise")))))</f>
        <v/>
      </c>
      <c r="AZ1000" s="53">
        <f>IF(AK1000&lt;=0,"",IF(BR1000="Aussen","Aussenlager",IF(BR1000="-","Nicht im Lift",IF(AP1000&gt;=1,"Lift",IF(AP1000&lt;=0,"Aussenlager","teilweise")))))</f>
        <v/>
      </c>
      <c r="BA1000" s="53">
        <f>IF(AS1000&lt;=0,"",IF(BR1000="Aussen","Aussenlager",IF(BR1000="-","Nicht im Lift",IF(AX1000&gt;=1,"Lift",IF(AX1000&lt;=0,"Aussenlager","teilweise")))))</f>
        <v/>
      </c>
      <c r="BB1000" s="53">
        <f>IF(A1000="","",IF(BK1000=1,"Neu; ","")&amp;IF(AND(BK1000=0,BF1000&lt;0),"negativer Bestand (Export "&amp;BF1000&amp;"); ","")&amp;IF(I1000&lt;=0,"Kein Verbrauch; ","")&amp;IF(BO1000=1,"Lose – Fläche geschätzt; ","")&amp;IF(G1000&gt;AM1000,"Überbestand "&amp;ROUND(G1000-AM1000,0)&amp;" Stk / CHF "&amp;ROUND((G1000-AM1000)*F1000,0)&amp;"; ","")&amp;IF(AND(BT1000=1,BU1000&lt;BV1000),"MAX &lt; MB+LG; ","")&amp;IF(AND(BZ1000&gt;0,BY1000*10&gt;BZ1000),"zu hoch für Tablar; ","")&amp;IF(AND(BK1000=0,OR(BT1000=1,V1000&lt;&gt;"",S1000&lt;&gt;"",T1000&lt;&gt;"",W1000&lt;&gt;"")),"manuell übersteuert; ","")&amp;IF(AND(BO1000=0,Q1000=0),"Gebinde unbekannt; ","")&amp;IF(AND(BO1000=0,N(T1000)&lt;=0,N(P1000)&lt;=0),"Menge pro Gebinde fehlt (Ist = 1 Gebinde); ","")&amp;BJ1000)</f>
        <v/>
      </c>
      <c r="BC1000" s="53" t="n"/>
      <c r="BD1000" s="53" t="n"/>
      <c r="BE1000" s="61" t="n"/>
      <c r="BF1000" s="55" t="n">
        <v>-9</v>
      </c>
      <c r="BG1000" s="55" t="n">
        <v>14</v>
      </c>
      <c r="BH1000" s="54" t="n">
        <v>-95.84999999999997</v>
      </c>
      <c r="BI1000" s="55" t="n">
        <v>5</v>
      </c>
      <c r="BJ1000" s="53" t="inlineStr"/>
      <c r="BK1000" s="58" t="n">
        <v>0</v>
      </c>
      <c r="BL1000" s="58" t="n">
        <v>1000</v>
      </c>
      <c r="BM1000" s="53">
        <f>IF(S1000&lt;&gt;"",UPPER(TRIM(S1000)),IF(O1000="","LOSE",O1000))</f>
        <v/>
      </c>
      <c r="BN1000" s="55">
        <f>IF(BM1000="LOSE",1,IF(N(T1000)&gt;0,T1000,IF(N(P1000)&gt;0,P1000,MAX(1,G1000))))</f>
        <v/>
      </c>
      <c r="BO1000" s="58">
        <f>IF(BM1000="LOSE",1,0)</f>
        <v/>
      </c>
      <c r="BP1000" s="64">
        <f>IF(BO1000=0,0,IF(N(R1000)&gt;0,R1000,IFERROR(VLOOKUP(D1000,Parameter!$A$35:$C$64,3,0)+0,0)))</f>
        <v/>
      </c>
      <c r="BQ1000" s="53">
        <f>IF(V1000&lt;&gt;"",V1000,U1000)</f>
        <v/>
      </c>
      <c r="BR1000" s="53">
        <f>IF(BQ1000=1,"L1",IF(OR(BQ1000=2,BQ1000=3),"L23",IF(BQ1000="Aussen","Aussen","-")))</f>
        <v/>
      </c>
      <c r="BS1000" s="66">
        <f>IF(N(W1000)&gt;0,W1000,0)</f>
        <v/>
      </c>
      <c r="BT1000" s="58">
        <f>IF(ISNUMBER(Z1000),1,0)</f>
        <v/>
      </c>
      <c r="BU1000" s="55">
        <f>N(Z1000)</f>
        <v/>
      </c>
      <c r="BV1000" s="55">
        <f>N(L1000)+N(M1000)</f>
        <v/>
      </c>
      <c r="BW1000" s="55">
        <f>ROUNDUP(G1000/BN1000,0)</f>
        <v/>
      </c>
      <c r="BX1000" s="55">
        <f>ROUNDUP(BU1000/BN1000,0)</f>
        <v/>
      </c>
      <c r="BY1000" s="58">
        <f>IF(BO1000=1,0,IFERROR(VLOOKUP(BM1000,'Gebinde-Kategorie'!$A$5:$G$45,5,0)+0,0))</f>
        <v/>
      </c>
      <c r="BZ1000" s="58">
        <f>IFERROR(IF(OR(BQ1000=1,BQ1000=2,BQ1000=3),N(INDEX(Parameter!$I$5:$I$7,BQ1000)),0),0)</f>
        <v/>
      </c>
    </row>
    <row r="1001">
      <c r="A1001" s="53" t="inlineStr">
        <is>
          <t>107716</t>
        </is>
      </c>
      <c r="B1001" s="53" t="inlineStr">
        <is>
          <t>Steckschlüsseleinsatz</t>
        </is>
      </c>
      <c r="C1001" s="53" t="inlineStr">
        <is>
          <t>F</t>
        </is>
      </c>
      <c r="D1001" s="53" t="inlineStr">
        <is>
          <t>KTL</t>
        </is>
      </c>
      <c r="E1001" s="53" t="inlineStr">
        <is>
          <t>C</t>
        </is>
      </c>
      <c r="F1001" s="54" t="n">
        <v>12.08</v>
      </c>
      <c r="G1001" s="55">
        <f>MAX(0,IF(Parameter!$B$20="Jahresanfang 2025 + Export",BG1001+BF1001,BF1001))</f>
        <v/>
      </c>
      <c r="H1001" s="55">
        <f>G1001*F1001</f>
        <v/>
      </c>
      <c r="I1001" s="55">
        <f>BI1001*Parameter!$B$18</f>
        <v/>
      </c>
      <c r="J1001" s="56" t="n">
        <v>8.5</v>
      </c>
      <c r="K1001" s="57" t="n">
        <v>0.5882352941176471</v>
      </c>
      <c r="L1001" s="55" t="n">
        <v>0</v>
      </c>
      <c r="M1001" s="55" t="n">
        <v>5</v>
      </c>
      <c r="N1001" s="58" t="n">
        <v>21</v>
      </c>
      <c r="O1001" s="53" t="inlineStr">
        <is>
          <t>S32</t>
        </is>
      </c>
      <c r="P1001" s="55" t="n">
        <v>18</v>
      </c>
      <c r="Q1001" s="59">
        <f>IF(BO1001=1,0,IFERROR(VLOOKUP(BM1001,'Gebinde-Kategorie'!$A$5:$G$45,6,0)+0,0))</f>
        <v/>
      </c>
      <c r="R1001" s="60" t="n"/>
      <c r="S1001" s="61" t="n"/>
      <c r="T1001" s="61" t="n"/>
      <c r="U1001" s="53">
        <f>IF(A1001="","",IF(IFERROR(VLOOKUP(D1001,Parameter!$A$35:$C$64,2,0),"Nein")="2+3",IF(ISNUMBER(SEARCH("grosser Artikel",BJ1001)),2,IFERROR(VLOOKUP(BM1001,Parameter!$F$35:$G$64,2,0),2)),IF(OR(IFERROR(VLOOKUP(D1001,Parameter!$A$35:$C$64,2,0),"Nein")="Nein",IFERROR(VLOOKUP(D1001,Parameter!$A$35:$C$64,2,0),"Nein")=""),"-",VLOOKUP(D1001,Parameter!$A$35:$C$64,2,0))))</f>
        <v/>
      </c>
      <c r="V1001" s="61" t="n"/>
      <c r="W1001" s="62" t="n"/>
      <c r="X1001" s="55">
        <f>AM1001</f>
        <v/>
      </c>
      <c r="Y1001" s="55">
        <f>MAX(AM1001,G1001)</f>
        <v/>
      </c>
      <c r="Z1001" s="63" t="n"/>
      <c r="AA1001" s="55">
        <f>IF(LEFT(Cockpit!$C$5,1)="A",G1001,IF(BT1001=1,BU1001,IF(LEFT(Cockpit!$C$5,1)="B",AE1001,MAX(AE1001,G1001))))</f>
        <v/>
      </c>
      <c r="AB1001" s="55">
        <f>IF(BO1001=1,0,ROUNDUP(AA1001/BN1001,0))</f>
        <v/>
      </c>
      <c r="AC1001" s="64">
        <f>IF(BO1001=1,IF(AA1001&lt;=0,0,BP1001*MAX(1,IF(G1001&gt;0,AA1001/G1001,1))),AB1001*Q1001)</f>
        <v/>
      </c>
      <c r="AD1001" s="55">
        <f>AA1001*F1001</f>
        <v/>
      </c>
      <c r="AE1001" s="55">
        <f>ROUNDUP(MAX(I1001/IF(BS1001&gt;0,BS1001,MAX(0.1,N(Cockpit!$C$6))),BV1001)/BN1001,0)*BN1001</f>
        <v/>
      </c>
      <c r="AF1001" s="56">
        <f>IF(AC1001&gt;0,I1001/AC1001,-1)</f>
        <v/>
      </c>
      <c r="AG1001" s="56">
        <f>IF(AND(OR(BR1001="L1",BR1001="L23"),AC1001&gt;0),SUMIFS($AC$7:$AC$1570,$BR$7:$BR$1570,BR1001,$AF$7:$AF$1570,"&gt;"&amp;AF1001)+SUMIFS($AC$7:$AC$1570,$BR$7:$BR$1570,BR1001,$AF$7:$AF$1570,AF1001,$BL$7:$BL$1570,"&lt;="&amp;BL1001),"")</f>
        <v/>
      </c>
      <c r="AH1001" s="65">
        <f>IF(AG1001="",0,MAX(0,MIN(1,(IF(BR1001="L1",Parameter!$K$5,Parameter!$K$6+Parameter!$K$7)-(AG1001-AC1001))/AC1001)))</f>
        <v/>
      </c>
      <c r="AI1001" s="55">
        <f>IF(LEFT(Cockpit!$I$5,1)="A",G1001,IF(BT1001=1,BU1001,IF(LEFT(Cockpit!$I$5,1)="B",AM1001,MAX(AM1001,G1001))))</f>
        <v/>
      </c>
      <c r="AJ1001" s="55">
        <f>IF(BO1001=1,0,ROUNDUP(AI1001/BN1001,0))</f>
        <v/>
      </c>
      <c r="AK1001" s="64">
        <f>IF(BO1001=1,IF(AI1001&lt;=0,0,BP1001*MAX(1,IF(G1001&gt;0,AI1001/G1001,1))),AJ1001*Q1001)</f>
        <v/>
      </c>
      <c r="AL1001" s="55">
        <f>AI1001*F1001</f>
        <v/>
      </c>
      <c r="AM1001" s="55">
        <f>ROUNDUP(MAX(I1001/IF(BS1001&gt;0,BS1001,MAX(0.1,N(Cockpit!$I$6))),BV1001)/BN1001,0)*BN1001</f>
        <v/>
      </c>
      <c r="AN1001" s="56">
        <f>IF(AK1001&gt;0,I1001/AK1001,-1)</f>
        <v/>
      </c>
      <c r="AO1001" s="56">
        <f>IF(AND(OR(BR1001="L1",BR1001="L23"),AK1001&gt;0),SUMIFS($AK$7:$AK$1570,$BR$7:$BR$1570,BR1001,$AN$7:$AN$1570,"&gt;"&amp;AN1001)+SUMIFS($AK$7:$AK$1570,$BR$7:$BR$1570,BR1001,$AN$7:$AN$1570,AN1001,$BL$7:$BL$1570,"&lt;="&amp;BL1001),"")</f>
        <v/>
      </c>
      <c r="AP1001" s="65">
        <f>IF(AO1001="",0,MAX(0,MIN(1,(IF(BR1001="L1",Parameter!$K$5,Parameter!$K$6+Parameter!$K$7)-(AO1001-AK1001))/AK1001)))</f>
        <v/>
      </c>
      <c r="AQ1001" s="55">
        <f>IF(LEFT(Cockpit!$O$5,1)="A",G1001,IF(BT1001=1,BU1001,IF(LEFT(Cockpit!$O$5,1)="B",AU1001,MAX(AU1001,G1001))))</f>
        <v/>
      </c>
      <c r="AR1001" s="55">
        <f>IF(BO1001=1,0,ROUNDUP(AQ1001/BN1001,0))</f>
        <v/>
      </c>
      <c r="AS1001" s="64">
        <f>IF(BO1001=1,IF(AQ1001&lt;=0,0,BP1001*MAX(1,IF(G1001&gt;0,AQ1001/G1001,1))),AR1001*Q1001)</f>
        <v/>
      </c>
      <c r="AT1001" s="55">
        <f>AQ1001*F1001</f>
        <v/>
      </c>
      <c r="AU1001" s="55">
        <f>ROUNDUP(MAX(I1001/IF(BS1001&gt;0,BS1001,MAX(0.1,N(Cockpit!$O$6))),BV1001)/BN1001,0)*BN1001</f>
        <v/>
      </c>
      <c r="AV1001" s="56">
        <f>IF(AS1001&gt;0,I1001/AS1001,-1)</f>
        <v/>
      </c>
      <c r="AW1001" s="56">
        <f>IF(AND(OR(BR1001="L1",BR1001="L23"),AS1001&gt;0),SUMIFS($AS$7:$AS$1570,$BR$7:$BR$1570,BR1001,$AV$7:$AV$1570,"&gt;"&amp;AV1001)+SUMIFS($AS$7:$AS$1570,$BR$7:$BR$1570,BR1001,$AV$7:$AV$1570,AV1001,$BL$7:$BL$1570,"&lt;="&amp;BL1001),"")</f>
        <v/>
      </c>
      <c r="AX1001" s="65">
        <f>IF(AW1001="",0,MAX(0,MIN(1,(IF(BR1001="L1",Parameter!$K$5,Parameter!$K$6+Parameter!$K$7)-(AW1001-AS1001))/AS1001)))</f>
        <v/>
      </c>
      <c r="AY1001" s="53">
        <f>IF(AC1001&lt;=0,"",IF(BR1001="Aussen","Aussenlager",IF(BR1001="-","Nicht im Lift",IF(AH1001&gt;=1,"Lift",IF(AH1001&lt;=0,"Aussenlager","teilweise")))))</f>
        <v/>
      </c>
      <c r="AZ1001" s="53">
        <f>IF(AK1001&lt;=0,"",IF(BR1001="Aussen","Aussenlager",IF(BR1001="-","Nicht im Lift",IF(AP1001&gt;=1,"Lift",IF(AP1001&lt;=0,"Aussenlager","teilweise")))))</f>
        <v/>
      </c>
      <c r="BA1001" s="53">
        <f>IF(AS1001&lt;=0,"",IF(BR1001="Aussen","Aussenlager",IF(BR1001="-","Nicht im Lift",IF(AX1001&gt;=1,"Lift",IF(AX1001&lt;=0,"Aussenlager","teilweise")))))</f>
        <v/>
      </c>
      <c r="BB1001" s="53">
        <f>IF(A1001="","",IF(BK1001=1,"Neu; ","")&amp;IF(AND(BK1001=0,BF1001&lt;0),"negativer Bestand (Export "&amp;BF1001&amp;"); ","")&amp;IF(I1001&lt;=0,"Kein Verbrauch; ","")&amp;IF(BO1001=1,"Lose – Fläche geschätzt; ","")&amp;IF(G1001&gt;AM1001,"Überbestand "&amp;ROUND(G1001-AM1001,0)&amp;" Stk / CHF "&amp;ROUND((G1001-AM1001)*F1001,0)&amp;"; ","")&amp;IF(AND(BT1001=1,BU1001&lt;BV1001),"MAX &lt; MB+LG; ","")&amp;IF(AND(BZ1001&gt;0,BY1001*10&gt;BZ1001),"zu hoch für Tablar; ","")&amp;IF(AND(BK1001=0,OR(BT1001=1,V1001&lt;&gt;"",S1001&lt;&gt;"",T1001&lt;&gt;"",W1001&lt;&gt;"")),"manuell übersteuert; ","")&amp;IF(AND(BO1001=0,Q1001=0),"Gebinde unbekannt; ","")&amp;IF(AND(BO1001=0,N(T1001)&lt;=0,N(P1001)&lt;=0),"Menge pro Gebinde fehlt (Ist = 1 Gebinde); ","")&amp;BJ1001)</f>
        <v/>
      </c>
      <c r="BC1001" s="53" t="n"/>
      <c r="BD1001" s="53" t="n"/>
      <c r="BE1001" s="61" t="n"/>
      <c r="BF1001" s="55" t="n">
        <v>-8</v>
      </c>
      <c r="BG1001" s="55" t="n">
        <v>12</v>
      </c>
      <c r="BH1001" s="54" t="n">
        <v>-96.64000000000001</v>
      </c>
      <c r="BI1001" s="55" t="n">
        <v>5</v>
      </c>
      <c r="BJ1001" s="53" t="inlineStr">
        <is>
          <t>Neu</t>
        </is>
      </c>
      <c r="BK1001" s="58" t="n">
        <v>0</v>
      </c>
      <c r="BL1001" s="58" t="n">
        <v>1001</v>
      </c>
      <c r="BM1001" s="53">
        <f>IF(S1001&lt;&gt;"",UPPER(TRIM(S1001)),IF(O1001="","LOSE",O1001))</f>
        <v/>
      </c>
      <c r="BN1001" s="55">
        <f>IF(BM1001="LOSE",1,IF(N(T1001)&gt;0,T1001,IF(N(P1001)&gt;0,P1001,MAX(1,G1001))))</f>
        <v/>
      </c>
      <c r="BO1001" s="58">
        <f>IF(BM1001="LOSE",1,0)</f>
        <v/>
      </c>
      <c r="BP1001" s="64">
        <f>IF(BO1001=0,0,IF(N(R1001)&gt;0,R1001,IFERROR(VLOOKUP(D1001,Parameter!$A$35:$C$64,3,0)+0,0)))</f>
        <v/>
      </c>
      <c r="BQ1001" s="53">
        <f>IF(V1001&lt;&gt;"",V1001,U1001)</f>
        <v/>
      </c>
      <c r="BR1001" s="53">
        <f>IF(BQ1001=1,"L1",IF(OR(BQ1001=2,BQ1001=3),"L23",IF(BQ1001="Aussen","Aussen","-")))</f>
        <v/>
      </c>
      <c r="BS1001" s="66">
        <f>IF(N(W1001)&gt;0,W1001,0)</f>
        <v/>
      </c>
      <c r="BT1001" s="58">
        <f>IF(ISNUMBER(Z1001),1,0)</f>
        <v/>
      </c>
      <c r="BU1001" s="55">
        <f>N(Z1001)</f>
        <v/>
      </c>
      <c r="BV1001" s="55">
        <f>N(L1001)+N(M1001)</f>
        <v/>
      </c>
      <c r="BW1001" s="55">
        <f>ROUNDUP(G1001/BN1001,0)</f>
        <v/>
      </c>
      <c r="BX1001" s="55">
        <f>ROUNDUP(BU1001/BN1001,0)</f>
        <v/>
      </c>
      <c r="BY1001" s="58">
        <f>IF(BO1001=1,0,IFERROR(VLOOKUP(BM1001,'Gebinde-Kategorie'!$A$5:$G$45,5,0)+0,0))</f>
        <v/>
      </c>
      <c r="BZ1001" s="58">
        <f>IFERROR(IF(OR(BQ1001=1,BQ1001=2,BQ1001=3),N(INDEX(Parameter!$I$5:$I$7,BQ1001)),0),0)</f>
        <v/>
      </c>
    </row>
    <row r="1002">
      <c r="A1002" s="53" t="inlineStr">
        <is>
          <t>001115</t>
        </is>
      </c>
      <c r="B1002" s="53" t="inlineStr">
        <is>
          <t>Schutzbrett Typ 0</t>
        </is>
      </c>
      <c r="C1002" s="53" t="inlineStr">
        <is>
          <t>F</t>
        </is>
      </c>
      <c r="D1002" s="53" t="inlineStr">
        <is>
          <t>PAL</t>
        </is>
      </c>
      <c r="E1002" s="53" t="inlineStr">
        <is>
          <t>C</t>
        </is>
      </c>
      <c r="F1002" s="54" t="n">
        <v>14.63</v>
      </c>
      <c r="G1002" s="55">
        <f>MAX(0,IF(Parameter!$B$20="Jahresanfang 2025 + Export",BG1002+BF1002,BF1002))</f>
        <v/>
      </c>
      <c r="H1002" s="55">
        <f>G1002*F1002</f>
        <v/>
      </c>
      <c r="I1002" s="55">
        <f>BI1002*Parameter!$B$18</f>
        <v/>
      </c>
      <c r="J1002" s="56" t="n">
        <v>13.5</v>
      </c>
      <c r="K1002" s="57" t="n">
        <v>1.777777777777778</v>
      </c>
      <c r="L1002" s="55" t="n">
        <v>1</v>
      </c>
      <c r="M1002" s="55" t="n">
        <v>10</v>
      </c>
      <c r="N1002" s="58" t="n">
        <v>21</v>
      </c>
      <c r="O1002" s="53" t="inlineStr">
        <is>
          <t>LOSE</t>
        </is>
      </c>
      <c r="P1002" s="55" t="n"/>
      <c r="Q1002" s="59">
        <f>IF(BO1002=1,0,IFERROR(VLOOKUP(BM1002,'Gebinde-Kategorie'!$A$5:$G$45,6,0)+0,0))</f>
        <v/>
      </c>
      <c r="R1002" s="60" t="n"/>
      <c r="S1002" s="61" t="n"/>
      <c r="T1002" s="61" t="n"/>
      <c r="U1002" s="53">
        <f>IF(A1002="","",IF(IFERROR(VLOOKUP(D1002,Parameter!$A$35:$C$64,2,0),"Nein")="2+3",IF(ISNUMBER(SEARCH("grosser Artikel",BJ1002)),2,IFERROR(VLOOKUP(BM1002,Parameter!$F$35:$G$64,2,0),2)),IF(OR(IFERROR(VLOOKUP(D1002,Parameter!$A$35:$C$64,2,0),"Nein")="Nein",IFERROR(VLOOKUP(D1002,Parameter!$A$35:$C$64,2,0),"Nein")=""),"-",VLOOKUP(D1002,Parameter!$A$35:$C$64,2,0))))</f>
        <v/>
      </c>
      <c r="V1002" s="61" t="n"/>
      <c r="W1002" s="62" t="n"/>
      <c r="X1002" s="55">
        <f>AM1002</f>
        <v/>
      </c>
      <c r="Y1002" s="55">
        <f>MAX(AM1002,G1002)</f>
        <v/>
      </c>
      <c r="Z1002" s="63" t="n"/>
      <c r="AA1002" s="55">
        <f>IF(LEFT(Cockpit!$C$5,1)="A",G1002,IF(BT1002=1,BU1002,IF(LEFT(Cockpit!$C$5,1)="B",AE1002,MAX(AE1002,G1002))))</f>
        <v/>
      </c>
      <c r="AB1002" s="55">
        <f>IF(BO1002=1,0,ROUNDUP(AA1002/BN1002,0))</f>
        <v/>
      </c>
      <c r="AC1002" s="64">
        <f>IF(BO1002=1,IF(AA1002&lt;=0,0,BP1002*MAX(1,IF(G1002&gt;0,AA1002/G1002,1))),AB1002*Q1002)</f>
        <v/>
      </c>
      <c r="AD1002" s="55">
        <f>AA1002*F1002</f>
        <v/>
      </c>
      <c r="AE1002" s="55">
        <f>ROUNDUP(MAX(I1002/IF(BS1002&gt;0,BS1002,MAX(0.1,N(Cockpit!$C$6))),BV1002)/BN1002,0)*BN1002</f>
        <v/>
      </c>
      <c r="AF1002" s="56">
        <f>IF(AC1002&gt;0,I1002/AC1002,-1)</f>
        <v/>
      </c>
      <c r="AG1002" s="56">
        <f>IF(AND(OR(BR1002="L1",BR1002="L23"),AC1002&gt;0),SUMIFS($AC$7:$AC$1570,$BR$7:$BR$1570,BR1002,$AF$7:$AF$1570,"&gt;"&amp;AF1002)+SUMIFS($AC$7:$AC$1570,$BR$7:$BR$1570,BR1002,$AF$7:$AF$1570,AF1002,$BL$7:$BL$1570,"&lt;="&amp;BL1002),"")</f>
        <v/>
      </c>
      <c r="AH1002" s="65">
        <f>IF(AG1002="",0,MAX(0,MIN(1,(IF(BR1002="L1",Parameter!$K$5,Parameter!$K$6+Parameter!$K$7)-(AG1002-AC1002))/AC1002)))</f>
        <v/>
      </c>
      <c r="AI1002" s="55">
        <f>IF(LEFT(Cockpit!$I$5,1)="A",G1002,IF(BT1002=1,BU1002,IF(LEFT(Cockpit!$I$5,1)="B",AM1002,MAX(AM1002,G1002))))</f>
        <v/>
      </c>
      <c r="AJ1002" s="55">
        <f>IF(BO1002=1,0,ROUNDUP(AI1002/BN1002,0))</f>
        <v/>
      </c>
      <c r="AK1002" s="64">
        <f>IF(BO1002=1,IF(AI1002&lt;=0,0,BP1002*MAX(1,IF(G1002&gt;0,AI1002/G1002,1))),AJ1002*Q1002)</f>
        <v/>
      </c>
      <c r="AL1002" s="55">
        <f>AI1002*F1002</f>
        <v/>
      </c>
      <c r="AM1002" s="55">
        <f>ROUNDUP(MAX(I1002/IF(BS1002&gt;0,BS1002,MAX(0.1,N(Cockpit!$I$6))),BV1002)/BN1002,0)*BN1002</f>
        <v/>
      </c>
      <c r="AN1002" s="56">
        <f>IF(AK1002&gt;0,I1002/AK1002,-1)</f>
        <v/>
      </c>
      <c r="AO1002" s="56">
        <f>IF(AND(OR(BR1002="L1",BR1002="L23"),AK1002&gt;0),SUMIFS($AK$7:$AK$1570,$BR$7:$BR$1570,BR1002,$AN$7:$AN$1570,"&gt;"&amp;AN1002)+SUMIFS($AK$7:$AK$1570,$BR$7:$BR$1570,BR1002,$AN$7:$AN$1570,AN1002,$BL$7:$BL$1570,"&lt;="&amp;BL1002),"")</f>
        <v/>
      </c>
      <c r="AP1002" s="65">
        <f>IF(AO1002="",0,MAX(0,MIN(1,(IF(BR1002="L1",Parameter!$K$5,Parameter!$K$6+Parameter!$K$7)-(AO1002-AK1002))/AK1002)))</f>
        <v/>
      </c>
      <c r="AQ1002" s="55">
        <f>IF(LEFT(Cockpit!$O$5,1)="A",G1002,IF(BT1002=1,BU1002,IF(LEFT(Cockpit!$O$5,1)="B",AU1002,MAX(AU1002,G1002))))</f>
        <v/>
      </c>
      <c r="AR1002" s="55">
        <f>IF(BO1002=1,0,ROUNDUP(AQ1002/BN1002,0))</f>
        <v/>
      </c>
      <c r="AS1002" s="64">
        <f>IF(BO1002=1,IF(AQ1002&lt;=0,0,BP1002*MAX(1,IF(G1002&gt;0,AQ1002/G1002,1))),AR1002*Q1002)</f>
        <v/>
      </c>
      <c r="AT1002" s="55">
        <f>AQ1002*F1002</f>
        <v/>
      </c>
      <c r="AU1002" s="55">
        <f>ROUNDUP(MAX(I1002/IF(BS1002&gt;0,BS1002,MAX(0.1,N(Cockpit!$O$6))),BV1002)/BN1002,0)*BN1002</f>
        <v/>
      </c>
      <c r="AV1002" s="56">
        <f>IF(AS1002&gt;0,I1002/AS1002,-1)</f>
        <v/>
      </c>
      <c r="AW1002" s="56">
        <f>IF(AND(OR(BR1002="L1",BR1002="L23"),AS1002&gt;0),SUMIFS($AS$7:$AS$1570,$BR$7:$BR$1570,BR1002,$AV$7:$AV$1570,"&gt;"&amp;AV1002)+SUMIFS($AS$7:$AS$1570,$BR$7:$BR$1570,BR1002,$AV$7:$AV$1570,AV1002,$BL$7:$BL$1570,"&lt;="&amp;BL1002),"")</f>
        <v/>
      </c>
      <c r="AX1002" s="65">
        <f>IF(AW1002="",0,MAX(0,MIN(1,(IF(BR1002="L1",Parameter!$K$5,Parameter!$K$6+Parameter!$K$7)-(AW1002-AS1002))/AS1002)))</f>
        <v/>
      </c>
      <c r="AY1002" s="53">
        <f>IF(AC1002&lt;=0,"",IF(BR1002="Aussen","Aussenlager",IF(BR1002="-","Nicht im Lift",IF(AH1002&gt;=1,"Lift",IF(AH1002&lt;=0,"Aussenlager","teilweise")))))</f>
        <v/>
      </c>
      <c r="AZ1002" s="53">
        <f>IF(AK1002&lt;=0,"",IF(BR1002="Aussen","Aussenlager",IF(BR1002="-","Nicht im Lift",IF(AP1002&gt;=1,"Lift",IF(AP1002&lt;=0,"Aussenlager","teilweise")))))</f>
        <v/>
      </c>
      <c r="BA1002" s="53">
        <f>IF(AS1002&lt;=0,"",IF(BR1002="Aussen","Aussenlager",IF(BR1002="-","Nicht im Lift",IF(AX1002&gt;=1,"Lift",IF(AX1002&lt;=0,"Aussenlager","teilweise")))))</f>
        <v/>
      </c>
      <c r="BB1002" s="53">
        <f>IF(A1002="","",IF(BK1002=1,"Neu; ","")&amp;IF(AND(BK1002=0,BF1002&lt;0),"negativer Bestand (Export "&amp;BF1002&amp;"); ","")&amp;IF(I1002&lt;=0,"Kein Verbrauch; ","")&amp;IF(BO1002=1,"Lose – Fläche geschätzt; ","")&amp;IF(G1002&gt;AM1002,"Überbestand "&amp;ROUND(G1002-AM1002,0)&amp;" Stk / CHF "&amp;ROUND((G1002-AM1002)*F1002,0)&amp;"; ","")&amp;IF(AND(BT1002=1,BU1002&lt;BV1002),"MAX &lt; MB+LG; ","")&amp;IF(AND(BZ1002&gt;0,BY1002*10&gt;BZ1002),"zu hoch für Tablar; ","")&amp;IF(AND(BK1002=0,OR(BT1002=1,V1002&lt;&gt;"",S1002&lt;&gt;"",T1002&lt;&gt;"",W1002&lt;&gt;"")),"manuell übersteuert; ","")&amp;IF(AND(BO1002=0,Q1002=0),"Gebinde unbekannt; ","")&amp;IF(AND(BO1002=0,N(T1002)&lt;=0,N(P1002)&lt;=0),"Menge pro Gebinde fehlt (Ist = 1 Gebinde); ","")&amp;BJ1002)</f>
        <v/>
      </c>
      <c r="BC1002" s="53" t="n"/>
      <c r="BD1002" s="53" t="n"/>
      <c r="BE1002" s="61" t="n"/>
      <c r="BF1002" s="55" t="n">
        <v>-6</v>
      </c>
      <c r="BG1002" s="55" t="n">
        <v>16</v>
      </c>
      <c r="BH1002" s="54" t="n">
        <v>-98.50000000000011</v>
      </c>
      <c r="BI1002" s="55" t="n">
        <v>24</v>
      </c>
      <c r="BJ1002" s="53" t="inlineStr"/>
      <c r="BK1002" s="58" t="n">
        <v>0</v>
      </c>
      <c r="BL1002" s="58" t="n">
        <v>1002</v>
      </c>
      <c r="BM1002" s="53">
        <f>IF(S1002&lt;&gt;"",UPPER(TRIM(S1002)),IF(O1002="","LOSE",O1002))</f>
        <v/>
      </c>
      <c r="BN1002" s="55">
        <f>IF(BM1002="LOSE",1,IF(N(T1002)&gt;0,T1002,IF(N(P1002)&gt;0,P1002,MAX(1,G1002))))</f>
        <v/>
      </c>
      <c r="BO1002" s="58">
        <f>IF(BM1002="LOSE",1,0)</f>
        <v/>
      </c>
      <c r="BP1002" s="64">
        <f>IF(BO1002=0,0,IF(N(R1002)&gt;0,R1002,IFERROR(VLOOKUP(D1002,Parameter!$A$35:$C$64,3,0)+0,0)))</f>
        <v/>
      </c>
      <c r="BQ1002" s="53">
        <f>IF(V1002&lt;&gt;"",V1002,U1002)</f>
        <v/>
      </c>
      <c r="BR1002" s="53">
        <f>IF(BQ1002=1,"L1",IF(OR(BQ1002=2,BQ1002=3),"L23",IF(BQ1002="Aussen","Aussen","-")))</f>
        <v/>
      </c>
      <c r="BS1002" s="66">
        <f>IF(N(W1002)&gt;0,W1002,0)</f>
        <v/>
      </c>
      <c r="BT1002" s="58">
        <f>IF(ISNUMBER(Z1002),1,0)</f>
        <v/>
      </c>
      <c r="BU1002" s="55">
        <f>N(Z1002)</f>
        <v/>
      </c>
      <c r="BV1002" s="55">
        <f>N(L1002)+N(M1002)</f>
        <v/>
      </c>
      <c r="BW1002" s="55">
        <f>ROUNDUP(G1002/BN1002,0)</f>
        <v/>
      </c>
      <c r="BX1002" s="55">
        <f>ROUNDUP(BU1002/BN1002,0)</f>
        <v/>
      </c>
      <c r="BY1002" s="58">
        <f>IF(BO1002=1,0,IFERROR(VLOOKUP(BM1002,'Gebinde-Kategorie'!$A$5:$G$45,5,0)+0,0))</f>
        <v/>
      </c>
      <c r="BZ1002" s="58">
        <f>IFERROR(IF(OR(BQ1002=1,BQ1002=2,BQ1002=3),N(INDEX(Parameter!$I$5:$I$7,BQ1002)),0),0)</f>
        <v/>
      </c>
    </row>
    <row r="1003">
      <c r="A1003" s="53" t="inlineStr">
        <is>
          <t>104233</t>
        </is>
      </c>
      <c r="B1003" s="53" t="inlineStr">
        <is>
          <t>Ventilpanel Grundplatte</t>
        </is>
      </c>
      <c r="C1003" s="53" t="inlineStr">
        <is>
          <t>F</t>
        </is>
      </c>
      <c r="D1003" s="53" t="inlineStr">
        <is>
          <t>PAL</t>
        </is>
      </c>
      <c r="E1003" s="53" t="inlineStr">
        <is>
          <t>C</t>
        </is>
      </c>
      <c r="F1003" s="54" t="n">
        <v>99.06</v>
      </c>
      <c r="G1003" s="55">
        <f>MAX(0,IF(Parameter!$B$20="Jahresanfang 2025 + Export",BG1003+BF1003,BF1003))</f>
        <v/>
      </c>
      <c r="H1003" s="55">
        <f>G1003*F1003</f>
        <v/>
      </c>
      <c r="I1003" s="55">
        <f>BI1003*Parameter!$B$18</f>
        <v/>
      </c>
      <c r="J1003" s="56" t="n">
        <v>1.5</v>
      </c>
      <c r="K1003" s="57" t="n">
        <v>0</v>
      </c>
      <c r="L1003" s="55" t="n">
        <v>0</v>
      </c>
      <c r="M1003" s="55" t="n">
        <v>1</v>
      </c>
      <c r="N1003" s="58" t="n">
        <v>28</v>
      </c>
      <c r="O1003" s="53" t="inlineStr">
        <is>
          <t>LOSE</t>
        </is>
      </c>
      <c r="P1003" s="55" t="n"/>
      <c r="Q1003" s="59">
        <f>IF(BO1003=1,0,IFERROR(VLOOKUP(BM1003,'Gebinde-Kategorie'!$A$5:$G$45,6,0)+0,0))</f>
        <v/>
      </c>
      <c r="R1003" s="60" t="n"/>
      <c r="S1003" s="61" t="n"/>
      <c r="T1003" s="61" t="n"/>
      <c r="U1003" s="53">
        <f>IF(A1003="","",IF(IFERROR(VLOOKUP(D1003,Parameter!$A$35:$C$64,2,0),"Nein")="2+3",IF(ISNUMBER(SEARCH("grosser Artikel",BJ1003)),2,IFERROR(VLOOKUP(BM1003,Parameter!$F$35:$G$64,2,0),2)),IF(OR(IFERROR(VLOOKUP(D1003,Parameter!$A$35:$C$64,2,0),"Nein")="Nein",IFERROR(VLOOKUP(D1003,Parameter!$A$35:$C$64,2,0),"Nein")=""),"-",VLOOKUP(D1003,Parameter!$A$35:$C$64,2,0))))</f>
        <v/>
      </c>
      <c r="V1003" s="61" t="n"/>
      <c r="W1003" s="62" t="n"/>
      <c r="X1003" s="55">
        <f>AM1003</f>
        <v/>
      </c>
      <c r="Y1003" s="55">
        <f>MAX(AM1003,G1003)</f>
        <v/>
      </c>
      <c r="Z1003" s="63" t="n"/>
      <c r="AA1003" s="55">
        <f>IF(LEFT(Cockpit!$C$5,1)="A",G1003,IF(BT1003=1,BU1003,IF(LEFT(Cockpit!$C$5,1)="B",AE1003,MAX(AE1003,G1003))))</f>
        <v/>
      </c>
      <c r="AB1003" s="55">
        <f>IF(BO1003=1,0,ROUNDUP(AA1003/BN1003,0))</f>
        <v/>
      </c>
      <c r="AC1003" s="64">
        <f>IF(BO1003=1,IF(AA1003&lt;=0,0,BP1003*MAX(1,IF(G1003&gt;0,AA1003/G1003,1))),AB1003*Q1003)</f>
        <v/>
      </c>
      <c r="AD1003" s="55">
        <f>AA1003*F1003</f>
        <v/>
      </c>
      <c r="AE1003" s="55">
        <f>ROUNDUP(MAX(I1003/IF(BS1003&gt;0,BS1003,MAX(0.1,N(Cockpit!$C$6))),BV1003)/BN1003,0)*BN1003</f>
        <v/>
      </c>
      <c r="AF1003" s="56">
        <f>IF(AC1003&gt;0,I1003/AC1003,-1)</f>
        <v/>
      </c>
      <c r="AG1003" s="56">
        <f>IF(AND(OR(BR1003="L1",BR1003="L23"),AC1003&gt;0),SUMIFS($AC$7:$AC$1570,$BR$7:$BR$1570,BR1003,$AF$7:$AF$1570,"&gt;"&amp;AF1003)+SUMIFS($AC$7:$AC$1570,$BR$7:$BR$1570,BR1003,$AF$7:$AF$1570,AF1003,$BL$7:$BL$1570,"&lt;="&amp;BL1003),"")</f>
        <v/>
      </c>
      <c r="AH1003" s="65">
        <f>IF(AG1003="",0,MAX(0,MIN(1,(IF(BR1003="L1",Parameter!$K$5,Parameter!$K$6+Parameter!$K$7)-(AG1003-AC1003))/AC1003)))</f>
        <v/>
      </c>
      <c r="AI1003" s="55">
        <f>IF(LEFT(Cockpit!$I$5,1)="A",G1003,IF(BT1003=1,BU1003,IF(LEFT(Cockpit!$I$5,1)="B",AM1003,MAX(AM1003,G1003))))</f>
        <v/>
      </c>
      <c r="AJ1003" s="55">
        <f>IF(BO1003=1,0,ROUNDUP(AI1003/BN1003,0))</f>
        <v/>
      </c>
      <c r="AK1003" s="64">
        <f>IF(BO1003=1,IF(AI1003&lt;=0,0,BP1003*MAX(1,IF(G1003&gt;0,AI1003/G1003,1))),AJ1003*Q1003)</f>
        <v/>
      </c>
      <c r="AL1003" s="55">
        <f>AI1003*F1003</f>
        <v/>
      </c>
      <c r="AM1003" s="55">
        <f>ROUNDUP(MAX(I1003/IF(BS1003&gt;0,BS1003,MAX(0.1,N(Cockpit!$I$6))),BV1003)/BN1003,0)*BN1003</f>
        <v/>
      </c>
      <c r="AN1003" s="56">
        <f>IF(AK1003&gt;0,I1003/AK1003,-1)</f>
        <v/>
      </c>
      <c r="AO1003" s="56">
        <f>IF(AND(OR(BR1003="L1",BR1003="L23"),AK1003&gt;0),SUMIFS($AK$7:$AK$1570,$BR$7:$BR$1570,BR1003,$AN$7:$AN$1570,"&gt;"&amp;AN1003)+SUMIFS($AK$7:$AK$1570,$BR$7:$BR$1570,BR1003,$AN$7:$AN$1570,AN1003,$BL$7:$BL$1570,"&lt;="&amp;BL1003),"")</f>
        <v/>
      </c>
      <c r="AP1003" s="65">
        <f>IF(AO1003="",0,MAX(0,MIN(1,(IF(BR1003="L1",Parameter!$K$5,Parameter!$K$6+Parameter!$K$7)-(AO1003-AK1003))/AK1003)))</f>
        <v/>
      </c>
      <c r="AQ1003" s="55">
        <f>IF(LEFT(Cockpit!$O$5,1)="A",G1003,IF(BT1003=1,BU1003,IF(LEFT(Cockpit!$O$5,1)="B",AU1003,MAX(AU1003,G1003))))</f>
        <v/>
      </c>
      <c r="AR1003" s="55">
        <f>IF(BO1003=1,0,ROUNDUP(AQ1003/BN1003,0))</f>
        <v/>
      </c>
      <c r="AS1003" s="64">
        <f>IF(BO1003=1,IF(AQ1003&lt;=0,0,BP1003*MAX(1,IF(G1003&gt;0,AQ1003/G1003,1))),AR1003*Q1003)</f>
        <v/>
      </c>
      <c r="AT1003" s="55">
        <f>AQ1003*F1003</f>
        <v/>
      </c>
      <c r="AU1003" s="55">
        <f>ROUNDUP(MAX(I1003/IF(BS1003&gt;0,BS1003,MAX(0.1,N(Cockpit!$O$6))),BV1003)/BN1003,0)*BN1003</f>
        <v/>
      </c>
      <c r="AV1003" s="56">
        <f>IF(AS1003&gt;0,I1003/AS1003,-1)</f>
        <v/>
      </c>
      <c r="AW1003" s="56">
        <f>IF(AND(OR(BR1003="L1",BR1003="L23"),AS1003&gt;0),SUMIFS($AS$7:$AS$1570,$BR$7:$BR$1570,BR1003,$AV$7:$AV$1570,"&gt;"&amp;AV1003)+SUMIFS($AS$7:$AS$1570,$BR$7:$BR$1570,BR1003,$AV$7:$AV$1570,AV1003,$BL$7:$BL$1570,"&lt;="&amp;BL1003),"")</f>
        <v/>
      </c>
      <c r="AX1003" s="65">
        <f>IF(AW1003="",0,MAX(0,MIN(1,(IF(BR1003="L1",Parameter!$K$5,Parameter!$K$6+Parameter!$K$7)-(AW1003-AS1003))/AS1003)))</f>
        <v/>
      </c>
      <c r="AY1003" s="53">
        <f>IF(AC1003&lt;=0,"",IF(BR1003="Aussen","Aussenlager",IF(BR1003="-","Nicht im Lift",IF(AH1003&gt;=1,"Lift",IF(AH1003&lt;=0,"Aussenlager","teilweise")))))</f>
        <v/>
      </c>
      <c r="AZ1003" s="53">
        <f>IF(AK1003&lt;=0,"",IF(BR1003="Aussen","Aussenlager",IF(BR1003="-","Nicht im Lift",IF(AP1003&gt;=1,"Lift",IF(AP1003&lt;=0,"Aussenlager","teilweise")))))</f>
        <v/>
      </c>
      <c r="BA1003" s="53">
        <f>IF(AS1003&lt;=0,"",IF(BR1003="Aussen","Aussenlager",IF(BR1003="-","Nicht im Lift",IF(AX1003&gt;=1,"Lift",IF(AX1003&lt;=0,"Aussenlager","teilweise")))))</f>
        <v/>
      </c>
      <c r="BB1003" s="53">
        <f>IF(A1003="","",IF(BK1003=1,"Neu; ","")&amp;IF(AND(BK1003=0,BF1003&lt;0),"negativer Bestand (Export "&amp;BF1003&amp;"); ","")&amp;IF(I1003&lt;=0,"Kein Verbrauch; ","")&amp;IF(BO1003=1,"Lose – Fläche geschätzt; ","")&amp;IF(G1003&gt;AM1003,"Überbestand "&amp;ROUND(G1003-AM1003,0)&amp;" Stk / CHF "&amp;ROUND((G1003-AM1003)*F1003,0)&amp;"; ","")&amp;IF(AND(BT1003=1,BU1003&lt;BV1003),"MAX &lt; MB+LG; ","")&amp;IF(AND(BZ1003&gt;0,BY1003*10&gt;BZ1003),"zu hoch für Tablar; ","")&amp;IF(AND(BK1003=0,OR(BT1003=1,V1003&lt;&gt;"",S1003&lt;&gt;"",T1003&lt;&gt;"",W1003&lt;&gt;"")),"manuell übersteuert; ","")&amp;IF(AND(BO1003=0,Q1003=0),"Gebinde unbekannt; ","")&amp;IF(AND(BO1003=0,N(T1003)&lt;=0,N(P1003)&lt;=0),"Menge pro Gebinde fehlt (Ist = 1 Gebinde); ","")&amp;BJ1003)</f>
        <v/>
      </c>
      <c r="BC1003" s="53" t="n"/>
      <c r="BD1003" s="53" t="n"/>
      <c r="BE1003" s="61" t="n"/>
      <c r="BF1003" s="55" t="n">
        <v>-1</v>
      </c>
      <c r="BG1003" s="55" t="n">
        <v>2</v>
      </c>
      <c r="BH1003" s="54" t="n">
        <v>-99.06</v>
      </c>
      <c r="BI1003" s="55" t="n">
        <v>0</v>
      </c>
      <c r="BJ1003" s="53" t="inlineStr"/>
      <c r="BK1003" s="58" t="n">
        <v>0</v>
      </c>
      <c r="BL1003" s="58" t="n">
        <v>1003</v>
      </c>
      <c r="BM1003" s="53">
        <f>IF(S1003&lt;&gt;"",UPPER(TRIM(S1003)),IF(O1003="","LOSE",O1003))</f>
        <v/>
      </c>
      <c r="BN1003" s="55">
        <f>IF(BM1003="LOSE",1,IF(N(T1003)&gt;0,T1003,IF(N(P1003)&gt;0,P1003,MAX(1,G1003))))</f>
        <v/>
      </c>
      <c r="BO1003" s="58">
        <f>IF(BM1003="LOSE",1,0)</f>
        <v/>
      </c>
      <c r="BP1003" s="64">
        <f>IF(BO1003=0,0,IF(N(R1003)&gt;0,R1003,IFERROR(VLOOKUP(D1003,Parameter!$A$35:$C$64,3,0)+0,0)))</f>
        <v/>
      </c>
      <c r="BQ1003" s="53">
        <f>IF(V1003&lt;&gt;"",V1003,U1003)</f>
        <v/>
      </c>
      <c r="BR1003" s="53">
        <f>IF(BQ1003=1,"L1",IF(OR(BQ1003=2,BQ1003=3),"L23",IF(BQ1003="Aussen","Aussen","-")))</f>
        <v/>
      </c>
      <c r="BS1003" s="66">
        <f>IF(N(W1003)&gt;0,W1003,0)</f>
        <v/>
      </c>
      <c r="BT1003" s="58">
        <f>IF(ISNUMBER(Z1003),1,0)</f>
        <v/>
      </c>
      <c r="BU1003" s="55">
        <f>N(Z1003)</f>
        <v/>
      </c>
      <c r="BV1003" s="55">
        <f>N(L1003)+N(M1003)</f>
        <v/>
      </c>
      <c r="BW1003" s="55">
        <f>ROUNDUP(G1003/BN1003,0)</f>
        <v/>
      </c>
      <c r="BX1003" s="55">
        <f>ROUNDUP(BU1003/BN1003,0)</f>
        <v/>
      </c>
      <c r="BY1003" s="58">
        <f>IF(BO1003=1,0,IFERROR(VLOOKUP(BM1003,'Gebinde-Kategorie'!$A$5:$G$45,5,0)+0,0))</f>
        <v/>
      </c>
      <c r="BZ1003" s="58">
        <f>IFERROR(IF(OR(BQ1003=1,BQ1003=2,BQ1003=3),N(INDEX(Parameter!$I$5:$I$7,BQ1003)),0),0)</f>
        <v/>
      </c>
    </row>
    <row r="1004">
      <c r="A1004" s="53" t="inlineStr">
        <is>
          <t>109623</t>
        </is>
      </c>
      <c r="B1004" s="53" t="inlineStr">
        <is>
          <t>Halterungswinkel</t>
        </is>
      </c>
      <c r="C1004" s="53" t="inlineStr">
        <is>
          <t>G</t>
        </is>
      </c>
      <c r="D1004" s="53" t="inlineStr">
        <is>
          <t>PAL</t>
        </is>
      </c>
      <c r="E1004" s="53" t="inlineStr">
        <is>
          <t>C</t>
        </is>
      </c>
      <c r="F1004" s="54" t="n">
        <v>12.5</v>
      </c>
      <c r="G1004" s="55">
        <f>MAX(0,IF(Parameter!$B$20="Jahresanfang 2025 + Export",BG1004+BF1004,BF1004))</f>
        <v/>
      </c>
      <c r="H1004" s="55">
        <f>G1004*F1004</f>
        <v/>
      </c>
      <c r="I1004" s="55">
        <f>BI1004*Parameter!$B$18</f>
        <v/>
      </c>
      <c r="J1004" s="56" t="n">
        <v>8</v>
      </c>
      <c r="K1004" s="57" t="n">
        <v>1</v>
      </c>
      <c r="L1004" s="55" t="n">
        <v>0</v>
      </c>
      <c r="M1004" s="55" t="n">
        <v>10</v>
      </c>
      <c r="N1004" s="58" t="n">
        <v>28</v>
      </c>
      <c r="O1004" s="53" t="inlineStr">
        <is>
          <t>LOSE</t>
        </is>
      </c>
      <c r="P1004" s="55" t="n"/>
      <c r="Q1004" s="59">
        <f>IF(BO1004=1,0,IFERROR(VLOOKUP(BM1004,'Gebinde-Kategorie'!$A$5:$G$45,6,0)+0,0))</f>
        <v/>
      </c>
      <c r="R1004" s="60" t="n"/>
      <c r="S1004" s="61" t="n"/>
      <c r="T1004" s="61" t="n"/>
      <c r="U1004" s="53">
        <f>IF(A1004="","",IF(IFERROR(VLOOKUP(D1004,Parameter!$A$35:$C$64,2,0),"Nein")="2+3",IF(ISNUMBER(SEARCH("grosser Artikel",BJ1004)),2,IFERROR(VLOOKUP(BM1004,Parameter!$F$35:$G$64,2,0),2)),IF(OR(IFERROR(VLOOKUP(D1004,Parameter!$A$35:$C$64,2,0),"Nein")="Nein",IFERROR(VLOOKUP(D1004,Parameter!$A$35:$C$64,2,0),"Nein")=""),"-",VLOOKUP(D1004,Parameter!$A$35:$C$64,2,0))))</f>
        <v/>
      </c>
      <c r="V1004" s="61" t="n"/>
      <c r="W1004" s="62" t="n"/>
      <c r="X1004" s="55">
        <f>AM1004</f>
        <v/>
      </c>
      <c r="Y1004" s="55">
        <f>MAX(AM1004,G1004)</f>
        <v/>
      </c>
      <c r="Z1004" s="63" t="n"/>
      <c r="AA1004" s="55">
        <f>IF(LEFT(Cockpit!$C$5,1)="A",G1004,IF(BT1004=1,BU1004,IF(LEFT(Cockpit!$C$5,1)="B",AE1004,MAX(AE1004,G1004))))</f>
        <v/>
      </c>
      <c r="AB1004" s="55">
        <f>IF(BO1004=1,0,ROUNDUP(AA1004/BN1004,0))</f>
        <v/>
      </c>
      <c r="AC1004" s="64">
        <f>IF(BO1004=1,IF(AA1004&lt;=0,0,BP1004*MAX(1,IF(G1004&gt;0,AA1004/G1004,1))),AB1004*Q1004)</f>
        <v/>
      </c>
      <c r="AD1004" s="55">
        <f>AA1004*F1004</f>
        <v/>
      </c>
      <c r="AE1004" s="55">
        <f>ROUNDUP(MAX(I1004/IF(BS1004&gt;0,BS1004,MAX(0.1,N(Cockpit!$C$6))),BV1004)/BN1004,0)*BN1004</f>
        <v/>
      </c>
      <c r="AF1004" s="56">
        <f>IF(AC1004&gt;0,I1004/AC1004,-1)</f>
        <v/>
      </c>
      <c r="AG1004" s="56">
        <f>IF(AND(OR(BR1004="L1",BR1004="L23"),AC1004&gt;0),SUMIFS($AC$7:$AC$1570,$BR$7:$BR$1570,BR1004,$AF$7:$AF$1570,"&gt;"&amp;AF1004)+SUMIFS($AC$7:$AC$1570,$BR$7:$BR$1570,BR1004,$AF$7:$AF$1570,AF1004,$BL$7:$BL$1570,"&lt;="&amp;BL1004),"")</f>
        <v/>
      </c>
      <c r="AH1004" s="65">
        <f>IF(AG1004="",0,MAX(0,MIN(1,(IF(BR1004="L1",Parameter!$K$5,Parameter!$K$6+Parameter!$K$7)-(AG1004-AC1004))/AC1004)))</f>
        <v/>
      </c>
      <c r="AI1004" s="55">
        <f>IF(LEFT(Cockpit!$I$5,1)="A",G1004,IF(BT1004=1,BU1004,IF(LEFT(Cockpit!$I$5,1)="B",AM1004,MAX(AM1004,G1004))))</f>
        <v/>
      </c>
      <c r="AJ1004" s="55">
        <f>IF(BO1004=1,0,ROUNDUP(AI1004/BN1004,0))</f>
        <v/>
      </c>
      <c r="AK1004" s="64">
        <f>IF(BO1004=1,IF(AI1004&lt;=0,0,BP1004*MAX(1,IF(G1004&gt;0,AI1004/G1004,1))),AJ1004*Q1004)</f>
        <v/>
      </c>
      <c r="AL1004" s="55">
        <f>AI1004*F1004</f>
        <v/>
      </c>
      <c r="AM1004" s="55">
        <f>ROUNDUP(MAX(I1004/IF(BS1004&gt;0,BS1004,MAX(0.1,N(Cockpit!$I$6))),BV1004)/BN1004,0)*BN1004</f>
        <v/>
      </c>
      <c r="AN1004" s="56">
        <f>IF(AK1004&gt;0,I1004/AK1004,-1)</f>
        <v/>
      </c>
      <c r="AO1004" s="56">
        <f>IF(AND(OR(BR1004="L1",BR1004="L23"),AK1004&gt;0),SUMIFS($AK$7:$AK$1570,$BR$7:$BR$1570,BR1004,$AN$7:$AN$1570,"&gt;"&amp;AN1004)+SUMIFS($AK$7:$AK$1570,$BR$7:$BR$1570,BR1004,$AN$7:$AN$1570,AN1004,$BL$7:$BL$1570,"&lt;="&amp;BL1004),"")</f>
        <v/>
      </c>
      <c r="AP1004" s="65">
        <f>IF(AO1004="",0,MAX(0,MIN(1,(IF(BR1004="L1",Parameter!$K$5,Parameter!$K$6+Parameter!$K$7)-(AO1004-AK1004))/AK1004)))</f>
        <v/>
      </c>
      <c r="AQ1004" s="55">
        <f>IF(LEFT(Cockpit!$O$5,1)="A",G1004,IF(BT1004=1,BU1004,IF(LEFT(Cockpit!$O$5,1)="B",AU1004,MAX(AU1004,G1004))))</f>
        <v/>
      </c>
      <c r="AR1004" s="55">
        <f>IF(BO1004=1,0,ROUNDUP(AQ1004/BN1004,0))</f>
        <v/>
      </c>
      <c r="AS1004" s="64">
        <f>IF(BO1004=1,IF(AQ1004&lt;=0,0,BP1004*MAX(1,IF(G1004&gt;0,AQ1004/G1004,1))),AR1004*Q1004)</f>
        <v/>
      </c>
      <c r="AT1004" s="55">
        <f>AQ1004*F1004</f>
        <v/>
      </c>
      <c r="AU1004" s="55">
        <f>ROUNDUP(MAX(I1004/IF(BS1004&gt;0,BS1004,MAX(0.1,N(Cockpit!$O$6))),BV1004)/BN1004,0)*BN1004</f>
        <v/>
      </c>
      <c r="AV1004" s="56">
        <f>IF(AS1004&gt;0,I1004/AS1004,-1)</f>
        <v/>
      </c>
      <c r="AW1004" s="56">
        <f>IF(AND(OR(BR1004="L1",BR1004="L23"),AS1004&gt;0),SUMIFS($AS$7:$AS$1570,$BR$7:$BR$1570,BR1004,$AV$7:$AV$1570,"&gt;"&amp;AV1004)+SUMIFS($AS$7:$AS$1570,$BR$7:$BR$1570,BR1004,$AV$7:$AV$1570,AV1004,$BL$7:$BL$1570,"&lt;="&amp;BL1004),"")</f>
        <v/>
      </c>
      <c r="AX1004" s="65">
        <f>IF(AW1004="",0,MAX(0,MIN(1,(IF(BR1004="L1",Parameter!$K$5,Parameter!$K$6+Parameter!$K$7)-(AW1004-AS1004))/AS1004)))</f>
        <v/>
      </c>
      <c r="AY1004" s="53">
        <f>IF(AC1004&lt;=0,"",IF(BR1004="Aussen","Aussenlager",IF(BR1004="-","Nicht im Lift",IF(AH1004&gt;=1,"Lift",IF(AH1004&lt;=0,"Aussenlager","teilweise")))))</f>
        <v/>
      </c>
      <c r="AZ1004" s="53">
        <f>IF(AK1004&lt;=0,"",IF(BR1004="Aussen","Aussenlager",IF(BR1004="-","Nicht im Lift",IF(AP1004&gt;=1,"Lift",IF(AP1004&lt;=0,"Aussenlager","teilweise")))))</f>
        <v/>
      </c>
      <c r="BA1004" s="53">
        <f>IF(AS1004&lt;=0,"",IF(BR1004="Aussen","Aussenlager",IF(BR1004="-","Nicht im Lift",IF(AX1004&gt;=1,"Lift",IF(AX1004&lt;=0,"Aussenlager","teilweise")))))</f>
        <v/>
      </c>
      <c r="BB1004" s="53">
        <f>IF(A1004="","",IF(BK1004=1,"Neu; ","")&amp;IF(AND(BK1004=0,BF1004&lt;0),"negativer Bestand (Export "&amp;BF1004&amp;"); ","")&amp;IF(I1004&lt;=0,"Kein Verbrauch; ","")&amp;IF(BO1004=1,"Lose – Fläche geschätzt; ","")&amp;IF(G1004&gt;AM1004,"Überbestand "&amp;ROUND(G1004-AM1004,0)&amp;" Stk / CHF "&amp;ROUND((G1004-AM1004)*F1004,0)&amp;"; ","")&amp;IF(AND(BT1004=1,BU1004&lt;BV1004),"MAX &lt; MB+LG; ","")&amp;IF(AND(BZ1004&gt;0,BY1004*10&gt;BZ1004),"zu hoch für Tablar; ","")&amp;IF(AND(BK1004=0,OR(BT1004=1,V1004&lt;&gt;"",S1004&lt;&gt;"",T1004&lt;&gt;"",W1004&lt;&gt;"")),"manuell übersteuert; ","")&amp;IF(AND(BO1004=0,Q1004=0),"Gebinde unbekannt; ","")&amp;IF(AND(BO1004=0,N(T1004)&lt;=0,N(P1004)&lt;=0),"Menge pro Gebinde fehlt (Ist = 1 Gebinde); ","")&amp;BJ1004)</f>
        <v/>
      </c>
      <c r="BC1004" s="53" t="n"/>
      <c r="BD1004" s="53" t="n"/>
      <c r="BE1004" s="61" t="n"/>
      <c r="BF1004" s="55" t="n">
        <v>-8</v>
      </c>
      <c r="BG1004" s="55" t="n">
        <v>16</v>
      </c>
      <c r="BH1004" s="54" t="n">
        <v>-100</v>
      </c>
      <c r="BI1004" s="55" t="n">
        <v>8</v>
      </c>
      <c r="BJ1004" s="53" t="inlineStr"/>
      <c r="BK1004" s="58" t="n">
        <v>0</v>
      </c>
      <c r="BL1004" s="58" t="n">
        <v>1004</v>
      </c>
      <c r="BM1004" s="53">
        <f>IF(S1004&lt;&gt;"",UPPER(TRIM(S1004)),IF(O1004="","LOSE",O1004))</f>
        <v/>
      </c>
      <c r="BN1004" s="55">
        <f>IF(BM1004="LOSE",1,IF(N(T1004)&gt;0,T1004,IF(N(P1004)&gt;0,P1004,MAX(1,G1004))))</f>
        <v/>
      </c>
      <c r="BO1004" s="58">
        <f>IF(BM1004="LOSE",1,0)</f>
        <v/>
      </c>
      <c r="BP1004" s="64">
        <f>IF(BO1004=0,0,IF(N(R1004)&gt;0,R1004,IFERROR(VLOOKUP(D1004,Parameter!$A$35:$C$64,3,0)+0,0)))</f>
        <v/>
      </c>
      <c r="BQ1004" s="53">
        <f>IF(V1004&lt;&gt;"",V1004,U1004)</f>
        <v/>
      </c>
      <c r="BR1004" s="53">
        <f>IF(BQ1004=1,"L1",IF(OR(BQ1004=2,BQ1004=3),"L23",IF(BQ1004="Aussen","Aussen","-")))</f>
        <v/>
      </c>
      <c r="BS1004" s="66">
        <f>IF(N(W1004)&gt;0,W1004,0)</f>
        <v/>
      </c>
      <c r="BT1004" s="58">
        <f>IF(ISNUMBER(Z1004),1,0)</f>
        <v/>
      </c>
      <c r="BU1004" s="55">
        <f>N(Z1004)</f>
        <v/>
      </c>
      <c r="BV1004" s="55">
        <f>N(L1004)+N(M1004)</f>
        <v/>
      </c>
      <c r="BW1004" s="55">
        <f>ROUNDUP(G1004/BN1004,0)</f>
        <v/>
      </c>
      <c r="BX1004" s="55">
        <f>ROUNDUP(BU1004/BN1004,0)</f>
        <v/>
      </c>
      <c r="BY1004" s="58">
        <f>IF(BO1004=1,0,IFERROR(VLOOKUP(BM1004,'Gebinde-Kategorie'!$A$5:$G$45,5,0)+0,0))</f>
        <v/>
      </c>
      <c r="BZ1004" s="58">
        <f>IFERROR(IF(OR(BQ1004=1,BQ1004=2,BQ1004=3),N(INDEX(Parameter!$I$5:$I$7,BQ1004)),0),0)</f>
        <v/>
      </c>
    </row>
    <row r="1005">
      <c r="A1005" s="53" t="inlineStr">
        <is>
          <t>107163</t>
        </is>
      </c>
      <c r="B1005" s="53" t="inlineStr">
        <is>
          <t>SPGr Logo zu SPGr</t>
        </is>
      </c>
      <c r="C1005" s="53" t="inlineStr">
        <is>
          <t>F</t>
        </is>
      </c>
      <c r="D1005" s="53" t="inlineStr">
        <is>
          <t>KTL</t>
        </is>
      </c>
      <c r="E1005" s="53" t="inlineStr">
        <is>
          <t>C</t>
        </is>
      </c>
      <c r="F1005" s="54" t="n">
        <v>7.57</v>
      </c>
      <c r="G1005" s="55">
        <f>MAX(0,IF(Parameter!$B$20="Jahresanfang 2025 + Export",BG1005+BF1005,BF1005))</f>
        <v/>
      </c>
      <c r="H1005" s="55">
        <f>G1005*F1005</f>
        <v/>
      </c>
      <c r="I1005" s="55">
        <f>BI1005*Parameter!$B$18</f>
        <v/>
      </c>
      <c r="J1005" s="56" t="n">
        <v>26.5</v>
      </c>
      <c r="K1005" s="57" t="n">
        <v>2</v>
      </c>
      <c r="L1005" s="55" t="n">
        <v>3</v>
      </c>
      <c r="M1005" s="55" t="n">
        <v>55</v>
      </c>
      <c r="N1005" s="58" t="n">
        <v>21</v>
      </c>
      <c r="O1005" s="53" t="inlineStr">
        <is>
          <t>S41</t>
        </is>
      </c>
      <c r="P1005" s="55" t="n">
        <v>41</v>
      </c>
      <c r="Q1005" s="59">
        <f>IF(BO1005=1,0,IFERROR(VLOOKUP(BM1005,'Gebinde-Kategorie'!$A$5:$G$45,6,0)+0,0))</f>
        <v/>
      </c>
      <c r="R1005" s="60" t="n"/>
      <c r="S1005" s="61" t="n"/>
      <c r="T1005" s="61" t="n"/>
      <c r="U1005" s="53">
        <f>IF(A1005="","",IF(IFERROR(VLOOKUP(D1005,Parameter!$A$35:$C$64,2,0),"Nein")="2+3",IF(ISNUMBER(SEARCH("grosser Artikel",BJ1005)),2,IFERROR(VLOOKUP(BM1005,Parameter!$F$35:$G$64,2,0),2)),IF(OR(IFERROR(VLOOKUP(D1005,Parameter!$A$35:$C$64,2,0),"Nein")="Nein",IFERROR(VLOOKUP(D1005,Parameter!$A$35:$C$64,2,0),"Nein")=""),"-",VLOOKUP(D1005,Parameter!$A$35:$C$64,2,0))))</f>
        <v/>
      </c>
      <c r="V1005" s="61" t="n"/>
      <c r="W1005" s="62" t="n"/>
      <c r="X1005" s="55">
        <f>AM1005</f>
        <v/>
      </c>
      <c r="Y1005" s="55">
        <f>MAX(AM1005,G1005)</f>
        <v/>
      </c>
      <c r="Z1005" s="63" t="n"/>
      <c r="AA1005" s="55">
        <f>IF(LEFT(Cockpit!$C$5,1)="A",G1005,IF(BT1005=1,BU1005,IF(LEFT(Cockpit!$C$5,1)="B",AE1005,MAX(AE1005,G1005))))</f>
        <v/>
      </c>
      <c r="AB1005" s="55">
        <f>IF(BO1005=1,0,ROUNDUP(AA1005/BN1005,0))</f>
        <v/>
      </c>
      <c r="AC1005" s="64">
        <f>IF(BO1005=1,IF(AA1005&lt;=0,0,BP1005*MAX(1,IF(G1005&gt;0,AA1005/G1005,1))),AB1005*Q1005)</f>
        <v/>
      </c>
      <c r="AD1005" s="55">
        <f>AA1005*F1005</f>
        <v/>
      </c>
      <c r="AE1005" s="55">
        <f>ROUNDUP(MAX(I1005/IF(BS1005&gt;0,BS1005,MAX(0.1,N(Cockpit!$C$6))),BV1005)/BN1005,0)*BN1005</f>
        <v/>
      </c>
      <c r="AF1005" s="56">
        <f>IF(AC1005&gt;0,I1005/AC1005,-1)</f>
        <v/>
      </c>
      <c r="AG1005" s="56">
        <f>IF(AND(OR(BR1005="L1",BR1005="L23"),AC1005&gt;0),SUMIFS($AC$7:$AC$1570,$BR$7:$BR$1570,BR1005,$AF$7:$AF$1570,"&gt;"&amp;AF1005)+SUMIFS($AC$7:$AC$1570,$BR$7:$BR$1570,BR1005,$AF$7:$AF$1570,AF1005,$BL$7:$BL$1570,"&lt;="&amp;BL1005),"")</f>
        <v/>
      </c>
      <c r="AH1005" s="65">
        <f>IF(AG1005="",0,MAX(0,MIN(1,(IF(BR1005="L1",Parameter!$K$5,Parameter!$K$6+Parameter!$K$7)-(AG1005-AC1005))/AC1005)))</f>
        <v/>
      </c>
      <c r="AI1005" s="55">
        <f>IF(LEFT(Cockpit!$I$5,1)="A",G1005,IF(BT1005=1,BU1005,IF(LEFT(Cockpit!$I$5,1)="B",AM1005,MAX(AM1005,G1005))))</f>
        <v/>
      </c>
      <c r="AJ1005" s="55">
        <f>IF(BO1005=1,0,ROUNDUP(AI1005/BN1005,0))</f>
        <v/>
      </c>
      <c r="AK1005" s="64">
        <f>IF(BO1005=1,IF(AI1005&lt;=0,0,BP1005*MAX(1,IF(G1005&gt;0,AI1005/G1005,1))),AJ1005*Q1005)</f>
        <v/>
      </c>
      <c r="AL1005" s="55">
        <f>AI1005*F1005</f>
        <v/>
      </c>
      <c r="AM1005" s="55">
        <f>ROUNDUP(MAX(I1005/IF(BS1005&gt;0,BS1005,MAX(0.1,N(Cockpit!$I$6))),BV1005)/BN1005,0)*BN1005</f>
        <v/>
      </c>
      <c r="AN1005" s="56">
        <f>IF(AK1005&gt;0,I1005/AK1005,-1)</f>
        <v/>
      </c>
      <c r="AO1005" s="56">
        <f>IF(AND(OR(BR1005="L1",BR1005="L23"),AK1005&gt;0),SUMIFS($AK$7:$AK$1570,$BR$7:$BR$1570,BR1005,$AN$7:$AN$1570,"&gt;"&amp;AN1005)+SUMIFS($AK$7:$AK$1570,$BR$7:$BR$1570,BR1005,$AN$7:$AN$1570,AN1005,$BL$7:$BL$1570,"&lt;="&amp;BL1005),"")</f>
        <v/>
      </c>
      <c r="AP1005" s="65">
        <f>IF(AO1005="",0,MAX(0,MIN(1,(IF(BR1005="L1",Parameter!$K$5,Parameter!$K$6+Parameter!$K$7)-(AO1005-AK1005))/AK1005)))</f>
        <v/>
      </c>
      <c r="AQ1005" s="55">
        <f>IF(LEFT(Cockpit!$O$5,1)="A",G1005,IF(BT1005=1,BU1005,IF(LEFT(Cockpit!$O$5,1)="B",AU1005,MAX(AU1005,G1005))))</f>
        <v/>
      </c>
      <c r="AR1005" s="55">
        <f>IF(BO1005=1,0,ROUNDUP(AQ1005/BN1005,0))</f>
        <v/>
      </c>
      <c r="AS1005" s="64">
        <f>IF(BO1005=1,IF(AQ1005&lt;=0,0,BP1005*MAX(1,IF(G1005&gt;0,AQ1005/G1005,1))),AR1005*Q1005)</f>
        <v/>
      </c>
      <c r="AT1005" s="55">
        <f>AQ1005*F1005</f>
        <v/>
      </c>
      <c r="AU1005" s="55">
        <f>ROUNDUP(MAX(I1005/IF(BS1005&gt;0,BS1005,MAX(0.1,N(Cockpit!$O$6))),BV1005)/BN1005,0)*BN1005</f>
        <v/>
      </c>
      <c r="AV1005" s="56">
        <f>IF(AS1005&gt;0,I1005/AS1005,-1)</f>
        <v/>
      </c>
      <c r="AW1005" s="56">
        <f>IF(AND(OR(BR1005="L1",BR1005="L23"),AS1005&gt;0),SUMIFS($AS$7:$AS$1570,$BR$7:$BR$1570,BR1005,$AV$7:$AV$1570,"&gt;"&amp;AV1005)+SUMIFS($AS$7:$AS$1570,$BR$7:$BR$1570,BR1005,$AV$7:$AV$1570,AV1005,$BL$7:$BL$1570,"&lt;="&amp;BL1005),"")</f>
        <v/>
      </c>
      <c r="AX1005" s="65">
        <f>IF(AW1005="",0,MAX(0,MIN(1,(IF(BR1005="L1",Parameter!$K$5,Parameter!$K$6+Parameter!$K$7)-(AW1005-AS1005))/AS1005)))</f>
        <v/>
      </c>
      <c r="AY1005" s="53">
        <f>IF(AC1005&lt;=0,"",IF(BR1005="Aussen","Aussenlager",IF(BR1005="-","Nicht im Lift",IF(AH1005&gt;=1,"Lift",IF(AH1005&lt;=0,"Aussenlager","teilweise")))))</f>
        <v/>
      </c>
      <c r="AZ1005" s="53">
        <f>IF(AK1005&lt;=0,"",IF(BR1005="Aussen","Aussenlager",IF(BR1005="-","Nicht im Lift",IF(AP1005&gt;=1,"Lift",IF(AP1005&lt;=0,"Aussenlager","teilweise")))))</f>
        <v/>
      </c>
      <c r="BA1005" s="53">
        <f>IF(AS1005&lt;=0,"",IF(BR1005="Aussen","Aussenlager",IF(BR1005="-","Nicht im Lift",IF(AX1005&gt;=1,"Lift",IF(AX1005&lt;=0,"Aussenlager","teilweise")))))</f>
        <v/>
      </c>
      <c r="BB1005" s="53">
        <f>IF(A1005="","",IF(BK1005=1,"Neu; ","")&amp;IF(AND(BK1005=0,BF1005&lt;0),"negativer Bestand (Export "&amp;BF1005&amp;"); ","")&amp;IF(I1005&lt;=0,"Kein Verbrauch; ","")&amp;IF(BO1005=1,"Lose – Fläche geschätzt; ","")&amp;IF(G1005&gt;AM1005,"Überbestand "&amp;ROUND(G1005-AM1005,0)&amp;" Stk / CHF "&amp;ROUND((G1005-AM1005)*F1005,0)&amp;"; ","")&amp;IF(AND(BT1005=1,BU1005&lt;BV1005),"MAX &lt; MB+LG; ","")&amp;IF(AND(BZ1005&gt;0,BY1005*10&gt;BZ1005),"zu hoch für Tablar; ","")&amp;IF(AND(BK1005=0,OR(BT1005=1,V1005&lt;&gt;"",S1005&lt;&gt;"",T1005&lt;&gt;"",W1005&lt;&gt;"")),"manuell übersteuert; ","")&amp;IF(AND(BO1005=0,Q1005=0),"Gebinde unbekannt; ","")&amp;IF(AND(BO1005=0,N(T1005)&lt;=0,N(P1005)&lt;=0),"Menge pro Gebinde fehlt (Ist = 1 Gebinde); ","")&amp;BJ1005)</f>
        <v/>
      </c>
      <c r="BC1005" s="53" t="n"/>
      <c r="BD1005" s="53" t="n"/>
      <c r="BE1005" s="61" t="n"/>
      <c r="BF1005" s="55" t="n">
        <v>-10</v>
      </c>
      <c r="BG1005" s="55" t="n">
        <v>23</v>
      </c>
      <c r="BH1005" s="54" t="n">
        <v>-101.6899999999999</v>
      </c>
      <c r="BI1005" s="55" t="n">
        <v>53</v>
      </c>
      <c r="BJ1005" s="53" t="inlineStr"/>
      <c r="BK1005" s="58" t="n">
        <v>0</v>
      </c>
      <c r="BL1005" s="58" t="n">
        <v>1005</v>
      </c>
      <c r="BM1005" s="53">
        <f>IF(S1005&lt;&gt;"",UPPER(TRIM(S1005)),IF(O1005="","LOSE",O1005))</f>
        <v/>
      </c>
      <c r="BN1005" s="55">
        <f>IF(BM1005="LOSE",1,IF(N(T1005)&gt;0,T1005,IF(N(P1005)&gt;0,P1005,MAX(1,G1005))))</f>
        <v/>
      </c>
      <c r="BO1005" s="58">
        <f>IF(BM1005="LOSE",1,0)</f>
        <v/>
      </c>
      <c r="BP1005" s="64">
        <f>IF(BO1005=0,0,IF(N(R1005)&gt;0,R1005,IFERROR(VLOOKUP(D1005,Parameter!$A$35:$C$64,3,0)+0,0)))</f>
        <v/>
      </c>
      <c r="BQ1005" s="53">
        <f>IF(V1005&lt;&gt;"",V1005,U1005)</f>
        <v/>
      </c>
      <c r="BR1005" s="53">
        <f>IF(BQ1005=1,"L1",IF(OR(BQ1005=2,BQ1005=3),"L23",IF(BQ1005="Aussen","Aussen","-")))</f>
        <v/>
      </c>
      <c r="BS1005" s="66">
        <f>IF(N(W1005)&gt;0,W1005,0)</f>
        <v/>
      </c>
      <c r="BT1005" s="58">
        <f>IF(ISNUMBER(Z1005),1,0)</f>
        <v/>
      </c>
      <c r="BU1005" s="55">
        <f>N(Z1005)</f>
        <v/>
      </c>
      <c r="BV1005" s="55">
        <f>N(L1005)+N(M1005)</f>
        <v/>
      </c>
      <c r="BW1005" s="55">
        <f>ROUNDUP(G1005/BN1005,0)</f>
        <v/>
      </c>
      <c r="BX1005" s="55">
        <f>ROUNDUP(BU1005/BN1005,0)</f>
        <v/>
      </c>
      <c r="BY1005" s="58">
        <f>IF(BO1005=1,0,IFERROR(VLOOKUP(BM1005,'Gebinde-Kategorie'!$A$5:$G$45,5,0)+0,0))</f>
        <v/>
      </c>
      <c r="BZ1005" s="58">
        <f>IFERROR(IF(OR(BQ1005=1,BQ1005=2,BQ1005=3),N(INDEX(Parameter!$I$5:$I$7,BQ1005)),0),0)</f>
        <v/>
      </c>
    </row>
    <row r="1006">
      <c r="A1006" s="53" t="inlineStr">
        <is>
          <t>110312</t>
        </is>
      </c>
      <c r="B1006" s="53" t="inlineStr">
        <is>
          <t>VNC Server Funktionslizenz</t>
        </is>
      </c>
      <c r="C1006" s="53" t="inlineStr">
        <is>
          <t>F</t>
        </is>
      </c>
      <c r="D1006" s="53" t="inlineStr">
        <is>
          <t>PAL</t>
        </is>
      </c>
      <c r="E1006" s="53" t="inlineStr">
        <is>
          <t>C</t>
        </is>
      </c>
      <c r="F1006" s="54" t="n">
        <v>20.83</v>
      </c>
      <c r="G1006" s="55">
        <f>MAX(0,IF(Parameter!$B$20="Jahresanfang 2025 + Export",BG1006+BF1006,BF1006))</f>
        <v/>
      </c>
      <c r="H1006" s="55">
        <f>G1006*F1006</f>
        <v/>
      </c>
      <c r="I1006" s="55">
        <f>BI1006*Parameter!$B$18</f>
        <v/>
      </c>
      <c r="J1006" s="56" t="n">
        <v>2.5</v>
      </c>
      <c r="K1006" s="57" t="n">
        <v>0</v>
      </c>
      <c r="L1006" s="55" t="n">
        <v>0</v>
      </c>
      <c r="M1006" s="55" t="n">
        <v>1</v>
      </c>
      <c r="N1006" s="58" t="n">
        <v>42</v>
      </c>
      <c r="O1006" s="53" t="inlineStr">
        <is>
          <t>LOSE</t>
        </is>
      </c>
      <c r="P1006" s="55" t="n"/>
      <c r="Q1006" s="59">
        <f>IF(BO1006=1,0,IFERROR(VLOOKUP(BM1006,'Gebinde-Kategorie'!$A$5:$G$45,6,0)+0,0))</f>
        <v/>
      </c>
      <c r="R1006" s="60" t="n"/>
      <c r="S1006" s="61" t="n"/>
      <c r="T1006" s="61" t="n"/>
      <c r="U1006" s="53">
        <f>IF(A1006="","",IF(IFERROR(VLOOKUP(D1006,Parameter!$A$35:$C$64,2,0),"Nein")="2+3",IF(ISNUMBER(SEARCH("grosser Artikel",BJ1006)),2,IFERROR(VLOOKUP(BM1006,Parameter!$F$35:$G$64,2,0),2)),IF(OR(IFERROR(VLOOKUP(D1006,Parameter!$A$35:$C$64,2,0),"Nein")="Nein",IFERROR(VLOOKUP(D1006,Parameter!$A$35:$C$64,2,0),"Nein")=""),"-",VLOOKUP(D1006,Parameter!$A$35:$C$64,2,0))))</f>
        <v/>
      </c>
      <c r="V1006" s="61" t="n"/>
      <c r="W1006" s="62" t="n"/>
      <c r="X1006" s="55">
        <f>AM1006</f>
        <v/>
      </c>
      <c r="Y1006" s="55">
        <f>MAX(AM1006,G1006)</f>
        <v/>
      </c>
      <c r="Z1006" s="63" t="n"/>
      <c r="AA1006" s="55">
        <f>IF(LEFT(Cockpit!$C$5,1)="A",G1006,IF(BT1006=1,BU1006,IF(LEFT(Cockpit!$C$5,1)="B",AE1006,MAX(AE1006,G1006))))</f>
        <v/>
      </c>
      <c r="AB1006" s="55">
        <f>IF(BO1006=1,0,ROUNDUP(AA1006/BN1006,0))</f>
        <v/>
      </c>
      <c r="AC1006" s="64">
        <f>IF(BO1006=1,IF(AA1006&lt;=0,0,BP1006*MAX(1,IF(G1006&gt;0,AA1006/G1006,1))),AB1006*Q1006)</f>
        <v/>
      </c>
      <c r="AD1006" s="55">
        <f>AA1006*F1006</f>
        <v/>
      </c>
      <c r="AE1006" s="55">
        <f>ROUNDUP(MAX(I1006/IF(BS1006&gt;0,BS1006,MAX(0.1,N(Cockpit!$C$6))),BV1006)/BN1006,0)*BN1006</f>
        <v/>
      </c>
      <c r="AF1006" s="56">
        <f>IF(AC1006&gt;0,I1006/AC1006,-1)</f>
        <v/>
      </c>
      <c r="AG1006" s="56">
        <f>IF(AND(OR(BR1006="L1",BR1006="L23"),AC1006&gt;0),SUMIFS($AC$7:$AC$1570,$BR$7:$BR$1570,BR1006,$AF$7:$AF$1570,"&gt;"&amp;AF1006)+SUMIFS($AC$7:$AC$1570,$BR$7:$BR$1570,BR1006,$AF$7:$AF$1570,AF1006,$BL$7:$BL$1570,"&lt;="&amp;BL1006),"")</f>
        <v/>
      </c>
      <c r="AH1006" s="65">
        <f>IF(AG1006="",0,MAX(0,MIN(1,(IF(BR1006="L1",Parameter!$K$5,Parameter!$K$6+Parameter!$K$7)-(AG1006-AC1006))/AC1006)))</f>
        <v/>
      </c>
      <c r="AI1006" s="55">
        <f>IF(LEFT(Cockpit!$I$5,1)="A",G1006,IF(BT1006=1,BU1006,IF(LEFT(Cockpit!$I$5,1)="B",AM1006,MAX(AM1006,G1006))))</f>
        <v/>
      </c>
      <c r="AJ1006" s="55">
        <f>IF(BO1006=1,0,ROUNDUP(AI1006/BN1006,0))</f>
        <v/>
      </c>
      <c r="AK1006" s="64">
        <f>IF(BO1006=1,IF(AI1006&lt;=0,0,BP1006*MAX(1,IF(G1006&gt;0,AI1006/G1006,1))),AJ1006*Q1006)</f>
        <v/>
      </c>
      <c r="AL1006" s="55">
        <f>AI1006*F1006</f>
        <v/>
      </c>
      <c r="AM1006" s="55">
        <f>ROUNDUP(MAX(I1006/IF(BS1006&gt;0,BS1006,MAX(0.1,N(Cockpit!$I$6))),BV1006)/BN1006,0)*BN1006</f>
        <v/>
      </c>
      <c r="AN1006" s="56">
        <f>IF(AK1006&gt;0,I1006/AK1006,-1)</f>
        <v/>
      </c>
      <c r="AO1006" s="56">
        <f>IF(AND(OR(BR1006="L1",BR1006="L23"),AK1006&gt;0),SUMIFS($AK$7:$AK$1570,$BR$7:$BR$1570,BR1006,$AN$7:$AN$1570,"&gt;"&amp;AN1006)+SUMIFS($AK$7:$AK$1570,$BR$7:$BR$1570,BR1006,$AN$7:$AN$1570,AN1006,$BL$7:$BL$1570,"&lt;="&amp;BL1006),"")</f>
        <v/>
      </c>
      <c r="AP1006" s="65">
        <f>IF(AO1006="",0,MAX(0,MIN(1,(IF(BR1006="L1",Parameter!$K$5,Parameter!$K$6+Parameter!$K$7)-(AO1006-AK1006))/AK1006)))</f>
        <v/>
      </c>
      <c r="AQ1006" s="55">
        <f>IF(LEFT(Cockpit!$O$5,1)="A",G1006,IF(BT1006=1,BU1006,IF(LEFT(Cockpit!$O$5,1)="B",AU1006,MAX(AU1006,G1006))))</f>
        <v/>
      </c>
      <c r="AR1006" s="55">
        <f>IF(BO1006=1,0,ROUNDUP(AQ1006/BN1006,0))</f>
        <v/>
      </c>
      <c r="AS1006" s="64">
        <f>IF(BO1006=1,IF(AQ1006&lt;=0,0,BP1006*MAX(1,IF(G1006&gt;0,AQ1006/G1006,1))),AR1006*Q1006)</f>
        <v/>
      </c>
      <c r="AT1006" s="55">
        <f>AQ1006*F1006</f>
        <v/>
      </c>
      <c r="AU1006" s="55">
        <f>ROUNDUP(MAX(I1006/IF(BS1006&gt;0,BS1006,MAX(0.1,N(Cockpit!$O$6))),BV1006)/BN1006,0)*BN1006</f>
        <v/>
      </c>
      <c r="AV1006" s="56">
        <f>IF(AS1006&gt;0,I1006/AS1006,-1)</f>
        <v/>
      </c>
      <c r="AW1006" s="56">
        <f>IF(AND(OR(BR1006="L1",BR1006="L23"),AS1006&gt;0),SUMIFS($AS$7:$AS$1570,$BR$7:$BR$1570,BR1006,$AV$7:$AV$1570,"&gt;"&amp;AV1006)+SUMIFS($AS$7:$AS$1570,$BR$7:$BR$1570,BR1006,$AV$7:$AV$1570,AV1006,$BL$7:$BL$1570,"&lt;="&amp;BL1006),"")</f>
        <v/>
      </c>
      <c r="AX1006" s="65">
        <f>IF(AW1006="",0,MAX(0,MIN(1,(IF(BR1006="L1",Parameter!$K$5,Parameter!$K$6+Parameter!$K$7)-(AW1006-AS1006))/AS1006)))</f>
        <v/>
      </c>
      <c r="AY1006" s="53">
        <f>IF(AC1006&lt;=0,"",IF(BR1006="Aussen","Aussenlager",IF(BR1006="-","Nicht im Lift",IF(AH1006&gt;=1,"Lift",IF(AH1006&lt;=0,"Aussenlager","teilweise")))))</f>
        <v/>
      </c>
      <c r="AZ1006" s="53">
        <f>IF(AK1006&lt;=0,"",IF(BR1006="Aussen","Aussenlager",IF(BR1006="-","Nicht im Lift",IF(AP1006&gt;=1,"Lift",IF(AP1006&lt;=0,"Aussenlager","teilweise")))))</f>
        <v/>
      </c>
      <c r="BA1006" s="53">
        <f>IF(AS1006&lt;=0,"",IF(BR1006="Aussen","Aussenlager",IF(BR1006="-","Nicht im Lift",IF(AX1006&gt;=1,"Lift",IF(AX1006&lt;=0,"Aussenlager","teilweise")))))</f>
        <v/>
      </c>
      <c r="BB1006" s="53">
        <f>IF(A1006="","",IF(BK1006=1,"Neu; ","")&amp;IF(AND(BK1006=0,BF1006&lt;0),"negativer Bestand (Export "&amp;BF1006&amp;"); ","")&amp;IF(I1006&lt;=0,"Kein Verbrauch; ","")&amp;IF(BO1006=1,"Lose – Fläche geschätzt; ","")&amp;IF(G1006&gt;AM1006,"Überbestand "&amp;ROUND(G1006-AM1006,0)&amp;" Stk / CHF "&amp;ROUND((G1006-AM1006)*F1006,0)&amp;"; ","")&amp;IF(AND(BT1006=1,BU1006&lt;BV1006),"MAX &lt; MB+LG; ","")&amp;IF(AND(BZ1006&gt;0,BY1006*10&gt;BZ1006),"zu hoch für Tablar; ","")&amp;IF(AND(BK1006=0,OR(BT1006=1,V1006&lt;&gt;"",S1006&lt;&gt;"",T1006&lt;&gt;"",W1006&lt;&gt;"")),"manuell übersteuert; ","")&amp;IF(AND(BO1006=0,Q1006=0),"Gebinde unbekannt; ","")&amp;IF(AND(BO1006=0,N(T1006)&lt;=0,N(P1006)&lt;=0),"Menge pro Gebinde fehlt (Ist = 1 Gebinde); ","")&amp;BJ1006)</f>
        <v/>
      </c>
      <c r="BC1006" s="53" t="n"/>
      <c r="BD1006" s="53" t="n"/>
      <c r="BE1006" s="61" t="n"/>
      <c r="BF1006" s="55" t="n">
        <v>-5</v>
      </c>
      <c r="BG1006" s="55" t="n">
        <v>5</v>
      </c>
      <c r="BH1006" s="54" t="n">
        <v>-104.15</v>
      </c>
      <c r="BI1006" s="55" t="n">
        <v>0</v>
      </c>
      <c r="BJ1006" s="53" t="inlineStr"/>
      <c r="BK1006" s="58" t="n">
        <v>0</v>
      </c>
      <c r="BL1006" s="58" t="n">
        <v>1006</v>
      </c>
      <c r="BM1006" s="53">
        <f>IF(S1006&lt;&gt;"",UPPER(TRIM(S1006)),IF(O1006="","LOSE",O1006))</f>
        <v/>
      </c>
      <c r="BN1006" s="55">
        <f>IF(BM1006="LOSE",1,IF(N(T1006)&gt;0,T1006,IF(N(P1006)&gt;0,P1006,MAX(1,G1006))))</f>
        <v/>
      </c>
      <c r="BO1006" s="58">
        <f>IF(BM1006="LOSE",1,0)</f>
        <v/>
      </c>
      <c r="BP1006" s="64">
        <f>IF(BO1006=0,0,IF(N(R1006)&gt;0,R1006,IFERROR(VLOOKUP(D1006,Parameter!$A$35:$C$64,3,0)+0,0)))</f>
        <v/>
      </c>
      <c r="BQ1006" s="53">
        <f>IF(V1006&lt;&gt;"",V1006,U1006)</f>
        <v/>
      </c>
      <c r="BR1006" s="53">
        <f>IF(BQ1006=1,"L1",IF(OR(BQ1006=2,BQ1006=3),"L23",IF(BQ1006="Aussen","Aussen","-")))</f>
        <v/>
      </c>
      <c r="BS1006" s="66">
        <f>IF(N(W1006)&gt;0,W1006,0)</f>
        <v/>
      </c>
      <c r="BT1006" s="58">
        <f>IF(ISNUMBER(Z1006),1,0)</f>
        <v/>
      </c>
      <c r="BU1006" s="55">
        <f>N(Z1006)</f>
        <v/>
      </c>
      <c r="BV1006" s="55">
        <f>N(L1006)+N(M1006)</f>
        <v/>
      </c>
      <c r="BW1006" s="55">
        <f>ROUNDUP(G1006/BN1006,0)</f>
        <v/>
      </c>
      <c r="BX1006" s="55">
        <f>ROUNDUP(BU1006/BN1006,0)</f>
        <v/>
      </c>
      <c r="BY1006" s="58">
        <f>IF(BO1006=1,0,IFERROR(VLOOKUP(BM1006,'Gebinde-Kategorie'!$A$5:$G$45,5,0)+0,0))</f>
        <v/>
      </c>
      <c r="BZ1006" s="58">
        <f>IFERROR(IF(OR(BQ1006=1,BQ1006=2,BQ1006=3),N(INDEX(Parameter!$I$5:$I$7,BQ1006)),0),0)</f>
        <v/>
      </c>
    </row>
    <row r="1007">
      <c r="A1007" s="53" t="inlineStr">
        <is>
          <t>102500</t>
        </is>
      </c>
      <c r="B1007" s="53" t="inlineStr">
        <is>
          <t>Dichtungssatz</t>
        </is>
      </c>
      <c r="C1007" s="53" t="inlineStr">
        <is>
          <t>F</t>
        </is>
      </c>
      <c r="D1007" s="53" t="inlineStr">
        <is>
          <t>KTL</t>
        </is>
      </c>
      <c r="E1007" s="53" t="inlineStr">
        <is>
          <t>C</t>
        </is>
      </c>
      <c r="F1007" s="54" t="n">
        <v>7.39</v>
      </c>
      <c r="G1007" s="55">
        <f>MAX(0,IF(Parameter!$B$20="Jahresanfang 2025 + Export",BG1007+BF1007,BF1007))</f>
        <v/>
      </c>
      <c r="H1007" s="55">
        <f>G1007*F1007</f>
        <v/>
      </c>
      <c r="I1007" s="55">
        <f>BI1007*Parameter!$B$18</f>
        <v/>
      </c>
      <c r="J1007" s="56" t="n">
        <v>102</v>
      </c>
      <c r="K1007" s="57" t="n">
        <v>1.009803921568627</v>
      </c>
      <c r="L1007" s="55" t="n">
        <v>4</v>
      </c>
      <c r="M1007" s="55" t="n">
        <v>110</v>
      </c>
      <c r="N1007" s="58" t="n">
        <v>14</v>
      </c>
      <c r="O1007" s="53" t="inlineStr">
        <is>
          <t>S33</t>
        </is>
      </c>
      <c r="P1007" s="55" t="n">
        <v>229</v>
      </c>
      <c r="Q1007" s="59">
        <f>IF(BO1007=1,0,IFERROR(VLOOKUP(BM1007,'Gebinde-Kategorie'!$A$5:$G$45,6,0)+0,0))</f>
        <v/>
      </c>
      <c r="R1007" s="60" t="n"/>
      <c r="S1007" s="61" t="n"/>
      <c r="T1007" s="61" t="n"/>
      <c r="U1007" s="53">
        <f>IF(A1007="","",IF(IFERROR(VLOOKUP(D1007,Parameter!$A$35:$C$64,2,0),"Nein")="2+3",IF(ISNUMBER(SEARCH("grosser Artikel",BJ1007)),2,IFERROR(VLOOKUP(BM1007,Parameter!$F$35:$G$64,2,0),2)),IF(OR(IFERROR(VLOOKUP(D1007,Parameter!$A$35:$C$64,2,0),"Nein")="Nein",IFERROR(VLOOKUP(D1007,Parameter!$A$35:$C$64,2,0),"Nein")=""),"-",VLOOKUP(D1007,Parameter!$A$35:$C$64,2,0))))</f>
        <v/>
      </c>
      <c r="V1007" s="61" t="n"/>
      <c r="W1007" s="62" t="n"/>
      <c r="X1007" s="55">
        <f>AM1007</f>
        <v/>
      </c>
      <c r="Y1007" s="55">
        <f>MAX(AM1007,G1007)</f>
        <v/>
      </c>
      <c r="Z1007" s="63" t="n"/>
      <c r="AA1007" s="55">
        <f>IF(LEFT(Cockpit!$C$5,1)="A",G1007,IF(BT1007=1,BU1007,IF(LEFT(Cockpit!$C$5,1)="B",AE1007,MAX(AE1007,G1007))))</f>
        <v/>
      </c>
      <c r="AB1007" s="55">
        <f>IF(BO1007=1,0,ROUNDUP(AA1007/BN1007,0))</f>
        <v/>
      </c>
      <c r="AC1007" s="64">
        <f>IF(BO1007=1,IF(AA1007&lt;=0,0,BP1007*MAX(1,IF(G1007&gt;0,AA1007/G1007,1))),AB1007*Q1007)</f>
        <v/>
      </c>
      <c r="AD1007" s="55">
        <f>AA1007*F1007</f>
        <v/>
      </c>
      <c r="AE1007" s="55">
        <f>ROUNDUP(MAX(I1007/IF(BS1007&gt;0,BS1007,MAX(0.1,N(Cockpit!$C$6))),BV1007)/BN1007,0)*BN1007</f>
        <v/>
      </c>
      <c r="AF1007" s="56">
        <f>IF(AC1007&gt;0,I1007/AC1007,-1)</f>
        <v/>
      </c>
      <c r="AG1007" s="56">
        <f>IF(AND(OR(BR1007="L1",BR1007="L23"),AC1007&gt;0),SUMIFS($AC$7:$AC$1570,$BR$7:$BR$1570,BR1007,$AF$7:$AF$1570,"&gt;"&amp;AF1007)+SUMIFS($AC$7:$AC$1570,$BR$7:$BR$1570,BR1007,$AF$7:$AF$1570,AF1007,$BL$7:$BL$1570,"&lt;="&amp;BL1007),"")</f>
        <v/>
      </c>
      <c r="AH1007" s="65">
        <f>IF(AG1007="",0,MAX(0,MIN(1,(IF(BR1007="L1",Parameter!$K$5,Parameter!$K$6+Parameter!$K$7)-(AG1007-AC1007))/AC1007)))</f>
        <v/>
      </c>
      <c r="AI1007" s="55">
        <f>IF(LEFT(Cockpit!$I$5,1)="A",G1007,IF(BT1007=1,BU1007,IF(LEFT(Cockpit!$I$5,1)="B",AM1007,MAX(AM1007,G1007))))</f>
        <v/>
      </c>
      <c r="AJ1007" s="55">
        <f>IF(BO1007=1,0,ROUNDUP(AI1007/BN1007,0))</f>
        <v/>
      </c>
      <c r="AK1007" s="64">
        <f>IF(BO1007=1,IF(AI1007&lt;=0,0,BP1007*MAX(1,IF(G1007&gt;0,AI1007/G1007,1))),AJ1007*Q1007)</f>
        <v/>
      </c>
      <c r="AL1007" s="55">
        <f>AI1007*F1007</f>
        <v/>
      </c>
      <c r="AM1007" s="55">
        <f>ROUNDUP(MAX(I1007/IF(BS1007&gt;0,BS1007,MAX(0.1,N(Cockpit!$I$6))),BV1007)/BN1007,0)*BN1007</f>
        <v/>
      </c>
      <c r="AN1007" s="56">
        <f>IF(AK1007&gt;0,I1007/AK1007,-1)</f>
        <v/>
      </c>
      <c r="AO1007" s="56">
        <f>IF(AND(OR(BR1007="L1",BR1007="L23"),AK1007&gt;0),SUMIFS($AK$7:$AK$1570,$BR$7:$BR$1570,BR1007,$AN$7:$AN$1570,"&gt;"&amp;AN1007)+SUMIFS($AK$7:$AK$1570,$BR$7:$BR$1570,BR1007,$AN$7:$AN$1570,AN1007,$BL$7:$BL$1570,"&lt;="&amp;BL1007),"")</f>
        <v/>
      </c>
      <c r="AP1007" s="65">
        <f>IF(AO1007="",0,MAX(0,MIN(1,(IF(BR1007="L1",Parameter!$K$5,Parameter!$K$6+Parameter!$K$7)-(AO1007-AK1007))/AK1007)))</f>
        <v/>
      </c>
      <c r="AQ1007" s="55">
        <f>IF(LEFT(Cockpit!$O$5,1)="A",G1007,IF(BT1007=1,BU1007,IF(LEFT(Cockpit!$O$5,1)="B",AU1007,MAX(AU1007,G1007))))</f>
        <v/>
      </c>
      <c r="AR1007" s="55">
        <f>IF(BO1007=1,0,ROUNDUP(AQ1007/BN1007,0))</f>
        <v/>
      </c>
      <c r="AS1007" s="64">
        <f>IF(BO1007=1,IF(AQ1007&lt;=0,0,BP1007*MAX(1,IF(G1007&gt;0,AQ1007/G1007,1))),AR1007*Q1007)</f>
        <v/>
      </c>
      <c r="AT1007" s="55">
        <f>AQ1007*F1007</f>
        <v/>
      </c>
      <c r="AU1007" s="55">
        <f>ROUNDUP(MAX(I1007/IF(BS1007&gt;0,BS1007,MAX(0.1,N(Cockpit!$O$6))),BV1007)/BN1007,0)*BN1007</f>
        <v/>
      </c>
      <c r="AV1007" s="56">
        <f>IF(AS1007&gt;0,I1007/AS1007,-1)</f>
        <v/>
      </c>
      <c r="AW1007" s="56">
        <f>IF(AND(OR(BR1007="L1",BR1007="L23"),AS1007&gt;0),SUMIFS($AS$7:$AS$1570,$BR$7:$BR$1570,BR1007,$AV$7:$AV$1570,"&gt;"&amp;AV1007)+SUMIFS($AS$7:$AS$1570,$BR$7:$BR$1570,BR1007,$AV$7:$AV$1570,AV1007,$BL$7:$BL$1570,"&lt;="&amp;BL1007),"")</f>
        <v/>
      </c>
      <c r="AX1007" s="65">
        <f>IF(AW1007="",0,MAX(0,MIN(1,(IF(BR1007="L1",Parameter!$K$5,Parameter!$K$6+Parameter!$K$7)-(AW1007-AS1007))/AS1007)))</f>
        <v/>
      </c>
      <c r="AY1007" s="53">
        <f>IF(AC1007&lt;=0,"",IF(BR1007="Aussen","Aussenlager",IF(BR1007="-","Nicht im Lift",IF(AH1007&gt;=1,"Lift",IF(AH1007&lt;=0,"Aussenlager","teilweise")))))</f>
        <v/>
      </c>
      <c r="AZ1007" s="53">
        <f>IF(AK1007&lt;=0,"",IF(BR1007="Aussen","Aussenlager",IF(BR1007="-","Nicht im Lift",IF(AP1007&gt;=1,"Lift",IF(AP1007&lt;=0,"Aussenlager","teilweise")))))</f>
        <v/>
      </c>
      <c r="BA1007" s="53">
        <f>IF(AS1007&lt;=0,"",IF(BR1007="Aussen","Aussenlager",IF(BR1007="-","Nicht im Lift",IF(AX1007&gt;=1,"Lift",IF(AX1007&lt;=0,"Aussenlager","teilweise")))))</f>
        <v/>
      </c>
      <c r="BB1007" s="53">
        <f>IF(A1007="","",IF(BK1007=1,"Neu; ","")&amp;IF(AND(BK1007=0,BF1007&lt;0),"negativer Bestand (Export "&amp;BF1007&amp;"); ","")&amp;IF(I1007&lt;=0,"Kein Verbrauch; ","")&amp;IF(BO1007=1,"Lose – Fläche geschätzt; ","")&amp;IF(G1007&gt;AM1007,"Überbestand "&amp;ROUND(G1007-AM1007,0)&amp;" Stk / CHF "&amp;ROUND((G1007-AM1007)*F1007,0)&amp;"; ","")&amp;IF(AND(BT1007=1,BU1007&lt;BV1007),"MAX &lt; MB+LG; ","")&amp;IF(AND(BZ1007&gt;0,BY1007*10&gt;BZ1007),"zu hoch für Tablar; ","")&amp;IF(AND(BK1007=0,OR(BT1007=1,V1007&lt;&gt;"",S1007&lt;&gt;"",T1007&lt;&gt;"",W1007&lt;&gt;"")),"manuell übersteuert; ","")&amp;IF(AND(BO1007=0,Q1007=0),"Gebinde unbekannt; ","")&amp;IF(AND(BO1007=0,N(T1007)&lt;=0,N(P1007)&lt;=0),"Menge pro Gebinde fehlt (Ist = 1 Gebinde); ","")&amp;BJ1007)</f>
        <v/>
      </c>
      <c r="BC1007" s="53" t="n"/>
      <c r="BD1007" s="53" t="n"/>
      <c r="BE1007" s="61" t="n"/>
      <c r="BF1007" s="55" t="n">
        <v>-16</v>
      </c>
      <c r="BG1007" s="55" t="n">
        <v>58</v>
      </c>
      <c r="BH1007" s="54" t="n">
        <v>-105.2400000000002</v>
      </c>
      <c r="BI1007" s="55" t="n">
        <v>103</v>
      </c>
      <c r="BJ1007" s="53" t="inlineStr"/>
      <c r="BK1007" s="58" t="n">
        <v>0</v>
      </c>
      <c r="BL1007" s="58" t="n">
        <v>1007</v>
      </c>
      <c r="BM1007" s="53">
        <f>IF(S1007&lt;&gt;"",UPPER(TRIM(S1007)),IF(O1007="","LOSE",O1007))</f>
        <v/>
      </c>
      <c r="BN1007" s="55">
        <f>IF(BM1007="LOSE",1,IF(N(T1007)&gt;0,T1007,IF(N(P1007)&gt;0,P1007,MAX(1,G1007))))</f>
        <v/>
      </c>
      <c r="BO1007" s="58">
        <f>IF(BM1007="LOSE",1,0)</f>
        <v/>
      </c>
      <c r="BP1007" s="64">
        <f>IF(BO1007=0,0,IF(N(R1007)&gt;0,R1007,IFERROR(VLOOKUP(D1007,Parameter!$A$35:$C$64,3,0)+0,0)))</f>
        <v/>
      </c>
      <c r="BQ1007" s="53">
        <f>IF(V1007&lt;&gt;"",V1007,U1007)</f>
        <v/>
      </c>
      <c r="BR1007" s="53">
        <f>IF(BQ1007=1,"L1",IF(OR(BQ1007=2,BQ1007=3),"L23",IF(BQ1007="Aussen","Aussen","-")))</f>
        <v/>
      </c>
      <c r="BS1007" s="66">
        <f>IF(N(W1007)&gt;0,W1007,0)</f>
        <v/>
      </c>
      <c r="BT1007" s="58">
        <f>IF(ISNUMBER(Z1007),1,0)</f>
        <v/>
      </c>
      <c r="BU1007" s="55">
        <f>N(Z1007)</f>
        <v/>
      </c>
      <c r="BV1007" s="55">
        <f>N(L1007)+N(M1007)</f>
        <v/>
      </c>
      <c r="BW1007" s="55">
        <f>ROUNDUP(G1007/BN1007,0)</f>
        <v/>
      </c>
      <c r="BX1007" s="55">
        <f>ROUNDUP(BU1007/BN1007,0)</f>
        <v/>
      </c>
      <c r="BY1007" s="58">
        <f>IF(BO1007=1,0,IFERROR(VLOOKUP(BM1007,'Gebinde-Kategorie'!$A$5:$G$45,5,0)+0,0))</f>
        <v/>
      </c>
      <c r="BZ1007" s="58">
        <f>IFERROR(IF(OR(BQ1007=1,BQ1007=2,BQ1007=3),N(INDEX(Parameter!$I$5:$I$7,BQ1007)),0),0)</f>
        <v/>
      </c>
    </row>
    <row r="1008">
      <c r="A1008" s="53" t="inlineStr">
        <is>
          <t>OC-103382</t>
        </is>
      </c>
      <c r="B1008" s="53" t="inlineStr">
        <is>
          <t>Kranbahn-Profil</t>
        </is>
      </c>
      <c r="C1008" s="53" t="inlineStr">
        <is>
          <t>F</t>
        </is>
      </c>
      <c r="D1008" s="53" t="inlineStr">
        <is>
          <t>OCC</t>
        </is>
      </c>
      <c r="E1008" s="53" t="inlineStr">
        <is>
          <t>C</t>
        </is>
      </c>
      <c r="F1008" s="54" t="n">
        <v>106.63</v>
      </c>
      <c r="G1008" s="55">
        <f>MAX(0,IF(Parameter!$B$20="Jahresanfang 2025 + Export",BG1008+BF1008,BF1008))</f>
        <v/>
      </c>
      <c r="H1008" s="55">
        <f>G1008*F1008</f>
        <v/>
      </c>
      <c r="I1008" s="55">
        <f>BI1008*Parameter!$B$18</f>
        <v/>
      </c>
      <c r="J1008" s="56" t="n">
        <v>0.5</v>
      </c>
      <c r="K1008" s="57" t="n">
        <v>0</v>
      </c>
      <c r="L1008" s="55" t="n">
        <v>0</v>
      </c>
      <c r="M1008" s="55" t="n">
        <v>0</v>
      </c>
      <c r="N1008" s="58" t="n">
        <v>28</v>
      </c>
      <c r="O1008" s="53" t="inlineStr">
        <is>
          <t>LOSE</t>
        </is>
      </c>
      <c r="P1008" s="55" t="n"/>
      <c r="Q1008" s="59">
        <f>IF(BO1008=1,0,IFERROR(VLOOKUP(BM1008,'Gebinde-Kategorie'!$A$5:$G$45,6,0)+0,0))</f>
        <v/>
      </c>
      <c r="R1008" s="60" t="n"/>
      <c r="S1008" s="61" t="n"/>
      <c r="T1008" s="61" t="n"/>
      <c r="U1008" s="53">
        <f>IF(A1008="","",IF(IFERROR(VLOOKUP(D1008,Parameter!$A$35:$C$64,2,0),"Nein")="2+3",IF(ISNUMBER(SEARCH("grosser Artikel",BJ1008)),2,IFERROR(VLOOKUP(BM1008,Parameter!$F$35:$G$64,2,0),2)),IF(OR(IFERROR(VLOOKUP(D1008,Parameter!$A$35:$C$64,2,0),"Nein")="Nein",IFERROR(VLOOKUP(D1008,Parameter!$A$35:$C$64,2,0),"Nein")=""),"-",VLOOKUP(D1008,Parameter!$A$35:$C$64,2,0))))</f>
        <v/>
      </c>
      <c r="V1008" s="61" t="n"/>
      <c r="W1008" s="62" t="n"/>
      <c r="X1008" s="55">
        <f>AM1008</f>
        <v/>
      </c>
      <c r="Y1008" s="55">
        <f>MAX(AM1008,G1008)</f>
        <v/>
      </c>
      <c r="Z1008" s="63" t="n"/>
      <c r="AA1008" s="55">
        <f>IF(LEFT(Cockpit!$C$5,1)="A",G1008,IF(BT1008=1,BU1008,IF(LEFT(Cockpit!$C$5,1)="B",AE1008,MAX(AE1008,G1008))))</f>
        <v/>
      </c>
      <c r="AB1008" s="55">
        <f>IF(BO1008=1,0,ROUNDUP(AA1008/BN1008,0))</f>
        <v/>
      </c>
      <c r="AC1008" s="64">
        <f>IF(BO1008=1,IF(AA1008&lt;=0,0,BP1008*MAX(1,IF(G1008&gt;0,AA1008/G1008,1))),AB1008*Q1008)</f>
        <v/>
      </c>
      <c r="AD1008" s="55">
        <f>AA1008*F1008</f>
        <v/>
      </c>
      <c r="AE1008" s="55">
        <f>ROUNDUP(MAX(I1008/IF(BS1008&gt;0,BS1008,MAX(0.1,N(Cockpit!$C$6))),BV1008)/BN1008,0)*BN1008</f>
        <v/>
      </c>
      <c r="AF1008" s="56">
        <f>IF(AC1008&gt;0,I1008/AC1008,-1)</f>
        <v/>
      </c>
      <c r="AG1008" s="56">
        <f>IF(AND(OR(BR1008="L1",BR1008="L23"),AC1008&gt;0),SUMIFS($AC$7:$AC$1570,$BR$7:$BR$1570,BR1008,$AF$7:$AF$1570,"&gt;"&amp;AF1008)+SUMIFS($AC$7:$AC$1570,$BR$7:$BR$1570,BR1008,$AF$7:$AF$1570,AF1008,$BL$7:$BL$1570,"&lt;="&amp;BL1008),"")</f>
        <v/>
      </c>
      <c r="AH1008" s="65">
        <f>IF(AG1008="",0,MAX(0,MIN(1,(IF(BR1008="L1",Parameter!$K$5,Parameter!$K$6+Parameter!$K$7)-(AG1008-AC1008))/AC1008)))</f>
        <v/>
      </c>
      <c r="AI1008" s="55">
        <f>IF(LEFT(Cockpit!$I$5,1)="A",G1008,IF(BT1008=1,BU1008,IF(LEFT(Cockpit!$I$5,1)="B",AM1008,MAX(AM1008,G1008))))</f>
        <v/>
      </c>
      <c r="AJ1008" s="55">
        <f>IF(BO1008=1,0,ROUNDUP(AI1008/BN1008,0))</f>
        <v/>
      </c>
      <c r="AK1008" s="64">
        <f>IF(BO1008=1,IF(AI1008&lt;=0,0,BP1008*MAX(1,IF(G1008&gt;0,AI1008/G1008,1))),AJ1008*Q1008)</f>
        <v/>
      </c>
      <c r="AL1008" s="55">
        <f>AI1008*F1008</f>
        <v/>
      </c>
      <c r="AM1008" s="55">
        <f>ROUNDUP(MAX(I1008/IF(BS1008&gt;0,BS1008,MAX(0.1,N(Cockpit!$I$6))),BV1008)/BN1008,0)*BN1008</f>
        <v/>
      </c>
      <c r="AN1008" s="56">
        <f>IF(AK1008&gt;0,I1008/AK1008,-1)</f>
        <v/>
      </c>
      <c r="AO1008" s="56">
        <f>IF(AND(OR(BR1008="L1",BR1008="L23"),AK1008&gt;0),SUMIFS($AK$7:$AK$1570,$BR$7:$BR$1570,BR1008,$AN$7:$AN$1570,"&gt;"&amp;AN1008)+SUMIFS($AK$7:$AK$1570,$BR$7:$BR$1570,BR1008,$AN$7:$AN$1570,AN1008,$BL$7:$BL$1570,"&lt;="&amp;BL1008),"")</f>
        <v/>
      </c>
      <c r="AP1008" s="65">
        <f>IF(AO1008="",0,MAX(0,MIN(1,(IF(BR1008="L1",Parameter!$K$5,Parameter!$K$6+Parameter!$K$7)-(AO1008-AK1008))/AK1008)))</f>
        <v/>
      </c>
      <c r="AQ1008" s="55">
        <f>IF(LEFT(Cockpit!$O$5,1)="A",G1008,IF(BT1008=1,BU1008,IF(LEFT(Cockpit!$O$5,1)="B",AU1008,MAX(AU1008,G1008))))</f>
        <v/>
      </c>
      <c r="AR1008" s="55">
        <f>IF(BO1008=1,0,ROUNDUP(AQ1008/BN1008,0))</f>
        <v/>
      </c>
      <c r="AS1008" s="64">
        <f>IF(BO1008=1,IF(AQ1008&lt;=0,0,BP1008*MAX(1,IF(G1008&gt;0,AQ1008/G1008,1))),AR1008*Q1008)</f>
        <v/>
      </c>
      <c r="AT1008" s="55">
        <f>AQ1008*F1008</f>
        <v/>
      </c>
      <c r="AU1008" s="55">
        <f>ROUNDUP(MAX(I1008/IF(BS1008&gt;0,BS1008,MAX(0.1,N(Cockpit!$O$6))),BV1008)/BN1008,0)*BN1008</f>
        <v/>
      </c>
      <c r="AV1008" s="56">
        <f>IF(AS1008&gt;0,I1008/AS1008,-1)</f>
        <v/>
      </c>
      <c r="AW1008" s="56">
        <f>IF(AND(OR(BR1008="L1",BR1008="L23"),AS1008&gt;0),SUMIFS($AS$7:$AS$1570,$BR$7:$BR$1570,BR1008,$AV$7:$AV$1570,"&gt;"&amp;AV1008)+SUMIFS($AS$7:$AS$1570,$BR$7:$BR$1570,BR1008,$AV$7:$AV$1570,AV1008,$BL$7:$BL$1570,"&lt;="&amp;BL1008),"")</f>
        <v/>
      </c>
      <c r="AX1008" s="65">
        <f>IF(AW1008="",0,MAX(0,MIN(1,(IF(BR1008="L1",Parameter!$K$5,Parameter!$K$6+Parameter!$K$7)-(AW1008-AS1008))/AS1008)))</f>
        <v/>
      </c>
      <c r="AY1008" s="53">
        <f>IF(AC1008&lt;=0,"",IF(BR1008="Aussen","Aussenlager",IF(BR1008="-","Nicht im Lift",IF(AH1008&gt;=1,"Lift",IF(AH1008&lt;=0,"Aussenlager","teilweise")))))</f>
        <v/>
      </c>
      <c r="AZ1008" s="53">
        <f>IF(AK1008&lt;=0,"",IF(BR1008="Aussen","Aussenlager",IF(BR1008="-","Nicht im Lift",IF(AP1008&gt;=1,"Lift",IF(AP1008&lt;=0,"Aussenlager","teilweise")))))</f>
        <v/>
      </c>
      <c r="BA1008" s="53">
        <f>IF(AS1008&lt;=0,"",IF(BR1008="Aussen","Aussenlager",IF(BR1008="-","Nicht im Lift",IF(AX1008&gt;=1,"Lift",IF(AX1008&lt;=0,"Aussenlager","teilweise")))))</f>
        <v/>
      </c>
      <c r="BB1008" s="53">
        <f>IF(A1008="","",IF(BK1008=1,"Neu; ","")&amp;IF(AND(BK1008=0,BF1008&lt;0),"negativer Bestand (Export "&amp;BF1008&amp;"); ","")&amp;IF(I1008&lt;=0,"Kein Verbrauch; ","")&amp;IF(BO1008=1,"Lose – Fläche geschätzt; ","")&amp;IF(G1008&gt;AM1008,"Überbestand "&amp;ROUND(G1008-AM1008,0)&amp;" Stk / CHF "&amp;ROUND((G1008-AM1008)*F1008,0)&amp;"; ","")&amp;IF(AND(BT1008=1,BU1008&lt;BV1008),"MAX &lt; MB+LG; ","")&amp;IF(AND(BZ1008&gt;0,BY1008*10&gt;BZ1008),"zu hoch für Tablar; ","")&amp;IF(AND(BK1008=0,OR(BT1008=1,V1008&lt;&gt;"",S1008&lt;&gt;"",T1008&lt;&gt;"",W1008&lt;&gt;"")),"manuell übersteuert; ","")&amp;IF(AND(BO1008=0,Q1008=0),"Gebinde unbekannt; ","")&amp;IF(AND(BO1008=0,N(T1008)&lt;=0,N(P1008)&lt;=0),"Menge pro Gebinde fehlt (Ist = 1 Gebinde); ","")&amp;BJ1008)</f>
        <v/>
      </c>
      <c r="BC1008" s="53" t="n"/>
      <c r="BD1008" s="53" t="n"/>
      <c r="BE1008" s="61" t="n"/>
      <c r="BF1008" s="55" t="n">
        <v>-1</v>
      </c>
      <c r="BG1008" s="55" t="n">
        <v>1</v>
      </c>
      <c r="BH1008" s="54" t="n">
        <v>-106.63</v>
      </c>
      <c r="BI1008" s="55" t="n">
        <v>0</v>
      </c>
      <c r="BJ1008" s="53" t="inlineStr"/>
      <c r="BK1008" s="58" t="n">
        <v>0</v>
      </c>
      <c r="BL1008" s="58" t="n">
        <v>1008</v>
      </c>
      <c r="BM1008" s="53">
        <f>IF(S1008&lt;&gt;"",UPPER(TRIM(S1008)),IF(O1008="","LOSE",O1008))</f>
        <v/>
      </c>
      <c r="BN1008" s="55">
        <f>IF(BM1008="LOSE",1,IF(N(T1008)&gt;0,T1008,IF(N(P1008)&gt;0,P1008,MAX(1,G1008))))</f>
        <v/>
      </c>
      <c r="BO1008" s="58">
        <f>IF(BM1008="LOSE",1,0)</f>
        <v/>
      </c>
      <c r="BP1008" s="64">
        <f>IF(BO1008=0,0,IF(N(R1008)&gt;0,R1008,IFERROR(VLOOKUP(D1008,Parameter!$A$35:$C$64,3,0)+0,0)))</f>
        <v/>
      </c>
      <c r="BQ1008" s="53">
        <f>IF(V1008&lt;&gt;"",V1008,U1008)</f>
        <v/>
      </c>
      <c r="BR1008" s="53">
        <f>IF(BQ1008=1,"L1",IF(OR(BQ1008=2,BQ1008=3),"L23",IF(BQ1008="Aussen","Aussen","-")))</f>
        <v/>
      </c>
      <c r="BS1008" s="66">
        <f>IF(N(W1008)&gt;0,W1008,0)</f>
        <v/>
      </c>
      <c r="BT1008" s="58">
        <f>IF(ISNUMBER(Z1008),1,0)</f>
        <v/>
      </c>
      <c r="BU1008" s="55">
        <f>N(Z1008)</f>
        <v/>
      </c>
      <c r="BV1008" s="55">
        <f>N(L1008)+N(M1008)</f>
        <v/>
      </c>
      <c r="BW1008" s="55">
        <f>ROUNDUP(G1008/BN1008,0)</f>
        <v/>
      </c>
      <c r="BX1008" s="55">
        <f>ROUNDUP(BU1008/BN1008,0)</f>
        <v/>
      </c>
      <c r="BY1008" s="58">
        <f>IF(BO1008=1,0,IFERROR(VLOOKUP(BM1008,'Gebinde-Kategorie'!$A$5:$G$45,5,0)+0,0))</f>
        <v/>
      </c>
      <c r="BZ1008" s="58">
        <f>IFERROR(IF(OR(BQ1008=1,BQ1008=2,BQ1008=3),N(INDEX(Parameter!$I$5:$I$7,BQ1008)),0),0)</f>
        <v/>
      </c>
    </row>
    <row r="1009">
      <c r="A1009" s="53" t="inlineStr">
        <is>
          <t>109152</t>
        </is>
      </c>
      <c r="B1009" s="53" t="inlineStr">
        <is>
          <t>Verteilerblock</t>
        </is>
      </c>
      <c r="C1009" s="53" t="inlineStr">
        <is>
          <t>F</t>
        </is>
      </c>
      <c r="D1009" s="53" t="inlineStr">
        <is>
          <t>KTL</t>
        </is>
      </c>
      <c r="E1009" s="53" t="inlineStr">
        <is>
          <t>C</t>
        </is>
      </c>
      <c r="F1009" s="54" t="n">
        <v>106.76</v>
      </c>
      <c r="G1009" s="55">
        <f>MAX(0,IF(Parameter!$B$20="Jahresanfang 2025 + Export",BG1009+BF1009,BF1009))</f>
        <v/>
      </c>
      <c r="H1009" s="55">
        <f>G1009*F1009</f>
        <v/>
      </c>
      <c r="I1009" s="55">
        <f>BI1009*Parameter!$B$18</f>
        <v/>
      </c>
      <c r="J1009" s="56" t="n">
        <v>7</v>
      </c>
      <c r="K1009" s="57" t="n">
        <v>0</v>
      </c>
      <c r="L1009" s="55" t="n">
        <v>0</v>
      </c>
      <c r="M1009" s="55" t="n">
        <v>1</v>
      </c>
      <c r="N1009" s="58" t="n">
        <v>35</v>
      </c>
      <c r="O1009" s="53" t="inlineStr">
        <is>
          <t>LOSE</t>
        </is>
      </c>
      <c r="P1009" s="55" t="n"/>
      <c r="Q1009" s="59">
        <f>IF(BO1009=1,0,IFERROR(VLOOKUP(BM1009,'Gebinde-Kategorie'!$A$5:$G$45,6,0)+0,0))</f>
        <v/>
      </c>
      <c r="R1009" s="60" t="n"/>
      <c r="S1009" s="61" t="n"/>
      <c r="T1009" s="61" t="n"/>
      <c r="U1009" s="53">
        <f>IF(A1009="","",IF(IFERROR(VLOOKUP(D1009,Parameter!$A$35:$C$64,2,0),"Nein")="2+3",IF(ISNUMBER(SEARCH("grosser Artikel",BJ1009)),2,IFERROR(VLOOKUP(BM1009,Parameter!$F$35:$G$64,2,0),2)),IF(OR(IFERROR(VLOOKUP(D1009,Parameter!$A$35:$C$64,2,0),"Nein")="Nein",IFERROR(VLOOKUP(D1009,Parameter!$A$35:$C$64,2,0),"Nein")=""),"-",VLOOKUP(D1009,Parameter!$A$35:$C$64,2,0))))</f>
        <v/>
      </c>
      <c r="V1009" s="61" t="n"/>
      <c r="W1009" s="62" t="n"/>
      <c r="X1009" s="55">
        <f>AM1009</f>
        <v/>
      </c>
      <c r="Y1009" s="55">
        <f>MAX(AM1009,G1009)</f>
        <v/>
      </c>
      <c r="Z1009" s="63" t="n"/>
      <c r="AA1009" s="55">
        <f>IF(LEFT(Cockpit!$C$5,1)="A",G1009,IF(BT1009=1,BU1009,IF(LEFT(Cockpit!$C$5,1)="B",AE1009,MAX(AE1009,G1009))))</f>
        <v/>
      </c>
      <c r="AB1009" s="55">
        <f>IF(BO1009=1,0,ROUNDUP(AA1009/BN1009,0))</f>
        <v/>
      </c>
      <c r="AC1009" s="64">
        <f>IF(BO1009=1,IF(AA1009&lt;=0,0,BP1009*MAX(1,IF(G1009&gt;0,AA1009/G1009,1))),AB1009*Q1009)</f>
        <v/>
      </c>
      <c r="AD1009" s="55">
        <f>AA1009*F1009</f>
        <v/>
      </c>
      <c r="AE1009" s="55">
        <f>ROUNDUP(MAX(I1009/IF(BS1009&gt;0,BS1009,MAX(0.1,N(Cockpit!$C$6))),BV1009)/BN1009,0)*BN1009</f>
        <v/>
      </c>
      <c r="AF1009" s="56">
        <f>IF(AC1009&gt;0,I1009/AC1009,-1)</f>
        <v/>
      </c>
      <c r="AG1009" s="56">
        <f>IF(AND(OR(BR1009="L1",BR1009="L23"),AC1009&gt;0),SUMIFS($AC$7:$AC$1570,$BR$7:$BR$1570,BR1009,$AF$7:$AF$1570,"&gt;"&amp;AF1009)+SUMIFS($AC$7:$AC$1570,$BR$7:$BR$1570,BR1009,$AF$7:$AF$1570,AF1009,$BL$7:$BL$1570,"&lt;="&amp;BL1009),"")</f>
        <v/>
      </c>
      <c r="AH1009" s="65">
        <f>IF(AG1009="",0,MAX(0,MIN(1,(IF(BR1009="L1",Parameter!$K$5,Parameter!$K$6+Parameter!$K$7)-(AG1009-AC1009))/AC1009)))</f>
        <v/>
      </c>
      <c r="AI1009" s="55">
        <f>IF(LEFT(Cockpit!$I$5,1)="A",G1009,IF(BT1009=1,BU1009,IF(LEFT(Cockpit!$I$5,1)="B",AM1009,MAX(AM1009,G1009))))</f>
        <v/>
      </c>
      <c r="AJ1009" s="55">
        <f>IF(BO1009=1,0,ROUNDUP(AI1009/BN1009,0))</f>
        <v/>
      </c>
      <c r="AK1009" s="64">
        <f>IF(BO1009=1,IF(AI1009&lt;=0,0,BP1009*MAX(1,IF(G1009&gt;0,AI1009/G1009,1))),AJ1009*Q1009)</f>
        <v/>
      </c>
      <c r="AL1009" s="55">
        <f>AI1009*F1009</f>
        <v/>
      </c>
      <c r="AM1009" s="55">
        <f>ROUNDUP(MAX(I1009/IF(BS1009&gt;0,BS1009,MAX(0.1,N(Cockpit!$I$6))),BV1009)/BN1009,0)*BN1009</f>
        <v/>
      </c>
      <c r="AN1009" s="56">
        <f>IF(AK1009&gt;0,I1009/AK1009,-1)</f>
        <v/>
      </c>
      <c r="AO1009" s="56">
        <f>IF(AND(OR(BR1009="L1",BR1009="L23"),AK1009&gt;0),SUMIFS($AK$7:$AK$1570,$BR$7:$BR$1570,BR1009,$AN$7:$AN$1570,"&gt;"&amp;AN1009)+SUMIFS($AK$7:$AK$1570,$BR$7:$BR$1570,BR1009,$AN$7:$AN$1570,AN1009,$BL$7:$BL$1570,"&lt;="&amp;BL1009),"")</f>
        <v/>
      </c>
      <c r="AP1009" s="65">
        <f>IF(AO1009="",0,MAX(0,MIN(1,(IF(BR1009="L1",Parameter!$K$5,Parameter!$K$6+Parameter!$K$7)-(AO1009-AK1009))/AK1009)))</f>
        <v/>
      </c>
      <c r="AQ1009" s="55">
        <f>IF(LEFT(Cockpit!$O$5,1)="A",G1009,IF(BT1009=1,BU1009,IF(LEFT(Cockpit!$O$5,1)="B",AU1009,MAX(AU1009,G1009))))</f>
        <v/>
      </c>
      <c r="AR1009" s="55">
        <f>IF(BO1009=1,0,ROUNDUP(AQ1009/BN1009,0))</f>
        <v/>
      </c>
      <c r="AS1009" s="64">
        <f>IF(BO1009=1,IF(AQ1009&lt;=0,0,BP1009*MAX(1,IF(G1009&gt;0,AQ1009/G1009,1))),AR1009*Q1009)</f>
        <v/>
      </c>
      <c r="AT1009" s="55">
        <f>AQ1009*F1009</f>
        <v/>
      </c>
      <c r="AU1009" s="55">
        <f>ROUNDUP(MAX(I1009/IF(BS1009&gt;0,BS1009,MAX(0.1,N(Cockpit!$O$6))),BV1009)/BN1009,0)*BN1009</f>
        <v/>
      </c>
      <c r="AV1009" s="56">
        <f>IF(AS1009&gt;0,I1009/AS1009,-1)</f>
        <v/>
      </c>
      <c r="AW1009" s="56">
        <f>IF(AND(OR(BR1009="L1",BR1009="L23"),AS1009&gt;0),SUMIFS($AS$7:$AS$1570,$BR$7:$BR$1570,BR1009,$AV$7:$AV$1570,"&gt;"&amp;AV1009)+SUMIFS($AS$7:$AS$1570,$BR$7:$BR$1570,BR1009,$AV$7:$AV$1570,AV1009,$BL$7:$BL$1570,"&lt;="&amp;BL1009),"")</f>
        <v/>
      </c>
      <c r="AX1009" s="65">
        <f>IF(AW1009="",0,MAX(0,MIN(1,(IF(BR1009="L1",Parameter!$K$5,Parameter!$K$6+Parameter!$K$7)-(AW1009-AS1009))/AS1009)))</f>
        <v/>
      </c>
      <c r="AY1009" s="53">
        <f>IF(AC1009&lt;=0,"",IF(BR1009="Aussen","Aussenlager",IF(BR1009="-","Nicht im Lift",IF(AH1009&gt;=1,"Lift",IF(AH1009&lt;=0,"Aussenlager","teilweise")))))</f>
        <v/>
      </c>
      <c r="AZ1009" s="53">
        <f>IF(AK1009&lt;=0,"",IF(BR1009="Aussen","Aussenlager",IF(BR1009="-","Nicht im Lift",IF(AP1009&gt;=1,"Lift",IF(AP1009&lt;=0,"Aussenlager","teilweise")))))</f>
        <v/>
      </c>
      <c r="BA1009" s="53">
        <f>IF(AS1009&lt;=0,"",IF(BR1009="Aussen","Aussenlager",IF(BR1009="-","Nicht im Lift",IF(AX1009&gt;=1,"Lift",IF(AX1009&lt;=0,"Aussenlager","teilweise")))))</f>
        <v/>
      </c>
      <c r="BB1009" s="53">
        <f>IF(A1009="","",IF(BK1009=1,"Neu; ","")&amp;IF(AND(BK1009=0,BF1009&lt;0),"negativer Bestand (Export "&amp;BF1009&amp;"); ","")&amp;IF(I1009&lt;=0,"Kein Verbrauch; ","")&amp;IF(BO1009=1,"Lose – Fläche geschätzt; ","")&amp;IF(G1009&gt;AM1009,"Überbestand "&amp;ROUND(G1009-AM1009,0)&amp;" Stk / CHF "&amp;ROUND((G1009-AM1009)*F1009,0)&amp;"; ","")&amp;IF(AND(BT1009=1,BU1009&lt;BV1009),"MAX &lt; MB+LG; ","")&amp;IF(AND(BZ1009&gt;0,BY1009*10&gt;BZ1009),"zu hoch für Tablar; ","")&amp;IF(AND(BK1009=0,OR(BT1009=1,V1009&lt;&gt;"",S1009&lt;&gt;"",T1009&lt;&gt;"",W1009&lt;&gt;"")),"manuell übersteuert; ","")&amp;IF(AND(BO1009=0,Q1009=0),"Gebinde unbekannt; ","")&amp;IF(AND(BO1009=0,N(T1009)&lt;=0,N(P1009)&lt;=0),"Menge pro Gebinde fehlt (Ist = 1 Gebinde); ","")&amp;BJ1009)</f>
        <v/>
      </c>
      <c r="BC1009" s="53" t="n"/>
      <c r="BD1009" s="53" t="n"/>
      <c r="BE1009" s="61" t="n"/>
      <c r="BF1009" s="55" t="n">
        <v>-1</v>
      </c>
      <c r="BG1009" s="55" t="n">
        <v>7</v>
      </c>
      <c r="BH1009" s="54" t="n">
        <v>-106.76</v>
      </c>
      <c r="BI1009" s="55" t="n">
        <v>0</v>
      </c>
      <c r="BJ1009" s="53" t="inlineStr"/>
      <c r="BK1009" s="58" t="n">
        <v>0</v>
      </c>
      <c r="BL1009" s="58" t="n">
        <v>1009</v>
      </c>
      <c r="BM1009" s="53">
        <f>IF(S1009&lt;&gt;"",UPPER(TRIM(S1009)),IF(O1009="","LOSE",O1009))</f>
        <v/>
      </c>
      <c r="BN1009" s="55">
        <f>IF(BM1009="LOSE",1,IF(N(T1009)&gt;0,T1009,IF(N(P1009)&gt;0,P1009,MAX(1,G1009))))</f>
        <v/>
      </c>
      <c r="BO1009" s="58">
        <f>IF(BM1009="LOSE",1,0)</f>
        <v/>
      </c>
      <c r="BP1009" s="64">
        <f>IF(BO1009=0,0,IF(N(R1009)&gt;0,R1009,IFERROR(VLOOKUP(D1009,Parameter!$A$35:$C$64,3,0)+0,0)))</f>
        <v/>
      </c>
      <c r="BQ1009" s="53">
        <f>IF(V1009&lt;&gt;"",V1009,U1009)</f>
        <v/>
      </c>
      <c r="BR1009" s="53">
        <f>IF(BQ1009=1,"L1",IF(OR(BQ1009=2,BQ1009=3),"L23",IF(BQ1009="Aussen","Aussen","-")))</f>
        <v/>
      </c>
      <c r="BS1009" s="66">
        <f>IF(N(W1009)&gt;0,W1009,0)</f>
        <v/>
      </c>
      <c r="BT1009" s="58">
        <f>IF(ISNUMBER(Z1009),1,0)</f>
        <v/>
      </c>
      <c r="BU1009" s="55">
        <f>N(Z1009)</f>
        <v/>
      </c>
      <c r="BV1009" s="55">
        <f>N(L1009)+N(M1009)</f>
        <v/>
      </c>
      <c r="BW1009" s="55">
        <f>ROUNDUP(G1009/BN1009,0)</f>
        <v/>
      </c>
      <c r="BX1009" s="55">
        <f>ROUNDUP(BU1009/BN1009,0)</f>
        <v/>
      </c>
      <c r="BY1009" s="58">
        <f>IF(BO1009=1,0,IFERROR(VLOOKUP(BM1009,'Gebinde-Kategorie'!$A$5:$G$45,5,0)+0,0))</f>
        <v/>
      </c>
      <c r="BZ1009" s="58">
        <f>IFERROR(IF(OR(BQ1009=1,BQ1009=2,BQ1009=3),N(INDEX(Parameter!$I$5:$I$7,BQ1009)),0),0)</f>
        <v/>
      </c>
    </row>
    <row r="1010">
      <c r="A1010" s="53" t="inlineStr">
        <is>
          <t>106443</t>
        </is>
      </c>
      <c r="B1010" s="53" t="inlineStr">
        <is>
          <t>Distanzhülse</t>
        </is>
      </c>
      <c r="C1010" s="53" t="inlineStr">
        <is>
          <t>F</t>
        </is>
      </c>
      <c r="D1010" s="53" t="inlineStr">
        <is>
          <t>KTL</t>
        </is>
      </c>
      <c r="E1010" s="53" t="inlineStr">
        <is>
          <t>C</t>
        </is>
      </c>
      <c r="F1010" s="54" t="n">
        <v>10.06</v>
      </c>
      <c r="G1010" s="55">
        <f>MAX(0,IF(Parameter!$B$20="Jahresanfang 2025 + Export",BG1010+BF1010,BF1010))</f>
        <v/>
      </c>
      <c r="H1010" s="55">
        <f>G1010*F1010</f>
        <v/>
      </c>
      <c r="I1010" s="55">
        <f>BI1010*Parameter!$B$18</f>
        <v/>
      </c>
      <c r="J1010" s="56" t="n">
        <v>124</v>
      </c>
      <c r="K1010" s="57" t="n">
        <v>1.483870967741935</v>
      </c>
      <c r="L1010" s="55" t="n">
        <v>11</v>
      </c>
      <c r="M1010" s="55" t="n">
        <v>190</v>
      </c>
      <c r="N1010" s="58" t="n">
        <v>21</v>
      </c>
      <c r="O1010" s="53" t="inlineStr">
        <is>
          <t>S52</t>
        </is>
      </c>
      <c r="P1010" s="55" t="n">
        <v>131</v>
      </c>
      <c r="Q1010" s="59">
        <f>IF(BO1010=1,0,IFERROR(VLOOKUP(BM1010,'Gebinde-Kategorie'!$A$5:$G$45,6,0)+0,0))</f>
        <v/>
      </c>
      <c r="R1010" s="60" t="n"/>
      <c r="S1010" s="61" t="n"/>
      <c r="T1010" s="61" t="n"/>
      <c r="U1010" s="53">
        <f>IF(A1010="","",IF(IFERROR(VLOOKUP(D1010,Parameter!$A$35:$C$64,2,0),"Nein")="2+3",IF(ISNUMBER(SEARCH("grosser Artikel",BJ1010)),2,IFERROR(VLOOKUP(BM1010,Parameter!$F$35:$G$64,2,0),2)),IF(OR(IFERROR(VLOOKUP(D1010,Parameter!$A$35:$C$64,2,0),"Nein")="Nein",IFERROR(VLOOKUP(D1010,Parameter!$A$35:$C$64,2,0),"Nein")=""),"-",VLOOKUP(D1010,Parameter!$A$35:$C$64,2,0))))</f>
        <v/>
      </c>
      <c r="V1010" s="61" t="n"/>
      <c r="W1010" s="62" t="n"/>
      <c r="X1010" s="55">
        <f>AM1010</f>
        <v/>
      </c>
      <c r="Y1010" s="55">
        <f>MAX(AM1010,G1010)</f>
        <v/>
      </c>
      <c r="Z1010" s="63" t="n"/>
      <c r="AA1010" s="55">
        <f>IF(LEFT(Cockpit!$C$5,1)="A",G1010,IF(BT1010=1,BU1010,IF(LEFT(Cockpit!$C$5,1)="B",AE1010,MAX(AE1010,G1010))))</f>
        <v/>
      </c>
      <c r="AB1010" s="55">
        <f>IF(BO1010=1,0,ROUNDUP(AA1010/BN1010,0))</f>
        <v/>
      </c>
      <c r="AC1010" s="64">
        <f>IF(BO1010=1,IF(AA1010&lt;=0,0,BP1010*MAX(1,IF(G1010&gt;0,AA1010/G1010,1))),AB1010*Q1010)</f>
        <v/>
      </c>
      <c r="AD1010" s="55">
        <f>AA1010*F1010</f>
        <v/>
      </c>
      <c r="AE1010" s="55">
        <f>ROUNDUP(MAX(I1010/IF(BS1010&gt;0,BS1010,MAX(0.1,N(Cockpit!$C$6))),BV1010)/BN1010,0)*BN1010</f>
        <v/>
      </c>
      <c r="AF1010" s="56">
        <f>IF(AC1010&gt;0,I1010/AC1010,-1)</f>
        <v/>
      </c>
      <c r="AG1010" s="56">
        <f>IF(AND(OR(BR1010="L1",BR1010="L23"),AC1010&gt;0),SUMIFS($AC$7:$AC$1570,$BR$7:$BR$1570,BR1010,$AF$7:$AF$1570,"&gt;"&amp;AF1010)+SUMIFS($AC$7:$AC$1570,$BR$7:$BR$1570,BR1010,$AF$7:$AF$1570,AF1010,$BL$7:$BL$1570,"&lt;="&amp;BL1010),"")</f>
        <v/>
      </c>
      <c r="AH1010" s="65">
        <f>IF(AG1010="",0,MAX(0,MIN(1,(IF(BR1010="L1",Parameter!$K$5,Parameter!$K$6+Parameter!$K$7)-(AG1010-AC1010))/AC1010)))</f>
        <v/>
      </c>
      <c r="AI1010" s="55">
        <f>IF(LEFT(Cockpit!$I$5,1)="A",G1010,IF(BT1010=1,BU1010,IF(LEFT(Cockpit!$I$5,1)="B",AM1010,MAX(AM1010,G1010))))</f>
        <v/>
      </c>
      <c r="AJ1010" s="55">
        <f>IF(BO1010=1,0,ROUNDUP(AI1010/BN1010,0))</f>
        <v/>
      </c>
      <c r="AK1010" s="64">
        <f>IF(BO1010=1,IF(AI1010&lt;=0,0,BP1010*MAX(1,IF(G1010&gt;0,AI1010/G1010,1))),AJ1010*Q1010)</f>
        <v/>
      </c>
      <c r="AL1010" s="55">
        <f>AI1010*F1010</f>
        <v/>
      </c>
      <c r="AM1010" s="55">
        <f>ROUNDUP(MAX(I1010/IF(BS1010&gt;0,BS1010,MAX(0.1,N(Cockpit!$I$6))),BV1010)/BN1010,0)*BN1010</f>
        <v/>
      </c>
      <c r="AN1010" s="56">
        <f>IF(AK1010&gt;0,I1010/AK1010,-1)</f>
        <v/>
      </c>
      <c r="AO1010" s="56">
        <f>IF(AND(OR(BR1010="L1",BR1010="L23"),AK1010&gt;0),SUMIFS($AK$7:$AK$1570,$BR$7:$BR$1570,BR1010,$AN$7:$AN$1570,"&gt;"&amp;AN1010)+SUMIFS($AK$7:$AK$1570,$BR$7:$BR$1570,BR1010,$AN$7:$AN$1570,AN1010,$BL$7:$BL$1570,"&lt;="&amp;BL1010),"")</f>
        <v/>
      </c>
      <c r="AP1010" s="65">
        <f>IF(AO1010="",0,MAX(0,MIN(1,(IF(BR1010="L1",Parameter!$K$5,Parameter!$K$6+Parameter!$K$7)-(AO1010-AK1010))/AK1010)))</f>
        <v/>
      </c>
      <c r="AQ1010" s="55">
        <f>IF(LEFT(Cockpit!$O$5,1)="A",G1010,IF(BT1010=1,BU1010,IF(LEFT(Cockpit!$O$5,1)="B",AU1010,MAX(AU1010,G1010))))</f>
        <v/>
      </c>
      <c r="AR1010" s="55">
        <f>IF(BO1010=1,0,ROUNDUP(AQ1010/BN1010,0))</f>
        <v/>
      </c>
      <c r="AS1010" s="64">
        <f>IF(BO1010=1,IF(AQ1010&lt;=0,0,BP1010*MAX(1,IF(G1010&gt;0,AQ1010/G1010,1))),AR1010*Q1010)</f>
        <v/>
      </c>
      <c r="AT1010" s="55">
        <f>AQ1010*F1010</f>
        <v/>
      </c>
      <c r="AU1010" s="55">
        <f>ROUNDUP(MAX(I1010/IF(BS1010&gt;0,BS1010,MAX(0.1,N(Cockpit!$O$6))),BV1010)/BN1010,0)*BN1010</f>
        <v/>
      </c>
      <c r="AV1010" s="56">
        <f>IF(AS1010&gt;0,I1010/AS1010,-1)</f>
        <v/>
      </c>
      <c r="AW1010" s="56">
        <f>IF(AND(OR(BR1010="L1",BR1010="L23"),AS1010&gt;0),SUMIFS($AS$7:$AS$1570,$BR$7:$BR$1570,BR1010,$AV$7:$AV$1570,"&gt;"&amp;AV1010)+SUMIFS($AS$7:$AS$1570,$BR$7:$BR$1570,BR1010,$AV$7:$AV$1570,AV1010,$BL$7:$BL$1570,"&lt;="&amp;BL1010),"")</f>
        <v/>
      </c>
      <c r="AX1010" s="65">
        <f>IF(AW1010="",0,MAX(0,MIN(1,(IF(BR1010="L1",Parameter!$K$5,Parameter!$K$6+Parameter!$K$7)-(AW1010-AS1010))/AS1010)))</f>
        <v/>
      </c>
      <c r="AY1010" s="53">
        <f>IF(AC1010&lt;=0,"",IF(BR1010="Aussen","Aussenlager",IF(BR1010="-","Nicht im Lift",IF(AH1010&gt;=1,"Lift",IF(AH1010&lt;=0,"Aussenlager","teilweise")))))</f>
        <v/>
      </c>
      <c r="AZ1010" s="53">
        <f>IF(AK1010&lt;=0,"",IF(BR1010="Aussen","Aussenlager",IF(BR1010="-","Nicht im Lift",IF(AP1010&gt;=1,"Lift",IF(AP1010&lt;=0,"Aussenlager","teilweise")))))</f>
        <v/>
      </c>
      <c r="BA1010" s="53">
        <f>IF(AS1010&lt;=0,"",IF(BR1010="Aussen","Aussenlager",IF(BR1010="-","Nicht im Lift",IF(AX1010&gt;=1,"Lift",IF(AX1010&lt;=0,"Aussenlager","teilweise")))))</f>
        <v/>
      </c>
      <c r="BB1010" s="53">
        <f>IF(A1010="","",IF(BK1010=1,"Neu; ","")&amp;IF(AND(BK1010=0,BF1010&lt;0),"negativer Bestand (Export "&amp;BF1010&amp;"); ","")&amp;IF(I1010&lt;=0,"Kein Verbrauch; ","")&amp;IF(BO1010=1,"Lose – Fläche geschätzt; ","")&amp;IF(G1010&gt;AM1010,"Überbestand "&amp;ROUND(G1010-AM1010,0)&amp;" Stk / CHF "&amp;ROUND((G1010-AM1010)*F1010,0)&amp;"; ","")&amp;IF(AND(BT1010=1,BU1010&lt;BV1010),"MAX &lt; MB+LG; ","")&amp;IF(AND(BZ1010&gt;0,BY1010*10&gt;BZ1010),"zu hoch für Tablar; ","")&amp;IF(AND(BK1010=0,OR(BT1010=1,V1010&lt;&gt;"",S1010&lt;&gt;"",T1010&lt;&gt;"",W1010&lt;&gt;"")),"manuell übersteuert; ","")&amp;IF(AND(BO1010=0,Q1010=0),"Gebinde unbekannt; ","")&amp;IF(AND(BO1010=0,N(T1010)&lt;=0,N(P1010)&lt;=0),"Menge pro Gebinde fehlt (Ist = 1 Gebinde); ","")&amp;BJ1010)</f>
        <v/>
      </c>
      <c r="BC1010" s="53" t="n"/>
      <c r="BD1010" s="53" t="n"/>
      <c r="BE1010" s="61" t="n"/>
      <c r="BF1010" s="55" t="n">
        <v>-27</v>
      </c>
      <c r="BG1010" s="55" t="n">
        <v>164</v>
      </c>
      <c r="BH1010" s="54" t="n">
        <v>-107.6199999999988</v>
      </c>
      <c r="BI1010" s="55" t="n">
        <v>184</v>
      </c>
      <c r="BJ1010" s="53" t="inlineStr"/>
      <c r="BK1010" s="58" t="n">
        <v>0</v>
      </c>
      <c r="BL1010" s="58" t="n">
        <v>1010</v>
      </c>
      <c r="BM1010" s="53">
        <f>IF(S1010&lt;&gt;"",UPPER(TRIM(S1010)),IF(O1010="","LOSE",O1010))</f>
        <v/>
      </c>
      <c r="BN1010" s="55">
        <f>IF(BM1010="LOSE",1,IF(N(T1010)&gt;0,T1010,IF(N(P1010)&gt;0,P1010,MAX(1,G1010))))</f>
        <v/>
      </c>
      <c r="BO1010" s="58">
        <f>IF(BM1010="LOSE",1,0)</f>
        <v/>
      </c>
      <c r="BP1010" s="64">
        <f>IF(BO1010=0,0,IF(N(R1010)&gt;0,R1010,IFERROR(VLOOKUP(D1010,Parameter!$A$35:$C$64,3,0)+0,0)))</f>
        <v/>
      </c>
      <c r="BQ1010" s="53">
        <f>IF(V1010&lt;&gt;"",V1010,U1010)</f>
        <v/>
      </c>
      <c r="BR1010" s="53">
        <f>IF(BQ1010=1,"L1",IF(OR(BQ1010=2,BQ1010=3),"L23",IF(BQ1010="Aussen","Aussen","-")))</f>
        <v/>
      </c>
      <c r="BS1010" s="66">
        <f>IF(N(W1010)&gt;0,W1010,0)</f>
        <v/>
      </c>
      <c r="BT1010" s="58">
        <f>IF(ISNUMBER(Z1010),1,0)</f>
        <v/>
      </c>
      <c r="BU1010" s="55">
        <f>N(Z1010)</f>
        <v/>
      </c>
      <c r="BV1010" s="55">
        <f>N(L1010)+N(M1010)</f>
        <v/>
      </c>
      <c r="BW1010" s="55">
        <f>ROUNDUP(G1010/BN1010,0)</f>
        <v/>
      </c>
      <c r="BX1010" s="55">
        <f>ROUNDUP(BU1010/BN1010,0)</f>
        <v/>
      </c>
      <c r="BY1010" s="58">
        <f>IF(BO1010=1,0,IFERROR(VLOOKUP(BM1010,'Gebinde-Kategorie'!$A$5:$G$45,5,0)+0,0))</f>
        <v/>
      </c>
      <c r="BZ1010" s="58">
        <f>IFERROR(IF(OR(BQ1010=1,BQ1010=2,BQ1010=3),N(INDEX(Parameter!$I$5:$I$7,BQ1010)),0),0)</f>
        <v/>
      </c>
    </row>
    <row r="1011">
      <c r="A1011" s="53" t="inlineStr">
        <is>
          <t>005415</t>
        </is>
      </c>
      <c r="B1011" s="53" t="inlineStr">
        <is>
          <t>Deckenlasche</t>
        </is>
      </c>
      <c r="C1011" s="53" t="inlineStr">
        <is>
          <t>F</t>
        </is>
      </c>
      <c r="D1011" s="53" t="inlineStr">
        <is>
          <t>PAL</t>
        </is>
      </c>
      <c r="E1011" s="53" t="inlineStr">
        <is>
          <t>C</t>
        </is>
      </c>
      <c r="F1011" s="54" t="n">
        <v>54.04</v>
      </c>
      <c r="G1011" s="55">
        <f>MAX(0,IF(Parameter!$B$20="Jahresanfang 2025 + Export",BG1011+BF1011,BF1011))</f>
        <v/>
      </c>
      <c r="H1011" s="55">
        <f>G1011*F1011</f>
        <v/>
      </c>
      <c r="I1011" s="55">
        <f>BI1011*Parameter!$B$18</f>
        <v/>
      </c>
      <c r="J1011" s="56" t="n">
        <v>31</v>
      </c>
      <c r="K1011" s="57" t="n">
        <v>0</v>
      </c>
      <c r="L1011" s="55" t="n">
        <v>0</v>
      </c>
      <c r="M1011" s="55" t="n">
        <v>1</v>
      </c>
      <c r="N1011" s="58" t="n">
        <v>42</v>
      </c>
      <c r="O1011" s="53" t="inlineStr">
        <is>
          <t>S62</t>
        </is>
      </c>
      <c r="P1011" s="55" t="n">
        <v>32</v>
      </c>
      <c r="Q1011" s="59">
        <f>IF(BO1011=1,0,IFERROR(VLOOKUP(BM1011,'Gebinde-Kategorie'!$A$5:$G$45,6,0)+0,0))</f>
        <v/>
      </c>
      <c r="R1011" s="60" t="n"/>
      <c r="S1011" s="61" t="n"/>
      <c r="T1011" s="61" t="n"/>
      <c r="U1011" s="53">
        <f>IF(A1011="","",IF(IFERROR(VLOOKUP(D1011,Parameter!$A$35:$C$64,2,0),"Nein")="2+3",IF(ISNUMBER(SEARCH("grosser Artikel",BJ1011)),2,IFERROR(VLOOKUP(BM1011,Parameter!$F$35:$G$64,2,0),2)),IF(OR(IFERROR(VLOOKUP(D1011,Parameter!$A$35:$C$64,2,0),"Nein")="Nein",IFERROR(VLOOKUP(D1011,Parameter!$A$35:$C$64,2,0),"Nein")=""),"-",VLOOKUP(D1011,Parameter!$A$35:$C$64,2,0))))</f>
        <v/>
      </c>
      <c r="V1011" s="61" t="n"/>
      <c r="W1011" s="62" t="n"/>
      <c r="X1011" s="55">
        <f>AM1011</f>
        <v/>
      </c>
      <c r="Y1011" s="55">
        <f>MAX(AM1011,G1011)</f>
        <v/>
      </c>
      <c r="Z1011" s="63" t="n"/>
      <c r="AA1011" s="55">
        <f>IF(LEFT(Cockpit!$C$5,1)="A",G1011,IF(BT1011=1,BU1011,IF(LEFT(Cockpit!$C$5,1)="B",AE1011,MAX(AE1011,G1011))))</f>
        <v/>
      </c>
      <c r="AB1011" s="55">
        <f>IF(BO1011=1,0,ROUNDUP(AA1011/BN1011,0))</f>
        <v/>
      </c>
      <c r="AC1011" s="64">
        <f>IF(BO1011=1,IF(AA1011&lt;=0,0,BP1011*MAX(1,IF(G1011&gt;0,AA1011/G1011,1))),AB1011*Q1011)</f>
        <v/>
      </c>
      <c r="AD1011" s="55">
        <f>AA1011*F1011</f>
        <v/>
      </c>
      <c r="AE1011" s="55">
        <f>ROUNDUP(MAX(I1011/IF(BS1011&gt;0,BS1011,MAX(0.1,N(Cockpit!$C$6))),BV1011)/BN1011,0)*BN1011</f>
        <v/>
      </c>
      <c r="AF1011" s="56">
        <f>IF(AC1011&gt;0,I1011/AC1011,-1)</f>
        <v/>
      </c>
      <c r="AG1011" s="56">
        <f>IF(AND(OR(BR1011="L1",BR1011="L23"),AC1011&gt;0),SUMIFS($AC$7:$AC$1570,$BR$7:$BR$1570,BR1011,$AF$7:$AF$1570,"&gt;"&amp;AF1011)+SUMIFS($AC$7:$AC$1570,$BR$7:$BR$1570,BR1011,$AF$7:$AF$1570,AF1011,$BL$7:$BL$1570,"&lt;="&amp;BL1011),"")</f>
        <v/>
      </c>
      <c r="AH1011" s="65">
        <f>IF(AG1011="",0,MAX(0,MIN(1,(IF(BR1011="L1",Parameter!$K$5,Parameter!$K$6+Parameter!$K$7)-(AG1011-AC1011))/AC1011)))</f>
        <v/>
      </c>
      <c r="AI1011" s="55">
        <f>IF(LEFT(Cockpit!$I$5,1)="A",G1011,IF(BT1011=1,BU1011,IF(LEFT(Cockpit!$I$5,1)="B",AM1011,MAX(AM1011,G1011))))</f>
        <v/>
      </c>
      <c r="AJ1011" s="55">
        <f>IF(BO1011=1,0,ROUNDUP(AI1011/BN1011,0))</f>
        <v/>
      </c>
      <c r="AK1011" s="64">
        <f>IF(BO1011=1,IF(AI1011&lt;=0,0,BP1011*MAX(1,IF(G1011&gt;0,AI1011/G1011,1))),AJ1011*Q1011)</f>
        <v/>
      </c>
      <c r="AL1011" s="55">
        <f>AI1011*F1011</f>
        <v/>
      </c>
      <c r="AM1011" s="55">
        <f>ROUNDUP(MAX(I1011/IF(BS1011&gt;0,BS1011,MAX(0.1,N(Cockpit!$I$6))),BV1011)/BN1011,0)*BN1011</f>
        <v/>
      </c>
      <c r="AN1011" s="56">
        <f>IF(AK1011&gt;0,I1011/AK1011,-1)</f>
        <v/>
      </c>
      <c r="AO1011" s="56">
        <f>IF(AND(OR(BR1011="L1",BR1011="L23"),AK1011&gt;0),SUMIFS($AK$7:$AK$1570,$BR$7:$BR$1570,BR1011,$AN$7:$AN$1570,"&gt;"&amp;AN1011)+SUMIFS($AK$7:$AK$1570,$BR$7:$BR$1570,BR1011,$AN$7:$AN$1570,AN1011,$BL$7:$BL$1570,"&lt;="&amp;BL1011),"")</f>
        <v/>
      </c>
      <c r="AP1011" s="65">
        <f>IF(AO1011="",0,MAX(0,MIN(1,(IF(BR1011="L1",Parameter!$K$5,Parameter!$K$6+Parameter!$K$7)-(AO1011-AK1011))/AK1011)))</f>
        <v/>
      </c>
      <c r="AQ1011" s="55">
        <f>IF(LEFT(Cockpit!$O$5,1)="A",G1011,IF(BT1011=1,BU1011,IF(LEFT(Cockpit!$O$5,1)="B",AU1011,MAX(AU1011,G1011))))</f>
        <v/>
      </c>
      <c r="AR1011" s="55">
        <f>IF(BO1011=1,0,ROUNDUP(AQ1011/BN1011,0))</f>
        <v/>
      </c>
      <c r="AS1011" s="64">
        <f>IF(BO1011=1,IF(AQ1011&lt;=0,0,BP1011*MAX(1,IF(G1011&gt;0,AQ1011/G1011,1))),AR1011*Q1011)</f>
        <v/>
      </c>
      <c r="AT1011" s="55">
        <f>AQ1011*F1011</f>
        <v/>
      </c>
      <c r="AU1011" s="55">
        <f>ROUNDUP(MAX(I1011/IF(BS1011&gt;0,BS1011,MAX(0.1,N(Cockpit!$O$6))),BV1011)/BN1011,0)*BN1011</f>
        <v/>
      </c>
      <c r="AV1011" s="56">
        <f>IF(AS1011&gt;0,I1011/AS1011,-1)</f>
        <v/>
      </c>
      <c r="AW1011" s="56">
        <f>IF(AND(OR(BR1011="L1",BR1011="L23"),AS1011&gt;0),SUMIFS($AS$7:$AS$1570,$BR$7:$BR$1570,BR1011,$AV$7:$AV$1570,"&gt;"&amp;AV1011)+SUMIFS($AS$7:$AS$1570,$BR$7:$BR$1570,BR1011,$AV$7:$AV$1570,AV1011,$BL$7:$BL$1570,"&lt;="&amp;BL1011),"")</f>
        <v/>
      </c>
      <c r="AX1011" s="65">
        <f>IF(AW1011="",0,MAX(0,MIN(1,(IF(BR1011="L1",Parameter!$K$5,Parameter!$K$6+Parameter!$K$7)-(AW1011-AS1011))/AS1011)))</f>
        <v/>
      </c>
      <c r="AY1011" s="53">
        <f>IF(AC1011&lt;=0,"",IF(BR1011="Aussen","Aussenlager",IF(BR1011="-","Nicht im Lift",IF(AH1011&gt;=1,"Lift",IF(AH1011&lt;=0,"Aussenlager","teilweise")))))</f>
        <v/>
      </c>
      <c r="AZ1011" s="53">
        <f>IF(AK1011&lt;=0,"",IF(BR1011="Aussen","Aussenlager",IF(BR1011="-","Nicht im Lift",IF(AP1011&gt;=1,"Lift",IF(AP1011&lt;=0,"Aussenlager","teilweise")))))</f>
        <v/>
      </c>
      <c r="BA1011" s="53">
        <f>IF(AS1011&lt;=0,"",IF(BR1011="Aussen","Aussenlager",IF(BR1011="-","Nicht im Lift",IF(AX1011&gt;=1,"Lift",IF(AX1011&lt;=0,"Aussenlager","teilweise")))))</f>
        <v/>
      </c>
      <c r="BB1011" s="53">
        <f>IF(A1011="","",IF(BK1011=1,"Neu; ","")&amp;IF(AND(BK1011=0,BF1011&lt;0),"negativer Bestand (Export "&amp;BF1011&amp;"); ","")&amp;IF(I1011&lt;=0,"Kein Verbrauch; ","")&amp;IF(BO1011=1,"Lose – Fläche geschätzt; ","")&amp;IF(G1011&gt;AM1011,"Überbestand "&amp;ROUND(G1011-AM1011,0)&amp;" Stk / CHF "&amp;ROUND((G1011-AM1011)*F1011,0)&amp;"; ","")&amp;IF(AND(BT1011=1,BU1011&lt;BV1011),"MAX &lt; MB+LG; ","")&amp;IF(AND(BZ1011&gt;0,BY1011*10&gt;BZ1011),"zu hoch für Tablar; ","")&amp;IF(AND(BK1011=0,OR(BT1011=1,V1011&lt;&gt;"",S1011&lt;&gt;"",T1011&lt;&gt;"",W1011&lt;&gt;"")),"manuell übersteuert; ","")&amp;IF(AND(BO1011=0,Q1011=0),"Gebinde unbekannt; ","")&amp;IF(AND(BO1011=0,N(T1011)&lt;=0,N(P1011)&lt;=0),"Menge pro Gebinde fehlt (Ist = 1 Gebinde); ","")&amp;BJ1011)</f>
        <v/>
      </c>
      <c r="BC1011" s="53" t="n"/>
      <c r="BD1011" s="53" t="n"/>
      <c r="BE1011" s="61" t="n"/>
      <c r="BF1011" s="55" t="n">
        <v>-2</v>
      </c>
      <c r="BG1011" s="55" t="n">
        <v>32</v>
      </c>
      <c r="BH1011" s="54" t="n">
        <v>-108.08</v>
      </c>
      <c r="BI1011" s="55" t="n">
        <v>0</v>
      </c>
      <c r="BJ1011" s="53" t="inlineStr"/>
      <c r="BK1011" s="58" t="n">
        <v>0</v>
      </c>
      <c r="BL1011" s="58" t="n">
        <v>1011</v>
      </c>
      <c r="BM1011" s="53">
        <f>IF(S1011&lt;&gt;"",UPPER(TRIM(S1011)),IF(O1011="","LOSE",O1011))</f>
        <v/>
      </c>
      <c r="BN1011" s="55">
        <f>IF(BM1011="LOSE",1,IF(N(T1011)&gt;0,T1011,IF(N(P1011)&gt;0,P1011,MAX(1,G1011))))</f>
        <v/>
      </c>
      <c r="BO1011" s="58">
        <f>IF(BM1011="LOSE",1,0)</f>
        <v/>
      </c>
      <c r="BP1011" s="64">
        <f>IF(BO1011=0,0,IF(N(R1011)&gt;0,R1011,IFERROR(VLOOKUP(D1011,Parameter!$A$35:$C$64,3,0)+0,0)))</f>
        <v/>
      </c>
      <c r="BQ1011" s="53">
        <f>IF(V1011&lt;&gt;"",V1011,U1011)</f>
        <v/>
      </c>
      <c r="BR1011" s="53">
        <f>IF(BQ1011=1,"L1",IF(OR(BQ1011=2,BQ1011=3),"L23",IF(BQ1011="Aussen","Aussen","-")))</f>
        <v/>
      </c>
      <c r="BS1011" s="66">
        <f>IF(N(W1011)&gt;0,W1011,0)</f>
        <v/>
      </c>
      <c r="BT1011" s="58">
        <f>IF(ISNUMBER(Z1011),1,0)</f>
        <v/>
      </c>
      <c r="BU1011" s="55">
        <f>N(Z1011)</f>
        <v/>
      </c>
      <c r="BV1011" s="55">
        <f>N(L1011)+N(M1011)</f>
        <v/>
      </c>
      <c r="BW1011" s="55">
        <f>ROUNDUP(G1011/BN1011,0)</f>
        <v/>
      </c>
      <c r="BX1011" s="55">
        <f>ROUNDUP(BU1011/BN1011,0)</f>
        <v/>
      </c>
      <c r="BY1011" s="58">
        <f>IF(BO1011=1,0,IFERROR(VLOOKUP(BM1011,'Gebinde-Kategorie'!$A$5:$G$45,5,0)+0,0))</f>
        <v/>
      </c>
      <c r="BZ1011" s="58">
        <f>IFERROR(IF(OR(BQ1011=1,BQ1011=2,BQ1011=3),N(INDEX(Parameter!$I$5:$I$7,BQ1011)),0),0)</f>
        <v/>
      </c>
    </row>
    <row r="1012">
      <c r="A1012" s="53" t="inlineStr">
        <is>
          <t>101683</t>
        </is>
      </c>
      <c r="B1012" s="53" t="inlineStr">
        <is>
          <t>Ringschraube</t>
        </is>
      </c>
      <c r="C1012" s="53" t="inlineStr">
        <is>
          <t>F</t>
        </is>
      </c>
      <c r="D1012" s="53" t="inlineStr">
        <is>
          <t>KTL</t>
        </is>
      </c>
      <c r="E1012" s="53" t="inlineStr">
        <is>
          <t>C</t>
        </is>
      </c>
      <c r="F1012" s="54" t="n">
        <v>2.71</v>
      </c>
      <c r="G1012" s="55">
        <f>MAX(0,IF(Parameter!$B$20="Jahresanfang 2025 + Export",BG1012+BF1012,BF1012))</f>
        <v/>
      </c>
      <c r="H1012" s="55">
        <f>G1012*F1012</f>
        <v/>
      </c>
      <c r="I1012" s="55">
        <f>BI1012*Parameter!$B$18</f>
        <v/>
      </c>
      <c r="J1012" s="56" t="n">
        <v>69</v>
      </c>
      <c r="K1012" s="57" t="n">
        <v>0</v>
      </c>
      <c r="L1012" s="55" t="n">
        <v>0</v>
      </c>
      <c r="M1012" s="55" t="n">
        <v>1</v>
      </c>
      <c r="N1012" s="58" t="n">
        <v>14</v>
      </c>
      <c r="O1012" s="53" t="inlineStr">
        <is>
          <t>S51</t>
        </is>
      </c>
      <c r="P1012" s="55" t="n">
        <v>94</v>
      </c>
      <c r="Q1012" s="59">
        <f>IF(BO1012=1,0,IFERROR(VLOOKUP(BM1012,'Gebinde-Kategorie'!$A$5:$G$45,6,0)+0,0))</f>
        <v/>
      </c>
      <c r="R1012" s="60" t="n"/>
      <c r="S1012" s="61" t="n"/>
      <c r="T1012" s="61" t="n"/>
      <c r="U1012" s="53">
        <f>IF(A1012="","",IF(IFERROR(VLOOKUP(D1012,Parameter!$A$35:$C$64,2,0),"Nein")="2+3",IF(ISNUMBER(SEARCH("grosser Artikel",BJ1012)),2,IFERROR(VLOOKUP(BM1012,Parameter!$F$35:$G$64,2,0),2)),IF(OR(IFERROR(VLOOKUP(D1012,Parameter!$A$35:$C$64,2,0),"Nein")="Nein",IFERROR(VLOOKUP(D1012,Parameter!$A$35:$C$64,2,0),"Nein")=""),"-",VLOOKUP(D1012,Parameter!$A$35:$C$64,2,0))))</f>
        <v/>
      </c>
      <c r="V1012" s="61" t="n"/>
      <c r="W1012" s="62" t="n"/>
      <c r="X1012" s="55">
        <f>AM1012</f>
        <v/>
      </c>
      <c r="Y1012" s="55">
        <f>MAX(AM1012,G1012)</f>
        <v/>
      </c>
      <c r="Z1012" s="63" t="n"/>
      <c r="AA1012" s="55">
        <f>IF(LEFT(Cockpit!$C$5,1)="A",G1012,IF(BT1012=1,BU1012,IF(LEFT(Cockpit!$C$5,1)="B",AE1012,MAX(AE1012,G1012))))</f>
        <v/>
      </c>
      <c r="AB1012" s="55">
        <f>IF(BO1012=1,0,ROUNDUP(AA1012/BN1012,0))</f>
        <v/>
      </c>
      <c r="AC1012" s="64">
        <f>IF(BO1012=1,IF(AA1012&lt;=0,0,BP1012*MAX(1,IF(G1012&gt;0,AA1012/G1012,1))),AB1012*Q1012)</f>
        <v/>
      </c>
      <c r="AD1012" s="55">
        <f>AA1012*F1012</f>
        <v/>
      </c>
      <c r="AE1012" s="55">
        <f>ROUNDUP(MAX(I1012/IF(BS1012&gt;0,BS1012,MAX(0.1,N(Cockpit!$C$6))),BV1012)/BN1012,0)*BN1012</f>
        <v/>
      </c>
      <c r="AF1012" s="56">
        <f>IF(AC1012&gt;0,I1012/AC1012,-1)</f>
        <v/>
      </c>
      <c r="AG1012" s="56">
        <f>IF(AND(OR(BR1012="L1",BR1012="L23"),AC1012&gt;0),SUMIFS($AC$7:$AC$1570,$BR$7:$BR$1570,BR1012,$AF$7:$AF$1570,"&gt;"&amp;AF1012)+SUMIFS($AC$7:$AC$1570,$BR$7:$BR$1570,BR1012,$AF$7:$AF$1570,AF1012,$BL$7:$BL$1570,"&lt;="&amp;BL1012),"")</f>
        <v/>
      </c>
      <c r="AH1012" s="65">
        <f>IF(AG1012="",0,MAX(0,MIN(1,(IF(BR1012="L1",Parameter!$K$5,Parameter!$K$6+Parameter!$K$7)-(AG1012-AC1012))/AC1012)))</f>
        <v/>
      </c>
      <c r="AI1012" s="55">
        <f>IF(LEFT(Cockpit!$I$5,1)="A",G1012,IF(BT1012=1,BU1012,IF(LEFT(Cockpit!$I$5,1)="B",AM1012,MAX(AM1012,G1012))))</f>
        <v/>
      </c>
      <c r="AJ1012" s="55">
        <f>IF(BO1012=1,0,ROUNDUP(AI1012/BN1012,0))</f>
        <v/>
      </c>
      <c r="AK1012" s="64">
        <f>IF(BO1012=1,IF(AI1012&lt;=0,0,BP1012*MAX(1,IF(G1012&gt;0,AI1012/G1012,1))),AJ1012*Q1012)</f>
        <v/>
      </c>
      <c r="AL1012" s="55">
        <f>AI1012*F1012</f>
        <v/>
      </c>
      <c r="AM1012" s="55">
        <f>ROUNDUP(MAX(I1012/IF(BS1012&gt;0,BS1012,MAX(0.1,N(Cockpit!$I$6))),BV1012)/BN1012,0)*BN1012</f>
        <v/>
      </c>
      <c r="AN1012" s="56">
        <f>IF(AK1012&gt;0,I1012/AK1012,-1)</f>
        <v/>
      </c>
      <c r="AO1012" s="56">
        <f>IF(AND(OR(BR1012="L1",BR1012="L23"),AK1012&gt;0),SUMIFS($AK$7:$AK$1570,$BR$7:$BR$1570,BR1012,$AN$7:$AN$1570,"&gt;"&amp;AN1012)+SUMIFS($AK$7:$AK$1570,$BR$7:$BR$1570,BR1012,$AN$7:$AN$1570,AN1012,$BL$7:$BL$1570,"&lt;="&amp;BL1012),"")</f>
        <v/>
      </c>
      <c r="AP1012" s="65">
        <f>IF(AO1012="",0,MAX(0,MIN(1,(IF(BR1012="L1",Parameter!$K$5,Parameter!$K$6+Parameter!$K$7)-(AO1012-AK1012))/AK1012)))</f>
        <v/>
      </c>
      <c r="AQ1012" s="55">
        <f>IF(LEFT(Cockpit!$O$5,1)="A",G1012,IF(BT1012=1,BU1012,IF(LEFT(Cockpit!$O$5,1)="B",AU1012,MAX(AU1012,G1012))))</f>
        <v/>
      </c>
      <c r="AR1012" s="55">
        <f>IF(BO1012=1,0,ROUNDUP(AQ1012/BN1012,0))</f>
        <v/>
      </c>
      <c r="AS1012" s="64">
        <f>IF(BO1012=1,IF(AQ1012&lt;=0,0,BP1012*MAX(1,IF(G1012&gt;0,AQ1012/G1012,1))),AR1012*Q1012)</f>
        <v/>
      </c>
      <c r="AT1012" s="55">
        <f>AQ1012*F1012</f>
        <v/>
      </c>
      <c r="AU1012" s="55">
        <f>ROUNDUP(MAX(I1012/IF(BS1012&gt;0,BS1012,MAX(0.1,N(Cockpit!$O$6))),BV1012)/BN1012,0)*BN1012</f>
        <v/>
      </c>
      <c r="AV1012" s="56">
        <f>IF(AS1012&gt;0,I1012/AS1012,-1)</f>
        <v/>
      </c>
      <c r="AW1012" s="56">
        <f>IF(AND(OR(BR1012="L1",BR1012="L23"),AS1012&gt;0),SUMIFS($AS$7:$AS$1570,$BR$7:$BR$1570,BR1012,$AV$7:$AV$1570,"&gt;"&amp;AV1012)+SUMIFS($AS$7:$AS$1570,$BR$7:$BR$1570,BR1012,$AV$7:$AV$1570,AV1012,$BL$7:$BL$1570,"&lt;="&amp;BL1012),"")</f>
        <v/>
      </c>
      <c r="AX1012" s="65">
        <f>IF(AW1012="",0,MAX(0,MIN(1,(IF(BR1012="L1",Parameter!$K$5,Parameter!$K$6+Parameter!$K$7)-(AW1012-AS1012))/AS1012)))</f>
        <v/>
      </c>
      <c r="AY1012" s="53">
        <f>IF(AC1012&lt;=0,"",IF(BR1012="Aussen","Aussenlager",IF(BR1012="-","Nicht im Lift",IF(AH1012&gt;=1,"Lift",IF(AH1012&lt;=0,"Aussenlager","teilweise")))))</f>
        <v/>
      </c>
      <c r="AZ1012" s="53">
        <f>IF(AK1012&lt;=0,"",IF(BR1012="Aussen","Aussenlager",IF(BR1012="-","Nicht im Lift",IF(AP1012&gt;=1,"Lift",IF(AP1012&lt;=0,"Aussenlager","teilweise")))))</f>
        <v/>
      </c>
      <c r="BA1012" s="53">
        <f>IF(AS1012&lt;=0,"",IF(BR1012="Aussen","Aussenlager",IF(BR1012="-","Nicht im Lift",IF(AX1012&gt;=1,"Lift",IF(AX1012&lt;=0,"Aussenlager","teilweise")))))</f>
        <v/>
      </c>
      <c r="BB1012" s="53">
        <f>IF(A1012="","",IF(BK1012=1,"Neu; ","")&amp;IF(AND(BK1012=0,BF1012&lt;0),"negativer Bestand (Export "&amp;BF1012&amp;"); ","")&amp;IF(I1012&lt;=0,"Kein Verbrauch; ","")&amp;IF(BO1012=1,"Lose – Fläche geschätzt; ","")&amp;IF(G1012&gt;AM1012,"Überbestand "&amp;ROUND(G1012-AM1012,0)&amp;" Stk / CHF "&amp;ROUND((G1012-AM1012)*F1012,0)&amp;"; ","")&amp;IF(AND(BT1012=1,BU1012&lt;BV1012),"MAX &lt; MB+LG; ","")&amp;IF(AND(BZ1012&gt;0,BY1012*10&gt;BZ1012),"zu hoch für Tablar; ","")&amp;IF(AND(BK1012=0,OR(BT1012=1,V1012&lt;&gt;"",S1012&lt;&gt;"",T1012&lt;&gt;"",W1012&lt;&gt;"")),"manuell übersteuert; ","")&amp;IF(AND(BO1012=0,Q1012=0),"Gebinde unbekannt; ","")&amp;IF(AND(BO1012=0,N(T1012)&lt;=0,N(P1012)&lt;=0),"Menge pro Gebinde fehlt (Ist = 1 Gebinde); ","")&amp;BJ1012)</f>
        <v/>
      </c>
      <c r="BC1012" s="53" t="n"/>
      <c r="BD1012" s="53" t="n"/>
      <c r="BE1012" s="61" t="n"/>
      <c r="BF1012" s="55" t="n">
        <v>-41</v>
      </c>
      <c r="BG1012" s="55" t="n">
        <v>88</v>
      </c>
      <c r="BH1012" s="54" t="n">
        <v>-110.23</v>
      </c>
      <c r="BI1012" s="55" t="n">
        <v>0</v>
      </c>
      <c r="BJ1012" s="53" t="inlineStr">
        <is>
          <t>Überbestand</t>
        </is>
      </c>
      <c r="BK1012" s="58" t="n">
        <v>0</v>
      </c>
      <c r="BL1012" s="58" t="n">
        <v>1012</v>
      </c>
      <c r="BM1012" s="53">
        <f>IF(S1012&lt;&gt;"",UPPER(TRIM(S1012)),IF(O1012="","LOSE",O1012))</f>
        <v/>
      </c>
      <c r="BN1012" s="55">
        <f>IF(BM1012="LOSE",1,IF(N(T1012)&gt;0,T1012,IF(N(P1012)&gt;0,P1012,MAX(1,G1012))))</f>
        <v/>
      </c>
      <c r="BO1012" s="58">
        <f>IF(BM1012="LOSE",1,0)</f>
        <v/>
      </c>
      <c r="BP1012" s="64">
        <f>IF(BO1012=0,0,IF(N(R1012)&gt;0,R1012,IFERROR(VLOOKUP(D1012,Parameter!$A$35:$C$64,3,0)+0,0)))</f>
        <v/>
      </c>
      <c r="BQ1012" s="53">
        <f>IF(V1012&lt;&gt;"",V1012,U1012)</f>
        <v/>
      </c>
      <c r="BR1012" s="53">
        <f>IF(BQ1012=1,"L1",IF(OR(BQ1012=2,BQ1012=3),"L23",IF(BQ1012="Aussen","Aussen","-")))</f>
        <v/>
      </c>
      <c r="BS1012" s="66">
        <f>IF(N(W1012)&gt;0,W1012,0)</f>
        <v/>
      </c>
      <c r="BT1012" s="58">
        <f>IF(ISNUMBER(Z1012),1,0)</f>
        <v/>
      </c>
      <c r="BU1012" s="55">
        <f>N(Z1012)</f>
        <v/>
      </c>
      <c r="BV1012" s="55">
        <f>N(L1012)+N(M1012)</f>
        <v/>
      </c>
      <c r="BW1012" s="55">
        <f>ROUNDUP(G1012/BN1012,0)</f>
        <v/>
      </c>
      <c r="BX1012" s="55">
        <f>ROUNDUP(BU1012/BN1012,0)</f>
        <v/>
      </c>
      <c r="BY1012" s="58">
        <f>IF(BO1012=1,0,IFERROR(VLOOKUP(BM1012,'Gebinde-Kategorie'!$A$5:$G$45,5,0)+0,0))</f>
        <v/>
      </c>
      <c r="BZ1012" s="58">
        <f>IFERROR(IF(OR(BQ1012=1,BQ1012=2,BQ1012=3),N(INDEX(Parameter!$I$5:$I$7,BQ1012)),0),0)</f>
        <v/>
      </c>
    </row>
    <row r="1013">
      <c r="A1013" s="53" t="inlineStr">
        <is>
          <t>109696</t>
        </is>
      </c>
      <c r="B1013" s="53" t="inlineStr">
        <is>
          <t>Ersatzfilterpatrone</t>
        </is>
      </c>
      <c r="C1013" s="53" t="inlineStr">
        <is>
          <t>F</t>
        </is>
      </c>
      <c r="D1013" s="53" t="inlineStr">
        <is>
          <t>PAL</t>
        </is>
      </c>
      <c r="E1013" s="53" t="inlineStr">
        <is>
          <t>C</t>
        </is>
      </c>
      <c r="F1013" s="54" t="n">
        <v>8.73</v>
      </c>
      <c r="G1013" s="55">
        <f>MAX(0,IF(Parameter!$B$20="Jahresanfang 2025 + Export",BG1013+BF1013,BF1013))</f>
        <v/>
      </c>
      <c r="H1013" s="55">
        <f>G1013*F1013</f>
        <v/>
      </c>
      <c r="I1013" s="55">
        <f>BI1013*Parameter!$B$18</f>
        <v/>
      </c>
      <c r="J1013" s="56" t="n">
        <v>26</v>
      </c>
      <c r="K1013" s="57" t="n">
        <v>0.7692307692307693</v>
      </c>
      <c r="L1013" s="55" t="n">
        <v>2</v>
      </c>
      <c r="M1013" s="55" t="n">
        <v>20</v>
      </c>
      <c r="N1013" s="58" t="n">
        <v>42</v>
      </c>
      <c r="O1013" s="53" t="inlineStr">
        <is>
          <t>S71</t>
        </is>
      </c>
      <c r="P1013" s="55" t="n">
        <v>24</v>
      </c>
      <c r="Q1013" s="59">
        <f>IF(BO1013=1,0,IFERROR(VLOOKUP(BM1013,'Gebinde-Kategorie'!$A$5:$G$45,6,0)+0,0))</f>
        <v/>
      </c>
      <c r="R1013" s="60" t="n"/>
      <c r="S1013" s="61" t="n"/>
      <c r="T1013" s="61" t="n"/>
      <c r="U1013" s="53">
        <f>IF(A1013="","",IF(IFERROR(VLOOKUP(D1013,Parameter!$A$35:$C$64,2,0),"Nein")="2+3",IF(ISNUMBER(SEARCH("grosser Artikel",BJ1013)),2,IFERROR(VLOOKUP(BM1013,Parameter!$F$35:$G$64,2,0),2)),IF(OR(IFERROR(VLOOKUP(D1013,Parameter!$A$35:$C$64,2,0),"Nein")="Nein",IFERROR(VLOOKUP(D1013,Parameter!$A$35:$C$64,2,0),"Nein")=""),"-",VLOOKUP(D1013,Parameter!$A$35:$C$64,2,0))))</f>
        <v/>
      </c>
      <c r="V1013" s="61" t="n"/>
      <c r="W1013" s="62" t="n"/>
      <c r="X1013" s="55">
        <f>AM1013</f>
        <v/>
      </c>
      <c r="Y1013" s="55">
        <f>MAX(AM1013,G1013)</f>
        <v/>
      </c>
      <c r="Z1013" s="63" t="n"/>
      <c r="AA1013" s="55">
        <f>IF(LEFT(Cockpit!$C$5,1)="A",G1013,IF(BT1013=1,BU1013,IF(LEFT(Cockpit!$C$5,1)="B",AE1013,MAX(AE1013,G1013))))</f>
        <v/>
      </c>
      <c r="AB1013" s="55">
        <f>IF(BO1013=1,0,ROUNDUP(AA1013/BN1013,0))</f>
        <v/>
      </c>
      <c r="AC1013" s="64">
        <f>IF(BO1013=1,IF(AA1013&lt;=0,0,BP1013*MAX(1,IF(G1013&gt;0,AA1013/G1013,1))),AB1013*Q1013)</f>
        <v/>
      </c>
      <c r="AD1013" s="55">
        <f>AA1013*F1013</f>
        <v/>
      </c>
      <c r="AE1013" s="55">
        <f>ROUNDUP(MAX(I1013/IF(BS1013&gt;0,BS1013,MAX(0.1,N(Cockpit!$C$6))),BV1013)/BN1013,0)*BN1013</f>
        <v/>
      </c>
      <c r="AF1013" s="56">
        <f>IF(AC1013&gt;0,I1013/AC1013,-1)</f>
        <v/>
      </c>
      <c r="AG1013" s="56">
        <f>IF(AND(OR(BR1013="L1",BR1013="L23"),AC1013&gt;0),SUMIFS($AC$7:$AC$1570,$BR$7:$BR$1570,BR1013,$AF$7:$AF$1570,"&gt;"&amp;AF1013)+SUMIFS($AC$7:$AC$1570,$BR$7:$BR$1570,BR1013,$AF$7:$AF$1570,AF1013,$BL$7:$BL$1570,"&lt;="&amp;BL1013),"")</f>
        <v/>
      </c>
      <c r="AH1013" s="65">
        <f>IF(AG1013="",0,MAX(0,MIN(1,(IF(BR1013="L1",Parameter!$K$5,Parameter!$K$6+Parameter!$K$7)-(AG1013-AC1013))/AC1013)))</f>
        <v/>
      </c>
      <c r="AI1013" s="55">
        <f>IF(LEFT(Cockpit!$I$5,1)="A",G1013,IF(BT1013=1,BU1013,IF(LEFT(Cockpit!$I$5,1)="B",AM1013,MAX(AM1013,G1013))))</f>
        <v/>
      </c>
      <c r="AJ1013" s="55">
        <f>IF(BO1013=1,0,ROUNDUP(AI1013/BN1013,0))</f>
        <v/>
      </c>
      <c r="AK1013" s="64">
        <f>IF(BO1013=1,IF(AI1013&lt;=0,0,BP1013*MAX(1,IF(G1013&gt;0,AI1013/G1013,1))),AJ1013*Q1013)</f>
        <v/>
      </c>
      <c r="AL1013" s="55">
        <f>AI1013*F1013</f>
        <v/>
      </c>
      <c r="AM1013" s="55">
        <f>ROUNDUP(MAX(I1013/IF(BS1013&gt;0,BS1013,MAX(0.1,N(Cockpit!$I$6))),BV1013)/BN1013,0)*BN1013</f>
        <v/>
      </c>
      <c r="AN1013" s="56">
        <f>IF(AK1013&gt;0,I1013/AK1013,-1)</f>
        <v/>
      </c>
      <c r="AO1013" s="56">
        <f>IF(AND(OR(BR1013="L1",BR1013="L23"),AK1013&gt;0),SUMIFS($AK$7:$AK$1570,$BR$7:$BR$1570,BR1013,$AN$7:$AN$1570,"&gt;"&amp;AN1013)+SUMIFS($AK$7:$AK$1570,$BR$7:$BR$1570,BR1013,$AN$7:$AN$1570,AN1013,$BL$7:$BL$1570,"&lt;="&amp;BL1013),"")</f>
        <v/>
      </c>
      <c r="AP1013" s="65">
        <f>IF(AO1013="",0,MAX(0,MIN(1,(IF(BR1013="L1",Parameter!$K$5,Parameter!$K$6+Parameter!$K$7)-(AO1013-AK1013))/AK1013)))</f>
        <v/>
      </c>
      <c r="AQ1013" s="55">
        <f>IF(LEFT(Cockpit!$O$5,1)="A",G1013,IF(BT1013=1,BU1013,IF(LEFT(Cockpit!$O$5,1)="B",AU1013,MAX(AU1013,G1013))))</f>
        <v/>
      </c>
      <c r="AR1013" s="55">
        <f>IF(BO1013=1,0,ROUNDUP(AQ1013/BN1013,0))</f>
        <v/>
      </c>
      <c r="AS1013" s="64">
        <f>IF(BO1013=1,IF(AQ1013&lt;=0,0,BP1013*MAX(1,IF(G1013&gt;0,AQ1013/G1013,1))),AR1013*Q1013)</f>
        <v/>
      </c>
      <c r="AT1013" s="55">
        <f>AQ1013*F1013</f>
        <v/>
      </c>
      <c r="AU1013" s="55">
        <f>ROUNDUP(MAX(I1013/IF(BS1013&gt;0,BS1013,MAX(0.1,N(Cockpit!$O$6))),BV1013)/BN1013,0)*BN1013</f>
        <v/>
      </c>
      <c r="AV1013" s="56">
        <f>IF(AS1013&gt;0,I1013/AS1013,-1)</f>
        <v/>
      </c>
      <c r="AW1013" s="56">
        <f>IF(AND(OR(BR1013="L1",BR1013="L23"),AS1013&gt;0),SUMIFS($AS$7:$AS$1570,$BR$7:$BR$1570,BR1013,$AV$7:$AV$1570,"&gt;"&amp;AV1013)+SUMIFS($AS$7:$AS$1570,$BR$7:$BR$1570,BR1013,$AV$7:$AV$1570,AV1013,$BL$7:$BL$1570,"&lt;="&amp;BL1013),"")</f>
        <v/>
      </c>
      <c r="AX1013" s="65">
        <f>IF(AW1013="",0,MAX(0,MIN(1,(IF(BR1013="L1",Parameter!$K$5,Parameter!$K$6+Parameter!$K$7)-(AW1013-AS1013))/AS1013)))</f>
        <v/>
      </c>
      <c r="AY1013" s="53">
        <f>IF(AC1013&lt;=0,"",IF(BR1013="Aussen","Aussenlager",IF(BR1013="-","Nicht im Lift",IF(AH1013&gt;=1,"Lift",IF(AH1013&lt;=0,"Aussenlager","teilweise")))))</f>
        <v/>
      </c>
      <c r="AZ1013" s="53">
        <f>IF(AK1013&lt;=0,"",IF(BR1013="Aussen","Aussenlager",IF(BR1013="-","Nicht im Lift",IF(AP1013&gt;=1,"Lift",IF(AP1013&lt;=0,"Aussenlager","teilweise")))))</f>
        <v/>
      </c>
      <c r="BA1013" s="53">
        <f>IF(AS1013&lt;=0,"",IF(BR1013="Aussen","Aussenlager",IF(BR1013="-","Nicht im Lift",IF(AX1013&gt;=1,"Lift",IF(AX1013&lt;=0,"Aussenlager","teilweise")))))</f>
        <v/>
      </c>
      <c r="BB1013" s="53">
        <f>IF(A1013="","",IF(BK1013=1,"Neu; ","")&amp;IF(AND(BK1013=0,BF1013&lt;0),"negativer Bestand (Export "&amp;BF1013&amp;"); ","")&amp;IF(I1013&lt;=0,"Kein Verbrauch; ","")&amp;IF(BO1013=1,"Lose – Fläche geschätzt; ","")&amp;IF(G1013&gt;AM1013,"Überbestand "&amp;ROUND(G1013-AM1013,0)&amp;" Stk / CHF "&amp;ROUND((G1013-AM1013)*F1013,0)&amp;"; ","")&amp;IF(AND(BT1013=1,BU1013&lt;BV1013),"MAX &lt; MB+LG; ","")&amp;IF(AND(BZ1013&gt;0,BY1013*10&gt;BZ1013),"zu hoch für Tablar; ","")&amp;IF(AND(BK1013=0,OR(BT1013=1,V1013&lt;&gt;"",S1013&lt;&gt;"",T1013&lt;&gt;"",W1013&lt;&gt;"")),"manuell übersteuert; ","")&amp;IF(AND(BO1013=0,Q1013=0),"Gebinde unbekannt; ","")&amp;IF(AND(BO1013=0,N(T1013)&lt;=0,N(P1013)&lt;=0),"Menge pro Gebinde fehlt (Ist = 1 Gebinde); ","")&amp;BJ1013)</f>
        <v/>
      </c>
      <c r="BC1013" s="53" t="n"/>
      <c r="BD1013" s="53" t="n"/>
      <c r="BE1013" s="61" t="n"/>
      <c r="BF1013" s="55" t="n">
        <v>-6</v>
      </c>
      <c r="BG1013" s="55" t="n">
        <v>16</v>
      </c>
      <c r="BH1013" s="54" t="n">
        <v>-111.5799999999999</v>
      </c>
      <c r="BI1013" s="55" t="n">
        <v>20</v>
      </c>
      <c r="BJ1013" s="53" t="inlineStr"/>
      <c r="BK1013" s="58" t="n">
        <v>0</v>
      </c>
      <c r="BL1013" s="58" t="n">
        <v>1013</v>
      </c>
      <c r="BM1013" s="53">
        <f>IF(S1013&lt;&gt;"",UPPER(TRIM(S1013)),IF(O1013="","LOSE",O1013))</f>
        <v/>
      </c>
      <c r="BN1013" s="55">
        <f>IF(BM1013="LOSE",1,IF(N(T1013)&gt;0,T1013,IF(N(P1013)&gt;0,P1013,MAX(1,G1013))))</f>
        <v/>
      </c>
      <c r="BO1013" s="58">
        <f>IF(BM1013="LOSE",1,0)</f>
        <v/>
      </c>
      <c r="BP1013" s="64">
        <f>IF(BO1013=0,0,IF(N(R1013)&gt;0,R1013,IFERROR(VLOOKUP(D1013,Parameter!$A$35:$C$64,3,0)+0,0)))</f>
        <v/>
      </c>
      <c r="BQ1013" s="53">
        <f>IF(V1013&lt;&gt;"",V1013,U1013)</f>
        <v/>
      </c>
      <c r="BR1013" s="53">
        <f>IF(BQ1013=1,"L1",IF(OR(BQ1013=2,BQ1013=3),"L23",IF(BQ1013="Aussen","Aussen","-")))</f>
        <v/>
      </c>
      <c r="BS1013" s="66">
        <f>IF(N(W1013)&gt;0,W1013,0)</f>
        <v/>
      </c>
      <c r="BT1013" s="58">
        <f>IF(ISNUMBER(Z1013),1,0)</f>
        <v/>
      </c>
      <c r="BU1013" s="55">
        <f>N(Z1013)</f>
        <v/>
      </c>
      <c r="BV1013" s="55">
        <f>N(L1013)+N(M1013)</f>
        <v/>
      </c>
      <c r="BW1013" s="55">
        <f>ROUNDUP(G1013/BN1013,0)</f>
        <v/>
      </c>
      <c r="BX1013" s="55">
        <f>ROUNDUP(BU1013/BN1013,0)</f>
        <v/>
      </c>
      <c r="BY1013" s="58">
        <f>IF(BO1013=1,0,IFERROR(VLOOKUP(BM1013,'Gebinde-Kategorie'!$A$5:$G$45,5,0)+0,0))</f>
        <v/>
      </c>
      <c r="BZ1013" s="58">
        <f>IFERROR(IF(OR(BQ1013=1,BQ1013=2,BQ1013=3),N(INDEX(Parameter!$I$5:$I$7,BQ1013)),0),0)</f>
        <v/>
      </c>
    </row>
    <row r="1014">
      <c r="A1014" s="53" t="inlineStr">
        <is>
          <t>005164</t>
        </is>
      </c>
      <c r="B1014" s="53" t="inlineStr">
        <is>
          <t>Leitungsschutzschalter</t>
        </is>
      </c>
      <c r="C1014" s="53" t="inlineStr">
        <is>
          <t>F</t>
        </is>
      </c>
      <c r="D1014" s="53" t="inlineStr">
        <is>
          <t>KTL</t>
        </is>
      </c>
      <c r="E1014" s="53" t="inlineStr">
        <is>
          <t>C</t>
        </is>
      </c>
      <c r="F1014" s="54" t="n">
        <v>112.6</v>
      </c>
      <c r="G1014" s="55">
        <f>MAX(0,IF(Parameter!$B$20="Jahresanfang 2025 + Export",BG1014+BF1014,BF1014))</f>
        <v/>
      </c>
      <c r="H1014" s="55">
        <f>G1014*F1014</f>
        <v/>
      </c>
      <c r="I1014" s="55">
        <f>BI1014*Parameter!$B$18</f>
        <v/>
      </c>
      <c r="J1014" s="56" t="n">
        <v>8</v>
      </c>
      <c r="K1014" s="57" t="n">
        <v>0</v>
      </c>
      <c r="L1014" s="55" t="n">
        <v>0</v>
      </c>
      <c r="M1014" s="55" t="n">
        <v>1</v>
      </c>
      <c r="N1014" s="58" t="n">
        <v>56</v>
      </c>
      <c r="O1014" s="53" t="inlineStr">
        <is>
          <t>S41</t>
        </is>
      </c>
      <c r="P1014" s="55" t="n">
        <v>8</v>
      </c>
      <c r="Q1014" s="59">
        <f>IF(BO1014=1,0,IFERROR(VLOOKUP(BM1014,'Gebinde-Kategorie'!$A$5:$G$45,6,0)+0,0))</f>
        <v/>
      </c>
      <c r="R1014" s="60" t="n"/>
      <c r="S1014" s="61" t="n"/>
      <c r="T1014" s="61" t="n"/>
      <c r="U1014" s="53">
        <f>IF(A1014="","",IF(IFERROR(VLOOKUP(D1014,Parameter!$A$35:$C$64,2,0),"Nein")="2+3",IF(ISNUMBER(SEARCH("grosser Artikel",BJ1014)),2,IFERROR(VLOOKUP(BM1014,Parameter!$F$35:$G$64,2,0),2)),IF(OR(IFERROR(VLOOKUP(D1014,Parameter!$A$35:$C$64,2,0),"Nein")="Nein",IFERROR(VLOOKUP(D1014,Parameter!$A$35:$C$64,2,0),"Nein")=""),"-",VLOOKUP(D1014,Parameter!$A$35:$C$64,2,0))))</f>
        <v/>
      </c>
      <c r="V1014" s="61" t="n"/>
      <c r="W1014" s="62" t="n"/>
      <c r="X1014" s="55">
        <f>AM1014</f>
        <v/>
      </c>
      <c r="Y1014" s="55">
        <f>MAX(AM1014,G1014)</f>
        <v/>
      </c>
      <c r="Z1014" s="63" t="n"/>
      <c r="AA1014" s="55">
        <f>IF(LEFT(Cockpit!$C$5,1)="A",G1014,IF(BT1014=1,BU1014,IF(LEFT(Cockpit!$C$5,1)="B",AE1014,MAX(AE1014,G1014))))</f>
        <v/>
      </c>
      <c r="AB1014" s="55">
        <f>IF(BO1014=1,0,ROUNDUP(AA1014/BN1014,0))</f>
        <v/>
      </c>
      <c r="AC1014" s="64">
        <f>IF(BO1014=1,IF(AA1014&lt;=0,0,BP1014*MAX(1,IF(G1014&gt;0,AA1014/G1014,1))),AB1014*Q1014)</f>
        <v/>
      </c>
      <c r="AD1014" s="55">
        <f>AA1014*F1014</f>
        <v/>
      </c>
      <c r="AE1014" s="55">
        <f>ROUNDUP(MAX(I1014/IF(BS1014&gt;0,BS1014,MAX(0.1,N(Cockpit!$C$6))),BV1014)/BN1014,0)*BN1014</f>
        <v/>
      </c>
      <c r="AF1014" s="56">
        <f>IF(AC1014&gt;0,I1014/AC1014,-1)</f>
        <v/>
      </c>
      <c r="AG1014" s="56">
        <f>IF(AND(OR(BR1014="L1",BR1014="L23"),AC1014&gt;0),SUMIFS($AC$7:$AC$1570,$BR$7:$BR$1570,BR1014,$AF$7:$AF$1570,"&gt;"&amp;AF1014)+SUMIFS($AC$7:$AC$1570,$BR$7:$BR$1570,BR1014,$AF$7:$AF$1570,AF1014,$BL$7:$BL$1570,"&lt;="&amp;BL1014),"")</f>
        <v/>
      </c>
      <c r="AH1014" s="65">
        <f>IF(AG1014="",0,MAX(0,MIN(1,(IF(BR1014="L1",Parameter!$K$5,Parameter!$K$6+Parameter!$K$7)-(AG1014-AC1014))/AC1014)))</f>
        <v/>
      </c>
      <c r="AI1014" s="55">
        <f>IF(LEFT(Cockpit!$I$5,1)="A",G1014,IF(BT1014=1,BU1014,IF(LEFT(Cockpit!$I$5,1)="B",AM1014,MAX(AM1014,G1014))))</f>
        <v/>
      </c>
      <c r="AJ1014" s="55">
        <f>IF(BO1014=1,0,ROUNDUP(AI1014/BN1014,0))</f>
        <v/>
      </c>
      <c r="AK1014" s="64">
        <f>IF(BO1014=1,IF(AI1014&lt;=0,0,BP1014*MAX(1,IF(G1014&gt;0,AI1014/G1014,1))),AJ1014*Q1014)</f>
        <v/>
      </c>
      <c r="AL1014" s="55">
        <f>AI1014*F1014</f>
        <v/>
      </c>
      <c r="AM1014" s="55">
        <f>ROUNDUP(MAX(I1014/IF(BS1014&gt;0,BS1014,MAX(0.1,N(Cockpit!$I$6))),BV1014)/BN1014,0)*BN1014</f>
        <v/>
      </c>
      <c r="AN1014" s="56">
        <f>IF(AK1014&gt;0,I1014/AK1014,-1)</f>
        <v/>
      </c>
      <c r="AO1014" s="56">
        <f>IF(AND(OR(BR1014="L1",BR1014="L23"),AK1014&gt;0),SUMIFS($AK$7:$AK$1570,$BR$7:$BR$1570,BR1014,$AN$7:$AN$1570,"&gt;"&amp;AN1014)+SUMIFS($AK$7:$AK$1570,$BR$7:$BR$1570,BR1014,$AN$7:$AN$1570,AN1014,$BL$7:$BL$1570,"&lt;="&amp;BL1014),"")</f>
        <v/>
      </c>
      <c r="AP1014" s="65">
        <f>IF(AO1014="",0,MAX(0,MIN(1,(IF(BR1014="L1",Parameter!$K$5,Parameter!$K$6+Parameter!$K$7)-(AO1014-AK1014))/AK1014)))</f>
        <v/>
      </c>
      <c r="AQ1014" s="55">
        <f>IF(LEFT(Cockpit!$O$5,1)="A",G1014,IF(BT1014=1,BU1014,IF(LEFT(Cockpit!$O$5,1)="B",AU1014,MAX(AU1014,G1014))))</f>
        <v/>
      </c>
      <c r="AR1014" s="55">
        <f>IF(BO1014=1,0,ROUNDUP(AQ1014/BN1014,0))</f>
        <v/>
      </c>
      <c r="AS1014" s="64">
        <f>IF(BO1014=1,IF(AQ1014&lt;=0,0,BP1014*MAX(1,IF(G1014&gt;0,AQ1014/G1014,1))),AR1014*Q1014)</f>
        <v/>
      </c>
      <c r="AT1014" s="55">
        <f>AQ1014*F1014</f>
        <v/>
      </c>
      <c r="AU1014" s="55">
        <f>ROUNDUP(MAX(I1014/IF(BS1014&gt;0,BS1014,MAX(0.1,N(Cockpit!$O$6))),BV1014)/BN1014,0)*BN1014</f>
        <v/>
      </c>
      <c r="AV1014" s="56">
        <f>IF(AS1014&gt;0,I1014/AS1014,-1)</f>
        <v/>
      </c>
      <c r="AW1014" s="56">
        <f>IF(AND(OR(BR1014="L1",BR1014="L23"),AS1014&gt;0),SUMIFS($AS$7:$AS$1570,$BR$7:$BR$1570,BR1014,$AV$7:$AV$1570,"&gt;"&amp;AV1014)+SUMIFS($AS$7:$AS$1570,$BR$7:$BR$1570,BR1014,$AV$7:$AV$1570,AV1014,$BL$7:$BL$1570,"&lt;="&amp;BL1014),"")</f>
        <v/>
      </c>
      <c r="AX1014" s="65">
        <f>IF(AW1014="",0,MAX(0,MIN(1,(IF(BR1014="L1",Parameter!$K$5,Parameter!$K$6+Parameter!$K$7)-(AW1014-AS1014))/AS1014)))</f>
        <v/>
      </c>
      <c r="AY1014" s="53">
        <f>IF(AC1014&lt;=0,"",IF(BR1014="Aussen","Aussenlager",IF(BR1014="-","Nicht im Lift",IF(AH1014&gt;=1,"Lift",IF(AH1014&lt;=0,"Aussenlager","teilweise")))))</f>
        <v/>
      </c>
      <c r="AZ1014" s="53">
        <f>IF(AK1014&lt;=0,"",IF(BR1014="Aussen","Aussenlager",IF(BR1014="-","Nicht im Lift",IF(AP1014&gt;=1,"Lift",IF(AP1014&lt;=0,"Aussenlager","teilweise")))))</f>
        <v/>
      </c>
      <c r="BA1014" s="53">
        <f>IF(AS1014&lt;=0,"",IF(BR1014="Aussen","Aussenlager",IF(BR1014="-","Nicht im Lift",IF(AX1014&gt;=1,"Lift",IF(AX1014&lt;=0,"Aussenlager","teilweise")))))</f>
        <v/>
      </c>
      <c r="BB1014" s="53">
        <f>IF(A1014="","",IF(BK1014=1,"Neu; ","")&amp;IF(AND(BK1014=0,BF1014&lt;0),"negativer Bestand (Export "&amp;BF1014&amp;"); ","")&amp;IF(I1014&lt;=0,"Kein Verbrauch; ","")&amp;IF(BO1014=1,"Lose – Fläche geschätzt; ","")&amp;IF(G1014&gt;AM1014,"Überbestand "&amp;ROUND(G1014-AM1014,0)&amp;" Stk / CHF "&amp;ROUND((G1014-AM1014)*F1014,0)&amp;"; ","")&amp;IF(AND(BT1014=1,BU1014&lt;BV1014),"MAX &lt; MB+LG; ","")&amp;IF(AND(BZ1014&gt;0,BY1014*10&gt;BZ1014),"zu hoch für Tablar; ","")&amp;IF(AND(BK1014=0,OR(BT1014=1,V1014&lt;&gt;"",S1014&lt;&gt;"",T1014&lt;&gt;"",W1014&lt;&gt;"")),"manuell übersteuert; ","")&amp;IF(AND(BO1014=0,Q1014=0),"Gebinde unbekannt; ","")&amp;IF(AND(BO1014=0,N(T1014)&lt;=0,N(P1014)&lt;=0),"Menge pro Gebinde fehlt (Ist = 1 Gebinde); ","")&amp;BJ1014)</f>
        <v/>
      </c>
      <c r="BC1014" s="53" t="n"/>
      <c r="BD1014" s="53" t="n"/>
      <c r="BE1014" s="61" t="n"/>
      <c r="BF1014" s="55" t="n">
        <v>-1</v>
      </c>
      <c r="BG1014" s="55" t="n">
        <v>8</v>
      </c>
      <c r="BH1014" s="54" t="n">
        <v>-112.6</v>
      </c>
      <c r="BI1014" s="55" t="n">
        <v>0</v>
      </c>
      <c r="BJ1014" s="53" t="inlineStr">
        <is>
          <t>Überbestand</t>
        </is>
      </c>
      <c r="BK1014" s="58" t="n">
        <v>0</v>
      </c>
      <c r="BL1014" s="58" t="n">
        <v>1014</v>
      </c>
      <c r="BM1014" s="53">
        <f>IF(S1014&lt;&gt;"",UPPER(TRIM(S1014)),IF(O1014="","LOSE",O1014))</f>
        <v/>
      </c>
      <c r="BN1014" s="55">
        <f>IF(BM1014="LOSE",1,IF(N(T1014)&gt;0,T1014,IF(N(P1014)&gt;0,P1014,MAX(1,G1014))))</f>
        <v/>
      </c>
      <c r="BO1014" s="58">
        <f>IF(BM1014="LOSE",1,0)</f>
        <v/>
      </c>
      <c r="BP1014" s="64">
        <f>IF(BO1014=0,0,IF(N(R1014)&gt;0,R1014,IFERROR(VLOOKUP(D1014,Parameter!$A$35:$C$64,3,0)+0,0)))</f>
        <v/>
      </c>
      <c r="BQ1014" s="53">
        <f>IF(V1014&lt;&gt;"",V1014,U1014)</f>
        <v/>
      </c>
      <c r="BR1014" s="53">
        <f>IF(BQ1014=1,"L1",IF(OR(BQ1014=2,BQ1014=3),"L23",IF(BQ1014="Aussen","Aussen","-")))</f>
        <v/>
      </c>
      <c r="BS1014" s="66">
        <f>IF(N(W1014)&gt;0,W1014,0)</f>
        <v/>
      </c>
      <c r="BT1014" s="58">
        <f>IF(ISNUMBER(Z1014),1,0)</f>
        <v/>
      </c>
      <c r="BU1014" s="55">
        <f>N(Z1014)</f>
        <v/>
      </c>
      <c r="BV1014" s="55">
        <f>N(L1014)+N(M1014)</f>
        <v/>
      </c>
      <c r="BW1014" s="55">
        <f>ROUNDUP(G1014/BN1014,0)</f>
        <v/>
      </c>
      <c r="BX1014" s="55">
        <f>ROUNDUP(BU1014/BN1014,0)</f>
        <v/>
      </c>
      <c r="BY1014" s="58">
        <f>IF(BO1014=1,0,IFERROR(VLOOKUP(BM1014,'Gebinde-Kategorie'!$A$5:$G$45,5,0)+0,0))</f>
        <v/>
      </c>
      <c r="BZ1014" s="58">
        <f>IFERROR(IF(OR(BQ1014=1,BQ1014=2,BQ1014=3),N(INDEX(Parameter!$I$5:$I$7,BQ1014)),0),0)</f>
        <v/>
      </c>
    </row>
    <row r="1015">
      <c r="A1015" s="53" t="inlineStr">
        <is>
          <t>107097</t>
        </is>
      </c>
      <c r="B1015" s="53" t="inlineStr">
        <is>
          <t>Rollgabelschlüssel</t>
        </is>
      </c>
      <c r="C1015" s="53" t="inlineStr">
        <is>
          <t>F</t>
        </is>
      </c>
      <c r="D1015" s="53" t="inlineStr">
        <is>
          <t>KTL</t>
        </is>
      </c>
      <c r="E1015" s="53" t="inlineStr">
        <is>
          <t>C</t>
        </is>
      </c>
      <c r="F1015" s="54" t="n">
        <v>37.57</v>
      </c>
      <c r="G1015" s="55">
        <f>MAX(0,IF(Parameter!$B$20="Jahresanfang 2025 + Export",BG1015+BF1015,BF1015))</f>
        <v/>
      </c>
      <c r="H1015" s="55">
        <f>G1015*F1015</f>
        <v/>
      </c>
      <c r="I1015" s="55">
        <f>BI1015*Parameter!$B$18</f>
        <v/>
      </c>
      <c r="J1015" s="56" t="n">
        <v>10.5</v>
      </c>
      <c r="K1015" s="57" t="n">
        <v>0</v>
      </c>
      <c r="L1015" s="55" t="n">
        <v>0</v>
      </c>
      <c r="M1015" s="55" t="n">
        <v>1</v>
      </c>
      <c r="N1015" s="58" t="n">
        <v>14</v>
      </c>
      <c r="O1015" s="53" t="inlineStr">
        <is>
          <t>S61</t>
        </is>
      </c>
      <c r="P1015" s="55" t="n">
        <v>10</v>
      </c>
      <c r="Q1015" s="59">
        <f>IF(BO1015=1,0,IFERROR(VLOOKUP(BM1015,'Gebinde-Kategorie'!$A$5:$G$45,6,0)+0,0))</f>
        <v/>
      </c>
      <c r="R1015" s="60" t="n"/>
      <c r="S1015" s="61" t="n"/>
      <c r="T1015" s="61" t="n"/>
      <c r="U1015" s="53">
        <f>IF(A1015="","",IF(IFERROR(VLOOKUP(D1015,Parameter!$A$35:$C$64,2,0),"Nein")="2+3",IF(ISNUMBER(SEARCH("grosser Artikel",BJ1015)),2,IFERROR(VLOOKUP(BM1015,Parameter!$F$35:$G$64,2,0),2)),IF(OR(IFERROR(VLOOKUP(D1015,Parameter!$A$35:$C$64,2,0),"Nein")="Nein",IFERROR(VLOOKUP(D1015,Parameter!$A$35:$C$64,2,0),"Nein")=""),"-",VLOOKUP(D1015,Parameter!$A$35:$C$64,2,0))))</f>
        <v/>
      </c>
      <c r="V1015" s="61" t="n"/>
      <c r="W1015" s="62" t="n"/>
      <c r="X1015" s="55">
        <f>AM1015</f>
        <v/>
      </c>
      <c r="Y1015" s="55">
        <f>MAX(AM1015,G1015)</f>
        <v/>
      </c>
      <c r="Z1015" s="63" t="n"/>
      <c r="AA1015" s="55">
        <f>IF(LEFT(Cockpit!$C$5,1)="A",G1015,IF(BT1015=1,BU1015,IF(LEFT(Cockpit!$C$5,1)="B",AE1015,MAX(AE1015,G1015))))</f>
        <v/>
      </c>
      <c r="AB1015" s="55">
        <f>IF(BO1015=1,0,ROUNDUP(AA1015/BN1015,0))</f>
        <v/>
      </c>
      <c r="AC1015" s="64">
        <f>IF(BO1015=1,IF(AA1015&lt;=0,0,BP1015*MAX(1,IF(G1015&gt;0,AA1015/G1015,1))),AB1015*Q1015)</f>
        <v/>
      </c>
      <c r="AD1015" s="55">
        <f>AA1015*F1015</f>
        <v/>
      </c>
      <c r="AE1015" s="55">
        <f>ROUNDUP(MAX(I1015/IF(BS1015&gt;0,BS1015,MAX(0.1,N(Cockpit!$C$6))),BV1015)/BN1015,0)*BN1015</f>
        <v/>
      </c>
      <c r="AF1015" s="56">
        <f>IF(AC1015&gt;0,I1015/AC1015,-1)</f>
        <v/>
      </c>
      <c r="AG1015" s="56">
        <f>IF(AND(OR(BR1015="L1",BR1015="L23"),AC1015&gt;0),SUMIFS($AC$7:$AC$1570,$BR$7:$BR$1570,BR1015,$AF$7:$AF$1570,"&gt;"&amp;AF1015)+SUMIFS($AC$7:$AC$1570,$BR$7:$BR$1570,BR1015,$AF$7:$AF$1570,AF1015,$BL$7:$BL$1570,"&lt;="&amp;BL1015),"")</f>
        <v/>
      </c>
      <c r="AH1015" s="65">
        <f>IF(AG1015="",0,MAX(0,MIN(1,(IF(BR1015="L1",Parameter!$K$5,Parameter!$K$6+Parameter!$K$7)-(AG1015-AC1015))/AC1015)))</f>
        <v/>
      </c>
      <c r="AI1015" s="55">
        <f>IF(LEFT(Cockpit!$I$5,1)="A",G1015,IF(BT1015=1,BU1015,IF(LEFT(Cockpit!$I$5,1)="B",AM1015,MAX(AM1015,G1015))))</f>
        <v/>
      </c>
      <c r="AJ1015" s="55">
        <f>IF(BO1015=1,0,ROUNDUP(AI1015/BN1015,0))</f>
        <v/>
      </c>
      <c r="AK1015" s="64">
        <f>IF(BO1015=1,IF(AI1015&lt;=0,0,BP1015*MAX(1,IF(G1015&gt;0,AI1015/G1015,1))),AJ1015*Q1015)</f>
        <v/>
      </c>
      <c r="AL1015" s="55">
        <f>AI1015*F1015</f>
        <v/>
      </c>
      <c r="AM1015" s="55">
        <f>ROUNDUP(MAX(I1015/IF(BS1015&gt;0,BS1015,MAX(0.1,N(Cockpit!$I$6))),BV1015)/BN1015,0)*BN1015</f>
        <v/>
      </c>
      <c r="AN1015" s="56">
        <f>IF(AK1015&gt;0,I1015/AK1015,-1)</f>
        <v/>
      </c>
      <c r="AO1015" s="56">
        <f>IF(AND(OR(BR1015="L1",BR1015="L23"),AK1015&gt;0),SUMIFS($AK$7:$AK$1570,$BR$7:$BR$1570,BR1015,$AN$7:$AN$1570,"&gt;"&amp;AN1015)+SUMIFS($AK$7:$AK$1570,$BR$7:$BR$1570,BR1015,$AN$7:$AN$1570,AN1015,$BL$7:$BL$1570,"&lt;="&amp;BL1015),"")</f>
        <v/>
      </c>
      <c r="AP1015" s="65">
        <f>IF(AO1015="",0,MAX(0,MIN(1,(IF(BR1015="L1",Parameter!$K$5,Parameter!$K$6+Parameter!$K$7)-(AO1015-AK1015))/AK1015)))</f>
        <v/>
      </c>
      <c r="AQ1015" s="55">
        <f>IF(LEFT(Cockpit!$O$5,1)="A",G1015,IF(BT1015=1,BU1015,IF(LEFT(Cockpit!$O$5,1)="B",AU1015,MAX(AU1015,G1015))))</f>
        <v/>
      </c>
      <c r="AR1015" s="55">
        <f>IF(BO1015=1,0,ROUNDUP(AQ1015/BN1015,0))</f>
        <v/>
      </c>
      <c r="AS1015" s="64">
        <f>IF(BO1015=1,IF(AQ1015&lt;=0,0,BP1015*MAX(1,IF(G1015&gt;0,AQ1015/G1015,1))),AR1015*Q1015)</f>
        <v/>
      </c>
      <c r="AT1015" s="55">
        <f>AQ1015*F1015</f>
        <v/>
      </c>
      <c r="AU1015" s="55">
        <f>ROUNDUP(MAX(I1015/IF(BS1015&gt;0,BS1015,MAX(0.1,N(Cockpit!$O$6))),BV1015)/BN1015,0)*BN1015</f>
        <v/>
      </c>
      <c r="AV1015" s="56">
        <f>IF(AS1015&gt;0,I1015/AS1015,-1)</f>
        <v/>
      </c>
      <c r="AW1015" s="56">
        <f>IF(AND(OR(BR1015="L1",BR1015="L23"),AS1015&gt;0),SUMIFS($AS$7:$AS$1570,$BR$7:$BR$1570,BR1015,$AV$7:$AV$1570,"&gt;"&amp;AV1015)+SUMIFS($AS$7:$AS$1570,$BR$7:$BR$1570,BR1015,$AV$7:$AV$1570,AV1015,$BL$7:$BL$1570,"&lt;="&amp;BL1015),"")</f>
        <v/>
      </c>
      <c r="AX1015" s="65">
        <f>IF(AW1015="",0,MAX(0,MIN(1,(IF(BR1015="L1",Parameter!$K$5,Parameter!$K$6+Parameter!$K$7)-(AW1015-AS1015))/AS1015)))</f>
        <v/>
      </c>
      <c r="AY1015" s="53">
        <f>IF(AC1015&lt;=0,"",IF(BR1015="Aussen","Aussenlager",IF(BR1015="-","Nicht im Lift",IF(AH1015&gt;=1,"Lift",IF(AH1015&lt;=0,"Aussenlager","teilweise")))))</f>
        <v/>
      </c>
      <c r="AZ1015" s="53">
        <f>IF(AK1015&lt;=0,"",IF(BR1015="Aussen","Aussenlager",IF(BR1015="-","Nicht im Lift",IF(AP1015&gt;=1,"Lift",IF(AP1015&lt;=0,"Aussenlager","teilweise")))))</f>
        <v/>
      </c>
      <c r="BA1015" s="53">
        <f>IF(AS1015&lt;=0,"",IF(BR1015="Aussen","Aussenlager",IF(BR1015="-","Nicht im Lift",IF(AX1015&gt;=1,"Lift",IF(AX1015&lt;=0,"Aussenlager","teilweise")))))</f>
        <v/>
      </c>
      <c r="BB1015" s="53">
        <f>IF(A1015="","",IF(BK1015=1,"Neu; ","")&amp;IF(AND(BK1015=0,BF1015&lt;0),"negativer Bestand (Export "&amp;BF1015&amp;"); ","")&amp;IF(I1015&lt;=0,"Kein Verbrauch; ","")&amp;IF(BO1015=1,"Lose – Fläche geschätzt; ","")&amp;IF(G1015&gt;AM1015,"Überbestand "&amp;ROUND(G1015-AM1015,0)&amp;" Stk / CHF "&amp;ROUND((G1015-AM1015)*F1015,0)&amp;"; ","")&amp;IF(AND(BT1015=1,BU1015&lt;BV1015),"MAX &lt; MB+LG; ","")&amp;IF(AND(BZ1015&gt;0,BY1015*10&gt;BZ1015),"zu hoch für Tablar; ","")&amp;IF(AND(BK1015=0,OR(BT1015=1,V1015&lt;&gt;"",S1015&lt;&gt;"",T1015&lt;&gt;"",W1015&lt;&gt;"")),"manuell übersteuert; ","")&amp;IF(AND(BO1015=0,Q1015=0),"Gebinde unbekannt; ","")&amp;IF(AND(BO1015=0,N(T1015)&lt;=0,N(P1015)&lt;=0),"Menge pro Gebinde fehlt (Ist = 1 Gebinde); ","")&amp;BJ1015)</f>
        <v/>
      </c>
      <c r="BC1015" s="53" t="n"/>
      <c r="BD1015" s="53" t="n"/>
      <c r="BE1015" s="61" t="n"/>
      <c r="BF1015" s="55" t="n">
        <v>-3</v>
      </c>
      <c r="BG1015" s="55" t="n">
        <v>12</v>
      </c>
      <c r="BH1015" s="54" t="n">
        <v>-112.71</v>
      </c>
      <c r="BI1015" s="55" t="n">
        <v>0</v>
      </c>
      <c r="BJ1015" s="53" t="inlineStr"/>
      <c r="BK1015" s="58" t="n">
        <v>0</v>
      </c>
      <c r="BL1015" s="58" t="n">
        <v>1015</v>
      </c>
      <c r="BM1015" s="53">
        <f>IF(S1015&lt;&gt;"",UPPER(TRIM(S1015)),IF(O1015="","LOSE",O1015))</f>
        <v/>
      </c>
      <c r="BN1015" s="55">
        <f>IF(BM1015="LOSE",1,IF(N(T1015)&gt;0,T1015,IF(N(P1015)&gt;0,P1015,MAX(1,G1015))))</f>
        <v/>
      </c>
      <c r="BO1015" s="58">
        <f>IF(BM1015="LOSE",1,0)</f>
        <v/>
      </c>
      <c r="BP1015" s="64">
        <f>IF(BO1015=0,0,IF(N(R1015)&gt;0,R1015,IFERROR(VLOOKUP(D1015,Parameter!$A$35:$C$64,3,0)+0,0)))</f>
        <v/>
      </c>
      <c r="BQ1015" s="53">
        <f>IF(V1015&lt;&gt;"",V1015,U1015)</f>
        <v/>
      </c>
      <c r="BR1015" s="53">
        <f>IF(BQ1015=1,"L1",IF(OR(BQ1015=2,BQ1015=3),"L23",IF(BQ1015="Aussen","Aussen","-")))</f>
        <v/>
      </c>
      <c r="BS1015" s="66">
        <f>IF(N(W1015)&gt;0,W1015,0)</f>
        <v/>
      </c>
      <c r="BT1015" s="58">
        <f>IF(ISNUMBER(Z1015),1,0)</f>
        <v/>
      </c>
      <c r="BU1015" s="55">
        <f>N(Z1015)</f>
        <v/>
      </c>
      <c r="BV1015" s="55">
        <f>N(L1015)+N(M1015)</f>
        <v/>
      </c>
      <c r="BW1015" s="55">
        <f>ROUNDUP(G1015/BN1015,0)</f>
        <v/>
      </c>
      <c r="BX1015" s="55">
        <f>ROUNDUP(BU1015/BN1015,0)</f>
        <v/>
      </c>
      <c r="BY1015" s="58">
        <f>IF(BO1015=1,0,IFERROR(VLOOKUP(BM1015,'Gebinde-Kategorie'!$A$5:$G$45,5,0)+0,0))</f>
        <v/>
      </c>
      <c r="BZ1015" s="58">
        <f>IFERROR(IF(OR(BQ1015=1,BQ1015=2,BQ1015=3),N(INDEX(Parameter!$I$5:$I$7,BQ1015)),0),0)</f>
        <v/>
      </c>
    </row>
    <row r="1016">
      <c r="A1016" s="53" t="inlineStr">
        <is>
          <t>110041</t>
        </is>
      </c>
      <c r="B1016" s="53" t="inlineStr">
        <is>
          <t>Ordner</t>
        </is>
      </c>
      <c r="C1016" s="53" t="inlineStr">
        <is>
          <t>G</t>
        </is>
      </c>
      <c r="D1016" s="53" t="inlineStr">
        <is>
          <t>KTL</t>
        </is>
      </c>
      <c r="E1016" s="53" t="inlineStr">
        <is>
          <t>C</t>
        </is>
      </c>
      <c r="F1016" s="54" t="n">
        <v>8.06</v>
      </c>
      <c r="G1016" s="55">
        <f>MAX(0,IF(Parameter!$B$20="Jahresanfang 2025 + Export",BG1016+BF1016,BF1016))</f>
        <v/>
      </c>
      <c r="H1016" s="55">
        <f>G1016*F1016</f>
        <v/>
      </c>
      <c r="I1016" s="55">
        <f>BI1016*Parameter!$B$18</f>
        <v/>
      </c>
      <c r="J1016" s="56" t="n">
        <v>14</v>
      </c>
      <c r="K1016" s="57" t="n">
        <v>1</v>
      </c>
      <c r="L1016" s="55" t="n">
        <v>0</v>
      </c>
      <c r="M1016" s="55" t="n">
        <v>15</v>
      </c>
      <c r="N1016" s="58" t="n">
        <v>14</v>
      </c>
      <c r="O1016" s="53" t="inlineStr">
        <is>
          <t>LOSE</t>
        </is>
      </c>
      <c r="P1016" s="55" t="n"/>
      <c r="Q1016" s="59">
        <f>IF(BO1016=1,0,IFERROR(VLOOKUP(BM1016,'Gebinde-Kategorie'!$A$5:$G$45,6,0)+0,0))</f>
        <v/>
      </c>
      <c r="R1016" s="60" t="n"/>
      <c r="S1016" s="61" t="n"/>
      <c r="T1016" s="61" t="n"/>
      <c r="U1016" s="53">
        <f>IF(A1016="","",IF(IFERROR(VLOOKUP(D1016,Parameter!$A$35:$C$64,2,0),"Nein")="2+3",IF(ISNUMBER(SEARCH("grosser Artikel",BJ1016)),2,IFERROR(VLOOKUP(BM1016,Parameter!$F$35:$G$64,2,0),2)),IF(OR(IFERROR(VLOOKUP(D1016,Parameter!$A$35:$C$64,2,0),"Nein")="Nein",IFERROR(VLOOKUP(D1016,Parameter!$A$35:$C$64,2,0),"Nein")=""),"-",VLOOKUP(D1016,Parameter!$A$35:$C$64,2,0))))</f>
        <v/>
      </c>
      <c r="V1016" s="61" t="n"/>
      <c r="W1016" s="62" t="n"/>
      <c r="X1016" s="55">
        <f>AM1016</f>
        <v/>
      </c>
      <c r="Y1016" s="55">
        <f>MAX(AM1016,G1016)</f>
        <v/>
      </c>
      <c r="Z1016" s="63" t="n"/>
      <c r="AA1016" s="55">
        <f>IF(LEFT(Cockpit!$C$5,1)="A",G1016,IF(BT1016=1,BU1016,IF(LEFT(Cockpit!$C$5,1)="B",AE1016,MAX(AE1016,G1016))))</f>
        <v/>
      </c>
      <c r="AB1016" s="55">
        <f>IF(BO1016=1,0,ROUNDUP(AA1016/BN1016,0))</f>
        <v/>
      </c>
      <c r="AC1016" s="64">
        <f>IF(BO1016=1,IF(AA1016&lt;=0,0,BP1016*MAX(1,IF(G1016&gt;0,AA1016/G1016,1))),AB1016*Q1016)</f>
        <v/>
      </c>
      <c r="AD1016" s="55">
        <f>AA1016*F1016</f>
        <v/>
      </c>
      <c r="AE1016" s="55">
        <f>ROUNDUP(MAX(I1016/IF(BS1016&gt;0,BS1016,MAX(0.1,N(Cockpit!$C$6))),BV1016)/BN1016,0)*BN1016</f>
        <v/>
      </c>
      <c r="AF1016" s="56">
        <f>IF(AC1016&gt;0,I1016/AC1016,-1)</f>
        <v/>
      </c>
      <c r="AG1016" s="56">
        <f>IF(AND(OR(BR1016="L1",BR1016="L23"),AC1016&gt;0),SUMIFS($AC$7:$AC$1570,$BR$7:$BR$1570,BR1016,$AF$7:$AF$1570,"&gt;"&amp;AF1016)+SUMIFS($AC$7:$AC$1570,$BR$7:$BR$1570,BR1016,$AF$7:$AF$1570,AF1016,$BL$7:$BL$1570,"&lt;="&amp;BL1016),"")</f>
        <v/>
      </c>
      <c r="AH1016" s="65">
        <f>IF(AG1016="",0,MAX(0,MIN(1,(IF(BR1016="L1",Parameter!$K$5,Parameter!$K$6+Parameter!$K$7)-(AG1016-AC1016))/AC1016)))</f>
        <v/>
      </c>
      <c r="AI1016" s="55">
        <f>IF(LEFT(Cockpit!$I$5,1)="A",G1016,IF(BT1016=1,BU1016,IF(LEFT(Cockpit!$I$5,1)="B",AM1016,MAX(AM1016,G1016))))</f>
        <v/>
      </c>
      <c r="AJ1016" s="55">
        <f>IF(BO1016=1,0,ROUNDUP(AI1016/BN1016,0))</f>
        <v/>
      </c>
      <c r="AK1016" s="64">
        <f>IF(BO1016=1,IF(AI1016&lt;=0,0,BP1016*MAX(1,IF(G1016&gt;0,AI1016/G1016,1))),AJ1016*Q1016)</f>
        <v/>
      </c>
      <c r="AL1016" s="55">
        <f>AI1016*F1016</f>
        <v/>
      </c>
      <c r="AM1016" s="55">
        <f>ROUNDUP(MAX(I1016/IF(BS1016&gt;0,BS1016,MAX(0.1,N(Cockpit!$I$6))),BV1016)/BN1016,0)*BN1016</f>
        <v/>
      </c>
      <c r="AN1016" s="56">
        <f>IF(AK1016&gt;0,I1016/AK1016,-1)</f>
        <v/>
      </c>
      <c r="AO1016" s="56">
        <f>IF(AND(OR(BR1016="L1",BR1016="L23"),AK1016&gt;0),SUMIFS($AK$7:$AK$1570,$BR$7:$BR$1570,BR1016,$AN$7:$AN$1570,"&gt;"&amp;AN1016)+SUMIFS($AK$7:$AK$1570,$BR$7:$BR$1570,BR1016,$AN$7:$AN$1570,AN1016,$BL$7:$BL$1570,"&lt;="&amp;BL1016),"")</f>
        <v/>
      </c>
      <c r="AP1016" s="65">
        <f>IF(AO1016="",0,MAX(0,MIN(1,(IF(BR1016="L1",Parameter!$K$5,Parameter!$K$6+Parameter!$K$7)-(AO1016-AK1016))/AK1016)))</f>
        <v/>
      </c>
      <c r="AQ1016" s="55">
        <f>IF(LEFT(Cockpit!$O$5,1)="A",G1016,IF(BT1016=1,BU1016,IF(LEFT(Cockpit!$O$5,1)="B",AU1016,MAX(AU1016,G1016))))</f>
        <v/>
      </c>
      <c r="AR1016" s="55">
        <f>IF(BO1016=1,0,ROUNDUP(AQ1016/BN1016,0))</f>
        <v/>
      </c>
      <c r="AS1016" s="64">
        <f>IF(BO1016=1,IF(AQ1016&lt;=0,0,BP1016*MAX(1,IF(G1016&gt;0,AQ1016/G1016,1))),AR1016*Q1016)</f>
        <v/>
      </c>
      <c r="AT1016" s="55">
        <f>AQ1016*F1016</f>
        <v/>
      </c>
      <c r="AU1016" s="55">
        <f>ROUNDUP(MAX(I1016/IF(BS1016&gt;0,BS1016,MAX(0.1,N(Cockpit!$O$6))),BV1016)/BN1016,0)*BN1016</f>
        <v/>
      </c>
      <c r="AV1016" s="56">
        <f>IF(AS1016&gt;0,I1016/AS1016,-1)</f>
        <v/>
      </c>
      <c r="AW1016" s="56">
        <f>IF(AND(OR(BR1016="L1",BR1016="L23"),AS1016&gt;0),SUMIFS($AS$7:$AS$1570,$BR$7:$BR$1570,BR1016,$AV$7:$AV$1570,"&gt;"&amp;AV1016)+SUMIFS($AS$7:$AS$1570,$BR$7:$BR$1570,BR1016,$AV$7:$AV$1570,AV1016,$BL$7:$BL$1570,"&lt;="&amp;BL1016),"")</f>
        <v/>
      </c>
      <c r="AX1016" s="65">
        <f>IF(AW1016="",0,MAX(0,MIN(1,(IF(BR1016="L1",Parameter!$K$5,Parameter!$K$6+Parameter!$K$7)-(AW1016-AS1016))/AS1016)))</f>
        <v/>
      </c>
      <c r="AY1016" s="53">
        <f>IF(AC1016&lt;=0,"",IF(BR1016="Aussen","Aussenlager",IF(BR1016="-","Nicht im Lift",IF(AH1016&gt;=1,"Lift",IF(AH1016&lt;=0,"Aussenlager","teilweise")))))</f>
        <v/>
      </c>
      <c r="AZ1016" s="53">
        <f>IF(AK1016&lt;=0,"",IF(BR1016="Aussen","Aussenlager",IF(BR1016="-","Nicht im Lift",IF(AP1016&gt;=1,"Lift",IF(AP1016&lt;=0,"Aussenlager","teilweise")))))</f>
        <v/>
      </c>
      <c r="BA1016" s="53">
        <f>IF(AS1016&lt;=0,"",IF(BR1016="Aussen","Aussenlager",IF(BR1016="-","Nicht im Lift",IF(AX1016&gt;=1,"Lift",IF(AX1016&lt;=0,"Aussenlager","teilweise")))))</f>
        <v/>
      </c>
      <c r="BB1016" s="53">
        <f>IF(A1016="","",IF(BK1016=1,"Neu; ","")&amp;IF(AND(BK1016=0,BF1016&lt;0),"negativer Bestand (Export "&amp;BF1016&amp;"); ","")&amp;IF(I1016&lt;=0,"Kein Verbrauch; ","")&amp;IF(BO1016=1,"Lose – Fläche geschätzt; ","")&amp;IF(G1016&gt;AM1016,"Überbestand "&amp;ROUND(G1016-AM1016,0)&amp;" Stk / CHF "&amp;ROUND((G1016-AM1016)*F1016,0)&amp;"; ","")&amp;IF(AND(BT1016=1,BU1016&lt;BV1016),"MAX &lt; MB+LG; ","")&amp;IF(AND(BZ1016&gt;0,BY1016*10&gt;BZ1016),"zu hoch für Tablar; ","")&amp;IF(AND(BK1016=0,OR(BT1016=1,V1016&lt;&gt;"",S1016&lt;&gt;"",T1016&lt;&gt;"",W1016&lt;&gt;"")),"manuell übersteuert; ","")&amp;IF(AND(BO1016=0,Q1016=0),"Gebinde unbekannt; ","")&amp;IF(AND(BO1016=0,N(T1016)&lt;=0,N(P1016)&lt;=0),"Menge pro Gebinde fehlt (Ist = 1 Gebinde); ","")&amp;BJ1016)</f>
        <v/>
      </c>
      <c r="BC1016" s="53" t="n"/>
      <c r="BD1016" s="53" t="n"/>
      <c r="BE1016" s="61" t="n"/>
      <c r="BF1016" s="55" t="n">
        <v>-14</v>
      </c>
      <c r="BG1016" s="55" t="n">
        <v>28</v>
      </c>
      <c r="BH1016" s="54" t="n">
        <v>-112.84</v>
      </c>
      <c r="BI1016" s="55" t="n">
        <v>14</v>
      </c>
      <c r="BJ1016" s="53" t="inlineStr"/>
      <c r="BK1016" s="58" t="n">
        <v>0</v>
      </c>
      <c r="BL1016" s="58" t="n">
        <v>1016</v>
      </c>
      <c r="BM1016" s="53">
        <f>IF(S1016&lt;&gt;"",UPPER(TRIM(S1016)),IF(O1016="","LOSE",O1016))</f>
        <v/>
      </c>
      <c r="BN1016" s="55">
        <f>IF(BM1016="LOSE",1,IF(N(T1016)&gt;0,T1016,IF(N(P1016)&gt;0,P1016,MAX(1,G1016))))</f>
        <v/>
      </c>
      <c r="BO1016" s="58">
        <f>IF(BM1016="LOSE",1,0)</f>
        <v/>
      </c>
      <c r="BP1016" s="64">
        <f>IF(BO1016=0,0,IF(N(R1016)&gt;0,R1016,IFERROR(VLOOKUP(D1016,Parameter!$A$35:$C$64,3,0)+0,0)))</f>
        <v/>
      </c>
      <c r="BQ1016" s="53">
        <f>IF(V1016&lt;&gt;"",V1016,U1016)</f>
        <v/>
      </c>
      <c r="BR1016" s="53">
        <f>IF(BQ1016=1,"L1",IF(OR(BQ1016=2,BQ1016=3),"L23",IF(BQ1016="Aussen","Aussen","-")))</f>
        <v/>
      </c>
      <c r="BS1016" s="66">
        <f>IF(N(W1016)&gt;0,W1016,0)</f>
        <v/>
      </c>
      <c r="BT1016" s="58">
        <f>IF(ISNUMBER(Z1016),1,0)</f>
        <v/>
      </c>
      <c r="BU1016" s="55">
        <f>N(Z1016)</f>
        <v/>
      </c>
      <c r="BV1016" s="55">
        <f>N(L1016)+N(M1016)</f>
        <v/>
      </c>
      <c r="BW1016" s="55">
        <f>ROUNDUP(G1016/BN1016,0)</f>
        <v/>
      </c>
      <c r="BX1016" s="55">
        <f>ROUNDUP(BU1016/BN1016,0)</f>
        <v/>
      </c>
      <c r="BY1016" s="58">
        <f>IF(BO1016=1,0,IFERROR(VLOOKUP(BM1016,'Gebinde-Kategorie'!$A$5:$G$45,5,0)+0,0))</f>
        <v/>
      </c>
      <c r="BZ1016" s="58">
        <f>IFERROR(IF(OR(BQ1016=1,BQ1016=2,BQ1016=3),N(INDEX(Parameter!$I$5:$I$7,BQ1016)),0),0)</f>
        <v/>
      </c>
    </row>
    <row r="1017">
      <c r="A1017" s="53" t="inlineStr">
        <is>
          <t>107108</t>
        </is>
      </c>
      <c r="B1017" s="53" t="inlineStr">
        <is>
          <t>Steckschlüsseleinsatz</t>
        </is>
      </c>
      <c r="C1017" s="53" t="inlineStr">
        <is>
          <t>F</t>
        </is>
      </c>
      <c r="D1017" s="53" t="inlineStr">
        <is>
          <t>KTL</t>
        </is>
      </c>
      <c r="E1017" s="53" t="inlineStr">
        <is>
          <t>C</t>
        </is>
      </c>
      <c r="F1017" s="54" t="n">
        <v>10.72</v>
      </c>
      <c r="G1017" s="55">
        <f>MAX(0,IF(Parameter!$B$20="Jahresanfang 2025 + Export",BG1017+BF1017,BF1017))</f>
        <v/>
      </c>
      <c r="H1017" s="55">
        <f>G1017*F1017</f>
        <v/>
      </c>
      <c r="I1017" s="55">
        <f>BI1017*Parameter!$B$18</f>
        <v/>
      </c>
      <c r="J1017" s="56" t="n">
        <v>7.5</v>
      </c>
      <c r="K1017" s="57" t="n">
        <v>1.066666666666667</v>
      </c>
      <c r="L1017" s="55" t="n">
        <v>0</v>
      </c>
      <c r="M1017" s="55" t="n">
        <v>10</v>
      </c>
      <c r="N1017" s="58" t="n">
        <v>18</v>
      </c>
      <c r="O1017" s="53" t="inlineStr">
        <is>
          <t>S32</t>
        </is>
      </c>
      <c r="P1017" s="55" t="n">
        <v>23</v>
      </c>
      <c r="Q1017" s="59">
        <f>IF(BO1017=1,0,IFERROR(VLOOKUP(BM1017,'Gebinde-Kategorie'!$A$5:$G$45,6,0)+0,0))</f>
        <v/>
      </c>
      <c r="R1017" s="60" t="n"/>
      <c r="S1017" s="61" t="n"/>
      <c r="T1017" s="61" t="n"/>
      <c r="U1017" s="53">
        <f>IF(A1017="","",IF(IFERROR(VLOOKUP(D1017,Parameter!$A$35:$C$64,2,0),"Nein")="2+3",IF(ISNUMBER(SEARCH("grosser Artikel",BJ1017)),2,IFERROR(VLOOKUP(BM1017,Parameter!$F$35:$G$64,2,0),2)),IF(OR(IFERROR(VLOOKUP(D1017,Parameter!$A$35:$C$64,2,0),"Nein")="Nein",IFERROR(VLOOKUP(D1017,Parameter!$A$35:$C$64,2,0),"Nein")=""),"-",VLOOKUP(D1017,Parameter!$A$35:$C$64,2,0))))</f>
        <v/>
      </c>
      <c r="V1017" s="61" t="n"/>
      <c r="W1017" s="62" t="n"/>
      <c r="X1017" s="55">
        <f>AM1017</f>
        <v/>
      </c>
      <c r="Y1017" s="55">
        <f>MAX(AM1017,G1017)</f>
        <v/>
      </c>
      <c r="Z1017" s="63" t="n"/>
      <c r="AA1017" s="55">
        <f>IF(LEFT(Cockpit!$C$5,1)="A",G1017,IF(BT1017=1,BU1017,IF(LEFT(Cockpit!$C$5,1)="B",AE1017,MAX(AE1017,G1017))))</f>
        <v/>
      </c>
      <c r="AB1017" s="55">
        <f>IF(BO1017=1,0,ROUNDUP(AA1017/BN1017,0))</f>
        <v/>
      </c>
      <c r="AC1017" s="64">
        <f>IF(BO1017=1,IF(AA1017&lt;=0,0,BP1017*MAX(1,IF(G1017&gt;0,AA1017/G1017,1))),AB1017*Q1017)</f>
        <v/>
      </c>
      <c r="AD1017" s="55">
        <f>AA1017*F1017</f>
        <v/>
      </c>
      <c r="AE1017" s="55">
        <f>ROUNDUP(MAX(I1017/IF(BS1017&gt;0,BS1017,MAX(0.1,N(Cockpit!$C$6))),BV1017)/BN1017,0)*BN1017</f>
        <v/>
      </c>
      <c r="AF1017" s="56">
        <f>IF(AC1017&gt;0,I1017/AC1017,-1)</f>
        <v/>
      </c>
      <c r="AG1017" s="56">
        <f>IF(AND(OR(BR1017="L1",BR1017="L23"),AC1017&gt;0),SUMIFS($AC$7:$AC$1570,$BR$7:$BR$1570,BR1017,$AF$7:$AF$1570,"&gt;"&amp;AF1017)+SUMIFS($AC$7:$AC$1570,$BR$7:$BR$1570,BR1017,$AF$7:$AF$1570,AF1017,$BL$7:$BL$1570,"&lt;="&amp;BL1017),"")</f>
        <v/>
      </c>
      <c r="AH1017" s="65">
        <f>IF(AG1017="",0,MAX(0,MIN(1,(IF(BR1017="L1",Parameter!$K$5,Parameter!$K$6+Parameter!$K$7)-(AG1017-AC1017))/AC1017)))</f>
        <v/>
      </c>
      <c r="AI1017" s="55">
        <f>IF(LEFT(Cockpit!$I$5,1)="A",G1017,IF(BT1017=1,BU1017,IF(LEFT(Cockpit!$I$5,1)="B",AM1017,MAX(AM1017,G1017))))</f>
        <v/>
      </c>
      <c r="AJ1017" s="55">
        <f>IF(BO1017=1,0,ROUNDUP(AI1017/BN1017,0))</f>
        <v/>
      </c>
      <c r="AK1017" s="64">
        <f>IF(BO1017=1,IF(AI1017&lt;=0,0,BP1017*MAX(1,IF(G1017&gt;0,AI1017/G1017,1))),AJ1017*Q1017)</f>
        <v/>
      </c>
      <c r="AL1017" s="55">
        <f>AI1017*F1017</f>
        <v/>
      </c>
      <c r="AM1017" s="55">
        <f>ROUNDUP(MAX(I1017/IF(BS1017&gt;0,BS1017,MAX(0.1,N(Cockpit!$I$6))),BV1017)/BN1017,0)*BN1017</f>
        <v/>
      </c>
      <c r="AN1017" s="56">
        <f>IF(AK1017&gt;0,I1017/AK1017,-1)</f>
        <v/>
      </c>
      <c r="AO1017" s="56">
        <f>IF(AND(OR(BR1017="L1",BR1017="L23"),AK1017&gt;0),SUMIFS($AK$7:$AK$1570,$BR$7:$BR$1570,BR1017,$AN$7:$AN$1570,"&gt;"&amp;AN1017)+SUMIFS($AK$7:$AK$1570,$BR$7:$BR$1570,BR1017,$AN$7:$AN$1570,AN1017,$BL$7:$BL$1570,"&lt;="&amp;BL1017),"")</f>
        <v/>
      </c>
      <c r="AP1017" s="65">
        <f>IF(AO1017="",0,MAX(0,MIN(1,(IF(BR1017="L1",Parameter!$K$5,Parameter!$K$6+Parameter!$K$7)-(AO1017-AK1017))/AK1017)))</f>
        <v/>
      </c>
      <c r="AQ1017" s="55">
        <f>IF(LEFT(Cockpit!$O$5,1)="A",G1017,IF(BT1017=1,BU1017,IF(LEFT(Cockpit!$O$5,1)="B",AU1017,MAX(AU1017,G1017))))</f>
        <v/>
      </c>
      <c r="AR1017" s="55">
        <f>IF(BO1017=1,0,ROUNDUP(AQ1017/BN1017,0))</f>
        <v/>
      </c>
      <c r="AS1017" s="64">
        <f>IF(BO1017=1,IF(AQ1017&lt;=0,0,BP1017*MAX(1,IF(G1017&gt;0,AQ1017/G1017,1))),AR1017*Q1017)</f>
        <v/>
      </c>
      <c r="AT1017" s="55">
        <f>AQ1017*F1017</f>
        <v/>
      </c>
      <c r="AU1017" s="55">
        <f>ROUNDUP(MAX(I1017/IF(BS1017&gt;0,BS1017,MAX(0.1,N(Cockpit!$O$6))),BV1017)/BN1017,0)*BN1017</f>
        <v/>
      </c>
      <c r="AV1017" s="56">
        <f>IF(AS1017&gt;0,I1017/AS1017,-1)</f>
        <v/>
      </c>
      <c r="AW1017" s="56">
        <f>IF(AND(OR(BR1017="L1",BR1017="L23"),AS1017&gt;0),SUMIFS($AS$7:$AS$1570,$BR$7:$BR$1570,BR1017,$AV$7:$AV$1570,"&gt;"&amp;AV1017)+SUMIFS($AS$7:$AS$1570,$BR$7:$BR$1570,BR1017,$AV$7:$AV$1570,AV1017,$BL$7:$BL$1570,"&lt;="&amp;BL1017),"")</f>
        <v/>
      </c>
      <c r="AX1017" s="65">
        <f>IF(AW1017="",0,MAX(0,MIN(1,(IF(BR1017="L1",Parameter!$K$5,Parameter!$K$6+Parameter!$K$7)-(AW1017-AS1017))/AS1017)))</f>
        <v/>
      </c>
      <c r="AY1017" s="53">
        <f>IF(AC1017&lt;=0,"",IF(BR1017="Aussen","Aussenlager",IF(BR1017="-","Nicht im Lift",IF(AH1017&gt;=1,"Lift",IF(AH1017&lt;=0,"Aussenlager","teilweise")))))</f>
        <v/>
      </c>
      <c r="AZ1017" s="53">
        <f>IF(AK1017&lt;=0,"",IF(BR1017="Aussen","Aussenlager",IF(BR1017="-","Nicht im Lift",IF(AP1017&gt;=1,"Lift",IF(AP1017&lt;=0,"Aussenlager","teilweise")))))</f>
        <v/>
      </c>
      <c r="BA1017" s="53">
        <f>IF(AS1017&lt;=0,"",IF(BR1017="Aussen","Aussenlager",IF(BR1017="-","Nicht im Lift",IF(AX1017&gt;=1,"Lift",IF(AX1017&lt;=0,"Aussenlager","teilweise")))))</f>
        <v/>
      </c>
      <c r="BB1017" s="53">
        <f>IF(A1017="","",IF(BK1017=1,"Neu; ","")&amp;IF(AND(BK1017=0,BF1017&lt;0),"negativer Bestand (Export "&amp;BF1017&amp;"); ","")&amp;IF(I1017&lt;=0,"Kein Verbrauch; ","")&amp;IF(BO1017=1,"Lose – Fläche geschätzt; ","")&amp;IF(G1017&gt;AM1017,"Überbestand "&amp;ROUND(G1017-AM1017,0)&amp;" Stk / CHF "&amp;ROUND((G1017-AM1017)*F1017,0)&amp;"; ","")&amp;IF(AND(BT1017=1,BU1017&lt;BV1017),"MAX &lt; MB+LG; ","")&amp;IF(AND(BZ1017&gt;0,BY1017*10&gt;BZ1017),"zu hoch für Tablar; ","")&amp;IF(AND(BK1017=0,OR(BT1017=1,V1017&lt;&gt;"",S1017&lt;&gt;"",T1017&lt;&gt;"",W1017&lt;&gt;"")),"manuell übersteuert; ","")&amp;IF(AND(BO1017=0,Q1017=0),"Gebinde unbekannt; ","")&amp;IF(AND(BO1017=0,N(T1017)&lt;=0,N(P1017)&lt;=0),"Menge pro Gebinde fehlt (Ist = 1 Gebinde); ","")&amp;BJ1017)</f>
        <v/>
      </c>
      <c r="BC1017" s="53" t="n"/>
      <c r="BD1017" s="53" t="n"/>
      <c r="BE1017" s="61" t="n"/>
      <c r="BF1017" s="55" t="n">
        <v>-9</v>
      </c>
      <c r="BG1017" s="55" t="n">
        <v>12</v>
      </c>
      <c r="BH1017" s="54" t="n">
        <v>-113.16</v>
      </c>
      <c r="BI1017" s="55" t="n">
        <v>8</v>
      </c>
      <c r="BJ1017" s="53" t="inlineStr"/>
      <c r="BK1017" s="58" t="n">
        <v>0</v>
      </c>
      <c r="BL1017" s="58" t="n">
        <v>1017</v>
      </c>
      <c r="BM1017" s="53">
        <f>IF(S1017&lt;&gt;"",UPPER(TRIM(S1017)),IF(O1017="","LOSE",O1017))</f>
        <v/>
      </c>
      <c r="BN1017" s="55">
        <f>IF(BM1017="LOSE",1,IF(N(T1017)&gt;0,T1017,IF(N(P1017)&gt;0,P1017,MAX(1,G1017))))</f>
        <v/>
      </c>
      <c r="BO1017" s="58">
        <f>IF(BM1017="LOSE",1,0)</f>
        <v/>
      </c>
      <c r="BP1017" s="64">
        <f>IF(BO1017=0,0,IF(N(R1017)&gt;0,R1017,IFERROR(VLOOKUP(D1017,Parameter!$A$35:$C$64,3,0)+0,0)))</f>
        <v/>
      </c>
      <c r="BQ1017" s="53">
        <f>IF(V1017&lt;&gt;"",V1017,U1017)</f>
        <v/>
      </c>
      <c r="BR1017" s="53">
        <f>IF(BQ1017=1,"L1",IF(OR(BQ1017=2,BQ1017=3),"L23",IF(BQ1017="Aussen","Aussen","-")))</f>
        <v/>
      </c>
      <c r="BS1017" s="66">
        <f>IF(N(W1017)&gt;0,W1017,0)</f>
        <v/>
      </c>
      <c r="BT1017" s="58">
        <f>IF(ISNUMBER(Z1017),1,0)</f>
        <v/>
      </c>
      <c r="BU1017" s="55">
        <f>N(Z1017)</f>
        <v/>
      </c>
      <c r="BV1017" s="55">
        <f>N(L1017)+N(M1017)</f>
        <v/>
      </c>
      <c r="BW1017" s="55">
        <f>ROUNDUP(G1017/BN1017,0)</f>
        <v/>
      </c>
      <c r="BX1017" s="55">
        <f>ROUNDUP(BU1017/BN1017,0)</f>
        <v/>
      </c>
      <c r="BY1017" s="58">
        <f>IF(BO1017=1,0,IFERROR(VLOOKUP(BM1017,'Gebinde-Kategorie'!$A$5:$G$45,5,0)+0,0))</f>
        <v/>
      </c>
      <c r="BZ1017" s="58">
        <f>IFERROR(IF(OR(BQ1017=1,BQ1017=2,BQ1017=3),N(INDEX(Parameter!$I$5:$I$7,BQ1017)),0),0)</f>
        <v/>
      </c>
    </row>
    <row r="1018">
      <c r="A1018" s="53" t="inlineStr">
        <is>
          <t>108081</t>
        </is>
      </c>
      <c r="B1018" s="53" t="inlineStr">
        <is>
          <t>Innenbox SPGr10 SVC2 3/4</t>
        </is>
      </c>
      <c r="C1018" s="53" t="inlineStr">
        <is>
          <t>G</t>
        </is>
      </c>
      <c r="D1018" s="53" t="inlineStr">
        <is>
          <t>PAL</t>
        </is>
      </c>
      <c r="E1018" s="53" t="inlineStr">
        <is>
          <t>C</t>
        </is>
      </c>
      <c r="F1018" s="54" t="n">
        <v>114.36</v>
      </c>
      <c r="G1018" s="55">
        <f>MAX(0,IF(Parameter!$B$20="Jahresanfang 2025 + Export",BG1018+BF1018,BF1018))</f>
        <v/>
      </c>
      <c r="H1018" s="55">
        <f>G1018*F1018</f>
        <v/>
      </c>
      <c r="I1018" s="55">
        <f>BI1018*Parameter!$B$18</f>
        <v/>
      </c>
      <c r="J1018" s="56" t="n">
        <v>0.5</v>
      </c>
      <c r="K1018" s="57" t="n">
        <v>0</v>
      </c>
      <c r="L1018" s="55" t="n">
        <v>0</v>
      </c>
      <c r="M1018" s="55" t="n">
        <v>1</v>
      </c>
      <c r="N1018" s="58" t="n">
        <v>56</v>
      </c>
      <c r="O1018" s="53" t="inlineStr">
        <is>
          <t>LOSE</t>
        </is>
      </c>
      <c r="P1018" s="55" t="n"/>
      <c r="Q1018" s="59">
        <f>IF(BO1018=1,0,IFERROR(VLOOKUP(BM1018,'Gebinde-Kategorie'!$A$5:$G$45,6,0)+0,0))</f>
        <v/>
      </c>
      <c r="R1018" s="60" t="n"/>
      <c r="S1018" s="61" t="n"/>
      <c r="T1018" s="61" t="n"/>
      <c r="U1018" s="53">
        <f>IF(A1018="","",IF(IFERROR(VLOOKUP(D1018,Parameter!$A$35:$C$64,2,0),"Nein")="2+3",IF(ISNUMBER(SEARCH("grosser Artikel",BJ1018)),2,IFERROR(VLOOKUP(BM1018,Parameter!$F$35:$G$64,2,0),2)),IF(OR(IFERROR(VLOOKUP(D1018,Parameter!$A$35:$C$64,2,0),"Nein")="Nein",IFERROR(VLOOKUP(D1018,Parameter!$A$35:$C$64,2,0),"Nein")=""),"-",VLOOKUP(D1018,Parameter!$A$35:$C$64,2,0))))</f>
        <v/>
      </c>
      <c r="V1018" s="61" t="n"/>
      <c r="W1018" s="62" t="n"/>
      <c r="X1018" s="55">
        <f>AM1018</f>
        <v/>
      </c>
      <c r="Y1018" s="55">
        <f>MAX(AM1018,G1018)</f>
        <v/>
      </c>
      <c r="Z1018" s="63" t="n"/>
      <c r="AA1018" s="55">
        <f>IF(LEFT(Cockpit!$C$5,1)="A",G1018,IF(BT1018=1,BU1018,IF(LEFT(Cockpit!$C$5,1)="B",AE1018,MAX(AE1018,G1018))))</f>
        <v/>
      </c>
      <c r="AB1018" s="55">
        <f>IF(BO1018=1,0,ROUNDUP(AA1018/BN1018,0))</f>
        <v/>
      </c>
      <c r="AC1018" s="64">
        <f>IF(BO1018=1,IF(AA1018&lt;=0,0,BP1018*MAX(1,IF(G1018&gt;0,AA1018/G1018,1))),AB1018*Q1018)</f>
        <v/>
      </c>
      <c r="AD1018" s="55">
        <f>AA1018*F1018</f>
        <v/>
      </c>
      <c r="AE1018" s="55">
        <f>ROUNDUP(MAX(I1018/IF(BS1018&gt;0,BS1018,MAX(0.1,N(Cockpit!$C$6))),BV1018)/BN1018,0)*BN1018</f>
        <v/>
      </c>
      <c r="AF1018" s="56">
        <f>IF(AC1018&gt;0,I1018/AC1018,-1)</f>
        <v/>
      </c>
      <c r="AG1018" s="56">
        <f>IF(AND(OR(BR1018="L1",BR1018="L23"),AC1018&gt;0),SUMIFS($AC$7:$AC$1570,$BR$7:$BR$1570,BR1018,$AF$7:$AF$1570,"&gt;"&amp;AF1018)+SUMIFS($AC$7:$AC$1570,$BR$7:$BR$1570,BR1018,$AF$7:$AF$1570,AF1018,$BL$7:$BL$1570,"&lt;="&amp;BL1018),"")</f>
        <v/>
      </c>
      <c r="AH1018" s="65">
        <f>IF(AG1018="",0,MAX(0,MIN(1,(IF(BR1018="L1",Parameter!$K$5,Parameter!$K$6+Parameter!$K$7)-(AG1018-AC1018))/AC1018)))</f>
        <v/>
      </c>
      <c r="AI1018" s="55">
        <f>IF(LEFT(Cockpit!$I$5,1)="A",G1018,IF(BT1018=1,BU1018,IF(LEFT(Cockpit!$I$5,1)="B",AM1018,MAX(AM1018,G1018))))</f>
        <v/>
      </c>
      <c r="AJ1018" s="55">
        <f>IF(BO1018=1,0,ROUNDUP(AI1018/BN1018,0))</f>
        <v/>
      </c>
      <c r="AK1018" s="64">
        <f>IF(BO1018=1,IF(AI1018&lt;=0,0,BP1018*MAX(1,IF(G1018&gt;0,AI1018/G1018,1))),AJ1018*Q1018)</f>
        <v/>
      </c>
      <c r="AL1018" s="55">
        <f>AI1018*F1018</f>
        <v/>
      </c>
      <c r="AM1018" s="55">
        <f>ROUNDUP(MAX(I1018/IF(BS1018&gt;0,BS1018,MAX(0.1,N(Cockpit!$I$6))),BV1018)/BN1018,0)*BN1018</f>
        <v/>
      </c>
      <c r="AN1018" s="56">
        <f>IF(AK1018&gt;0,I1018/AK1018,-1)</f>
        <v/>
      </c>
      <c r="AO1018" s="56">
        <f>IF(AND(OR(BR1018="L1",BR1018="L23"),AK1018&gt;0),SUMIFS($AK$7:$AK$1570,$BR$7:$BR$1570,BR1018,$AN$7:$AN$1570,"&gt;"&amp;AN1018)+SUMIFS($AK$7:$AK$1570,$BR$7:$BR$1570,BR1018,$AN$7:$AN$1570,AN1018,$BL$7:$BL$1570,"&lt;="&amp;BL1018),"")</f>
        <v/>
      </c>
      <c r="AP1018" s="65">
        <f>IF(AO1018="",0,MAX(0,MIN(1,(IF(BR1018="L1",Parameter!$K$5,Parameter!$K$6+Parameter!$K$7)-(AO1018-AK1018))/AK1018)))</f>
        <v/>
      </c>
      <c r="AQ1018" s="55">
        <f>IF(LEFT(Cockpit!$O$5,1)="A",G1018,IF(BT1018=1,BU1018,IF(LEFT(Cockpit!$O$5,1)="B",AU1018,MAX(AU1018,G1018))))</f>
        <v/>
      </c>
      <c r="AR1018" s="55">
        <f>IF(BO1018=1,0,ROUNDUP(AQ1018/BN1018,0))</f>
        <v/>
      </c>
      <c r="AS1018" s="64">
        <f>IF(BO1018=1,IF(AQ1018&lt;=0,0,BP1018*MAX(1,IF(G1018&gt;0,AQ1018/G1018,1))),AR1018*Q1018)</f>
        <v/>
      </c>
      <c r="AT1018" s="55">
        <f>AQ1018*F1018</f>
        <v/>
      </c>
      <c r="AU1018" s="55">
        <f>ROUNDUP(MAX(I1018/IF(BS1018&gt;0,BS1018,MAX(0.1,N(Cockpit!$O$6))),BV1018)/BN1018,0)*BN1018</f>
        <v/>
      </c>
      <c r="AV1018" s="56">
        <f>IF(AS1018&gt;0,I1018/AS1018,-1)</f>
        <v/>
      </c>
      <c r="AW1018" s="56">
        <f>IF(AND(OR(BR1018="L1",BR1018="L23"),AS1018&gt;0),SUMIFS($AS$7:$AS$1570,$BR$7:$BR$1570,BR1018,$AV$7:$AV$1570,"&gt;"&amp;AV1018)+SUMIFS($AS$7:$AS$1570,$BR$7:$BR$1570,BR1018,$AV$7:$AV$1570,AV1018,$BL$7:$BL$1570,"&lt;="&amp;BL1018),"")</f>
        <v/>
      </c>
      <c r="AX1018" s="65">
        <f>IF(AW1018="",0,MAX(0,MIN(1,(IF(BR1018="L1",Parameter!$K$5,Parameter!$K$6+Parameter!$K$7)-(AW1018-AS1018))/AS1018)))</f>
        <v/>
      </c>
      <c r="AY1018" s="53">
        <f>IF(AC1018&lt;=0,"",IF(BR1018="Aussen","Aussenlager",IF(BR1018="-","Nicht im Lift",IF(AH1018&gt;=1,"Lift",IF(AH1018&lt;=0,"Aussenlager","teilweise")))))</f>
        <v/>
      </c>
      <c r="AZ1018" s="53">
        <f>IF(AK1018&lt;=0,"",IF(BR1018="Aussen","Aussenlager",IF(BR1018="-","Nicht im Lift",IF(AP1018&gt;=1,"Lift",IF(AP1018&lt;=0,"Aussenlager","teilweise")))))</f>
        <v/>
      </c>
      <c r="BA1018" s="53">
        <f>IF(AS1018&lt;=0,"",IF(BR1018="Aussen","Aussenlager",IF(BR1018="-","Nicht im Lift",IF(AX1018&gt;=1,"Lift",IF(AX1018&lt;=0,"Aussenlager","teilweise")))))</f>
        <v/>
      </c>
      <c r="BB1018" s="53">
        <f>IF(A1018="","",IF(BK1018=1,"Neu; ","")&amp;IF(AND(BK1018=0,BF1018&lt;0),"negativer Bestand (Export "&amp;BF1018&amp;"); ","")&amp;IF(I1018&lt;=0,"Kein Verbrauch; ","")&amp;IF(BO1018=1,"Lose – Fläche geschätzt; ","")&amp;IF(G1018&gt;AM1018,"Überbestand "&amp;ROUND(G1018-AM1018,0)&amp;" Stk / CHF "&amp;ROUND((G1018-AM1018)*F1018,0)&amp;"; ","")&amp;IF(AND(BT1018=1,BU1018&lt;BV1018),"MAX &lt; MB+LG; ","")&amp;IF(AND(BZ1018&gt;0,BY1018*10&gt;BZ1018),"zu hoch für Tablar; ","")&amp;IF(AND(BK1018=0,OR(BT1018=1,V1018&lt;&gt;"",S1018&lt;&gt;"",T1018&lt;&gt;"",W1018&lt;&gt;"")),"manuell übersteuert; ","")&amp;IF(AND(BO1018=0,Q1018=0),"Gebinde unbekannt; ","")&amp;IF(AND(BO1018=0,N(T1018)&lt;=0,N(P1018)&lt;=0),"Menge pro Gebinde fehlt (Ist = 1 Gebinde); ","")&amp;BJ1018)</f>
        <v/>
      </c>
      <c r="BC1018" s="53" t="n"/>
      <c r="BD1018" s="53" t="n"/>
      <c r="BE1018" s="61" t="n"/>
      <c r="BF1018" s="55" t="n">
        <v>-1</v>
      </c>
      <c r="BG1018" s="55" t="n">
        <v>1</v>
      </c>
      <c r="BH1018" s="54" t="n">
        <v>-114.36</v>
      </c>
      <c r="BI1018" s="55" t="n">
        <v>0</v>
      </c>
      <c r="BJ1018" s="53" t="inlineStr">
        <is>
          <t>Neu</t>
        </is>
      </c>
      <c r="BK1018" s="58" t="n">
        <v>0</v>
      </c>
      <c r="BL1018" s="58" t="n">
        <v>1018</v>
      </c>
      <c r="BM1018" s="53">
        <f>IF(S1018&lt;&gt;"",UPPER(TRIM(S1018)),IF(O1018="","LOSE",O1018))</f>
        <v/>
      </c>
      <c r="BN1018" s="55">
        <f>IF(BM1018="LOSE",1,IF(N(T1018)&gt;0,T1018,IF(N(P1018)&gt;0,P1018,MAX(1,G1018))))</f>
        <v/>
      </c>
      <c r="BO1018" s="58">
        <f>IF(BM1018="LOSE",1,0)</f>
        <v/>
      </c>
      <c r="BP1018" s="64">
        <f>IF(BO1018=0,0,IF(N(R1018)&gt;0,R1018,IFERROR(VLOOKUP(D1018,Parameter!$A$35:$C$64,3,0)+0,0)))</f>
        <v/>
      </c>
      <c r="BQ1018" s="53">
        <f>IF(V1018&lt;&gt;"",V1018,U1018)</f>
        <v/>
      </c>
      <c r="BR1018" s="53">
        <f>IF(BQ1018=1,"L1",IF(OR(BQ1018=2,BQ1018=3),"L23",IF(BQ1018="Aussen","Aussen","-")))</f>
        <v/>
      </c>
      <c r="BS1018" s="66">
        <f>IF(N(W1018)&gt;0,W1018,0)</f>
        <v/>
      </c>
      <c r="BT1018" s="58">
        <f>IF(ISNUMBER(Z1018),1,0)</f>
        <v/>
      </c>
      <c r="BU1018" s="55">
        <f>N(Z1018)</f>
        <v/>
      </c>
      <c r="BV1018" s="55">
        <f>N(L1018)+N(M1018)</f>
        <v/>
      </c>
      <c r="BW1018" s="55">
        <f>ROUNDUP(G1018/BN1018,0)</f>
        <v/>
      </c>
      <c r="BX1018" s="55">
        <f>ROUNDUP(BU1018/BN1018,0)</f>
        <v/>
      </c>
      <c r="BY1018" s="58">
        <f>IF(BO1018=1,0,IFERROR(VLOOKUP(BM1018,'Gebinde-Kategorie'!$A$5:$G$45,5,0)+0,0))</f>
        <v/>
      </c>
      <c r="BZ1018" s="58">
        <f>IFERROR(IF(OR(BQ1018=1,BQ1018=2,BQ1018=3),N(INDEX(Parameter!$I$5:$I$7,BQ1018)),0),0)</f>
        <v/>
      </c>
    </row>
    <row r="1019">
      <c r="A1019" s="53" t="inlineStr">
        <is>
          <t>101571</t>
        </is>
      </c>
      <c r="B1019" s="53" t="inlineStr">
        <is>
          <t>Stützring</t>
        </is>
      </c>
      <c r="C1019" s="53" t="inlineStr">
        <is>
          <t>F</t>
        </is>
      </c>
      <c r="D1019" s="53" t="inlineStr">
        <is>
          <t>KTL</t>
        </is>
      </c>
      <c r="E1019" s="53" t="inlineStr">
        <is>
          <t>C</t>
        </is>
      </c>
      <c r="F1019" s="54" t="n">
        <v>2.19</v>
      </c>
      <c r="G1019" s="55">
        <f>MAX(0,IF(Parameter!$B$20="Jahresanfang 2025 + Export",BG1019+BF1019,BF1019))</f>
        <v/>
      </c>
      <c r="H1019" s="55">
        <f>G1019*F1019</f>
        <v/>
      </c>
      <c r="I1019" s="55">
        <f>BI1019*Parameter!$B$18</f>
        <v/>
      </c>
      <c r="J1019" s="56" t="n">
        <v>145</v>
      </c>
      <c r="K1019" s="57" t="n">
        <v>1</v>
      </c>
      <c r="L1019" s="55" t="n">
        <v>5</v>
      </c>
      <c r="M1019" s="55" t="n">
        <v>145</v>
      </c>
      <c r="N1019" s="58" t="n">
        <v>14</v>
      </c>
      <c r="O1019" s="53" t="inlineStr">
        <is>
          <t>S32</t>
        </is>
      </c>
      <c r="P1019" s="55" t="n">
        <v>275</v>
      </c>
      <c r="Q1019" s="59">
        <f>IF(BO1019=1,0,IFERROR(VLOOKUP(BM1019,'Gebinde-Kategorie'!$A$5:$G$45,6,0)+0,0))</f>
        <v/>
      </c>
      <c r="R1019" s="60" t="n"/>
      <c r="S1019" s="61" t="n"/>
      <c r="T1019" s="61" t="n"/>
      <c r="U1019" s="53">
        <f>IF(A1019="","",IF(IFERROR(VLOOKUP(D1019,Parameter!$A$35:$C$64,2,0),"Nein")="2+3",IF(ISNUMBER(SEARCH("grosser Artikel",BJ1019)),2,IFERROR(VLOOKUP(BM1019,Parameter!$F$35:$G$64,2,0),2)),IF(OR(IFERROR(VLOOKUP(D1019,Parameter!$A$35:$C$64,2,0),"Nein")="Nein",IFERROR(VLOOKUP(D1019,Parameter!$A$35:$C$64,2,0),"Nein")=""),"-",VLOOKUP(D1019,Parameter!$A$35:$C$64,2,0))))</f>
        <v/>
      </c>
      <c r="V1019" s="61" t="n"/>
      <c r="W1019" s="62" t="n"/>
      <c r="X1019" s="55">
        <f>AM1019</f>
        <v/>
      </c>
      <c r="Y1019" s="55">
        <f>MAX(AM1019,G1019)</f>
        <v/>
      </c>
      <c r="Z1019" s="63" t="n"/>
      <c r="AA1019" s="55">
        <f>IF(LEFT(Cockpit!$C$5,1)="A",G1019,IF(BT1019=1,BU1019,IF(LEFT(Cockpit!$C$5,1)="B",AE1019,MAX(AE1019,G1019))))</f>
        <v/>
      </c>
      <c r="AB1019" s="55">
        <f>IF(BO1019=1,0,ROUNDUP(AA1019/BN1019,0))</f>
        <v/>
      </c>
      <c r="AC1019" s="64">
        <f>IF(BO1019=1,IF(AA1019&lt;=0,0,BP1019*MAX(1,IF(G1019&gt;0,AA1019/G1019,1))),AB1019*Q1019)</f>
        <v/>
      </c>
      <c r="AD1019" s="55">
        <f>AA1019*F1019</f>
        <v/>
      </c>
      <c r="AE1019" s="55">
        <f>ROUNDUP(MAX(I1019/IF(BS1019&gt;0,BS1019,MAX(0.1,N(Cockpit!$C$6))),BV1019)/BN1019,0)*BN1019</f>
        <v/>
      </c>
      <c r="AF1019" s="56">
        <f>IF(AC1019&gt;0,I1019/AC1019,-1)</f>
        <v/>
      </c>
      <c r="AG1019" s="56">
        <f>IF(AND(OR(BR1019="L1",BR1019="L23"),AC1019&gt;0),SUMIFS($AC$7:$AC$1570,$BR$7:$BR$1570,BR1019,$AF$7:$AF$1570,"&gt;"&amp;AF1019)+SUMIFS($AC$7:$AC$1570,$BR$7:$BR$1570,BR1019,$AF$7:$AF$1570,AF1019,$BL$7:$BL$1570,"&lt;="&amp;BL1019),"")</f>
        <v/>
      </c>
      <c r="AH1019" s="65">
        <f>IF(AG1019="",0,MAX(0,MIN(1,(IF(BR1019="L1",Parameter!$K$5,Parameter!$K$6+Parameter!$K$7)-(AG1019-AC1019))/AC1019)))</f>
        <v/>
      </c>
      <c r="AI1019" s="55">
        <f>IF(LEFT(Cockpit!$I$5,1)="A",G1019,IF(BT1019=1,BU1019,IF(LEFT(Cockpit!$I$5,1)="B",AM1019,MAX(AM1019,G1019))))</f>
        <v/>
      </c>
      <c r="AJ1019" s="55">
        <f>IF(BO1019=1,0,ROUNDUP(AI1019/BN1019,0))</f>
        <v/>
      </c>
      <c r="AK1019" s="64">
        <f>IF(BO1019=1,IF(AI1019&lt;=0,0,BP1019*MAX(1,IF(G1019&gt;0,AI1019/G1019,1))),AJ1019*Q1019)</f>
        <v/>
      </c>
      <c r="AL1019" s="55">
        <f>AI1019*F1019</f>
        <v/>
      </c>
      <c r="AM1019" s="55">
        <f>ROUNDUP(MAX(I1019/IF(BS1019&gt;0,BS1019,MAX(0.1,N(Cockpit!$I$6))),BV1019)/BN1019,0)*BN1019</f>
        <v/>
      </c>
      <c r="AN1019" s="56">
        <f>IF(AK1019&gt;0,I1019/AK1019,-1)</f>
        <v/>
      </c>
      <c r="AO1019" s="56">
        <f>IF(AND(OR(BR1019="L1",BR1019="L23"),AK1019&gt;0),SUMIFS($AK$7:$AK$1570,$BR$7:$BR$1570,BR1019,$AN$7:$AN$1570,"&gt;"&amp;AN1019)+SUMIFS($AK$7:$AK$1570,$BR$7:$BR$1570,BR1019,$AN$7:$AN$1570,AN1019,$BL$7:$BL$1570,"&lt;="&amp;BL1019),"")</f>
        <v/>
      </c>
      <c r="AP1019" s="65">
        <f>IF(AO1019="",0,MAX(0,MIN(1,(IF(BR1019="L1",Parameter!$K$5,Parameter!$K$6+Parameter!$K$7)-(AO1019-AK1019))/AK1019)))</f>
        <v/>
      </c>
      <c r="AQ1019" s="55">
        <f>IF(LEFT(Cockpit!$O$5,1)="A",G1019,IF(BT1019=1,BU1019,IF(LEFT(Cockpit!$O$5,1)="B",AU1019,MAX(AU1019,G1019))))</f>
        <v/>
      </c>
      <c r="AR1019" s="55">
        <f>IF(BO1019=1,0,ROUNDUP(AQ1019/BN1019,0))</f>
        <v/>
      </c>
      <c r="AS1019" s="64">
        <f>IF(BO1019=1,IF(AQ1019&lt;=0,0,BP1019*MAX(1,IF(G1019&gt;0,AQ1019/G1019,1))),AR1019*Q1019)</f>
        <v/>
      </c>
      <c r="AT1019" s="55">
        <f>AQ1019*F1019</f>
        <v/>
      </c>
      <c r="AU1019" s="55">
        <f>ROUNDUP(MAX(I1019/IF(BS1019&gt;0,BS1019,MAX(0.1,N(Cockpit!$O$6))),BV1019)/BN1019,0)*BN1019</f>
        <v/>
      </c>
      <c r="AV1019" s="56">
        <f>IF(AS1019&gt;0,I1019/AS1019,-1)</f>
        <v/>
      </c>
      <c r="AW1019" s="56">
        <f>IF(AND(OR(BR1019="L1",BR1019="L23"),AS1019&gt;0),SUMIFS($AS$7:$AS$1570,$BR$7:$BR$1570,BR1019,$AV$7:$AV$1570,"&gt;"&amp;AV1019)+SUMIFS($AS$7:$AS$1570,$BR$7:$BR$1570,BR1019,$AV$7:$AV$1570,AV1019,$BL$7:$BL$1570,"&lt;="&amp;BL1019),"")</f>
        <v/>
      </c>
      <c r="AX1019" s="65">
        <f>IF(AW1019="",0,MAX(0,MIN(1,(IF(BR1019="L1",Parameter!$K$5,Parameter!$K$6+Parameter!$K$7)-(AW1019-AS1019))/AS1019)))</f>
        <v/>
      </c>
      <c r="AY1019" s="53">
        <f>IF(AC1019&lt;=0,"",IF(BR1019="Aussen","Aussenlager",IF(BR1019="-","Nicht im Lift",IF(AH1019&gt;=1,"Lift",IF(AH1019&lt;=0,"Aussenlager","teilweise")))))</f>
        <v/>
      </c>
      <c r="AZ1019" s="53">
        <f>IF(AK1019&lt;=0,"",IF(BR1019="Aussen","Aussenlager",IF(BR1019="-","Nicht im Lift",IF(AP1019&gt;=1,"Lift",IF(AP1019&lt;=0,"Aussenlager","teilweise")))))</f>
        <v/>
      </c>
      <c r="BA1019" s="53">
        <f>IF(AS1019&lt;=0,"",IF(BR1019="Aussen","Aussenlager",IF(BR1019="-","Nicht im Lift",IF(AX1019&gt;=1,"Lift",IF(AX1019&lt;=0,"Aussenlager","teilweise")))))</f>
        <v/>
      </c>
      <c r="BB1019" s="53">
        <f>IF(A1019="","",IF(BK1019=1,"Neu; ","")&amp;IF(AND(BK1019=0,BF1019&lt;0),"negativer Bestand (Export "&amp;BF1019&amp;"); ","")&amp;IF(I1019&lt;=0,"Kein Verbrauch; ","")&amp;IF(BO1019=1,"Lose – Fläche geschätzt; ","")&amp;IF(G1019&gt;AM1019,"Überbestand "&amp;ROUND(G1019-AM1019,0)&amp;" Stk / CHF "&amp;ROUND((G1019-AM1019)*F1019,0)&amp;"; ","")&amp;IF(AND(BT1019=1,BU1019&lt;BV1019),"MAX &lt; MB+LG; ","")&amp;IF(AND(BZ1019&gt;0,BY1019*10&gt;BZ1019),"zu hoch für Tablar; ","")&amp;IF(AND(BK1019=0,OR(BT1019=1,V1019&lt;&gt;"",S1019&lt;&gt;"",T1019&lt;&gt;"",W1019&lt;&gt;"")),"manuell übersteuert; ","")&amp;IF(AND(BO1019=0,Q1019=0),"Gebinde unbekannt; ","")&amp;IF(AND(BO1019=0,N(T1019)&lt;=0,N(P1019)&lt;=0),"Menge pro Gebinde fehlt (Ist = 1 Gebinde); ","")&amp;BJ1019)</f>
        <v/>
      </c>
      <c r="BC1019" s="53" t="n"/>
      <c r="BD1019" s="53" t="n"/>
      <c r="BE1019" s="61" t="n"/>
      <c r="BF1019" s="55" t="n">
        <v>-52</v>
      </c>
      <c r="BG1019" s="55" t="n">
        <v>129</v>
      </c>
      <c r="BH1019" s="54" t="n">
        <v>-115.1299999999998</v>
      </c>
      <c r="BI1019" s="55" t="n">
        <v>145</v>
      </c>
      <c r="BJ1019" s="53" t="inlineStr"/>
      <c r="BK1019" s="58" t="n">
        <v>0</v>
      </c>
      <c r="BL1019" s="58" t="n">
        <v>1019</v>
      </c>
      <c r="BM1019" s="53">
        <f>IF(S1019&lt;&gt;"",UPPER(TRIM(S1019)),IF(O1019="","LOSE",O1019))</f>
        <v/>
      </c>
      <c r="BN1019" s="55">
        <f>IF(BM1019="LOSE",1,IF(N(T1019)&gt;0,T1019,IF(N(P1019)&gt;0,P1019,MAX(1,G1019))))</f>
        <v/>
      </c>
      <c r="BO1019" s="58">
        <f>IF(BM1019="LOSE",1,0)</f>
        <v/>
      </c>
      <c r="BP1019" s="64">
        <f>IF(BO1019=0,0,IF(N(R1019)&gt;0,R1019,IFERROR(VLOOKUP(D1019,Parameter!$A$35:$C$64,3,0)+0,0)))</f>
        <v/>
      </c>
      <c r="BQ1019" s="53">
        <f>IF(V1019&lt;&gt;"",V1019,U1019)</f>
        <v/>
      </c>
      <c r="BR1019" s="53">
        <f>IF(BQ1019=1,"L1",IF(OR(BQ1019=2,BQ1019=3),"L23",IF(BQ1019="Aussen","Aussen","-")))</f>
        <v/>
      </c>
      <c r="BS1019" s="66">
        <f>IF(N(W1019)&gt;0,W1019,0)</f>
        <v/>
      </c>
      <c r="BT1019" s="58">
        <f>IF(ISNUMBER(Z1019),1,0)</f>
        <v/>
      </c>
      <c r="BU1019" s="55">
        <f>N(Z1019)</f>
        <v/>
      </c>
      <c r="BV1019" s="55">
        <f>N(L1019)+N(M1019)</f>
        <v/>
      </c>
      <c r="BW1019" s="55">
        <f>ROUNDUP(G1019/BN1019,0)</f>
        <v/>
      </c>
      <c r="BX1019" s="55">
        <f>ROUNDUP(BU1019/BN1019,0)</f>
        <v/>
      </c>
      <c r="BY1019" s="58">
        <f>IF(BO1019=1,0,IFERROR(VLOOKUP(BM1019,'Gebinde-Kategorie'!$A$5:$G$45,5,0)+0,0))</f>
        <v/>
      </c>
      <c r="BZ1019" s="58">
        <f>IFERROR(IF(OR(BQ1019=1,BQ1019=2,BQ1019=3),N(INDEX(Parameter!$I$5:$I$7,BQ1019)),0),0)</f>
        <v/>
      </c>
    </row>
    <row r="1020">
      <c r="A1020" s="53" t="inlineStr">
        <is>
          <t>107112</t>
        </is>
      </c>
      <c r="B1020" s="53" t="inlineStr">
        <is>
          <t>Seitenschneider</t>
        </is>
      </c>
      <c r="C1020" s="53" t="inlineStr">
        <is>
          <t>F</t>
        </is>
      </c>
      <c r="D1020" s="53" t="inlineStr">
        <is>
          <t>KTL</t>
        </is>
      </c>
      <c r="E1020" s="53" t="inlineStr">
        <is>
          <t>C</t>
        </is>
      </c>
      <c r="F1020" s="54" t="n">
        <v>42.1</v>
      </c>
      <c r="G1020" s="55">
        <f>MAX(0,IF(Parameter!$B$20="Jahresanfang 2025 + Export",BG1020+BF1020,BF1020))</f>
        <v/>
      </c>
      <c r="H1020" s="55">
        <f>G1020*F1020</f>
        <v/>
      </c>
      <c r="I1020" s="55">
        <f>BI1020*Parameter!$B$18</f>
        <v/>
      </c>
      <c r="J1020" s="56" t="n">
        <v>3.5</v>
      </c>
      <c r="K1020" s="57" t="n">
        <v>1.714285714285714</v>
      </c>
      <c r="L1020" s="55" t="n">
        <v>0</v>
      </c>
      <c r="M1020" s="55" t="n">
        <v>5</v>
      </c>
      <c r="N1020" s="58" t="n">
        <v>20</v>
      </c>
      <c r="O1020" s="53" t="inlineStr">
        <is>
          <t>S33</t>
        </is>
      </c>
      <c r="P1020" s="55" t="n">
        <v>10</v>
      </c>
      <c r="Q1020" s="59">
        <f>IF(BO1020=1,0,IFERROR(VLOOKUP(BM1020,'Gebinde-Kategorie'!$A$5:$G$45,6,0)+0,0))</f>
        <v/>
      </c>
      <c r="R1020" s="60" t="n"/>
      <c r="S1020" s="61" t="n"/>
      <c r="T1020" s="61" t="n"/>
      <c r="U1020" s="53">
        <f>IF(A1020="","",IF(IFERROR(VLOOKUP(D1020,Parameter!$A$35:$C$64,2,0),"Nein")="2+3",IF(ISNUMBER(SEARCH("grosser Artikel",BJ1020)),2,IFERROR(VLOOKUP(BM1020,Parameter!$F$35:$G$64,2,0),2)),IF(OR(IFERROR(VLOOKUP(D1020,Parameter!$A$35:$C$64,2,0),"Nein")="Nein",IFERROR(VLOOKUP(D1020,Parameter!$A$35:$C$64,2,0),"Nein")=""),"-",VLOOKUP(D1020,Parameter!$A$35:$C$64,2,0))))</f>
        <v/>
      </c>
      <c r="V1020" s="61" t="n"/>
      <c r="W1020" s="62" t="n"/>
      <c r="X1020" s="55">
        <f>AM1020</f>
        <v/>
      </c>
      <c r="Y1020" s="55">
        <f>MAX(AM1020,G1020)</f>
        <v/>
      </c>
      <c r="Z1020" s="63" t="n"/>
      <c r="AA1020" s="55">
        <f>IF(LEFT(Cockpit!$C$5,1)="A",G1020,IF(BT1020=1,BU1020,IF(LEFT(Cockpit!$C$5,1)="B",AE1020,MAX(AE1020,G1020))))</f>
        <v/>
      </c>
      <c r="AB1020" s="55">
        <f>IF(BO1020=1,0,ROUNDUP(AA1020/BN1020,0))</f>
        <v/>
      </c>
      <c r="AC1020" s="64">
        <f>IF(BO1020=1,IF(AA1020&lt;=0,0,BP1020*MAX(1,IF(G1020&gt;0,AA1020/G1020,1))),AB1020*Q1020)</f>
        <v/>
      </c>
      <c r="AD1020" s="55">
        <f>AA1020*F1020</f>
        <v/>
      </c>
      <c r="AE1020" s="55">
        <f>ROUNDUP(MAX(I1020/IF(BS1020&gt;0,BS1020,MAX(0.1,N(Cockpit!$C$6))),BV1020)/BN1020,0)*BN1020</f>
        <v/>
      </c>
      <c r="AF1020" s="56">
        <f>IF(AC1020&gt;0,I1020/AC1020,-1)</f>
        <v/>
      </c>
      <c r="AG1020" s="56">
        <f>IF(AND(OR(BR1020="L1",BR1020="L23"),AC1020&gt;0),SUMIFS($AC$7:$AC$1570,$BR$7:$BR$1570,BR1020,$AF$7:$AF$1570,"&gt;"&amp;AF1020)+SUMIFS($AC$7:$AC$1570,$BR$7:$BR$1570,BR1020,$AF$7:$AF$1570,AF1020,$BL$7:$BL$1570,"&lt;="&amp;BL1020),"")</f>
        <v/>
      </c>
      <c r="AH1020" s="65">
        <f>IF(AG1020="",0,MAX(0,MIN(1,(IF(BR1020="L1",Parameter!$K$5,Parameter!$K$6+Parameter!$K$7)-(AG1020-AC1020))/AC1020)))</f>
        <v/>
      </c>
      <c r="AI1020" s="55">
        <f>IF(LEFT(Cockpit!$I$5,1)="A",G1020,IF(BT1020=1,BU1020,IF(LEFT(Cockpit!$I$5,1)="B",AM1020,MAX(AM1020,G1020))))</f>
        <v/>
      </c>
      <c r="AJ1020" s="55">
        <f>IF(BO1020=1,0,ROUNDUP(AI1020/BN1020,0))</f>
        <v/>
      </c>
      <c r="AK1020" s="64">
        <f>IF(BO1020=1,IF(AI1020&lt;=0,0,BP1020*MAX(1,IF(G1020&gt;0,AI1020/G1020,1))),AJ1020*Q1020)</f>
        <v/>
      </c>
      <c r="AL1020" s="55">
        <f>AI1020*F1020</f>
        <v/>
      </c>
      <c r="AM1020" s="55">
        <f>ROUNDUP(MAX(I1020/IF(BS1020&gt;0,BS1020,MAX(0.1,N(Cockpit!$I$6))),BV1020)/BN1020,0)*BN1020</f>
        <v/>
      </c>
      <c r="AN1020" s="56">
        <f>IF(AK1020&gt;0,I1020/AK1020,-1)</f>
        <v/>
      </c>
      <c r="AO1020" s="56">
        <f>IF(AND(OR(BR1020="L1",BR1020="L23"),AK1020&gt;0),SUMIFS($AK$7:$AK$1570,$BR$7:$BR$1570,BR1020,$AN$7:$AN$1570,"&gt;"&amp;AN1020)+SUMIFS($AK$7:$AK$1570,$BR$7:$BR$1570,BR1020,$AN$7:$AN$1570,AN1020,$BL$7:$BL$1570,"&lt;="&amp;BL1020),"")</f>
        <v/>
      </c>
      <c r="AP1020" s="65">
        <f>IF(AO1020="",0,MAX(0,MIN(1,(IF(BR1020="L1",Parameter!$K$5,Parameter!$K$6+Parameter!$K$7)-(AO1020-AK1020))/AK1020)))</f>
        <v/>
      </c>
      <c r="AQ1020" s="55">
        <f>IF(LEFT(Cockpit!$O$5,1)="A",G1020,IF(BT1020=1,BU1020,IF(LEFT(Cockpit!$O$5,1)="B",AU1020,MAX(AU1020,G1020))))</f>
        <v/>
      </c>
      <c r="AR1020" s="55">
        <f>IF(BO1020=1,0,ROUNDUP(AQ1020/BN1020,0))</f>
        <v/>
      </c>
      <c r="AS1020" s="64">
        <f>IF(BO1020=1,IF(AQ1020&lt;=0,0,BP1020*MAX(1,IF(G1020&gt;0,AQ1020/G1020,1))),AR1020*Q1020)</f>
        <v/>
      </c>
      <c r="AT1020" s="55">
        <f>AQ1020*F1020</f>
        <v/>
      </c>
      <c r="AU1020" s="55">
        <f>ROUNDUP(MAX(I1020/IF(BS1020&gt;0,BS1020,MAX(0.1,N(Cockpit!$O$6))),BV1020)/BN1020,0)*BN1020</f>
        <v/>
      </c>
      <c r="AV1020" s="56">
        <f>IF(AS1020&gt;0,I1020/AS1020,-1)</f>
        <v/>
      </c>
      <c r="AW1020" s="56">
        <f>IF(AND(OR(BR1020="L1",BR1020="L23"),AS1020&gt;0),SUMIFS($AS$7:$AS$1570,$BR$7:$BR$1570,BR1020,$AV$7:$AV$1570,"&gt;"&amp;AV1020)+SUMIFS($AS$7:$AS$1570,$BR$7:$BR$1570,BR1020,$AV$7:$AV$1570,AV1020,$BL$7:$BL$1570,"&lt;="&amp;BL1020),"")</f>
        <v/>
      </c>
      <c r="AX1020" s="65">
        <f>IF(AW1020="",0,MAX(0,MIN(1,(IF(BR1020="L1",Parameter!$K$5,Parameter!$K$6+Parameter!$K$7)-(AW1020-AS1020))/AS1020)))</f>
        <v/>
      </c>
      <c r="AY1020" s="53">
        <f>IF(AC1020&lt;=0,"",IF(BR1020="Aussen","Aussenlager",IF(BR1020="-","Nicht im Lift",IF(AH1020&gt;=1,"Lift",IF(AH1020&lt;=0,"Aussenlager","teilweise")))))</f>
        <v/>
      </c>
      <c r="AZ1020" s="53">
        <f>IF(AK1020&lt;=0,"",IF(BR1020="Aussen","Aussenlager",IF(BR1020="-","Nicht im Lift",IF(AP1020&gt;=1,"Lift",IF(AP1020&lt;=0,"Aussenlager","teilweise")))))</f>
        <v/>
      </c>
      <c r="BA1020" s="53">
        <f>IF(AS1020&lt;=0,"",IF(BR1020="Aussen","Aussenlager",IF(BR1020="-","Nicht im Lift",IF(AX1020&gt;=1,"Lift",IF(AX1020&lt;=0,"Aussenlager","teilweise")))))</f>
        <v/>
      </c>
      <c r="BB1020" s="53">
        <f>IF(A1020="","",IF(BK1020=1,"Neu; ","")&amp;IF(AND(BK1020=0,BF1020&lt;0),"negativer Bestand (Export "&amp;BF1020&amp;"); ","")&amp;IF(I1020&lt;=0,"Kein Verbrauch; ","")&amp;IF(BO1020=1,"Lose – Fläche geschätzt; ","")&amp;IF(G1020&gt;AM1020,"Überbestand "&amp;ROUND(G1020-AM1020,0)&amp;" Stk / CHF "&amp;ROUND((G1020-AM1020)*F1020,0)&amp;"; ","")&amp;IF(AND(BT1020=1,BU1020&lt;BV1020),"MAX &lt; MB+LG; ","")&amp;IF(AND(BZ1020&gt;0,BY1020*10&gt;BZ1020),"zu hoch für Tablar; ","")&amp;IF(AND(BK1020=0,OR(BT1020=1,V1020&lt;&gt;"",S1020&lt;&gt;"",T1020&lt;&gt;"",W1020&lt;&gt;"")),"manuell übersteuert; ","")&amp;IF(AND(BO1020=0,Q1020=0),"Gebinde unbekannt; ","")&amp;IF(AND(BO1020=0,N(T1020)&lt;=0,N(P1020)&lt;=0),"Menge pro Gebinde fehlt (Ist = 1 Gebinde); ","")&amp;BJ1020)</f>
        <v/>
      </c>
      <c r="BC1020" s="53" t="n"/>
      <c r="BD1020" s="53" t="n"/>
      <c r="BE1020" s="61" t="n"/>
      <c r="BF1020" s="55" t="n">
        <v>-3</v>
      </c>
      <c r="BG1020" s="55" t="n">
        <v>5</v>
      </c>
      <c r="BH1020" s="54" t="n">
        <v>-116.35</v>
      </c>
      <c r="BI1020" s="55" t="n">
        <v>6</v>
      </c>
      <c r="BJ1020" s="53" t="inlineStr"/>
      <c r="BK1020" s="58" t="n">
        <v>0</v>
      </c>
      <c r="BL1020" s="58" t="n">
        <v>1020</v>
      </c>
      <c r="BM1020" s="53">
        <f>IF(S1020&lt;&gt;"",UPPER(TRIM(S1020)),IF(O1020="","LOSE",O1020))</f>
        <v/>
      </c>
      <c r="BN1020" s="55">
        <f>IF(BM1020="LOSE",1,IF(N(T1020)&gt;0,T1020,IF(N(P1020)&gt;0,P1020,MAX(1,G1020))))</f>
        <v/>
      </c>
      <c r="BO1020" s="58">
        <f>IF(BM1020="LOSE",1,0)</f>
        <v/>
      </c>
      <c r="BP1020" s="64">
        <f>IF(BO1020=0,0,IF(N(R1020)&gt;0,R1020,IFERROR(VLOOKUP(D1020,Parameter!$A$35:$C$64,3,0)+0,0)))</f>
        <v/>
      </c>
      <c r="BQ1020" s="53">
        <f>IF(V1020&lt;&gt;"",V1020,U1020)</f>
        <v/>
      </c>
      <c r="BR1020" s="53">
        <f>IF(BQ1020=1,"L1",IF(OR(BQ1020=2,BQ1020=3),"L23",IF(BQ1020="Aussen","Aussen","-")))</f>
        <v/>
      </c>
      <c r="BS1020" s="66">
        <f>IF(N(W1020)&gt;0,W1020,0)</f>
        <v/>
      </c>
      <c r="BT1020" s="58">
        <f>IF(ISNUMBER(Z1020),1,0)</f>
        <v/>
      </c>
      <c r="BU1020" s="55">
        <f>N(Z1020)</f>
        <v/>
      </c>
      <c r="BV1020" s="55">
        <f>N(L1020)+N(M1020)</f>
        <v/>
      </c>
      <c r="BW1020" s="55">
        <f>ROUNDUP(G1020/BN1020,0)</f>
        <v/>
      </c>
      <c r="BX1020" s="55">
        <f>ROUNDUP(BU1020/BN1020,0)</f>
        <v/>
      </c>
      <c r="BY1020" s="58">
        <f>IF(BO1020=1,0,IFERROR(VLOOKUP(BM1020,'Gebinde-Kategorie'!$A$5:$G$45,5,0)+0,0))</f>
        <v/>
      </c>
      <c r="BZ1020" s="58">
        <f>IFERROR(IF(OR(BQ1020=1,BQ1020=2,BQ1020=3),N(INDEX(Parameter!$I$5:$I$7,BQ1020)),0),0)</f>
        <v/>
      </c>
    </row>
    <row r="1021">
      <c r="A1021" s="53" t="inlineStr">
        <is>
          <t>101396</t>
        </is>
      </c>
      <c r="B1021" s="53" t="inlineStr">
        <is>
          <t>Zylinderschraube mit Innensechskant</t>
        </is>
      </c>
      <c r="C1021" s="53" t="inlineStr">
        <is>
          <t>F</t>
        </is>
      </c>
      <c r="D1021" s="53" t="inlineStr">
        <is>
          <t>KTL</t>
        </is>
      </c>
      <c r="E1021" s="53" t="inlineStr">
        <is>
          <t>C</t>
        </is>
      </c>
      <c r="F1021" s="54" t="n">
        <v>2.49</v>
      </c>
      <c r="G1021" s="55">
        <f>MAX(0,IF(Parameter!$B$20="Jahresanfang 2025 + Export",BG1021+BF1021,BF1021))</f>
        <v/>
      </c>
      <c r="H1021" s="55">
        <f>G1021*F1021</f>
        <v/>
      </c>
      <c r="I1021" s="55">
        <f>BI1021*Parameter!$B$18</f>
        <v/>
      </c>
      <c r="J1021" s="56" t="n">
        <v>156.5</v>
      </c>
      <c r="K1021" s="57" t="n">
        <v>0.2747603833865815</v>
      </c>
      <c r="L1021" s="55" t="n">
        <v>14</v>
      </c>
      <c r="M1021" s="55" t="n">
        <v>45</v>
      </c>
      <c r="N1021" s="58" t="n">
        <v>119</v>
      </c>
      <c r="O1021" s="53" t="inlineStr">
        <is>
          <t>S51</t>
        </is>
      </c>
      <c r="P1021" s="55" t="n">
        <v>480</v>
      </c>
      <c r="Q1021" s="59">
        <f>IF(BO1021=1,0,IFERROR(VLOOKUP(BM1021,'Gebinde-Kategorie'!$A$5:$G$45,6,0)+0,0))</f>
        <v/>
      </c>
      <c r="R1021" s="60" t="n"/>
      <c r="S1021" s="61" t="n"/>
      <c r="T1021" s="61" t="n"/>
      <c r="U1021" s="53">
        <f>IF(A1021="","",IF(IFERROR(VLOOKUP(D1021,Parameter!$A$35:$C$64,2,0),"Nein")="2+3",IF(ISNUMBER(SEARCH("grosser Artikel",BJ1021)),2,IFERROR(VLOOKUP(BM1021,Parameter!$F$35:$G$64,2,0),2)),IF(OR(IFERROR(VLOOKUP(D1021,Parameter!$A$35:$C$64,2,0),"Nein")="Nein",IFERROR(VLOOKUP(D1021,Parameter!$A$35:$C$64,2,0),"Nein")=""),"-",VLOOKUP(D1021,Parameter!$A$35:$C$64,2,0))))</f>
        <v/>
      </c>
      <c r="V1021" s="61" t="n"/>
      <c r="W1021" s="62" t="n"/>
      <c r="X1021" s="55">
        <f>AM1021</f>
        <v/>
      </c>
      <c r="Y1021" s="55">
        <f>MAX(AM1021,G1021)</f>
        <v/>
      </c>
      <c r="Z1021" s="63" t="n"/>
      <c r="AA1021" s="55">
        <f>IF(LEFT(Cockpit!$C$5,1)="A",G1021,IF(BT1021=1,BU1021,IF(LEFT(Cockpit!$C$5,1)="B",AE1021,MAX(AE1021,G1021))))</f>
        <v/>
      </c>
      <c r="AB1021" s="55">
        <f>IF(BO1021=1,0,ROUNDUP(AA1021/BN1021,0))</f>
        <v/>
      </c>
      <c r="AC1021" s="64">
        <f>IF(BO1021=1,IF(AA1021&lt;=0,0,BP1021*MAX(1,IF(G1021&gt;0,AA1021/G1021,1))),AB1021*Q1021)</f>
        <v/>
      </c>
      <c r="AD1021" s="55">
        <f>AA1021*F1021</f>
        <v/>
      </c>
      <c r="AE1021" s="55">
        <f>ROUNDUP(MAX(I1021/IF(BS1021&gt;0,BS1021,MAX(0.1,N(Cockpit!$C$6))),BV1021)/BN1021,0)*BN1021</f>
        <v/>
      </c>
      <c r="AF1021" s="56">
        <f>IF(AC1021&gt;0,I1021/AC1021,-1)</f>
        <v/>
      </c>
      <c r="AG1021" s="56">
        <f>IF(AND(OR(BR1021="L1",BR1021="L23"),AC1021&gt;0),SUMIFS($AC$7:$AC$1570,$BR$7:$BR$1570,BR1021,$AF$7:$AF$1570,"&gt;"&amp;AF1021)+SUMIFS($AC$7:$AC$1570,$BR$7:$BR$1570,BR1021,$AF$7:$AF$1570,AF1021,$BL$7:$BL$1570,"&lt;="&amp;BL1021),"")</f>
        <v/>
      </c>
      <c r="AH1021" s="65">
        <f>IF(AG1021="",0,MAX(0,MIN(1,(IF(BR1021="L1",Parameter!$K$5,Parameter!$K$6+Parameter!$K$7)-(AG1021-AC1021))/AC1021)))</f>
        <v/>
      </c>
      <c r="AI1021" s="55">
        <f>IF(LEFT(Cockpit!$I$5,1)="A",G1021,IF(BT1021=1,BU1021,IF(LEFT(Cockpit!$I$5,1)="B",AM1021,MAX(AM1021,G1021))))</f>
        <v/>
      </c>
      <c r="AJ1021" s="55">
        <f>IF(BO1021=1,0,ROUNDUP(AI1021/BN1021,0))</f>
        <v/>
      </c>
      <c r="AK1021" s="64">
        <f>IF(BO1021=1,IF(AI1021&lt;=0,0,BP1021*MAX(1,IF(G1021&gt;0,AI1021/G1021,1))),AJ1021*Q1021)</f>
        <v/>
      </c>
      <c r="AL1021" s="55">
        <f>AI1021*F1021</f>
        <v/>
      </c>
      <c r="AM1021" s="55">
        <f>ROUNDUP(MAX(I1021/IF(BS1021&gt;0,BS1021,MAX(0.1,N(Cockpit!$I$6))),BV1021)/BN1021,0)*BN1021</f>
        <v/>
      </c>
      <c r="AN1021" s="56">
        <f>IF(AK1021&gt;0,I1021/AK1021,-1)</f>
        <v/>
      </c>
      <c r="AO1021" s="56">
        <f>IF(AND(OR(BR1021="L1",BR1021="L23"),AK1021&gt;0),SUMIFS($AK$7:$AK$1570,$BR$7:$BR$1570,BR1021,$AN$7:$AN$1570,"&gt;"&amp;AN1021)+SUMIFS($AK$7:$AK$1570,$BR$7:$BR$1570,BR1021,$AN$7:$AN$1570,AN1021,$BL$7:$BL$1570,"&lt;="&amp;BL1021),"")</f>
        <v/>
      </c>
      <c r="AP1021" s="65">
        <f>IF(AO1021="",0,MAX(0,MIN(1,(IF(BR1021="L1",Parameter!$K$5,Parameter!$K$6+Parameter!$K$7)-(AO1021-AK1021))/AK1021)))</f>
        <v/>
      </c>
      <c r="AQ1021" s="55">
        <f>IF(LEFT(Cockpit!$O$5,1)="A",G1021,IF(BT1021=1,BU1021,IF(LEFT(Cockpit!$O$5,1)="B",AU1021,MAX(AU1021,G1021))))</f>
        <v/>
      </c>
      <c r="AR1021" s="55">
        <f>IF(BO1021=1,0,ROUNDUP(AQ1021/BN1021,0))</f>
        <v/>
      </c>
      <c r="AS1021" s="64">
        <f>IF(BO1021=1,IF(AQ1021&lt;=0,0,BP1021*MAX(1,IF(G1021&gt;0,AQ1021/G1021,1))),AR1021*Q1021)</f>
        <v/>
      </c>
      <c r="AT1021" s="55">
        <f>AQ1021*F1021</f>
        <v/>
      </c>
      <c r="AU1021" s="55">
        <f>ROUNDUP(MAX(I1021/IF(BS1021&gt;0,BS1021,MAX(0.1,N(Cockpit!$O$6))),BV1021)/BN1021,0)*BN1021</f>
        <v/>
      </c>
      <c r="AV1021" s="56">
        <f>IF(AS1021&gt;0,I1021/AS1021,-1)</f>
        <v/>
      </c>
      <c r="AW1021" s="56">
        <f>IF(AND(OR(BR1021="L1",BR1021="L23"),AS1021&gt;0),SUMIFS($AS$7:$AS$1570,$BR$7:$BR$1570,BR1021,$AV$7:$AV$1570,"&gt;"&amp;AV1021)+SUMIFS($AS$7:$AS$1570,$BR$7:$BR$1570,BR1021,$AV$7:$AV$1570,AV1021,$BL$7:$BL$1570,"&lt;="&amp;BL1021),"")</f>
        <v/>
      </c>
      <c r="AX1021" s="65">
        <f>IF(AW1021="",0,MAX(0,MIN(1,(IF(BR1021="L1",Parameter!$K$5,Parameter!$K$6+Parameter!$K$7)-(AW1021-AS1021))/AS1021)))</f>
        <v/>
      </c>
      <c r="AY1021" s="53">
        <f>IF(AC1021&lt;=0,"",IF(BR1021="Aussen","Aussenlager",IF(BR1021="-","Nicht im Lift",IF(AH1021&gt;=1,"Lift",IF(AH1021&lt;=0,"Aussenlager","teilweise")))))</f>
        <v/>
      </c>
      <c r="AZ1021" s="53">
        <f>IF(AK1021&lt;=0,"",IF(BR1021="Aussen","Aussenlager",IF(BR1021="-","Nicht im Lift",IF(AP1021&gt;=1,"Lift",IF(AP1021&lt;=0,"Aussenlager","teilweise")))))</f>
        <v/>
      </c>
      <c r="BA1021" s="53">
        <f>IF(AS1021&lt;=0,"",IF(BR1021="Aussen","Aussenlager",IF(BR1021="-","Nicht im Lift",IF(AX1021&gt;=1,"Lift",IF(AX1021&lt;=0,"Aussenlager","teilweise")))))</f>
        <v/>
      </c>
      <c r="BB1021" s="53">
        <f>IF(A1021="","",IF(BK1021=1,"Neu; ","")&amp;IF(AND(BK1021=0,BF1021&lt;0),"negativer Bestand (Export "&amp;BF1021&amp;"); ","")&amp;IF(I1021&lt;=0,"Kein Verbrauch; ","")&amp;IF(BO1021=1,"Lose – Fläche geschätzt; ","")&amp;IF(G1021&gt;AM1021,"Überbestand "&amp;ROUND(G1021-AM1021,0)&amp;" Stk / CHF "&amp;ROUND((G1021-AM1021)*F1021,0)&amp;"; ","")&amp;IF(AND(BT1021=1,BU1021&lt;BV1021),"MAX &lt; MB+LG; ","")&amp;IF(AND(BZ1021&gt;0,BY1021*10&gt;BZ1021),"zu hoch für Tablar; ","")&amp;IF(AND(BK1021=0,OR(BT1021=1,V1021&lt;&gt;"",S1021&lt;&gt;"",T1021&lt;&gt;"",W1021&lt;&gt;"")),"manuell übersteuert; ","")&amp;IF(AND(BO1021=0,Q1021=0),"Gebinde unbekannt; ","")&amp;IF(AND(BO1021=0,N(T1021)&lt;=0,N(P1021)&lt;=0),"Menge pro Gebinde fehlt (Ist = 1 Gebinde); ","")&amp;BJ1021)</f>
        <v/>
      </c>
      <c r="BC1021" s="53" t="n"/>
      <c r="BD1021" s="53" t="n"/>
      <c r="BE1021" s="61" t="n"/>
      <c r="BF1021" s="55" t="n">
        <v>-48</v>
      </c>
      <c r="BG1021" s="55" t="n">
        <v>177</v>
      </c>
      <c r="BH1021" s="54" t="n">
        <v>-119.52</v>
      </c>
      <c r="BI1021" s="55" t="n">
        <v>43</v>
      </c>
      <c r="BJ1021" s="53" t="inlineStr">
        <is>
          <t>twin</t>
        </is>
      </c>
      <c r="BK1021" s="58" t="n">
        <v>0</v>
      </c>
      <c r="BL1021" s="58" t="n">
        <v>1021</v>
      </c>
      <c r="BM1021" s="53">
        <f>IF(S1021&lt;&gt;"",UPPER(TRIM(S1021)),IF(O1021="","LOSE",O1021))</f>
        <v/>
      </c>
      <c r="BN1021" s="55">
        <f>IF(BM1021="LOSE",1,IF(N(T1021)&gt;0,T1021,IF(N(P1021)&gt;0,P1021,MAX(1,G1021))))</f>
        <v/>
      </c>
      <c r="BO1021" s="58">
        <f>IF(BM1021="LOSE",1,0)</f>
        <v/>
      </c>
      <c r="BP1021" s="64">
        <f>IF(BO1021=0,0,IF(N(R1021)&gt;0,R1021,IFERROR(VLOOKUP(D1021,Parameter!$A$35:$C$64,3,0)+0,0)))</f>
        <v/>
      </c>
      <c r="BQ1021" s="53">
        <f>IF(V1021&lt;&gt;"",V1021,U1021)</f>
        <v/>
      </c>
      <c r="BR1021" s="53">
        <f>IF(BQ1021=1,"L1",IF(OR(BQ1021=2,BQ1021=3),"L23",IF(BQ1021="Aussen","Aussen","-")))</f>
        <v/>
      </c>
      <c r="BS1021" s="66">
        <f>IF(N(W1021)&gt;0,W1021,0)</f>
        <v/>
      </c>
      <c r="BT1021" s="58">
        <f>IF(ISNUMBER(Z1021),1,0)</f>
        <v/>
      </c>
      <c r="BU1021" s="55">
        <f>N(Z1021)</f>
        <v/>
      </c>
      <c r="BV1021" s="55">
        <f>N(L1021)+N(M1021)</f>
        <v/>
      </c>
      <c r="BW1021" s="55">
        <f>ROUNDUP(G1021/BN1021,0)</f>
        <v/>
      </c>
      <c r="BX1021" s="55">
        <f>ROUNDUP(BU1021/BN1021,0)</f>
        <v/>
      </c>
      <c r="BY1021" s="58">
        <f>IF(BO1021=1,0,IFERROR(VLOOKUP(BM1021,'Gebinde-Kategorie'!$A$5:$G$45,5,0)+0,0))</f>
        <v/>
      </c>
      <c r="BZ1021" s="58">
        <f>IFERROR(IF(OR(BQ1021=1,BQ1021=2,BQ1021=3),N(INDEX(Parameter!$I$5:$I$7,BQ1021)),0),0)</f>
        <v/>
      </c>
    </row>
    <row r="1022">
      <c r="A1022" s="53" t="inlineStr">
        <is>
          <t>109759</t>
        </is>
      </c>
      <c r="B1022" s="53" t="inlineStr">
        <is>
          <t>Montagewinkel</t>
        </is>
      </c>
      <c r="C1022" s="53" t="inlineStr">
        <is>
          <t>G</t>
        </is>
      </c>
      <c r="D1022" s="53" t="inlineStr">
        <is>
          <t>KTL</t>
        </is>
      </c>
      <c r="E1022" s="53" t="inlineStr">
        <is>
          <t>C</t>
        </is>
      </c>
      <c r="F1022" s="54" t="n">
        <v>15.27</v>
      </c>
      <c r="G1022" s="55">
        <f>MAX(0,IF(Parameter!$B$20="Jahresanfang 2025 + Export",BG1022+BF1022,BF1022))</f>
        <v/>
      </c>
      <c r="H1022" s="55">
        <f>G1022*F1022</f>
        <v/>
      </c>
      <c r="I1022" s="55">
        <f>BI1022*Parameter!$B$18</f>
        <v/>
      </c>
      <c r="J1022" s="56" t="n">
        <v>8</v>
      </c>
      <c r="K1022" s="57" t="n">
        <v>1</v>
      </c>
      <c r="L1022" s="55" t="n">
        <v>1</v>
      </c>
      <c r="M1022" s="55" t="n">
        <v>10</v>
      </c>
      <c r="N1022" s="58" t="n">
        <v>56</v>
      </c>
      <c r="O1022" s="53" t="inlineStr">
        <is>
          <t>LOSE</t>
        </is>
      </c>
      <c r="P1022" s="55" t="n"/>
      <c r="Q1022" s="59">
        <f>IF(BO1022=1,0,IFERROR(VLOOKUP(BM1022,'Gebinde-Kategorie'!$A$5:$G$45,6,0)+0,0))</f>
        <v/>
      </c>
      <c r="R1022" s="60" t="n"/>
      <c r="S1022" s="61" t="n"/>
      <c r="T1022" s="61" t="n"/>
      <c r="U1022" s="53">
        <f>IF(A1022="","",IF(IFERROR(VLOOKUP(D1022,Parameter!$A$35:$C$64,2,0),"Nein")="2+3",IF(ISNUMBER(SEARCH("grosser Artikel",BJ1022)),2,IFERROR(VLOOKUP(BM1022,Parameter!$F$35:$G$64,2,0),2)),IF(OR(IFERROR(VLOOKUP(D1022,Parameter!$A$35:$C$64,2,0),"Nein")="Nein",IFERROR(VLOOKUP(D1022,Parameter!$A$35:$C$64,2,0),"Nein")=""),"-",VLOOKUP(D1022,Parameter!$A$35:$C$64,2,0))))</f>
        <v/>
      </c>
      <c r="V1022" s="61" t="n"/>
      <c r="W1022" s="62" t="n"/>
      <c r="X1022" s="55">
        <f>AM1022</f>
        <v/>
      </c>
      <c r="Y1022" s="55">
        <f>MAX(AM1022,G1022)</f>
        <v/>
      </c>
      <c r="Z1022" s="63" t="n"/>
      <c r="AA1022" s="55">
        <f>IF(LEFT(Cockpit!$C$5,1)="A",G1022,IF(BT1022=1,BU1022,IF(LEFT(Cockpit!$C$5,1)="B",AE1022,MAX(AE1022,G1022))))</f>
        <v/>
      </c>
      <c r="AB1022" s="55">
        <f>IF(BO1022=1,0,ROUNDUP(AA1022/BN1022,0))</f>
        <v/>
      </c>
      <c r="AC1022" s="64">
        <f>IF(BO1022=1,IF(AA1022&lt;=0,0,BP1022*MAX(1,IF(G1022&gt;0,AA1022/G1022,1))),AB1022*Q1022)</f>
        <v/>
      </c>
      <c r="AD1022" s="55">
        <f>AA1022*F1022</f>
        <v/>
      </c>
      <c r="AE1022" s="55">
        <f>ROUNDUP(MAX(I1022/IF(BS1022&gt;0,BS1022,MAX(0.1,N(Cockpit!$C$6))),BV1022)/BN1022,0)*BN1022</f>
        <v/>
      </c>
      <c r="AF1022" s="56">
        <f>IF(AC1022&gt;0,I1022/AC1022,-1)</f>
        <v/>
      </c>
      <c r="AG1022" s="56">
        <f>IF(AND(OR(BR1022="L1",BR1022="L23"),AC1022&gt;0),SUMIFS($AC$7:$AC$1570,$BR$7:$BR$1570,BR1022,$AF$7:$AF$1570,"&gt;"&amp;AF1022)+SUMIFS($AC$7:$AC$1570,$BR$7:$BR$1570,BR1022,$AF$7:$AF$1570,AF1022,$BL$7:$BL$1570,"&lt;="&amp;BL1022),"")</f>
        <v/>
      </c>
      <c r="AH1022" s="65">
        <f>IF(AG1022="",0,MAX(0,MIN(1,(IF(BR1022="L1",Parameter!$K$5,Parameter!$K$6+Parameter!$K$7)-(AG1022-AC1022))/AC1022)))</f>
        <v/>
      </c>
      <c r="AI1022" s="55">
        <f>IF(LEFT(Cockpit!$I$5,1)="A",G1022,IF(BT1022=1,BU1022,IF(LEFT(Cockpit!$I$5,1)="B",AM1022,MAX(AM1022,G1022))))</f>
        <v/>
      </c>
      <c r="AJ1022" s="55">
        <f>IF(BO1022=1,0,ROUNDUP(AI1022/BN1022,0))</f>
        <v/>
      </c>
      <c r="AK1022" s="64">
        <f>IF(BO1022=1,IF(AI1022&lt;=0,0,BP1022*MAX(1,IF(G1022&gt;0,AI1022/G1022,1))),AJ1022*Q1022)</f>
        <v/>
      </c>
      <c r="AL1022" s="55">
        <f>AI1022*F1022</f>
        <v/>
      </c>
      <c r="AM1022" s="55">
        <f>ROUNDUP(MAX(I1022/IF(BS1022&gt;0,BS1022,MAX(0.1,N(Cockpit!$I$6))),BV1022)/BN1022,0)*BN1022</f>
        <v/>
      </c>
      <c r="AN1022" s="56">
        <f>IF(AK1022&gt;0,I1022/AK1022,-1)</f>
        <v/>
      </c>
      <c r="AO1022" s="56">
        <f>IF(AND(OR(BR1022="L1",BR1022="L23"),AK1022&gt;0),SUMIFS($AK$7:$AK$1570,$BR$7:$BR$1570,BR1022,$AN$7:$AN$1570,"&gt;"&amp;AN1022)+SUMIFS($AK$7:$AK$1570,$BR$7:$BR$1570,BR1022,$AN$7:$AN$1570,AN1022,$BL$7:$BL$1570,"&lt;="&amp;BL1022),"")</f>
        <v/>
      </c>
      <c r="AP1022" s="65">
        <f>IF(AO1022="",0,MAX(0,MIN(1,(IF(BR1022="L1",Parameter!$K$5,Parameter!$K$6+Parameter!$K$7)-(AO1022-AK1022))/AK1022)))</f>
        <v/>
      </c>
      <c r="AQ1022" s="55">
        <f>IF(LEFT(Cockpit!$O$5,1)="A",G1022,IF(BT1022=1,BU1022,IF(LEFT(Cockpit!$O$5,1)="B",AU1022,MAX(AU1022,G1022))))</f>
        <v/>
      </c>
      <c r="AR1022" s="55">
        <f>IF(BO1022=1,0,ROUNDUP(AQ1022/BN1022,0))</f>
        <v/>
      </c>
      <c r="AS1022" s="64">
        <f>IF(BO1022=1,IF(AQ1022&lt;=0,0,BP1022*MAX(1,IF(G1022&gt;0,AQ1022/G1022,1))),AR1022*Q1022)</f>
        <v/>
      </c>
      <c r="AT1022" s="55">
        <f>AQ1022*F1022</f>
        <v/>
      </c>
      <c r="AU1022" s="55">
        <f>ROUNDUP(MAX(I1022/IF(BS1022&gt;0,BS1022,MAX(0.1,N(Cockpit!$O$6))),BV1022)/BN1022,0)*BN1022</f>
        <v/>
      </c>
      <c r="AV1022" s="56">
        <f>IF(AS1022&gt;0,I1022/AS1022,-1)</f>
        <v/>
      </c>
      <c r="AW1022" s="56">
        <f>IF(AND(OR(BR1022="L1",BR1022="L23"),AS1022&gt;0),SUMIFS($AS$7:$AS$1570,$BR$7:$BR$1570,BR1022,$AV$7:$AV$1570,"&gt;"&amp;AV1022)+SUMIFS($AS$7:$AS$1570,$BR$7:$BR$1570,BR1022,$AV$7:$AV$1570,AV1022,$BL$7:$BL$1570,"&lt;="&amp;BL1022),"")</f>
        <v/>
      </c>
      <c r="AX1022" s="65">
        <f>IF(AW1022="",0,MAX(0,MIN(1,(IF(BR1022="L1",Parameter!$K$5,Parameter!$K$6+Parameter!$K$7)-(AW1022-AS1022))/AS1022)))</f>
        <v/>
      </c>
      <c r="AY1022" s="53">
        <f>IF(AC1022&lt;=0,"",IF(BR1022="Aussen","Aussenlager",IF(BR1022="-","Nicht im Lift",IF(AH1022&gt;=1,"Lift",IF(AH1022&lt;=0,"Aussenlager","teilweise")))))</f>
        <v/>
      </c>
      <c r="AZ1022" s="53">
        <f>IF(AK1022&lt;=0,"",IF(BR1022="Aussen","Aussenlager",IF(BR1022="-","Nicht im Lift",IF(AP1022&gt;=1,"Lift",IF(AP1022&lt;=0,"Aussenlager","teilweise")))))</f>
        <v/>
      </c>
      <c r="BA1022" s="53">
        <f>IF(AS1022&lt;=0,"",IF(BR1022="Aussen","Aussenlager",IF(BR1022="-","Nicht im Lift",IF(AX1022&gt;=1,"Lift",IF(AX1022&lt;=0,"Aussenlager","teilweise")))))</f>
        <v/>
      </c>
      <c r="BB1022" s="53">
        <f>IF(A1022="","",IF(BK1022=1,"Neu; ","")&amp;IF(AND(BK1022=0,BF1022&lt;0),"negativer Bestand (Export "&amp;BF1022&amp;"); ","")&amp;IF(I1022&lt;=0,"Kein Verbrauch; ","")&amp;IF(BO1022=1,"Lose – Fläche geschätzt; ","")&amp;IF(G1022&gt;AM1022,"Überbestand "&amp;ROUND(G1022-AM1022,0)&amp;" Stk / CHF "&amp;ROUND((G1022-AM1022)*F1022,0)&amp;"; ","")&amp;IF(AND(BT1022=1,BU1022&lt;BV1022),"MAX &lt; MB+LG; ","")&amp;IF(AND(BZ1022&gt;0,BY1022*10&gt;BZ1022),"zu hoch für Tablar; ","")&amp;IF(AND(BK1022=0,OR(BT1022=1,V1022&lt;&gt;"",S1022&lt;&gt;"",T1022&lt;&gt;"",W1022&lt;&gt;"")),"manuell übersteuert; ","")&amp;IF(AND(BO1022=0,Q1022=0),"Gebinde unbekannt; ","")&amp;IF(AND(BO1022=0,N(T1022)&lt;=0,N(P1022)&lt;=0),"Menge pro Gebinde fehlt (Ist = 1 Gebinde); ","")&amp;BJ1022)</f>
        <v/>
      </c>
      <c r="BC1022" s="53" t="n"/>
      <c r="BD1022" s="53" t="n"/>
      <c r="BE1022" s="61" t="n"/>
      <c r="BF1022" s="55" t="n">
        <v>-8</v>
      </c>
      <c r="BG1022" s="55" t="n">
        <v>16</v>
      </c>
      <c r="BH1022" s="54" t="n">
        <v>-122.16</v>
      </c>
      <c r="BI1022" s="55" t="n">
        <v>8</v>
      </c>
      <c r="BJ1022" s="53" t="inlineStr"/>
      <c r="BK1022" s="58" t="n">
        <v>0</v>
      </c>
      <c r="BL1022" s="58" t="n">
        <v>1022</v>
      </c>
      <c r="BM1022" s="53">
        <f>IF(S1022&lt;&gt;"",UPPER(TRIM(S1022)),IF(O1022="","LOSE",O1022))</f>
        <v/>
      </c>
      <c r="BN1022" s="55">
        <f>IF(BM1022="LOSE",1,IF(N(T1022)&gt;0,T1022,IF(N(P1022)&gt;0,P1022,MAX(1,G1022))))</f>
        <v/>
      </c>
      <c r="BO1022" s="58">
        <f>IF(BM1022="LOSE",1,0)</f>
        <v/>
      </c>
      <c r="BP1022" s="64">
        <f>IF(BO1022=0,0,IF(N(R1022)&gt;0,R1022,IFERROR(VLOOKUP(D1022,Parameter!$A$35:$C$64,3,0)+0,0)))</f>
        <v/>
      </c>
      <c r="BQ1022" s="53">
        <f>IF(V1022&lt;&gt;"",V1022,U1022)</f>
        <v/>
      </c>
      <c r="BR1022" s="53">
        <f>IF(BQ1022=1,"L1",IF(OR(BQ1022=2,BQ1022=3),"L23",IF(BQ1022="Aussen","Aussen","-")))</f>
        <v/>
      </c>
      <c r="BS1022" s="66">
        <f>IF(N(W1022)&gt;0,W1022,0)</f>
        <v/>
      </c>
      <c r="BT1022" s="58">
        <f>IF(ISNUMBER(Z1022),1,0)</f>
        <v/>
      </c>
      <c r="BU1022" s="55">
        <f>N(Z1022)</f>
        <v/>
      </c>
      <c r="BV1022" s="55">
        <f>N(L1022)+N(M1022)</f>
        <v/>
      </c>
      <c r="BW1022" s="55">
        <f>ROUNDUP(G1022/BN1022,0)</f>
        <v/>
      </c>
      <c r="BX1022" s="55">
        <f>ROUNDUP(BU1022/BN1022,0)</f>
        <v/>
      </c>
      <c r="BY1022" s="58">
        <f>IF(BO1022=1,0,IFERROR(VLOOKUP(BM1022,'Gebinde-Kategorie'!$A$5:$G$45,5,0)+0,0))</f>
        <v/>
      </c>
      <c r="BZ1022" s="58">
        <f>IFERROR(IF(OR(BQ1022=1,BQ1022=2,BQ1022=3),N(INDEX(Parameter!$I$5:$I$7,BQ1022)),0),0)</f>
        <v/>
      </c>
    </row>
    <row r="1023">
      <c r="A1023" s="53" t="inlineStr">
        <is>
          <t>107195</t>
        </is>
      </c>
      <c r="B1023" s="53" t="inlineStr">
        <is>
          <t>Keilriemen zu AC260</t>
        </is>
      </c>
      <c r="C1023" s="53" t="inlineStr">
        <is>
          <t>F</t>
        </is>
      </c>
      <c r="D1023" s="53" t="inlineStr">
        <is>
          <t>KTL</t>
        </is>
      </c>
      <c r="E1023" s="53" t="inlineStr">
        <is>
          <t>C</t>
        </is>
      </c>
      <c r="F1023" s="54" t="n">
        <v>42.42</v>
      </c>
      <c r="G1023" s="55">
        <f>MAX(0,IF(Parameter!$B$20="Jahresanfang 2025 + Export",BG1023+BF1023,BF1023))</f>
        <v/>
      </c>
      <c r="H1023" s="55">
        <f>G1023*F1023</f>
        <v/>
      </c>
      <c r="I1023" s="55">
        <f>BI1023*Parameter!$B$18</f>
        <v/>
      </c>
      <c r="J1023" s="56" t="n">
        <v>7</v>
      </c>
      <c r="K1023" s="57" t="n">
        <v>0</v>
      </c>
      <c r="L1023" s="55" t="n">
        <v>0</v>
      </c>
      <c r="M1023" s="55" t="n">
        <v>1</v>
      </c>
      <c r="N1023" s="58" t="n">
        <v>28</v>
      </c>
      <c r="O1023" s="53" t="inlineStr">
        <is>
          <t>S52</t>
        </is>
      </c>
      <c r="P1023" s="55" t="n">
        <v>12</v>
      </c>
      <c r="Q1023" s="59">
        <f>IF(BO1023=1,0,IFERROR(VLOOKUP(BM1023,'Gebinde-Kategorie'!$A$5:$G$45,6,0)+0,0))</f>
        <v/>
      </c>
      <c r="R1023" s="60" t="n"/>
      <c r="S1023" s="61" t="n"/>
      <c r="T1023" s="61" t="n"/>
      <c r="U1023" s="53">
        <f>IF(A1023="","",IF(IFERROR(VLOOKUP(D1023,Parameter!$A$35:$C$64,2,0),"Nein")="2+3",IF(ISNUMBER(SEARCH("grosser Artikel",BJ1023)),2,IFERROR(VLOOKUP(BM1023,Parameter!$F$35:$G$64,2,0),2)),IF(OR(IFERROR(VLOOKUP(D1023,Parameter!$A$35:$C$64,2,0),"Nein")="Nein",IFERROR(VLOOKUP(D1023,Parameter!$A$35:$C$64,2,0),"Nein")=""),"-",VLOOKUP(D1023,Parameter!$A$35:$C$64,2,0))))</f>
        <v/>
      </c>
      <c r="V1023" s="61" t="n"/>
      <c r="W1023" s="62" t="n"/>
      <c r="X1023" s="55">
        <f>AM1023</f>
        <v/>
      </c>
      <c r="Y1023" s="55">
        <f>MAX(AM1023,G1023)</f>
        <v/>
      </c>
      <c r="Z1023" s="63" t="n"/>
      <c r="AA1023" s="55">
        <f>IF(LEFT(Cockpit!$C$5,1)="A",G1023,IF(BT1023=1,BU1023,IF(LEFT(Cockpit!$C$5,1)="B",AE1023,MAX(AE1023,G1023))))</f>
        <v/>
      </c>
      <c r="AB1023" s="55">
        <f>IF(BO1023=1,0,ROUNDUP(AA1023/BN1023,0))</f>
        <v/>
      </c>
      <c r="AC1023" s="64">
        <f>IF(BO1023=1,IF(AA1023&lt;=0,0,BP1023*MAX(1,IF(G1023&gt;0,AA1023/G1023,1))),AB1023*Q1023)</f>
        <v/>
      </c>
      <c r="AD1023" s="55">
        <f>AA1023*F1023</f>
        <v/>
      </c>
      <c r="AE1023" s="55">
        <f>ROUNDUP(MAX(I1023/IF(BS1023&gt;0,BS1023,MAX(0.1,N(Cockpit!$C$6))),BV1023)/BN1023,0)*BN1023</f>
        <v/>
      </c>
      <c r="AF1023" s="56">
        <f>IF(AC1023&gt;0,I1023/AC1023,-1)</f>
        <v/>
      </c>
      <c r="AG1023" s="56">
        <f>IF(AND(OR(BR1023="L1",BR1023="L23"),AC1023&gt;0),SUMIFS($AC$7:$AC$1570,$BR$7:$BR$1570,BR1023,$AF$7:$AF$1570,"&gt;"&amp;AF1023)+SUMIFS($AC$7:$AC$1570,$BR$7:$BR$1570,BR1023,$AF$7:$AF$1570,AF1023,$BL$7:$BL$1570,"&lt;="&amp;BL1023),"")</f>
        <v/>
      </c>
      <c r="AH1023" s="65">
        <f>IF(AG1023="",0,MAX(0,MIN(1,(IF(BR1023="L1",Parameter!$K$5,Parameter!$K$6+Parameter!$K$7)-(AG1023-AC1023))/AC1023)))</f>
        <v/>
      </c>
      <c r="AI1023" s="55">
        <f>IF(LEFT(Cockpit!$I$5,1)="A",G1023,IF(BT1023=1,BU1023,IF(LEFT(Cockpit!$I$5,1)="B",AM1023,MAX(AM1023,G1023))))</f>
        <v/>
      </c>
      <c r="AJ1023" s="55">
        <f>IF(BO1023=1,0,ROUNDUP(AI1023/BN1023,0))</f>
        <v/>
      </c>
      <c r="AK1023" s="64">
        <f>IF(BO1023=1,IF(AI1023&lt;=0,0,BP1023*MAX(1,IF(G1023&gt;0,AI1023/G1023,1))),AJ1023*Q1023)</f>
        <v/>
      </c>
      <c r="AL1023" s="55">
        <f>AI1023*F1023</f>
        <v/>
      </c>
      <c r="AM1023" s="55">
        <f>ROUNDUP(MAX(I1023/IF(BS1023&gt;0,BS1023,MAX(0.1,N(Cockpit!$I$6))),BV1023)/BN1023,0)*BN1023</f>
        <v/>
      </c>
      <c r="AN1023" s="56">
        <f>IF(AK1023&gt;0,I1023/AK1023,-1)</f>
        <v/>
      </c>
      <c r="AO1023" s="56">
        <f>IF(AND(OR(BR1023="L1",BR1023="L23"),AK1023&gt;0),SUMIFS($AK$7:$AK$1570,$BR$7:$BR$1570,BR1023,$AN$7:$AN$1570,"&gt;"&amp;AN1023)+SUMIFS($AK$7:$AK$1570,$BR$7:$BR$1570,BR1023,$AN$7:$AN$1570,AN1023,$BL$7:$BL$1570,"&lt;="&amp;BL1023),"")</f>
        <v/>
      </c>
      <c r="AP1023" s="65">
        <f>IF(AO1023="",0,MAX(0,MIN(1,(IF(BR1023="L1",Parameter!$K$5,Parameter!$K$6+Parameter!$K$7)-(AO1023-AK1023))/AK1023)))</f>
        <v/>
      </c>
      <c r="AQ1023" s="55">
        <f>IF(LEFT(Cockpit!$O$5,1)="A",G1023,IF(BT1023=1,BU1023,IF(LEFT(Cockpit!$O$5,1)="B",AU1023,MAX(AU1023,G1023))))</f>
        <v/>
      </c>
      <c r="AR1023" s="55">
        <f>IF(BO1023=1,0,ROUNDUP(AQ1023/BN1023,0))</f>
        <v/>
      </c>
      <c r="AS1023" s="64">
        <f>IF(BO1023=1,IF(AQ1023&lt;=0,0,BP1023*MAX(1,IF(G1023&gt;0,AQ1023/G1023,1))),AR1023*Q1023)</f>
        <v/>
      </c>
      <c r="AT1023" s="55">
        <f>AQ1023*F1023</f>
        <v/>
      </c>
      <c r="AU1023" s="55">
        <f>ROUNDUP(MAX(I1023/IF(BS1023&gt;0,BS1023,MAX(0.1,N(Cockpit!$O$6))),BV1023)/BN1023,0)*BN1023</f>
        <v/>
      </c>
      <c r="AV1023" s="56">
        <f>IF(AS1023&gt;0,I1023/AS1023,-1)</f>
        <v/>
      </c>
      <c r="AW1023" s="56">
        <f>IF(AND(OR(BR1023="L1",BR1023="L23"),AS1023&gt;0),SUMIFS($AS$7:$AS$1570,$BR$7:$BR$1570,BR1023,$AV$7:$AV$1570,"&gt;"&amp;AV1023)+SUMIFS($AS$7:$AS$1570,$BR$7:$BR$1570,BR1023,$AV$7:$AV$1570,AV1023,$BL$7:$BL$1570,"&lt;="&amp;BL1023),"")</f>
        <v/>
      </c>
      <c r="AX1023" s="65">
        <f>IF(AW1023="",0,MAX(0,MIN(1,(IF(BR1023="L1",Parameter!$K$5,Parameter!$K$6+Parameter!$K$7)-(AW1023-AS1023))/AS1023)))</f>
        <v/>
      </c>
      <c r="AY1023" s="53">
        <f>IF(AC1023&lt;=0,"",IF(BR1023="Aussen","Aussenlager",IF(BR1023="-","Nicht im Lift",IF(AH1023&gt;=1,"Lift",IF(AH1023&lt;=0,"Aussenlager","teilweise")))))</f>
        <v/>
      </c>
      <c r="AZ1023" s="53">
        <f>IF(AK1023&lt;=0,"",IF(BR1023="Aussen","Aussenlager",IF(BR1023="-","Nicht im Lift",IF(AP1023&gt;=1,"Lift",IF(AP1023&lt;=0,"Aussenlager","teilweise")))))</f>
        <v/>
      </c>
      <c r="BA1023" s="53">
        <f>IF(AS1023&lt;=0,"",IF(BR1023="Aussen","Aussenlager",IF(BR1023="-","Nicht im Lift",IF(AX1023&gt;=1,"Lift",IF(AX1023&lt;=0,"Aussenlager","teilweise")))))</f>
        <v/>
      </c>
      <c r="BB1023" s="53">
        <f>IF(A1023="","",IF(BK1023=1,"Neu; ","")&amp;IF(AND(BK1023=0,BF1023&lt;0),"negativer Bestand (Export "&amp;BF1023&amp;"); ","")&amp;IF(I1023&lt;=0,"Kein Verbrauch; ","")&amp;IF(BO1023=1,"Lose – Fläche geschätzt; ","")&amp;IF(G1023&gt;AM1023,"Überbestand "&amp;ROUND(G1023-AM1023,0)&amp;" Stk / CHF "&amp;ROUND((G1023-AM1023)*F1023,0)&amp;"; ","")&amp;IF(AND(BT1023=1,BU1023&lt;BV1023),"MAX &lt; MB+LG; ","")&amp;IF(AND(BZ1023&gt;0,BY1023*10&gt;BZ1023),"zu hoch für Tablar; ","")&amp;IF(AND(BK1023=0,OR(BT1023=1,V1023&lt;&gt;"",S1023&lt;&gt;"",T1023&lt;&gt;"",W1023&lt;&gt;"")),"manuell übersteuert; ","")&amp;IF(AND(BO1023=0,Q1023=0),"Gebinde unbekannt; ","")&amp;IF(AND(BO1023=0,N(T1023)&lt;=0,N(P1023)&lt;=0),"Menge pro Gebinde fehlt (Ist = 1 Gebinde); ","")&amp;BJ1023)</f>
        <v/>
      </c>
      <c r="BC1023" s="53" t="n"/>
      <c r="BD1023" s="53" t="n"/>
      <c r="BE1023" s="61" t="n"/>
      <c r="BF1023" s="55" t="n">
        <v>-3</v>
      </c>
      <c r="BG1023" s="55" t="n">
        <v>7</v>
      </c>
      <c r="BH1023" s="54" t="n">
        <v>-122.22</v>
      </c>
      <c r="BI1023" s="55" t="n">
        <v>0</v>
      </c>
      <c r="BJ1023" s="53" t="inlineStr">
        <is>
          <t>Neu</t>
        </is>
      </c>
      <c r="BK1023" s="58" t="n">
        <v>0</v>
      </c>
      <c r="BL1023" s="58" t="n">
        <v>1023</v>
      </c>
      <c r="BM1023" s="53">
        <f>IF(S1023&lt;&gt;"",UPPER(TRIM(S1023)),IF(O1023="","LOSE",O1023))</f>
        <v/>
      </c>
      <c r="BN1023" s="55">
        <f>IF(BM1023="LOSE",1,IF(N(T1023)&gt;0,T1023,IF(N(P1023)&gt;0,P1023,MAX(1,G1023))))</f>
        <v/>
      </c>
      <c r="BO1023" s="58">
        <f>IF(BM1023="LOSE",1,0)</f>
        <v/>
      </c>
      <c r="BP1023" s="64">
        <f>IF(BO1023=0,0,IF(N(R1023)&gt;0,R1023,IFERROR(VLOOKUP(D1023,Parameter!$A$35:$C$64,3,0)+0,0)))</f>
        <v/>
      </c>
      <c r="BQ1023" s="53">
        <f>IF(V1023&lt;&gt;"",V1023,U1023)</f>
        <v/>
      </c>
      <c r="BR1023" s="53">
        <f>IF(BQ1023=1,"L1",IF(OR(BQ1023=2,BQ1023=3),"L23",IF(BQ1023="Aussen","Aussen","-")))</f>
        <v/>
      </c>
      <c r="BS1023" s="66">
        <f>IF(N(W1023)&gt;0,W1023,0)</f>
        <v/>
      </c>
      <c r="BT1023" s="58">
        <f>IF(ISNUMBER(Z1023),1,0)</f>
        <v/>
      </c>
      <c r="BU1023" s="55">
        <f>N(Z1023)</f>
        <v/>
      </c>
      <c r="BV1023" s="55">
        <f>N(L1023)+N(M1023)</f>
        <v/>
      </c>
      <c r="BW1023" s="55">
        <f>ROUNDUP(G1023/BN1023,0)</f>
        <v/>
      </c>
      <c r="BX1023" s="55">
        <f>ROUNDUP(BU1023/BN1023,0)</f>
        <v/>
      </c>
      <c r="BY1023" s="58">
        <f>IF(BO1023=1,0,IFERROR(VLOOKUP(BM1023,'Gebinde-Kategorie'!$A$5:$G$45,5,0)+0,0))</f>
        <v/>
      </c>
      <c r="BZ1023" s="58">
        <f>IFERROR(IF(OR(BQ1023=1,BQ1023=2,BQ1023=3),N(INDEX(Parameter!$I$5:$I$7,BQ1023)),0),0)</f>
        <v/>
      </c>
    </row>
    <row r="1024">
      <c r="A1024" s="53" t="inlineStr">
        <is>
          <t>105470</t>
        </is>
      </c>
      <c r="B1024" s="53" t="inlineStr">
        <is>
          <t>Anzugslehre</t>
        </is>
      </c>
      <c r="C1024" s="53" t="inlineStr">
        <is>
          <t>F</t>
        </is>
      </c>
      <c r="D1024" s="53" t="inlineStr">
        <is>
          <t>KTL</t>
        </is>
      </c>
      <c r="E1024" s="53" t="inlineStr">
        <is>
          <t>C</t>
        </is>
      </c>
      <c r="F1024" s="54" t="n">
        <v>124</v>
      </c>
      <c r="G1024" s="55">
        <f>MAX(0,IF(Parameter!$B$20="Jahresanfang 2025 + Export",BG1024+BF1024,BF1024))</f>
        <v/>
      </c>
      <c r="H1024" s="55">
        <f>G1024*F1024</f>
        <v/>
      </c>
      <c r="I1024" s="55">
        <f>BI1024*Parameter!$B$18</f>
        <v/>
      </c>
      <c r="J1024" s="56" t="n">
        <v>39</v>
      </c>
      <c r="K1024" s="57" t="n">
        <v>0.05128205128205128</v>
      </c>
      <c r="L1024" s="55" t="n">
        <v>0</v>
      </c>
      <c r="M1024" s="55" t="n">
        <v>1</v>
      </c>
      <c r="N1024" s="58" t="n">
        <v>35</v>
      </c>
      <c r="O1024" s="53" t="inlineStr">
        <is>
          <t>S52</t>
        </is>
      </c>
      <c r="P1024" s="55" t="n">
        <v>45</v>
      </c>
      <c r="Q1024" s="59">
        <f>IF(BO1024=1,0,IFERROR(VLOOKUP(BM1024,'Gebinde-Kategorie'!$A$5:$G$45,6,0)+0,0))</f>
        <v/>
      </c>
      <c r="R1024" s="60" t="n"/>
      <c r="S1024" s="61" t="n"/>
      <c r="T1024" s="61" t="n"/>
      <c r="U1024" s="53">
        <f>IF(A1024="","",IF(IFERROR(VLOOKUP(D1024,Parameter!$A$35:$C$64,2,0),"Nein")="2+3",IF(ISNUMBER(SEARCH("grosser Artikel",BJ1024)),2,IFERROR(VLOOKUP(BM1024,Parameter!$F$35:$G$64,2,0),2)),IF(OR(IFERROR(VLOOKUP(D1024,Parameter!$A$35:$C$64,2,0),"Nein")="Nein",IFERROR(VLOOKUP(D1024,Parameter!$A$35:$C$64,2,0),"Nein")=""),"-",VLOOKUP(D1024,Parameter!$A$35:$C$64,2,0))))</f>
        <v/>
      </c>
      <c r="V1024" s="61" t="n"/>
      <c r="W1024" s="62" t="n"/>
      <c r="X1024" s="55">
        <f>AM1024</f>
        <v/>
      </c>
      <c r="Y1024" s="55">
        <f>MAX(AM1024,G1024)</f>
        <v/>
      </c>
      <c r="Z1024" s="63" t="n"/>
      <c r="AA1024" s="55">
        <f>IF(LEFT(Cockpit!$C$5,1)="A",G1024,IF(BT1024=1,BU1024,IF(LEFT(Cockpit!$C$5,1)="B",AE1024,MAX(AE1024,G1024))))</f>
        <v/>
      </c>
      <c r="AB1024" s="55">
        <f>IF(BO1024=1,0,ROUNDUP(AA1024/BN1024,0))</f>
        <v/>
      </c>
      <c r="AC1024" s="64">
        <f>IF(BO1024=1,IF(AA1024&lt;=0,0,BP1024*MAX(1,IF(G1024&gt;0,AA1024/G1024,1))),AB1024*Q1024)</f>
        <v/>
      </c>
      <c r="AD1024" s="55">
        <f>AA1024*F1024</f>
        <v/>
      </c>
      <c r="AE1024" s="55">
        <f>ROUNDUP(MAX(I1024/IF(BS1024&gt;0,BS1024,MAX(0.1,N(Cockpit!$C$6))),BV1024)/BN1024,0)*BN1024</f>
        <v/>
      </c>
      <c r="AF1024" s="56">
        <f>IF(AC1024&gt;0,I1024/AC1024,-1)</f>
        <v/>
      </c>
      <c r="AG1024" s="56">
        <f>IF(AND(OR(BR1024="L1",BR1024="L23"),AC1024&gt;0),SUMIFS($AC$7:$AC$1570,$BR$7:$BR$1570,BR1024,$AF$7:$AF$1570,"&gt;"&amp;AF1024)+SUMIFS($AC$7:$AC$1570,$BR$7:$BR$1570,BR1024,$AF$7:$AF$1570,AF1024,$BL$7:$BL$1570,"&lt;="&amp;BL1024),"")</f>
        <v/>
      </c>
      <c r="AH1024" s="65">
        <f>IF(AG1024="",0,MAX(0,MIN(1,(IF(BR1024="L1",Parameter!$K$5,Parameter!$K$6+Parameter!$K$7)-(AG1024-AC1024))/AC1024)))</f>
        <v/>
      </c>
      <c r="AI1024" s="55">
        <f>IF(LEFT(Cockpit!$I$5,1)="A",G1024,IF(BT1024=1,BU1024,IF(LEFT(Cockpit!$I$5,1)="B",AM1024,MAX(AM1024,G1024))))</f>
        <v/>
      </c>
      <c r="AJ1024" s="55">
        <f>IF(BO1024=1,0,ROUNDUP(AI1024/BN1024,0))</f>
        <v/>
      </c>
      <c r="AK1024" s="64">
        <f>IF(BO1024=1,IF(AI1024&lt;=0,0,BP1024*MAX(1,IF(G1024&gt;0,AI1024/G1024,1))),AJ1024*Q1024)</f>
        <v/>
      </c>
      <c r="AL1024" s="55">
        <f>AI1024*F1024</f>
        <v/>
      </c>
      <c r="AM1024" s="55">
        <f>ROUNDUP(MAX(I1024/IF(BS1024&gt;0,BS1024,MAX(0.1,N(Cockpit!$I$6))),BV1024)/BN1024,0)*BN1024</f>
        <v/>
      </c>
      <c r="AN1024" s="56">
        <f>IF(AK1024&gt;0,I1024/AK1024,-1)</f>
        <v/>
      </c>
      <c r="AO1024" s="56">
        <f>IF(AND(OR(BR1024="L1",BR1024="L23"),AK1024&gt;0),SUMIFS($AK$7:$AK$1570,$BR$7:$BR$1570,BR1024,$AN$7:$AN$1570,"&gt;"&amp;AN1024)+SUMIFS($AK$7:$AK$1570,$BR$7:$BR$1570,BR1024,$AN$7:$AN$1570,AN1024,$BL$7:$BL$1570,"&lt;="&amp;BL1024),"")</f>
        <v/>
      </c>
      <c r="AP1024" s="65">
        <f>IF(AO1024="",0,MAX(0,MIN(1,(IF(BR1024="L1",Parameter!$K$5,Parameter!$K$6+Parameter!$K$7)-(AO1024-AK1024))/AK1024)))</f>
        <v/>
      </c>
      <c r="AQ1024" s="55">
        <f>IF(LEFT(Cockpit!$O$5,1)="A",G1024,IF(BT1024=1,BU1024,IF(LEFT(Cockpit!$O$5,1)="B",AU1024,MAX(AU1024,G1024))))</f>
        <v/>
      </c>
      <c r="AR1024" s="55">
        <f>IF(BO1024=1,0,ROUNDUP(AQ1024/BN1024,0))</f>
        <v/>
      </c>
      <c r="AS1024" s="64">
        <f>IF(BO1024=1,IF(AQ1024&lt;=0,0,BP1024*MAX(1,IF(G1024&gt;0,AQ1024/G1024,1))),AR1024*Q1024)</f>
        <v/>
      </c>
      <c r="AT1024" s="55">
        <f>AQ1024*F1024</f>
        <v/>
      </c>
      <c r="AU1024" s="55">
        <f>ROUNDUP(MAX(I1024/IF(BS1024&gt;0,BS1024,MAX(0.1,N(Cockpit!$O$6))),BV1024)/BN1024,0)*BN1024</f>
        <v/>
      </c>
      <c r="AV1024" s="56">
        <f>IF(AS1024&gt;0,I1024/AS1024,-1)</f>
        <v/>
      </c>
      <c r="AW1024" s="56">
        <f>IF(AND(OR(BR1024="L1",BR1024="L23"),AS1024&gt;0),SUMIFS($AS$7:$AS$1570,$BR$7:$BR$1570,BR1024,$AV$7:$AV$1570,"&gt;"&amp;AV1024)+SUMIFS($AS$7:$AS$1570,$BR$7:$BR$1570,BR1024,$AV$7:$AV$1570,AV1024,$BL$7:$BL$1570,"&lt;="&amp;BL1024),"")</f>
        <v/>
      </c>
      <c r="AX1024" s="65">
        <f>IF(AW1024="",0,MAX(0,MIN(1,(IF(BR1024="L1",Parameter!$K$5,Parameter!$K$6+Parameter!$K$7)-(AW1024-AS1024))/AS1024)))</f>
        <v/>
      </c>
      <c r="AY1024" s="53">
        <f>IF(AC1024&lt;=0,"",IF(BR1024="Aussen","Aussenlager",IF(BR1024="-","Nicht im Lift",IF(AH1024&gt;=1,"Lift",IF(AH1024&lt;=0,"Aussenlager","teilweise")))))</f>
        <v/>
      </c>
      <c r="AZ1024" s="53">
        <f>IF(AK1024&lt;=0,"",IF(BR1024="Aussen","Aussenlager",IF(BR1024="-","Nicht im Lift",IF(AP1024&gt;=1,"Lift",IF(AP1024&lt;=0,"Aussenlager","teilweise")))))</f>
        <v/>
      </c>
      <c r="BA1024" s="53">
        <f>IF(AS1024&lt;=0,"",IF(BR1024="Aussen","Aussenlager",IF(BR1024="-","Nicht im Lift",IF(AX1024&gt;=1,"Lift",IF(AX1024&lt;=0,"Aussenlager","teilweise")))))</f>
        <v/>
      </c>
      <c r="BB1024" s="53">
        <f>IF(A1024="","",IF(BK1024=1,"Neu; ","")&amp;IF(AND(BK1024=0,BF1024&lt;0),"negativer Bestand (Export "&amp;BF1024&amp;"); ","")&amp;IF(I1024&lt;=0,"Kein Verbrauch; ","")&amp;IF(BO1024=1,"Lose – Fläche geschätzt; ","")&amp;IF(G1024&gt;AM1024,"Überbestand "&amp;ROUND(G1024-AM1024,0)&amp;" Stk / CHF "&amp;ROUND((G1024-AM1024)*F1024,0)&amp;"; ","")&amp;IF(AND(BT1024=1,BU1024&lt;BV1024),"MAX &lt; MB+LG; ","")&amp;IF(AND(BZ1024&gt;0,BY1024*10&gt;BZ1024),"zu hoch für Tablar; ","")&amp;IF(AND(BK1024=0,OR(BT1024=1,V1024&lt;&gt;"",S1024&lt;&gt;"",T1024&lt;&gt;"",W1024&lt;&gt;"")),"manuell übersteuert; ","")&amp;IF(AND(BO1024=0,Q1024=0),"Gebinde unbekannt; ","")&amp;IF(AND(BO1024=0,N(T1024)&lt;=0,N(P1024)&lt;=0),"Menge pro Gebinde fehlt (Ist = 1 Gebinde); ","")&amp;BJ1024)</f>
        <v/>
      </c>
      <c r="BC1024" s="53" t="n"/>
      <c r="BD1024" s="53" t="n"/>
      <c r="BE1024" s="61" t="n"/>
      <c r="BF1024" s="55" t="n">
        <v>-1</v>
      </c>
      <c r="BG1024" s="55" t="n">
        <v>40</v>
      </c>
      <c r="BH1024" s="54" t="n">
        <v>-124</v>
      </c>
      <c r="BI1024" s="55" t="n">
        <v>2</v>
      </c>
      <c r="BJ1024" s="53" t="inlineStr"/>
      <c r="BK1024" s="58" t="n">
        <v>0</v>
      </c>
      <c r="BL1024" s="58" t="n">
        <v>1024</v>
      </c>
      <c r="BM1024" s="53">
        <f>IF(S1024&lt;&gt;"",UPPER(TRIM(S1024)),IF(O1024="","LOSE",O1024))</f>
        <v/>
      </c>
      <c r="BN1024" s="55">
        <f>IF(BM1024="LOSE",1,IF(N(T1024)&gt;0,T1024,IF(N(P1024)&gt;0,P1024,MAX(1,G1024))))</f>
        <v/>
      </c>
      <c r="BO1024" s="58">
        <f>IF(BM1024="LOSE",1,0)</f>
        <v/>
      </c>
      <c r="BP1024" s="64">
        <f>IF(BO1024=0,0,IF(N(R1024)&gt;0,R1024,IFERROR(VLOOKUP(D1024,Parameter!$A$35:$C$64,3,0)+0,0)))</f>
        <v/>
      </c>
      <c r="BQ1024" s="53">
        <f>IF(V1024&lt;&gt;"",V1024,U1024)</f>
        <v/>
      </c>
      <c r="BR1024" s="53">
        <f>IF(BQ1024=1,"L1",IF(OR(BQ1024=2,BQ1024=3),"L23",IF(BQ1024="Aussen","Aussen","-")))</f>
        <v/>
      </c>
      <c r="BS1024" s="66">
        <f>IF(N(W1024)&gt;0,W1024,0)</f>
        <v/>
      </c>
      <c r="BT1024" s="58">
        <f>IF(ISNUMBER(Z1024),1,0)</f>
        <v/>
      </c>
      <c r="BU1024" s="55">
        <f>N(Z1024)</f>
        <v/>
      </c>
      <c r="BV1024" s="55">
        <f>N(L1024)+N(M1024)</f>
        <v/>
      </c>
      <c r="BW1024" s="55">
        <f>ROUNDUP(G1024/BN1024,0)</f>
        <v/>
      </c>
      <c r="BX1024" s="55">
        <f>ROUNDUP(BU1024/BN1024,0)</f>
        <v/>
      </c>
      <c r="BY1024" s="58">
        <f>IF(BO1024=1,0,IFERROR(VLOOKUP(BM1024,'Gebinde-Kategorie'!$A$5:$G$45,5,0)+0,0))</f>
        <v/>
      </c>
      <c r="BZ1024" s="58">
        <f>IFERROR(IF(OR(BQ1024=1,BQ1024=2,BQ1024=3),N(INDEX(Parameter!$I$5:$I$7,BQ1024)),0),0)</f>
        <v/>
      </c>
    </row>
    <row r="1025">
      <c r="A1025" s="53" t="inlineStr">
        <is>
          <t>109365</t>
        </is>
      </c>
      <c r="B1025" s="53" t="inlineStr">
        <is>
          <t>Aufsteckmaulschlüssel</t>
        </is>
      </c>
      <c r="C1025" s="53" t="inlineStr">
        <is>
          <t>F</t>
        </is>
      </c>
      <c r="D1025" s="53" t="inlineStr">
        <is>
          <t>KTL</t>
        </is>
      </c>
      <c r="E1025" s="53" t="inlineStr">
        <is>
          <t>C</t>
        </is>
      </c>
      <c r="F1025" s="54" t="n">
        <v>27.84</v>
      </c>
      <c r="G1025" s="55">
        <f>MAX(0,IF(Parameter!$B$20="Jahresanfang 2025 + Export",BG1025+BF1025,BF1025))</f>
        <v/>
      </c>
      <c r="H1025" s="55">
        <f>G1025*F1025</f>
        <v/>
      </c>
      <c r="I1025" s="55">
        <f>BI1025*Parameter!$B$18</f>
        <v/>
      </c>
      <c r="J1025" s="56" t="n">
        <v>19</v>
      </c>
      <c r="K1025" s="57" t="n">
        <v>1.052631578947368</v>
      </c>
      <c r="L1025" s="55" t="n">
        <v>1</v>
      </c>
      <c r="M1025" s="55" t="n">
        <v>20</v>
      </c>
      <c r="N1025" s="58" t="n">
        <v>21</v>
      </c>
      <c r="O1025" s="53" t="inlineStr">
        <is>
          <t>S22</t>
        </is>
      </c>
      <c r="P1025" s="55" t="n">
        <v>17</v>
      </c>
      <c r="Q1025" s="59">
        <f>IF(BO1025=1,0,IFERROR(VLOOKUP(BM1025,'Gebinde-Kategorie'!$A$5:$G$45,6,0)+0,0))</f>
        <v/>
      </c>
      <c r="R1025" s="60" t="n"/>
      <c r="S1025" s="61" t="n"/>
      <c r="T1025" s="61" t="n"/>
      <c r="U1025" s="53">
        <f>IF(A1025="","",IF(IFERROR(VLOOKUP(D1025,Parameter!$A$35:$C$64,2,0),"Nein")="2+3",IF(ISNUMBER(SEARCH("grosser Artikel",BJ1025)),2,IFERROR(VLOOKUP(BM1025,Parameter!$F$35:$G$64,2,0),2)),IF(OR(IFERROR(VLOOKUP(D1025,Parameter!$A$35:$C$64,2,0),"Nein")="Nein",IFERROR(VLOOKUP(D1025,Parameter!$A$35:$C$64,2,0),"Nein")=""),"-",VLOOKUP(D1025,Parameter!$A$35:$C$64,2,0))))</f>
        <v/>
      </c>
      <c r="V1025" s="61" t="n"/>
      <c r="W1025" s="62" t="n"/>
      <c r="X1025" s="55">
        <f>AM1025</f>
        <v/>
      </c>
      <c r="Y1025" s="55">
        <f>MAX(AM1025,G1025)</f>
        <v/>
      </c>
      <c r="Z1025" s="63" t="n"/>
      <c r="AA1025" s="55">
        <f>IF(LEFT(Cockpit!$C$5,1)="A",G1025,IF(BT1025=1,BU1025,IF(LEFT(Cockpit!$C$5,1)="B",AE1025,MAX(AE1025,G1025))))</f>
        <v/>
      </c>
      <c r="AB1025" s="55">
        <f>IF(BO1025=1,0,ROUNDUP(AA1025/BN1025,0))</f>
        <v/>
      </c>
      <c r="AC1025" s="64">
        <f>IF(BO1025=1,IF(AA1025&lt;=0,0,BP1025*MAX(1,IF(G1025&gt;0,AA1025/G1025,1))),AB1025*Q1025)</f>
        <v/>
      </c>
      <c r="AD1025" s="55">
        <f>AA1025*F1025</f>
        <v/>
      </c>
      <c r="AE1025" s="55">
        <f>ROUNDUP(MAX(I1025/IF(BS1025&gt;0,BS1025,MAX(0.1,N(Cockpit!$C$6))),BV1025)/BN1025,0)*BN1025</f>
        <v/>
      </c>
      <c r="AF1025" s="56">
        <f>IF(AC1025&gt;0,I1025/AC1025,-1)</f>
        <v/>
      </c>
      <c r="AG1025" s="56">
        <f>IF(AND(OR(BR1025="L1",BR1025="L23"),AC1025&gt;0),SUMIFS($AC$7:$AC$1570,$BR$7:$BR$1570,BR1025,$AF$7:$AF$1570,"&gt;"&amp;AF1025)+SUMIFS($AC$7:$AC$1570,$BR$7:$BR$1570,BR1025,$AF$7:$AF$1570,AF1025,$BL$7:$BL$1570,"&lt;="&amp;BL1025),"")</f>
        <v/>
      </c>
      <c r="AH1025" s="65">
        <f>IF(AG1025="",0,MAX(0,MIN(1,(IF(BR1025="L1",Parameter!$K$5,Parameter!$K$6+Parameter!$K$7)-(AG1025-AC1025))/AC1025)))</f>
        <v/>
      </c>
      <c r="AI1025" s="55">
        <f>IF(LEFT(Cockpit!$I$5,1)="A",G1025,IF(BT1025=1,BU1025,IF(LEFT(Cockpit!$I$5,1)="B",AM1025,MAX(AM1025,G1025))))</f>
        <v/>
      </c>
      <c r="AJ1025" s="55">
        <f>IF(BO1025=1,0,ROUNDUP(AI1025/BN1025,0))</f>
        <v/>
      </c>
      <c r="AK1025" s="64">
        <f>IF(BO1025=1,IF(AI1025&lt;=0,0,BP1025*MAX(1,IF(G1025&gt;0,AI1025/G1025,1))),AJ1025*Q1025)</f>
        <v/>
      </c>
      <c r="AL1025" s="55">
        <f>AI1025*F1025</f>
        <v/>
      </c>
      <c r="AM1025" s="55">
        <f>ROUNDUP(MAX(I1025/IF(BS1025&gt;0,BS1025,MAX(0.1,N(Cockpit!$I$6))),BV1025)/BN1025,0)*BN1025</f>
        <v/>
      </c>
      <c r="AN1025" s="56">
        <f>IF(AK1025&gt;0,I1025/AK1025,-1)</f>
        <v/>
      </c>
      <c r="AO1025" s="56">
        <f>IF(AND(OR(BR1025="L1",BR1025="L23"),AK1025&gt;0),SUMIFS($AK$7:$AK$1570,$BR$7:$BR$1570,BR1025,$AN$7:$AN$1570,"&gt;"&amp;AN1025)+SUMIFS($AK$7:$AK$1570,$BR$7:$BR$1570,BR1025,$AN$7:$AN$1570,AN1025,$BL$7:$BL$1570,"&lt;="&amp;BL1025),"")</f>
        <v/>
      </c>
      <c r="AP1025" s="65">
        <f>IF(AO1025="",0,MAX(0,MIN(1,(IF(BR1025="L1",Parameter!$K$5,Parameter!$K$6+Parameter!$K$7)-(AO1025-AK1025))/AK1025)))</f>
        <v/>
      </c>
      <c r="AQ1025" s="55">
        <f>IF(LEFT(Cockpit!$O$5,1)="A",G1025,IF(BT1025=1,BU1025,IF(LEFT(Cockpit!$O$5,1)="B",AU1025,MAX(AU1025,G1025))))</f>
        <v/>
      </c>
      <c r="AR1025" s="55">
        <f>IF(BO1025=1,0,ROUNDUP(AQ1025/BN1025,0))</f>
        <v/>
      </c>
      <c r="AS1025" s="64">
        <f>IF(BO1025=1,IF(AQ1025&lt;=0,0,BP1025*MAX(1,IF(G1025&gt;0,AQ1025/G1025,1))),AR1025*Q1025)</f>
        <v/>
      </c>
      <c r="AT1025" s="55">
        <f>AQ1025*F1025</f>
        <v/>
      </c>
      <c r="AU1025" s="55">
        <f>ROUNDUP(MAX(I1025/IF(BS1025&gt;0,BS1025,MAX(0.1,N(Cockpit!$O$6))),BV1025)/BN1025,0)*BN1025</f>
        <v/>
      </c>
      <c r="AV1025" s="56">
        <f>IF(AS1025&gt;0,I1025/AS1025,-1)</f>
        <v/>
      </c>
      <c r="AW1025" s="56">
        <f>IF(AND(OR(BR1025="L1",BR1025="L23"),AS1025&gt;0),SUMIFS($AS$7:$AS$1570,$BR$7:$BR$1570,BR1025,$AV$7:$AV$1570,"&gt;"&amp;AV1025)+SUMIFS($AS$7:$AS$1570,$BR$7:$BR$1570,BR1025,$AV$7:$AV$1570,AV1025,$BL$7:$BL$1570,"&lt;="&amp;BL1025),"")</f>
        <v/>
      </c>
      <c r="AX1025" s="65">
        <f>IF(AW1025="",0,MAX(0,MIN(1,(IF(BR1025="L1",Parameter!$K$5,Parameter!$K$6+Parameter!$K$7)-(AW1025-AS1025))/AS1025)))</f>
        <v/>
      </c>
      <c r="AY1025" s="53">
        <f>IF(AC1025&lt;=0,"",IF(BR1025="Aussen","Aussenlager",IF(BR1025="-","Nicht im Lift",IF(AH1025&gt;=1,"Lift",IF(AH1025&lt;=0,"Aussenlager","teilweise")))))</f>
        <v/>
      </c>
      <c r="AZ1025" s="53">
        <f>IF(AK1025&lt;=0,"",IF(BR1025="Aussen","Aussenlager",IF(BR1025="-","Nicht im Lift",IF(AP1025&gt;=1,"Lift",IF(AP1025&lt;=0,"Aussenlager","teilweise")))))</f>
        <v/>
      </c>
      <c r="BA1025" s="53">
        <f>IF(AS1025&lt;=0,"",IF(BR1025="Aussen","Aussenlager",IF(BR1025="-","Nicht im Lift",IF(AX1025&gt;=1,"Lift",IF(AX1025&lt;=0,"Aussenlager","teilweise")))))</f>
        <v/>
      </c>
      <c r="BB1025" s="53">
        <f>IF(A1025="","",IF(BK1025=1,"Neu; ","")&amp;IF(AND(BK1025=0,BF1025&lt;0),"negativer Bestand (Export "&amp;BF1025&amp;"); ","")&amp;IF(I1025&lt;=0,"Kein Verbrauch; ","")&amp;IF(BO1025=1,"Lose – Fläche geschätzt; ","")&amp;IF(G1025&gt;AM1025,"Überbestand "&amp;ROUND(G1025-AM1025,0)&amp;" Stk / CHF "&amp;ROUND((G1025-AM1025)*F1025,0)&amp;"; ","")&amp;IF(AND(BT1025=1,BU1025&lt;BV1025),"MAX &lt; MB+LG; ","")&amp;IF(AND(BZ1025&gt;0,BY1025*10&gt;BZ1025),"zu hoch für Tablar; ","")&amp;IF(AND(BK1025=0,OR(BT1025=1,V1025&lt;&gt;"",S1025&lt;&gt;"",T1025&lt;&gt;"",W1025&lt;&gt;"")),"manuell übersteuert; ","")&amp;IF(AND(BO1025=0,Q1025=0),"Gebinde unbekannt; ","")&amp;IF(AND(BO1025=0,N(T1025)&lt;=0,N(P1025)&lt;=0),"Menge pro Gebinde fehlt (Ist = 1 Gebinde); ","")&amp;BJ1025)</f>
        <v/>
      </c>
      <c r="BC1025" s="53" t="n"/>
      <c r="BD1025" s="53" t="n"/>
      <c r="BE1025" s="61" t="n"/>
      <c r="BF1025" s="55" t="n">
        <v>-4</v>
      </c>
      <c r="BG1025" s="55" t="n">
        <v>14</v>
      </c>
      <c r="BH1025" s="54" t="n">
        <v>-124.24</v>
      </c>
      <c r="BI1025" s="55" t="n">
        <v>20</v>
      </c>
      <c r="BJ1025" s="53" t="inlineStr"/>
      <c r="BK1025" s="58" t="n">
        <v>0</v>
      </c>
      <c r="BL1025" s="58" t="n">
        <v>1025</v>
      </c>
      <c r="BM1025" s="53">
        <f>IF(S1025&lt;&gt;"",UPPER(TRIM(S1025)),IF(O1025="","LOSE",O1025))</f>
        <v/>
      </c>
      <c r="BN1025" s="55">
        <f>IF(BM1025="LOSE",1,IF(N(T1025)&gt;0,T1025,IF(N(P1025)&gt;0,P1025,MAX(1,G1025))))</f>
        <v/>
      </c>
      <c r="BO1025" s="58">
        <f>IF(BM1025="LOSE",1,0)</f>
        <v/>
      </c>
      <c r="BP1025" s="64">
        <f>IF(BO1025=0,0,IF(N(R1025)&gt;0,R1025,IFERROR(VLOOKUP(D1025,Parameter!$A$35:$C$64,3,0)+0,0)))</f>
        <v/>
      </c>
      <c r="BQ1025" s="53">
        <f>IF(V1025&lt;&gt;"",V1025,U1025)</f>
        <v/>
      </c>
      <c r="BR1025" s="53">
        <f>IF(BQ1025=1,"L1",IF(OR(BQ1025=2,BQ1025=3),"L23",IF(BQ1025="Aussen","Aussen","-")))</f>
        <v/>
      </c>
      <c r="BS1025" s="66">
        <f>IF(N(W1025)&gt;0,W1025,0)</f>
        <v/>
      </c>
      <c r="BT1025" s="58">
        <f>IF(ISNUMBER(Z1025),1,0)</f>
        <v/>
      </c>
      <c r="BU1025" s="55">
        <f>N(Z1025)</f>
        <v/>
      </c>
      <c r="BV1025" s="55">
        <f>N(L1025)+N(M1025)</f>
        <v/>
      </c>
      <c r="BW1025" s="55">
        <f>ROUNDUP(G1025/BN1025,0)</f>
        <v/>
      </c>
      <c r="BX1025" s="55">
        <f>ROUNDUP(BU1025/BN1025,0)</f>
        <v/>
      </c>
      <c r="BY1025" s="58">
        <f>IF(BO1025=1,0,IFERROR(VLOOKUP(BM1025,'Gebinde-Kategorie'!$A$5:$G$45,5,0)+0,0))</f>
        <v/>
      </c>
      <c r="BZ1025" s="58">
        <f>IFERROR(IF(OR(BQ1025=1,BQ1025=2,BQ1025=3),N(INDEX(Parameter!$I$5:$I$7,BQ1025)),0),0)</f>
        <v/>
      </c>
    </row>
    <row r="1026">
      <c r="A1026" s="53" t="inlineStr">
        <is>
          <t>005702</t>
        </is>
      </c>
      <c r="B1026" s="53" t="inlineStr">
        <is>
          <t>Widerstand</t>
        </is>
      </c>
      <c r="C1026" s="53" t="inlineStr">
        <is>
          <t>F</t>
        </is>
      </c>
      <c r="D1026" s="53" t="inlineStr">
        <is>
          <t>KTL</t>
        </is>
      </c>
      <c r="E1026" s="53" t="inlineStr">
        <is>
          <t>C</t>
        </is>
      </c>
      <c r="F1026" s="54" t="n">
        <v>11.33</v>
      </c>
      <c r="G1026" s="55">
        <f>MAX(0,IF(Parameter!$B$20="Jahresanfang 2025 + Export",BG1026+BF1026,BF1026))</f>
        <v/>
      </c>
      <c r="H1026" s="55">
        <f>G1026*F1026</f>
        <v/>
      </c>
      <c r="I1026" s="55">
        <f>BI1026*Parameter!$B$18</f>
        <v/>
      </c>
      <c r="J1026" s="56" t="n">
        <v>12</v>
      </c>
      <c r="K1026" s="57" t="n">
        <v>0.5</v>
      </c>
      <c r="L1026" s="55" t="n">
        <v>0</v>
      </c>
      <c r="M1026" s="55" t="n">
        <v>5</v>
      </c>
      <c r="N1026" s="58" t="n">
        <v>35</v>
      </c>
      <c r="O1026" s="53" t="inlineStr">
        <is>
          <t>S32</t>
        </is>
      </c>
      <c r="P1026" s="55" t="n">
        <v>9</v>
      </c>
      <c r="Q1026" s="59">
        <f>IF(BO1026=1,0,IFERROR(VLOOKUP(BM1026,'Gebinde-Kategorie'!$A$5:$G$45,6,0)+0,0))</f>
        <v/>
      </c>
      <c r="R1026" s="60" t="n"/>
      <c r="S1026" s="61" t="n"/>
      <c r="T1026" s="61" t="n"/>
      <c r="U1026" s="53">
        <f>IF(A1026="","",IF(IFERROR(VLOOKUP(D1026,Parameter!$A$35:$C$64,2,0),"Nein")="2+3",IF(ISNUMBER(SEARCH("grosser Artikel",BJ1026)),2,IFERROR(VLOOKUP(BM1026,Parameter!$F$35:$G$64,2,0),2)),IF(OR(IFERROR(VLOOKUP(D1026,Parameter!$A$35:$C$64,2,0),"Nein")="Nein",IFERROR(VLOOKUP(D1026,Parameter!$A$35:$C$64,2,0),"Nein")=""),"-",VLOOKUP(D1026,Parameter!$A$35:$C$64,2,0))))</f>
        <v/>
      </c>
      <c r="V1026" s="61" t="n"/>
      <c r="W1026" s="62" t="n"/>
      <c r="X1026" s="55">
        <f>AM1026</f>
        <v/>
      </c>
      <c r="Y1026" s="55">
        <f>MAX(AM1026,G1026)</f>
        <v/>
      </c>
      <c r="Z1026" s="63" t="n"/>
      <c r="AA1026" s="55">
        <f>IF(LEFT(Cockpit!$C$5,1)="A",G1026,IF(BT1026=1,BU1026,IF(LEFT(Cockpit!$C$5,1)="B",AE1026,MAX(AE1026,G1026))))</f>
        <v/>
      </c>
      <c r="AB1026" s="55">
        <f>IF(BO1026=1,0,ROUNDUP(AA1026/BN1026,0))</f>
        <v/>
      </c>
      <c r="AC1026" s="64">
        <f>IF(BO1026=1,IF(AA1026&lt;=0,0,BP1026*MAX(1,IF(G1026&gt;0,AA1026/G1026,1))),AB1026*Q1026)</f>
        <v/>
      </c>
      <c r="AD1026" s="55">
        <f>AA1026*F1026</f>
        <v/>
      </c>
      <c r="AE1026" s="55">
        <f>ROUNDUP(MAX(I1026/IF(BS1026&gt;0,BS1026,MAX(0.1,N(Cockpit!$C$6))),BV1026)/BN1026,0)*BN1026</f>
        <v/>
      </c>
      <c r="AF1026" s="56">
        <f>IF(AC1026&gt;0,I1026/AC1026,-1)</f>
        <v/>
      </c>
      <c r="AG1026" s="56">
        <f>IF(AND(OR(BR1026="L1",BR1026="L23"),AC1026&gt;0),SUMIFS($AC$7:$AC$1570,$BR$7:$BR$1570,BR1026,$AF$7:$AF$1570,"&gt;"&amp;AF1026)+SUMIFS($AC$7:$AC$1570,$BR$7:$BR$1570,BR1026,$AF$7:$AF$1570,AF1026,$BL$7:$BL$1570,"&lt;="&amp;BL1026),"")</f>
        <v/>
      </c>
      <c r="AH1026" s="65">
        <f>IF(AG1026="",0,MAX(0,MIN(1,(IF(BR1026="L1",Parameter!$K$5,Parameter!$K$6+Parameter!$K$7)-(AG1026-AC1026))/AC1026)))</f>
        <v/>
      </c>
      <c r="AI1026" s="55">
        <f>IF(LEFT(Cockpit!$I$5,1)="A",G1026,IF(BT1026=1,BU1026,IF(LEFT(Cockpit!$I$5,1)="B",AM1026,MAX(AM1026,G1026))))</f>
        <v/>
      </c>
      <c r="AJ1026" s="55">
        <f>IF(BO1026=1,0,ROUNDUP(AI1026/BN1026,0))</f>
        <v/>
      </c>
      <c r="AK1026" s="64">
        <f>IF(BO1026=1,IF(AI1026&lt;=0,0,BP1026*MAX(1,IF(G1026&gt;0,AI1026/G1026,1))),AJ1026*Q1026)</f>
        <v/>
      </c>
      <c r="AL1026" s="55">
        <f>AI1026*F1026</f>
        <v/>
      </c>
      <c r="AM1026" s="55">
        <f>ROUNDUP(MAX(I1026/IF(BS1026&gt;0,BS1026,MAX(0.1,N(Cockpit!$I$6))),BV1026)/BN1026,0)*BN1026</f>
        <v/>
      </c>
      <c r="AN1026" s="56">
        <f>IF(AK1026&gt;0,I1026/AK1026,-1)</f>
        <v/>
      </c>
      <c r="AO1026" s="56">
        <f>IF(AND(OR(BR1026="L1",BR1026="L23"),AK1026&gt;0),SUMIFS($AK$7:$AK$1570,$BR$7:$BR$1570,BR1026,$AN$7:$AN$1570,"&gt;"&amp;AN1026)+SUMIFS($AK$7:$AK$1570,$BR$7:$BR$1570,BR1026,$AN$7:$AN$1570,AN1026,$BL$7:$BL$1570,"&lt;="&amp;BL1026),"")</f>
        <v/>
      </c>
      <c r="AP1026" s="65">
        <f>IF(AO1026="",0,MAX(0,MIN(1,(IF(BR1026="L1",Parameter!$K$5,Parameter!$K$6+Parameter!$K$7)-(AO1026-AK1026))/AK1026)))</f>
        <v/>
      </c>
      <c r="AQ1026" s="55">
        <f>IF(LEFT(Cockpit!$O$5,1)="A",G1026,IF(BT1026=1,BU1026,IF(LEFT(Cockpit!$O$5,1)="B",AU1026,MAX(AU1026,G1026))))</f>
        <v/>
      </c>
      <c r="AR1026" s="55">
        <f>IF(BO1026=1,0,ROUNDUP(AQ1026/BN1026,0))</f>
        <v/>
      </c>
      <c r="AS1026" s="64">
        <f>IF(BO1026=1,IF(AQ1026&lt;=0,0,BP1026*MAX(1,IF(G1026&gt;0,AQ1026/G1026,1))),AR1026*Q1026)</f>
        <v/>
      </c>
      <c r="AT1026" s="55">
        <f>AQ1026*F1026</f>
        <v/>
      </c>
      <c r="AU1026" s="55">
        <f>ROUNDUP(MAX(I1026/IF(BS1026&gt;0,BS1026,MAX(0.1,N(Cockpit!$O$6))),BV1026)/BN1026,0)*BN1026</f>
        <v/>
      </c>
      <c r="AV1026" s="56">
        <f>IF(AS1026&gt;0,I1026/AS1026,-1)</f>
        <v/>
      </c>
      <c r="AW1026" s="56">
        <f>IF(AND(OR(BR1026="L1",BR1026="L23"),AS1026&gt;0),SUMIFS($AS$7:$AS$1570,$BR$7:$BR$1570,BR1026,$AV$7:$AV$1570,"&gt;"&amp;AV1026)+SUMIFS($AS$7:$AS$1570,$BR$7:$BR$1570,BR1026,$AV$7:$AV$1570,AV1026,$BL$7:$BL$1570,"&lt;="&amp;BL1026),"")</f>
        <v/>
      </c>
      <c r="AX1026" s="65">
        <f>IF(AW1026="",0,MAX(0,MIN(1,(IF(BR1026="L1",Parameter!$K$5,Parameter!$K$6+Parameter!$K$7)-(AW1026-AS1026))/AS1026)))</f>
        <v/>
      </c>
      <c r="AY1026" s="53">
        <f>IF(AC1026&lt;=0,"",IF(BR1026="Aussen","Aussenlager",IF(BR1026="-","Nicht im Lift",IF(AH1026&gt;=1,"Lift",IF(AH1026&lt;=0,"Aussenlager","teilweise")))))</f>
        <v/>
      </c>
      <c r="AZ1026" s="53">
        <f>IF(AK1026&lt;=0,"",IF(BR1026="Aussen","Aussenlager",IF(BR1026="-","Nicht im Lift",IF(AP1026&gt;=1,"Lift",IF(AP1026&lt;=0,"Aussenlager","teilweise")))))</f>
        <v/>
      </c>
      <c r="BA1026" s="53">
        <f>IF(AS1026&lt;=0,"",IF(BR1026="Aussen","Aussenlager",IF(BR1026="-","Nicht im Lift",IF(AX1026&gt;=1,"Lift",IF(AX1026&lt;=0,"Aussenlager","teilweise")))))</f>
        <v/>
      </c>
      <c r="BB1026" s="53">
        <f>IF(A1026="","",IF(BK1026=1,"Neu; ","")&amp;IF(AND(BK1026=0,BF1026&lt;0),"negativer Bestand (Export "&amp;BF1026&amp;"); ","")&amp;IF(I1026&lt;=0,"Kein Verbrauch; ","")&amp;IF(BO1026=1,"Lose – Fläche geschätzt; ","")&amp;IF(G1026&gt;AM1026,"Überbestand "&amp;ROUND(G1026-AM1026,0)&amp;" Stk / CHF "&amp;ROUND((G1026-AM1026)*F1026,0)&amp;"; ","")&amp;IF(AND(BT1026=1,BU1026&lt;BV1026),"MAX &lt; MB+LG; ","")&amp;IF(AND(BZ1026&gt;0,BY1026*10&gt;BZ1026),"zu hoch für Tablar; ","")&amp;IF(AND(BK1026=0,OR(BT1026=1,V1026&lt;&gt;"",S1026&lt;&gt;"",T1026&lt;&gt;"",W1026&lt;&gt;"")),"manuell übersteuert; ","")&amp;IF(AND(BO1026=0,Q1026=0),"Gebinde unbekannt; ","")&amp;IF(AND(BO1026=0,N(T1026)&lt;=0,N(P1026)&lt;=0),"Menge pro Gebinde fehlt (Ist = 1 Gebinde); ","")&amp;BJ1026)</f>
        <v/>
      </c>
      <c r="BC1026" s="53" t="n"/>
      <c r="BD1026" s="53" t="n"/>
      <c r="BE1026" s="61" t="n"/>
      <c r="BF1026" s="55" t="n">
        <v>-11</v>
      </c>
      <c r="BG1026" s="55" t="n">
        <v>15</v>
      </c>
      <c r="BH1026" s="54" t="n">
        <v>-124.63</v>
      </c>
      <c r="BI1026" s="55" t="n">
        <v>6</v>
      </c>
      <c r="BJ1026" s="53" t="inlineStr"/>
      <c r="BK1026" s="58" t="n">
        <v>0</v>
      </c>
      <c r="BL1026" s="58" t="n">
        <v>1026</v>
      </c>
      <c r="BM1026" s="53">
        <f>IF(S1026&lt;&gt;"",UPPER(TRIM(S1026)),IF(O1026="","LOSE",O1026))</f>
        <v/>
      </c>
      <c r="BN1026" s="55">
        <f>IF(BM1026="LOSE",1,IF(N(T1026)&gt;0,T1026,IF(N(P1026)&gt;0,P1026,MAX(1,G1026))))</f>
        <v/>
      </c>
      <c r="BO1026" s="58">
        <f>IF(BM1026="LOSE",1,0)</f>
        <v/>
      </c>
      <c r="BP1026" s="64">
        <f>IF(BO1026=0,0,IF(N(R1026)&gt;0,R1026,IFERROR(VLOOKUP(D1026,Parameter!$A$35:$C$64,3,0)+0,0)))</f>
        <v/>
      </c>
      <c r="BQ1026" s="53">
        <f>IF(V1026&lt;&gt;"",V1026,U1026)</f>
        <v/>
      </c>
      <c r="BR1026" s="53">
        <f>IF(BQ1026=1,"L1",IF(OR(BQ1026=2,BQ1026=3),"L23",IF(BQ1026="Aussen","Aussen","-")))</f>
        <v/>
      </c>
      <c r="BS1026" s="66">
        <f>IF(N(W1026)&gt;0,W1026,0)</f>
        <v/>
      </c>
      <c r="BT1026" s="58">
        <f>IF(ISNUMBER(Z1026),1,0)</f>
        <v/>
      </c>
      <c r="BU1026" s="55">
        <f>N(Z1026)</f>
        <v/>
      </c>
      <c r="BV1026" s="55">
        <f>N(L1026)+N(M1026)</f>
        <v/>
      </c>
      <c r="BW1026" s="55">
        <f>ROUNDUP(G1026/BN1026,0)</f>
        <v/>
      </c>
      <c r="BX1026" s="55">
        <f>ROUNDUP(BU1026/BN1026,0)</f>
        <v/>
      </c>
      <c r="BY1026" s="58">
        <f>IF(BO1026=1,0,IFERROR(VLOOKUP(BM1026,'Gebinde-Kategorie'!$A$5:$G$45,5,0)+0,0))</f>
        <v/>
      </c>
      <c r="BZ1026" s="58">
        <f>IFERROR(IF(OR(BQ1026=1,BQ1026=2,BQ1026=3),N(INDEX(Parameter!$I$5:$I$7,BQ1026)),0),0)</f>
        <v/>
      </c>
    </row>
    <row r="1027">
      <c r="A1027" s="53" t="inlineStr">
        <is>
          <t>110309</t>
        </is>
      </c>
      <c r="B1027" s="53" t="inlineStr">
        <is>
          <t>Verteiler</t>
        </is>
      </c>
      <c r="C1027" s="53" t="inlineStr">
        <is>
          <t>F</t>
        </is>
      </c>
      <c r="D1027" s="53" t="inlineStr">
        <is>
          <t>KTL</t>
        </is>
      </c>
      <c r="E1027" s="53" t="inlineStr">
        <is>
          <t>C</t>
        </is>
      </c>
      <c r="F1027" s="54" t="n">
        <v>125</v>
      </c>
      <c r="G1027" s="55">
        <f>MAX(0,IF(Parameter!$B$20="Jahresanfang 2025 + Export",BG1027+BF1027,BF1027))</f>
        <v/>
      </c>
      <c r="H1027" s="55">
        <f>G1027*F1027</f>
        <v/>
      </c>
      <c r="I1027" s="55">
        <f>BI1027*Parameter!$B$18</f>
        <v/>
      </c>
      <c r="J1027" s="56" t="n">
        <v>11</v>
      </c>
      <c r="K1027" s="57" t="n">
        <v>0</v>
      </c>
      <c r="L1027" s="55" t="n">
        <v>0</v>
      </c>
      <c r="M1027" s="55" t="n">
        <v>1</v>
      </c>
      <c r="N1027" s="58" t="n">
        <v>35</v>
      </c>
      <c r="O1027" s="53" t="inlineStr">
        <is>
          <t>S62</t>
        </is>
      </c>
      <c r="P1027" s="55" t="n">
        <v>15</v>
      </c>
      <c r="Q1027" s="59">
        <f>IF(BO1027=1,0,IFERROR(VLOOKUP(BM1027,'Gebinde-Kategorie'!$A$5:$G$45,6,0)+0,0))</f>
        <v/>
      </c>
      <c r="R1027" s="60" t="n"/>
      <c r="S1027" s="61" t="n"/>
      <c r="T1027" s="61" t="n"/>
      <c r="U1027" s="53">
        <f>IF(A1027="","",IF(IFERROR(VLOOKUP(D1027,Parameter!$A$35:$C$64,2,0),"Nein")="2+3",IF(ISNUMBER(SEARCH("grosser Artikel",BJ1027)),2,IFERROR(VLOOKUP(BM1027,Parameter!$F$35:$G$64,2,0),2)),IF(OR(IFERROR(VLOOKUP(D1027,Parameter!$A$35:$C$64,2,0),"Nein")="Nein",IFERROR(VLOOKUP(D1027,Parameter!$A$35:$C$64,2,0),"Nein")=""),"-",VLOOKUP(D1027,Parameter!$A$35:$C$64,2,0))))</f>
        <v/>
      </c>
      <c r="V1027" s="61" t="n"/>
      <c r="W1027" s="62" t="n"/>
      <c r="X1027" s="55">
        <f>AM1027</f>
        <v/>
      </c>
      <c r="Y1027" s="55">
        <f>MAX(AM1027,G1027)</f>
        <v/>
      </c>
      <c r="Z1027" s="63" t="n"/>
      <c r="AA1027" s="55">
        <f>IF(LEFT(Cockpit!$C$5,1)="A",G1027,IF(BT1027=1,BU1027,IF(LEFT(Cockpit!$C$5,1)="B",AE1027,MAX(AE1027,G1027))))</f>
        <v/>
      </c>
      <c r="AB1027" s="55">
        <f>IF(BO1027=1,0,ROUNDUP(AA1027/BN1027,0))</f>
        <v/>
      </c>
      <c r="AC1027" s="64">
        <f>IF(BO1027=1,IF(AA1027&lt;=0,0,BP1027*MAX(1,IF(G1027&gt;0,AA1027/G1027,1))),AB1027*Q1027)</f>
        <v/>
      </c>
      <c r="AD1027" s="55">
        <f>AA1027*F1027</f>
        <v/>
      </c>
      <c r="AE1027" s="55">
        <f>ROUNDUP(MAX(I1027/IF(BS1027&gt;0,BS1027,MAX(0.1,N(Cockpit!$C$6))),BV1027)/BN1027,0)*BN1027</f>
        <v/>
      </c>
      <c r="AF1027" s="56">
        <f>IF(AC1027&gt;0,I1027/AC1027,-1)</f>
        <v/>
      </c>
      <c r="AG1027" s="56">
        <f>IF(AND(OR(BR1027="L1",BR1027="L23"),AC1027&gt;0),SUMIFS($AC$7:$AC$1570,$BR$7:$BR$1570,BR1027,$AF$7:$AF$1570,"&gt;"&amp;AF1027)+SUMIFS($AC$7:$AC$1570,$BR$7:$BR$1570,BR1027,$AF$7:$AF$1570,AF1027,$BL$7:$BL$1570,"&lt;="&amp;BL1027),"")</f>
        <v/>
      </c>
      <c r="AH1027" s="65">
        <f>IF(AG1027="",0,MAX(0,MIN(1,(IF(BR1027="L1",Parameter!$K$5,Parameter!$K$6+Parameter!$K$7)-(AG1027-AC1027))/AC1027)))</f>
        <v/>
      </c>
      <c r="AI1027" s="55">
        <f>IF(LEFT(Cockpit!$I$5,1)="A",G1027,IF(BT1027=1,BU1027,IF(LEFT(Cockpit!$I$5,1)="B",AM1027,MAX(AM1027,G1027))))</f>
        <v/>
      </c>
      <c r="AJ1027" s="55">
        <f>IF(BO1027=1,0,ROUNDUP(AI1027/BN1027,0))</f>
        <v/>
      </c>
      <c r="AK1027" s="64">
        <f>IF(BO1027=1,IF(AI1027&lt;=0,0,BP1027*MAX(1,IF(G1027&gt;0,AI1027/G1027,1))),AJ1027*Q1027)</f>
        <v/>
      </c>
      <c r="AL1027" s="55">
        <f>AI1027*F1027</f>
        <v/>
      </c>
      <c r="AM1027" s="55">
        <f>ROUNDUP(MAX(I1027/IF(BS1027&gt;0,BS1027,MAX(0.1,N(Cockpit!$I$6))),BV1027)/BN1027,0)*BN1027</f>
        <v/>
      </c>
      <c r="AN1027" s="56">
        <f>IF(AK1027&gt;0,I1027/AK1027,-1)</f>
        <v/>
      </c>
      <c r="AO1027" s="56">
        <f>IF(AND(OR(BR1027="L1",BR1027="L23"),AK1027&gt;0),SUMIFS($AK$7:$AK$1570,$BR$7:$BR$1570,BR1027,$AN$7:$AN$1570,"&gt;"&amp;AN1027)+SUMIFS($AK$7:$AK$1570,$BR$7:$BR$1570,BR1027,$AN$7:$AN$1570,AN1027,$BL$7:$BL$1570,"&lt;="&amp;BL1027),"")</f>
        <v/>
      </c>
      <c r="AP1027" s="65">
        <f>IF(AO1027="",0,MAX(0,MIN(1,(IF(BR1027="L1",Parameter!$K$5,Parameter!$K$6+Parameter!$K$7)-(AO1027-AK1027))/AK1027)))</f>
        <v/>
      </c>
      <c r="AQ1027" s="55">
        <f>IF(LEFT(Cockpit!$O$5,1)="A",G1027,IF(BT1027=1,BU1027,IF(LEFT(Cockpit!$O$5,1)="B",AU1027,MAX(AU1027,G1027))))</f>
        <v/>
      </c>
      <c r="AR1027" s="55">
        <f>IF(BO1027=1,0,ROUNDUP(AQ1027/BN1027,0))</f>
        <v/>
      </c>
      <c r="AS1027" s="64">
        <f>IF(BO1027=1,IF(AQ1027&lt;=0,0,BP1027*MAX(1,IF(G1027&gt;0,AQ1027/G1027,1))),AR1027*Q1027)</f>
        <v/>
      </c>
      <c r="AT1027" s="55">
        <f>AQ1027*F1027</f>
        <v/>
      </c>
      <c r="AU1027" s="55">
        <f>ROUNDUP(MAX(I1027/IF(BS1027&gt;0,BS1027,MAX(0.1,N(Cockpit!$O$6))),BV1027)/BN1027,0)*BN1027</f>
        <v/>
      </c>
      <c r="AV1027" s="56">
        <f>IF(AS1027&gt;0,I1027/AS1027,-1)</f>
        <v/>
      </c>
      <c r="AW1027" s="56">
        <f>IF(AND(OR(BR1027="L1",BR1027="L23"),AS1027&gt;0),SUMIFS($AS$7:$AS$1570,$BR$7:$BR$1570,BR1027,$AV$7:$AV$1570,"&gt;"&amp;AV1027)+SUMIFS($AS$7:$AS$1570,$BR$7:$BR$1570,BR1027,$AV$7:$AV$1570,AV1027,$BL$7:$BL$1570,"&lt;="&amp;BL1027),"")</f>
        <v/>
      </c>
      <c r="AX1027" s="65">
        <f>IF(AW1027="",0,MAX(0,MIN(1,(IF(BR1027="L1",Parameter!$K$5,Parameter!$K$6+Parameter!$K$7)-(AW1027-AS1027))/AS1027)))</f>
        <v/>
      </c>
      <c r="AY1027" s="53">
        <f>IF(AC1027&lt;=0,"",IF(BR1027="Aussen","Aussenlager",IF(BR1027="-","Nicht im Lift",IF(AH1027&gt;=1,"Lift",IF(AH1027&lt;=0,"Aussenlager","teilweise")))))</f>
        <v/>
      </c>
      <c r="AZ1027" s="53">
        <f>IF(AK1027&lt;=0,"",IF(BR1027="Aussen","Aussenlager",IF(BR1027="-","Nicht im Lift",IF(AP1027&gt;=1,"Lift",IF(AP1027&lt;=0,"Aussenlager","teilweise")))))</f>
        <v/>
      </c>
      <c r="BA1027" s="53">
        <f>IF(AS1027&lt;=0,"",IF(BR1027="Aussen","Aussenlager",IF(BR1027="-","Nicht im Lift",IF(AX1027&gt;=1,"Lift",IF(AX1027&lt;=0,"Aussenlager","teilweise")))))</f>
        <v/>
      </c>
      <c r="BB1027" s="53">
        <f>IF(A1027="","",IF(BK1027=1,"Neu; ","")&amp;IF(AND(BK1027=0,BF1027&lt;0),"negativer Bestand (Export "&amp;BF1027&amp;"); ","")&amp;IF(I1027&lt;=0,"Kein Verbrauch; ","")&amp;IF(BO1027=1,"Lose – Fläche geschätzt; ","")&amp;IF(G1027&gt;AM1027,"Überbestand "&amp;ROUND(G1027-AM1027,0)&amp;" Stk / CHF "&amp;ROUND((G1027-AM1027)*F1027,0)&amp;"; ","")&amp;IF(AND(BT1027=1,BU1027&lt;BV1027),"MAX &lt; MB+LG; ","")&amp;IF(AND(BZ1027&gt;0,BY1027*10&gt;BZ1027),"zu hoch für Tablar; ","")&amp;IF(AND(BK1027=0,OR(BT1027=1,V1027&lt;&gt;"",S1027&lt;&gt;"",T1027&lt;&gt;"",W1027&lt;&gt;"")),"manuell übersteuert; ","")&amp;IF(AND(BO1027=0,Q1027=0),"Gebinde unbekannt; ","")&amp;IF(AND(BO1027=0,N(T1027)&lt;=0,N(P1027)&lt;=0),"Menge pro Gebinde fehlt (Ist = 1 Gebinde); ","")&amp;BJ1027)</f>
        <v/>
      </c>
      <c r="BC1027" s="53" t="n"/>
      <c r="BD1027" s="53" t="n"/>
      <c r="BE1027" s="61" t="n"/>
      <c r="BF1027" s="55" t="n">
        <v>-1</v>
      </c>
      <c r="BG1027" s="55" t="n">
        <v>11</v>
      </c>
      <c r="BH1027" s="54" t="n">
        <v>-125</v>
      </c>
      <c r="BI1027" s="55" t="n">
        <v>0</v>
      </c>
      <c r="BJ1027" s="53" t="inlineStr"/>
      <c r="BK1027" s="58" t="n">
        <v>0</v>
      </c>
      <c r="BL1027" s="58" t="n">
        <v>1027</v>
      </c>
      <c r="BM1027" s="53">
        <f>IF(S1027&lt;&gt;"",UPPER(TRIM(S1027)),IF(O1027="","LOSE",O1027))</f>
        <v/>
      </c>
      <c r="BN1027" s="55">
        <f>IF(BM1027="LOSE",1,IF(N(T1027)&gt;0,T1027,IF(N(P1027)&gt;0,P1027,MAX(1,G1027))))</f>
        <v/>
      </c>
      <c r="BO1027" s="58">
        <f>IF(BM1027="LOSE",1,0)</f>
        <v/>
      </c>
      <c r="BP1027" s="64">
        <f>IF(BO1027=0,0,IF(N(R1027)&gt;0,R1027,IFERROR(VLOOKUP(D1027,Parameter!$A$35:$C$64,3,0)+0,0)))</f>
        <v/>
      </c>
      <c r="BQ1027" s="53">
        <f>IF(V1027&lt;&gt;"",V1027,U1027)</f>
        <v/>
      </c>
      <c r="BR1027" s="53">
        <f>IF(BQ1027=1,"L1",IF(OR(BQ1027=2,BQ1027=3),"L23",IF(BQ1027="Aussen","Aussen","-")))</f>
        <v/>
      </c>
      <c r="BS1027" s="66">
        <f>IF(N(W1027)&gt;0,W1027,0)</f>
        <v/>
      </c>
      <c r="BT1027" s="58">
        <f>IF(ISNUMBER(Z1027),1,0)</f>
        <v/>
      </c>
      <c r="BU1027" s="55">
        <f>N(Z1027)</f>
        <v/>
      </c>
      <c r="BV1027" s="55">
        <f>N(L1027)+N(M1027)</f>
        <v/>
      </c>
      <c r="BW1027" s="55">
        <f>ROUNDUP(G1027/BN1027,0)</f>
        <v/>
      </c>
      <c r="BX1027" s="55">
        <f>ROUNDUP(BU1027/BN1027,0)</f>
        <v/>
      </c>
      <c r="BY1027" s="58">
        <f>IF(BO1027=1,0,IFERROR(VLOOKUP(BM1027,'Gebinde-Kategorie'!$A$5:$G$45,5,0)+0,0))</f>
        <v/>
      </c>
      <c r="BZ1027" s="58">
        <f>IFERROR(IF(OR(BQ1027=1,BQ1027=2,BQ1027=3),N(INDEX(Parameter!$I$5:$I$7,BQ1027)),0),0)</f>
        <v/>
      </c>
    </row>
    <row r="1028">
      <c r="A1028" s="53" t="inlineStr">
        <is>
          <t>107130</t>
        </is>
      </c>
      <c r="B1028" s="53" t="inlineStr">
        <is>
          <t>Typenschild</t>
        </is>
      </c>
      <c r="C1028" s="53" t="inlineStr">
        <is>
          <t>F</t>
        </is>
      </c>
      <c r="D1028" s="53" t="inlineStr">
        <is>
          <t>KTL</t>
        </is>
      </c>
      <c r="E1028" s="53" t="inlineStr">
        <is>
          <t>C</t>
        </is>
      </c>
      <c r="F1028" s="54" t="n">
        <v>20.71</v>
      </c>
      <c r="G1028" s="55">
        <f>MAX(0,IF(Parameter!$B$20="Jahresanfang 2025 + Export",BG1028+BF1028,BF1028))</f>
        <v/>
      </c>
      <c r="H1028" s="55">
        <f>G1028*F1028</f>
        <v/>
      </c>
      <c r="I1028" s="55">
        <f>BI1028*Parameter!$B$18</f>
        <v/>
      </c>
      <c r="J1028" s="56" t="n">
        <v>19.5</v>
      </c>
      <c r="K1028" s="57" t="n">
        <v>0.6666666666666666</v>
      </c>
      <c r="L1028" s="55" t="n">
        <v>0</v>
      </c>
      <c r="M1028" s="55" t="n">
        <v>15</v>
      </c>
      <c r="N1028" s="58" t="n">
        <v>21</v>
      </c>
      <c r="O1028" s="53" t="inlineStr">
        <is>
          <t>S32</t>
        </is>
      </c>
      <c r="P1028" s="55" t="n">
        <v>13</v>
      </c>
      <c r="Q1028" s="59">
        <f>IF(BO1028=1,0,IFERROR(VLOOKUP(BM1028,'Gebinde-Kategorie'!$A$5:$G$45,6,0)+0,0))</f>
        <v/>
      </c>
      <c r="R1028" s="60" t="n"/>
      <c r="S1028" s="61" t="n"/>
      <c r="T1028" s="61" t="n"/>
      <c r="U1028" s="53">
        <f>IF(A1028="","",IF(IFERROR(VLOOKUP(D1028,Parameter!$A$35:$C$64,2,0),"Nein")="2+3",IF(ISNUMBER(SEARCH("grosser Artikel",BJ1028)),2,IFERROR(VLOOKUP(BM1028,Parameter!$F$35:$G$64,2,0),2)),IF(OR(IFERROR(VLOOKUP(D1028,Parameter!$A$35:$C$64,2,0),"Nein")="Nein",IFERROR(VLOOKUP(D1028,Parameter!$A$35:$C$64,2,0),"Nein")=""),"-",VLOOKUP(D1028,Parameter!$A$35:$C$64,2,0))))</f>
        <v/>
      </c>
      <c r="V1028" s="61" t="n"/>
      <c r="W1028" s="62" t="n"/>
      <c r="X1028" s="55">
        <f>AM1028</f>
        <v/>
      </c>
      <c r="Y1028" s="55">
        <f>MAX(AM1028,G1028)</f>
        <v/>
      </c>
      <c r="Z1028" s="63" t="n"/>
      <c r="AA1028" s="55">
        <f>IF(LEFT(Cockpit!$C$5,1)="A",G1028,IF(BT1028=1,BU1028,IF(LEFT(Cockpit!$C$5,1)="B",AE1028,MAX(AE1028,G1028))))</f>
        <v/>
      </c>
      <c r="AB1028" s="55">
        <f>IF(BO1028=1,0,ROUNDUP(AA1028/BN1028,0))</f>
        <v/>
      </c>
      <c r="AC1028" s="64">
        <f>IF(BO1028=1,IF(AA1028&lt;=0,0,BP1028*MAX(1,IF(G1028&gt;0,AA1028/G1028,1))),AB1028*Q1028)</f>
        <v/>
      </c>
      <c r="AD1028" s="55">
        <f>AA1028*F1028</f>
        <v/>
      </c>
      <c r="AE1028" s="55">
        <f>ROUNDUP(MAX(I1028/IF(BS1028&gt;0,BS1028,MAX(0.1,N(Cockpit!$C$6))),BV1028)/BN1028,0)*BN1028</f>
        <v/>
      </c>
      <c r="AF1028" s="56">
        <f>IF(AC1028&gt;0,I1028/AC1028,-1)</f>
        <v/>
      </c>
      <c r="AG1028" s="56">
        <f>IF(AND(OR(BR1028="L1",BR1028="L23"),AC1028&gt;0),SUMIFS($AC$7:$AC$1570,$BR$7:$BR$1570,BR1028,$AF$7:$AF$1570,"&gt;"&amp;AF1028)+SUMIFS($AC$7:$AC$1570,$BR$7:$BR$1570,BR1028,$AF$7:$AF$1570,AF1028,$BL$7:$BL$1570,"&lt;="&amp;BL1028),"")</f>
        <v/>
      </c>
      <c r="AH1028" s="65">
        <f>IF(AG1028="",0,MAX(0,MIN(1,(IF(BR1028="L1",Parameter!$K$5,Parameter!$K$6+Parameter!$K$7)-(AG1028-AC1028))/AC1028)))</f>
        <v/>
      </c>
      <c r="AI1028" s="55">
        <f>IF(LEFT(Cockpit!$I$5,1)="A",G1028,IF(BT1028=1,BU1028,IF(LEFT(Cockpit!$I$5,1)="B",AM1028,MAX(AM1028,G1028))))</f>
        <v/>
      </c>
      <c r="AJ1028" s="55">
        <f>IF(BO1028=1,0,ROUNDUP(AI1028/BN1028,0))</f>
        <v/>
      </c>
      <c r="AK1028" s="64">
        <f>IF(BO1028=1,IF(AI1028&lt;=0,0,BP1028*MAX(1,IF(G1028&gt;0,AI1028/G1028,1))),AJ1028*Q1028)</f>
        <v/>
      </c>
      <c r="AL1028" s="55">
        <f>AI1028*F1028</f>
        <v/>
      </c>
      <c r="AM1028" s="55">
        <f>ROUNDUP(MAX(I1028/IF(BS1028&gt;0,BS1028,MAX(0.1,N(Cockpit!$I$6))),BV1028)/BN1028,0)*BN1028</f>
        <v/>
      </c>
      <c r="AN1028" s="56">
        <f>IF(AK1028&gt;0,I1028/AK1028,-1)</f>
        <v/>
      </c>
      <c r="AO1028" s="56">
        <f>IF(AND(OR(BR1028="L1",BR1028="L23"),AK1028&gt;0),SUMIFS($AK$7:$AK$1570,$BR$7:$BR$1570,BR1028,$AN$7:$AN$1570,"&gt;"&amp;AN1028)+SUMIFS($AK$7:$AK$1570,$BR$7:$BR$1570,BR1028,$AN$7:$AN$1570,AN1028,$BL$7:$BL$1570,"&lt;="&amp;BL1028),"")</f>
        <v/>
      </c>
      <c r="AP1028" s="65">
        <f>IF(AO1028="",0,MAX(0,MIN(1,(IF(BR1028="L1",Parameter!$K$5,Parameter!$K$6+Parameter!$K$7)-(AO1028-AK1028))/AK1028)))</f>
        <v/>
      </c>
      <c r="AQ1028" s="55">
        <f>IF(LEFT(Cockpit!$O$5,1)="A",G1028,IF(BT1028=1,BU1028,IF(LEFT(Cockpit!$O$5,1)="B",AU1028,MAX(AU1028,G1028))))</f>
        <v/>
      </c>
      <c r="AR1028" s="55">
        <f>IF(BO1028=1,0,ROUNDUP(AQ1028/BN1028,0))</f>
        <v/>
      </c>
      <c r="AS1028" s="64">
        <f>IF(BO1028=1,IF(AQ1028&lt;=0,0,BP1028*MAX(1,IF(G1028&gt;0,AQ1028/G1028,1))),AR1028*Q1028)</f>
        <v/>
      </c>
      <c r="AT1028" s="55">
        <f>AQ1028*F1028</f>
        <v/>
      </c>
      <c r="AU1028" s="55">
        <f>ROUNDUP(MAX(I1028/IF(BS1028&gt;0,BS1028,MAX(0.1,N(Cockpit!$O$6))),BV1028)/BN1028,0)*BN1028</f>
        <v/>
      </c>
      <c r="AV1028" s="56">
        <f>IF(AS1028&gt;0,I1028/AS1028,-1)</f>
        <v/>
      </c>
      <c r="AW1028" s="56">
        <f>IF(AND(OR(BR1028="L1",BR1028="L23"),AS1028&gt;0),SUMIFS($AS$7:$AS$1570,$BR$7:$BR$1570,BR1028,$AV$7:$AV$1570,"&gt;"&amp;AV1028)+SUMIFS($AS$7:$AS$1570,$BR$7:$BR$1570,BR1028,$AV$7:$AV$1570,AV1028,$BL$7:$BL$1570,"&lt;="&amp;BL1028),"")</f>
        <v/>
      </c>
      <c r="AX1028" s="65">
        <f>IF(AW1028="",0,MAX(0,MIN(1,(IF(BR1028="L1",Parameter!$K$5,Parameter!$K$6+Parameter!$K$7)-(AW1028-AS1028))/AS1028)))</f>
        <v/>
      </c>
      <c r="AY1028" s="53">
        <f>IF(AC1028&lt;=0,"",IF(BR1028="Aussen","Aussenlager",IF(BR1028="-","Nicht im Lift",IF(AH1028&gt;=1,"Lift",IF(AH1028&lt;=0,"Aussenlager","teilweise")))))</f>
        <v/>
      </c>
      <c r="AZ1028" s="53">
        <f>IF(AK1028&lt;=0,"",IF(BR1028="Aussen","Aussenlager",IF(BR1028="-","Nicht im Lift",IF(AP1028&gt;=1,"Lift",IF(AP1028&lt;=0,"Aussenlager","teilweise")))))</f>
        <v/>
      </c>
      <c r="BA1028" s="53">
        <f>IF(AS1028&lt;=0,"",IF(BR1028="Aussen","Aussenlager",IF(BR1028="-","Nicht im Lift",IF(AX1028&gt;=1,"Lift",IF(AX1028&lt;=0,"Aussenlager","teilweise")))))</f>
        <v/>
      </c>
      <c r="BB1028" s="53">
        <f>IF(A1028="","",IF(BK1028=1,"Neu; ","")&amp;IF(AND(BK1028=0,BF1028&lt;0),"negativer Bestand (Export "&amp;BF1028&amp;"); ","")&amp;IF(I1028&lt;=0,"Kein Verbrauch; ","")&amp;IF(BO1028=1,"Lose – Fläche geschätzt; ","")&amp;IF(G1028&gt;AM1028,"Überbestand "&amp;ROUND(G1028-AM1028,0)&amp;" Stk / CHF "&amp;ROUND((G1028-AM1028)*F1028,0)&amp;"; ","")&amp;IF(AND(BT1028=1,BU1028&lt;BV1028),"MAX &lt; MB+LG; ","")&amp;IF(AND(BZ1028&gt;0,BY1028*10&gt;BZ1028),"zu hoch für Tablar; ","")&amp;IF(AND(BK1028=0,OR(BT1028=1,V1028&lt;&gt;"",S1028&lt;&gt;"",T1028&lt;&gt;"",W1028&lt;&gt;"")),"manuell übersteuert; ","")&amp;IF(AND(BO1028=0,Q1028=0),"Gebinde unbekannt; ","")&amp;IF(AND(BO1028=0,N(T1028)&lt;=0,N(P1028)&lt;=0),"Menge pro Gebinde fehlt (Ist = 1 Gebinde); ","")&amp;BJ1028)</f>
        <v/>
      </c>
      <c r="BC1028" s="53" t="n"/>
      <c r="BD1028" s="53" t="n"/>
      <c r="BE1028" s="61" t="n"/>
      <c r="BF1028" s="55" t="n">
        <v>-7</v>
      </c>
      <c r="BG1028" s="55" t="n">
        <v>21</v>
      </c>
      <c r="BH1028" s="54" t="n">
        <v>-127.1199999999999</v>
      </c>
      <c r="BI1028" s="55" t="n">
        <v>13</v>
      </c>
      <c r="BJ1028" s="53" t="inlineStr"/>
      <c r="BK1028" s="58" t="n">
        <v>0</v>
      </c>
      <c r="BL1028" s="58" t="n">
        <v>1028</v>
      </c>
      <c r="BM1028" s="53">
        <f>IF(S1028&lt;&gt;"",UPPER(TRIM(S1028)),IF(O1028="","LOSE",O1028))</f>
        <v/>
      </c>
      <c r="BN1028" s="55">
        <f>IF(BM1028="LOSE",1,IF(N(T1028)&gt;0,T1028,IF(N(P1028)&gt;0,P1028,MAX(1,G1028))))</f>
        <v/>
      </c>
      <c r="BO1028" s="58">
        <f>IF(BM1028="LOSE",1,0)</f>
        <v/>
      </c>
      <c r="BP1028" s="64">
        <f>IF(BO1028=0,0,IF(N(R1028)&gt;0,R1028,IFERROR(VLOOKUP(D1028,Parameter!$A$35:$C$64,3,0)+0,0)))</f>
        <v/>
      </c>
      <c r="BQ1028" s="53">
        <f>IF(V1028&lt;&gt;"",V1028,U1028)</f>
        <v/>
      </c>
      <c r="BR1028" s="53">
        <f>IF(BQ1028=1,"L1",IF(OR(BQ1028=2,BQ1028=3),"L23",IF(BQ1028="Aussen","Aussen","-")))</f>
        <v/>
      </c>
      <c r="BS1028" s="66">
        <f>IF(N(W1028)&gt;0,W1028,0)</f>
        <v/>
      </c>
      <c r="BT1028" s="58">
        <f>IF(ISNUMBER(Z1028),1,0)</f>
        <v/>
      </c>
      <c r="BU1028" s="55">
        <f>N(Z1028)</f>
        <v/>
      </c>
      <c r="BV1028" s="55">
        <f>N(L1028)+N(M1028)</f>
        <v/>
      </c>
      <c r="BW1028" s="55">
        <f>ROUNDUP(G1028/BN1028,0)</f>
        <v/>
      </c>
      <c r="BX1028" s="55">
        <f>ROUNDUP(BU1028/BN1028,0)</f>
        <v/>
      </c>
      <c r="BY1028" s="58">
        <f>IF(BO1028=1,0,IFERROR(VLOOKUP(BM1028,'Gebinde-Kategorie'!$A$5:$G$45,5,0)+0,0))</f>
        <v/>
      </c>
      <c r="BZ1028" s="58">
        <f>IFERROR(IF(OR(BQ1028=1,BQ1028=2,BQ1028=3),N(INDEX(Parameter!$I$5:$I$7,BQ1028)),0),0)</f>
        <v/>
      </c>
    </row>
    <row r="1029">
      <c r="A1029" s="53" t="inlineStr">
        <is>
          <t>101795</t>
        </is>
      </c>
      <c r="B1029" s="53" t="inlineStr">
        <is>
          <t>Flammschutz TwinL</t>
        </is>
      </c>
      <c r="C1029" s="53" t="inlineStr">
        <is>
          <t>F</t>
        </is>
      </c>
      <c r="D1029" s="53" t="inlineStr">
        <is>
          <t>KTL</t>
        </is>
      </c>
      <c r="E1029" s="53" t="inlineStr">
        <is>
          <t>C</t>
        </is>
      </c>
      <c r="F1029" s="54" t="n">
        <v>15.9</v>
      </c>
      <c r="G1029" s="55">
        <f>MAX(0,IF(Parameter!$B$20="Jahresanfang 2025 + Export",BG1029+BF1029,BF1029))</f>
        <v/>
      </c>
      <c r="H1029" s="55">
        <f>G1029*F1029</f>
        <v/>
      </c>
      <c r="I1029" s="55">
        <f>BI1029*Parameter!$B$18</f>
        <v/>
      </c>
      <c r="J1029" s="56" t="n">
        <v>78</v>
      </c>
      <c r="K1029" s="57" t="n">
        <v>0.07692307692307693</v>
      </c>
      <c r="L1029" s="55" t="n">
        <v>0</v>
      </c>
      <c r="M1029" s="55" t="n">
        <v>5</v>
      </c>
      <c r="N1029" s="58" t="n">
        <v>35</v>
      </c>
      <c r="O1029" s="53" t="inlineStr">
        <is>
          <t>S41</t>
        </is>
      </c>
      <c r="P1029" s="55" t="n">
        <v>119</v>
      </c>
      <c r="Q1029" s="59">
        <f>IF(BO1029=1,0,IFERROR(VLOOKUP(BM1029,'Gebinde-Kategorie'!$A$5:$G$45,6,0)+0,0))</f>
        <v/>
      </c>
      <c r="R1029" s="60" t="n"/>
      <c r="S1029" s="61" t="n"/>
      <c r="T1029" s="61" t="n"/>
      <c r="U1029" s="53">
        <f>IF(A1029="","",IF(IFERROR(VLOOKUP(D1029,Parameter!$A$35:$C$64,2,0),"Nein")="2+3",IF(ISNUMBER(SEARCH("grosser Artikel",BJ1029)),2,IFERROR(VLOOKUP(BM1029,Parameter!$F$35:$G$64,2,0),2)),IF(OR(IFERROR(VLOOKUP(D1029,Parameter!$A$35:$C$64,2,0),"Nein")="Nein",IFERROR(VLOOKUP(D1029,Parameter!$A$35:$C$64,2,0),"Nein")=""),"-",VLOOKUP(D1029,Parameter!$A$35:$C$64,2,0))))</f>
        <v/>
      </c>
      <c r="V1029" s="61" t="n"/>
      <c r="W1029" s="62" t="n"/>
      <c r="X1029" s="55">
        <f>AM1029</f>
        <v/>
      </c>
      <c r="Y1029" s="55">
        <f>MAX(AM1029,G1029)</f>
        <v/>
      </c>
      <c r="Z1029" s="63" t="n"/>
      <c r="AA1029" s="55">
        <f>IF(LEFT(Cockpit!$C$5,1)="A",G1029,IF(BT1029=1,BU1029,IF(LEFT(Cockpit!$C$5,1)="B",AE1029,MAX(AE1029,G1029))))</f>
        <v/>
      </c>
      <c r="AB1029" s="55">
        <f>IF(BO1029=1,0,ROUNDUP(AA1029/BN1029,0))</f>
        <v/>
      </c>
      <c r="AC1029" s="64">
        <f>IF(BO1029=1,IF(AA1029&lt;=0,0,BP1029*MAX(1,IF(G1029&gt;0,AA1029/G1029,1))),AB1029*Q1029)</f>
        <v/>
      </c>
      <c r="AD1029" s="55">
        <f>AA1029*F1029</f>
        <v/>
      </c>
      <c r="AE1029" s="55">
        <f>ROUNDUP(MAX(I1029/IF(BS1029&gt;0,BS1029,MAX(0.1,N(Cockpit!$C$6))),BV1029)/BN1029,0)*BN1029</f>
        <v/>
      </c>
      <c r="AF1029" s="56">
        <f>IF(AC1029&gt;0,I1029/AC1029,-1)</f>
        <v/>
      </c>
      <c r="AG1029" s="56">
        <f>IF(AND(OR(BR1029="L1",BR1029="L23"),AC1029&gt;0),SUMIFS($AC$7:$AC$1570,$BR$7:$BR$1570,BR1029,$AF$7:$AF$1570,"&gt;"&amp;AF1029)+SUMIFS($AC$7:$AC$1570,$BR$7:$BR$1570,BR1029,$AF$7:$AF$1570,AF1029,$BL$7:$BL$1570,"&lt;="&amp;BL1029),"")</f>
        <v/>
      </c>
      <c r="AH1029" s="65">
        <f>IF(AG1029="",0,MAX(0,MIN(1,(IF(BR1029="L1",Parameter!$K$5,Parameter!$K$6+Parameter!$K$7)-(AG1029-AC1029))/AC1029)))</f>
        <v/>
      </c>
      <c r="AI1029" s="55">
        <f>IF(LEFT(Cockpit!$I$5,1)="A",G1029,IF(BT1029=1,BU1029,IF(LEFT(Cockpit!$I$5,1)="B",AM1029,MAX(AM1029,G1029))))</f>
        <v/>
      </c>
      <c r="AJ1029" s="55">
        <f>IF(BO1029=1,0,ROUNDUP(AI1029/BN1029,0))</f>
        <v/>
      </c>
      <c r="AK1029" s="64">
        <f>IF(BO1029=1,IF(AI1029&lt;=0,0,BP1029*MAX(1,IF(G1029&gt;0,AI1029/G1029,1))),AJ1029*Q1029)</f>
        <v/>
      </c>
      <c r="AL1029" s="55">
        <f>AI1029*F1029</f>
        <v/>
      </c>
      <c r="AM1029" s="55">
        <f>ROUNDUP(MAX(I1029/IF(BS1029&gt;0,BS1029,MAX(0.1,N(Cockpit!$I$6))),BV1029)/BN1029,0)*BN1029</f>
        <v/>
      </c>
      <c r="AN1029" s="56">
        <f>IF(AK1029&gt;0,I1029/AK1029,-1)</f>
        <v/>
      </c>
      <c r="AO1029" s="56">
        <f>IF(AND(OR(BR1029="L1",BR1029="L23"),AK1029&gt;0),SUMIFS($AK$7:$AK$1570,$BR$7:$BR$1570,BR1029,$AN$7:$AN$1570,"&gt;"&amp;AN1029)+SUMIFS($AK$7:$AK$1570,$BR$7:$BR$1570,BR1029,$AN$7:$AN$1570,AN1029,$BL$7:$BL$1570,"&lt;="&amp;BL1029),"")</f>
        <v/>
      </c>
      <c r="AP1029" s="65">
        <f>IF(AO1029="",0,MAX(0,MIN(1,(IF(BR1029="L1",Parameter!$K$5,Parameter!$K$6+Parameter!$K$7)-(AO1029-AK1029))/AK1029)))</f>
        <v/>
      </c>
      <c r="AQ1029" s="55">
        <f>IF(LEFT(Cockpit!$O$5,1)="A",G1029,IF(BT1029=1,BU1029,IF(LEFT(Cockpit!$O$5,1)="B",AU1029,MAX(AU1029,G1029))))</f>
        <v/>
      </c>
      <c r="AR1029" s="55">
        <f>IF(BO1029=1,0,ROUNDUP(AQ1029/BN1029,0))</f>
        <v/>
      </c>
      <c r="AS1029" s="64">
        <f>IF(BO1029=1,IF(AQ1029&lt;=0,0,BP1029*MAX(1,IF(G1029&gt;0,AQ1029/G1029,1))),AR1029*Q1029)</f>
        <v/>
      </c>
      <c r="AT1029" s="55">
        <f>AQ1029*F1029</f>
        <v/>
      </c>
      <c r="AU1029" s="55">
        <f>ROUNDUP(MAX(I1029/IF(BS1029&gt;0,BS1029,MAX(0.1,N(Cockpit!$O$6))),BV1029)/BN1029,0)*BN1029</f>
        <v/>
      </c>
      <c r="AV1029" s="56">
        <f>IF(AS1029&gt;0,I1029/AS1029,-1)</f>
        <v/>
      </c>
      <c r="AW1029" s="56">
        <f>IF(AND(OR(BR1029="L1",BR1029="L23"),AS1029&gt;0),SUMIFS($AS$7:$AS$1570,$BR$7:$BR$1570,BR1029,$AV$7:$AV$1570,"&gt;"&amp;AV1029)+SUMIFS($AS$7:$AS$1570,$BR$7:$BR$1570,BR1029,$AV$7:$AV$1570,AV1029,$BL$7:$BL$1570,"&lt;="&amp;BL1029),"")</f>
        <v/>
      </c>
      <c r="AX1029" s="65">
        <f>IF(AW1029="",0,MAX(0,MIN(1,(IF(BR1029="L1",Parameter!$K$5,Parameter!$K$6+Parameter!$K$7)-(AW1029-AS1029))/AS1029)))</f>
        <v/>
      </c>
      <c r="AY1029" s="53">
        <f>IF(AC1029&lt;=0,"",IF(BR1029="Aussen","Aussenlager",IF(BR1029="-","Nicht im Lift",IF(AH1029&gt;=1,"Lift",IF(AH1029&lt;=0,"Aussenlager","teilweise")))))</f>
        <v/>
      </c>
      <c r="AZ1029" s="53">
        <f>IF(AK1029&lt;=0,"",IF(BR1029="Aussen","Aussenlager",IF(BR1029="-","Nicht im Lift",IF(AP1029&gt;=1,"Lift",IF(AP1029&lt;=0,"Aussenlager","teilweise")))))</f>
        <v/>
      </c>
      <c r="BA1029" s="53">
        <f>IF(AS1029&lt;=0,"",IF(BR1029="Aussen","Aussenlager",IF(BR1029="-","Nicht im Lift",IF(AX1029&gt;=1,"Lift",IF(AX1029&lt;=0,"Aussenlager","teilweise")))))</f>
        <v/>
      </c>
      <c r="BB1029" s="53">
        <f>IF(A1029="","",IF(BK1029=1,"Neu; ","")&amp;IF(AND(BK1029=0,BF1029&lt;0),"negativer Bestand (Export "&amp;BF1029&amp;"); ","")&amp;IF(I1029&lt;=0,"Kein Verbrauch; ","")&amp;IF(BO1029=1,"Lose – Fläche geschätzt; ","")&amp;IF(G1029&gt;AM1029,"Überbestand "&amp;ROUND(G1029-AM1029,0)&amp;" Stk / CHF "&amp;ROUND((G1029-AM1029)*F1029,0)&amp;"; ","")&amp;IF(AND(BT1029=1,BU1029&lt;BV1029),"MAX &lt; MB+LG; ","")&amp;IF(AND(BZ1029&gt;0,BY1029*10&gt;BZ1029),"zu hoch für Tablar; ","")&amp;IF(AND(BK1029=0,OR(BT1029=1,V1029&lt;&gt;"",S1029&lt;&gt;"",T1029&lt;&gt;"",W1029&lt;&gt;"")),"manuell übersteuert; ","")&amp;IF(AND(BO1029=0,Q1029=0),"Gebinde unbekannt; ","")&amp;IF(AND(BO1029=0,N(T1029)&lt;=0,N(P1029)&lt;=0),"Menge pro Gebinde fehlt (Ist = 1 Gebinde); ","")&amp;BJ1029)</f>
        <v/>
      </c>
      <c r="BC1029" s="53" t="n"/>
      <c r="BD1029" s="53" t="n"/>
      <c r="BE1029" s="61" t="n"/>
      <c r="BF1029" s="55" t="n">
        <v>-8</v>
      </c>
      <c r="BG1029" s="55" t="n">
        <v>81</v>
      </c>
      <c r="BH1029" s="54" t="n">
        <v>-127.2</v>
      </c>
      <c r="BI1029" s="55" t="n">
        <v>6</v>
      </c>
      <c r="BJ1029" s="53" t="inlineStr">
        <is>
          <t>twin</t>
        </is>
      </c>
      <c r="BK1029" s="58" t="n">
        <v>0</v>
      </c>
      <c r="BL1029" s="58" t="n">
        <v>1029</v>
      </c>
      <c r="BM1029" s="53">
        <f>IF(S1029&lt;&gt;"",UPPER(TRIM(S1029)),IF(O1029="","LOSE",O1029))</f>
        <v/>
      </c>
      <c r="BN1029" s="55">
        <f>IF(BM1029="LOSE",1,IF(N(T1029)&gt;0,T1029,IF(N(P1029)&gt;0,P1029,MAX(1,G1029))))</f>
        <v/>
      </c>
      <c r="BO1029" s="58">
        <f>IF(BM1029="LOSE",1,0)</f>
        <v/>
      </c>
      <c r="BP1029" s="64">
        <f>IF(BO1029=0,0,IF(N(R1029)&gt;0,R1029,IFERROR(VLOOKUP(D1029,Parameter!$A$35:$C$64,3,0)+0,0)))</f>
        <v/>
      </c>
      <c r="BQ1029" s="53">
        <f>IF(V1029&lt;&gt;"",V1029,U1029)</f>
        <v/>
      </c>
      <c r="BR1029" s="53">
        <f>IF(BQ1029=1,"L1",IF(OR(BQ1029=2,BQ1029=3),"L23",IF(BQ1029="Aussen","Aussen","-")))</f>
        <v/>
      </c>
      <c r="BS1029" s="66">
        <f>IF(N(W1029)&gt;0,W1029,0)</f>
        <v/>
      </c>
      <c r="BT1029" s="58">
        <f>IF(ISNUMBER(Z1029),1,0)</f>
        <v/>
      </c>
      <c r="BU1029" s="55">
        <f>N(Z1029)</f>
        <v/>
      </c>
      <c r="BV1029" s="55">
        <f>N(L1029)+N(M1029)</f>
        <v/>
      </c>
      <c r="BW1029" s="55">
        <f>ROUNDUP(G1029/BN1029,0)</f>
        <v/>
      </c>
      <c r="BX1029" s="55">
        <f>ROUNDUP(BU1029/BN1029,0)</f>
        <v/>
      </c>
      <c r="BY1029" s="58">
        <f>IF(BO1029=1,0,IFERROR(VLOOKUP(BM1029,'Gebinde-Kategorie'!$A$5:$G$45,5,0)+0,0))</f>
        <v/>
      </c>
      <c r="BZ1029" s="58">
        <f>IFERROR(IF(OR(BQ1029=1,BQ1029=2,BQ1029=3),N(INDEX(Parameter!$I$5:$I$7,BQ1029)),0),0)</f>
        <v/>
      </c>
    </row>
    <row r="1030">
      <c r="A1030" s="53" t="inlineStr">
        <is>
          <t>100357</t>
        </is>
      </c>
      <c r="B1030" s="53" t="inlineStr">
        <is>
          <t>Rohrstück Edelstahl</t>
        </is>
      </c>
      <c r="C1030" s="53" t="inlineStr">
        <is>
          <t>F</t>
        </is>
      </c>
      <c r="D1030" s="53" t="inlineStr">
        <is>
          <t>KTL</t>
        </is>
      </c>
      <c r="E1030" s="53" t="inlineStr">
        <is>
          <t>C</t>
        </is>
      </c>
      <c r="F1030" s="54" t="n">
        <v>7.61</v>
      </c>
      <c r="G1030" s="55">
        <f>MAX(0,IF(Parameter!$B$20="Jahresanfang 2025 + Export",BG1030+BF1030,BF1030))</f>
        <v/>
      </c>
      <c r="H1030" s="55">
        <f>G1030*F1030</f>
        <v/>
      </c>
      <c r="I1030" s="55">
        <f>BI1030*Parameter!$B$18</f>
        <v/>
      </c>
      <c r="J1030" s="56" t="n">
        <v>31.5</v>
      </c>
      <c r="K1030" s="57" t="n">
        <v>0.4126984126984127</v>
      </c>
      <c r="L1030" s="55" t="n">
        <v>0</v>
      </c>
      <c r="M1030" s="55" t="n">
        <v>15</v>
      </c>
      <c r="N1030" s="58" t="n">
        <v>14</v>
      </c>
      <c r="O1030" s="53" t="inlineStr">
        <is>
          <t>S21</t>
        </is>
      </c>
      <c r="P1030" s="55" t="n">
        <v>15</v>
      </c>
      <c r="Q1030" s="59">
        <f>IF(BO1030=1,0,IFERROR(VLOOKUP(BM1030,'Gebinde-Kategorie'!$A$5:$G$45,6,0)+0,0))</f>
        <v/>
      </c>
      <c r="R1030" s="60" t="n"/>
      <c r="S1030" s="61" t="n"/>
      <c r="T1030" s="61" t="n"/>
      <c r="U1030" s="53">
        <f>IF(A1030="","",IF(IFERROR(VLOOKUP(D1030,Parameter!$A$35:$C$64,2,0),"Nein")="2+3",IF(ISNUMBER(SEARCH("grosser Artikel",BJ1030)),2,IFERROR(VLOOKUP(BM1030,Parameter!$F$35:$G$64,2,0),2)),IF(OR(IFERROR(VLOOKUP(D1030,Parameter!$A$35:$C$64,2,0),"Nein")="Nein",IFERROR(VLOOKUP(D1030,Parameter!$A$35:$C$64,2,0),"Nein")=""),"-",VLOOKUP(D1030,Parameter!$A$35:$C$64,2,0))))</f>
        <v/>
      </c>
      <c r="V1030" s="61" t="n"/>
      <c r="W1030" s="62" t="n"/>
      <c r="X1030" s="55">
        <f>AM1030</f>
        <v/>
      </c>
      <c r="Y1030" s="55">
        <f>MAX(AM1030,G1030)</f>
        <v/>
      </c>
      <c r="Z1030" s="63" t="n"/>
      <c r="AA1030" s="55">
        <f>IF(LEFT(Cockpit!$C$5,1)="A",G1030,IF(BT1030=1,BU1030,IF(LEFT(Cockpit!$C$5,1)="B",AE1030,MAX(AE1030,G1030))))</f>
        <v/>
      </c>
      <c r="AB1030" s="55">
        <f>IF(BO1030=1,0,ROUNDUP(AA1030/BN1030,0))</f>
        <v/>
      </c>
      <c r="AC1030" s="64">
        <f>IF(BO1030=1,IF(AA1030&lt;=0,0,BP1030*MAX(1,IF(G1030&gt;0,AA1030/G1030,1))),AB1030*Q1030)</f>
        <v/>
      </c>
      <c r="AD1030" s="55">
        <f>AA1030*F1030</f>
        <v/>
      </c>
      <c r="AE1030" s="55">
        <f>ROUNDUP(MAX(I1030/IF(BS1030&gt;0,BS1030,MAX(0.1,N(Cockpit!$C$6))),BV1030)/BN1030,0)*BN1030</f>
        <v/>
      </c>
      <c r="AF1030" s="56">
        <f>IF(AC1030&gt;0,I1030/AC1030,-1)</f>
        <v/>
      </c>
      <c r="AG1030" s="56">
        <f>IF(AND(OR(BR1030="L1",BR1030="L23"),AC1030&gt;0),SUMIFS($AC$7:$AC$1570,$BR$7:$BR$1570,BR1030,$AF$7:$AF$1570,"&gt;"&amp;AF1030)+SUMIFS($AC$7:$AC$1570,$BR$7:$BR$1570,BR1030,$AF$7:$AF$1570,AF1030,$BL$7:$BL$1570,"&lt;="&amp;BL1030),"")</f>
        <v/>
      </c>
      <c r="AH1030" s="65">
        <f>IF(AG1030="",0,MAX(0,MIN(1,(IF(BR1030="L1",Parameter!$K$5,Parameter!$K$6+Parameter!$K$7)-(AG1030-AC1030))/AC1030)))</f>
        <v/>
      </c>
      <c r="AI1030" s="55">
        <f>IF(LEFT(Cockpit!$I$5,1)="A",G1030,IF(BT1030=1,BU1030,IF(LEFT(Cockpit!$I$5,1)="B",AM1030,MAX(AM1030,G1030))))</f>
        <v/>
      </c>
      <c r="AJ1030" s="55">
        <f>IF(BO1030=1,0,ROUNDUP(AI1030/BN1030,0))</f>
        <v/>
      </c>
      <c r="AK1030" s="64">
        <f>IF(BO1030=1,IF(AI1030&lt;=0,0,BP1030*MAX(1,IF(G1030&gt;0,AI1030/G1030,1))),AJ1030*Q1030)</f>
        <v/>
      </c>
      <c r="AL1030" s="55">
        <f>AI1030*F1030</f>
        <v/>
      </c>
      <c r="AM1030" s="55">
        <f>ROUNDUP(MAX(I1030/IF(BS1030&gt;0,BS1030,MAX(0.1,N(Cockpit!$I$6))),BV1030)/BN1030,0)*BN1030</f>
        <v/>
      </c>
      <c r="AN1030" s="56">
        <f>IF(AK1030&gt;0,I1030/AK1030,-1)</f>
        <v/>
      </c>
      <c r="AO1030" s="56">
        <f>IF(AND(OR(BR1030="L1",BR1030="L23"),AK1030&gt;0),SUMIFS($AK$7:$AK$1570,$BR$7:$BR$1570,BR1030,$AN$7:$AN$1570,"&gt;"&amp;AN1030)+SUMIFS($AK$7:$AK$1570,$BR$7:$BR$1570,BR1030,$AN$7:$AN$1570,AN1030,$BL$7:$BL$1570,"&lt;="&amp;BL1030),"")</f>
        <v/>
      </c>
      <c r="AP1030" s="65">
        <f>IF(AO1030="",0,MAX(0,MIN(1,(IF(BR1030="L1",Parameter!$K$5,Parameter!$K$6+Parameter!$K$7)-(AO1030-AK1030))/AK1030)))</f>
        <v/>
      </c>
      <c r="AQ1030" s="55">
        <f>IF(LEFT(Cockpit!$O$5,1)="A",G1030,IF(BT1030=1,BU1030,IF(LEFT(Cockpit!$O$5,1)="B",AU1030,MAX(AU1030,G1030))))</f>
        <v/>
      </c>
      <c r="AR1030" s="55">
        <f>IF(BO1030=1,0,ROUNDUP(AQ1030/BN1030,0))</f>
        <v/>
      </c>
      <c r="AS1030" s="64">
        <f>IF(BO1030=1,IF(AQ1030&lt;=0,0,BP1030*MAX(1,IF(G1030&gt;0,AQ1030/G1030,1))),AR1030*Q1030)</f>
        <v/>
      </c>
      <c r="AT1030" s="55">
        <f>AQ1030*F1030</f>
        <v/>
      </c>
      <c r="AU1030" s="55">
        <f>ROUNDUP(MAX(I1030/IF(BS1030&gt;0,BS1030,MAX(0.1,N(Cockpit!$O$6))),BV1030)/BN1030,0)*BN1030</f>
        <v/>
      </c>
      <c r="AV1030" s="56">
        <f>IF(AS1030&gt;0,I1030/AS1030,-1)</f>
        <v/>
      </c>
      <c r="AW1030" s="56">
        <f>IF(AND(OR(BR1030="L1",BR1030="L23"),AS1030&gt;0),SUMIFS($AS$7:$AS$1570,$BR$7:$BR$1570,BR1030,$AV$7:$AV$1570,"&gt;"&amp;AV1030)+SUMIFS($AS$7:$AS$1570,$BR$7:$BR$1570,BR1030,$AV$7:$AV$1570,AV1030,$BL$7:$BL$1570,"&lt;="&amp;BL1030),"")</f>
        <v/>
      </c>
      <c r="AX1030" s="65">
        <f>IF(AW1030="",0,MAX(0,MIN(1,(IF(BR1030="L1",Parameter!$K$5,Parameter!$K$6+Parameter!$K$7)-(AW1030-AS1030))/AS1030)))</f>
        <v/>
      </c>
      <c r="AY1030" s="53">
        <f>IF(AC1030&lt;=0,"",IF(BR1030="Aussen","Aussenlager",IF(BR1030="-","Nicht im Lift",IF(AH1030&gt;=1,"Lift",IF(AH1030&lt;=0,"Aussenlager","teilweise")))))</f>
        <v/>
      </c>
      <c r="AZ1030" s="53">
        <f>IF(AK1030&lt;=0,"",IF(BR1030="Aussen","Aussenlager",IF(BR1030="-","Nicht im Lift",IF(AP1030&gt;=1,"Lift",IF(AP1030&lt;=0,"Aussenlager","teilweise")))))</f>
        <v/>
      </c>
      <c r="BA1030" s="53">
        <f>IF(AS1030&lt;=0,"",IF(BR1030="Aussen","Aussenlager",IF(BR1030="-","Nicht im Lift",IF(AX1030&gt;=1,"Lift",IF(AX1030&lt;=0,"Aussenlager","teilweise")))))</f>
        <v/>
      </c>
      <c r="BB1030" s="53">
        <f>IF(A1030="","",IF(BK1030=1,"Neu; ","")&amp;IF(AND(BK1030=0,BF1030&lt;0),"negativer Bestand (Export "&amp;BF1030&amp;"); ","")&amp;IF(I1030&lt;=0,"Kein Verbrauch; ","")&amp;IF(BO1030=1,"Lose – Fläche geschätzt; ","")&amp;IF(G1030&gt;AM1030,"Überbestand "&amp;ROUND(G1030-AM1030,0)&amp;" Stk / CHF "&amp;ROUND((G1030-AM1030)*F1030,0)&amp;"; ","")&amp;IF(AND(BT1030=1,BU1030&lt;BV1030),"MAX &lt; MB+LG; ","")&amp;IF(AND(BZ1030&gt;0,BY1030*10&gt;BZ1030),"zu hoch für Tablar; ","")&amp;IF(AND(BK1030=0,OR(BT1030=1,V1030&lt;&gt;"",S1030&lt;&gt;"",T1030&lt;&gt;"",W1030&lt;&gt;"")),"manuell übersteuert; ","")&amp;IF(AND(BO1030=0,Q1030=0),"Gebinde unbekannt; ","")&amp;IF(AND(BO1030=0,N(T1030)&lt;=0,N(P1030)&lt;=0),"Menge pro Gebinde fehlt (Ist = 1 Gebinde); ","")&amp;BJ1030)</f>
        <v/>
      </c>
      <c r="BC1030" s="53" t="n"/>
      <c r="BD1030" s="53" t="n"/>
      <c r="BE1030" s="61" t="n"/>
      <c r="BF1030" s="55" t="n">
        <v>-17</v>
      </c>
      <c r="BG1030" s="55" t="n">
        <v>41</v>
      </c>
      <c r="BH1030" s="54" t="n">
        <v>-129.37</v>
      </c>
      <c r="BI1030" s="55" t="n">
        <v>13</v>
      </c>
      <c r="BJ1030" s="53" t="inlineStr"/>
      <c r="BK1030" s="58" t="n">
        <v>0</v>
      </c>
      <c r="BL1030" s="58" t="n">
        <v>1030</v>
      </c>
      <c r="BM1030" s="53">
        <f>IF(S1030&lt;&gt;"",UPPER(TRIM(S1030)),IF(O1030="","LOSE",O1030))</f>
        <v/>
      </c>
      <c r="BN1030" s="55">
        <f>IF(BM1030="LOSE",1,IF(N(T1030)&gt;0,T1030,IF(N(P1030)&gt;0,P1030,MAX(1,G1030))))</f>
        <v/>
      </c>
      <c r="BO1030" s="58">
        <f>IF(BM1030="LOSE",1,0)</f>
        <v/>
      </c>
      <c r="BP1030" s="64">
        <f>IF(BO1030=0,0,IF(N(R1030)&gt;0,R1030,IFERROR(VLOOKUP(D1030,Parameter!$A$35:$C$64,3,0)+0,0)))</f>
        <v/>
      </c>
      <c r="BQ1030" s="53">
        <f>IF(V1030&lt;&gt;"",V1030,U1030)</f>
        <v/>
      </c>
      <c r="BR1030" s="53">
        <f>IF(BQ1030=1,"L1",IF(OR(BQ1030=2,BQ1030=3),"L23",IF(BQ1030="Aussen","Aussen","-")))</f>
        <v/>
      </c>
      <c r="BS1030" s="66">
        <f>IF(N(W1030)&gt;0,W1030,0)</f>
        <v/>
      </c>
      <c r="BT1030" s="58">
        <f>IF(ISNUMBER(Z1030),1,0)</f>
        <v/>
      </c>
      <c r="BU1030" s="55">
        <f>N(Z1030)</f>
        <v/>
      </c>
      <c r="BV1030" s="55">
        <f>N(L1030)+N(M1030)</f>
        <v/>
      </c>
      <c r="BW1030" s="55">
        <f>ROUNDUP(G1030/BN1030,0)</f>
        <v/>
      </c>
      <c r="BX1030" s="55">
        <f>ROUNDUP(BU1030/BN1030,0)</f>
        <v/>
      </c>
      <c r="BY1030" s="58">
        <f>IF(BO1030=1,0,IFERROR(VLOOKUP(BM1030,'Gebinde-Kategorie'!$A$5:$G$45,5,0)+0,0))</f>
        <v/>
      </c>
      <c r="BZ1030" s="58">
        <f>IFERROR(IF(OR(BQ1030=1,BQ1030=2,BQ1030=3),N(INDEX(Parameter!$I$5:$I$7,BQ1030)),0),0)</f>
        <v/>
      </c>
    </row>
    <row r="1031">
      <c r="A1031" s="53" t="inlineStr">
        <is>
          <t>108082</t>
        </is>
      </c>
      <c r="B1031" s="53" t="inlineStr">
        <is>
          <t>Innenbox SPGr10 SVC2 4/4</t>
        </is>
      </c>
      <c r="C1031" s="53" t="inlineStr">
        <is>
          <t>G</t>
        </is>
      </c>
      <c r="D1031" s="53" t="inlineStr">
        <is>
          <t>PAL</t>
        </is>
      </c>
      <c r="E1031" s="53" t="inlineStr">
        <is>
          <t>C</t>
        </is>
      </c>
      <c r="F1031" s="54" t="n">
        <v>130.2</v>
      </c>
      <c r="G1031" s="55">
        <f>MAX(0,IF(Parameter!$B$20="Jahresanfang 2025 + Export",BG1031+BF1031,BF1031))</f>
        <v/>
      </c>
      <c r="H1031" s="55">
        <f>G1031*F1031</f>
        <v/>
      </c>
      <c r="I1031" s="55">
        <f>BI1031*Parameter!$B$18</f>
        <v/>
      </c>
      <c r="J1031" s="56" t="n">
        <v>0.5</v>
      </c>
      <c r="K1031" s="57" t="n">
        <v>0</v>
      </c>
      <c r="L1031" s="55" t="n">
        <v>0</v>
      </c>
      <c r="M1031" s="55" t="n">
        <v>1</v>
      </c>
      <c r="N1031" s="58" t="n">
        <v>56</v>
      </c>
      <c r="O1031" s="53" t="inlineStr">
        <is>
          <t>LOSE</t>
        </is>
      </c>
      <c r="P1031" s="55" t="n"/>
      <c r="Q1031" s="59">
        <f>IF(BO1031=1,0,IFERROR(VLOOKUP(BM1031,'Gebinde-Kategorie'!$A$5:$G$45,6,0)+0,0))</f>
        <v/>
      </c>
      <c r="R1031" s="60" t="n"/>
      <c r="S1031" s="61" t="n"/>
      <c r="T1031" s="61" t="n"/>
      <c r="U1031" s="53">
        <f>IF(A1031="","",IF(IFERROR(VLOOKUP(D1031,Parameter!$A$35:$C$64,2,0),"Nein")="2+3",IF(ISNUMBER(SEARCH("grosser Artikel",BJ1031)),2,IFERROR(VLOOKUP(BM1031,Parameter!$F$35:$G$64,2,0),2)),IF(OR(IFERROR(VLOOKUP(D1031,Parameter!$A$35:$C$64,2,0),"Nein")="Nein",IFERROR(VLOOKUP(D1031,Parameter!$A$35:$C$64,2,0),"Nein")=""),"-",VLOOKUP(D1031,Parameter!$A$35:$C$64,2,0))))</f>
        <v/>
      </c>
      <c r="V1031" s="61" t="n"/>
      <c r="W1031" s="62" t="n"/>
      <c r="X1031" s="55">
        <f>AM1031</f>
        <v/>
      </c>
      <c r="Y1031" s="55">
        <f>MAX(AM1031,G1031)</f>
        <v/>
      </c>
      <c r="Z1031" s="63" t="n"/>
      <c r="AA1031" s="55">
        <f>IF(LEFT(Cockpit!$C$5,1)="A",G1031,IF(BT1031=1,BU1031,IF(LEFT(Cockpit!$C$5,1)="B",AE1031,MAX(AE1031,G1031))))</f>
        <v/>
      </c>
      <c r="AB1031" s="55">
        <f>IF(BO1031=1,0,ROUNDUP(AA1031/BN1031,0))</f>
        <v/>
      </c>
      <c r="AC1031" s="64">
        <f>IF(BO1031=1,IF(AA1031&lt;=0,0,BP1031*MAX(1,IF(G1031&gt;0,AA1031/G1031,1))),AB1031*Q1031)</f>
        <v/>
      </c>
      <c r="AD1031" s="55">
        <f>AA1031*F1031</f>
        <v/>
      </c>
      <c r="AE1031" s="55">
        <f>ROUNDUP(MAX(I1031/IF(BS1031&gt;0,BS1031,MAX(0.1,N(Cockpit!$C$6))),BV1031)/BN1031,0)*BN1031</f>
        <v/>
      </c>
      <c r="AF1031" s="56">
        <f>IF(AC1031&gt;0,I1031/AC1031,-1)</f>
        <v/>
      </c>
      <c r="AG1031" s="56">
        <f>IF(AND(OR(BR1031="L1",BR1031="L23"),AC1031&gt;0),SUMIFS($AC$7:$AC$1570,$BR$7:$BR$1570,BR1031,$AF$7:$AF$1570,"&gt;"&amp;AF1031)+SUMIFS($AC$7:$AC$1570,$BR$7:$BR$1570,BR1031,$AF$7:$AF$1570,AF1031,$BL$7:$BL$1570,"&lt;="&amp;BL1031),"")</f>
        <v/>
      </c>
      <c r="AH1031" s="65">
        <f>IF(AG1031="",0,MAX(0,MIN(1,(IF(BR1031="L1",Parameter!$K$5,Parameter!$K$6+Parameter!$K$7)-(AG1031-AC1031))/AC1031)))</f>
        <v/>
      </c>
      <c r="AI1031" s="55">
        <f>IF(LEFT(Cockpit!$I$5,1)="A",G1031,IF(BT1031=1,BU1031,IF(LEFT(Cockpit!$I$5,1)="B",AM1031,MAX(AM1031,G1031))))</f>
        <v/>
      </c>
      <c r="AJ1031" s="55">
        <f>IF(BO1031=1,0,ROUNDUP(AI1031/BN1031,0))</f>
        <v/>
      </c>
      <c r="AK1031" s="64">
        <f>IF(BO1031=1,IF(AI1031&lt;=0,0,BP1031*MAX(1,IF(G1031&gt;0,AI1031/G1031,1))),AJ1031*Q1031)</f>
        <v/>
      </c>
      <c r="AL1031" s="55">
        <f>AI1031*F1031</f>
        <v/>
      </c>
      <c r="AM1031" s="55">
        <f>ROUNDUP(MAX(I1031/IF(BS1031&gt;0,BS1031,MAX(0.1,N(Cockpit!$I$6))),BV1031)/BN1031,0)*BN1031</f>
        <v/>
      </c>
      <c r="AN1031" s="56">
        <f>IF(AK1031&gt;0,I1031/AK1031,-1)</f>
        <v/>
      </c>
      <c r="AO1031" s="56">
        <f>IF(AND(OR(BR1031="L1",BR1031="L23"),AK1031&gt;0),SUMIFS($AK$7:$AK$1570,$BR$7:$BR$1570,BR1031,$AN$7:$AN$1570,"&gt;"&amp;AN1031)+SUMIFS($AK$7:$AK$1570,$BR$7:$BR$1570,BR1031,$AN$7:$AN$1570,AN1031,$BL$7:$BL$1570,"&lt;="&amp;BL1031),"")</f>
        <v/>
      </c>
      <c r="AP1031" s="65">
        <f>IF(AO1031="",0,MAX(0,MIN(1,(IF(BR1031="L1",Parameter!$K$5,Parameter!$K$6+Parameter!$K$7)-(AO1031-AK1031))/AK1031)))</f>
        <v/>
      </c>
      <c r="AQ1031" s="55">
        <f>IF(LEFT(Cockpit!$O$5,1)="A",G1031,IF(BT1031=1,BU1031,IF(LEFT(Cockpit!$O$5,1)="B",AU1031,MAX(AU1031,G1031))))</f>
        <v/>
      </c>
      <c r="AR1031" s="55">
        <f>IF(BO1031=1,0,ROUNDUP(AQ1031/BN1031,0))</f>
        <v/>
      </c>
      <c r="AS1031" s="64">
        <f>IF(BO1031=1,IF(AQ1031&lt;=0,0,BP1031*MAX(1,IF(G1031&gt;0,AQ1031/G1031,1))),AR1031*Q1031)</f>
        <v/>
      </c>
      <c r="AT1031" s="55">
        <f>AQ1031*F1031</f>
        <v/>
      </c>
      <c r="AU1031" s="55">
        <f>ROUNDUP(MAX(I1031/IF(BS1031&gt;0,BS1031,MAX(0.1,N(Cockpit!$O$6))),BV1031)/BN1031,0)*BN1031</f>
        <v/>
      </c>
      <c r="AV1031" s="56">
        <f>IF(AS1031&gt;0,I1031/AS1031,-1)</f>
        <v/>
      </c>
      <c r="AW1031" s="56">
        <f>IF(AND(OR(BR1031="L1",BR1031="L23"),AS1031&gt;0),SUMIFS($AS$7:$AS$1570,$BR$7:$BR$1570,BR1031,$AV$7:$AV$1570,"&gt;"&amp;AV1031)+SUMIFS($AS$7:$AS$1570,$BR$7:$BR$1570,BR1031,$AV$7:$AV$1570,AV1031,$BL$7:$BL$1570,"&lt;="&amp;BL1031),"")</f>
        <v/>
      </c>
      <c r="AX1031" s="65">
        <f>IF(AW1031="",0,MAX(0,MIN(1,(IF(BR1031="L1",Parameter!$K$5,Parameter!$K$6+Parameter!$K$7)-(AW1031-AS1031))/AS1031)))</f>
        <v/>
      </c>
      <c r="AY1031" s="53">
        <f>IF(AC1031&lt;=0,"",IF(BR1031="Aussen","Aussenlager",IF(BR1031="-","Nicht im Lift",IF(AH1031&gt;=1,"Lift",IF(AH1031&lt;=0,"Aussenlager","teilweise")))))</f>
        <v/>
      </c>
      <c r="AZ1031" s="53">
        <f>IF(AK1031&lt;=0,"",IF(BR1031="Aussen","Aussenlager",IF(BR1031="-","Nicht im Lift",IF(AP1031&gt;=1,"Lift",IF(AP1031&lt;=0,"Aussenlager","teilweise")))))</f>
        <v/>
      </c>
      <c r="BA1031" s="53">
        <f>IF(AS1031&lt;=0,"",IF(BR1031="Aussen","Aussenlager",IF(BR1031="-","Nicht im Lift",IF(AX1031&gt;=1,"Lift",IF(AX1031&lt;=0,"Aussenlager","teilweise")))))</f>
        <v/>
      </c>
      <c r="BB1031" s="53">
        <f>IF(A1031="","",IF(BK1031=1,"Neu; ","")&amp;IF(AND(BK1031=0,BF1031&lt;0),"negativer Bestand (Export "&amp;BF1031&amp;"); ","")&amp;IF(I1031&lt;=0,"Kein Verbrauch; ","")&amp;IF(BO1031=1,"Lose – Fläche geschätzt; ","")&amp;IF(G1031&gt;AM1031,"Überbestand "&amp;ROUND(G1031-AM1031,0)&amp;" Stk / CHF "&amp;ROUND((G1031-AM1031)*F1031,0)&amp;"; ","")&amp;IF(AND(BT1031=1,BU1031&lt;BV1031),"MAX &lt; MB+LG; ","")&amp;IF(AND(BZ1031&gt;0,BY1031*10&gt;BZ1031),"zu hoch für Tablar; ","")&amp;IF(AND(BK1031=0,OR(BT1031=1,V1031&lt;&gt;"",S1031&lt;&gt;"",T1031&lt;&gt;"",W1031&lt;&gt;"")),"manuell übersteuert; ","")&amp;IF(AND(BO1031=0,Q1031=0),"Gebinde unbekannt; ","")&amp;IF(AND(BO1031=0,N(T1031)&lt;=0,N(P1031)&lt;=0),"Menge pro Gebinde fehlt (Ist = 1 Gebinde); ","")&amp;BJ1031)</f>
        <v/>
      </c>
      <c r="BC1031" s="53" t="n"/>
      <c r="BD1031" s="53" t="n"/>
      <c r="BE1031" s="61" t="n"/>
      <c r="BF1031" s="55" t="n">
        <v>-1</v>
      </c>
      <c r="BG1031" s="55" t="n">
        <v>1</v>
      </c>
      <c r="BH1031" s="54" t="n">
        <v>-130.2</v>
      </c>
      <c r="BI1031" s="55" t="n">
        <v>0</v>
      </c>
      <c r="BJ1031" s="53" t="inlineStr">
        <is>
          <t>Neu</t>
        </is>
      </c>
      <c r="BK1031" s="58" t="n">
        <v>0</v>
      </c>
      <c r="BL1031" s="58" t="n">
        <v>1031</v>
      </c>
      <c r="BM1031" s="53">
        <f>IF(S1031&lt;&gt;"",UPPER(TRIM(S1031)),IF(O1031="","LOSE",O1031))</f>
        <v/>
      </c>
      <c r="BN1031" s="55">
        <f>IF(BM1031="LOSE",1,IF(N(T1031)&gt;0,T1031,IF(N(P1031)&gt;0,P1031,MAX(1,G1031))))</f>
        <v/>
      </c>
      <c r="BO1031" s="58">
        <f>IF(BM1031="LOSE",1,0)</f>
        <v/>
      </c>
      <c r="BP1031" s="64">
        <f>IF(BO1031=0,0,IF(N(R1031)&gt;0,R1031,IFERROR(VLOOKUP(D1031,Parameter!$A$35:$C$64,3,0)+0,0)))</f>
        <v/>
      </c>
      <c r="BQ1031" s="53">
        <f>IF(V1031&lt;&gt;"",V1031,U1031)</f>
        <v/>
      </c>
      <c r="BR1031" s="53">
        <f>IF(BQ1031=1,"L1",IF(OR(BQ1031=2,BQ1031=3),"L23",IF(BQ1031="Aussen","Aussen","-")))</f>
        <v/>
      </c>
      <c r="BS1031" s="66">
        <f>IF(N(W1031)&gt;0,W1031,0)</f>
        <v/>
      </c>
      <c r="BT1031" s="58">
        <f>IF(ISNUMBER(Z1031),1,0)</f>
        <v/>
      </c>
      <c r="BU1031" s="55">
        <f>N(Z1031)</f>
        <v/>
      </c>
      <c r="BV1031" s="55">
        <f>N(L1031)+N(M1031)</f>
        <v/>
      </c>
      <c r="BW1031" s="55">
        <f>ROUNDUP(G1031/BN1031,0)</f>
        <v/>
      </c>
      <c r="BX1031" s="55">
        <f>ROUNDUP(BU1031/BN1031,0)</f>
        <v/>
      </c>
      <c r="BY1031" s="58">
        <f>IF(BO1031=1,0,IFERROR(VLOOKUP(BM1031,'Gebinde-Kategorie'!$A$5:$G$45,5,0)+0,0))</f>
        <v/>
      </c>
      <c r="BZ1031" s="58">
        <f>IFERROR(IF(OR(BQ1031=1,BQ1031=2,BQ1031=3),N(INDEX(Parameter!$I$5:$I$7,BQ1031)),0),0)</f>
        <v/>
      </c>
    </row>
    <row r="1032">
      <c r="A1032" s="53" t="inlineStr">
        <is>
          <t>107865</t>
        </is>
      </c>
      <c r="B1032" s="53" t="inlineStr">
        <is>
          <t>Inbusschlüssel-Satz lang</t>
        </is>
      </c>
      <c r="C1032" s="53" t="inlineStr">
        <is>
          <t>F</t>
        </is>
      </c>
      <c r="D1032" s="53" t="inlineStr">
        <is>
          <t>KTL</t>
        </is>
      </c>
      <c r="E1032" s="53" t="inlineStr">
        <is>
          <t>C</t>
        </is>
      </c>
      <c r="F1032" s="54" t="n">
        <v>22.57</v>
      </c>
      <c r="G1032" s="55">
        <f>MAX(0,IF(Parameter!$B$20="Jahresanfang 2025 + Export",BG1032+BF1032,BF1032))</f>
        <v/>
      </c>
      <c r="H1032" s="55">
        <f>G1032*F1032</f>
        <v/>
      </c>
      <c r="I1032" s="55">
        <f>BI1032*Parameter!$B$18</f>
        <v/>
      </c>
      <c r="J1032" s="56" t="n">
        <v>11</v>
      </c>
      <c r="K1032" s="57" t="n">
        <v>1.818181818181818</v>
      </c>
      <c r="L1032" s="55" t="n">
        <v>1</v>
      </c>
      <c r="M1032" s="55" t="n">
        <v>20</v>
      </c>
      <c r="N1032" s="58" t="n">
        <v>24</v>
      </c>
      <c r="O1032" s="53" t="inlineStr">
        <is>
          <t>S51</t>
        </is>
      </c>
      <c r="P1032" s="55" t="n">
        <v>43</v>
      </c>
      <c r="Q1032" s="59">
        <f>IF(BO1032=1,0,IFERROR(VLOOKUP(BM1032,'Gebinde-Kategorie'!$A$5:$G$45,6,0)+0,0))</f>
        <v/>
      </c>
      <c r="R1032" s="60" t="n"/>
      <c r="S1032" s="61" t="n"/>
      <c r="T1032" s="61" t="n"/>
      <c r="U1032" s="53">
        <f>IF(A1032="","",IF(IFERROR(VLOOKUP(D1032,Parameter!$A$35:$C$64,2,0),"Nein")="2+3",IF(ISNUMBER(SEARCH("grosser Artikel",BJ1032)),2,IFERROR(VLOOKUP(BM1032,Parameter!$F$35:$G$64,2,0),2)),IF(OR(IFERROR(VLOOKUP(D1032,Parameter!$A$35:$C$64,2,0),"Nein")="Nein",IFERROR(VLOOKUP(D1032,Parameter!$A$35:$C$64,2,0),"Nein")=""),"-",VLOOKUP(D1032,Parameter!$A$35:$C$64,2,0))))</f>
        <v/>
      </c>
      <c r="V1032" s="61" t="n"/>
      <c r="W1032" s="62" t="n"/>
      <c r="X1032" s="55">
        <f>AM1032</f>
        <v/>
      </c>
      <c r="Y1032" s="55">
        <f>MAX(AM1032,G1032)</f>
        <v/>
      </c>
      <c r="Z1032" s="63" t="n"/>
      <c r="AA1032" s="55">
        <f>IF(LEFT(Cockpit!$C$5,1)="A",G1032,IF(BT1032=1,BU1032,IF(LEFT(Cockpit!$C$5,1)="B",AE1032,MAX(AE1032,G1032))))</f>
        <v/>
      </c>
      <c r="AB1032" s="55">
        <f>IF(BO1032=1,0,ROUNDUP(AA1032/BN1032,0))</f>
        <v/>
      </c>
      <c r="AC1032" s="64">
        <f>IF(BO1032=1,IF(AA1032&lt;=0,0,BP1032*MAX(1,IF(G1032&gt;0,AA1032/G1032,1))),AB1032*Q1032)</f>
        <v/>
      </c>
      <c r="AD1032" s="55">
        <f>AA1032*F1032</f>
        <v/>
      </c>
      <c r="AE1032" s="55">
        <f>ROUNDUP(MAX(I1032/IF(BS1032&gt;0,BS1032,MAX(0.1,N(Cockpit!$C$6))),BV1032)/BN1032,0)*BN1032</f>
        <v/>
      </c>
      <c r="AF1032" s="56">
        <f>IF(AC1032&gt;0,I1032/AC1032,-1)</f>
        <v/>
      </c>
      <c r="AG1032" s="56">
        <f>IF(AND(OR(BR1032="L1",BR1032="L23"),AC1032&gt;0),SUMIFS($AC$7:$AC$1570,$BR$7:$BR$1570,BR1032,$AF$7:$AF$1570,"&gt;"&amp;AF1032)+SUMIFS($AC$7:$AC$1570,$BR$7:$BR$1570,BR1032,$AF$7:$AF$1570,AF1032,$BL$7:$BL$1570,"&lt;="&amp;BL1032),"")</f>
        <v/>
      </c>
      <c r="AH1032" s="65">
        <f>IF(AG1032="",0,MAX(0,MIN(1,(IF(BR1032="L1",Parameter!$K$5,Parameter!$K$6+Parameter!$K$7)-(AG1032-AC1032))/AC1032)))</f>
        <v/>
      </c>
      <c r="AI1032" s="55">
        <f>IF(LEFT(Cockpit!$I$5,1)="A",G1032,IF(BT1032=1,BU1032,IF(LEFT(Cockpit!$I$5,1)="B",AM1032,MAX(AM1032,G1032))))</f>
        <v/>
      </c>
      <c r="AJ1032" s="55">
        <f>IF(BO1032=1,0,ROUNDUP(AI1032/BN1032,0))</f>
        <v/>
      </c>
      <c r="AK1032" s="64">
        <f>IF(BO1032=1,IF(AI1032&lt;=0,0,BP1032*MAX(1,IF(G1032&gt;0,AI1032/G1032,1))),AJ1032*Q1032)</f>
        <v/>
      </c>
      <c r="AL1032" s="55">
        <f>AI1032*F1032</f>
        <v/>
      </c>
      <c r="AM1032" s="55">
        <f>ROUNDUP(MAX(I1032/IF(BS1032&gt;0,BS1032,MAX(0.1,N(Cockpit!$I$6))),BV1032)/BN1032,0)*BN1032</f>
        <v/>
      </c>
      <c r="AN1032" s="56">
        <f>IF(AK1032&gt;0,I1032/AK1032,-1)</f>
        <v/>
      </c>
      <c r="AO1032" s="56">
        <f>IF(AND(OR(BR1032="L1",BR1032="L23"),AK1032&gt;0),SUMIFS($AK$7:$AK$1570,$BR$7:$BR$1570,BR1032,$AN$7:$AN$1570,"&gt;"&amp;AN1032)+SUMIFS($AK$7:$AK$1570,$BR$7:$BR$1570,BR1032,$AN$7:$AN$1570,AN1032,$BL$7:$BL$1570,"&lt;="&amp;BL1032),"")</f>
        <v/>
      </c>
      <c r="AP1032" s="65">
        <f>IF(AO1032="",0,MAX(0,MIN(1,(IF(BR1032="L1",Parameter!$K$5,Parameter!$K$6+Parameter!$K$7)-(AO1032-AK1032))/AK1032)))</f>
        <v/>
      </c>
      <c r="AQ1032" s="55">
        <f>IF(LEFT(Cockpit!$O$5,1)="A",G1032,IF(BT1032=1,BU1032,IF(LEFT(Cockpit!$O$5,1)="B",AU1032,MAX(AU1032,G1032))))</f>
        <v/>
      </c>
      <c r="AR1032" s="55">
        <f>IF(BO1032=1,0,ROUNDUP(AQ1032/BN1032,0))</f>
        <v/>
      </c>
      <c r="AS1032" s="64">
        <f>IF(BO1032=1,IF(AQ1032&lt;=0,0,BP1032*MAX(1,IF(G1032&gt;0,AQ1032/G1032,1))),AR1032*Q1032)</f>
        <v/>
      </c>
      <c r="AT1032" s="55">
        <f>AQ1032*F1032</f>
        <v/>
      </c>
      <c r="AU1032" s="55">
        <f>ROUNDUP(MAX(I1032/IF(BS1032&gt;0,BS1032,MAX(0.1,N(Cockpit!$O$6))),BV1032)/BN1032,0)*BN1032</f>
        <v/>
      </c>
      <c r="AV1032" s="56">
        <f>IF(AS1032&gt;0,I1032/AS1032,-1)</f>
        <v/>
      </c>
      <c r="AW1032" s="56">
        <f>IF(AND(OR(BR1032="L1",BR1032="L23"),AS1032&gt;0),SUMIFS($AS$7:$AS$1570,$BR$7:$BR$1570,BR1032,$AV$7:$AV$1570,"&gt;"&amp;AV1032)+SUMIFS($AS$7:$AS$1570,$BR$7:$BR$1570,BR1032,$AV$7:$AV$1570,AV1032,$BL$7:$BL$1570,"&lt;="&amp;BL1032),"")</f>
        <v/>
      </c>
      <c r="AX1032" s="65">
        <f>IF(AW1032="",0,MAX(0,MIN(1,(IF(BR1032="L1",Parameter!$K$5,Parameter!$K$6+Parameter!$K$7)-(AW1032-AS1032))/AS1032)))</f>
        <v/>
      </c>
      <c r="AY1032" s="53">
        <f>IF(AC1032&lt;=0,"",IF(BR1032="Aussen","Aussenlager",IF(BR1032="-","Nicht im Lift",IF(AH1032&gt;=1,"Lift",IF(AH1032&lt;=0,"Aussenlager","teilweise")))))</f>
        <v/>
      </c>
      <c r="AZ1032" s="53">
        <f>IF(AK1032&lt;=0,"",IF(BR1032="Aussen","Aussenlager",IF(BR1032="-","Nicht im Lift",IF(AP1032&gt;=1,"Lift",IF(AP1032&lt;=0,"Aussenlager","teilweise")))))</f>
        <v/>
      </c>
      <c r="BA1032" s="53">
        <f>IF(AS1032&lt;=0,"",IF(BR1032="Aussen","Aussenlager",IF(BR1032="-","Nicht im Lift",IF(AX1032&gt;=1,"Lift",IF(AX1032&lt;=0,"Aussenlager","teilweise")))))</f>
        <v/>
      </c>
      <c r="BB1032" s="53">
        <f>IF(A1032="","",IF(BK1032=1,"Neu; ","")&amp;IF(AND(BK1032=0,BF1032&lt;0),"negativer Bestand (Export "&amp;BF1032&amp;"); ","")&amp;IF(I1032&lt;=0,"Kein Verbrauch; ","")&amp;IF(BO1032=1,"Lose – Fläche geschätzt; ","")&amp;IF(G1032&gt;AM1032,"Überbestand "&amp;ROUND(G1032-AM1032,0)&amp;" Stk / CHF "&amp;ROUND((G1032-AM1032)*F1032,0)&amp;"; ","")&amp;IF(AND(BT1032=1,BU1032&lt;BV1032),"MAX &lt; MB+LG; ","")&amp;IF(AND(BZ1032&gt;0,BY1032*10&gt;BZ1032),"zu hoch für Tablar; ","")&amp;IF(AND(BK1032=0,OR(BT1032=1,V1032&lt;&gt;"",S1032&lt;&gt;"",T1032&lt;&gt;"",W1032&lt;&gt;"")),"manuell übersteuert; ","")&amp;IF(AND(BO1032=0,Q1032=0),"Gebinde unbekannt; ","")&amp;IF(AND(BO1032=0,N(T1032)&lt;=0,N(P1032)&lt;=0),"Menge pro Gebinde fehlt (Ist = 1 Gebinde); ","")&amp;BJ1032)</f>
        <v/>
      </c>
      <c r="BC1032" s="53" t="n"/>
      <c r="BD1032" s="53" t="n"/>
      <c r="BE1032" s="61" t="n"/>
      <c r="BF1032" s="55" t="n">
        <v>-6</v>
      </c>
      <c r="BG1032" s="55" t="n">
        <v>14</v>
      </c>
      <c r="BH1032" s="54" t="n">
        <v>-130.6600000000001</v>
      </c>
      <c r="BI1032" s="55" t="n">
        <v>20</v>
      </c>
      <c r="BJ1032" s="53" t="inlineStr"/>
      <c r="BK1032" s="58" t="n">
        <v>0</v>
      </c>
      <c r="BL1032" s="58" t="n">
        <v>1032</v>
      </c>
      <c r="BM1032" s="53">
        <f>IF(S1032&lt;&gt;"",UPPER(TRIM(S1032)),IF(O1032="","LOSE",O1032))</f>
        <v/>
      </c>
      <c r="BN1032" s="55">
        <f>IF(BM1032="LOSE",1,IF(N(T1032)&gt;0,T1032,IF(N(P1032)&gt;0,P1032,MAX(1,G1032))))</f>
        <v/>
      </c>
      <c r="BO1032" s="58">
        <f>IF(BM1032="LOSE",1,0)</f>
        <v/>
      </c>
      <c r="BP1032" s="64">
        <f>IF(BO1032=0,0,IF(N(R1032)&gt;0,R1032,IFERROR(VLOOKUP(D1032,Parameter!$A$35:$C$64,3,0)+0,0)))</f>
        <v/>
      </c>
      <c r="BQ1032" s="53">
        <f>IF(V1032&lt;&gt;"",V1032,U1032)</f>
        <v/>
      </c>
      <c r="BR1032" s="53">
        <f>IF(BQ1032=1,"L1",IF(OR(BQ1032=2,BQ1032=3),"L23",IF(BQ1032="Aussen","Aussen","-")))</f>
        <v/>
      </c>
      <c r="BS1032" s="66">
        <f>IF(N(W1032)&gt;0,W1032,0)</f>
        <v/>
      </c>
      <c r="BT1032" s="58">
        <f>IF(ISNUMBER(Z1032),1,0)</f>
        <v/>
      </c>
      <c r="BU1032" s="55">
        <f>N(Z1032)</f>
        <v/>
      </c>
      <c r="BV1032" s="55">
        <f>N(L1032)+N(M1032)</f>
        <v/>
      </c>
      <c r="BW1032" s="55">
        <f>ROUNDUP(G1032/BN1032,0)</f>
        <v/>
      </c>
      <c r="BX1032" s="55">
        <f>ROUNDUP(BU1032/BN1032,0)</f>
        <v/>
      </c>
      <c r="BY1032" s="58">
        <f>IF(BO1032=1,0,IFERROR(VLOOKUP(BM1032,'Gebinde-Kategorie'!$A$5:$G$45,5,0)+0,0))</f>
        <v/>
      </c>
      <c r="BZ1032" s="58">
        <f>IFERROR(IF(OR(BQ1032=1,BQ1032=2,BQ1032=3),N(INDEX(Parameter!$I$5:$I$7,BQ1032)),0),0)</f>
        <v/>
      </c>
    </row>
    <row r="1033">
      <c r="A1033" s="53" t="inlineStr">
        <is>
          <t>108445</t>
        </is>
      </c>
      <c r="B1033" s="53" t="inlineStr">
        <is>
          <t>Drucktransmitter</t>
        </is>
      </c>
      <c r="C1033" s="53" t="inlineStr">
        <is>
          <t>F</t>
        </is>
      </c>
      <c r="D1033" s="53" t="inlineStr">
        <is>
          <t>KTL</t>
        </is>
      </c>
      <c r="E1033" s="53" t="inlineStr">
        <is>
          <t>C</t>
        </is>
      </c>
      <c r="F1033" s="54" t="n">
        <v>133.9</v>
      </c>
      <c r="G1033" s="55">
        <f>MAX(0,IF(Parameter!$B$20="Jahresanfang 2025 + Export",BG1033+BF1033,BF1033))</f>
        <v/>
      </c>
      <c r="H1033" s="55">
        <f>G1033*F1033</f>
        <v/>
      </c>
      <c r="I1033" s="55">
        <f>BI1033*Parameter!$B$18</f>
        <v/>
      </c>
      <c r="J1033" s="56" t="n">
        <v>1.5</v>
      </c>
      <c r="K1033" s="57" t="n">
        <v>0.001333333333333333</v>
      </c>
      <c r="L1033" s="55" t="n">
        <v>0</v>
      </c>
      <c r="M1033" s="55" t="n">
        <v>1</v>
      </c>
      <c r="N1033" s="58" t="n">
        <v>70</v>
      </c>
      <c r="O1033" s="53" t="inlineStr">
        <is>
          <t>S22</t>
        </is>
      </c>
      <c r="P1033" s="55" t="n">
        <v>2</v>
      </c>
      <c r="Q1033" s="59">
        <f>IF(BO1033=1,0,IFERROR(VLOOKUP(BM1033,'Gebinde-Kategorie'!$A$5:$G$45,6,0)+0,0))</f>
        <v/>
      </c>
      <c r="R1033" s="60" t="n"/>
      <c r="S1033" s="61" t="n"/>
      <c r="T1033" s="61" t="n"/>
      <c r="U1033" s="53">
        <f>IF(A1033="","",IF(IFERROR(VLOOKUP(D1033,Parameter!$A$35:$C$64,2,0),"Nein")="2+3",IF(ISNUMBER(SEARCH("grosser Artikel",BJ1033)),2,IFERROR(VLOOKUP(BM1033,Parameter!$F$35:$G$64,2,0),2)),IF(OR(IFERROR(VLOOKUP(D1033,Parameter!$A$35:$C$64,2,0),"Nein")="Nein",IFERROR(VLOOKUP(D1033,Parameter!$A$35:$C$64,2,0),"Nein")=""),"-",VLOOKUP(D1033,Parameter!$A$35:$C$64,2,0))))</f>
        <v/>
      </c>
      <c r="V1033" s="61" t="n"/>
      <c r="W1033" s="62" t="n"/>
      <c r="X1033" s="55">
        <f>AM1033</f>
        <v/>
      </c>
      <c r="Y1033" s="55">
        <f>MAX(AM1033,G1033)</f>
        <v/>
      </c>
      <c r="Z1033" s="63" t="n"/>
      <c r="AA1033" s="55">
        <f>IF(LEFT(Cockpit!$C$5,1)="A",G1033,IF(BT1033=1,BU1033,IF(LEFT(Cockpit!$C$5,1)="B",AE1033,MAX(AE1033,G1033))))</f>
        <v/>
      </c>
      <c r="AB1033" s="55">
        <f>IF(BO1033=1,0,ROUNDUP(AA1033/BN1033,0))</f>
        <v/>
      </c>
      <c r="AC1033" s="64">
        <f>IF(BO1033=1,IF(AA1033&lt;=0,0,BP1033*MAX(1,IF(G1033&gt;0,AA1033/G1033,1))),AB1033*Q1033)</f>
        <v/>
      </c>
      <c r="AD1033" s="55">
        <f>AA1033*F1033</f>
        <v/>
      </c>
      <c r="AE1033" s="55">
        <f>ROUNDUP(MAX(I1033/IF(BS1033&gt;0,BS1033,MAX(0.1,N(Cockpit!$C$6))),BV1033)/BN1033,0)*BN1033</f>
        <v/>
      </c>
      <c r="AF1033" s="56">
        <f>IF(AC1033&gt;0,I1033/AC1033,-1)</f>
        <v/>
      </c>
      <c r="AG1033" s="56">
        <f>IF(AND(OR(BR1033="L1",BR1033="L23"),AC1033&gt;0),SUMIFS($AC$7:$AC$1570,$BR$7:$BR$1570,BR1033,$AF$7:$AF$1570,"&gt;"&amp;AF1033)+SUMIFS($AC$7:$AC$1570,$BR$7:$BR$1570,BR1033,$AF$7:$AF$1570,AF1033,$BL$7:$BL$1570,"&lt;="&amp;BL1033),"")</f>
        <v/>
      </c>
      <c r="AH1033" s="65">
        <f>IF(AG1033="",0,MAX(0,MIN(1,(IF(BR1033="L1",Parameter!$K$5,Parameter!$K$6+Parameter!$K$7)-(AG1033-AC1033))/AC1033)))</f>
        <v/>
      </c>
      <c r="AI1033" s="55">
        <f>IF(LEFT(Cockpit!$I$5,1)="A",G1033,IF(BT1033=1,BU1033,IF(LEFT(Cockpit!$I$5,1)="B",AM1033,MAX(AM1033,G1033))))</f>
        <v/>
      </c>
      <c r="AJ1033" s="55">
        <f>IF(BO1033=1,0,ROUNDUP(AI1033/BN1033,0))</f>
        <v/>
      </c>
      <c r="AK1033" s="64">
        <f>IF(BO1033=1,IF(AI1033&lt;=0,0,BP1033*MAX(1,IF(G1033&gt;0,AI1033/G1033,1))),AJ1033*Q1033)</f>
        <v/>
      </c>
      <c r="AL1033" s="55">
        <f>AI1033*F1033</f>
        <v/>
      </c>
      <c r="AM1033" s="55">
        <f>ROUNDUP(MAX(I1033/IF(BS1033&gt;0,BS1033,MAX(0.1,N(Cockpit!$I$6))),BV1033)/BN1033,0)*BN1033</f>
        <v/>
      </c>
      <c r="AN1033" s="56">
        <f>IF(AK1033&gt;0,I1033/AK1033,-1)</f>
        <v/>
      </c>
      <c r="AO1033" s="56">
        <f>IF(AND(OR(BR1033="L1",BR1033="L23"),AK1033&gt;0),SUMIFS($AK$7:$AK$1570,$BR$7:$BR$1570,BR1033,$AN$7:$AN$1570,"&gt;"&amp;AN1033)+SUMIFS($AK$7:$AK$1570,$BR$7:$BR$1570,BR1033,$AN$7:$AN$1570,AN1033,$BL$7:$BL$1570,"&lt;="&amp;BL1033),"")</f>
        <v/>
      </c>
      <c r="AP1033" s="65">
        <f>IF(AO1033="",0,MAX(0,MIN(1,(IF(BR1033="L1",Parameter!$K$5,Parameter!$K$6+Parameter!$K$7)-(AO1033-AK1033))/AK1033)))</f>
        <v/>
      </c>
      <c r="AQ1033" s="55">
        <f>IF(LEFT(Cockpit!$O$5,1)="A",G1033,IF(BT1033=1,BU1033,IF(LEFT(Cockpit!$O$5,1)="B",AU1033,MAX(AU1033,G1033))))</f>
        <v/>
      </c>
      <c r="AR1033" s="55">
        <f>IF(BO1033=1,0,ROUNDUP(AQ1033/BN1033,0))</f>
        <v/>
      </c>
      <c r="AS1033" s="64">
        <f>IF(BO1033=1,IF(AQ1033&lt;=0,0,BP1033*MAX(1,IF(G1033&gt;0,AQ1033/G1033,1))),AR1033*Q1033)</f>
        <v/>
      </c>
      <c r="AT1033" s="55">
        <f>AQ1033*F1033</f>
        <v/>
      </c>
      <c r="AU1033" s="55">
        <f>ROUNDUP(MAX(I1033/IF(BS1033&gt;0,BS1033,MAX(0.1,N(Cockpit!$O$6))),BV1033)/BN1033,0)*BN1033</f>
        <v/>
      </c>
      <c r="AV1033" s="56">
        <f>IF(AS1033&gt;0,I1033/AS1033,-1)</f>
        <v/>
      </c>
      <c r="AW1033" s="56">
        <f>IF(AND(OR(BR1033="L1",BR1033="L23"),AS1033&gt;0),SUMIFS($AS$7:$AS$1570,$BR$7:$BR$1570,BR1033,$AV$7:$AV$1570,"&gt;"&amp;AV1033)+SUMIFS($AS$7:$AS$1570,$BR$7:$BR$1570,BR1033,$AV$7:$AV$1570,AV1033,$BL$7:$BL$1570,"&lt;="&amp;BL1033),"")</f>
        <v/>
      </c>
      <c r="AX1033" s="65">
        <f>IF(AW1033="",0,MAX(0,MIN(1,(IF(BR1033="L1",Parameter!$K$5,Parameter!$K$6+Parameter!$K$7)-(AW1033-AS1033))/AS1033)))</f>
        <v/>
      </c>
      <c r="AY1033" s="53">
        <f>IF(AC1033&lt;=0,"",IF(BR1033="Aussen","Aussenlager",IF(BR1033="-","Nicht im Lift",IF(AH1033&gt;=1,"Lift",IF(AH1033&lt;=0,"Aussenlager","teilweise")))))</f>
        <v/>
      </c>
      <c r="AZ1033" s="53">
        <f>IF(AK1033&lt;=0,"",IF(BR1033="Aussen","Aussenlager",IF(BR1033="-","Nicht im Lift",IF(AP1033&gt;=1,"Lift",IF(AP1033&lt;=0,"Aussenlager","teilweise")))))</f>
        <v/>
      </c>
      <c r="BA1033" s="53">
        <f>IF(AS1033&lt;=0,"",IF(BR1033="Aussen","Aussenlager",IF(BR1033="-","Nicht im Lift",IF(AX1033&gt;=1,"Lift",IF(AX1033&lt;=0,"Aussenlager","teilweise")))))</f>
        <v/>
      </c>
      <c r="BB1033" s="53">
        <f>IF(A1033="","",IF(BK1033=1,"Neu; ","")&amp;IF(AND(BK1033=0,BF1033&lt;0),"negativer Bestand (Export "&amp;BF1033&amp;"); ","")&amp;IF(I1033&lt;=0,"Kein Verbrauch; ","")&amp;IF(BO1033=1,"Lose – Fläche geschätzt; ","")&amp;IF(G1033&gt;AM1033,"Überbestand "&amp;ROUND(G1033-AM1033,0)&amp;" Stk / CHF "&amp;ROUND((G1033-AM1033)*F1033,0)&amp;"; ","")&amp;IF(AND(BT1033=1,BU1033&lt;BV1033),"MAX &lt; MB+LG; ","")&amp;IF(AND(BZ1033&gt;0,BY1033*10&gt;BZ1033),"zu hoch für Tablar; ","")&amp;IF(AND(BK1033=0,OR(BT1033=1,V1033&lt;&gt;"",S1033&lt;&gt;"",T1033&lt;&gt;"",W1033&lt;&gt;"")),"manuell übersteuert; ","")&amp;IF(AND(BO1033=0,Q1033=0),"Gebinde unbekannt; ","")&amp;IF(AND(BO1033=0,N(T1033)&lt;=0,N(P1033)&lt;=0),"Menge pro Gebinde fehlt (Ist = 1 Gebinde); ","")&amp;BJ1033)</f>
        <v/>
      </c>
      <c r="BC1033" s="53" t="n"/>
      <c r="BD1033" s="53" t="n"/>
      <c r="BE1033" s="61" t="n"/>
      <c r="BF1033" s="55" t="n">
        <v>-1</v>
      </c>
      <c r="BG1033" s="55" t="n">
        <v>2</v>
      </c>
      <c r="BH1033" s="54" t="n">
        <v>-130.7</v>
      </c>
      <c r="BI1033" s="55" t="n">
        <v>0.002</v>
      </c>
      <c r="BJ1033" s="53" t="inlineStr"/>
      <c r="BK1033" s="58" t="n">
        <v>0</v>
      </c>
      <c r="BL1033" s="58" t="n">
        <v>1033</v>
      </c>
      <c r="BM1033" s="53">
        <f>IF(S1033&lt;&gt;"",UPPER(TRIM(S1033)),IF(O1033="","LOSE",O1033))</f>
        <v/>
      </c>
      <c r="BN1033" s="55">
        <f>IF(BM1033="LOSE",1,IF(N(T1033)&gt;0,T1033,IF(N(P1033)&gt;0,P1033,MAX(1,G1033))))</f>
        <v/>
      </c>
      <c r="BO1033" s="58">
        <f>IF(BM1033="LOSE",1,0)</f>
        <v/>
      </c>
      <c r="BP1033" s="64">
        <f>IF(BO1033=0,0,IF(N(R1033)&gt;0,R1033,IFERROR(VLOOKUP(D1033,Parameter!$A$35:$C$64,3,0)+0,0)))</f>
        <v/>
      </c>
      <c r="BQ1033" s="53">
        <f>IF(V1033&lt;&gt;"",V1033,U1033)</f>
        <v/>
      </c>
      <c r="BR1033" s="53">
        <f>IF(BQ1033=1,"L1",IF(OR(BQ1033=2,BQ1033=3),"L23",IF(BQ1033="Aussen","Aussen","-")))</f>
        <v/>
      </c>
      <c r="BS1033" s="66">
        <f>IF(N(W1033)&gt;0,W1033,0)</f>
        <v/>
      </c>
      <c r="BT1033" s="58">
        <f>IF(ISNUMBER(Z1033),1,0)</f>
        <v/>
      </c>
      <c r="BU1033" s="55">
        <f>N(Z1033)</f>
        <v/>
      </c>
      <c r="BV1033" s="55">
        <f>N(L1033)+N(M1033)</f>
        <v/>
      </c>
      <c r="BW1033" s="55">
        <f>ROUNDUP(G1033/BN1033,0)</f>
        <v/>
      </c>
      <c r="BX1033" s="55">
        <f>ROUNDUP(BU1033/BN1033,0)</f>
        <v/>
      </c>
      <c r="BY1033" s="58">
        <f>IF(BO1033=1,0,IFERROR(VLOOKUP(BM1033,'Gebinde-Kategorie'!$A$5:$G$45,5,0)+0,0))</f>
        <v/>
      </c>
      <c r="BZ1033" s="58">
        <f>IFERROR(IF(OR(BQ1033=1,BQ1033=2,BQ1033=3),N(INDEX(Parameter!$I$5:$I$7,BQ1033)),0),0)</f>
        <v/>
      </c>
    </row>
    <row r="1034">
      <c r="A1034" s="53" t="inlineStr">
        <is>
          <t>106753</t>
        </is>
      </c>
      <c r="B1034" s="53" t="inlineStr">
        <is>
          <t>Beschriftungsset</t>
        </is>
      </c>
      <c r="C1034" s="53" t="inlineStr">
        <is>
          <t>F</t>
        </is>
      </c>
      <c r="D1034" s="53" t="inlineStr">
        <is>
          <t>KTL</t>
        </is>
      </c>
      <c r="E1034" s="53" t="inlineStr">
        <is>
          <t>C</t>
        </is>
      </c>
      <c r="F1034" s="54" t="n">
        <v>43.75</v>
      </c>
      <c r="G1034" s="55">
        <f>MAX(0,IF(Parameter!$B$20="Jahresanfang 2025 + Export",BG1034+BF1034,BF1034))</f>
        <v/>
      </c>
      <c r="H1034" s="55">
        <f>G1034*F1034</f>
        <v/>
      </c>
      <c r="I1034" s="55">
        <f>BI1034*Parameter!$B$18</f>
        <v/>
      </c>
      <c r="J1034" s="56" t="n">
        <v>39.5</v>
      </c>
      <c r="K1034" s="57" t="n">
        <v>0</v>
      </c>
      <c r="L1034" s="55" t="n">
        <v>0</v>
      </c>
      <c r="M1034" s="55" t="n">
        <v>1</v>
      </c>
      <c r="N1034" s="58" t="n">
        <v>28</v>
      </c>
      <c r="O1034" s="53" t="inlineStr">
        <is>
          <t>S51</t>
        </is>
      </c>
      <c r="P1034" s="55" t="n">
        <v>42</v>
      </c>
      <c r="Q1034" s="59">
        <f>IF(BO1034=1,0,IFERROR(VLOOKUP(BM1034,'Gebinde-Kategorie'!$A$5:$G$45,6,0)+0,0))</f>
        <v/>
      </c>
      <c r="R1034" s="60" t="n"/>
      <c r="S1034" s="61" t="n"/>
      <c r="T1034" s="61" t="n"/>
      <c r="U1034" s="53">
        <f>IF(A1034="","",IF(IFERROR(VLOOKUP(D1034,Parameter!$A$35:$C$64,2,0),"Nein")="2+3",IF(ISNUMBER(SEARCH("grosser Artikel",BJ1034)),2,IFERROR(VLOOKUP(BM1034,Parameter!$F$35:$G$64,2,0),2)),IF(OR(IFERROR(VLOOKUP(D1034,Parameter!$A$35:$C$64,2,0),"Nein")="Nein",IFERROR(VLOOKUP(D1034,Parameter!$A$35:$C$64,2,0),"Nein")=""),"-",VLOOKUP(D1034,Parameter!$A$35:$C$64,2,0))))</f>
        <v/>
      </c>
      <c r="V1034" s="61" t="n"/>
      <c r="W1034" s="62" t="n"/>
      <c r="X1034" s="55">
        <f>AM1034</f>
        <v/>
      </c>
      <c r="Y1034" s="55">
        <f>MAX(AM1034,G1034)</f>
        <v/>
      </c>
      <c r="Z1034" s="63" t="n"/>
      <c r="AA1034" s="55">
        <f>IF(LEFT(Cockpit!$C$5,1)="A",G1034,IF(BT1034=1,BU1034,IF(LEFT(Cockpit!$C$5,1)="B",AE1034,MAX(AE1034,G1034))))</f>
        <v/>
      </c>
      <c r="AB1034" s="55">
        <f>IF(BO1034=1,0,ROUNDUP(AA1034/BN1034,0))</f>
        <v/>
      </c>
      <c r="AC1034" s="64">
        <f>IF(BO1034=1,IF(AA1034&lt;=0,0,BP1034*MAX(1,IF(G1034&gt;0,AA1034/G1034,1))),AB1034*Q1034)</f>
        <v/>
      </c>
      <c r="AD1034" s="55">
        <f>AA1034*F1034</f>
        <v/>
      </c>
      <c r="AE1034" s="55">
        <f>ROUNDUP(MAX(I1034/IF(BS1034&gt;0,BS1034,MAX(0.1,N(Cockpit!$C$6))),BV1034)/BN1034,0)*BN1034</f>
        <v/>
      </c>
      <c r="AF1034" s="56">
        <f>IF(AC1034&gt;0,I1034/AC1034,-1)</f>
        <v/>
      </c>
      <c r="AG1034" s="56">
        <f>IF(AND(OR(BR1034="L1",BR1034="L23"),AC1034&gt;0),SUMIFS($AC$7:$AC$1570,$BR$7:$BR$1570,BR1034,$AF$7:$AF$1570,"&gt;"&amp;AF1034)+SUMIFS($AC$7:$AC$1570,$BR$7:$BR$1570,BR1034,$AF$7:$AF$1570,AF1034,$BL$7:$BL$1570,"&lt;="&amp;BL1034),"")</f>
        <v/>
      </c>
      <c r="AH1034" s="65">
        <f>IF(AG1034="",0,MAX(0,MIN(1,(IF(BR1034="L1",Parameter!$K$5,Parameter!$K$6+Parameter!$K$7)-(AG1034-AC1034))/AC1034)))</f>
        <v/>
      </c>
      <c r="AI1034" s="55">
        <f>IF(LEFT(Cockpit!$I$5,1)="A",G1034,IF(BT1034=1,BU1034,IF(LEFT(Cockpit!$I$5,1)="B",AM1034,MAX(AM1034,G1034))))</f>
        <v/>
      </c>
      <c r="AJ1034" s="55">
        <f>IF(BO1034=1,0,ROUNDUP(AI1034/BN1034,0))</f>
        <v/>
      </c>
      <c r="AK1034" s="64">
        <f>IF(BO1034=1,IF(AI1034&lt;=0,0,BP1034*MAX(1,IF(G1034&gt;0,AI1034/G1034,1))),AJ1034*Q1034)</f>
        <v/>
      </c>
      <c r="AL1034" s="55">
        <f>AI1034*F1034</f>
        <v/>
      </c>
      <c r="AM1034" s="55">
        <f>ROUNDUP(MAX(I1034/IF(BS1034&gt;0,BS1034,MAX(0.1,N(Cockpit!$I$6))),BV1034)/BN1034,0)*BN1034</f>
        <v/>
      </c>
      <c r="AN1034" s="56">
        <f>IF(AK1034&gt;0,I1034/AK1034,-1)</f>
        <v/>
      </c>
      <c r="AO1034" s="56">
        <f>IF(AND(OR(BR1034="L1",BR1034="L23"),AK1034&gt;0),SUMIFS($AK$7:$AK$1570,$BR$7:$BR$1570,BR1034,$AN$7:$AN$1570,"&gt;"&amp;AN1034)+SUMIFS($AK$7:$AK$1570,$BR$7:$BR$1570,BR1034,$AN$7:$AN$1570,AN1034,$BL$7:$BL$1570,"&lt;="&amp;BL1034),"")</f>
        <v/>
      </c>
      <c r="AP1034" s="65">
        <f>IF(AO1034="",0,MAX(0,MIN(1,(IF(BR1034="L1",Parameter!$K$5,Parameter!$K$6+Parameter!$K$7)-(AO1034-AK1034))/AK1034)))</f>
        <v/>
      </c>
      <c r="AQ1034" s="55">
        <f>IF(LEFT(Cockpit!$O$5,1)="A",G1034,IF(BT1034=1,BU1034,IF(LEFT(Cockpit!$O$5,1)="B",AU1034,MAX(AU1034,G1034))))</f>
        <v/>
      </c>
      <c r="AR1034" s="55">
        <f>IF(BO1034=1,0,ROUNDUP(AQ1034/BN1034,0))</f>
        <v/>
      </c>
      <c r="AS1034" s="64">
        <f>IF(BO1034=1,IF(AQ1034&lt;=0,0,BP1034*MAX(1,IF(G1034&gt;0,AQ1034/G1034,1))),AR1034*Q1034)</f>
        <v/>
      </c>
      <c r="AT1034" s="55">
        <f>AQ1034*F1034</f>
        <v/>
      </c>
      <c r="AU1034" s="55">
        <f>ROUNDUP(MAX(I1034/IF(BS1034&gt;0,BS1034,MAX(0.1,N(Cockpit!$O$6))),BV1034)/BN1034,0)*BN1034</f>
        <v/>
      </c>
      <c r="AV1034" s="56">
        <f>IF(AS1034&gt;0,I1034/AS1034,-1)</f>
        <v/>
      </c>
      <c r="AW1034" s="56">
        <f>IF(AND(OR(BR1034="L1",BR1034="L23"),AS1034&gt;0),SUMIFS($AS$7:$AS$1570,$BR$7:$BR$1570,BR1034,$AV$7:$AV$1570,"&gt;"&amp;AV1034)+SUMIFS($AS$7:$AS$1570,$BR$7:$BR$1570,BR1034,$AV$7:$AV$1570,AV1034,$BL$7:$BL$1570,"&lt;="&amp;BL1034),"")</f>
        <v/>
      </c>
      <c r="AX1034" s="65">
        <f>IF(AW1034="",0,MAX(0,MIN(1,(IF(BR1034="L1",Parameter!$K$5,Parameter!$K$6+Parameter!$K$7)-(AW1034-AS1034))/AS1034)))</f>
        <v/>
      </c>
      <c r="AY1034" s="53">
        <f>IF(AC1034&lt;=0,"",IF(BR1034="Aussen","Aussenlager",IF(BR1034="-","Nicht im Lift",IF(AH1034&gt;=1,"Lift",IF(AH1034&lt;=0,"Aussenlager","teilweise")))))</f>
        <v/>
      </c>
      <c r="AZ1034" s="53">
        <f>IF(AK1034&lt;=0,"",IF(BR1034="Aussen","Aussenlager",IF(BR1034="-","Nicht im Lift",IF(AP1034&gt;=1,"Lift",IF(AP1034&lt;=0,"Aussenlager","teilweise")))))</f>
        <v/>
      </c>
      <c r="BA1034" s="53">
        <f>IF(AS1034&lt;=0,"",IF(BR1034="Aussen","Aussenlager",IF(BR1034="-","Nicht im Lift",IF(AX1034&gt;=1,"Lift",IF(AX1034&lt;=0,"Aussenlager","teilweise")))))</f>
        <v/>
      </c>
      <c r="BB1034" s="53">
        <f>IF(A1034="","",IF(BK1034=1,"Neu; ","")&amp;IF(AND(BK1034=0,BF1034&lt;0),"negativer Bestand (Export "&amp;BF1034&amp;"); ","")&amp;IF(I1034&lt;=0,"Kein Verbrauch; ","")&amp;IF(BO1034=1,"Lose – Fläche geschätzt; ","")&amp;IF(G1034&gt;AM1034,"Überbestand "&amp;ROUND(G1034-AM1034,0)&amp;" Stk / CHF "&amp;ROUND((G1034-AM1034)*F1034,0)&amp;"; ","")&amp;IF(AND(BT1034=1,BU1034&lt;BV1034),"MAX &lt; MB+LG; ","")&amp;IF(AND(BZ1034&gt;0,BY1034*10&gt;BZ1034),"zu hoch für Tablar; ","")&amp;IF(AND(BK1034=0,OR(BT1034=1,V1034&lt;&gt;"",S1034&lt;&gt;"",T1034&lt;&gt;"",W1034&lt;&gt;"")),"manuell übersteuert; ","")&amp;IF(AND(BO1034=0,Q1034=0),"Gebinde unbekannt; ","")&amp;IF(AND(BO1034=0,N(T1034)&lt;=0,N(P1034)&lt;=0),"Menge pro Gebinde fehlt (Ist = 1 Gebinde); ","")&amp;BJ1034)</f>
        <v/>
      </c>
      <c r="BC1034" s="53" t="n"/>
      <c r="BD1034" s="53" t="n"/>
      <c r="BE1034" s="61" t="n"/>
      <c r="BF1034" s="55" t="n">
        <v>-3</v>
      </c>
      <c r="BG1034" s="55" t="n">
        <v>41</v>
      </c>
      <c r="BH1034" s="54" t="n">
        <v>-131.25</v>
      </c>
      <c r="BI1034" s="55" t="n">
        <v>0</v>
      </c>
      <c r="BJ1034" s="53" t="inlineStr"/>
      <c r="BK1034" s="58" t="n">
        <v>0</v>
      </c>
      <c r="BL1034" s="58" t="n">
        <v>1034</v>
      </c>
      <c r="BM1034" s="53">
        <f>IF(S1034&lt;&gt;"",UPPER(TRIM(S1034)),IF(O1034="","LOSE",O1034))</f>
        <v/>
      </c>
      <c r="BN1034" s="55">
        <f>IF(BM1034="LOSE",1,IF(N(T1034)&gt;0,T1034,IF(N(P1034)&gt;0,P1034,MAX(1,G1034))))</f>
        <v/>
      </c>
      <c r="BO1034" s="58">
        <f>IF(BM1034="LOSE",1,0)</f>
        <v/>
      </c>
      <c r="BP1034" s="64">
        <f>IF(BO1034=0,0,IF(N(R1034)&gt;0,R1034,IFERROR(VLOOKUP(D1034,Parameter!$A$35:$C$64,3,0)+0,0)))</f>
        <v/>
      </c>
      <c r="BQ1034" s="53">
        <f>IF(V1034&lt;&gt;"",V1034,U1034)</f>
        <v/>
      </c>
      <c r="BR1034" s="53">
        <f>IF(BQ1034=1,"L1",IF(OR(BQ1034=2,BQ1034=3),"L23",IF(BQ1034="Aussen","Aussen","-")))</f>
        <v/>
      </c>
      <c r="BS1034" s="66">
        <f>IF(N(W1034)&gt;0,W1034,0)</f>
        <v/>
      </c>
      <c r="BT1034" s="58">
        <f>IF(ISNUMBER(Z1034),1,0)</f>
        <v/>
      </c>
      <c r="BU1034" s="55">
        <f>N(Z1034)</f>
        <v/>
      </c>
      <c r="BV1034" s="55">
        <f>N(L1034)+N(M1034)</f>
        <v/>
      </c>
      <c r="BW1034" s="55">
        <f>ROUNDUP(G1034/BN1034,0)</f>
        <v/>
      </c>
      <c r="BX1034" s="55">
        <f>ROUNDUP(BU1034/BN1034,0)</f>
        <v/>
      </c>
      <c r="BY1034" s="58">
        <f>IF(BO1034=1,0,IFERROR(VLOOKUP(BM1034,'Gebinde-Kategorie'!$A$5:$G$45,5,0)+0,0))</f>
        <v/>
      </c>
      <c r="BZ1034" s="58">
        <f>IFERROR(IF(OR(BQ1034=1,BQ1034=2,BQ1034=3),N(INDEX(Parameter!$I$5:$I$7,BQ1034)),0),0)</f>
        <v/>
      </c>
    </row>
    <row r="1035">
      <c r="A1035" s="53" t="inlineStr">
        <is>
          <t>108671</t>
        </is>
      </c>
      <c r="B1035" s="53" t="inlineStr">
        <is>
          <t>Sensorkabel SPC800 - VP</t>
        </is>
      </c>
      <c r="C1035" s="53" t="inlineStr">
        <is>
          <t>F</t>
        </is>
      </c>
      <c r="D1035" s="53" t="inlineStr">
        <is>
          <t>KTL</t>
        </is>
      </c>
      <c r="E1035" s="53" t="inlineStr">
        <is>
          <t>C</t>
        </is>
      </c>
      <c r="F1035" s="54" t="n">
        <v>32.82</v>
      </c>
      <c r="G1035" s="55">
        <f>MAX(0,IF(Parameter!$B$20="Jahresanfang 2025 + Export",BG1035+BF1035,BF1035))</f>
        <v/>
      </c>
      <c r="H1035" s="55">
        <f>G1035*F1035</f>
        <v/>
      </c>
      <c r="I1035" s="55">
        <f>BI1035*Parameter!$B$18</f>
        <v/>
      </c>
      <c r="J1035" s="56" t="n">
        <v>46.5</v>
      </c>
      <c r="K1035" s="57" t="n">
        <v>0.5161290322580645</v>
      </c>
      <c r="L1035" s="55" t="n">
        <v>1</v>
      </c>
      <c r="M1035" s="55" t="n">
        <v>25</v>
      </c>
      <c r="N1035" s="58" t="n">
        <v>28</v>
      </c>
      <c r="O1035" s="53" t="inlineStr">
        <is>
          <t>S51</t>
        </is>
      </c>
      <c r="P1035" s="55" t="n">
        <v>30</v>
      </c>
      <c r="Q1035" s="59">
        <f>IF(BO1035=1,0,IFERROR(VLOOKUP(BM1035,'Gebinde-Kategorie'!$A$5:$G$45,6,0)+0,0))</f>
        <v/>
      </c>
      <c r="R1035" s="60" t="n"/>
      <c r="S1035" s="61" t="n"/>
      <c r="T1035" s="61" t="n"/>
      <c r="U1035" s="53">
        <f>IF(A1035="","",IF(IFERROR(VLOOKUP(D1035,Parameter!$A$35:$C$64,2,0),"Nein")="2+3",IF(ISNUMBER(SEARCH("grosser Artikel",BJ1035)),2,IFERROR(VLOOKUP(BM1035,Parameter!$F$35:$G$64,2,0),2)),IF(OR(IFERROR(VLOOKUP(D1035,Parameter!$A$35:$C$64,2,0),"Nein")="Nein",IFERROR(VLOOKUP(D1035,Parameter!$A$35:$C$64,2,0),"Nein")=""),"-",VLOOKUP(D1035,Parameter!$A$35:$C$64,2,0))))</f>
        <v/>
      </c>
      <c r="V1035" s="61" t="n"/>
      <c r="W1035" s="62" t="n"/>
      <c r="X1035" s="55">
        <f>AM1035</f>
        <v/>
      </c>
      <c r="Y1035" s="55">
        <f>MAX(AM1035,G1035)</f>
        <v/>
      </c>
      <c r="Z1035" s="63" t="n"/>
      <c r="AA1035" s="55">
        <f>IF(LEFT(Cockpit!$C$5,1)="A",G1035,IF(BT1035=1,BU1035,IF(LEFT(Cockpit!$C$5,1)="B",AE1035,MAX(AE1035,G1035))))</f>
        <v/>
      </c>
      <c r="AB1035" s="55">
        <f>IF(BO1035=1,0,ROUNDUP(AA1035/BN1035,0))</f>
        <v/>
      </c>
      <c r="AC1035" s="64">
        <f>IF(BO1035=1,IF(AA1035&lt;=0,0,BP1035*MAX(1,IF(G1035&gt;0,AA1035/G1035,1))),AB1035*Q1035)</f>
        <v/>
      </c>
      <c r="AD1035" s="55">
        <f>AA1035*F1035</f>
        <v/>
      </c>
      <c r="AE1035" s="55">
        <f>ROUNDUP(MAX(I1035/IF(BS1035&gt;0,BS1035,MAX(0.1,N(Cockpit!$C$6))),BV1035)/BN1035,0)*BN1035</f>
        <v/>
      </c>
      <c r="AF1035" s="56">
        <f>IF(AC1035&gt;0,I1035/AC1035,-1)</f>
        <v/>
      </c>
      <c r="AG1035" s="56">
        <f>IF(AND(OR(BR1035="L1",BR1035="L23"),AC1035&gt;0),SUMIFS($AC$7:$AC$1570,$BR$7:$BR$1570,BR1035,$AF$7:$AF$1570,"&gt;"&amp;AF1035)+SUMIFS($AC$7:$AC$1570,$BR$7:$BR$1570,BR1035,$AF$7:$AF$1570,AF1035,$BL$7:$BL$1570,"&lt;="&amp;BL1035),"")</f>
        <v/>
      </c>
      <c r="AH1035" s="65">
        <f>IF(AG1035="",0,MAX(0,MIN(1,(IF(BR1035="L1",Parameter!$K$5,Parameter!$K$6+Parameter!$K$7)-(AG1035-AC1035))/AC1035)))</f>
        <v/>
      </c>
      <c r="AI1035" s="55">
        <f>IF(LEFT(Cockpit!$I$5,1)="A",G1035,IF(BT1035=1,BU1035,IF(LEFT(Cockpit!$I$5,1)="B",AM1035,MAX(AM1035,G1035))))</f>
        <v/>
      </c>
      <c r="AJ1035" s="55">
        <f>IF(BO1035=1,0,ROUNDUP(AI1035/BN1035,0))</f>
        <v/>
      </c>
      <c r="AK1035" s="64">
        <f>IF(BO1035=1,IF(AI1035&lt;=0,0,BP1035*MAX(1,IF(G1035&gt;0,AI1035/G1035,1))),AJ1035*Q1035)</f>
        <v/>
      </c>
      <c r="AL1035" s="55">
        <f>AI1035*F1035</f>
        <v/>
      </c>
      <c r="AM1035" s="55">
        <f>ROUNDUP(MAX(I1035/IF(BS1035&gt;0,BS1035,MAX(0.1,N(Cockpit!$I$6))),BV1035)/BN1035,0)*BN1035</f>
        <v/>
      </c>
      <c r="AN1035" s="56">
        <f>IF(AK1035&gt;0,I1035/AK1035,-1)</f>
        <v/>
      </c>
      <c r="AO1035" s="56">
        <f>IF(AND(OR(BR1035="L1",BR1035="L23"),AK1035&gt;0),SUMIFS($AK$7:$AK$1570,$BR$7:$BR$1570,BR1035,$AN$7:$AN$1570,"&gt;"&amp;AN1035)+SUMIFS($AK$7:$AK$1570,$BR$7:$BR$1570,BR1035,$AN$7:$AN$1570,AN1035,$BL$7:$BL$1570,"&lt;="&amp;BL1035),"")</f>
        <v/>
      </c>
      <c r="AP1035" s="65">
        <f>IF(AO1035="",0,MAX(0,MIN(1,(IF(BR1035="L1",Parameter!$K$5,Parameter!$K$6+Parameter!$K$7)-(AO1035-AK1035))/AK1035)))</f>
        <v/>
      </c>
      <c r="AQ1035" s="55">
        <f>IF(LEFT(Cockpit!$O$5,1)="A",G1035,IF(BT1035=1,BU1035,IF(LEFT(Cockpit!$O$5,1)="B",AU1035,MAX(AU1035,G1035))))</f>
        <v/>
      </c>
      <c r="AR1035" s="55">
        <f>IF(BO1035=1,0,ROUNDUP(AQ1035/BN1035,0))</f>
        <v/>
      </c>
      <c r="AS1035" s="64">
        <f>IF(BO1035=1,IF(AQ1035&lt;=0,0,BP1035*MAX(1,IF(G1035&gt;0,AQ1035/G1035,1))),AR1035*Q1035)</f>
        <v/>
      </c>
      <c r="AT1035" s="55">
        <f>AQ1035*F1035</f>
        <v/>
      </c>
      <c r="AU1035" s="55">
        <f>ROUNDUP(MAX(I1035/IF(BS1035&gt;0,BS1035,MAX(0.1,N(Cockpit!$O$6))),BV1035)/BN1035,0)*BN1035</f>
        <v/>
      </c>
      <c r="AV1035" s="56">
        <f>IF(AS1035&gt;0,I1035/AS1035,-1)</f>
        <v/>
      </c>
      <c r="AW1035" s="56">
        <f>IF(AND(OR(BR1035="L1",BR1035="L23"),AS1035&gt;0),SUMIFS($AS$7:$AS$1570,$BR$7:$BR$1570,BR1035,$AV$7:$AV$1570,"&gt;"&amp;AV1035)+SUMIFS($AS$7:$AS$1570,$BR$7:$BR$1570,BR1035,$AV$7:$AV$1570,AV1035,$BL$7:$BL$1570,"&lt;="&amp;BL1035),"")</f>
        <v/>
      </c>
      <c r="AX1035" s="65">
        <f>IF(AW1035="",0,MAX(0,MIN(1,(IF(BR1035="L1",Parameter!$K$5,Parameter!$K$6+Parameter!$K$7)-(AW1035-AS1035))/AS1035)))</f>
        <v/>
      </c>
      <c r="AY1035" s="53">
        <f>IF(AC1035&lt;=0,"",IF(BR1035="Aussen","Aussenlager",IF(BR1035="-","Nicht im Lift",IF(AH1035&gt;=1,"Lift",IF(AH1035&lt;=0,"Aussenlager","teilweise")))))</f>
        <v/>
      </c>
      <c r="AZ1035" s="53">
        <f>IF(AK1035&lt;=0,"",IF(BR1035="Aussen","Aussenlager",IF(BR1035="-","Nicht im Lift",IF(AP1035&gt;=1,"Lift",IF(AP1035&lt;=0,"Aussenlager","teilweise")))))</f>
        <v/>
      </c>
      <c r="BA1035" s="53">
        <f>IF(AS1035&lt;=0,"",IF(BR1035="Aussen","Aussenlager",IF(BR1035="-","Nicht im Lift",IF(AX1035&gt;=1,"Lift",IF(AX1035&lt;=0,"Aussenlager","teilweise")))))</f>
        <v/>
      </c>
      <c r="BB1035" s="53">
        <f>IF(A1035="","",IF(BK1035=1,"Neu; ","")&amp;IF(AND(BK1035=0,BF1035&lt;0),"negativer Bestand (Export "&amp;BF1035&amp;"); ","")&amp;IF(I1035&lt;=0,"Kein Verbrauch; ","")&amp;IF(BO1035=1,"Lose – Fläche geschätzt; ","")&amp;IF(G1035&gt;AM1035,"Überbestand "&amp;ROUND(G1035-AM1035,0)&amp;" Stk / CHF "&amp;ROUND((G1035-AM1035)*F1035,0)&amp;"; ","")&amp;IF(AND(BT1035=1,BU1035&lt;BV1035),"MAX &lt; MB+LG; ","")&amp;IF(AND(BZ1035&gt;0,BY1035*10&gt;BZ1035),"zu hoch für Tablar; ","")&amp;IF(AND(BK1035=0,OR(BT1035=1,V1035&lt;&gt;"",S1035&lt;&gt;"",T1035&lt;&gt;"",W1035&lt;&gt;"")),"manuell übersteuert; ","")&amp;IF(AND(BO1035=0,Q1035=0),"Gebinde unbekannt; ","")&amp;IF(AND(BO1035=0,N(T1035)&lt;=0,N(P1035)&lt;=0),"Menge pro Gebinde fehlt (Ist = 1 Gebinde); ","")&amp;BJ1035)</f>
        <v/>
      </c>
      <c r="BC1035" s="53" t="n"/>
      <c r="BD1035" s="53" t="n"/>
      <c r="BE1035" s="61" t="n"/>
      <c r="BF1035" s="55" t="n">
        <v>-4</v>
      </c>
      <c r="BG1035" s="55" t="n">
        <v>48</v>
      </c>
      <c r="BH1035" s="54" t="n">
        <v>-131.28</v>
      </c>
      <c r="BI1035" s="55" t="n">
        <v>24</v>
      </c>
      <c r="BJ1035" s="53" t="inlineStr">
        <is>
          <t>Neu</t>
        </is>
      </c>
      <c r="BK1035" s="58" t="n">
        <v>0</v>
      </c>
      <c r="BL1035" s="58" t="n">
        <v>1035</v>
      </c>
      <c r="BM1035" s="53">
        <f>IF(S1035&lt;&gt;"",UPPER(TRIM(S1035)),IF(O1035="","LOSE",O1035))</f>
        <v/>
      </c>
      <c r="BN1035" s="55">
        <f>IF(BM1035="LOSE",1,IF(N(T1035)&gt;0,T1035,IF(N(P1035)&gt;0,P1035,MAX(1,G1035))))</f>
        <v/>
      </c>
      <c r="BO1035" s="58">
        <f>IF(BM1035="LOSE",1,0)</f>
        <v/>
      </c>
      <c r="BP1035" s="64">
        <f>IF(BO1035=0,0,IF(N(R1035)&gt;0,R1035,IFERROR(VLOOKUP(D1035,Parameter!$A$35:$C$64,3,0)+0,0)))</f>
        <v/>
      </c>
      <c r="BQ1035" s="53">
        <f>IF(V1035&lt;&gt;"",V1035,U1035)</f>
        <v/>
      </c>
      <c r="BR1035" s="53">
        <f>IF(BQ1035=1,"L1",IF(OR(BQ1035=2,BQ1035=3),"L23",IF(BQ1035="Aussen","Aussen","-")))</f>
        <v/>
      </c>
      <c r="BS1035" s="66">
        <f>IF(N(W1035)&gt;0,W1035,0)</f>
        <v/>
      </c>
      <c r="BT1035" s="58">
        <f>IF(ISNUMBER(Z1035),1,0)</f>
        <v/>
      </c>
      <c r="BU1035" s="55">
        <f>N(Z1035)</f>
        <v/>
      </c>
      <c r="BV1035" s="55">
        <f>N(L1035)+N(M1035)</f>
        <v/>
      </c>
      <c r="BW1035" s="55">
        <f>ROUNDUP(G1035/BN1035,0)</f>
        <v/>
      </c>
      <c r="BX1035" s="55">
        <f>ROUNDUP(BU1035/BN1035,0)</f>
        <v/>
      </c>
      <c r="BY1035" s="58">
        <f>IF(BO1035=1,0,IFERROR(VLOOKUP(BM1035,'Gebinde-Kategorie'!$A$5:$G$45,5,0)+0,0))</f>
        <v/>
      </c>
      <c r="BZ1035" s="58">
        <f>IFERROR(IF(OR(BQ1035=1,BQ1035=2,BQ1035=3),N(INDEX(Parameter!$I$5:$I$7,BQ1035)),0),0)</f>
        <v/>
      </c>
    </row>
    <row r="1036">
      <c r="A1036" s="53" t="inlineStr">
        <is>
          <t>001034</t>
        </is>
      </c>
      <c r="B1036" s="53" t="inlineStr">
        <is>
          <t>Kombi-Faservliesbürste</t>
        </is>
      </c>
      <c r="C1036" s="53" t="inlineStr">
        <is>
          <t>F</t>
        </is>
      </c>
      <c r="D1036" s="53" t="inlineStr">
        <is>
          <t>KTL</t>
        </is>
      </c>
      <c r="E1036" s="53" t="inlineStr">
        <is>
          <t>C</t>
        </is>
      </c>
      <c r="F1036" s="54" t="n">
        <v>30.34</v>
      </c>
      <c r="G1036" s="55">
        <f>MAX(0,IF(Parameter!$B$20="Jahresanfang 2025 + Export",BG1036+BF1036,BF1036))</f>
        <v/>
      </c>
      <c r="H1036" s="55">
        <f>G1036*F1036</f>
        <v/>
      </c>
      <c r="I1036" s="55">
        <f>BI1036*Parameter!$B$18</f>
        <v/>
      </c>
      <c r="J1036" s="56" t="n">
        <v>9</v>
      </c>
      <c r="K1036" s="57" t="n">
        <v>0.2222222222222222</v>
      </c>
      <c r="L1036" s="55" t="n">
        <v>0</v>
      </c>
      <c r="M1036" s="55" t="n">
        <v>1</v>
      </c>
      <c r="N1036" s="58" t="n">
        <v>19</v>
      </c>
      <c r="O1036" s="53" t="inlineStr">
        <is>
          <t>S21</t>
        </is>
      </c>
      <c r="P1036" s="55" t="n">
        <v>16</v>
      </c>
      <c r="Q1036" s="59">
        <f>IF(BO1036=1,0,IFERROR(VLOOKUP(BM1036,'Gebinde-Kategorie'!$A$5:$G$45,6,0)+0,0))</f>
        <v/>
      </c>
      <c r="R1036" s="60" t="n"/>
      <c r="S1036" s="61" t="n"/>
      <c r="T1036" s="61" t="n"/>
      <c r="U1036" s="53">
        <f>IF(A1036="","",IF(IFERROR(VLOOKUP(D1036,Parameter!$A$35:$C$64,2,0),"Nein")="2+3",IF(ISNUMBER(SEARCH("grosser Artikel",BJ1036)),2,IFERROR(VLOOKUP(BM1036,Parameter!$F$35:$G$64,2,0),2)),IF(OR(IFERROR(VLOOKUP(D1036,Parameter!$A$35:$C$64,2,0),"Nein")="Nein",IFERROR(VLOOKUP(D1036,Parameter!$A$35:$C$64,2,0),"Nein")=""),"-",VLOOKUP(D1036,Parameter!$A$35:$C$64,2,0))))</f>
        <v/>
      </c>
      <c r="V1036" s="61" t="n"/>
      <c r="W1036" s="62" t="n"/>
      <c r="X1036" s="55">
        <f>AM1036</f>
        <v/>
      </c>
      <c r="Y1036" s="55">
        <f>MAX(AM1036,G1036)</f>
        <v/>
      </c>
      <c r="Z1036" s="63" t="n"/>
      <c r="AA1036" s="55">
        <f>IF(LEFT(Cockpit!$C$5,1)="A",G1036,IF(BT1036=1,BU1036,IF(LEFT(Cockpit!$C$5,1)="B",AE1036,MAX(AE1036,G1036))))</f>
        <v/>
      </c>
      <c r="AB1036" s="55">
        <f>IF(BO1036=1,0,ROUNDUP(AA1036/BN1036,0))</f>
        <v/>
      </c>
      <c r="AC1036" s="64">
        <f>IF(BO1036=1,IF(AA1036&lt;=0,0,BP1036*MAX(1,IF(G1036&gt;0,AA1036/G1036,1))),AB1036*Q1036)</f>
        <v/>
      </c>
      <c r="AD1036" s="55">
        <f>AA1036*F1036</f>
        <v/>
      </c>
      <c r="AE1036" s="55">
        <f>ROUNDUP(MAX(I1036/IF(BS1036&gt;0,BS1036,MAX(0.1,N(Cockpit!$C$6))),BV1036)/BN1036,0)*BN1036</f>
        <v/>
      </c>
      <c r="AF1036" s="56">
        <f>IF(AC1036&gt;0,I1036/AC1036,-1)</f>
        <v/>
      </c>
      <c r="AG1036" s="56">
        <f>IF(AND(OR(BR1036="L1",BR1036="L23"),AC1036&gt;0),SUMIFS($AC$7:$AC$1570,$BR$7:$BR$1570,BR1036,$AF$7:$AF$1570,"&gt;"&amp;AF1036)+SUMIFS($AC$7:$AC$1570,$BR$7:$BR$1570,BR1036,$AF$7:$AF$1570,AF1036,$BL$7:$BL$1570,"&lt;="&amp;BL1036),"")</f>
        <v/>
      </c>
      <c r="AH1036" s="65">
        <f>IF(AG1036="",0,MAX(0,MIN(1,(IF(BR1036="L1",Parameter!$K$5,Parameter!$K$6+Parameter!$K$7)-(AG1036-AC1036))/AC1036)))</f>
        <v/>
      </c>
      <c r="AI1036" s="55">
        <f>IF(LEFT(Cockpit!$I$5,1)="A",G1036,IF(BT1036=1,BU1036,IF(LEFT(Cockpit!$I$5,1)="B",AM1036,MAX(AM1036,G1036))))</f>
        <v/>
      </c>
      <c r="AJ1036" s="55">
        <f>IF(BO1036=1,0,ROUNDUP(AI1036/BN1036,0))</f>
        <v/>
      </c>
      <c r="AK1036" s="64">
        <f>IF(BO1036=1,IF(AI1036&lt;=0,0,BP1036*MAX(1,IF(G1036&gt;0,AI1036/G1036,1))),AJ1036*Q1036)</f>
        <v/>
      </c>
      <c r="AL1036" s="55">
        <f>AI1036*F1036</f>
        <v/>
      </c>
      <c r="AM1036" s="55">
        <f>ROUNDUP(MAX(I1036/IF(BS1036&gt;0,BS1036,MAX(0.1,N(Cockpit!$I$6))),BV1036)/BN1036,0)*BN1036</f>
        <v/>
      </c>
      <c r="AN1036" s="56">
        <f>IF(AK1036&gt;0,I1036/AK1036,-1)</f>
        <v/>
      </c>
      <c r="AO1036" s="56">
        <f>IF(AND(OR(BR1036="L1",BR1036="L23"),AK1036&gt;0),SUMIFS($AK$7:$AK$1570,$BR$7:$BR$1570,BR1036,$AN$7:$AN$1570,"&gt;"&amp;AN1036)+SUMIFS($AK$7:$AK$1570,$BR$7:$BR$1570,BR1036,$AN$7:$AN$1570,AN1036,$BL$7:$BL$1570,"&lt;="&amp;BL1036),"")</f>
        <v/>
      </c>
      <c r="AP1036" s="65">
        <f>IF(AO1036="",0,MAX(0,MIN(1,(IF(BR1036="L1",Parameter!$K$5,Parameter!$K$6+Parameter!$K$7)-(AO1036-AK1036))/AK1036)))</f>
        <v/>
      </c>
      <c r="AQ1036" s="55">
        <f>IF(LEFT(Cockpit!$O$5,1)="A",G1036,IF(BT1036=1,BU1036,IF(LEFT(Cockpit!$O$5,1)="B",AU1036,MAX(AU1036,G1036))))</f>
        <v/>
      </c>
      <c r="AR1036" s="55">
        <f>IF(BO1036=1,0,ROUNDUP(AQ1036/BN1036,0))</f>
        <v/>
      </c>
      <c r="AS1036" s="64">
        <f>IF(BO1036=1,IF(AQ1036&lt;=0,0,BP1036*MAX(1,IF(G1036&gt;0,AQ1036/G1036,1))),AR1036*Q1036)</f>
        <v/>
      </c>
      <c r="AT1036" s="55">
        <f>AQ1036*F1036</f>
        <v/>
      </c>
      <c r="AU1036" s="55">
        <f>ROUNDUP(MAX(I1036/IF(BS1036&gt;0,BS1036,MAX(0.1,N(Cockpit!$O$6))),BV1036)/BN1036,0)*BN1036</f>
        <v/>
      </c>
      <c r="AV1036" s="56">
        <f>IF(AS1036&gt;0,I1036/AS1036,-1)</f>
        <v/>
      </c>
      <c r="AW1036" s="56">
        <f>IF(AND(OR(BR1036="L1",BR1036="L23"),AS1036&gt;0),SUMIFS($AS$7:$AS$1570,$BR$7:$BR$1570,BR1036,$AV$7:$AV$1570,"&gt;"&amp;AV1036)+SUMIFS($AS$7:$AS$1570,$BR$7:$BR$1570,BR1036,$AV$7:$AV$1570,AV1036,$BL$7:$BL$1570,"&lt;="&amp;BL1036),"")</f>
        <v/>
      </c>
      <c r="AX1036" s="65">
        <f>IF(AW1036="",0,MAX(0,MIN(1,(IF(BR1036="L1",Parameter!$K$5,Parameter!$K$6+Parameter!$K$7)-(AW1036-AS1036))/AS1036)))</f>
        <v/>
      </c>
      <c r="AY1036" s="53">
        <f>IF(AC1036&lt;=0,"",IF(BR1036="Aussen","Aussenlager",IF(BR1036="-","Nicht im Lift",IF(AH1036&gt;=1,"Lift",IF(AH1036&lt;=0,"Aussenlager","teilweise")))))</f>
        <v/>
      </c>
      <c r="AZ1036" s="53">
        <f>IF(AK1036&lt;=0,"",IF(BR1036="Aussen","Aussenlager",IF(BR1036="-","Nicht im Lift",IF(AP1036&gt;=1,"Lift",IF(AP1036&lt;=0,"Aussenlager","teilweise")))))</f>
        <v/>
      </c>
      <c r="BA1036" s="53">
        <f>IF(AS1036&lt;=0,"",IF(BR1036="Aussen","Aussenlager",IF(BR1036="-","Nicht im Lift",IF(AX1036&gt;=1,"Lift",IF(AX1036&lt;=0,"Aussenlager","teilweise")))))</f>
        <v/>
      </c>
      <c r="BB1036" s="53">
        <f>IF(A1036="","",IF(BK1036=1,"Neu; ","")&amp;IF(AND(BK1036=0,BF1036&lt;0),"negativer Bestand (Export "&amp;BF1036&amp;"); ","")&amp;IF(I1036&lt;=0,"Kein Verbrauch; ","")&amp;IF(BO1036=1,"Lose – Fläche geschätzt; ","")&amp;IF(G1036&gt;AM1036,"Überbestand "&amp;ROUND(G1036-AM1036,0)&amp;" Stk / CHF "&amp;ROUND((G1036-AM1036)*F1036,0)&amp;"; ","")&amp;IF(AND(BT1036=1,BU1036&lt;BV1036),"MAX &lt; MB+LG; ","")&amp;IF(AND(BZ1036&gt;0,BY1036*10&gt;BZ1036),"zu hoch für Tablar; ","")&amp;IF(AND(BK1036=0,OR(BT1036=1,V1036&lt;&gt;"",S1036&lt;&gt;"",T1036&lt;&gt;"",W1036&lt;&gt;"")),"manuell übersteuert; ","")&amp;IF(AND(BO1036=0,Q1036=0),"Gebinde unbekannt; ","")&amp;IF(AND(BO1036=0,N(T1036)&lt;=0,N(P1036)&lt;=0),"Menge pro Gebinde fehlt (Ist = 1 Gebinde); ","")&amp;BJ1036)</f>
        <v/>
      </c>
      <c r="BC1036" s="53" t="n"/>
      <c r="BD1036" s="53" t="n"/>
      <c r="BE1036" s="61" t="n"/>
      <c r="BF1036" s="55" t="n">
        <v>-4</v>
      </c>
      <c r="BG1036" s="55" t="n">
        <v>10</v>
      </c>
      <c r="BH1036" s="54" t="n">
        <v>-131.66</v>
      </c>
      <c r="BI1036" s="55" t="n">
        <v>2</v>
      </c>
      <c r="BJ1036" s="53" t="inlineStr">
        <is>
          <t>Überbestand</t>
        </is>
      </c>
      <c r="BK1036" s="58" t="n">
        <v>0</v>
      </c>
      <c r="BL1036" s="58" t="n">
        <v>1036</v>
      </c>
      <c r="BM1036" s="53">
        <f>IF(S1036&lt;&gt;"",UPPER(TRIM(S1036)),IF(O1036="","LOSE",O1036))</f>
        <v/>
      </c>
      <c r="BN1036" s="55">
        <f>IF(BM1036="LOSE",1,IF(N(T1036)&gt;0,T1036,IF(N(P1036)&gt;0,P1036,MAX(1,G1036))))</f>
        <v/>
      </c>
      <c r="BO1036" s="58">
        <f>IF(BM1036="LOSE",1,0)</f>
        <v/>
      </c>
      <c r="BP1036" s="64">
        <f>IF(BO1036=0,0,IF(N(R1036)&gt;0,R1036,IFERROR(VLOOKUP(D1036,Parameter!$A$35:$C$64,3,0)+0,0)))</f>
        <v/>
      </c>
      <c r="BQ1036" s="53">
        <f>IF(V1036&lt;&gt;"",V1036,U1036)</f>
        <v/>
      </c>
      <c r="BR1036" s="53">
        <f>IF(BQ1036=1,"L1",IF(OR(BQ1036=2,BQ1036=3),"L23",IF(BQ1036="Aussen","Aussen","-")))</f>
        <v/>
      </c>
      <c r="BS1036" s="66">
        <f>IF(N(W1036)&gt;0,W1036,0)</f>
        <v/>
      </c>
      <c r="BT1036" s="58">
        <f>IF(ISNUMBER(Z1036),1,0)</f>
        <v/>
      </c>
      <c r="BU1036" s="55">
        <f>N(Z1036)</f>
        <v/>
      </c>
      <c r="BV1036" s="55">
        <f>N(L1036)+N(M1036)</f>
        <v/>
      </c>
      <c r="BW1036" s="55">
        <f>ROUNDUP(G1036/BN1036,0)</f>
        <v/>
      </c>
      <c r="BX1036" s="55">
        <f>ROUNDUP(BU1036/BN1036,0)</f>
        <v/>
      </c>
      <c r="BY1036" s="58">
        <f>IF(BO1036=1,0,IFERROR(VLOOKUP(BM1036,'Gebinde-Kategorie'!$A$5:$G$45,5,0)+0,0))</f>
        <v/>
      </c>
      <c r="BZ1036" s="58">
        <f>IFERROR(IF(OR(BQ1036=1,BQ1036=2,BQ1036=3),N(INDEX(Parameter!$I$5:$I$7,BQ1036)),0),0)</f>
        <v/>
      </c>
    </row>
    <row r="1037">
      <c r="A1037" s="53" t="inlineStr">
        <is>
          <t>005694</t>
        </is>
      </c>
      <c r="B1037" s="53" t="inlineStr">
        <is>
          <t>Leitungsschutzschalter</t>
        </is>
      </c>
      <c r="C1037" s="53" t="inlineStr">
        <is>
          <t>F</t>
        </is>
      </c>
      <c r="D1037" s="53" t="inlineStr">
        <is>
          <t>KTL</t>
        </is>
      </c>
      <c r="E1037" s="53" t="inlineStr">
        <is>
          <t>C</t>
        </is>
      </c>
      <c r="F1037" s="54" t="n">
        <v>133.49</v>
      </c>
      <c r="G1037" s="55">
        <f>MAX(0,IF(Parameter!$B$20="Jahresanfang 2025 + Export",BG1037+BF1037,BF1037))</f>
        <v/>
      </c>
      <c r="H1037" s="55">
        <f>G1037*F1037</f>
        <v/>
      </c>
      <c r="I1037" s="55">
        <f>BI1037*Parameter!$B$18</f>
        <v/>
      </c>
      <c r="J1037" s="56" t="n">
        <v>21.5</v>
      </c>
      <c r="K1037" s="57" t="n">
        <v>0</v>
      </c>
      <c r="L1037" s="55" t="n">
        <v>0</v>
      </c>
      <c r="M1037" s="55" t="n">
        <v>1</v>
      </c>
      <c r="N1037" s="58" t="n">
        <v>56</v>
      </c>
      <c r="O1037" s="53" t="inlineStr">
        <is>
          <t>S51</t>
        </is>
      </c>
      <c r="P1037" s="55" t="n">
        <v>6</v>
      </c>
      <c r="Q1037" s="59">
        <f>IF(BO1037=1,0,IFERROR(VLOOKUP(BM1037,'Gebinde-Kategorie'!$A$5:$G$45,6,0)+0,0))</f>
        <v/>
      </c>
      <c r="R1037" s="60" t="n"/>
      <c r="S1037" s="61" t="n"/>
      <c r="T1037" s="61" t="n"/>
      <c r="U1037" s="53">
        <f>IF(A1037="","",IF(IFERROR(VLOOKUP(D1037,Parameter!$A$35:$C$64,2,0),"Nein")="2+3",IF(ISNUMBER(SEARCH("grosser Artikel",BJ1037)),2,IFERROR(VLOOKUP(BM1037,Parameter!$F$35:$G$64,2,0),2)),IF(OR(IFERROR(VLOOKUP(D1037,Parameter!$A$35:$C$64,2,0),"Nein")="Nein",IFERROR(VLOOKUP(D1037,Parameter!$A$35:$C$64,2,0),"Nein")=""),"-",VLOOKUP(D1037,Parameter!$A$35:$C$64,2,0))))</f>
        <v/>
      </c>
      <c r="V1037" s="61" t="n"/>
      <c r="W1037" s="62" t="n"/>
      <c r="X1037" s="55">
        <f>AM1037</f>
        <v/>
      </c>
      <c r="Y1037" s="55">
        <f>MAX(AM1037,G1037)</f>
        <v/>
      </c>
      <c r="Z1037" s="63" t="n"/>
      <c r="AA1037" s="55">
        <f>IF(LEFT(Cockpit!$C$5,1)="A",G1037,IF(BT1037=1,BU1037,IF(LEFT(Cockpit!$C$5,1)="B",AE1037,MAX(AE1037,G1037))))</f>
        <v/>
      </c>
      <c r="AB1037" s="55">
        <f>IF(BO1037=1,0,ROUNDUP(AA1037/BN1037,0))</f>
        <v/>
      </c>
      <c r="AC1037" s="64">
        <f>IF(BO1037=1,IF(AA1037&lt;=0,0,BP1037*MAX(1,IF(G1037&gt;0,AA1037/G1037,1))),AB1037*Q1037)</f>
        <v/>
      </c>
      <c r="AD1037" s="55">
        <f>AA1037*F1037</f>
        <v/>
      </c>
      <c r="AE1037" s="55">
        <f>ROUNDUP(MAX(I1037/IF(BS1037&gt;0,BS1037,MAX(0.1,N(Cockpit!$C$6))),BV1037)/BN1037,0)*BN1037</f>
        <v/>
      </c>
      <c r="AF1037" s="56">
        <f>IF(AC1037&gt;0,I1037/AC1037,-1)</f>
        <v/>
      </c>
      <c r="AG1037" s="56">
        <f>IF(AND(OR(BR1037="L1",BR1037="L23"),AC1037&gt;0),SUMIFS($AC$7:$AC$1570,$BR$7:$BR$1570,BR1037,$AF$7:$AF$1570,"&gt;"&amp;AF1037)+SUMIFS($AC$7:$AC$1570,$BR$7:$BR$1570,BR1037,$AF$7:$AF$1570,AF1037,$BL$7:$BL$1570,"&lt;="&amp;BL1037),"")</f>
        <v/>
      </c>
      <c r="AH1037" s="65">
        <f>IF(AG1037="",0,MAX(0,MIN(1,(IF(BR1037="L1",Parameter!$K$5,Parameter!$K$6+Parameter!$K$7)-(AG1037-AC1037))/AC1037)))</f>
        <v/>
      </c>
      <c r="AI1037" s="55">
        <f>IF(LEFT(Cockpit!$I$5,1)="A",G1037,IF(BT1037=1,BU1037,IF(LEFT(Cockpit!$I$5,1)="B",AM1037,MAX(AM1037,G1037))))</f>
        <v/>
      </c>
      <c r="AJ1037" s="55">
        <f>IF(BO1037=1,0,ROUNDUP(AI1037/BN1037,0))</f>
        <v/>
      </c>
      <c r="AK1037" s="64">
        <f>IF(BO1037=1,IF(AI1037&lt;=0,0,BP1037*MAX(1,IF(G1037&gt;0,AI1037/G1037,1))),AJ1037*Q1037)</f>
        <v/>
      </c>
      <c r="AL1037" s="55">
        <f>AI1037*F1037</f>
        <v/>
      </c>
      <c r="AM1037" s="55">
        <f>ROUNDUP(MAX(I1037/IF(BS1037&gt;0,BS1037,MAX(0.1,N(Cockpit!$I$6))),BV1037)/BN1037,0)*BN1037</f>
        <v/>
      </c>
      <c r="AN1037" s="56">
        <f>IF(AK1037&gt;0,I1037/AK1037,-1)</f>
        <v/>
      </c>
      <c r="AO1037" s="56">
        <f>IF(AND(OR(BR1037="L1",BR1037="L23"),AK1037&gt;0),SUMIFS($AK$7:$AK$1570,$BR$7:$BR$1570,BR1037,$AN$7:$AN$1570,"&gt;"&amp;AN1037)+SUMIFS($AK$7:$AK$1570,$BR$7:$BR$1570,BR1037,$AN$7:$AN$1570,AN1037,$BL$7:$BL$1570,"&lt;="&amp;BL1037),"")</f>
        <v/>
      </c>
      <c r="AP1037" s="65">
        <f>IF(AO1037="",0,MAX(0,MIN(1,(IF(BR1037="L1",Parameter!$K$5,Parameter!$K$6+Parameter!$K$7)-(AO1037-AK1037))/AK1037)))</f>
        <v/>
      </c>
      <c r="AQ1037" s="55">
        <f>IF(LEFT(Cockpit!$O$5,1)="A",G1037,IF(BT1037=1,BU1037,IF(LEFT(Cockpit!$O$5,1)="B",AU1037,MAX(AU1037,G1037))))</f>
        <v/>
      </c>
      <c r="AR1037" s="55">
        <f>IF(BO1037=1,0,ROUNDUP(AQ1037/BN1037,0))</f>
        <v/>
      </c>
      <c r="AS1037" s="64">
        <f>IF(BO1037=1,IF(AQ1037&lt;=0,0,BP1037*MAX(1,IF(G1037&gt;0,AQ1037/G1037,1))),AR1037*Q1037)</f>
        <v/>
      </c>
      <c r="AT1037" s="55">
        <f>AQ1037*F1037</f>
        <v/>
      </c>
      <c r="AU1037" s="55">
        <f>ROUNDUP(MAX(I1037/IF(BS1037&gt;0,BS1037,MAX(0.1,N(Cockpit!$O$6))),BV1037)/BN1037,0)*BN1037</f>
        <v/>
      </c>
      <c r="AV1037" s="56">
        <f>IF(AS1037&gt;0,I1037/AS1037,-1)</f>
        <v/>
      </c>
      <c r="AW1037" s="56">
        <f>IF(AND(OR(BR1037="L1",BR1037="L23"),AS1037&gt;0),SUMIFS($AS$7:$AS$1570,$BR$7:$BR$1570,BR1037,$AV$7:$AV$1570,"&gt;"&amp;AV1037)+SUMIFS($AS$7:$AS$1570,$BR$7:$BR$1570,BR1037,$AV$7:$AV$1570,AV1037,$BL$7:$BL$1570,"&lt;="&amp;BL1037),"")</f>
        <v/>
      </c>
      <c r="AX1037" s="65">
        <f>IF(AW1037="",0,MAX(0,MIN(1,(IF(BR1037="L1",Parameter!$K$5,Parameter!$K$6+Parameter!$K$7)-(AW1037-AS1037))/AS1037)))</f>
        <v/>
      </c>
      <c r="AY1037" s="53">
        <f>IF(AC1037&lt;=0,"",IF(BR1037="Aussen","Aussenlager",IF(BR1037="-","Nicht im Lift",IF(AH1037&gt;=1,"Lift",IF(AH1037&lt;=0,"Aussenlager","teilweise")))))</f>
        <v/>
      </c>
      <c r="AZ1037" s="53">
        <f>IF(AK1037&lt;=0,"",IF(BR1037="Aussen","Aussenlager",IF(BR1037="-","Nicht im Lift",IF(AP1037&gt;=1,"Lift",IF(AP1037&lt;=0,"Aussenlager","teilweise")))))</f>
        <v/>
      </c>
      <c r="BA1037" s="53">
        <f>IF(AS1037&lt;=0,"",IF(BR1037="Aussen","Aussenlager",IF(BR1037="-","Nicht im Lift",IF(AX1037&gt;=1,"Lift",IF(AX1037&lt;=0,"Aussenlager","teilweise")))))</f>
        <v/>
      </c>
      <c r="BB1037" s="53">
        <f>IF(A1037="","",IF(BK1037=1,"Neu; ","")&amp;IF(AND(BK1037=0,BF1037&lt;0),"negativer Bestand (Export "&amp;BF1037&amp;"); ","")&amp;IF(I1037&lt;=0,"Kein Verbrauch; ","")&amp;IF(BO1037=1,"Lose – Fläche geschätzt; ","")&amp;IF(G1037&gt;AM1037,"Überbestand "&amp;ROUND(G1037-AM1037,0)&amp;" Stk / CHF "&amp;ROUND((G1037-AM1037)*F1037,0)&amp;"; ","")&amp;IF(AND(BT1037=1,BU1037&lt;BV1037),"MAX &lt; MB+LG; ","")&amp;IF(AND(BZ1037&gt;0,BY1037*10&gt;BZ1037),"zu hoch für Tablar; ","")&amp;IF(AND(BK1037=0,OR(BT1037=1,V1037&lt;&gt;"",S1037&lt;&gt;"",T1037&lt;&gt;"",W1037&lt;&gt;"")),"manuell übersteuert; ","")&amp;IF(AND(BO1037=0,Q1037=0),"Gebinde unbekannt; ","")&amp;IF(AND(BO1037=0,N(T1037)&lt;=0,N(P1037)&lt;=0),"Menge pro Gebinde fehlt (Ist = 1 Gebinde); ","")&amp;BJ1037)</f>
        <v/>
      </c>
      <c r="BC1037" s="53" t="n"/>
      <c r="BD1037" s="53" t="n"/>
      <c r="BE1037" s="61" t="n"/>
      <c r="BF1037" s="55" t="n">
        <v>-1</v>
      </c>
      <c r="BG1037" s="55" t="n">
        <v>22</v>
      </c>
      <c r="BH1037" s="54" t="n">
        <v>-133.49</v>
      </c>
      <c r="BI1037" s="55" t="n">
        <v>0</v>
      </c>
      <c r="BJ1037" s="53" t="inlineStr"/>
      <c r="BK1037" s="58" t="n">
        <v>0</v>
      </c>
      <c r="BL1037" s="58" t="n">
        <v>1037</v>
      </c>
      <c r="BM1037" s="53">
        <f>IF(S1037&lt;&gt;"",UPPER(TRIM(S1037)),IF(O1037="","LOSE",O1037))</f>
        <v/>
      </c>
      <c r="BN1037" s="55">
        <f>IF(BM1037="LOSE",1,IF(N(T1037)&gt;0,T1037,IF(N(P1037)&gt;0,P1037,MAX(1,G1037))))</f>
        <v/>
      </c>
      <c r="BO1037" s="58">
        <f>IF(BM1037="LOSE",1,0)</f>
        <v/>
      </c>
      <c r="BP1037" s="64">
        <f>IF(BO1037=0,0,IF(N(R1037)&gt;0,R1037,IFERROR(VLOOKUP(D1037,Parameter!$A$35:$C$64,3,0)+0,0)))</f>
        <v/>
      </c>
      <c r="BQ1037" s="53">
        <f>IF(V1037&lt;&gt;"",V1037,U1037)</f>
        <v/>
      </c>
      <c r="BR1037" s="53">
        <f>IF(BQ1037=1,"L1",IF(OR(BQ1037=2,BQ1037=3),"L23",IF(BQ1037="Aussen","Aussen","-")))</f>
        <v/>
      </c>
      <c r="BS1037" s="66">
        <f>IF(N(W1037)&gt;0,W1037,0)</f>
        <v/>
      </c>
      <c r="BT1037" s="58">
        <f>IF(ISNUMBER(Z1037),1,0)</f>
        <v/>
      </c>
      <c r="BU1037" s="55">
        <f>N(Z1037)</f>
        <v/>
      </c>
      <c r="BV1037" s="55">
        <f>N(L1037)+N(M1037)</f>
        <v/>
      </c>
      <c r="BW1037" s="55">
        <f>ROUNDUP(G1037/BN1037,0)</f>
        <v/>
      </c>
      <c r="BX1037" s="55">
        <f>ROUNDUP(BU1037/BN1037,0)</f>
        <v/>
      </c>
      <c r="BY1037" s="58">
        <f>IF(BO1037=1,0,IFERROR(VLOOKUP(BM1037,'Gebinde-Kategorie'!$A$5:$G$45,5,0)+0,0))</f>
        <v/>
      </c>
      <c r="BZ1037" s="58">
        <f>IFERROR(IF(OR(BQ1037=1,BQ1037=2,BQ1037=3),N(INDEX(Parameter!$I$5:$I$7,BQ1037)),0),0)</f>
        <v/>
      </c>
    </row>
    <row r="1038">
      <c r="A1038" s="53" t="inlineStr">
        <is>
          <t>108080</t>
        </is>
      </c>
      <c r="B1038" s="53" t="inlineStr">
        <is>
          <t>Innenbox SPGr10 SVC2 2/4</t>
        </is>
      </c>
      <c r="C1038" s="53" t="inlineStr">
        <is>
          <t>G</t>
        </is>
      </c>
      <c r="D1038" s="53" t="inlineStr">
        <is>
          <t>PAL</t>
        </is>
      </c>
      <c r="E1038" s="53" t="inlineStr">
        <is>
          <t>C</t>
        </is>
      </c>
      <c r="F1038" s="54" t="n">
        <v>133.51</v>
      </c>
      <c r="G1038" s="55">
        <f>MAX(0,IF(Parameter!$B$20="Jahresanfang 2025 + Export",BG1038+BF1038,BF1038))</f>
        <v/>
      </c>
      <c r="H1038" s="55">
        <f>G1038*F1038</f>
        <v/>
      </c>
      <c r="I1038" s="55">
        <f>BI1038*Parameter!$B$18</f>
        <v/>
      </c>
      <c r="J1038" s="56" t="n">
        <v>0.5</v>
      </c>
      <c r="K1038" s="57" t="n">
        <v>0</v>
      </c>
      <c r="L1038" s="55" t="n">
        <v>0</v>
      </c>
      <c r="M1038" s="55" t="n">
        <v>1</v>
      </c>
      <c r="N1038" s="58" t="n">
        <v>56</v>
      </c>
      <c r="O1038" s="53" t="inlineStr">
        <is>
          <t>LOSE</t>
        </is>
      </c>
      <c r="P1038" s="55" t="n"/>
      <c r="Q1038" s="59">
        <f>IF(BO1038=1,0,IFERROR(VLOOKUP(BM1038,'Gebinde-Kategorie'!$A$5:$G$45,6,0)+0,0))</f>
        <v/>
      </c>
      <c r="R1038" s="60" t="n"/>
      <c r="S1038" s="61" t="n"/>
      <c r="T1038" s="61" t="n"/>
      <c r="U1038" s="53">
        <f>IF(A1038="","",IF(IFERROR(VLOOKUP(D1038,Parameter!$A$35:$C$64,2,0),"Nein")="2+3",IF(ISNUMBER(SEARCH("grosser Artikel",BJ1038)),2,IFERROR(VLOOKUP(BM1038,Parameter!$F$35:$G$64,2,0),2)),IF(OR(IFERROR(VLOOKUP(D1038,Parameter!$A$35:$C$64,2,0),"Nein")="Nein",IFERROR(VLOOKUP(D1038,Parameter!$A$35:$C$64,2,0),"Nein")=""),"-",VLOOKUP(D1038,Parameter!$A$35:$C$64,2,0))))</f>
        <v/>
      </c>
      <c r="V1038" s="61" t="n"/>
      <c r="W1038" s="62" t="n"/>
      <c r="X1038" s="55">
        <f>AM1038</f>
        <v/>
      </c>
      <c r="Y1038" s="55">
        <f>MAX(AM1038,G1038)</f>
        <v/>
      </c>
      <c r="Z1038" s="63" t="n"/>
      <c r="AA1038" s="55">
        <f>IF(LEFT(Cockpit!$C$5,1)="A",G1038,IF(BT1038=1,BU1038,IF(LEFT(Cockpit!$C$5,1)="B",AE1038,MAX(AE1038,G1038))))</f>
        <v/>
      </c>
      <c r="AB1038" s="55">
        <f>IF(BO1038=1,0,ROUNDUP(AA1038/BN1038,0))</f>
        <v/>
      </c>
      <c r="AC1038" s="64">
        <f>IF(BO1038=1,IF(AA1038&lt;=0,0,BP1038*MAX(1,IF(G1038&gt;0,AA1038/G1038,1))),AB1038*Q1038)</f>
        <v/>
      </c>
      <c r="AD1038" s="55">
        <f>AA1038*F1038</f>
        <v/>
      </c>
      <c r="AE1038" s="55">
        <f>ROUNDUP(MAX(I1038/IF(BS1038&gt;0,BS1038,MAX(0.1,N(Cockpit!$C$6))),BV1038)/BN1038,0)*BN1038</f>
        <v/>
      </c>
      <c r="AF1038" s="56">
        <f>IF(AC1038&gt;0,I1038/AC1038,-1)</f>
        <v/>
      </c>
      <c r="AG1038" s="56">
        <f>IF(AND(OR(BR1038="L1",BR1038="L23"),AC1038&gt;0),SUMIFS($AC$7:$AC$1570,$BR$7:$BR$1570,BR1038,$AF$7:$AF$1570,"&gt;"&amp;AF1038)+SUMIFS($AC$7:$AC$1570,$BR$7:$BR$1570,BR1038,$AF$7:$AF$1570,AF1038,$BL$7:$BL$1570,"&lt;="&amp;BL1038),"")</f>
        <v/>
      </c>
      <c r="AH1038" s="65">
        <f>IF(AG1038="",0,MAX(0,MIN(1,(IF(BR1038="L1",Parameter!$K$5,Parameter!$K$6+Parameter!$K$7)-(AG1038-AC1038))/AC1038)))</f>
        <v/>
      </c>
      <c r="AI1038" s="55">
        <f>IF(LEFT(Cockpit!$I$5,1)="A",G1038,IF(BT1038=1,BU1038,IF(LEFT(Cockpit!$I$5,1)="B",AM1038,MAX(AM1038,G1038))))</f>
        <v/>
      </c>
      <c r="AJ1038" s="55">
        <f>IF(BO1038=1,0,ROUNDUP(AI1038/BN1038,0))</f>
        <v/>
      </c>
      <c r="AK1038" s="64">
        <f>IF(BO1038=1,IF(AI1038&lt;=0,0,BP1038*MAX(1,IF(G1038&gt;0,AI1038/G1038,1))),AJ1038*Q1038)</f>
        <v/>
      </c>
      <c r="AL1038" s="55">
        <f>AI1038*F1038</f>
        <v/>
      </c>
      <c r="AM1038" s="55">
        <f>ROUNDUP(MAX(I1038/IF(BS1038&gt;0,BS1038,MAX(0.1,N(Cockpit!$I$6))),BV1038)/BN1038,0)*BN1038</f>
        <v/>
      </c>
      <c r="AN1038" s="56">
        <f>IF(AK1038&gt;0,I1038/AK1038,-1)</f>
        <v/>
      </c>
      <c r="AO1038" s="56">
        <f>IF(AND(OR(BR1038="L1",BR1038="L23"),AK1038&gt;0),SUMIFS($AK$7:$AK$1570,$BR$7:$BR$1570,BR1038,$AN$7:$AN$1570,"&gt;"&amp;AN1038)+SUMIFS($AK$7:$AK$1570,$BR$7:$BR$1570,BR1038,$AN$7:$AN$1570,AN1038,$BL$7:$BL$1570,"&lt;="&amp;BL1038),"")</f>
        <v/>
      </c>
      <c r="AP1038" s="65">
        <f>IF(AO1038="",0,MAX(0,MIN(1,(IF(BR1038="L1",Parameter!$K$5,Parameter!$K$6+Parameter!$K$7)-(AO1038-AK1038))/AK1038)))</f>
        <v/>
      </c>
      <c r="AQ1038" s="55">
        <f>IF(LEFT(Cockpit!$O$5,1)="A",G1038,IF(BT1038=1,BU1038,IF(LEFT(Cockpit!$O$5,1)="B",AU1038,MAX(AU1038,G1038))))</f>
        <v/>
      </c>
      <c r="AR1038" s="55">
        <f>IF(BO1038=1,0,ROUNDUP(AQ1038/BN1038,0))</f>
        <v/>
      </c>
      <c r="AS1038" s="64">
        <f>IF(BO1038=1,IF(AQ1038&lt;=0,0,BP1038*MAX(1,IF(G1038&gt;0,AQ1038/G1038,1))),AR1038*Q1038)</f>
        <v/>
      </c>
      <c r="AT1038" s="55">
        <f>AQ1038*F1038</f>
        <v/>
      </c>
      <c r="AU1038" s="55">
        <f>ROUNDUP(MAX(I1038/IF(BS1038&gt;0,BS1038,MAX(0.1,N(Cockpit!$O$6))),BV1038)/BN1038,0)*BN1038</f>
        <v/>
      </c>
      <c r="AV1038" s="56">
        <f>IF(AS1038&gt;0,I1038/AS1038,-1)</f>
        <v/>
      </c>
      <c r="AW1038" s="56">
        <f>IF(AND(OR(BR1038="L1",BR1038="L23"),AS1038&gt;0),SUMIFS($AS$7:$AS$1570,$BR$7:$BR$1570,BR1038,$AV$7:$AV$1570,"&gt;"&amp;AV1038)+SUMIFS($AS$7:$AS$1570,$BR$7:$BR$1570,BR1038,$AV$7:$AV$1570,AV1038,$BL$7:$BL$1570,"&lt;="&amp;BL1038),"")</f>
        <v/>
      </c>
      <c r="AX1038" s="65">
        <f>IF(AW1038="",0,MAX(0,MIN(1,(IF(BR1038="L1",Parameter!$K$5,Parameter!$K$6+Parameter!$K$7)-(AW1038-AS1038))/AS1038)))</f>
        <v/>
      </c>
      <c r="AY1038" s="53">
        <f>IF(AC1038&lt;=0,"",IF(BR1038="Aussen","Aussenlager",IF(BR1038="-","Nicht im Lift",IF(AH1038&gt;=1,"Lift",IF(AH1038&lt;=0,"Aussenlager","teilweise")))))</f>
        <v/>
      </c>
      <c r="AZ1038" s="53">
        <f>IF(AK1038&lt;=0,"",IF(BR1038="Aussen","Aussenlager",IF(BR1038="-","Nicht im Lift",IF(AP1038&gt;=1,"Lift",IF(AP1038&lt;=0,"Aussenlager","teilweise")))))</f>
        <v/>
      </c>
      <c r="BA1038" s="53">
        <f>IF(AS1038&lt;=0,"",IF(BR1038="Aussen","Aussenlager",IF(BR1038="-","Nicht im Lift",IF(AX1038&gt;=1,"Lift",IF(AX1038&lt;=0,"Aussenlager","teilweise")))))</f>
        <v/>
      </c>
      <c r="BB1038" s="53">
        <f>IF(A1038="","",IF(BK1038=1,"Neu; ","")&amp;IF(AND(BK1038=0,BF1038&lt;0),"negativer Bestand (Export "&amp;BF1038&amp;"); ","")&amp;IF(I1038&lt;=0,"Kein Verbrauch; ","")&amp;IF(BO1038=1,"Lose – Fläche geschätzt; ","")&amp;IF(G1038&gt;AM1038,"Überbestand "&amp;ROUND(G1038-AM1038,0)&amp;" Stk / CHF "&amp;ROUND((G1038-AM1038)*F1038,0)&amp;"; ","")&amp;IF(AND(BT1038=1,BU1038&lt;BV1038),"MAX &lt; MB+LG; ","")&amp;IF(AND(BZ1038&gt;0,BY1038*10&gt;BZ1038),"zu hoch für Tablar; ","")&amp;IF(AND(BK1038=0,OR(BT1038=1,V1038&lt;&gt;"",S1038&lt;&gt;"",T1038&lt;&gt;"",W1038&lt;&gt;"")),"manuell übersteuert; ","")&amp;IF(AND(BO1038=0,Q1038=0),"Gebinde unbekannt; ","")&amp;IF(AND(BO1038=0,N(T1038)&lt;=0,N(P1038)&lt;=0),"Menge pro Gebinde fehlt (Ist = 1 Gebinde); ","")&amp;BJ1038)</f>
        <v/>
      </c>
      <c r="BC1038" s="53" t="n"/>
      <c r="BD1038" s="53" t="n"/>
      <c r="BE1038" s="61" t="n"/>
      <c r="BF1038" s="55" t="n">
        <v>-1</v>
      </c>
      <c r="BG1038" s="55" t="n">
        <v>1</v>
      </c>
      <c r="BH1038" s="54" t="n">
        <v>-133.51</v>
      </c>
      <c r="BI1038" s="55" t="n">
        <v>0</v>
      </c>
      <c r="BJ1038" s="53" t="inlineStr">
        <is>
          <t>Neu</t>
        </is>
      </c>
      <c r="BK1038" s="58" t="n">
        <v>0</v>
      </c>
      <c r="BL1038" s="58" t="n">
        <v>1038</v>
      </c>
      <c r="BM1038" s="53">
        <f>IF(S1038&lt;&gt;"",UPPER(TRIM(S1038)),IF(O1038="","LOSE",O1038))</f>
        <v/>
      </c>
      <c r="BN1038" s="55">
        <f>IF(BM1038="LOSE",1,IF(N(T1038)&gt;0,T1038,IF(N(P1038)&gt;0,P1038,MAX(1,G1038))))</f>
        <v/>
      </c>
      <c r="BO1038" s="58">
        <f>IF(BM1038="LOSE",1,0)</f>
        <v/>
      </c>
      <c r="BP1038" s="64">
        <f>IF(BO1038=0,0,IF(N(R1038)&gt;0,R1038,IFERROR(VLOOKUP(D1038,Parameter!$A$35:$C$64,3,0)+0,0)))</f>
        <v/>
      </c>
      <c r="BQ1038" s="53">
        <f>IF(V1038&lt;&gt;"",V1038,U1038)</f>
        <v/>
      </c>
      <c r="BR1038" s="53">
        <f>IF(BQ1038=1,"L1",IF(OR(BQ1038=2,BQ1038=3),"L23",IF(BQ1038="Aussen","Aussen","-")))</f>
        <v/>
      </c>
      <c r="BS1038" s="66">
        <f>IF(N(W1038)&gt;0,W1038,0)</f>
        <v/>
      </c>
      <c r="BT1038" s="58">
        <f>IF(ISNUMBER(Z1038),1,0)</f>
        <v/>
      </c>
      <c r="BU1038" s="55">
        <f>N(Z1038)</f>
        <v/>
      </c>
      <c r="BV1038" s="55">
        <f>N(L1038)+N(M1038)</f>
        <v/>
      </c>
      <c r="BW1038" s="55">
        <f>ROUNDUP(G1038/BN1038,0)</f>
        <v/>
      </c>
      <c r="BX1038" s="55">
        <f>ROUNDUP(BU1038/BN1038,0)</f>
        <v/>
      </c>
      <c r="BY1038" s="58">
        <f>IF(BO1038=1,0,IFERROR(VLOOKUP(BM1038,'Gebinde-Kategorie'!$A$5:$G$45,5,0)+0,0))</f>
        <v/>
      </c>
      <c r="BZ1038" s="58">
        <f>IFERROR(IF(OR(BQ1038=1,BQ1038=2,BQ1038=3),N(INDEX(Parameter!$I$5:$I$7,BQ1038)),0),0)</f>
        <v/>
      </c>
    </row>
    <row r="1039">
      <c r="A1039" s="53" t="inlineStr">
        <is>
          <t>005394</t>
        </is>
      </c>
      <c r="B1039" s="53" t="inlineStr">
        <is>
          <t>Inbusschlüssel lang</t>
        </is>
      </c>
      <c r="C1039" s="53" t="inlineStr">
        <is>
          <t>F</t>
        </is>
      </c>
      <c r="D1039" s="53" t="inlineStr">
        <is>
          <t>KTL</t>
        </is>
      </c>
      <c r="E1039" s="53" t="inlineStr">
        <is>
          <t>C</t>
        </is>
      </c>
      <c r="F1039" s="54" t="n">
        <v>19.2</v>
      </c>
      <c r="G1039" s="55">
        <f>MAX(0,IF(Parameter!$B$20="Jahresanfang 2025 + Export",BG1039+BF1039,BF1039))</f>
        <v/>
      </c>
      <c r="H1039" s="55">
        <f>G1039*F1039</f>
        <v/>
      </c>
      <c r="I1039" s="55">
        <f>BI1039*Parameter!$B$18</f>
        <v/>
      </c>
      <c r="J1039" s="56" t="n">
        <v>13</v>
      </c>
      <c r="K1039" s="57" t="n">
        <v>0.4615384615384616</v>
      </c>
      <c r="L1039" s="55" t="n">
        <v>0</v>
      </c>
      <c r="M1039" s="55" t="n">
        <v>5</v>
      </c>
      <c r="N1039" s="58" t="n">
        <v>31</v>
      </c>
      <c r="O1039" s="53" t="inlineStr">
        <is>
          <t>S33</t>
        </is>
      </c>
      <c r="P1039" s="55" t="n">
        <v>19</v>
      </c>
      <c r="Q1039" s="59">
        <f>IF(BO1039=1,0,IFERROR(VLOOKUP(BM1039,'Gebinde-Kategorie'!$A$5:$G$45,6,0)+0,0))</f>
        <v/>
      </c>
      <c r="R1039" s="60" t="n"/>
      <c r="S1039" s="61" t="n"/>
      <c r="T1039" s="61" t="n"/>
      <c r="U1039" s="53">
        <f>IF(A1039="","",IF(IFERROR(VLOOKUP(D1039,Parameter!$A$35:$C$64,2,0),"Nein")="2+3",IF(ISNUMBER(SEARCH("grosser Artikel",BJ1039)),2,IFERROR(VLOOKUP(BM1039,Parameter!$F$35:$G$64,2,0),2)),IF(OR(IFERROR(VLOOKUP(D1039,Parameter!$A$35:$C$64,2,0),"Nein")="Nein",IFERROR(VLOOKUP(D1039,Parameter!$A$35:$C$64,2,0),"Nein")=""),"-",VLOOKUP(D1039,Parameter!$A$35:$C$64,2,0))))</f>
        <v/>
      </c>
      <c r="V1039" s="61" t="n"/>
      <c r="W1039" s="62" t="n"/>
      <c r="X1039" s="55">
        <f>AM1039</f>
        <v/>
      </c>
      <c r="Y1039" s="55">
        <f>MAX(AM1039,G1039)</f>
        <v/>
      </c>
      <c r="Z1039" s="63" t="n"/>
      <c r="AA1039" s="55">
        <f>IF(LEFT(Cockpit!$C$5,1)="A",G1039,IF(BT1039=1,BU1039,IF(LEFT(Cockpit!$C$5,1)="B",AE1039,MAX(AE1039,G1039))))</f>
        <v/>
      </c>
      <c r="AB1039" s="55">
        <f>IF(BO1039=1,0,ROUNDUP(AA1039/BN1039,0))</f>
        <v/>
      </c>
      <c r="AC1039" s="64">
        <f>IF(BO1039=1,IF(AA1039&lt;=0,0,BP1039*MAX(1,IF(G1039&gt;0,AA1039/G1039,1))),AB1039*Q1039)</f>
        <v/>
      </c>
      <c r="AD1039" s="55">
        <f>AA1039*F1039</f>
        <v/>
      </c>
      <c r="AE1039" s="55">
        <f>ROUNDUP(MAX(I1039/IF(BS1039&gt;0,BS1039,MAX(0.1,N(Cockpit!$C$6))),BV1039)/BN1039,0)*BN1039</f>
        <v/>
      </c>
      <c r="AF1039" s="56">
        <f>IF(AC1039&gt;0,I1039/AC1039,-1)</f>
        <v/>
      </c>
      <c r="AG1039" s="56">
        <f>IF(AND(OR(BR1039="L1",BR1039="L23"),AC1039&gt;0),SUMIFS($AC$7:$AC$1570,$BR$7:$BR$1570,BR1039,$AF$7:$AF$1570,"&gt;"&amp;AF1039)+SUMIFS($AC$7:$AC$1570,$BR$7:$BR$1570,BR1039,$AF$7:$AF$1570,AF1039,$BL$7:$BL$1570,"&lt;="&amp;BL1039),"")</f>
        <v/>
      </c>
      <c r="AH1039" s="65">
        <f>IF(AG1039="",0,MAX(0,MIN(1,(IF(BR1039="L1",Parameter!$K$5,Parameter!$K$6+Parameter!$K$7)-(AG1039-AC1039))/AC1039)))</f>
        <v/>
      </c>
      <c r="AI1039" s="55">
        <f>IF(LEFT(Cockpit!$I$5,1)="A",G1039,IF(BT1039=1,BU1039,IF(LEFT(Cockpit!$I$5,1)="B",AM1039,MAX(AM1039,G1039))))</f>
        <v/>
      </c>
      <c r="AJ1039" s="55">
        <f>IF(BO1039=1,0,ROUNDUP(AI1039/BN1039,0))</f>
        <v/>
      </c>
      <c r="AK1039" s="64">
        <f>IF(BO1039=1,IF(AI1039&lt;=0,0,BP1039*MAX(1,IF(G1039&gt;0,AI1039/G1039,1))),AJ1039*Q1039)</f>
        <v/>
      </c>
      <c r="AL1039" s="55">
        <f>AI1039*F1039</f>
        <v/>
      </c>
      <c r="AM1039" s="55">
        <f>ROUNDUP(MAX(I1039/IF(BS1039&gt;0,BS1039,MAX(0.1,N(Cockpit!$I$6))),BV1039)/BN1039,0)*BN1039</f>
        <v/>
      </c>
      <c r="AN1039" s="56">
        <f>IF(AK1039&gt;0,I1039/AK1039,-1)</f>
        <v/>
      </c>
      <c r="AO1039" s="56">
        <f>IF(AND(OR(BR1039="L1",BR1039="L23"),AK1039&gt;0),SUMIFS($AK$7:$AK$1570,$BR$7:$BR$1570,BR1039,$AN$7:$AN$1570,"&gt;"&amp;AN1039)+SUMIFS($AK$7:$AK$1570,$BR$7:$BR$1570,BR1039,$AN$7:$AN$1570,AN1039,$BL$7:$BL$1570,"&lt;="&amp;BL1039),"")</f>
        <v/>
      </c>
      <c r="AP1039" s="65">
        <f>IF(AO1039="",0,MAX(0,MIN(1,(IF(BR1039="L1",Parameter!$K$5,Parameter!$K$6+Parameter!$K$7)-(AO1039-AK1039))/AK1039)))</f>
        <v/>
      </c>
      <c r="AQ1039" s="55">
        <f>IF(LEFT(Cockpit!$O$5,1)="A",G1039,IF(BT1039=1,BU1039,IF(LEFT(Cockpit!$O$5,1)="B",AU1039,MAX(AU1039,G1039))))</f>
        <v/>
      </c>
      <c r="AR1039" s="55">
        <f>IF(BO1039=1,0,ROUNDUP(AQ1039/BN1039,0))</f>
        <v/>
      </c>
      <c r="AS1039" s="64">
        <f>IF(BO1039=1,IF(AQ1039&lt;=0,0,BP1039*MAX(1,IF(G1039&gt;0,AQ1039/G1039,1))),AR1039*Q1039)</f>
        <v/>
      </c>
      <c r="AT1039" s="55">
        <f>AQ1039*F1039</f>
        <v/>
      </c>
      <c r="AU1039" s="55">
        <f>ROUNDUP(MAX(I1039/IF(BS1039&gt;0,BS1039,MAX(0.1,N(Cockpit!$O$6))),BV1039)/BN1039,0)*BN1039</f>
        <v/>
      </c>
      <c r="AV1039" s="56">
        <f>IF(AS1039&gt;0,I1039/AS1039,-1)</f>
        <v/>
      </c>
      <c r="AW1039" s="56">
        <f>IF(AND(OR(BR1039="L1",BR1039="L23"),AS1039&gt;0),SUMIFS($AS$7:$AS$1570,$BR$7:$BR$1570,BR1039,$AV$7:$AV$1570,"&gt;"&amp;AV1039)+SUMIFS($AS$7:$AS$1570,$BR$7:$BR$1570,BR1039,$AV$7:$AV$1570,AV1039,$BL$7:$BL$1570,"&lt;="&amp;BL1039),"")</f>
        <v/>
      </c>
      <c r="AX1039" s="65">
        <f>IF(AW1039="",0,MAX(0,MIN(1,(IF(BR1039="L1",Parameter!$K$5,Parameter!$K$6+Parameter!$K$7)-(AW1039-AS1039))/AS1039)))</f>
        <v/>
      </c>
      <c r="AY1039" s="53">
        <f>IF(AC1039&lt;=0,"",IF(BR1039="Aussen","Aussenlager",IF(BR1039="-","Nicht im Lift",IF(AH1039&gt;=1,"Lift",IF(AH1039&lt;=0,"Aussenlager","teilweise")))))</f>
        <v/>
      </c>
      <c r="AZ1039" s="53">
        <f>IF(AK1039&lt;=0,"",IF(BR1039="Aussen","Aussenlager",IF(BR1039="-","Nicht im Lift",IF(AP1039&gt;=1,"Lift",IF(AP1039&lt;=0,"Aussenlager","teilweise")))))</f>
        <v/>
      </c>
      <c r="BA1039" s="53">
        <f>IF(AS1039&lt;=0,"",IF(BR1039="Aussen","Aussenlager",IF(BR1039="-","Nicht im Lift",IF(AX1039&gt;=1,"Lift",IF(AX1039&lt;=0,"Aussenlager","teilweise")))))</f>
        <v/>
      </c>
      <c r="BB1039" s="53">
        <f>IF(A1039="","",IF(BK1039=1,"Neu; ","")&amp;IF(AND(BK1039=0,BF1039&lt;0),"negativer Bestand (Export "&amp;BF1039&amp;"); ","")&amp;IF(I1039&lt;=0,"Kein Verbrauch; ","")&amp;IF(BO1039=1,"Lose – Fläche geschätzt; ","")&amp;IF(G1039&gt;AM1039,"Überbestand "&amp;ROUND(G1039-AM1039,0)&amp;" Stk / CHF "&amp;ROUND((G1039-AM1039)*F1039,0)&amp;"; ","")&amp;IF(AND(BT1039=1,BU1039&lt;BV1039),"MAX &lt; MB+LG; ","")&amp;IF(AND(BZ1039&gt;0,BY1039*10&gt;BZ1039),"zu hoch für Tablar; ","")&amp;IF(AND(BK1039=0,OR(BT1039=1,V1039&lt;&gt;"",S1039&lt;&gt;"",T1039&lt;&gt;"",W1039&lt;&gt;"")),"manuell übersteuert; ","")&amp;IF(AND(BO1039=0,Q1039=0),"Gebinde unbekannt; ","")&amp;IF(AND(BO1039=0,N(T1039)&lt;=0,N(P1039)&lt;=0),"Menge pro Gebinde fehlt (Ist = 1 Gebinde); ","")&amp;BJ1039)</f>
        <v/>
      </c>
      <c r="BC1039" s="53" t="n"/>
      <c r="BD1039" s="53" t="n"/>
      <c r="BE1039" s="61" t="n"/>
      <c r="BF1039" s="55" t="n">
        <v>-7</v>
      </c>
      <c r="BG1039" s="55" t="n">
        <v>16</v>
      </c>
      <c r="BH1039" s="54" t="n">
        <v>-134.4</v>
      </c>
      <c r="BI1039" s="55" t="n">
        <v>6</v>
      </c>
      <c r="BJ1039" s="53" t="inlineStr">
        <is>
          <t>Überbestand</t>
        </is>
      </c>
      <c r="BK1039" s="58" t="n">
        <v>0</v>
      </c>
      <c r="BL1039" s="58" t="n">
        <v>1039</v>
      </c>
      <c r="BM1039" s="53">
        <f>IF(S1039&lt;&gt;"",UPPER(TRIM(S1039)),IF(O1039="","LOSE",O1039))</f>
        <v/>
      </c>
      <c r="BN1039" s="55">
        <f>IF(BM1039="LOSE",1,IF(N(T1039)&gt;0,T1039,IF(N(P1039)&gt;0,P1039,MAX(1,G1039))))</f>
        <v/>
      </c>
      <c r="BO1039" s="58">
        <f>IF(BM1039="LOSE",1,0)</f>
        <v/>
      </c>
      <c r="BP1039" s="64">
        <f>IF(BO1039=0,0,IF(N(R1039)&gt;0,R1039,IFERROR(VLOOKUP(D1039,Parameter!$A$35:$C$64,3,0)+0,0)))</f>
        <v/>
      </c>
      <c r="BQ1039" s="53">
        <f>IF(V1039&lt;&gt;"",V1039,U1039)</f>
        <v/>
      </c>
      <c r="BR1039" s="53">
        <f>IF(BQ1039=1,"L1",IF(OR(BQ1039=2,BQ1039=3),"L23",IF(BQ1039="Aussen","Aussen","-")))</f>
        <v/>
      </c>
      <c r="BS1039" s="66">
        <f>IF(N(W1039)&gt;0,W1039,0)</f>
        <v/>
      </c>
      <c r="BT1039" s="58">
        <f>IF(ISNUMBER(Z1039),1,0)</f>
        <v/>
      </c>
      <c r="BU1039" s="55">
        <f>N(Z1039)</f>
        <v/>
      </c>
      <c r="BV1039" s="55">
        <f>N(L1039)+N(M1039)</f>
        <v/>
      </c>
      <c r="BW1039" s="55">
        <f>ROUNDUP(G1039/BN1039,0)</f>
        <v/>
      </c>
      <c r="BX1039" s="55">
        <f>ROUNDUP(BU1039/BN1039,0)</f>
        <v/>
      </c>
      <c r="BY1039" s="58">
        <f>IF(BO1039=1,0,IFERROR(VLOOKUP(BM1039,'Gebinde-Kategorie'!$A$5:$G$45,5,0)+0,0))</f>
        <v/>
      </c>
      <c r="BZ1039" s="58">
        <f>IFERROR(IF(OR(BQ1039=1,BQ1039=2,BQ1039=3),N(INDEX(Parameter!$I$5:$I$7,BQ1039)),0),0)</f>
        <v/>
      </c>
    </row>
    <row r="1040">
      <c r="A1040" s="53" t="inlineStr">
        <is>
          <t>106861</t>
        </is>
      </c>
      <c r="B1040" s="53" t="inlineStr">
        <is>
          <t>Schlauchnippel</t>
        </is>
      </c>
      <c r="C1040" s="53" t="inlineStr">
        <is>
          <t>F</t>
        </is>
      </c>
      <c r="D1040" s="53" t="inlineStr">
        <is>
          <t>KTL</t>
        </is>
      </c>
      <c r="E1040" s="53" t="inlineStr">
        <is>
          <t>C</t>
        </is>
      </c>
      <c r="F1040" s="54" t="n">
        <v>11.25</v>
      </c>
      <c r="G1040" s="55">
        <f>MAX(0,IF(Parameter!$B$20="Jahresanfang 2025 + Export",BG1040+BF1040,BF1040))</f>
        <v/>
      </c>
      <c r="H1040" s="55">
        <f>G1040*F1040</f>
        <v/>
      </c>
      <c r="I1040" s="55">
        <f>BI1040*Parameter!$B$18</f>
        <v/>
      </c>
      <c r="J1040" s="56" t="n">
        <v>80.5</v>
      </c>
      <c r="K1040" s="57" t="n">
        <v>0.03726708074534162</v>
      </c>
      <c r="L1040" s="55" t="n">
        <v>0</v>
      </c>
      <c r="M1040" s="55" t="n">
        <v>5</v>
      </c>
      <c r="N1040" s="58" t="n">
        <v>21</v>
      </c>
      <c r="O1040" s="53" t="inlineStr">
        <is>
          <t>S32</t>
        </is>
      </c>
      <c r="P1040" s="55" t="n">
        <v>83</v>
      </c>
      <c r="Q1040" s="59">
        <f>IF(BO1040=1,0,IFERROR(VLOOKUP(BM1040,'Gebinde-Kategorie'!$A$5:$G$45,6,0)+0,0))</f>
        <v/>
      </c>
      <c r="R1040" s="60" t="n"/>
      <c r="S1040" s="61" t="n"/>
      <c r="T1040" s="61" t="n"/>
      <c r="U1040" s="53">
        <f>IF(A1040="","",IF(IFERROR(VLOOKUP(D1040,Parameter!$A$35:$C$64,2,0),"Nein")="2+3",IF(ISNUMBER(SEARCH("grosser Artikel",BJ1040)),2,IFERROR(VLOOKUP(BM1040,Parameter!$F$35:$G$64,2,0),2)),IF(OR(IFERROR(VLOOKUP(D1040,Parameter!$A$35:$C$64,2,0),"Nein")="Nein",IFERROR(VLOOKUP(D1040,Parameter!$A$35:$C$64,2,0),"Nein")=""),"-",VLOOKUP(D1040,Parameter!$A$35:$C$64,2,0))))</f>
        <v/>
      </c>
      <c r="V1040" s="61" t="n"/>
      <c r="W1040" s="62" t="n"/>
      <c r="X1040" s="55">
        <f>AM1040</f>
        <v/>
      </c>
      <c r="Y1040" s="55">
        <f>MAX(AM1040,G1040)</f>
        <v/>
      </c>
      <c r="Z1040" s="63" t="n"/>
      <c r="AA1040" s="55">
        <f>IF(LEFT(Cockpit!$C$5,1)="A",G1040,IF(BT1040=1,BU1040,IF(LEFT(Cockpit!$C$5,1)="B",AE1040,MAX(AE1040,G1040))))</f>
        <v/>
      </c>
      <c r="AB1040" s="55">
        <f>IF(BO1040=1,0,ROUNDUP(AA1040/BN1040,0))</f>
        <v/>
      </c>
      <c r="AC1040" s="64">
        <f>IF(BO1040=1,IF(AA1040&lt;=0,0,BP1040*MAX(1,IF(G1040&gt;0,AA1040/G1040,1))),AB1040*Q1040)</f>
        <v/>
      </c>
      <c r="AD1040" s="55">
        <f>AA1040*F1040</f>
        <v/>
      </c>
      <c r="AE1040" s="55">
        <f>ROUNDUP(MAX(I1040/IF(BS1040&gt;0,BS1040,MAX(0.1,N(Cockpit!$C$6))),BV1040)/BN1040,0)*BN1040</f>
        <v/>
      </c>
      <c r="AF1040" s="56">
        <f>IF(AC1040&gt;0,I1040/AC1040,-1)</f>
        <v/>
      </c>
      <c r="AG1040" s="56">
        <f>IF(AND(OR(BR1040="L1",BR1040="L23"),AC1040&gt;0),SUMIFS($AC$7:$AC$1570,$BR$7:$BR$1570,BR1040,$AF$7:$AF$1570,"&gt;"&amp;AF1040)+SUMIFS($AC$7:$AC$1570,$BR$7:$BR$1570,BR1040,$AF$7:$AF$1570,AF1040,$BL$7:$BL$1570,"&lt;="&amp;BL1040),"")</f>
        <v/>
      </c>
      <c r="AH1040" s="65">
        <f>IF(AG1040="",0,MAX(0,MIN(1,(IF(BR1040="L1",Parameter!$K$5,Parameter!$K$6+Parameter!$K$7)-(AG1040-AC1040))/AC1040)))</f>
        <v/>
      </c>
      <c r="AI1040" s="55">
        <f>IF(LEFT(Cockpit!$I$5,1)="A",G1040,IF(BT1040=1,BU1040,IF(LEFT(Cockpit!$I$5,1)="B",AM1040,MAX(AM1040,G1040))))</f>
        <v/>
      </c>
      <c r="AJ1040" s="55">
        <f>IF(BO1040=1,0,ROUNDUP(AI1040/BN1040,0))</f>
        <v/>
      </c>
      <c r="AK1040" s="64">
        <f>IF(BO1040=1,IF(AI1040&lt;=0,0,BP1040*MAX(1,IF(G1040&gt;0,AI1040/G1040,1))),AJ1040*Q1040)</f>
        <v/>
      </c>
      <c r="AL1040" s="55">
        <f>AI1040*F1040</f>
        <v/>
      </c>
      <c r="AM1040" s="55">
        <f>ROUNDUP(MAX(I1040/IF(BS1040&gt;0,BS1040,MAX(0.1,N(Cockpit!$I$6))),BV1040)/BN1040,0)*BN1040</f>
        <v/>
      </c>
      <c r="AN1040" s="56">
        <f>IF(AK1040&gt;0,I1040/AK1040,-1)</f>
        <v/>
      </c>
      <c r="AO1040" s="56">
        <f>IF(AND(OR(BR1040="L1",BR1040="L23"),AK1040&gt;0),SUMIFS($AK$7:$AK$1570,$BR$7:$BR$1570,BR1040,$AN$7:$AN$1570,"&gt;"&amp;AN1040)+SUMIFS($AK$7:$AK$1570,$BR$7:$BR$1570,BR1040,$AN$7:$AN$1570,AN1040,$BL$7:$BL$1570,"&lt;="&amp;BL1040),"")</f>
        <v/>
      </c>
      <c r="AP1040" s="65">
        <f>IF(AO1040="",0,MAX(0,MIN(1,(IF(BR1040="L1",Parameter!$K$5,Parameter!$K$6+Parameter!$K$7)-(AO1040-AK1040))/AK1040)))</f>
        <v/>
      </c>
      <c r="AQ1040" s="55">
        <f>IF(LEFT(Cockpit!$O$5,1)="A",G1040,IF(BT1040=1,BU1040,IF(LEFT(Cockpit!$O$5,1)="B",AU1040,MAX(AU1040,G1040))))</f>
        <v/>
      </c>
      <c r="AR1040" s="55">
        <f>IF(BO1040=1,0,ROUNDUP(AQ1040/BN1040,0))</f>
        <v/>
      </c>
      <c r="AS1040" s="64">
        <f>IF(BO1040=1,IF(AQ1040&lt;=0,0,BP1040*MAX(1,IF(G1040&gt;0,AQ1040/G1040,1))),AR1040*Q1040)</f>
        <v/>
      </c>
      <c r="AT1040" s="55">
        <f>AQ1040*F1040</f>
        <v/>
      </c>
      <c r="AU1040" s="55">
        <f>ROUNDUP(MAX(I1040/IF(BS1040&gt;0,BS1040,MAX(0.1,N(Cockpit!$O$6))),BV1040)/BN1040,0)*BN1040</f>
        <v/>
      </c>
      <c r="AV1040" s="56">
        <f>IF(AS1040&gt;0,I1040/AS1040,-1)</f>
        <v/>
      </c>
      <c r="AW1040" s="56">
        <f>IF(AND(OR(BR1040="L1",BR1040="L23"),AS1040&gt;0),SUMIFS($AS$7:$AS$1570,$BR$7:$BR$1570,BR1040,$AV$7:$AV$1570,"&gt;"&amp;AV1040)+SUMIFS($AS$7:$AS$1570,$BR$7:$BR$1570,BR1040,$AV$7:$AV$1570,AV1040,$BL$7:$BL$1570,"&lt;="&amp;BL1040),"")</f>
        <v/>
      </c>
      <c r="AX1040" s="65">
        <f>IF(AW1040="",0,MAX(0,MIN(1,(IF(BR1040="L1",Parameter!$K$5,Parameter!$K$6+Parameter!$K$7)-(AW1040-AS1040))/AS1040)))</f>
        <v/>
      </c>
      <c r="AY1040" s="53">
        <f>IF(AC1040&lt;=0,"",IF(BR1040="Aussen","Aussenlager",IF(BR1040="-","Nicht im Lift",IF(AH1040&gt;=1,"Lift",IF(AH1040&lt;=0,"Aussenlager","teilweise")))))</f>
        <v/>
      </c>
      <c r="AZ1040" s="53">
        <f>IF(AK1040&lt;=0,"",IF(BR1040="Aussen","Aussenlager",IF(BR1040="-","Nicht im Lift",IF(AP1040&gt;=1,"Lift",IF(AP1040&lt;=0,"Aussenlager","teilweise")))))</f>
        <v/>
      </c>
      <c r="BA1040" s="53">
        <f>IF(AS1040&lt;=0,"",IF(BR1040="Aussen","Aussenlager",IF(BR1040="-","Nicht im Lift",IF(AX1040&gt;=1,"Lift",IF(AX1040&lt;=0,"Aussenlager","teilweise")))))</f>
        <v/>
      </c>
      <c r="BB1040" s="53">
        <f>IF(A1040="","",IF(BK1040=1,"Neu; ","")&amp;IF(AND(BK1040=0,BF1040&lt;0),"negativer Bestand (Export "&amp;BF1040&amp;"); ","")&amp;IF(I1040&lt;=0,"Kein Verbrauch; ","")&amp;IF(BO1040=1,"Lose – Fläche geschätzt; ","")&amp;IF(G1040&gt;AM1040,"Überbestand "&amp;ROUND(G1040-AM1040,0)&amp;" Stk / CHF "&amp;ROUND((G1040-AM1040)*F1040,0)&amp;"; ","")&amp;IF(AND(BT1040=1,BU1040&lt;BV1040),"MAX &lt; MB+LG; ","")&amp;IF(AND(BZ1040&gt;0,BY1040*10&gt;BZ1040),"zu hoch für Tablar; ","")&amp;IF(AND(BK1040=0,OR(BT1040=1,V1040&lt;&gt;"",S1040&lt;&gt;"",T1040&lt;&gt;"",W1040&lt;&gt;"")),"manuell übersteuert; ","")&amp;IF(AND(BO1040=0,Q1040=0),"Gebinde unbekannt; ","")&amp;IF(AND(BO1040=0,N(T1040)&lt;=0,N(P1040)&lt;=0),"Menge pro Gebinde fehlt (Ist = 1 Gebinde); ","")&amp;BJ1040)</f>
        <v/>
      </c>
      <c r="BC1040" s="53" t="n"/>
      <c r="BD1040" s="53" t="n"/>
      <c r="BE1040" s="61" t="n"/>
      <c r="BF1040" s="55" t="n">
        <v>-12</v>
      </c>
      <c r="BG1040" s="55" t="n">
        <v>82</v>
      </c>
      <c r="BH1040" s="54" t="n">
        <v>-135</v>
      </c>
      <c r="BI1040" s="55" t="n">
        <v>3</v>
      </c>
      <c r="BJ1040" s="53" t="inlineStr">
        <is>
          <t>Überbestand</t>
        </is>
      </c>
      <c r="BK1040" s="58" t="n">
        <v>0</v>
      </c>
      <c r="BL1040" s="58" t="n">
        <v>1040</v>
      </c>
      <c r="BM1040" s="53">
        <f>IF(S1040&lt;&gt;"",UPPER(TRIM(S1040)),IF(O1040="","LOSE",O1040))</f>
        <v/>
      </c>
      <c r="BN1040" s="55">
        <f>IF(BM1040="LOSE",1,IF(N(T1040)&gt;0,T1040,IF(N(P1040)&gt;0,P1040,MAX(1,G1040))))</f>
        <v/>
      </c>
      <c r="BO1040" s="58">
        <f>IF(BM1040="LOSE",1,0)</f>
        <v/>
      </c>
      <c r="BP1040" s="64">
        <f>IF(BO1040=0,0,IF(N(R1040)&gt;0,R1040,IFERROR(VLOOKUP(D1040,Parameter!$A$35:$C$64,3,0)+0,0)))</f>
        <v/>
      </c>
      <c r="BQ1040" s="53">
        <f>IF(V1040&lt;&gt;"",V1040,U1040)</f>
        <v/>
      </c>
      <c r="BR1040" s="53">
        <f>IF(BQ1040=1,"L1",IF(OR(BQ1040=2,BQ1040=3),"L23",IF(BQ1040="Aussen","Aussen","-")))</f>
        <v/>
      </c>
      <c r="BS1040" s="66">
        <f>IF(N(W1040)&gt;0,W1040,0)</f>
        <v/>
      </c>
      <c r="BT1040" s="58">
        <f>IF(ISNUMBER(Z1040),1,0)</f>
        <v/>
      </c>
      <c r="BU1040" s="55">
        <f>N(Z1040)</f>
        <v/>
      </c>
      <c r="BV1040" s="55">
        <f>N(L1040)+N(M1040)</f>
        <v/>
      </c>
      <c r="BW1040" s="55">
        <f>ROUNDUP(G1040/BN1040,0)</f>
        <v/>
      </c>
      <c r="BX1040" s="55">
        <f>ROUNDUP(BU1040/BN1040,0)</f>
        <v/>
      </c>
      <c r="BY1040" s="58">
        <f>IF(BO1040=1,0,IFERROR(VLOOKUP(BM1040,'Gebinde-Kategorie'!$A$5:$G$45,5,0)+0,0))</f>
        <v/>
      </c>
      <c r="BZ1040" s="58">
        <f>IFERROR(IF(OR(BQ1040=1,BQ1040=2,BQ1040=3),N(INDEX(Parameter!$I$5:$I$7,BQ1040)),0),0)</f>
        <v/>
      </c>
    </row>
    <row r="1041">
      <c r="A1041" s="53" t="inlineStr">
        <is>
          <t>108033</t>
        </is>
      </c>
      <c r="B1041" s="53" t="inlineStr">
        <is>
          <t>Tüllengehäuse</t>
        </is>
      </c>
      <c r="C1041" s="53" t="inlineStr">
        <is>
          <t>F</t>
        </is>
      </c>
      <c r="D1041" s="53" t="inlineStr">
        <is>
          <t>KTL</t>
        </is>
      </c>
      <c r="E1041" s="53" t="inlineStr">
        <is>
          <t>C</t>
        </is>
      </c>
      <c r="F1041" s="54" t="n">
        <v>11.4</v>
      </c>
      <c r="G1041" s="55">
        <f>MAX(0,IF(Parameter!$B$20="Jahresanfang 2025 + Export",BG1041+BF1041,BF1041))</f>
        <v/>
      </c>
      <c r="H1041" s="55">
        <f>G1041*F1041</f>
        <v/>
      </c>
      <c r="I1041" s="55">
        <f>BI1041*Parameter!$B$18</f>
        <v/>
      </c>
      <c r="J1041" s="56" t="n">
        <v>65</v>
      </c>
      <c r="K1041" s="57" t="n">
        <v>2.353846153846154</v>
      </c>
      <c r="L1041" s="55" t="n">
        <v>17</v>
      </c>
      <c r="M1041" s="55" t="n">
        <v>50</v>
      </c>
      <c r="N1041" s="58" t="n">
        <v>42</v>
      </c>
      <c r="O1041" s="53" t="inlineStr">
        <is>
          <t>S62</t>
        </is>
      </c>
      <c r="P1041" s="55" t="n">
        <v>101</v>
      </c>
      <c r="Q1041" s="59">
        <f>IF(BO1041=1,0,IFERROR(VLOOKUP(BM1041,'Gebinde-Kategorie'!$A$5:$G$45,6,0)+0,0))</f>
        <v/>
      </c>
      <c r="R1041" s="60" t="n"/>
      <c r="S1041" s="61" t="n"/>
      <c r="T1041" s="61" t="n"/>
      <c r="U1041" s="53">
        <f>IF(A1041="","",IF(IFERROR(VLOOKUP(D1041,Parameter!$A$35:$C$64,2,0),"Nein")="2+3",IF(ISNUMBER(SEARCH("grosser Artikel",BJ1041)),2,IFERROR(VLOOKUP(BM1041,Parameter!$F$35:$G$64,2,0),2)),IF(OR(IFERROR(VLOOKUP(D1041,Parameter!$A$35:$C$64,2,0),"Nein")="Nein",IFERROR(VLOOKUP(D1041,Parameter!$A$35:$C$64,2,0),"Nein")=""),"-",VLOOKUP(D1041,Parameter!$A$35:$C$64,2,0))))</f>
        <v/>
      </c>
      <c r="V1041" s="61" t="n"/>
      <c r="W1041" s="62" t="n"/>
      <c r="X1041" s="55">
        <f>AM1041</f>
        <v/>
      </c>
      <c r="Y1041" s="55">
        <f>MAX(AM1041,G1041)</f>
        <v/>
      </c>
      <c r="Z1041" s="63" t="n"/>
      <c r="AA1041" s="55">
        <f>IF(LEFT(Cockpit!$C$5,1)="A",G1041,IF(BT1041=1,BU1041,IF(LEFT(Cockpit!$C$5,1)="B",AE1041,MAX(AE1041,G1041))))</f>
        <v/>
      </c>
      <c r="AB1041" s="55">
        <f>IF(BO1041=1,0,ROUNDUP(AA1041/BN1041,0))</f>
        <v/>
      </c>
      <c r="AC1041" s="64">
        <f>IF(BO1041=1,IF(AA1041&lt;=0,0,BP1041*MAX(1,IF(G1041&gt;0,AA1041/G1041,1))),AB1041*Q1041)</f>
        <v/>
      </c>
      <c r="AD1041" s="55">
        <f>AA1041*F1041</f>
        <v/>
      </c>
      <c r="AE1041" s="55">
        <f>ROUNDUP(MAX(I1041/IF(BS1041&gt;0,BS1041,MAX(0.1,N(Cockpit!$C$6))),BV1041)/BN1041,0)*BN1041</f>
        <v/>
      </c>
      <c r="AF1041" s="56">
        <f>IF(AC1041&gt;0,I1041/AC1041,-1)</f>
        <v/>
      </c>
      <c r="AG1041" s="56">
        <f>IF(AND(OR(BR1041="L1",BR1041="L23"),AC1041&gt;0),SUMIFS($AC$7:$AC$1570,$BR$7:$BR$1570,BR1041,$AF$7:$AF$1570,"&gt;"&amp;AF1041)+SUMIFS($AC$7:$AC$1570,$BR$7:$BR$1570,BR1041,$AF$7:$AF$1570,AF1041,$BL$7:$BL$1570,"&lt;="&amp;BL1041),"")</f>
        <v/>
      </c>
      <c r="AH1041" s="65">
        <f>IF(AG1041="",0,MAX(0,MIN(1,(IF(BR1041="L1",Parameter!$K$5,Parameter!$K$6+Parameter!$K$7)-(AG1041-AC1041))/AC1041)))</f>
        <v/>
      </c>
      <c r="AI1041" s="55">
        <f>IF(LEFT(Cockpit!$I$5,1)="A",G1041,IF(BT1041=1,BU1041,IF(LEFT(Cockpit!$I$5,1)="B",AM1041,MAX(AM1041,G1041))))</f>
        <v/>
      </c>
      <c r="AJ1041" s="55">
        <f>IF(BO1041=1,0,ROUNDUP(AI1041/BN1041,0))</f>
        <v/>
      </c>
      <c r="AK1041" s="64">
        <f>IF(BO1041=1,IF(AI1041&lt;=0,0,BP1041*MAX(1,IF(G1041&gt;0,AI1041/G1041,1))),AJ1041*Q1041)</f>
        <v/>
      </c>
      <c r="AL1041" s="55">
        <f>AI1041*F1041</f>
        <v/>
      </c>
      <c r="AM1041" s="55">
        <f>ROUNDUP(MAX(I1041/IF(BS1041&gt;0,BS1041,MAX(0.1,N(Cockpit!$I$6))),BV1041)/BN1041,0)*BN1041</f>
        <v/>
      </c>
      <c r="AN1041" s="56">
        <f>IF(AK1041&gt;0,I1041/AK1041,-1)</f>
        <v/>
      </c>
      <c r="AO1041" s="56">
        <f>IF(AND(OR(BR1041="L1",BR1041="L23"),AK1041&gt;0),SUMIFS($AK$7:$AK$1570,$BR$7:$BR$1570,BR1041,$AN$7:$AN$1570,"&gt;"&amp;AN1041)+SUMIFS($AK$7:$AK$1570,$BR$7:$BR$1570,BR1041,$AN$7:$AN$1570,AN1041,$BL$7:$BL$1570,"&lt;="&amp;BL1041),"")</f>
        <v/>
      </c>
      <c r="AP1041" s="65">
        <f>IF(AO1041="",0,MAX(0,MIN(1,(IF(BR1041="L1",Parameter!$K$5,Parameter!$K$6+Parameter!$K$7)-(AO1041-AK1041))/AK1041)))</f>
        <v/>
      </c>
      <c r="AQ1041" s="55">
        <f>IF(LEFT(Cockpit!$O$5,1)="A",G1041,IF(BT1041=1,BU1041,IF(LEFT(Cockpit!$O$5,1)="B",AU1041,MAX(AU1041,G1041))))</f>
        <v/>
      </c>
      <c r="AR1041" s="55">
        <f>IF(BO1041=1,0,ROUNDUP(AQ1041/BN1041,0))</f>
        <v/>
      </c>
      <c r="AS1041" s="64">
        <f>IF(BO1041=1,IF(AQ1041&lt;=0,0,BP1041*MAX(1,IF(G1041&gt;0,AQ1041/G1041,1))),AR1041*Q1041)</f>
        <v/>
      </c>
      <c r="AT1041" s="55">
        <f>AQ1041*F1041</f>
        <v/>
      </c>
      <c r="AU1041" s="55">
        <f>ROUNDUP(MAX(I1041/IF(BS1041&gt;0,BS1041,MAX(0.1,N(Cockpit!$O$6))),BV1041)/BN1041,0)*BN1041</f>
        <v/>
      </c>
      <c r="AV1041" s="56">
        <f>IF(AS1041&gt;0,I1041/AS1041,-1)</f>
        <v/>
      </c>
      <c r="AW1041" s="56">
        <f>IF(AND(OR(BR1041="L1",BR1041="L23"),AS1041&gt;0),SUMIFS($AS$7:$AS$1570,$BR$7:$BR$1570,BR1041,$AV$7:$AV$1570,"&gt;"&amp;AV1041)+SUMIFS($AS$7:$AS$1570,$BR$7:$BR$1570,BR1041,$AV$7:$AV$1570,AV1041,$BL$7:$BL$1570,"&lt;="&amp;BL1041),"")</f>
        <v/>
      </c>
      <c r="AX1041" s="65">
        <f>IF(AW1041="",0,MAX(0,MIN(1,(IF(BR1041="L1",Parameter!$K$5,Parameter!$K$6+Parameter!$K$7)-(AW1041-AS1041))/AS1041)))</f>
        <v/>
      </c>
      <c r="AY1041" s="53">
        <f>IF(AC1041&lt;=0,"",IF(BR1041="Aussen","Aussenlager",IF(BR1041="-","Nicht im Lift",IF(AH1041&gt;=1,"Lift",IF(AH1041&lt;=0,"Aussenlager","teilweise")))))</f>
        <v/>
      </c>
      <c r="AZ1041" s="53">
        <f>IF(AK1041&lt;=0,"",IF(BR1041="Aussen","Aussenlager",IF(BR1041="-","Nicht im Lift",IF(AP1041&gt;=1,"Lift",IF(AP1041&lt;=0,"Aussenlager","teilweise")))))</f>
        <v/>
      </c>
      <c r="BA1041" s="53">
        <f>IF(AS1041&lt;=0,"",IF(BR1041="Aussen","Aussenlager",IF(BR1041="-","Nicht im Lift",IF(AX1041&gt;=1,"Lift",IF(AX1041&lt;=0,"Aussenlager","teilweise")))))</f>
        <v/>
      </c>
      <c r="BB1041" s="53">
        <f>IF(A1041="","",IF(BK1041=1,"Neu; ","")&amp;IF(AND(BK1041=0,BF1041&lt;0),"negativer Bestand (Export "&amp;BF1041&amp;"); ","")&amp;IF(I1041&lt;=0,"Kein Verbrauch; ","")&amp;IF(BO1041=1,"Lose – Fläche geschätzt; ","")&amp;IF(G1041&gt;AM1041,"Überbestand "&amp;ROUND(G1041-AM1041,0)&amp;" Stk / CHF "&amp;ROUND((G1041-AM1041)*F1041,0)&amp;"; ","")&amp;IF(AND(BT1041=1,BU1041&lt;BV1041),"MAX &lt; MB+LG; ","")&amp;IF(AND(BZ1041&gt;0,BY1041*10&gt;BZ1041),"zu hoch für Tablar; ","")&amp;IF(AND(BK1041=0,OR(BT1041=1,V1041&lt;&gt;"",S1041&lt;&gt;"",T1041&lt;&gt;"",W1041&lt;&gt;"")),"manuell übersteuert; ","")&amp;IF(AND(BO1041=0,Q1041=0),"Gebinde unbekannt; ","")&amp;IF(AND(BO1041=0,N(T1041)&lt;=0,N(P1041)&lt;=0),"Menge pro Gebinde fehlt (Ist = 1 Gebinde); ","")&amp;BJ1041)</f>
        <v/>
      </c>
      <c r="BC1041" s="53" t="n"/>
      <c r="BD1041" s="53" t="n"/>
      <c r="BE1041" s="61" t="n"/>
      <c r="BF1041" s="55" t="n">
        <v>-12</v>
      </c>
      <c r="BG1041" s="55" t="n">
        <v>66</v>
      </c>
      <c r="BH1041" s="54" t="n">
        <v>-136.8000000000002</v>
      </c>
      <c r="BI1041" s="55" t="n">
        <v>153</v>
      </c>
      <c r="BJ1041" s="53" t="inlineStr"/>
      <c r="BK1041" s="58" t="n">
        <v>0</v>
      </c>
      <c r="BL1041" s="58" t="n">
        <v>1041</v>
      </c>
      <c r="BM1041" s="53">
        <f>IF(S1041&lt;&gt;"",UPPER(TRIM(S1041)),IF(O1041="","LOSE",O1041))</f>
        <v/>
      </c>
      <c r="BN1041" s="55">
        <f>IF(BM1041="LOSE",1,IF(N(T1041)&gt;0,T1041,IF(N(P1041)&gt;0,P1041,MAX(1,G1041))))</f>
        <v/>
      </c>
      <c r="BO1041" s="58">
        <f>IF(BM1041="LOSE",1,0)</f>
        <v/>
      </c>
      <c r="BP1041" s="64">
        <f>IF(BO1041=0,0,IF(N(R1041)&gt;0,R1041,IFERROR(VLOOKUP(D1041,Parameter!$A$35:$C$64,3,0)+0,0)))</f>
        <v/>
      </c>
      <c r="BQ1041" s="53">
        <f>IF(V1041&lt;&gt;"",V1041,U1041)</f>
        <v/>
      </c>
      <c r="BR1041" s="53">
        <f>IF(BQ1041=1,"L1",IF(OR(BQ1041=2,BQ1041=3),"L23",IF(BQ1041="Aussen","Aussen","-")))</f>
        <v/>
      </c>
      <c r="BS1041" s="66">
        <f>IF(N(W1041)&gt;0,W1041,0)</f>
        <v/>
      </c>
      <c r="BT1041" s="58">
        <f>IF(ISNUMBER(Z1041),1,0)</f>
        <v/>
      </c>
      <c r="BU1041" s="55">
        <f>N(Z1041)</f>
        <v/>
      </c>
      <c r="BV1041" s="55">
        <f>N(L1041)+N(M1041)</f>
        <v/>
      </c>
      <c r="BW1041" s="55">
        <f>ROUNDUP(G1041/BN1041,0)</f>
        <v/>
      </c>
      <c r="BX1041" s="55">
        <f>ROUNDUP(BU1041/BN1041,0)</f>
        <v/>
      </c>
      <c r="BY1041" s="58">
        <f>IF(BO1041=1,0,IFERROR(VLOOKUP(BM1041,'Gebinde-Kategorie'!$A$5:$G$45,5,0)+0,0))</f>
        <v/>
      </c>
      <c r="BZ1041" s="58">
        <f>IFERROR(IF(OR(BQ1041=1,BQ1041=2,BQ1041=3),N(INDEX(Parameter!$I$5:$I$7,BQ1041)),0),0)</f>
        <v/>
      </c>
    </row>
    <row r="1042">
      <c r="A1042" s="53" t="inlineStr">
        <is>
          <t>109164</t>
        </is>
      </c>
      <c r="B1042" s="53" t="inlineStr">
        <is>
          <t>Winkelverschraubung Stahl verzinkt</t>
        </is>
      </c>
      <c r="C1042" s="53" t="inlineStr">
        <is>
          <t>F</t>
        </is>
      </c>
      <c r="D1042" s="53" t="inlineStr">
        <is>
          <t>PAL</t>
        </is>
      </c>
      <c r="E1042" s="53" t="inlineStr">
        <is>
          <t>C</t>
        </is>
      </c>
      <c r="F1042" s="54" t="n">
        <v>18.72</v>
      </c>
      <c r="G1042" s="55">
        <f>MAX(0,IF(Parameter!$B$20="Jahresanfang 2025 + Export",BG1042+BF1042,BF1042))</f>
        <v/>
      </c>
      <c r="H1042" s="55">
        <f>G1042*F1042</f>
        <v/>
      </c>
      <c r="I1042" s="55">
        <f>BI1042*Parameter!$B$18</f>
        <v/>
      </c>
      <c r="J1042" s="56" t="n">
        <v>8.5</v>
      </c>
      <c r="K1042" s="57" t="n">
        <v>1.764705882352941</v>
      </c>
      <c r="L1042" s="55" t="n">
        <v>1</v>
      </c>
      <c r="M1042" s="55" t="n">
        <v>15</v>
      </c>
      <c r="N1042" s="58" t="n">
        <v>35</v>
      </c>
      <c r="O1042" s="53" t="inlineStr">
        <is>
          <t>S22</t>
        </is>
      </c>
      <c r="P1042" s="55" t="n">
        <v>10</v>
      </c>
      <c r="Q1042" s="59">
        <f>IF(BO1042=1,0,IFERROR(VLOOKUP(BM1042,'Gebinde-Kategorie'!$A$5:$G$45,6,0)+0,0))</f>
        <v/>
      </c>
      <c r="R1042" s="60" t="n"/>
      <c r="S1042" s="61" t="n"/>
      <c r="T1042" s="61" t="n"/>
      <c r="U1042" s="53">
        <f>IF(A1042="","",IF(IFERROR(VLOOKUP(D1042,Parameter!$A$35:$C$64,2,0),"Nein")="2+3",IF(ISNUMBER(SEARCH("grosser Artikel",BJ1042)),2,IFERROR(VLOOKUP(BM1042,Parameter!$F$35:$G$64,2,0),2)),IF(OR(IFERROR(VLOOKUP(D1042,Parameter!$A$35:$C$64,2,0),"Nein")="Nein",IFERROR(VLOOKUP(D1042,Parameter!$A$35:$C$64,2,0),"Nein")=""),"-",VLOOKUP(D1042,Parameter!$A$35:$C$64,2,0))))</f>
        <v/>
      </c>
      <c r="V1042" s="61" t="n"/>
      <c r="W1042" s="62" t="n"/>
      <c r="X1042" s="55">
        <f>AM1042</f>
        <v/>
      </c>
      <c r="Y1042" s="55">
        <f>MAX(AM1042,G1042)</f>
        <v/>
      </c>
      <c r="Z1042" s="63" t="n"/>
      <c r="AA1042" s="55">
        <f>IF(LEFT(Cockpit!$C$5,1)="A",G1042,IF(BT1042=1,BU1042,IF(LEFT(Cockpit!$C$5,1)="B",AE1042,MAX(AE1042,G1042))))</f>
        <v/>
      </c>
      <c r="AB1042" s="55">
        <f>IF(BO1042=1,0,ROUNDUP(AA1042/BN1042,0))</f>
        <v/>
      </c>
      <c r="AC1042" s="64">
        <f>IF(BO1042=1,IF(AA1042&lt;=0,0,BP1042*MAX(1,IF(G1042&gt;0,AA1042/G1042,1))),AB1042*Q1042)</f>
        <v/>
      </c>
      <c r="AD1042" s="55">
        <f>AA1042*F1042</f>
        <v/>
      </c>
      <c r="AE1042" s="55">
        <f>ROUNDUP(MAX(I1042/IF(BS1042&gt;0,BS1042,MAX(0.1,N(Cockpit!$C$6))),BV1042)/BN1042,0)*BN1042</f>
        <v/>
      </c>
      <c r="AF1042" s="56">
        <f>IF(AC1042&gt;0,I1042/AC1042,-1)</f>
        <v/>
      </c>
      <c r="AG1042" s="56">
        <f>IF(AND(OR(BR1042="L1",BR1042="L23"),AC1042&gt;0),SUMIFS($AC$7:$AC$1570,$BR$7:$BR$1570,BR1042,$AF$7:$AF$1570,"&gt;"&amp;AF1042)+SUMIFS($AC$7:$AC$1570,$BR$7:$BR$1570,BR1042,$AF$7:$AF$1570,AF1042,$BL$7:$BL$1570,"&lt;="&amp;BL1042),"")</f>
        <v/>
      </c>
      <c r="AH1042" s="65">
        <f>IF(AG1042="",0,MAX(0,MIN(1,(IF(BR1042="L1",Parameter!$K$5,Parameter!$K$6+Parameter!$K$7)-(AG1042-AC1042))/AC1042)))</f>
        <v/>
      </c>
      <c r="AI1042" s="55">
        <f>IF(LEFT(Cockpit!$I$5,1)="A",G1042,IF(BT1042=1,BU1042,IF(LEFT(Cockpit!$I$5,1)="B",AM1042,MAX(AM1042,G1042))))</f>
        <v/>
      </c>
      <c r="AJ1042" s="55">
        <f>IF(BO1042=1,0,ROUNDUP(AI1042/BN1042,0))</f>
        <v/>
      </c>
      <c r="AK1042" s="64">
        <f>IF(BO1042=1,IF(AI1042&lt;=0,0,BP1042*MAX(1,IF(G1042&gt;0,AI1042/G1042,1))),AJ1042*Q1042)</f>
        <v/>
      </c>
      <c r="AL1042" s="55">
        <f>AI1042*F1042</f>
        <v/>
      </c>
      <c r="AM1042" s="55">
        <f>ROUNDUP(MAX(I1042/IF(BS1042&gt;0,BS1042,MAX(0.1,N(Cockpit!$I$6))),BV1042)/BN1042,0)*BN1042</f>
        <v/>
      </c>
      <c r="AN1042" s="56">
        <f>IF(AK1042&gt;0,I1042/AK1042,-1)</f>
        <v/>
      </c>
      <c r="AO1042" s="56">
        <f>IF(AND(OR(BR1042="L1",BR1042="L23"),AK1042&gt;0),SUMIFS($AK$7:$AK$1570,$BR$7:$BR$1570,BR1042,$AN$7:$AN$1570,"&gt;"&amp;AN1042)+SUMIFS($AK$7:$AK$1570,$BR$7:$BR$1570,BR1042,$AN$7:$AN$1570,AN1042,$BL$7:$BL$1570,"&lt;="&amp;BL1042),"")</f>
        <v/>
      </c>
      <c r="AP1042" s="65">
        <f>IF(AO1042="",0,MAX(0,MIN(1,(IF(BR1042="L1",Parameter!$K$5,Parameter!$K$6+Parameter!$K$7)-(AO1042-AK1042))/AK1042)))</f>
        <v/>
      </c>
      <c r="AQ1042" s="55">
        <f>IF(LEFT(Cockpit!$O$5,1)="A",G1042,IF(BT1042=1,BU1042,IF(LEFT(Cockpit!$O$5,1)="B",AU1042,MAX(AU1042,G1042))))</f>
        <v/>
      </c>
      <c r="AR1042" s="55">
        <f>IF(BO1042=1,0,ROUNDUP(AQ1042/BN1042,0))</f>
        <v/>
      </c>
      <c r="AS1042" s="64">
        <f>IF(BO1042=1,IF(AQ1042&lt;=0,0,BP1042*MAX(1,IF(G1042&gt;0,AQ1042/G1042,1))),AR1042*Q1042)</f>
        <v/>
      </c>
      <c r="AT1042" s="55">
        <f>AQ1042*F1042</f>
        <v/>
      </c>
      <c r="AU1042" s="55">
        <f>ROUNDUP(MAX(I1042/IF(BS1042&gt;0,BS1042,MAX(0.1,N(Cockpit!$O$6))),BV1042)/BN1042,0)*BN1042</f>
        <v/>
      </c>
      <c r="AV1042" s="56">
        <f>IF(AS1042&gt;0,I1042/AS1042,-1)</f>
        <v/>
      </c>
      <c r="AW1042" s="56">
        <f>IF(AND(OR(BR1042="L1",BR1042="L23"),AS1042&gt;0),SUMIFS($AS$7:$AS$1570,$BR$7:$BR$1570,BR1042,$AV$7:$AV$1570,"&gt;"&amp;AV1042)+SUMIFS($AS$7:$AS$1570,$BR$7:$BR$1570,BR1042,$AV$7:$AV$1570,AV1042,$BL$7:$BL$1570,"&lt;="&amp;BL1042),"")</f>
        <v/>
      </c>
      <c r="AX1042" s="65">
        <f>IF(AW1042="",0,MAX(0,MIN(1,(IF(BR1042="L1",Parameter!$K$5,Parameter!$K$6+Parameter!$K$7)-(AW1042-AS1042))/AS1042)))</f>
        <v/>
      </c>
      <c r="AY1042" s="53">
        <f>IF(AC1042&lt;=0,"",IF(BR1042="Aussen","Aussenlager",IF(BR1042="-","Nicht im Lift",IF(AH1042&gt;=1,"Lift",IF(AH1042&lt;=0,"Aussenlager","teilweise")))))</f>
        <v/>
      </c>
      <c r="AZ1042" s="53">
        <f>IF(AK1042&lt;=0,"",IF(BR1042="Aussen","Aussenlager",IF(BR1042="-","Nicht im Lift",IF(AP1042&gt;=1,"Lift",IF(AP1042&lt;=0,"Aussenlager","teilweise")))))</f>
        <v/>
      </c>
      <c r="BA1042" s="53">
        <f>IF(AS1042&lt;=0,"",IF(BR1042="Aussen","Aussenlager",IF(BR1042="-","Nicht im Lift",IF(AX1042&gt;=1,"Lift",IF(AX1042&lt;=0,"Aussenlager","teilweise")))))</f>
        <v/>
      </c>
      <c r="BB1042" s="53">
        <f>IF(A1042="","",IF(BK1042=1,"Neu; ","")&amp;IF(AND(BK1042=0,BF1042&lt;0),"negativer Bestand (Export "&amp;BF1042&amp;"); ","")&amp;IF(I1042&lt;=0,"Kein Verbrauch; ","")&amp;IF(BO1042=1,"Lose – Fläche geschätzt; ","")&amp;IF(G1042&gt;AM1042,"Überbestand "&amp;ROUND(G1042-AM1042,0)&amp;" Stk / CHF "&amp;ROUND((G1042-AM1042)*F1042,0)&amp;"; ","")&amp;IF(AND(BT1042=1,BU1042&lt;BV1042),"MAX &lt; MB+LG; ","")&amp;IF(AND(BZ1042&gt;0,BY1042*10&gt;BZ1042),"zu hoch für Tablar; ","")&amp;IF(AND(BK1042=0,OR(BT1042=1,V1042&lt;&gt;"",S1042&lt;&gt;"",T1042&lt;&gt;"",W1042&lt;&gt;"")),"manuell übersteuert; ","")&amp;IF(AND(BO1042=0,Q1042=0),"Gebinde unbekannt; ","")&amp;IF(AND(BO1042=0,N(T1042)&lt;=0,N(P1042)&lt;=0),"Menge pro Gebinde fehlt (Ist = 1 Gebinde); ","")&amp;BJ1042)</f>
        <v/>
      </c>
      <c r="BC1042" s="53" t="n"/>
      <c r="BD1042" s="53" t="n"/>
      <c r="BE1042" s="61" t="n"/>
      <c r="BF1042" s="55" t="n">
        <v>-8</v>
      </c>
      <c r="BG1042" s="55" t="n">
        <v>11</v>
      </c>
      <c r="BH1042" s="54" t="n">
        <v>-137.11</v>
      </c>
      <c r="BI1042" s="55" t="n">
        <v>15</v>
      </c>
      <c r="BJ1042" s="53" t="inlineStr"/>
      <c r="BK1042" s="58" t="n">
        <v>0</v>
      </c>
      <c r="BL1042" s="58" t="n">
        <v>1042</v>
      </c>
      <c r="BM1042" s="53">
        <f>IF(S1042&lt;&gt;"",UPPER(TRIM(S1042)),IF(O1042="","LOSE",O1042))</f>
        <v/>
      </c>
      <c r="BN1042" s="55">
        <f>IF(BM1042="LOSE",1,IF(N(T1042)&gt;0,T1042,IF(N(P1042)&gt;0,P1042,MAX(1,G1042))))</f>
        <v/>
      </c>
      <c r="BO1042" s="58">
        <f>IF(BM1042="LOSE",1,0)</f>
        <v/>
      </c>
      <c r="BP1042" s="64">
        <f>IF(BO1042=0,0,IF(N(R1042)&gt;0,R1042,IFERROR(VLOOKUP(D1042,Parameter!$A$35:$C$64,3,0)+0,0)))</f>
        <v/>
      </c>
      <c r="BQ1042" s="53">
        <f>IF(V1042&lt;&gt;"",V1042,U1042)</f>
        <v/>
      </c>
      <c r="BR1042" s="53">
        <f>IF(BQ1042=1,"L1",IF(OR(BQ1042=2,BQ1042=3),"L23",IF(BQ1042="Aussen","Aussen","-")))</f>
        <v/>
      </c>
      <c r="BS1042" s="66">
        <f>IF(N(W1042)&gt;0,W1042,0)</f>
        <v/>
      </c>
      <c r="BT1042" s="58">
        <f>IF(ISNUMBER(Z1042),1,0)</f>
        <v/>
      </c>
      <c r="BU1042" s="55">
        <f>N(Z1042)</f>
        <v/>
      </c>
      <c r="BV1042" s="55">
        <f>N(L1042)+N(M1042)</f>
        <v/>
      </c>
      <c r="BW1042" s="55">
        <f>ROUNDUP(G1042/BN1042,0)</f>
        <v/>
      </c>
      <c r="BX1042" s="55">
        <f>ROUNDUP(BU1042/BN1042,0)</f>
        <v/>
      </c>
      <c r="BY1042" s="58">
        <f>IF(BO1042=1,0,IFERROR(VLOOKUP(BM1042,'Gebinde-Kategorie'!$A$5:$G$45,5,0)+0,0))</f>
        <v/>
      </c>
      <c r="BZ1042" s="58">
        <f>IFERROR(IF(OR(BQ1042=1,BQ1042=2,BQ1042=3),N(INDEX(Parameter!$I$5:$I$7,BQ1042)),0),0)</f>
        <v/>
      </c>
    </row>
    <row r="1043">
      <c r="A1043" s="53" t="inlineStr">
        <is>
          <t>100350</t>
        </is>
      </c>
      <c r="B1043" s="53" t="inlineStr">
        <is>
          <t>Filtergehäuse</t>
        </is>
      </c>
      <c r="C1043" s="53" t="inlineStr">
        <is>
          <t>F</t>
        </is>
      </c>
      <c r="D1043" s="53" t="inlineStr">
        <is>
          <t>KTL</t>
        </is>
      </c>
      <c r="E1043" s="53" t="inlineStr">
        <is>
          <t>C</t>
        </is>
      </c>
      <c r="F1043" s="54" t="n">
        <v>137.89</v>
      </c>
      <c r="G1043" s="55">
        <f>MAX(0,IF(Parameter!$B$20="Jahresanfang 2025 + Export",BG1043+BF1043,BF1043))</f>
        <v/>
      </c>
      <c r="H1043" s="55">
        <f>G1043*F1043</f>
        <v/>
      </c>
      <c r="I1043" s="55">
        <f>BI1043*Parameter!$B$18</f>
        <v/>
      </c>
      <c r="J1043" s="56" t="n">
        <v>22.5</v>
      </c>
      <c r="K1043" s="57" t="n">
        <v>0.04444444444444445</v>
      </c>
      <c r="L1043" s="55" t="n">
        <v>0</v>
      </c>
      <c r="M1043" s="55" t="n">
        <v>1</v>
      </c>
      <c r="N1043" s="58" t="n">
        <v>14</v>
      </c>
      <c r="O1043" s="53" t="inlineStr">
        <is>
          <t>S41</t>
        </is>
      </c>
      <c r="P1043" s="55" t="n">
        <v>47</v>
      </c>
      <c r="Q1043" s="59">
        <f>IF(BO1043=1,0,IFERROR(VLOOKUP(BM1043,'Gebinde-Kategorie'!$A$5:$G$45,6,0)+0,0))</f>
        <v/>
      </c>
      <c r="R1043" s="60" t="n"/>
      <c r="S1043" s="61" t="n"/>
      <c r="T1043" s="61" t="n"/>
      <c r="U1043" s="53">
        <f>IF(A1043="","",IF(IFERROR(VLOOKUP(D1043,Parameter!$A$35:$C$64,2,0),"Nein")="2+3",IF(ISNUMBER(SEARCH("grosser Artikel",BJ1043)),2,IFERROR(VLOOKUP(BM1043,Parameter!$F$35:$G$64,2,0),2)),IF(OR(IFERROR(VLOOKUP(D1043,Parameter!$A$35:$C$64,2,0),"Nein")="Nein",IFERROR(VLOOKUP(D1043,Parameter!$A$35:$C$64,2,0),"Nein")=""),"-",VLOOKUP(D1043,Parameter!$A$35:$C$64,2,0))))</f>
        <v/>
      </c>
      <c r="V1043" s="61" t="n"/>
      <c r="W1043" s="62" t="n"/>
      <c r="X1043" s="55">
        <f>AM1043</f>
        <v/>
      </c>
      <c r="Y1043" s="55">
        <f>MAX(AM1043,G1043)</f>
        <v/>
      </c>
      <c r="Z1043" s="63" t="n"/>
      <c r="AA1043" s="55">
        <f>IF(LEFT(Cockpit!$C$5,1)="A",G1043,IF(BT1043=1,BU1043,IF(LEFT(Cockpit!$C$5,1)="B",AE1043,MAX(AE1043,G1043))))</f>
        <v/>
      </c>
      <c r="AB1043" s="55">
        <f>IF(BO1043=1,0,ROUNDUP(AA1043/BN1043,0))</f>
        <v/>
      </c>
      <c r="AC1043" s="64">
        <f>IF(BO1043=1,IF(AA1043&lt;=0,0,BP1043*MAX(1,IF(G1043&gt;0,AA1043/G1043,1))),AB1043*Q1043)</f>
        <v/>
      </c>
      <c r="AD1043" s="55">
        <f>AA1043*F1043</f>
        <v/>
      </c>
      <c r="AE1043" s="55">
        <f>ROUNDUP(MAX(I1043/IF(BS1043&gt;0,BS1043,MAX(0.1,N(Cockpit!$C$6))),BV1043)/BN1043,0)*BN1043</f>
        <v/>
      </c>
      <c r="AF1043" s="56">
        <f>IF(AC1043&gt;0,I1043/AC1043,-1)</f>
        <v/>
      </c>
      <c r="AG1043" s="56">
        <f>IF(AND(OR(BR1043="L1",BR1043="L23"),AC1043&gt;0),SUMIFS($AC$7:$AC$1570,$BR$7:$BR$1570,BR1043,$AF$7:$AF$1570,"&gt;"&amp;AF1043)+SUMIFS($AC$7:$AC$1570,$BR$7:$BR$1570,BR1043,$AF$7:$AF$1570,AF1043,$BL$7:$BL$1570,"&lt;="&amp;BL1043),"")</f>
        <v/>
      </c>
      <c r="AH1043" s="65">
        <f>IF(AG1043="",0,MAX(0,MIN(1,(IF(BR1043="L1",Parameter!$K$5,Parameter!$K$6+Parameter!$K$7)-(AG1043-AC1043))/AC1043)))</f>
        <v/>
      </c>
      <c r="AI1043" s="55">
        <f>IF(LEFT(Cockpit!$I$5,1)="A",G1043,IF(BT1043=1,BU1043,IF(LEFT(Cockpit!$I$5,1)="B",AM1043,MAX(AM1043,G1043))))</f>
        <v/>
      </c>
      <c r="AJ1043" s="55">
        <f>IF(BO1043=1,0,ROUNDUP(AI1043/BN1043,0))</f>
        <v/>
      </c>
      <c r="AK1043" s="64">
        <f>IF(BO1043=1,IF(AI1043&lt;=0,0,BP1043*MAX(1,IF(G1043&gt;0,AI1043/G1043,1))),AJ1043*Q1043)</f>
        <v/>
      </c>
      <c r="AL1043" s="55">
        <f>AI1043*F1043</f>
        <v/>
      </c>
      <c r="AM1043" s="55">
        <f>ROUNDUP(MAX(I1043/IF(BS1043&gt;0,BS1043,MAX(0.1,N(Cockpit!$I$6))),BV1043)/BN1043,0)*BN1043</f>
        <v/>
      </c>
      <c r="AN1043" s="56">
        <f>IF(AK1043&gt;0,I1043/AK1043,-1)</f>
        <v/>
      </c>
      <c r="AO1043" s="56">
        <f>IF(AND(OR(BR1043="L1",BR1043="L23"),AK1043&gt;0),SUMIFS($AK$7:$AK$1570,$BR$7:$BR$1570,BR1043,$AN$7:$AN$1570,"&gt;"&amp;AN1043)+SUMIFS($AK$7:$AK$1570,$BR$7:$BR$1570,BR1043,$AN$7:$AN$1570,AN1043,$BL$7:$BL$1570,"&lt;="&amp;BL1043),"")</f>
        <v/>
      </c>
      <c r="AP1043" s="65">
        <f>IF(AO1043="",0,MAX(0,MIN(1,(IF(BR1043="L1",Parameter!$K$5,Parameter!$K$6+Parameter!$K$7)-(AO1043-AK1043))/AK1043)))</f>
        <v/>
      </c>
      <c r="AQ1043" s="55">
        <f>IF(LEFT(Cockpit!$O$5,1)="A",G1043,IF(BT1043=1,BU1043,IF(LEFT(Cockpit!$O$5,1)="B",AU1043,MAX(AU1043,G1043))))</f>
        <v/>
      </c>
      <c r="AR1043" s="55">
        <f>IF(BO1043=1,0,ROUNDUP(AQ1043/BN1043,0))</f>
        <v/>
      </c>
      <c r="AS1043" s="64">
        <f>IF(BO1043=1,IF(AQ1043&lt;=0,0,BP1043*MAX(1,IF(G1043&gt;0,AQ1043/G1043,1))),AR1043*Q1043)</f>
        <v/>
      </c>
      <c r="AT1043" s="55">
        <f>AQ1043*F1043</f>
        <v/>
      </c>
      <c r="AU1043" s="55">
        <f>ROUNDUP(MAX(I1043/IF(BS1043&gt;0,BS1043,MAX(0.1,N(Cockpit!$O$6))),BV1043)/BN1043,0)*BN1043</f>
        <v/>
      </c>
      <c r="AV1043" s="56">
        <f>IF(AS1043&gt;0,I1043/AS1043,-1)</f>
        <v/>
      </c>
      <c r="AW1043" s="56">
        <f>IF(AND(OR(BR1043="L1",BR1043="L23"),AS1043&gt;0),SUMIFS($AS$7:$AS$1570,$BR$7:$BR$1570,BR1043,$AV$7:$AV$1570,"&gt;"&amp;AV1043)+SUMIFS($AS$7:$AS$1570,$BR$7:$BR$1570,BR1043,$AV$7:$AV$1570,AV1043,$BL$7:$BL$1570,"&lt;="&amp;BL1043),"")</f>
        <v/>
      </c>
      <c r="AX1043" s="65">
        <f>IF(AW1043="",0,MAX(0,MIN(1,(IF(BR1043="L1",Parameter!$K$5,Parameter!$K$6+Parameter!$K$7)-(AW1043-AS1043))/AS1043)))</f>
        <v/>
      </c>
      <c r="AY1043" s="53">
        <f>IF(AC1043&lt;=0,"",IF(BR1043="Aussen","Aussenlager",IF(BR1043="-","Nicht im Lift",IF(AH1043&gt;=1,"Lift",IF(AH1043&lt;=0,"Aussenlager","teilweise")))))</f>
        <v/>
      </c>
      <c r="AZ1043" s="53">
        <f>IF(AK1043&lt;=0,"",IF(BR1043="Aussen","Aussenlager",IF(BR1043="-","Nicht im Lift",IF(AP1043&gt;=1,"Lift",IF(AP1043&lt;=0,"Aussenlager","teilweise")))))</f>
        <v/>
      </c>
      <c r="BA1043" s="53">
        <f>IF(AS1043&lt;=0,"",IF(BR1043="Aussen","Aussenlager",IF(BR1043="-","Nicht im Lift",IF(AX1043&gt;=1,"Lift",IF(AX1043&lt;=0,"Aussenlager","teilweise")))))</f>
        <v/>
      </c>
      <c r="BB1043" s="53">
        <f>IF(A1043="","",IF(BK1043=1,"Neu; ","")&amp;IF(AND(BK1043=0,BF1043&lt;0),"negativer Bestand (Export "&amp;BF1043&amp;"); ","")&amp;IF(I1043&lt;=0,"Kein Verbrauch; ","")&amp;IF(BO1043=1,"Lose – Fläche geschätzt; ","")&amp;IF(G1043&gt;AM1043,"Überbestand "&amp;ROUND(G1043-AM1043,0)&amp;" Stk / CHF "&amp;ROUND((G1043-AM1043)*F1043,0)&amp;"; ","")&amp;IF(AND(BT1043=1,BU1043&lt;BV1043),"MAX &lt; MB+LG; ","")&amp;IF(AND(BZ1043&gt;0,BY1043*10&gt;BZ1043),"zu hoch für Tablar; ","")&amp;IF(AND(BK1043=0,OR(BT1043=1,V1043&lt;&gt;"",S1043&lt;&gt;"",T1043&lt;&gt;"",W1043&lt;&gt;"")),"manuell übersteuert; ","")&amp;IF(AND(BO1043=0,Q1043=0),"Gebinde unbekannt; ","")&amp;IF(AND(BO1043=0,N(T1043)&lt;=0,N(P1043)&lt;=0),"Menge pro Gebinde fehlt (Ist = 1 Gebinde); ","")&amp;BJ1043)</f>
        <v/>
      </c>
      <c r="BC1043" s="53" t="n"/>
      <c r="BD1043" s="53" t="n"/>
      <c r="BE1043" s="61" t="n"/>
      <c r="BF1043" s="55" t="n">
        <v>-1</v>
      </c>
      <c r="BG1043" s="55" t="n">
        <v>23</v>
      </c>
      <c r="BH1043" s="54" t="n">
        <v>-137.89</v>
      </c>
      <c r="BI1043" s="55" t="n">
        <v>1</v>
      </c>
      <c r="BJ1043" s="53" t="inlineStr">
        <is>
          <t>Überbestand</t>
        </is>
      </c>
      <c r="BK1043" s="58" t="n">
        <v>0</v>
      </c>
      <c r="BL1043" s="58" t="n">
        <v>1043</v>
      </c>
      <c r="BM1043" s="53">
        <f>IF(S1043&lt;&gt;"",UPPER(TRIM(S1043)),IF(O1043="","LOSE",O1043))</f>
        <v/>
      </c>
      <c r="BN1043" s="55">
        <f>IF(BM1043="LOSE",1,IF(N(T1043)&gt;0,T1043,IF(N(P1043)&gt;0,P1043,MAX(1,G1043))))</f>
        <v/>
      </c>
      <c r="BO1043" s="58">
        <f>IF(BM1043="LOSE",1,0)</f>
        <v/>
      </c>
      <c r="BP1043" s="64">
        <f>IF(BO1043=0,0,IF(N(R1043)&gt;0,R1043,IFERROR(VLOOKUP(D1043,Parameter!$A$35:$C$64,3,0)+0,0)))</f>
        <v/>
      </c>
      <c r="BQ1043" s="53">
        <f>IF(V1043&lt;&gt;"",V1043,U1043)</f>
        <v/>
      </c>
      <c r="BR1043" s="53">
        <f>IF(BQ1043=1,"L1",IF(OR(BQ1043=2,BQ1043=3),"L23",IF(BQ1043="Aussen","Aussen","-")))</f>
        <v/>
      </c>
      <c r="BS1043" s="66">
        <f>IF(N(W1043)&gt;0,W1043,0)</f>
        <v/>
      </c>
      <c r="BT1043" s="58">
        <f>IF(ISNUMBER(Z1043),1,0)</f>
        <v/>
      </c>
      <c r="BU1043" s="55">
        <f>N(Z1043)</f>
        <v/>
      </c>
      <c r="BV1043" s="55">
        <f>N(L1043)+N(M1043)</f>
        <v/>
      </c>
      <c r="BW1043" s="55">
        <f>ROUNDUP(G1043/BN1043,0)</f>
        <v/>
      </c>
      <c r="BX1043" s="55">
        <f>ROUNDUP(BU1043/BN1043,0)</f>
        <v/>
      </c>
      <c r="BY1043" s="58">
        <f>IF(BO1043=1,0,IFERROR(VLOOKUP(BM1043,'Gebinde-Kategorie'!$A$5:$G$45,5,0)+0,0))</f>
        <v/>
      </c>
      <c r="BZ1043" s="58">
        <f>IFERROR(IF(OR(BQ1043=1,BQ1043=2,BQ1043=3),N(INDEX(Parameter!$I$5:$I$7,BQ1043)),0),0)</f>
        <v/>
      </c>
    </row>
    <row r="1044">
      <c r="A1044" s="53" t="inlineStr">
        <is>
          <t>005125</t>
        </is>
      </c>
      <c r="B1044" s="53" t="inlineStr">
        <is>
          <t>Schütz</t>
        </is>
      </c>
      <c r="C1044" s="53" t="inlineStr">
        <is>
          <t>F</t>
        </is>
      </c>
      <c r="D1044" s="53" t="inlineStr">
        <is>
          <t>KTL</t>
        </is>
      </c>
      <c r="E1044" s="53" t="inlineStr">
        <is>
          <t>C</t>
        </is>
      </c>
      <c r="F1044" s="54" t="n">
        <v>69.28</v>
      </c>
      <c r="G1044" s="55">
        <f>MAX(0,IF(Parameter!$B$20="Jahresanfang 2025 + Export",BG1044+BF1044,BF1044))</f>
        <v/>
      </c>
      <c r="H1044" s="55">
        <f>G1044*F1044</f>
        <v/>
      </c>
      <c r="I1044" s="55">
        <f>BI1044*Parameter!$B$18</f>
        <v/>
      </c>
      <c r="J1044" s="56" t="n">
        <v>10</v>
      </c>
      <c r="K1044" s="57" t="n">
        <v>0</v>
      </c>
      <c r="L1044" s="55" t="n">
        <v>0</v>
      </c>
      <c r="M1044" s="55" t="n">
        <v>1</v>
      </c>
      <c r="N1044" s="58" t="n">
        <v>42</v>
      </c>
      <c r="O1044" s="53" t="inlineStr">
        <is>
          <t>S33</t>
        </is>
      </c>
      <c r="P1044" s="55" t="n">
        <v>12</v>
      </c>
      <c r="Q1044" s="59">
        <f>IF(BO1044=1,0,IFERROR(VLOOKUP(BM1044,'Gebinde-Kategorie'!$A$5:$G$45,6,0)+0,0))</f>
        <v/>
      </c>
      <c r="R1044" s="60" t="n"/>
      <c r="S1044" s="61" t="n"/>
      <c r="T1044" s="61" t="n"/>
      <c r="U1044" s="53">
        <f>IF(A1044="","",IF(IFERROR(VLOOKUP(D1044,Parameter!$A$35:$C$64,2,0),"Nein")="2+3",IF(ISNUMBER(SEARCH("grosser Artikel",BJ1044)),2,IFERROR(VLOOKUP(BM1044,Parameter!$F$35:$G$64,2,0),2)),IF(OR(IFERROR(VLOOKUP(D1044,Parameter!$A$35:$C$64,2,0),"Nein")="Nein",IFERROR(VLOOKUP(D1044,Parameter!$A$35:$C$64,2,0),"Nein")=""),"-",VLOOKUP(D1044,Parameter!$A$35:$C$64,2,0))))</f>
        <v/>
      </c>
      <c r="V1044" s="61" t="n"/>
      <c r="W1044" s="62" t="n"/>
      <c r="X1044" s="55">
        <f>AM1044</f>
        <v/>
      </c>
      <c r="Y1044" s="55">
        <f>MAX(AM1044,G1044)</f>
        <v/>
      </c>
      <c r="Z1044" s="63" t="n"/>
      <c r="AA1044" s="55">
        <f>IF(LEFT(Cockpit!$C$5,1)="A",G1044,IF(BT1044=1,BU1044,IF(LEFT(Cockpit!$C$5,1)="B",AE1044,MAX(AE1044,G1044))))</f>
        <v/>
      </c>
      <c r="AB1044" s="55">
        <f>IF(BO1044=1,0,ROUNDUP(AA1044/BN1044,0))</f>
        <v/>
      </c>
      <c r="AC1044" s="64">
        <f>IF(BO1044=1,IF(AA1044&lt;=0,0,BP1044*MAX(1,IF(G1044&gt;0,AA1044/G1044,1))),AB1044*Q1044)</f>
        <v/>
      </c>
      <c r="AD1044" s="55">
        <f>AA1044*F1044</f>
        <v/>
      </c>
      <c r="AE1044" s="55">
        <f>ROUNDUP(MAX(I1044/IF(BS1044&gt;0,BS1044,MAX(0.1,N(Cockpit!$C$6))),BV1044)/BN1044,0)*BN1044</f>
        <v/>
      </c>
      <c r="AF1044" s="56">
        <f>IF(AC1044&gt;0,I1044/AC1044,-1)</f>
        <v/>
      </c>
      <c r="AG1044" s="56">
        <f>IF(AND(OR(BR1044="L1",BR1044="L23"),AC1044&gt;0),SUMIFS($AC$7:$AC$1570,$BR$7:$BR$1570,BR1044,$AF$7:$AF$1570,"&gt;"&amp;AF1044)+SUMIFS($AC$7:$AC$1570,$BR$7:$BR$1570,BR1044,$AF$7:$AF$1570,AF1044,$BL$7:$BL$1570,"&lt;="&amp;BL1044),"")</f>
        <v/>
      </c>
      <c r="AH1044" s="65">
        <f>IF(AG1044="",0,MAX(0,MIN(1,(IF(BR1044="L1",Parameter!$K$5,Parameter!$K$6+Parameter!$K$7)-(AG1044-AC1044))/AC1044)))</f>
        <v/>
      </c>
      <c r="AI1044" s="55">
        <f>IF(LEFT(Cockpit!$I$5,1)="A",G1044,IF(BT1044=1,BU1044,IF(LEFT(Cockpit!$I$5,1)="B",AM1044,MAX(AM1044,G1044))))</f>
        <v/>
      </c>
      <c r="AJ1044" s="55">
        <f>IF(BO1044=1,0,ROUNDUP(AI1044/BN1044,0))</f>
        <v/>
      </c>
      <c r="AK1044" s="64">
        <f>IF(BO1044=1,IF(AI1044&lt;=0,0,BP1044*MAX(1,IF(G1044&gt;0,AI1044/G1044,1))),AJ1044*Q1044)</f>
        <v/>
      </c>
      <c r="AL1044" s="55">
        <f>AI1044*F1044</f>
        <v/>
      </c>
      <c r="AM1044" s="55">
        <f>ROUNDUP(MAX(I1044/IF(BS1044&gt;0,BS1044,MAX(0.1,N(Cockpit!$I$6))),BV1044)/BN1044,0)*BN1044</f>
        <v/>
      </c>
      <c r="AN1044" s="56">
        <f>IF(AK1044&gt;0,I1044/AK1044,-1)</f>
        <v/>
      </c>
      <c r="AO1044" s="56">
        <f>IF(AND(OR(BR1044="L1",BR1044="L23"),AK1044&gt;0),SUMIFS($AK$7:$AK$1570,$BR$7:$BR$1570,BR1044,$AN$7:$AN$1570,"&gt;"&amp;AN1044)+SUMIFS($AK$7:$AK$1570,$BR$7:$BR$1570,BR1044,$AN$7:$AN$1570,AN1044,$BL$7:$BL$1570,"&lt;="&amp;BL1044),"")</f>
        <v/>
      </c>
      <c r="AP1044" s="65">
        <f>IF(AO1044="",0,MAX(0,MIN(1,(IF(BR1044="L1",Parameter!$K$5,Parameter!$K$6+Parameter!$K$7)-(AO1044-AK1044))/AK1044)))</f>
        <v/>
      </c>
      <c r="AQ1044" s="55">
        <f>IF(LEFT(Cockpit!$O$5,1)="A",G1044,IF(BT1044=1,BU1044,IF(LEFT(Cockpit!$O$5,1)="B",AU1044,MAX(AU1044,G1044))))</f>
        <v/>
      </c>
      <c r="AR1044" s="55">
        <f>IF(BO1044=1,0,ROUNDUP(AQ1044/BN1044,0))</f>
        <v/>
      </c>
      <c r="AS1044" s="64">
        <f>IF(BO1044=1,IF(AQ1044&lt;=0,0,BP1044*MAX(1,IF(G1044&gt;0,AQ1044/G1044,1))),AR1044*Q1044)</f>
        <v/>
      </c>
      <c r="AT1044" s="55">
        <f>AQ1044*F1044</f>
        <v/>
      </c>
      <c r="AU1044" s="55">
        <f>ROUNDUP(MAX(I1044/IF(BS1044&gt;0,BS1044,MAX(0.1,N(Cockpit!$O$6))),BV1044)/BN1044,0)*BN1044</f>
        <v/>
      </c>
      <c r="AV1044" s="56">
        <f>IF(AS1044&gt;0,I1044/AS1044,-1)</f>
        <v/>
      </c>
      <c r="AW1044" s="56">
        <f>IF(AND(OR(BR1044="L1",BR1044="L23"),AS1044&gt;0),SUMIFS($AS$7:$AS$1570,$BR$7:$BR$1570,BR1044,$AV$7:$AV$1570,"&gt;"&amp;AV1044)+SUMIFS($AS$7:$AS$1570,$BR$7:$BR$1570,BR1044,$AV$7:$AV$1570,AV1044,$BL$7:$BL$1570,"&lt;="&amp;BL1044),"")</f>
        <v/>
      </c>
      <c r="AX1044" s="65">
        <f>IF(AW1044="",0,MAX(0,MIN(1,(IF(BR1044="L1",Parameter!$K$5,Parameter!$K$6+Parameter!$K$7)-(AW1044-AS1044))/AS1044)))</f>
        <v/>
      </c>
      <c r="AY1044" s="53">
        <f>IF(AC1044&lt;=0,"",IF(BR1044="Aussen","Aussenlager",IF(BR1044="-","Nicht im Lift",IF(AH1044&gt;=1,"Lift",IF(AH1044&lt;=0,"Aussenlager","teilweise")))))</f>
        <v/>
      </c>
      <c r="AZ1044" s="53">
        <f>IF(AK1044&lt;=0,"",IF(BR1044="Aussen","Aussenlager",IF(BR1044="-","Nicht im Lift",IF(AP1044&gt;=1,"Lift",IF(AP1044&lt;=0,"Aussenlager","teilweise")))))</f>
        <v/>
      </c>
      <c r="BA1044" s="53">
        <f>IF(AS1044&lt;=0,"",IF(BR1044="Aussen","Aussenlager",IF(BR1044="-","Nicht im Lift",IF(AX1044&gt;=1,"Lift",IF(AX1044&lt;=0,"Aussenlager","teilweise")))))</f>
        <v/>
      </c>
      <c r="BB1044" s="53">
        <f>IF(A1044="","",IF(BK1044=1,"Neu; ","")&amp;IF(AND(BK1044=0,BF1044&lt;0),"negativer Bestand (Export "&amp;BF1044&amp;"); ","")&amp;IF(I1044&lt;=0,"Kein Verbrauch; ","")&amp;IF(BO1044=1,"Lose – Fläche geschätzt; ","")&amp;IF(G1044&gt;AM1044,"Überbestand "&amp;ROUND(G1044-AM1044,0)&amp;" Stk / CHF "&amp;ROUND((G1044-AM1044)*F1044,0)&amp;"; ","")&amp;IF(AND(BT1044=1,BU1044&lt;BV1044),"MAX &lt; MB+LG; ","")&amp;IF(AND(BZ1044&gt;0,BY1044*10&gt;BZ1044),"zu hoch für Tablar; ","")&amp;IF(AND(BK1044=0,OR(BT1044=1,V1044&lt;&gt;"",S1044&lt;&gt;"",T1044&lt;&gt;"",W1044&lt;&gt;"")),"manuell übersteuert; ","")&amp;IF(AND(BO1044=0,Q1044=0),"Gebinde unbekannt; ","")&amp;IF(AND(BO1044=0,N(T1044)&lt;=0,N(P1044)&lt;=0),"Menge pro Gebinde fehlt (Ist = 1 Gebinde); ","")&amp;BJ1044)</f>
        <v/>
      </c>
      <c r="BC1044" s="53" t="n"/>
      <c r="BD1044" s="53" t="n"/>
      <c r="BE1044" s="61" t="n"/>
      <c r="BF1044" s="55" t="n">
        <v>-2</v>
      </c>
      <c r="BG1044" s="55" t="n">
        <v>10</v>
      </c>
      <c r="BH1044" s="54" t="n">
        <v>-138.56</v>
      </c>
      <c r="BI1044" s="55" t="n">
        <v>0</v>
      </c>
      <c r="BJ1044" s="53" t="inlineStr"/>
      <c r="BK1044" s="58" t="n">
        <v>0</v>
      </c>
      <c r="BL1044" s="58" t="n">
        <v>1044</v>
      </c>
      <c r="BM1044" s="53">
        <f>IF(S1044&lt;&gt;"",UPPER(TRIM(S1044)),IF(O1044="","LOSE",O1044))</f>
        <v/>
      </c>
      <c r="BN1044" s="55">
        <f>IF(BM1044="LOSE",1,IF(N(T1044)&gt;0,T1044,IF(N(P1044)&gt;0,P1044,MAX(1,G1044))))</f>
        <v/>
      </c>
      <c r="BO1044" s="58">
        <f>IF(BM1044="LOSE",1,0)</f>
        <v/>
      </c>
      <c r="BP1044" s="64">
        <f>IF(BO1044=0,0,IF(N(R1044)&gt;0,R1044,IFERROR(VLOOKUP(D1044,Parameter!$A$35:$C$64,3,0)+0,0)))</f>
        <v/>
      </c>
      <c r="BQ1044" s="53">
        <f>IF(V1044&lt;&gt;"",V1044,U1044)</f>
        <v/>
      </c>
      <c r="BR1044" s="53">
        <f>IF(BQ1044=1,"L1",IF(OR(BQ1044=2,BQ1044=3),"L23",IF(BQ1044="Aussen","Aussen","-")))</f>
        <v/>
      </c>
      <c r="BS1044" s="66">
        <f>IF(N(W1044)&gt;0,W1044,0)</f>
        <v/>
      </c>
      <c r="BT1044" s="58">
        <f>IF(ISNUMBER(Z1044),1,0)</f>
        <v/>
      </c>
      <c r="BU1044" s="55">
        <f>N(Z1044)</f>
        <v/>
      </c>
      <c r="BV1044" s="55">
        <f>N(L1044)+N(M1044)</f>
        <v/>
      </c>
      <c r="BW1044" s="55">
        <f>ROUNDUP(G1044/BN1044,0)</f>
        <v/>
      </c>
      <c r="BX1044" s="55">
        <f>ROUNDUP(BU1044/BN1044,0)</f>
        <v/>
      </c>
      <c r="BY1044" s="58">
        <f>IF(BO1044=1,0,IFERROR(VLOOKUP(BM1044,'Gebinde-Kategorie'!$A$5:$G$45,5,0)+0,0))</f>
        <v/>
      </c>
      <c r="BZ1044" s="58">
        <f>IFERROR(IF(OR(BQ1044=1,BQ1044=2,BQ1044=3),N(INDEX(Parameter!$I$5:$I$7,BQ1044)),0),0)</f>
        <v/>
      </c>
    </row>
    <row r="1045">
      <c r="A1045" s="53" t="inlineStr">
        <is>
          <t>002075</t>
        </is>
      </c>
      <c r="B1045" s="53" t="inlineStr">
        <is>
          <t>Brother P-touch Schriftband</t>
        </is>
      </c>
      <c r="C1045" s="53" t="inlineStr">
        <is>
          <t>F</t>
        </is>
      </c>
      <c r="D1045" s="53" t="inlineStr">
        <is>
          <t>KTL</t>
        </is>
      </c>
      <c r="E1045" s="53" t="inlineStr">
        <is>
          <t>C</t>
        </is>
      </c>
      <c r="F1045" s="54" t="n">
        <v>15.88</v>
      </c>
      <c r="G1045" s="55">
        <f>MAX(0,IF(Parameter!$B$20="Jahresanfang 2025 + Export",BG1045+BF1045,BF1045))</f>
        <v/>
      </c>
      <c r="H1045" s="55">
        <f>G1045*F1045</f>
        <v/>
      </c>
      <c r="I1045" s="55">
        <f>BI1045*Parameter!$B$18</f>
        <v/>
      </c>
      <c r="J1045" s="56" t="n">
        <v>26</v>
      </c>
      <c r="K1045" s="57" t="n">
        <v>0.1538461538461539</v>
      </c>
      <c r="L1045" s="55" t="n">
        <v>0</v>
      </c>
      <c r="M1045" s="55" t="n">
        <v>5</v>
      </c>
      <c r="N1045" s="58" t="n">
        <v>28</v>
      </c>
      <c r="O1045" s="53" t="inlineStr">
        <is>
          <t>S51</t>
        </is>
      </c>
      <c r="P1045" s="55" t="n">
        <v>20</v>
      </c>
      <c r="Q1045" s="59">
        <f>IF(BO1045=1,0,IFERROR(VLOOKUP(BM1045,'Gebinde-Kategorie'!$A$5:$G$45,6,0)+0,0))</f>
        <v/>
      </c>
      <c r="R1045" s="60" t="n"/>
      <c r="S1045" s="61" t="n"/>
      <c r="T1045" s="61" t="n"/>
      <c r="U1045" s="53">
        <f>IF(A1045="","",IF(IFERROR(VLOOKUP(D1045,Parameter!$A$35:$C$64,2,0),"Nein")="2+3",IF(ISNUMBER(SEARCH("grosser Artikel",BJ1045)),2,IFERROR(VLOOKUP(BM1045,Parameter!$F$35:$G$64,2,0),2)),IF(OR(IFERROR(VLOOKUP(D1045,Parameter!$A$35:$C$64,2,0),"Nein")="Nein",IFERROR(VLOOKUP(D1045,Parameter!$A$35:$C$64,2,0),"Nein")=""),"-",VLOOKUP(D1045,Parameter!$A$35:$C$64,2,0))))</f>
        <v/>
      </c>
      <c r="V1045" s="61" t="n"/>
      <c r="W1045" s="62" t="n"/>
      <c r="X1045" s="55">
        <f>AM1045</f>
        <v/>
      </c>
      <c r="Y1045" s="55">
        <f>MAX(AM1045,G1045)</f>
        <v/>
      </c>
      <c r="Z1045" s="63" t="n"/>
      <c r="AA1045" s="55">
        <f>IF(LEFT(Cockpit!$C$5,1)="A",G1045,IF(BT1045=1,BU1045,IF(LEFT(Cockpit!$C$5,1)="B",AE1045,MAX(AE1045,G1045))))</f>
        <v/>
      </c>
      <c r="AB1045" s="55">
        <f>IF(BO1045=1,0,ROUNDUP(AA1045/BN1045,0))</f>
        <v/>
      </c>
      <c r="AC1045" s="64">
        <f>IF(BO1045=1,IF(AA1045&lt;=0,0,BP1045*MAX(1,IF(G1045&gt;0,AA1045/G1045,1))),AB1045*Q1045)</f>
        <v/>
      </c>
      <c r="AD1045" s="55">
        <f>AA1045*F1045</f>
        <v/>
      </c>
      <c r="AE1045" s="55">
        <f>ROUNDUP(MAX(I1045/IF(BS1045&gt;0,BS1045,MAX(0.1,N(Cockpit!$C$6))),BV1045)/BN1045,0)*BN1045</f>
        <v/>
      </c>
      <c r="AF1045" s="56">
        <f>IF(AC1045&gt;0,I1045/AC1045,-1)</f>
        <v/>
      </c>
      <c r="AG1045" s="56">
        <f>IF(AND(OR(BR1045="L1",BR1045="L23"),AC1045&gt;0),SUMIFS($AC$7:$AC$1570,$BR$7:$BR$1570,BR1045,$AF$7:$AF$1570,"&gt;"&amp;AF1045)+SUMIFS($AC$7:$AC$1570,$BR$7:$BR$1570,BR1045,$AF$7:$AF$1570,AF1045,$BL$7:$BL$1570,"&lt;="&amp;BL1045),"")</f>
        <v/>
      </c>
      <c r="AH1045" s="65">
        <f>IF(AG1045="",0,MAX(0,MIN(1,(IF(BR1045="L1",Parameter!$K$5,Parameter!$K$6+Parameter!$K$7)-(AG1045-AC1045))/AC1045)))</f>
        <v/>
      </c>
      <c r="AI1045" s="55">
        <f>IF(LEFT(Cockpit!$I$5,1)="A",G1045,IF(BT1045=1,BU1045,IF(LEFT(Cockpit!$I$5,1)="B",AM1045,MAX(AM1045,G1045))))</f>
        <v/>
      </c>
      <c r="AJ1045" s="55">
        <f>IF(BO1045=1,0,ROUNDUP(AI1045/BN1045,0))</f>
        <v/>
      </c>
      <c r="AK1045" s="64">
        <f>IF(BO1045=1,IF(AI1045&lt;=0,0,BP1045*MAX(1,IF(G1045&gt;0,AI1045/G1045,1))),AJ1045*Q1045)</f>
        <v/>
      </c>
      <c r="AL1045" s="55">
        <f>AI1045*F1045</f>
        <v/>
      </c>
      <c r="AM1045" s="55">
        <f>ROUNDUP(MAX(I1045/IF(BS1045&gt;0,BS1045,MAX(0.1,N(Cockpit!$I$6))),BV1045)/BN1045,0)*BN1045</f>
        <v/>
      </c>
      <c r="AN1045" s="56">
        <f>IF(AK1045&gt;0,I1045/AK1045,-1)</f>
        <v/>
      </c>
      <c r="AO1045" s="56">
        <f>IF(AND(OR(BR1045="L1",BR1045="L23"),AK1045&gt;0),SUMIFS($AK$7:$AK$1570,$BR$7:$BR$1570,BR1045,$AN$7:$AN$1570,"&gt;"&amp;AN1045)+SUMIFS($AK$7:$AK$1570,$BR$7:$BR$1570,BR1045,$AN$7:$AN$1570,AN1045,$BL$7:$BL$1570,"&lt;="&amp;BL1045),"")</f>
        <v/>
      </c>
      <c r="AP1045" s="65">
        <f>IF(AO1045="",0,MAX(0,MIN(1,(IF(BR1045="L1",Parameter!$K$5,Parameter!$K$6+Parameter!$K$7)-(AO1045-AK1045))/AK1045)))</f>
        <v/>
      </c>
      <c r="AQ1045" s="55">
        <f>IF(LEFT(Cockpit!$O$5,1)="A",G1045,IF(BT1045=1,BU1045,IF(LEFT(Cockpit!$O$5,1)="B",AU1045,MAX(AU1045,G1045))))</f>
        <v/>
      </c>
      <c r="AR1045" s="55">
        <f>IF(BO1045=1,0,ROUNDUP(AQ1045/BN1045,0))</f>
        <v/>
      </c>
      <c r="AS1045" s="64">
        <f>IF(BO1045=1,IF(AQ1045&lt;=0,0,BP1045*MAX(1,IF(G1045&gt;0,AQ1045/G1045,1))),AR1045*Q1045)</f>
        <v/>
      </c>
      <c r="AT1045" s="55">
        <f>AQ1045*F1045</f>
        <v/>
      </c>
      <c r="AU1045" s="55">
        <f>ROUNDUP(MAX(I1045/IF(BS1045&gt;0,BS1045,MAX(0.1,N(Cockpit!$O$6))),BV1045)/BN1045,0)*BN1045</f>
        <v/>
      </c>
      <c r="AV1045" s="56">
        <f>IF(AS1045&gt;0,I1045/AS1045,-1)</f>
        <v/>
      </c>
      <c r="AW1045" s="56">
        <f>IF(AND(OR(BR1045="L1",BR1045="L23"),AS1045&gt;0),SUMIFS($AS$7:$AS$1570,$BR$7:$BR$1570,BR1045,$AV$7:$AV$1570,"&gt;"&amp;AV1045)+SUMIFS($AS$7:$AS$1570,$BR$7:$BR$1570,BR1045,$AV$7:$AV$1570,AV1045,$BL$7:$BL$1570,"&lt;="&amp;BL1045),"")</f>
        <v/>
      </c>
      <c r="AX1045" s="65">
        <f>IF(AW1045="",0,MAX(0,MIN(1,(IF(BR1045="L1",Parameter!$K$5,Parameter!$K$6+Parameter!$K$7)-(AW1045-AS1045))/AS1045)))</f>
        <v/>
      </c>
      <c r="AY1045" s="53">
        <f>IF(AC1045&lt;=0,"",IF(BR1045="Aussen","Aussenlager",IF(BR1045="-","Nicht im Lift",IF(AH1045&gt;=1,"Lift",IF(AH1045&lt;=0,"Aussenlager","teilweise")))))</f>
        <v/>
      </c>
      <c r="AZ1045" s="53">
        <f>IF(AK1045&lt;=0,"",IF(BR1045="Aussen","Aussenlager",IF(BR1045="-","Nicht im Lift",IF(AP1045&gt;=1,"Lift",IF(AP1045&lt;=0,"Aussenlager","teilweise")))))</f>
        <v/>
      </c>
      <c r="BA1045" s="53">
        <f>IF(AS1045&lt;=0,"",IF(BR1045="Aussen","Aussenlager",IF(BR1045="-","Nicht im Lift",IF(AX1045&gt;=1,"Lift",IF(AX1045&lt;=0,"Aussenlager","teilweise")))))</f>
        <v/>
      </c>
      <c r="BB1045" s="53">
        <f>IF(A1045="","",IF(BK1045=1,"Neu; ","")&amp;IF(AND(BK1045=0,BF1045&lt;0),"negativer Bestand (Export "&amp;BF1045&amp;"); ","")&amp;IF(I1045&lt;=0,"Kein Verbrauch; ","")&amp;IF(BO1045=1,"Lose – Fläche geschätzt; ","")&amp;IF(G1045&gt;AM1045,"Überbestand "&amp;ROUND(G1045-AM1045,0)&amp;" Stk / CHF "&amp;ROUND((G1045-AM1045)*F1045,0)&amp;"; ","")&amp;IF(AND(BT1045=1,BU1045&lt;BV1045),"MAX &lt; MB+LG; ","")&amp;IF(AND(BZ1045&gt;0,BY1045*10&gt;BZ1045),"zu hoch für Tablar; ","")&amp;IF(AND(BK1045=0,OR(BT1045=1,V1045&lt;&gt;"",S1045&lt;&gt;"",T1045&lt;&gt;"",W1045&lt;&gt;"")),"manuell übersteuert; ","")&amp;IF(AND(BO1045=0,Q1045=0),"Gebinde unbekannt; ","")&amp;IF(AND(BO1045=0,N(T1045)&lt;=0,N(P1045)&lt;=0),"Menge pro Gebinde fehlt (Ist = 1 Gebinde); ","")&amp;BJ1045)</f>
        <v/>
      </c>
      <c r="BC1045" s="53" t="n"/>
      <c r="BD1045" s="53" t="n"/>
      <c r="BE1045" s="61" t="n"/>
      <c r="BF1045" s="55" t="n">
        <v>-9</v>
      </c>
      <c r="BG1045" s="55" t="n">
        <v>18</v>
      </c>
      <c r="BH1045" s="54" t="n">
        <v>-138.78</v>
      </c>
      <c r="BI1045" s="55" t="n">
        <v>4</v>
      </c>
      <c r="BJ1045" s="53" t="inlineStr"/>
      <c r="BK1045" s="58" t="n">
        <v>0</v>
      </c>
      <c r="BL1045" s="58" t="n">
        <v>1045</v>
      </c>
      <c r="BM1045" s="53">
        <f>IF(S1045&lt;&gt;"",UPPER(TRIM(S1045)),IF(O1045="","LOSE",O1045))</f>
        <v/>
      </c>
      <c r="BN1045" s="55">
        <f>IF(BM1045="LOSE",1,IF(N(T1045)&gt;0,T1045,IF(N(P1045)&gt;0,P1045,MAX(1,G1045))))</f>
        <v/>
      </c>
      <c r="BO1045" s="58">
        <f>IF(BM1045="LOSE",1,0)</f>
        <v/>
      </c>
      <c r="BP1045" s="64">
        <f>IF(BO1045=0,0,IF(N(R1045)&gt;0,R1045,IFERROR(VLOOKUP(D1045,Parameter!$A$35:$C$64,3,0)+0,0)))</f>
        <v/>
      </c>
      <c r="BQ1045" s="53">
        <f>IF(V1045&lt;&gt;"",V1045,U1045)</f>
        <v/>
      </c>
      <c r="BR1045" s="53">
        <f>IF(BQ1045=1,"L1",IF(OR(BQ1045=2,BQ1045=3),"L23",IF(BQ1045="Aussen","Aussen","-")))</f>
        <v/>
      </c>
      <c r="BS1045" s="66">
        <f>IF(N(W1045)&gt;0,W1045,0)</f>
        <v/>
      </c>
      <c r="BT1045" s="58">
        <f>IF(ISNUMBER(Z1045),1,0)</f>
        <v/>
      </c>
      <c r="BU1045" s="55">
        <f>N(Z1045)</f>
        <v/>
      </c>
      <c r="BV1045" s="55">
        <f>N(L1045)+N(M1045)</f>
        <v/>
      </c>
      <c r="BW1045" s="55">
        <f>ROUNDUP(G1045/BN1045,0)</f>
        <v/>
      </c>
      <c r="BX1045" s="55">
        <f>ROUNDUP(BU1045/BN1045,0)</f>
        <v/>
      </c>
      <c r="BY1045" s="58">
        <f>IF(BO1045=1,0,IFERROR(VLOOKUP(BM1045,'Gebinde-Kategorie'!$A$5:$G$45,5,0)+0,0))</f>
        <v/>
      </c>
      <c r="BZ1045" s="58">
        <f>IFERROR(IF(OR(BQ1045=1,BQ1045=2,BQ1045=3),N(INDEX(Parameter!$I$5:$I$7,BQ1045)),0),0)</f>
        <v/>
      </c>
    </row>
    <row r="1046">
      <c r="A1046" s="53" t="inlineStr">
        <is>
          <t>005759</t>
        </is>
      </c>
      <c r="B1046" s="53" t="inlineStr">
        <is>
          <t>Adapter Edelstahl</t>
        </is>
      </c>
      <c r="C1046" s="53" t="inlineStr">
        <is>
          <t>F</t>
        </is>
      </c>
      <c r="D1046" s="53" t="inlineStr">
        <is>
          <t>KTL</t>
        </is>
      </c>
      <c r="E1046" s="53" t="inlineStr">
        <is>
          <t>C</t>
        </is>
      </c>
      <c r="F1046" s="54" t="n">
        <v>7.91</v>
      </c>
      <c r="G1046" s="55">
        <f>MAX(0,IF(Parameter!$B$20="Jahresanfang 2025 + Export",BG1046+BF1046,BF1046))</f>
        <v/>
      </c>
      <c r="H1046" s="55">
        <f>G1046*F1046</f>
        <v/>
      </c>
      <c r="I1046" s="55">
        <f>BI1046*Parameter!$B$18</f>
        <v/>
      </c>
      <c r="J1046" s="56" t="n">
        <v>133</v>
      </c>
      <c r="K1046" s="57" t="n">
        <v>2.857142857142857</v>
      </c>
      <c r="L1046" s="55" t="n">
        <v>25</v>
      </c>
      <c r="M1046" s="55" t="n">
        <v>80</v>
      </c>
      <c r="N1046" s="58" t="n">
        <v>21</v>
      </c>
      <c r="O1046" s="53" t="inlineStr">
        <is>
          <t>S33</t>
        </is>
      </c>
      <c r="P1046" s="55" t="n">
        <v>117</v>
      </c>
      <c r="Q1046" s="59">
        <f>IF(BO1046=1,0,IFERROR(VLOOKUP(BM1046,'Gebinde-Kategorie'!$A$5:$G$45,6,0)+0,0))</f>
        <v/>
      </c>
      <c r="R1046" s="60" t="n"/>
      <c r="S1046" s="61" t="n"/>
      <c r="T1046" s="61" t="n"/>
      <c r="U1046" s="53">
        <f>IF(A1046="","",IF(IFERROR(VLOOKUP(D1046,Parameter!$A$35:$C$64,2,0),"Nein")="2+3",IF(ISNUMBER(SEARCH("grosser Artikel",BJ1046)),2,IFERROR(VLOOKUP(BM1046,Parameter!$F$35:$G$64,2,0),2)),IF(OR(IFERROR(VLOOKUP(D1046,Parameter!$A$35:$C$64,2,0),"Nein")="Nein",IFERROR(VLOOKUP(D1046,Parameter!$A$35:$C$64,2,0),"Nein")=""),"-",VLOOKUP(D1046,Parameter!$A$35:$C$64,2,0))))</f>
        <v/>
      </c>
      <c r="V1046" s="61" t="n"/>
      <c r="W1046" s="62" t="n"/>
      <c r="X1046" s="55">
        <f>AM1046</f>
        <v/>
      </c>
      <c r="Y1046" s="55">
        <f>MAX(AM1046,G1046)</f>
        <v/>
      </c>
      <c r="Z1046" s="63" t="n"/>
      <c r="AA1046" s="55">
        <f>IF(LEFT(Cockpit!$C$5,1)="A",G1046,IF(BT1046=1,BU1046,IF(LEFT(Cockpit!$C$5,1)="B",AE1046,MAX(AE1046,G1046))))</f>
        <v/>
      </c>
      <c r="AB1046" s="55">
        <f>IF(BO1046=1,0,ROUNDUP(AA1046/BN1046,0))</f>
        <v/>
      </c>
      <c r="AC1046" s="64">
        <f>IF(BO1046=1,IF(AA1046&lt;=0,0,BP1046*MAX(1,IF(G1046&gt;0,AA1046/G1046,1))),AB1046*Q1046)</f>
        <v/>
      </c>
      <c r="AD1046" s="55">
        <f>AA1046*F1046</f>
        <v/>
      </c>
      <c r="AE1046" s="55">
        <f>ROUNDUP(MAX(I1046/IF(BS1046&gt;0,BS1046,MAX(0.1,N(Cockpit!$C$6))),BV1046)/BN1046,0)*BN1046</f>
        <v/>
      </c>
      <c r="AF1046" s="56">
        <f>IF(AC1046&gt;0,I1046/AC1046,-1)</f>
        <v/>
      </c>
      <c r="AG1046" s="56">
        <f>IF(AND(OR(BR1046="L1",BR1046="L23"),AC1046&gt;0),SUMIFS($AC$7:$AC$1570,$BR$7:$BR$1570,BR1046,$AF$7:$AF$1570,"&gt;"&amp;AF1046)+SUMIFS($AC$7:$AC$1570,$BR$7:$BR$1570,BR1046,$AF$7:$AF$1570,AF1046,$BL$7:$BL$1570,"&lt;="&amp;BL1046),"")</f>
        <v/>
      </c>
      <c r="AH1046" s="65">
        <f>IF(AG1046="",0,MAX(0,MIN(1,(IF(BR1046="L1",Parameter!$K$5,Parameter!$K$6+Parameter!$K$7)-(AG1046-AC1046))/AC1046)))</f>
        <v/>
      </c>
      <c r="AI1046" s="55">
        <f>IF(LEFT(Cockpit!$I$5,1)="A",G1046,IF(BT1046=1,BU1046,IF(LEFT(Cockpit!$I$5,1)="B",AM1046,MAX(AM1046,G1046))))</f>
        <v/>
      </c>
      <c r="AJ1046" s="55">
        <f>IF(BO1046=1,0,ROUNDUP(AI1046/BN1046,0))</f>
        <v/>
      </c>
      <c r="AK1046" s="64">
        <f>IF(BO1046=1,IF(AI1046&lt;=0,0,BP1046*MAX(1,IF(G1046&gt;0,AI1046/G1046,1))),AJ1046*Q1046)</f>
        <v/>
      </c>
      <c r="AL1046" s="55">
        <f>AI1046*F1046</f>
        <v/>
      </c>
      <c r="AM1046" s="55">
        <f>ROUNDUP(MAX(I1046/IF(BS1046&gt;0,BS1046,MAX(0.1,N(Cockpit!$I$6))),BV1046)/BN1046,0)*BN1046</f>
        <v/>
      </c>
      <c r="AN1046" s="56">
        <f>IF(AK1046&gt;0,I1046/AK1046,-1)</f>
        <v/>
      </c>
      <c r="AO1046" s="56">
        <f>IF(AND(OR(BR1046="L1",BR1046="L23"),AK1046&gt;0),SUMIFS($AK$7:$AK$1570,$BR$7:$BR$1570,BR1046,$AN$7:$AN$1570,"&gt;"&amp;AN1046)+SUMIFS($AK$7:$AK$1570,$BR$7:$BR$1570,BR1046,$AN$7:$AN$1570,AN1046,$BL$7:$BL$1570,"&lt;="&amp;BL1046),"")</f>
        <v/>
      </c>
      <c r="AP1046" s="65">
        <f>IF(AO1046="",0,MAX(0,MIN(1,(IF(BR1046="L1",Parameter!$K$5,Parameter!$K$6+Parameter!$K$7)-(AO1046-AK1046))/AK1046)))</f>
        <v/>
      </c>
      <c r="AQ1046" s="55">
        <f>IF(LEFT(Cockpit!$O$5,1)="A",G1046,IF(BT1046=1,BU1046,IF(LEFT(Cockpit!$O$5,1)="B",AU1046,MAX(AU1046,G1046))))</f>
        <v/>
      </c>
      <c r="AR1046" s="55">
        <f>IF(BO1046=1,0,ROUNDUP(AQ1046/BN1046,0))</f>
        <v/>
      </c>
      <c r="AS1046" s="64">
        <f>IF(BO1046=1,IF(AQ1046&lt;=0,0,BP1046*MAX(1,IF(G1046&gt;0,AQ1046/G1046,1))),AR1046*Q1046)</f>
        <v/>
      </c>
      <c r="AT1046" s="55">
        <f>AQ1046*F1046</f>
        <v/>
      </c>
      <c r="AU1046" s="55">
        <f>ROUNDUP(MAX(I1046/IF(BS1046&gt;0,BS1046,MAX(0.1,N(Cockpit!$O$6))),BV1046)/BN1046,0)*BN1046</f>
        <v/>
      </c>
      <c r="AV1046" s="56">
        <f>IF(AS1046&gt;0,I1046/AS1046,-1)</f>
        <v/>
      </c>
      <c r="AW1046" s="56">
        <f>IF(AND(OR(BR1046="L1",BR1046="L23"),AS1046&gt;0),SUMIFS($AS$7:$AS$1570,$BR$7:$BR$1570,BR1046,$AV$7:$AV$1570,"&gt;"&amp;AV1046)+SUMIFS($AS$7:$AS$1570,$BR$7:$BR$1570,BR1046,$AV$7:$AV$1570,AV1046,$BL$7:$BL$1570,"&lt;="&amp;BL1046),"")</f>
        <v/>
      </c>
      <c r="AX1046" s="65">
        <f>IF(AW1046="",0,MAX(0,MIN(1,(IF(BR1046="L1",Parameter!$K$5,Parameter!$K$6+Parameter!$K$7)-(AW1046-AS1046))/AS1046)))</f>
        <v/>
      </c>
      <c r="AY1046" s="53">
        <f>IF(AC1046&lt;=0,"",IF(BR1046="Aussen","Aussenlager",IF(BR1046="-","Nicht im Lift",IF(AH1046&gt;=1,"Lift",IF(AH1046&lt;=0,"Aussenlager","teilweise")))))</f>
        <v/>
      </c>
      <c r="AZ1046" s="53">
        <f>IF(AK1046&lt;=0,"",IF(BR1046="Aussen","Aussenlager",IF(BR1046="-","Nicht im Lift",IF(AP1046&gt;=1,"Lift",IF(AP1046&lt;=0,"Aussenlager","teilweise")))))</f>
        <v/>
      </c>
      <c r="BA1046" s="53">
        <f>IF(AS1046&lt;=0,"",IF(BR1046="Aussen","Aussenlager",IF(BR1046="-","Nicht im Lift",IF(AX1046&gt;=1,"Lift",IF(AX1046&lt;=0,"Aussenlager","teilweise")))))</f>
        <v/>
      </c>
      <c r="BB1046" s="53">
        <f>IF(A1046="","",IF(BK1046=1,"Neu; ","")&amp;IF(AND(BK1046=0,BF1046&lt;0),"negativer Bestand (Export "&amp;BF1046&amp;"); ","")&amp;IF(I1046&lt;=0,"Kein Verbrauch; ","")&amp;IF(BO1046=1,"Lose – Fläche geschätzt; ","")&amp;IF(G1046&gt;AM1046,"Überbestand "&amp;ROUND(G1046-AM1046,0)&amp;" Stk / CHF "&amp;ROUND((G1046-AM1046)*F1046,0)&amp;"; ","")&amp;IF(AND(BT1046=1,BU1046&lt;BV1046),"MAX &lt; MB+LG; ","")&amp;IF(AND(BZ1046&gt;0,BY1046*10&gt;BZ1046),"zu hoch für Tablar; ","")&amp;IF(AND(BK1046=0,OR(BT1046=1,V1046&lt;&gt;"",S1046&lt;&gt;"",T1046&lt;&gt;"",W1046&lt;&gt;"")),"manuell übersteuert; ","")&amp;IF(AND(BO1046=0,Q1046=0),"Gebinde unbekannt; ","")&amp;IF(AND(BO1046=0,N(T1046)&lt;=0,N(P1046)&lt;=0),"Menge pro Gebinde fehlt (Ist = 1 Gebinde); ","")&amp;BJ1046)</f>
        <v/>
      </c>
      <c r="BC1046" s="53" t="n"/>
      <c r="BD1046" s="53" t="n"/>
      <c r="BE1046" s="61" t="n"/>
      <c r="BF1046" s="55" t="n">
        <v>-16</v>
      </c>
      <c r="BG1046" s="55" t="n">
        <v>124</v>
      </c>
      <c r="BH1046" s="54" t="n">
        <v>-138.9599999999995</v>
      </c>
      <c r="BI1046" s="55" t="n">
        <v>380</v>
      </c>
      <c r="BJ1046" s="53" t="inlineStr"/>
      <c r="BK1046" s="58" t="n">
        <v>0</v>
      </c>
      <c r="BL1046" s="58" t="n">
        <v>1046</v>
      </c>
      <c r="BM1046" s="53">
        <f>IF(S1046&lt;&gt;"",UPPER(TRIM(S1046)),IF(O1046="","LOSE",O1046))</f>
        <v/>
      </c>
      <c r="BN1046" s="55">
        <f>IF(BM1046="LOSE",1,IF(N(T1046)&gt;0,T1046,IF(N(P1046)&gt;0,P1046,MAX(1,G1046))))</f>
        <v/>
      </c>
      <c r="BO1046" s="58">
        <f>IF(BM1046="LOSE",1,0)</f>
        <v/>
      </c>
      <c r="BP1046" s="64">
        <f>IF(BO1046=0,0,IF(N(R1046)&gt;0,R1046,IFERROR(VLOOKUP(D1046,Parameter!$A$35:$C$64,3,0)+0,0)))</f>
        <v/>
      </c>
      <c r="BQ1046" s="53">
        <f>IF(V1046&lt;&gt;"",V1046,U1046)</f>
        <v/>
      </c>
      <c r="BR1046" s="53">
        <f>IF(BQ1046=1,"L1",IF(OR(BQ1046=2,BQ1046=3),"L23",IF(BQ1046="Aussen","Aussen","-")))</f>
        <v/>
      </c>
      <c r="BS1046" s="66">
        <f>IF(N(W1046)&gt;0,W1046,0)</f>
        <v/>
      </c>
      <c r="BT1046" s="58">
        <f>IF(ISNUMBER(Z1046),1,0)</f>
        <v/>
      </c>
      <c r="BU1046" s="55">
        <f>N(Z1046)</f>
        <v/>
      </c>
      <c r="BV1046" s="55">
        <f>N(L1046)+N(M1046)</f>
        <v/>
      </c>
      <c r="BW1046" s="55">
        <f>ROUNDUP(G1046/BN1046,0)</f>
        <v/>
      </c>
      <c r="BX1046" s="55">
        <f>ROUNDUP(BU1046/BN1046,0)</f>
        <v/>
      </c>
      <c r="BY1046" s="58">
        <f>IF(BO1046=1,0,IFERROR(VLOOKUP(BM1046,'Gebinde-Kategorie'!$A$5:$G$45,5,0)+0,0))</f>
        <v/>
      </c>
      <c r="BZ1046" s="58">
        <f>IFERROR(IF(OR(BQ1046=1,BQ1046=2,BQ1046=3),N(INDEX(Parameter!$I$5:$I$7,BQ1046)),0),0)</f>
        <v/>
      </c>
    </row>
    <row r="1047">
      <c r="A1047" s="53" t="inlineStr">
        <is>
          <t>100629</t>
        </is>
      </c>
      <c r="B1047" s="53" t="inlineStr">
        <is>
          <t>Adapter Edelstahl</t>
        </is>
      </c>
      <c r="C1047" s="53" t="inlineStr">
        <is>
          <t>F</t>
        </is>
      </c>
      <c r="D1047" s="53" t="inlineStr">
        <is>
          <t>KTL</t>
        </is>
      </c>
      <c r="E1047" s="53" t="inlineStr">
        <is>
          <t>C</t>
        </is>
      </c>
      <c r="F1047" s="54" t="n">
        <v>17.52</v>
      </c>
      <c r="G1047" s="55">
        <f>MAX(0,IF(Parameter!$B$20="Jahresanfang 2025 + Export",BG1047+BF1047,BF1047))</f>
        <v/>
      </c>
      <c r="H1047" s="55">
        <f>G1047*F1047</f>
        <v/>
      </c>
      <c r="I1047" s="55">
        <f>BI1047*Parameter!$B$18</f>
        <v/>
      </c>
      <c r="J1047" s="56" t="n">
        <v>76.5</v>
      </c>
      <c r="K1047" s="57" t="n">
        <v>0.0915032679738562</v>
      </c>
      <c r="L1047" s="55" t="n">
        <v>0</v>
      </c>
      <c r="M1047" s="55" t="n">
        <v>5</v>
      </c>
      <c r="N1047" s="58" t="n">
        <v>14</v>
      </c>
      <c r="O1047" s="53" t="inlineStr">
        <is>
          <t>S33</t>
        </is>
      </c>
      <c r="P1047" s="55" t="n">
        <v>202</v>
      </c>
      <c r="Q1047" s="59">
        <f>IF(BO1047=1,0,IFERROR(VLOOKUP(BM1047,'Gebinde-Kategorie'!$A$5:$G$45,6,0)+0,0))</f>
        <v/>
      </c>
      <c r="R1047" s="60" t="n"/>
      <c r="S1047" s="61" t="n"/>
      <c r="T1047" s="61" t="n"/>
      <c r="U1047" s="53">
        <f>IF(A1047="","",IF(IFERROR(VLOOKUP(D1047,Parameter!$A$35:$C$64,2,0),"Nein")="2+3",IF(ISNUMBER(SEARCH("grosser Artikel",BJ1047)),2,IFERROR(VLOOKUP(BM1047,Parameter!$F$35:$G$64,2,0),2)),IF(OR(IFERROR(VLOOKUP(D1047,Parameter!$A$35:$C$64,2,0),"Nein")="Nein",IFERROR(VLOOKUP(D1047,Parameter!$A$35:$C$64,2,0),"Nein")=""),"-",VLOOKUP(D1047,Parameter!$A$35:$C$64,2,0))))</f>
        <v/>
      </c>
      <c r="V1047" s="61" t="n"/>
      <c r="W1047" s="62" t="n"/>
      <c r="X1047" s="55">
        <f>AM1047</f>
        <v/>
      </c>
      <c r="Y1047" s="55">
        <f>MAX(AM1047,G1047)</f>
        <v/>
      </c>
      <c r="Z1047" s="63" t="n"/>
      <c r="AA1047" s="55">
        <f>IF(LEFT(Cockpit!$C$5,1)="A",G1047,IF(BT1047=1,BU1047,IF(LEFT(Cockpit!$C$5,1)="B",AE1047,MAX(AE1047,G1047))))</f>
        <v/>
      </c>
      <c r="AB1047" s="55">
        <f>IF(BO1047=1,0,ROUNDUP(AA1047/BN1047,0))</f>
        <v/>
      </c>
      <c r="AC1047" s="64">
        <f>IF(BO1047=1,IF(AA1047&lt;=0,0,BP1047*MAX(1,IF(G1047&gt;0,AA1047/G1047,1))),AB1047*Q1047)</f>
        <v/>
      </c>
      <c r="AD1047" s="55">
        <f>AA1047*F1047</f>
        <v/>
      </c>
      <c r="AE1047" s="55">
        <f>ROUNDUP(MAX(I1047/IF(BS1047&gt;0,BS1047,MAX(0.1,N(Cockpit!$C$6))),BV1047)/BN1047,0)*BN1047</f>
        <v/>
      </c>
      <c r="AF1047" s="56">
        <f>IF(AC1047&gt;0,I1047/AC1047,-1)</f>
        <v/>
      </c>
      <c r="AG1047" s="56">
        <f>IF(AND(OR(BR1047="L1",BR1047="L23"),AC1047&gt;0),SUMIFS($AC$7:$AC$1570,$BR$7:$BR$1570,BR1047,$AF$7:$AF$1570,"&gt;"&amp;AF1047)+SUMIFS($AC$7:$AC$1570,$BR$7:$BR$1570,BR1047,$AF$7:$AF$1570,AF1047,$BL$7:$BL$1570,"&lt;="&amp;BL1047),"")</f>
        <v/>
      </c>
      <c r="AH1047" s="65">
        <f>IF(AG1047="",0,MAX(0,MIN(1,(IF(BR1047="L1",Parameter!$K$5,Parameter!$K$6+Parameter!$K$7)-(AG1047-AC1047))/AC1047)))</f>
        <v/>
      </c>
      <c r="AI1047" s="55">
        <f>IF(LEFT(Cockpit!$I$5,1)="A",G1047,IF(BT1047=1,BU1047,IF(LEFT(Cockpit!$I$5,1)="B",AM1047,MAX(AM1047,G1047))))</f>
        <v/>
      </c>
      <c r="AJ1047" s="55">
        <f>IF(BO1047=1,0,ROUNDUP(AI1047/BN1047,0))</f>
        <v/>
      </c>
      <c r="AK1047" s="64">
        <f>IF(BO1047=1,IF(AI1047&lt;=0,0,BP1047*MAX(1,IF(G1047&gt;0,AI1047/G1047,1))),AJ1047*Q1047)</f>
        <v/>
      </c>
      <c r="AL1047" s="55">
        <f>AI1047*F1047</f>
        <v/>
      </c>
      <c r="AM1047" s="55">
        <f>ROUNDUP(MAX(I1047/IF(BS1047&gt;0,BS1047,MAX(0.1,N(Cockpit!$I$6))),BV1047)/BN1047,0)*BN1047</f>
        <v/>
      </c>
      <c r="AN1047" s="56">
        <f>IF(AK1047&gt;0,I1047/AK1047,-1)</f>
        <v/>
      </c>
      <c r="AO1047" s="56">
        <f>IF(AND(OR(BR1047="L1",BR1047="L23"),AK1047&gt;0),SUMIFS($AK$7:$AK$1570,$BR$7:$BR$1570,BR1047,$AN$7:$AN$1570,"&gt;"&amp;AN1047)+SUMIFS($AK$7:$AK$1570,$BR$7:$BR$1570,BR1047,$AN$7:$AN$1570,AN1047,$BL$7:$BL$1570,"&lt;="&amp;BL1047),"")</f>
        <v/>
      </c>
      <c r="AP1047" s="65">
        <f>IF(AO1047="",0,MAX(0,MIN(1,(IF(BR1047="L1",Parameter!$K$5,Parameter!$K$6+Parameter!$K$7)-(AO1047-AK1047))/AK1047)))</f>
        <v/>
      </c>
      <c r="AQ1047" s="55">
        <f>IF(LEFT(Cockpit!$O$5,1)="A",G1047,IF(BT1047=1,BU1047,IF(LEFT(Cockpit!$O$5,1)="B",AU1047,MAX(AU1047,G1047))))</f>
        <v/>
      </c>
      <c r="AR1047" s="55">
        <f>IF(BO1047=1,0,ROUNDUP(AQ1047/BN1047,0))</f>
        <v/>
      </c>
      <c r="AS1047" s="64">
        <f>IF(BO1047=1,IF(AQ1047&lt;=0,0,BP1047*MAX(1,IF(G1047&gt;0,AQ1047/G1047,1))),AR1047*Q1047)</f>
        <v/>
      </c>
      <c r="AT1047" s="55">
        <f>AQ1047*F1047</f>
        <v/>
      </c>
      <c r="AU1047" s="55">
        <f>ROUNDUP(MAX(I1047/IF(BS1047&gt;0,BS1047,MAX(0.1,N(Cockpit!$O$6))),BV1047)/BN1047,0)*BN1047</f>
        <v/>
      </c>
      <c r="AV1047" s="56">
        <f>IF(AS1047&gt;0,I1047/AS1047,-1)</f>
        <v/>
      </c>
      <c r="AW1047" s="56">
        <f>IF(AND(OR(BR1047="L1",BR1047="L23"),AS1047&gt;0),SUMIFS($AS$7:$AS$1570,$BR$7:$BR$1570,BR1047,$AV$7:$AV$1570,"&gt;"&amp;AV1047)+SUMIFS($AS$7:$AS$1570,$BR$7:$BR$1570,BR1047,$AV$7:$AV$1570,AV1047,$BL$7:$BL$1570,"&lt;="&amp;BL1047),"")</f>
        <v/>
      </c>
      <c r="AX1047" s="65">
        <f>IF(AW1047="",0,MAX(0,MIN(1,(IF(BR1047="L1",Parameter!$K$5,Parameter!$K$6+Parameter!$K$7)-(AW1047-AS1047))/AS1047)))</f>
        <v/>
      </c>
      <c r="AY1047" s="53">
        <f>IF(AC1047&lt;=0,"",IF(BR1047="Aussen","Aussenlager",IF(BR1047="-","Nicht im Lift",IF(AH1047&gt;=1,"Lift",IF(AH1047&lt;=0,"Aussenlager","teilweise")))))</f>
        <v/>
      </c>
      <c r="AZ1047" s="53">
        <f>IF(AK1047&lt;=0,"",IF(BR1047="Aussen","Aussenlager",IF(BR1047="-","Nicht im Lift",IF(AP1047&gt;=1,"Lift",IF(AP1047&lt;=0,"Aussenlager","teilweise")))))</f>
        <v/>
      </c>
      <c r="BA1047" s="53">
        <f>IF(AS1047&lt;=0,"",IF(BR1047="Aussen","Aussenlager",IF(BR1047="-","Nicht im Lift",IF(AX1047&gt;=1,"Lift",IF(AX1047&lt;=0,"Aussenlager","teilweise")))))</f>
        <v/>
      </c>
      <c r="BB1047" s="53">
        <f>IF(A1047="","",IF(BK1047=1,"Neu; ","")&amp;IF(AND(BK1047=0,BF1047&lt;0),"negativer Bestand (Export "&amp;BF1047&amp;"); ","")&amp;IF(I1047&lt;=0,"Kein Verbrauch; ","")&amp;IF(BO1047=1,"Lose – Fläche geschätzt; ","")&amp;IF(G1047&gt;AM1047,"Überbestand "&amp;ROUND(G1047-AM1047,0)&amp;" Stk / CHF "&amp;ROUND((G1047-AM1047)*F1047,0)&amp;"; ","")&amp;IF(AND(BT1047=1,BU1047&lt;BV1047),"MAX &lt; MB+LG; ","")&amp;IF(AND(BZ1047&gt;0,BY1047*10&gt;BZ1047),"zu hoch für Tablar; ","")&amp;IF(AND(BK1047=0,OR(BT1047=1,V1047&lt;&gt;"",S1047&lt;&gt;"",T1047&lt;&gt;"",W1047&lt;&gt;"")),"manuell übersteuert; ","")&amp;IF(AND(BO1047=0,Q1047=0),"Gebinde unbekannt; ","")&amp;IF(AND(BO1047=0,N(T1047)&lt;=0,N(P1047)&lt;=0),"Menge pro Gebinde fehlt (Ist = 1 Gebinde); ","")&amp;BJ1047)</f>
        <v/>
      </c>
      <c r="BC1047" s="53" t="n"/>
      <c r="BD1047" s="53" t="n"/>
      <c r="BE1047" s="61" t="n"/>
      <c r="BF1047" s="55" t="n">
        <v>-8</v>
      </c>
      <c r="BG1047" s="55" t="n">
        <v>80</v>
      </c>
      <c r="BH1047" s="54" t="n">
        <v>-140.16</v>
      </c>
      <c r="BI1047" s="55" t="n">
        <v>7</v>
      </c>
      <c r="BJ1047" s="53" t="inlineStr">
        <is>
          <t>Überbestand</t>
        </is>
      </c>
      <c r="BK1047" s="58" t="n">
        <v>0</v>
      </c>
      <c r="BL1047" s="58" t="n">
        <v>1047</v>
      </c>
      <c r="BM1047" s="53">
        <f>IF(S1047&lt;&gt;"",UPPER(TRIM(S1047)),IF(O1047="","LOSE",O1047))</f>
        <v/>
      </c>
      <c r="BN1047" s="55">
        <f>IF(BM1047="LOSE",1,IF(N(T1047)&gt;0,T1047,IF(N(P1047)&gt;0,P1047,MAX(1,G1047))))</f>
        <v/>
      </c>
      <c r="BO1047" s="58">
        <f>IF(BM1047="LOSE",1,0)</f>
        <v/>
      </c>
      <c r="BP1047" s="64">
        <f>IF(BO1047=0,0,IF(N(R1047)&gt;0,R1047,IFERROR(VLOOKUP(D1047,Parameter!$A$35:$C$64,3,0)+0,0)))</f>
        <v/>
      </c>
      <c r="BQ1047" s="53">
        <f>IF(V1047&lt;&gt;"",V1047,U1047)</f>
        <v/>
      </c>
      <c r="BR1047" s="53">
        <f>IF(BQ1047=1,"L1",IF(OR(BQ1047=2,BQ1047=3),"L23",IF(BQ1047="Aussen","Aussen","-")))</f>
        <v/>
      </c>
      <c r="BS1047" s="66">
        <f>IF(N(W1047)&gt;0,W1047,0)</f>
        <v/>
      </c>
      <c r="BT1047" s="58">
        <f>IF(ISNUMBER(Z1047),1,0)</f>
        <v/>
      </c>
      <c r="BU1047" s="55">
        <f>N(Z1047)</f>
        <v/>
      </c>
      <c r="BV1047" s="55">
        <f>N(L1047)+N(M1047)</f>
        <v/>
      </c>
      <c r="BW1047" s="55">
        <f>ROUNDUP(G1047/BN1047,0)</f>
        <v/>
      </c>
      <c r="BX1047" s="55">
        <f>ROUNDUP(BU1047/BN1047,0)</f>
        <v/>
      </c>
      <c r="BY1047" s="58">
        <f>IF(BO1047=1,0,IFERROR(VLOOKUP(BM1047,'Gebinde-Kategorie'!$A$5:$G$45,5,0)+0,0))</f>
        <v/>
      </c>
      <c r="BZ1047" s="58">
        <f>IFERROR(IF(OR(BQ1047=1,BQ1047=2,BQ1047=3),N(INDEX(Parameter!$I$5:$I$7,BQ1047)),0),0)</f>
        <v/>
      </c>
    </row>
    <row r="1048">
      <c r="A1048" s="53" t="inlineStr">
        <is>
          <t>005162</t>
        </is>
      </c>
      <c r="B1048" s="53" t="inlineStr">
        <is>
          <t>Reihenklemme</t>
        </is>
      </c>
      <c r="C1048" s="53" t="inlineStr">
        <is>
          <t>F</t>
        </is>
      </c>
      <c r="D1048" s="53" t="inlineStr">
        <is>
          <t>KTL</t>
        </is>
      </c>
      <c r="E1048" s="53" t="inlineStr">
        <is>
          <t>C</t>
        </is>
      </c>
      <c r="F1048" s="54" t="n">
        <v>0.83</v>
      </c>
      <c r="G1048" s="55">
        <f>MAX(0,IF(Parameter!$B$20="Jahresanfang 2025 + Export",BG1048+BF1048,BF1048))</f>
        <v/>
      </c>
      <c r="H1048" s="55">
        <f>G1048*F1048</f>
        <v/>
      </c>
      <c r="I1048" s="55">
        <f>BI1048*Parameter!$B$18</f>
        <v/>
      </c>
      <c r="J1048" s="56" t="n">
        <v>38.5</v>
      </c>
      <c r="K1048" s="57" t="n">
        <v>0</v>
      </c>
      <c r="L1048" s="55" t="n">
        <v>0</v>
      </c>
      <c r="M1048" s="55" t="n">
        <v>1</v>
      </c>
      <c r="N1048" s="58" t="n">
        <v>21</v>
      </c>
      <c r="O1048" s="53" t="inlineStr">
        <is>
          <t>S32</t>
        </is>
      </c>
      <c r="P1048" s="55" t="n">
        <v>54</v>
      </c>
      <c r="Q1048" s="59">
        <f>IF(BO1048=1,0,IFERROR(VLOOKUP(BM1048,'Gebinde-Kategorie'!$A$5:$G$45,6,0)+0,0))</f>
        <v/>
      </c>
      <c r="R1048" s="60" t="n"/>
      <c r="S1048" s="61" t="n"/>
      <c r="T1048" s="61" t="n"/>
      <c r="U1048" s="53">
        <f>IF(A1048="","",IF(IFERROR(VLOOKUP(D1048,Parameter!$A$35:$C$64,2,0),"Nein")="2+3",IF(ISNUMBER(SEARCH("grosser Artikel",BJ1048)),2,IFERROR(VLOOKUP(BM1048,Parameter!$F$35:$G$64,2,0),2)),IF(OR(IFERROR(VLOOKUP(D1048,Parameter!$A$35:$C$64,2,0),"Nein")="Nein",IFERROR(VLOOKUP(D1048,Parameter!$A$35:$C$64,2,0),"Nein")=""),"-",VLOOKUP(D1048,Parameter!$A$35:$C$64,2,0))))</f>
        <v/>
      </c>
      <c r="V1048" s="61" t="n"/>
      <c r="W1048" s="62" t="n"/>
      <c r="X1048" s="55">
        <f>AM1048</f>
        <v/>
      </c>
      <c r="Y1048" s="55">
        <f>MAX(AM1048,G1048)</f>
        <v/>
      </c>
      <c r="Z1048" s="63" t="n"/>
      <c r="AA1048" s="55">
        <f>IF(LEFT(Cockpit!$C$5,1)="A",G1048,IF(BT1048=1,BU1048,IF(LEFT(Cockpit!$C$5,1)="B",AE1048,MAX(AE1048,G1048))))</f>
        <v/>
      </c>
      <c r="AB1048" s="55">
        <f>IF(BO1048=1,0,ROUNDUP(AA1048/BN1048,0))</f>
        <v/>
      </c>
      <c r="AC1048" s="64">
        <f>IF(BO1048=1,IF(AA1048&lt;=0,0,BP1048*MAX(1,IF(G1048&gt;0,AA1048/G1048,1))),AB1048*Q1048)</f>
        <v/>
      </c>
      <c r="AD1048" s="55">
        <f>AA1048*F1048</f>
        <v/>
      </c>
      <c r="AE1048" s="55">
        <f>ROUNDUP(MAX(I1048/IF(BS1048&gt;0,BS1048,MAX(0.1,N(Cockpit!$C$6))),BV1048)/BN1048,0)*BN1048</f>
        <v/>
      </c>
      <c r="AF1048" s="56">
        <f>IF(AC1048&gt;0,I1048/AC1048,-1)</f>
        <v/>
      </c>
      <c r="AG1048" s="56">
        <f>IF(AND(OR(BR1048="L1",BR1048="L23"),AC1048&gt;0),SUMIFS($AC$7:$AC$1570,$BR$7:$BR$1570,BR1048,$AF$7:$AF$1570,"&gt;"&amp;AF1048)+SUMIFS($AC$7:$AC$1570,$BR$7:$BR$1570,BR1048,$AF$7:$AF$1570,AF1048,$BL$7:$BL$1570,"&lt;="&amp;BL1048),"")</f>
        <v/>
      </c>
      <c r="AH1048" s="65">
        <f>IF(AG1048="",0,MAX(0,MIN(1,(IF(BR1048="L1",Parameter!$K$5,Parameter!$K$6+Parameter!$K$7)-(AG1048-AC1048))/AC1048)))</f>
        <v/>
      </c>
      <c r="AI1048" s="55">
        <f>IF(LEFT(Cockpit!$I$5,1)="A",G1048,IF(BT1048=1,BU1048,IF(LEFT(Cockpit!$I$5,1)="B",AM1048,MAX(AM1048,G1048))))</f>
        <v/>
      </c>
      <c r="AJ1048" s="55">
        <f>IF(BO1048=1,0,ROUNDUP(AI1048/BN1048,0))</f>
        <v/>
      </c>
      <c r="AK1048" s="64">
        <f>IF(BO1048=1,IF(AI1048&lt;=0,0,BP1048*MAX(1,IF(G1048&gt;0,AI1048/G1048,1))),AJ1048*Q1048)</f>
        <v/>
      </c>
      <c r="AL1048" s="55">
        <f>AI1048*F1048</f>
        <v/>
      </c>
      <c r="AM1048" s="55">
        <f>ROUNDUP(MAX(I1048/IF(BS1048&gt;0,BS1048,MAX(0.1,N(Cockpit!$I$6))),BV1048)/BN1048,0)*BN1048</f>
        <v/>
      </c>
      <c r="AN1048" s="56">
        <f>IF(AK1048&gt;0,I1048/AK1048,-1)</f>
        <v/>
      </c>
      <c r="AO1048" s="56">
        <f>IF(AND(OR(BR1048="L1",BR1048="L23"),AK1048&gt;0),SUMIFS($AK$7:$AK$1570,$BR$7:$BR$1570,BR1048,$AN$7:$AN$1570,"&gt;"&amp;AN1048)+SUMIFS($AK$7:$AK$1570,$BR$7:$BR$1570,BR1048,$AN$7:$AN$1570,AN1048,$BL$7:$BL$1570,"&lt;="&amp;BL1048),"")</f>
        <v/>
      </c>
      <c r="AP1048" s="65">
        <f>IF(AO1048="",0,MAX(0,MIN(1,(IF(BR1048="L1",Parameter!$K$5,Parameter!$K$6+Parameter!$K$7)-(AO1048-AK1048))/AK1048)))</f>
        <v/>
      </c>
      <c r="AQ1048" s="55">
        <f>IF(LEFT(Cockpit!$O$5,1)="A",G1048,IF(BT1048=1,BU1048,IF(LEFT(Cockpit!$O$5,1)="B",AU1048,MAX(AU1048,G1048))))</f>
        <v/>
      </c>
      <c r="AR1048" s="55">
        <f>IF(BO1048=1,0,ROUNDUP(AQ1048/BN1048,0))</f>
        <v/>
      </c>
      <c r="AS1048" s="64">
        <f>IF(BO1048=1,IF(AQ1048&lt;=0,0,BP1048*MAX(1,IF(G1048&gt;0,AQ1048/G1048,1))),AR1048*Q1048)</f>
        <v/>
      </c>
      <c r="AT1048" s="55">
        <f>AQ1048*F1048</f>
        <v/>
      </c>
      <c r="AU1048" s="55">
        <f>ROUNDUP(MAX(I1048/IF(BS1048&gt;0,BS1048,MAX(0.1,N(Cockpit!$O$6))),BV1048)/BN1048,0)*BN1048</f>
        <v/>
      </c>
      <c r="AV1048" s="56">
        <f>IF(AS1048&gt;0,I1048/AS1048,-1)</f>
        <v/>
      </c>
      <c r="AW1048" s="56">
        <f>IF(AND(OR(BR1048="L1",BR1048="L23"),AS1048&gt;0),SUMIFS($AS$7:$AS$1570,$BR$7:$BR$1570,BR1048,$AV$7:$AV$1570,"&gt;"&amp;AV1048)+SUMIFS($AS$7:$AS$1570,$BR$7:$BR$1570,BR1048,$AV$7:$AV$1570,AV1048,$BL$7:$BL$1570,"&lt;="&amp;BL1048),"")</f>
        <v/>
      </c>
      <c r="AX1048" s="65">
        <f>IF(AW1048="",0,MAX(0,MIN(1,(IF(BR1048="L1",Parameter!$K$5,Parameter!$K$6+Parameter!$K$7)-(AW1048-AS1048))/AS1048)))</f>
        <v/>
      </c>
      <c r="AY1048" s="53">
        <f>IF(AC1048&lt;=0,"",IF(BR1048="Aussen","Aussenlager",IF(BR1048="-","Nicht im Lift",IF(AH1048&gt;=1,"Lift",IF(AH1048&lt;=0,"Aussenlager","teilweise")))))</f>
        <v/>
      </c>
      <c r="AZ1048" s="53">
        <f>IF(AK1048&lt;=0,"",IF(BR1048="Aussen","Aussenlager",IF(BR1048="-","Nicht im Lift",IF(AP1048&gt;=1,"Lift",IF(AP1048&lt;=0,"Aussenlager","teilweise")))))</f>
        <v/>
      </c>
      <c r="BA1048" s="53">
        <f>IF(AS1048&lt;=0,"",IF(BR1048="Aussen","Aussenlager",IF(BR1048="-","Nicht im Lift",IF(AX1048&gt;=1,"Lift",IF(AX1048&lt;=0,"Aussenlager","teilweise")))))</f>
        <v/>
      </c>
      <c r="BB1048" s="53">
        <f>IF(A1048="","",IF(BK1048=1,"Neu; ","")&amp;IF(AND(BK1048=0,BF1048&lt;0),"negativer Bestand (Export "&amp;BF1048&amp;"); ","")&amp;IF(I1048&lt;=0,"Kein Verbrauch; ","")&amp;IF(BO1048=1,"Lose – Fläche geschätzt; ","")&amp;IF(G1048&gt;AM1048,"Überbestand "&amp;ROUND(G1048-AM1048,0)&amp;" Stk / CHF "&amp;ROUND((G1048-AM1048)*F1048,0)&amp;"; ","")&amp;IF(AND(BT1048=1,BU1048&lt;BV1048),"MAX &lt; MB+LG; ","")&amp;IF(AND(BZ1048&gt;0,BY1048*10&gt;BZ1048),"zu hoch für Tablar; ","")&amp;IF(AND(BK1048=0,OR(BT1048=1,V1048&lt;&gt;"",S1048&lt;&gt;"",T1048&lt;&gt;"",W1048&lt;&gt;"")),"manuell übersteuert; ","")&amp;IF(AND(BO1048=0,Q1048=0),"Gebinde unbekannt; ","")&amp;IF(AND(BO1048=0,N(T1048)&lt;=0,N(P1048)&lt;=0),"Menge pro Gebinde fehlt (Ist = 1 Gebinde); ","")&amp;BJ1048)</f>
        <v/>
      </c>
      <c r="BC1048" s="53" t="n"/>
      <c r="BD1048" s="53" t="n"/>
      <c r="BE1048" s="61" t="n"/>
      <c r="BF1048" s="55" t="n">
        <v>-47</v>
      </c>
      <c r="BG1048" s="55" t="n">
        <v>47</v>
      </c>
      <c r="BH1048" s="54" t="n">
        <v>-142.41</v>
      </c>
      <c r="BI1048" s="55" t="n">
        <v>0</v>
      </c>
      <c r="BJ1048" s="53" t="inlineStr">
        <is>
          <t>Überbestand</t>
        </is>
      </c>
      <c r="BK1048" s="58" t="n">
        <v>0</v>
      </c>
      <c r="BL1048" s="58" t="n">
        <v>1048</v>
      </c>
      <c r="BM1048" s="53">
        <f>IF(S1048&lt;&gt;"",UPPER(TRIM(S1048)),IF(O1048="","LOSE",O1048))</f>
        <v/>
      </c>
      <c r="BN1048" s="55">
        <f>IF(BM1048="LOSE",1,IF(N(T1048)&gt;0,T1048,IF(N(P1048)&gt;0,P1048,MAX(1,G1048))))</f>
        <v/>
      </c>
      <c r="BO1048" s="58">
        <f>IF(BM1048="LOSE",1,0)</f>
        <v/>
      </c>
      <c r="BP1048" s="64">
        <f>IF(BO1048=0,0,IF(N(R1048)&gt;0,R1048,IFERROR(VLOOKUP(D1048,Parameter!$A$35:$C$64,3,0)+0,0)))</f>
        <v/>
      </c>
      <c r="BQ1048" s="53">
        <f>IF(V1048&lt;&gt;"",V1048,U1048)</f>
        <v/>
      </c>
      <c r="BR1048" s="53">
        <f>IF(BQ1048=1,"L1",IF(OR(BQ1048=2,BQ1048=3),"L23",IF(BQ1048="Aussen","Aussen","-")))</f>
        <v/>
      </c>
      <c r="BS1048" s="66">
        <f>IF(N(W1048)&gt;0,W1048,0)</f>
        <v/>
      </c>
      <c r="BT1048" s="58">
        <f>IF(ISNUMBER(Z1048),1,0)</f>
        <v/>
      </c>
      <c r="BU1048" s="55">
        <f>N(Z1048)</f>
        <v/>
      </c>
      <c r="BV1048" s="55">
        <f>N(L1048)+N(M1048)</f>
        <v/>
      </c>
      <c r="BW1048" s="55">
        <f>ROUNDUP(G1048/BN1048,0)</f>
        <v/>
      </c>
      <c r="BX1048" s="55">
        <f>ROUNDUP(BU1048/BN1048,0)</f>
        <v/>
      </c>
      <c r="BY1048" s="58">
        <f>IF(BO1048=1,0,IFERROR(VLOOKUP(BM1048,'Gebinde-Kategorie'!$A$5:$G$45,5,0)+0,0))</f>
        <v/>
      </c>
      <c r="BZ1048" s="58">
        <f>IFERROR(IF(OR(BQ1048=1,BQ1048=2,BQ1048=3),N(INDEX(Parameter!$I$5:$I$7,BQ1048)),0),0)</f>
        <v/>
      </c>
    </row>
    <row r="1049">
      <c r="A1049" s="53" t="inlineStr">
        <is>
          <t>005280</t>
        </is>
      </c>
      <c r="B1049" s="53" t="inlineStr">
        <is>
          <t>Temperatursensor ohne Stecker</t>
        </is>
      </c>
      <c r="C1049" s="53" t="inlineStr">
        <is>
          <t>F</t>
        </is>
      </c>
      <c r="D1049" s="53" t="inlineStr">
        <is>
          <t>KTL</t>
        </is>
      </c>
      <c r="E1049" s="53" t="inlineStr">
        <is>
          <t>C</t>
        </is>
      </c>
      <c r="F1049" s="54" t="n">
        <v>59.9</v>
      </c>
      <c r="G1049" s="55">
        <f>MAX(0,IF(Parameter!$B$20="Jahresanfang 2025 + Export",BG1049+BF1049,BF1049))</f>
        <v/>
      </c>
      <c r="H1049" s="55">
        <f>G1049*F1049</f>
        <v/>
      </c>
      <c r="I1049" s="55">
        <f>BI1049*Parameter!$B$18</f>
        <v/>
      </c>
      <c r="J1049" s="56" t="n">
        <v>21</v>
      </c>
      <c r="K1049" s="57" t="n">
        <v>1.571428571428571</v>
      </c>
      <c r="L1049" s="55" t="n">
        <v>3</v>
      </c>
      <c r="M1049" s="55" t="n">
        <v>35</v>
      </c>
      <c r="N1049" s="58" t="n">
        <v>35</v>
      </c>
      <c r="O1049" s="53" t="inlineStr">
        <is>
          <t>S62</t>
        </is>
      </c>
      <c r="P1049" s="55" t="n">
        <v>95</v>
      </c>
      <c r="Q1049" s="59">
        <f>IF(BO1049=1,0,IFERROR(VLOOKUP(BM1049,'Gebinde-Kategorie'!$A$5:$G$45,6,0)+0,0))</f>
        <v/>
      </c>
      <c r="R1049" s="60" t="n"/>
      <c r="S1049" s="61" t="n"/>
      <c r="T1049" s="61" t="n"/>
      <c r="U1049" s="53">
        <f>IF(A1049="","",IF(IFERROR(VLOOKUP(D1049,Parameter!$A$35:$C$64,2,0),"Nein")="2+3",IF(ISNUMBER(SEARCH("grosser Artikel",BJ1049)),2,IFERROR(VLOOKUP(BM1049,Parameter!$F$35:$G$64,2,0),2)),IF(OR(IFERROR(VLOOKUP(D1049,Parameter!$A$35:$C$64,2,0),"Nein")="Nein",IFERROR(VLOOKUP(D1049,Parameter!$A$35:$C$64,2,0),"Nein")=""),"-",VLOOKUP(D1049,Parameter!$A$35:$C$64,2,0))))</f>
        <v/>
      </c>
      <c r="V1049" s="61" t="n"/>
      <c r="W1049" s="62" t="n"/>
      <c r="X1049" s="55">
        <f>AM1049</f>
        <v/>
      </c>
      <c r="Y1049" s="55">
        <f>MAX(AM1049,G1049)</f>
        <v/>
      </c>
      <c r="Z1049" s="63" t="n"/>
      <c r="AA1049" s="55">
        <f>IF(LEFT(Cockpit!$C$5,1)="A",G1049,IF(BT1049=1,BU1049,IF(LEFT(Cockpit!$C$5,1)="B",AE1049,MAX(AE1049,G1049))))</f>
        <v/>
      </c>
      <c r="AB1049" s="55">
        <f>IF(BO1049=1,0,ROUNDUP(AA1049/BN1049,0))</f>
        <v/>
      </c>
      <c r="AC1049" s="64">
        <f>IF(BO1049=1,IF(AA1049&lt;=0,0,BP1049*MAX(1,IF(G1049&gt;0,AA1049/G1049,1))),AB1049*Q1049)</f>
        <v/>
      </c>
      <c r="AD1049" s="55">
        <f>AA1049*F1049</f>
        <v/>
      </c>
      <c r="AE1049" s="55">
        <f>ROUNDUP(MAX(I1049/IF(BS1049&gt;0,BS1049,MAX(0.1,N(Cockpit!$C$6))),BV1049)/BN1049,0)*BN1049</f>
        <v/>
      </c>
      <c r="AF1049" s="56">
        <f>IF(AC1049&gt;0,I1049/AC1049,-1)</f>
        <v/>
      </c>
      <c r="AG1049" s="56">
        <f>IF(AND(OR(BR1049="L1",BR1049="L23"),AC1049&gt;0),SUMIFS($AC$7:$AC$1570,$BR$7:$BR$1570,BR1049,$AF$7:$AF$1570,"&gt;"&amp;AF1049)+SUMIFS($AC$7:$AC$1570,$BR$7:$BR$1570,BR1049,$AF$7:$AF$1570,AF1049,$BL$7:$BL$1570,"&lt;="&amp;BL1049),"")</f>
        <v/>
      </c>
      <c r="AH1049" s="65">
        <f>IF(AG1049="",0,MAX(0,MIN(1,(IF(BR1049="L1",Parameter!$K$5,Parameter!$K$6+Parameter!$K$7)-(AG1049-AC1049))/AC1049)))</f>
        <v/>
      </c>
      <c r="AI1049" s="55">
        <f>IF(LEFT(Cockpit!$I$5,1)="A",G1049,IF(BT1049=1,BU1049,IF(LEFT(Cockpit!$I$5,1)="B",AM1049,MAX(AM1049,G1049))))</f>
        <v/>
      </c>
      <c r="AJ1049" s="55">
        <f>IF(BO1049=1,0,ROUNDUP(AI1049/BN1049,0))</f>
        <v/>
      </c>
      <c r="AK1049" s="64">
        <f>IF(BO1049=1,IF(AI1049&lt;=0,0,BP1049*MAX(1,IF(G1049&gt;0,AI1049/G1049,1))),AJ1049*Q1049)</f>
        <v/>
      </c>
      <c r="AL1049" s="55">
        <f>AI1049*F1049</f>
        <v/>
      </c>
      <c r="AM1049" s="55">
        <f>ROUNDUP(MAX(I1049/IF(BS1049&gt;0,BS1049,MAX(0.1,N(Cockpit!$I$6))),BV1049)/BN1049,0)*BN1049</f>
        <v/>
      </c>
      <c r="AN1049" s="56">
        <f>IF(AK1049&gt;0,I1049/AK1049,-1)</f>
        <v/>
      </c>
      <c r="AO1049" s="56">
        <f>IF(AND(OR(BR1049="L1",BR1049="L23"),AK1049&gt;0),SUMIFS($AK$7:$AK$1570,$BR$7:$BR$1570,BR1049,$AN$7:$AN$1570,"&gt;"&amp;AN1049)+SUMIFS($AK$7:$AK$1570,$BR$7:$BR$1570,BR1049,$AN$7:$AN$1570,AN1049,$BL$7:$BL$1570,"&lt;="&amp;BL1049),"")</f>
        <v/>
      </c>
      <c r="AP1049" s="65">
        <f>IF(AO1049="",0,MAX(0,MIN(1,(IF(BR1049="L1",Parameter!$K$5,Parameter!$K$6+Parameter!$K$7)-(AO1049-AK1049))/AK1049)))</f>
        <v/>
      </c>
      <c r="AQ1049" s="55">
        <f>IF(LEFT(Cockpit!$O$5,1)="A",G1049,IF(BT1049=1,BU1049,IF(LEFT(Cockpit!$O$5,1)="B",AU1049,MAX(AU1049,G1049))))</f>
        <v/>
      </c>
      <c r="AR1049" s="55">
        <f>IF(BO1049=1,0,ROUNDUP(AQ1049/BN1049,0))</f>
        <v/>
      </c>
      <c r="AS1049" s="64">
        <f>IF(BO1049=1,IF(AQ1049&lt;=0,0,BP1049*MAX(1,IF(G1049&gt;0,AQ1049/G1049,1))),AR1049*Q1049)</f>
        <v/>
      </c>
      <c r="AT1049" s="55">
        <f>AQ1049*F1049</f>
        <v/>
      </c>
      <c r="AU1049" s="55">
        <f>ROUNDUP(MAX(I1049/IF(BS1049&gt;0,BS1049,MAX(0.1,N(Cockpit!$O$6))),BV1049)/BN1049,0)*BN1049</f>
        <v/>
      </c>
      <c r="AV1049" s="56">
        <f>IF(AS1049&gt;0,I1049/AS1049,-1)</f>
        <v/>
      </c>
      <c r="AW1049" s="56">
        <f>IF(AND(OR(BR1049="L1",BR1049="L23"),AS1049&gt;0),SUMIFS($AS$7:$AS$1570,$BR$7:$BR$1570,BR1049,$AV$7:$AV$1570,"&gt;"&amp;AV1049)+SUMIFS($AS$7:$AS$1570,$BR$7:$BR$1570,BR1049,$AV$7:$AV$1570,AV1049,$BL$7:$BL$1570,"&lt;="&amp;BL1049),"")</f>
        <v/>
      </c>
      <c r="AX1049" s="65">
        <f>IF(AW1049="",0,MAX(0,MIN(1,(IF(BR1049="L1",Parameter!$K$5,Parameter!$K$6+Parameter!$K$7)-(AW1049-AS1049))/AS1049)))</f>
        <v/>
      </c>
      <c r="AY1049" s="53">
        <f>IF(AC1049&lt;=0,"",IF(BR1049="Aussen","Aussenlager",IF(BR1049="-","Nicht im Lift",IF(AH1049&gt;=1,"Lift",IF(AH1049&lt;=0,"Aussenlager","teilweise")))))</f>
        <v/>
      </c>
      <c r="AZ1049" s="53">
        <f>IF(AK1049&lt;=0,"",IF(BR1049="Aussen","Aussenlager",IF(BR1049="-","Nicht im Lift",IF(AP1049&gt;=1,"Lift",IF(AP1049&lt;=0,"Aussenlager","teilweise")))))</f>
        <v/>
      </c>
      <c r="BA1049" s="53">
        <f>IF(AS1049&lt;=0,"",IF(BR1049="Aussen","Aussenlager",IF(BR1049="-","Nicht im Lift",IF(AX1049&gt;=1,"Lift",IF(AX1049&lt;=0,"Aussenlager","teilweise")))))</f>
        <v/>
      </c>
      <c r="BB1049" s="53">
        <f>IF(A1049="","",IF(BK1049=1,"Neu; ","")&amp;IF(AND(BK1049=0,BF1049&lt;0),"negativer Bestand (Export "&amp;BF1049&amp;"); ","")&amp;IF(I1049&lt;=0,"Kein Verbrauch; ","")&amp;IF(BO1049=1,"Lose – Fläche geschätzt; ","")&amp;IF(G1049&gt;AM1049,"Überbestand "&amp;ROUND(G1049-AM1049,0)&amp;" Stk / CHF "&amp;ROUND((G1049-AM1049)*F1049,0)&amp;"; ","")&amp;IF(AND(BT1049=1,BU1049&lt;BV1049),"MAX &lt; MB+LG; ","")&amp;IF(AND(BZ1049&gt;0,BY1049*10&gt;BZ1049),"zu hoch für Tablar; ","")&amp;IF(AND(BK1049=0,OR(BT1049=1,V1049&lt;&gt;"",S1049&lt;&gt;"",T1049&lt;&gt;"",W1049&lt;&gt;"")),"manuell übersteuert; ","")&amp;IF(AND(BO1049=0,Q1049=0),"Gebinde unbekannt; ","")&amp;IF(AND(BO1049=0,N(T1049)&lt;=0,N(P1049)&lt;=0),"Menge pro Gebinde fehlt (Ist = 1 Gebinde); ","")&amp;BJ1049)</f>
        <v/>
      </c>
      <c r="BC1049" s="53" t="n"/>
      <c r="BD1049" s="53" t="n"/>
      <c r="BE1049" s="61" t="n"/>
      <c r="BF1049" s="55" t="n">
        <v>-3</v>
      </c>
      <c r="BG1049" s="55" t="n">
        <v>18</v>
      </c>
      <c r="BH1049" s="54" t="n">
        <v>-142.4399999999997</v>
      </c>
      <c r="BI1049" s="55" t="n">
        <v>33</v>
      </c>
      <c r="BJ1049" s="53" t="inlineStr"/>
      <c r="BK1049" s="58" t="n">
        <v>0</v>
      </c>
      <c r="BL1049" s="58" t="n">
        <v>1049</v>
      </c>
      <c r="BM1049" s="53">
        <f>IF(S1049&lt;&gt;"",UPPER(TRIM(S1049)),IF(O1049="","LOSE",O1049))</f>
        <v/>
      </c>
      <c r="BN1049" s="55">
        <f>IF(BM1049="LOSE",1,IF(N(T1049)&gt;0,T1049,IF(N(P1049)&gt;0,P1049,MAX(1,G1049))))</f>
        <v/>
      </c>
      <c r="BO1049" s="58">
        <f>IF(BM1049="LOSE",1,0)</f>
        <v/>
      </c>
      <c r="BP1049" s="64">
        <f>IF(BO1049=0,0,IF(N(R1049)&gt;0,R1049,IFERROR(VLOOKUP(D1049,Parameter!$A$35:$C$64,3,0)+0,0)))</f>
        <v/>
      </c>
      <c r="BQ1049" s="53">
        <f>IF(V1049&lt;&gt;"",V1049,U1049)</f>
        <v/>
      </c>
      <c r="BR1049" s="53">
        <f>IF(BQ1049=1,"L1",IF(OR(BQ1049=2,BQ1049=3),"L23",IF(BQ1049="Aussen","Aussen","-")))</f>
        <v/>
      </c>
      <c r="BS1049" s="66">
        <f>IF(N(W1049)&gt;0,W1049,0)</f>
        <v/>
      </c>
      <c r="BT1049" s="58">
        <f>IF(ISNUMBER(Z1049),1,0)</f>
        <v/>
      </c>
      <c r="BU1049" s="55">
        <f>N(Z1049)</f>
        <v/>
      </c>
      <c r="BV1049" s="55">
        <f>N(L1049)+N(M1049)</f>
        <v/>
      </c>
      <c r="BW1049" s="55">
        <f>ROUNDUP(G1049/BN1049,0)</f>
        <v/>
      </c>
      <c r="BX1049" s="55">
        <f>ROUNDUP(BU1049/BN1049,0)</f>
        <v/>
      </c>
      <c r="BY1049" s="58">
        <f>IF(BO1049=1,0,IFERROR(VLOOKUP(BM1049,'Gebinde-Kategorie'!$A$5:$G$45,5,0)+0,0))</f>
        <v/>
      </c>
      <c r="BZ1049" s="58">
        <f>IFERROR(IF(OR(BQ1049=1,BQ1049=2,BQ1049=3),N(INDEX(Parameter!$I$5:$I$7,BQ1049)),0),0)</f>
        <v/>
      </c>
    </row>
    <row r="1050">
      <c r="A1050" s="53" t="inlineStr">
        <is>
          <t>110646</t>
        </is>
      </c>
      <c r="B1050" s="53" t="inlineStr">
        <is>
          <t>Rohr</t>
        </is>
      </c>
      <c r="C1050" s="53" t="inlineStr">
        <is>
          <t>G</t>
        </is>
      </c>
      <c r="D1050" s="53" t="inlineStr">
        <is>
          <t>KTL</t>
        </is>
      </c>
      <c r="E1050" s="53" t="inlineStr">
        <is>
          <t>C</t>
        </is>
      </c>
      <c r="F1050" s="54" t="n">
        <v>14.31</v>
      </c>
      <c r="G1050" s="55">
        <f>MAX(0,IF(Parameter!$B$20="Jahresanfang 2025 + Export",BG1050+BF1050,BF1050))</f>
        <v/>
      </c>
      <c r="H1050" s="55">
        <f>G1050*F1050</f>
        <v/>
      </c>
      <c r="I1050" s="55">
        <f>BI1050*Parameter!$B$18</f>
        <v/>
      </c>
      <c r="J1050" s="56" t="n">
        <v>5</v>
      </c>
      <c r="K1050" s="57" t="n">
        <v>2</v>
      </c>
      <c r="L1050" s="55" t="n">
        <v>0</v>
      </c>
      <c r="M1050" s="55" t="n">
        <v>10</v>
      </c>
      <c r="N1050" s="58" t="n">
        <v>28</v>
      </c>
      <c r="O1050" s="53" t="inlineStr">
        <is>
          <t>LOSE</t>
        </is>
      </c>
      <c r="P1050" s="55" t="n"/>
      <c r="Q1050" s="59">
        <f>IF(BO1050=1,0,IFERROR(VLOOKUP(BM1050,'Gebinde-Kategorie'!$A$5:$G$45,6,0)+0,0))</f>
        <v/>
      </c>
      <c r="R1050" s="60" t="n"/>
      <c r="S1050" s="61" t="n"/>
      <c r="T1050" s="61" t="n"/>
      <c r="U1050" s="53">
        <f>IF(A1050="","",IF(IFERROR(VLOOKUP(D1050,Parameter!$A$35:$C$64,2,0),"Nein")="2+3",IF(ISNUMBER(SEARCH("grosser Artikel",BJ1050)),2,IFERROR(VLOOKUP(BM1050,Parameter!$F$35:$G$64,2,0),2)),IF(OR(IFERROR(VLOOKUP(D1050,Parameter!$A$35:$C$64,2,0),"Nein")="Nein",IFERROR(VLOOKUP(D1050,Parameter!$A$35:$C$64,2,0),"Nein")=""),"-",VLOOKUP(D1050,Parameter!$A$35:$C$64,2,0))))</f>
        <v/>
      </c>
      <c r="V1050" s="61" t="n"/>
      <c r="W1050" s="62" t="n"/>
      <c r="X1050" s="55">
        <f>AM1050</f>
        <v/>
      </c>
      <c r="Y1050" s="55">
        <f>MAX(AM1050,G1050)</f>
        <v/>
      </c>
      <c r="Z1050" s="63" t="n"/>
      <c r="AA1050" s="55">
        <f>IF(LEFT(Cockpit!$C$5,1)="A",G1050,IF(BT1050=1,BU1050,IF(LEFT(Cockpit!$C$5,1)="B",AE1050,MAX(AE1050,G1050))))</f>
        <v/>
      </c>
      <c r="AB1050" s="55">
        <f>IF(BO1050=1,0,ROUNDUP(AA1050/BN1050,0))</f>
        <v/>
      </c>
      <c r="AC1050" s="64">
        <f>IF(BO1050=1,IF(AA1050&lt;=0,0,BP1050*MAX(1,IF(G1050&gt;0,AA1050/G1050,1))),AB1050*Q1050)</f>
        <v/>
      </c>
      <c r="AD1050" s="55">
        <f>AA1050*F1050</f>
        <v/>
      </c>
      <c r="AE1050" s="55">
        <f>ROUNDUP(MAX(I1050/IF(BS1050&gt;0,BS1050,MAX(0.1,N(Cockpit!$C$6))),BV1050)/BN1050,0)*BN1050</f>
        <v/>
      </c>
      <c r="AF1050" s="56">
        <f>IF(AC1050&gt;0,I1050/AC1050,-1)</f>
        <v/>
      </c>
      <c r="AG1050" s="56">
        <f>IF(AND(OR(BR1050="L1",BR1050="L23"),AC1050&gt;0),SUMIFS($AC$7:$AC$1570,$BR$7:$BR$1570,BR1050,$AF$7:$AF$1570,"&gt;"&amp;AF1050)+SUMIFS($AC$7:$AC$1570,$BR$7:$BR$1570,BR1050,$AF$7:$AF$1570,AF1050,$BL$7:$BL$1570,"&lt;="&amp;BL1050),"")</f>
        <v/>
      </c>
      <c r="AH1050" s="65">
        <f>IF(AG1050="",0,MAX(0,MIN(1,(IF(BR1050="L1",Parameter!$K$5,Parameter!$K$6+Parameter!$K$7)-(AG1050-AC1050))/AC1050)))</f>
        <v/>
      </c>
      <c r="AI1050" s="55">
        <f>IF(LEFT(Cockpit!$I$5,1)="A",G1050,IF(BT1050=1,BU1050,IF(LEFT(Cockpit!$I$5,1)="B",AM1050,MAX(AM1050,G1050))))</f>
        <v/>
      </c>
      <c r="AJ1050" s="55">
        <f>IF(BO1050=1,0,ROUNDUP(AI1050/BN1050,0))</f>
        <v/>
      </c>
      <c r="AK1050" s="64">
        <f>IF(BO1050=1,IF(AI1050&lt;=0,0,BP1050*MAX(1,IF(G1050&gt;0,AI1050/G1050,1))),AJ1050*Q1050)</f>
        <v/>
      </c>
      <c r="AL1050" s="55">
        <f>AI1050*F1050</f>
        <v/>
      </c>
      <c r="AM1050" s="55">
        <f>ROUNDUP(MAX(I1050/IF(BS1050&gt;0,BS1050,MAX(0.1,N(Cockpit!$I$6))),BV1050)/BN1050,0)*BN1050</f>
        <v/>
      </c>
      <c r="AN1050" s="56">
        <f>IF(AK1050&gt;0,I1050/AK1050,-1)</f>
        <v/>
      </c>
      <c r="AO1050" s="56">
        <f>IF(AND(OR(BR1050="L1",BR1050="L23"),AK1050&gt;0),SUMIFS($AK$7:$AK$1570,$BR$7:$BR$1570,BR1050,$AN$7:$AN$1570,"&gt;"&amp;AN1050)+SUMIFS($AK$7:$AK$1570,$BR$7:$BR$1570,BR1050,$AN$7:$AN$1570,AN1050,$BL$7:$BL$1570,"&lt;="&amp;BL1050),"")</f>
        <v/>
      </c>
      <c r="AP1050" s="65">
        <f>IF(AO1050="",0,MAX(0,MIN(1,(IF(BR1050="L1",Parameter!$K$5,Parameter!$K$6+Parameter!$K$7)-(AO1050-AK1050))/AK1050)))</f>
        <v/>
      </c>
      <c r="AQ1050" s="55">
        <f>IF(LEFT(Cockpit!$O$5,1)="A",G1050,IF(BT1050=1,BU1050,IF(LEFT(Cockpit!$O$5,1)="B",AU1050,MAX(AU1050,G1050))))</f>
        <v/>
      </c>
      <c r="AR1050" s="55">
        <f>IF(BO1050=1,0,ROUNDUP(AQ1050/BN1050,0))</f>
        <v/>
      </c>
      <c r="AS1050" s="64">
        <f>IF(BO1050=1,IF(AQ1050&lt;=0,0,BP1050*MAX(1,IF(G1050&gt;0,AQ1050/G1050,1))),AR1050*Q1050)</f>
        <v/>
      </c>
      <c r="AT1050" s="55">
        <f>AQ1050*F1050</f>
        <v/>
      </c>
      <c r="AU1050" s="55">
        <f>ROUNDUP(MAX(I1050/IF(BS1050&gt;0,BS1050,MAX(0.1,N(Cockpit!$O$6))),BV1050)/BN1050,0)*BN1050</f>
        <v/>
      </c>
      <c r="AV1050" s="56">
        <f>IF(AS1050&gt;0,I1050/AS1050,-1)</f>
        <v/>
      </c>
      <c r="AW1050" s="56">
        <f>IF(AND(OR(BR1050="L1",BR1050="L23"),AS1050&gt;0),SUMIFS($AS$7:$AS$1570,$BR$7:$BR$1570,BR1050,$AV$7:$AV$1570,"&gt;"&amp;AV1050)+SUMIFS($AS$7:$AS$1570,$BR$7:$BR$1570,BR1050,$AV$7:$AV$1570,AV1050,$BL$7:$BL$1570,"&lt;="&amp;BL1050),"")</f>
        <v/>
      </c>
      <c r="AX1050" s="65">
        <f>IF(AW1050="",0,MAX(0,MIN(1,(IF(BR1050="L1",Parameter!$K$5,Parameter!$K$6+Parameter!$K$7)-(AW1050-AS1050))/AS1050)))</f>
        <v/>
      </c>
      <c r="AY1050" s="53">
        <f>IF(AC1050&lt;=0,"",IF(BR1050="Aussen","Aussenlager",IF(BR1050="-","Nicht im Lift",IF(AH1050&gt;=1,"Lift",IF(AH1050&lt;=0,"Aussenlager","teilweise")))))</f>
        <v/>
      </c>
      <c r="AZ1050" s="53">
        <f>IF(AK1050&lt;=0,"",IF(BR1050="Aussen","Aussenlager",IF(BR1050="-","Nicht im Lift",IF(AP1050&gt;=1,"Lift",IF(AP1050&lt;=0,"Aussenlager","teilweise")))))</f>
        <v/>
      </c>
      <c r="BA1050" s="53">
        <f>IF(AS1050&lt;=0,"",IF(BR1050="Aussen","Aussenlager",IF(BR1050="-","Nicht im Lift",IF(AX1050&gt;=1,"Lift",IF(AX1050&lt;=0,"Aussenlager","teilweise")))))</f>
        <v/>
      </c>
      <c r="BB1050" s="53">
        <f>IF(A1050="","",IF(BK1050=1,"Neu; ","")&amp;IF(AND(BK1050=0,BF1050&lt;0),"negativer Bestand (Export "&amp;BF1050&amp;"); ","")&amp;IF(I1050&lt;=0,"Kein Verbrauch; ","")&amp;IF(BO1050=1,"Lose – Fläche geschätzt; ","")&amp;IF(G1050&gt;AM1050,"Überbestand "&amp;ROUND(G1050-AM1050,0)&amp;" Stk / CHF "&amp;ROUND((G1050-AM1050)*F1050,0)&amp;"; ","")&amp;IF(AND(BT1050=1,BU1050&lt;BV1050),"MAX &lt; MB+LG; ","")&amp;IF(AND(BZ1050&gt;0,BY1050*10&gt;BZ1050),"zu hoch für Tablar; ","")&amp;IF(AND(BK1050=0,OR(BT1050=1,V1050&lt;&gt;"",S1050&lt;&gt;"",T1050&lt;&gt;"",W1050&lt;&gt;"")),"manuell übersteuert; ","")&amp;IF(AND(BO1050=0,Q1050=0),"Gebinde unbekannt; ","")&amp;IF(AND(BO1050=0,N(T1050)&lt;=0,N(P1050)&lt;=0),"Menge pro Gebinde fehlt (Ist = 1 Gebinde); ","")&amp;BJ1050)</f>
        <v/>
      </c>
      <c r="BC1050" s="53" t="n"/>
      <c r="BD1050" s="53" t="n"/>
      <c r="BE1050" s="61" t="n"/>
      <c r="BF1050" s="55" t="n">
        <v>-10</v>
      </c>
      <c r="BG1050" s="55" t="n">
        <v>10</v>
      </c>
      <c r="BH1050" s="54" t="n">
        <v>-143.1</v>
      </c>
      <c r="BI1050" s="55" t="n">
        <v>10</v>
      </c>
      <c r="BJ1050" s="53" t="inlineStr"/>
      <c r="BK1050" s="58" t="n">
        <v>0</v>
      </c>
      <c r="BL1050" s="58" t="n">
        <v>1050</v>
      </c>
      <c r="BM1050" s="53">
        <f>IF(S1050&lt;&gt;"",UPPER(TRIM(S1050)),IF(O1050="","LOSE",O1050))</f>
        <v/>
      </c>
      <c r="BN1050" s="55">
        <f>IF(BM1050="LOSE",1,IF(N(T1050)&gt;0,T1050,IF(N(P1050)&gt;0,P1050,MAX(1,G1050))))</f>
        <v/>
      </c>
      <c r="BO1050" s="58">
        <f>IF(BM1050="LOSE",1,0)</f>
        <v/>
      </c>
      <c r="BP1050" s="64">
        <f>IF(BO1050=0,0,IF(N(R1050)&gt;0,R1050,IFERROR(VLOOKUP(D1050,Parameter!$A$35:$C$64,3,0)+0,0)))</f>
        <v/>
      </c>
      <c r="BQ1050" s="53">
        <f>IF(V1050&lt;&gt;"",V1050,U1050)</f>
        <v/>
      </c>
      <c r="BR1050" s="53">
        <f>IF(BQ1050=1,"L1",IF(OR(BQ1050=2,BQ1050=3),"L23",IF(BQ1050="Aussen","Aussen","-")))</f>
        <v/>
      </c>
      <c r="BS1050" s="66">
        <f>IF(N(W1050)&gt;0,W1050,0)</f>
        <v/>
      </c>
      <c r="BT1050" s="58">
        <f>IF(ISNUMBER(Z1050),1,0)</f>
        <v/>
      </c>
      <c r="BU1050" s="55">
        <f>N(Z1050)</f>
        <v/>
      </c>
      <c r="BV1050" s="55">
        <f>N(L1050)+N(M1050)</f>
        <v/>
      </c>
      <c r="BW1050" s="55">
        <f>ROUNDUP(G1050/BN1050,0)</f>
        <v/>
      </c>
      <c r="BX1050" s="55">
        <f>ROUNDUP(BU1050/BN1050,0)</f>
        <v/>
      </c>
      <c r="BY1050" s="58">
        <f>IF(BO1050=1,0,IFERROR(VLOOKUP(BM1050,'Gebinde-Kategorie'!$A$5:$G$45,5,0)+0,0))</f>
        <v/>
      </c>
      <c r="BZ1050" s="58">
        <f>IFERROR(IF(OR(BQ1050=1,BQ1050=2,BQ1050=3),N(INDEX(Parameter!$I$5:$I$7,BQ1050)),0),0)</f>
        <v/>
      </c>
    </row>
    <row r="1051">
      <c r="A1051" s="53" t="inlineStr">
        <is>
          <t>109183</t>
        </is>
      </c>
      <c r="B1051" s="53" t="inlineStr">
        <is>
          <t>Adapter Bündelanschluss Brenngas</t>
        </is>
      </c>
      <c r="C1051" s="53" t="inlineStr">
        <is>
          <t>F</t>
        </is>
      </c>
      <c r="D1051" s="53" t="inlineStr">
        <is>
          <t>KTL</t>
        </is>
      </c>
      <c r="E1051" s="53" t="inlineStr">
        <is>
          <t>C</t>
        </is>
      </c>
      <c r="F1051" s="54" t="n">
        <v>144.89</v>
      </c>
      <c r="G1051" s="55">
        <f>MAX(0,IF(Parameter!$B$20="Jahresanfang 2025 + Export",BG1051+BF1051,BF1051))</f>
        <v/>
      </c>
      <c r="H1051" s="55">
        <f>G1051*F1051</f>
        <v/>
      </c>
      <c r="I1051" s="55">
        <f>BI1051*Parameter!$B$18</f>
        <v/>
      </c>
      <c r="J1051" s="56" t="n">
        <v>9</v>
      </c>
      <c r="K1051" s="57" t="n">
        <v>0</v>
      </c>
      <c r="L1051" s="55" t="n">
        <v>0</v>
      </c>
      <c r="M1051" s="55" t="n">
        <v>1</v>
      </c>
      <c r="N1051" s="58" t="n">
        <v>35</v>
      </c>
      <c r="O1051" s="53" t="inlineStr">
        <is>
          <t>S22</t>
        </is>
      </c>
      <c r="P1051" s="55" t="n">
        <v>9</v>
      </c>
      <c r="Q1051" s="59">
        <f>IF(BO1051=1,0,IFERROR(VLOOKUP(BM1051,'Gebinde-Kategorie'!$A$5:$G$45,6,0)+0,0))</f>
        <v/>
      </c>
      <c r="R1051" s="60" t="n"/>
      <c r="S1051" s="61" t="n"/>
      <c r="T1051" s="61" t="n"/>
      <c r="U1051" s="53">
        <f>IF(A1051="","",IF(IFERROR(VLOOKUP(D1051,Parameter!$A$35:$C$64,2,0),"Nein")="2+3",IF(ISNUMBER(SEARCH("grosser Artikel",BJ1051)),2,IFERROR(VLOOKUP(BM1051,Parameter!$F$35:$G$64,2,0),2)),IF(OR(IFERROR(VLOOKUP(D1051,Parameter!$A$35:$C$64,2,0),"Nein")="Nein",IFERROR(VLOOKUP(D1051,Parameter!$A$35:$C$64,2,0),"Nein")=""),"-",VLOOKUP(D1051,Parameter!$A$35:$C$64,2,0))))</f>
        <v/>
      </c>
      <c r="V1051" s="61" t="n"/>
      <c r="W1051" s="62" t="n"/>
      <c r="X1051" s="55">
        <f>AM1051</f>
        <v/>
      </c>
      <c r="Y1051" s="55">
        <f>MAX(AM1051,G1051)</f>
        <v/>
      </c>
      <c r="Z1051" s="63" t="n"/>
      <c r="AA1051" s="55">
        <f>IF(LEFT(Cockpit!$C$5,1)="A",G1051,IF(BT1051=1,BU1051,IF(LEFT(Cockpit!$C$5,1)="B",AE1051,MAX(AE1051,G1051))))</f>
        <v/>
      </c>
      <c r="AB1051" s="55">
        <f>IF(BO1051=1,0,ROUNDUP(AA1051/BN1051,0))</f>
        <v/>
      </c>
      <c r="AC1051" s="64">
        <f>IF(BO1051=1,IF(AA1051&lt;=0,0,BP1051*MAX(1,IF(G1051&gt;0,AA1051/G1051,1))),AB1051*Q1051)</f>
        <v/>
      </c>
      <c r="AD1051" s="55">
        <f>AA1051*F1051</f>
        <v/>
      </c>
      <c r="AE1051" s="55">
        <f>ROUNDUP(MAX(I1051/IF(BS1051&gt;0,BS1051,MAX(0.1,N(Cockpit!$C$6))),BV1051)/BN1051,0)*BN1051</f>
        <v/>
      </c>
      <c r="AF1051" s="56">
        <f>IF(AC1051&gt;0,I1051/AC1051,-1)</f>
        <v/>
      </c>
      <c r="AG1051" s="56">
        <f>IF(AND(OR(BR1051="L1",BR1051="L23"),AC1051&gt;0),SUMIFS($AC$7:$AC$1570,$BR$7:$BR$1570,BR1051,$AF$7:$AF$1570,"&gt;"&amp;AF1051)+SUMIFS($AC$7:$AC$1570,$BR$7:$BR$1570,BR1051,$AF$7:$AF$1570,AF1051,$BL$7:$BL$1570,"&lt;="&amp;BL1051),"")</f>
        <v/>
      </c>
      <c r="AH1051" s="65">
        <f>IF(AG1051="",0,MAX(0,MIN(1,(IF(BR1051="L1",Parameter!$K$5,Parameter!$K$6+Parameter!$K$7)-(AG1051-AC1051))/AC1051)))</f>
        <v/>
      </c>
      <c r="AI1051" s="55">
        <f>IF(LEFT(Cockpit!$I$5,1)="A",G1051,IF(BT1051=1,BU1051,IF(LEFT(Cockpit!$I$5,1)="B",AM1051,MAX(AM1051,G1051))))</f>
        <v/>
      </c>
      <c r="AJ1051" s="55">
        <f>IF(BO1051=1,0,ROUNDUP(AI1051/BN1051,0))</f>
        <v/>
      </c>
      <c r="AK1051" s="64">
        <f>IF(BO1051=1,IF(AI1051&lt;=0,0,BP1051*MAX(1,IF(G1051&gt;0,AI1051/G1051,1))),AJ1051*Q1051)</f>
        <v/>
      </c>
      <c r="AL1051" s="55">
        <f>AI1051*F1051</f>
        <v/>
      </c>
      <c r="AM1051" s="55">
        <f>ROUNDUP(MAX(I1051/IF(BS1051&gt;0,BS1051,MAX(0.1,N(Cockpit!$I$6))),BV1051)/BN1051,0)*BN1051</f>
        <v/>
      </c>
      <c r="AN1051" s="56">
        <f>IF(AK1051&gt;0,I1051/AK1051,-1)</f>
        <v/>
      </c>
      <c r="AO1051" s="56">
        <f>IF(AND(OR(BR1051="L1",BR1051="L23"),AK1051&gt;0),SUMIFS($AK$7:$AK$1570,$BR$7:$BR$1570,BR1051,$AN$7:$AN$1570,"&gt;"&amp;AN1051)+SUMIFS($AK$7:$AK$1570,$BR$7:$BR$1570,BR1051,$AN$7:$AN$1570,AN1051,$BL$7:$BL$1570,"&lt;="&amp;BL1051),"")</f>
        <v/>
      </c>
      <c r="AP1051" s="65">
        <f>IF(AO1051="",0,MAX(0,MIN(1,(IF(BR1051="L1",Parameter!$K$5,Parameter!$K$6+Parameter!$K$7)-(AO1051-AK1051))/AK1051)))</f>
        <v/>
      </c>
      <c r="AQ1051" s="55">
        <f>IF(LEFT(Cockpit!$O$5,1)="A",G1051,IF(BT1051=1,BU1051,IF(LEFT(Cockpit!$O$5,1)="B",AU1051,MAX(AU1051,G1051))))</f>
        <v/>
      </c>
      <c r="AR1051" s="55">
        <f>IF(BO1051=1,0,ROUNDUP(AQ1051/BN1051,0))</f>
        <v/>
      </c>
      <c r="AS1051" s="64">
        <f>IF(BO1051=1,IF(AQ1051&lt;=0,0,BP1051*MAX(1,IF(G1051&gt;0,AQ1051/G1051,1))),AR1051*Q1051)</f>
        <v/>
      </c>
      <c r="AT1051" s="55">
        <f>AQ1051*F1051</f>
        <v/>
      </c>
      <c r="AU1051" s="55">
        <f>ROUNDUP(MAX(I1051/IF(BS1051&gt;0,BS1051,MAX(0.1,N(Cockpit!$O$6))),BV1051)/BN1051,0)*BN1051</f>
        <v/>
      </c>
      <c r="AV1051" s="56">
        <f>IF(AS1051&gt;0,I1051/AS1051,-1)</f>
        <v/>
      </c>
      <c r="AW1051" s="56">
        <f>IF(AND(OR(BR1051="L1",BR1051="L23"),AS1051&gt;0),SUMIFS($AS$7:$AS$1570,$BR$7:$BR$1570,BR1051,$AV$7:$AV$1570,"&gt;"&amp;AV1051)+SUMIFS($AS$7:$AS$1570,$BR$7:$BR$1570,BR1051,$AV$7:$AV$1570,AV1051,$BL$7:$BL$1570,"&lt;="&amp;BL1051),"")</f>
        <v/>
      </c>
      <c r="AX1051" s="65">
        <f>IF(AW1051="",0,MAX(0,MIN(1,(IF(BR1051="L1",Parameter!$K$5,Parameter!$K$6+Parameter!$K$7)-(AW1051-AS1051))/AS1051)))</f>
        <v/>
      </c>
      <c r="AY1051" s="53">
        <f>IF(AC1051&lt;=0,"",IF(BR1051="Aussen","Aussenlager",IF(BR1051="-","Nicht im Lift",IF(AH1051&gt;=1,"Lift",IF(AH1051&lt;=0,"Aussenlager","teilweise")))))</f>
        <v/>
      </c>
      <c r="AZ1051" s="53">
        <f>IF(AK1051&lt;=0,"",IF(BR1051="Aussen","Aussenlager",IF(BR1051="-","Nicht im Lift",IF(AP1051&gt;=1,"Lift",IF(AP1051&lt;=0,"Aussenlager","teilweise")))))</f>
        <v/>
      </c>
      <c r="BA1051" s="53">
        <f>IF(AS1051&lt;=0,"",IF(BR1051="Aussen","Aussenlager",IF(BR1051="-","Nicht im Lift",IF(AX1051&gt;=1,"Lift",IF(AX1051&lt;=0,"Aussenlager","teilweise")))))</f>
        <v/>
      </c>
      <c r="BB1051" s="53">
        <f>IF(A1051="","",IF(BK1051=1,"Neu; ","")&amp;IF(AND(BK1051=0,BF1051&lt;0),"negativer Bestand (Export "&amp;BF1051&amp;"); ","")&amp;IF(I1051&lt;=0,"Kein Verbrauch; ","")&amp;IF(BO1051=1,"Lose – Fläche geschätzt; ","")&amp;IF(G1051&gt;AM1051,"Überbestand "&amp;ROUND(G1051-AM1051,0)&amp;" Stk / CHF "&amp;ROUND((G1051-AM1051)*F1051,0)&amp;"; ","")&amp;IF(AND(BT1051=1,BU1051&lt;BV1051),"MAX &lt; MB+LG; ","")&amp;IF(AND(BZ1051&gt;0,BY1051*10&gt;BZ1051),"zu hoch für Tablar; ","")&amp;IF(AND(BK1051=0,OR(BT1051=1,V1051&lt;&gt;"",S1051&lt;&gt;"",T1051&lt;&gt;"",W1051&lt;&gt;"")),"manuell übersteuert; ","")&amp;IF(AND(BO1051=0,Q1051=0),"Gebinde unbekannt; ","")&amp;IF(AND(BO1051=0,N(T1051)&lt;=0,N(P1051)&lt;=0),"Menge pro Gebinde fehlt (Ist = 1 Gebinde); ","")&amp;BJ1051)</f>
        <v/>
      </c>
      <c r="BC1051" s="53" t="n"/>
      <c r="BD1051" s="53" t="n"/>
      <c r="BE1051" s="61" t="n"/>
      <c r="BF1051" s="55" t="n">
        <v>-1</v>
      </c>
      <c r="BG1051" s="55" t="n">
        <v>9</v>
      </c>
      <c r="BH1051" s="54" t="n">
        <v>-144.89</v>
      </c>
      <c r="BI1051" s="55" t="n">
        <v>0</v>
      </c>
      <c r="BJ1051" s="53" t="inlineStr"/>
      <c r="BK1051" s="58" t="n">
        <v>0</v>
      </c>
      <c r="BL1051" s="58" t="n">
        <v>1051</v>
      </c>
      <c r="BM1051" s="53">
        <f>IF(S1051&lt;&gt;"",UPPER(TRIM(S1051)),IF(O1051="","LOSE",O1051))</f>
        <v/>
      </c>
      <c r="BN1051" s="55">
        <f>IF(BM1051="LOSE",1,IF(N(T1051)&gt;0,T1051,IF(N(P1051)&gt;0,P1051,MAX(1,G1051))))</f>
        <v/>
      </c>
      <c r="BO1051" s="58">
        <f>IF(BM1051="LOSE",1,0)</f>
        <v/>
      </c>
      <c r="BP1051" s="64">
        <f>IF(BO1051=0,0,IF(N(R1051)&gt;0,R1051,IFERROR(VLOOKUP(D1051,Parameter!$A$35:$C$64,3,0)+0,0)))</f>
        <v/>
      </c>
      <c r="BQ1051" s="53">
        <f>IF(V1051&lt;&gt;"",V1051,U1051)</f>
        <v/>
      </c>
      <c r="BR1051" s="53">
        <f>IF(BQ1051=1,"L1",IF(OR(BQ1051=2,BQ1051=3),"L23",IF(BQ1051="Aussen","Aussen","-")))</f>
        <v/>
      </c>
      <c r="BS1051" s="66">
        <f>IF(N(W1051)&gt;0,W1051,0)</f>
        <v/>
      </c>
      <c r="BT1051" s="58">
        <f>IF(ISNUMBER(Z1051),1,0)</f>
        <v/>
      </c>
      <c r="BU1051" s="55">
        <f>N(Z1051)</f>
        <v/>
      </c>
      <c r="BV1051" s="55">
        <f>N(L1051)+N(M1051)</f>
        <v/>
      </c>
      <c r="BW1051" s="55">
        <f>ROUNDUP(G1051/BN1051,0)</f>
        <v/>
      </c>
      <c r="BX1051" s="55">
        <f>ROUNDUP(BU1051/BN1051,0)</f>
        <v/>
      </c>
      <c r="BY1051" s="58">
        <f>IF(BO1051=1,0,IFERROR(VLOOKUP(BM1051,'Gebinde-Kategorie'!$A$5:$G$45,5,0)+0,0))</f>
        <v/>
      </c>
      <c r="BZ1051" s="58">
        <f>IFERROR(IF(OR(BQ1051=1,BQ1051=2,BQ1051=3),N(INDEX(Parameter!$I$5:$I$7,BQ1051)),0),0)</f>
        <v/>
      </c>
    </row>
    <row r="1052">
      <c r="A1052" s="53" t="inlineStr">
        <is>
          <t>108536</t>
        </is>
      </c>
      <c r="B1052" s="53" t="inlineStr">
        <is>
          <t>Leitungsschutzschalter</t>
        </is>
      </c>
      <c r="C1052" s="53" t="inlineStr">
        <is>
          <t>F</t>
        </is>
      </c>
      <c r="D1052" s="53" t="inlineStr">
        <is>
          <t>KTL</t>
        </is>
      </c>
      <c r="E1052" s="53" t="inlineStr">
        <is>
          <t>C</t>
        </is>
      </c>
      <c r="F1052" s="54" t="n">
        <v>145.85</v>
      </c>
      <c r="G1052" s="55">
        <f>MAX(0,IF(Parameter!$B$20="Jahresanfang 2025 + Export",BG1052+BF1052,BF1052))</f>
        <v/>
      </c>
      <c r="H1052" s="55">
        <f>G1052*F1052</f>
        <v/>
      </c>
      <c r="I1052" s="55">
        <f>BI1052*Parameter!$B$18</f>
        <v/>
      </c>
      <c r="J1052" s="56" t="n">
        <v>9</v>
      </c>
      <c r="K1052" s="57" t="n">
        <v>0</v>
      </c>
      <c r="L1052" s="55" t="n">
        <v>0</v>
      </c>
      <c r="M1052" s="55" t="n">
        <v>1</v>
      </c>
      <c r="N1052" s="58" t="n">
        <v>42</v>
      </c>
      <c r="O1052" s="53" t="inlineStr">
        <is>
          <t>S51</t>
        </is>
      </c>
      <c r="P1052" s="55" t="n">
        <v>3</v>
      </c>
      <c r="Q1052" s="59">
        <f>IF(BO1052=1,0,IFERROR(VLOOKUP(BM1052,'Gebinde-Kategorie'!$A$5:$G$45,6,0)+0,0))</f>
        <v/>
      </c>
      <c r="R1052" s="60" t="n"/>
      <c r="S1052" s="61" t="n"/>
      <c r="T1052" s="61" t="n"/>
      <c r="U1052" s="53">
        <f>IF(A1052="","",IF(IFERROR(VLOOKUP(D1052,Parameter!$A$35:$C$64,2,0),"Nein")="2+3",IF(ISNUMBER(SEARCH("grosser Artikel",BJ1052)),2,IFERROR(VLOOKUP(BM1052,Parameter!$F$35:$G$64,2,0),2)),IF(OR(IFERROR(VLOOKUP(D1052,Parameter!$A$35:$C$64,2,0),"Nein")="Nein",IFERROR(VLOOKUP(D1052,Parameter!$A$35:$C$64,2,0),"Nein")=""),"-",VLOOKUP(D1052,Parameter!$A$35:$C$64,2,0))))</f>
        <v/>
      </c>
      <c r="V1052" s="61" t="n"/>
      <c r="W1052" s="62" t="n"/>
      <c r="X1052" s="55">
        <f>AM1052</f>
        <v/>
      </c>
      <c r="Y1052" s="55">
        <f>MAX(AM1052,G1052)</f>
        <v/>
      </c>
      <c r="Z1052" s="63" t="n"/>
      <c r="AA1052" s="55">
        <f>IF(LEFT(Cockpit!$C$5,1)="A",G1052,IF(BT1052=1,BU1052,IF(LEFT(Cockpit!$C$5,1)="B",AE1052,MAX(AE1052,G1052))))</f>
        <v/>
      </c>
      <c r="AB1052" s="55">
        <f>IF(BO1052=1,0,ROUNDUP(AA1052/BN1052,0))</f>
        <v/>
      </c>
      <c r="AC1052" s="64">
        <f>IF(BO1052=1,IF(AA1052&lt;=0,0,BP1052*MAX(1,IF(G1052&gt;0,AA1052/G1052,1))),AB1052*Q1052)</f>
        <v/>
      </c>
      <c r="AD1052" s="55">
        <f>AA1052*F1052</f>
        <v/>
      </c>
      <c r="AE1052" s="55">
        <f>ROUNDUP(MAX(I1052/IF(BS1052&gt;0,BS1052,MAX(0.1,N(Cockpit!$C$6))),BV1052)/BN1052,0)*BN1052</f>
        <v/>
      </c>
      <c r="AF1052" s="56">
        <f>IF(AC1052&gt;0,I1052/AC1052,-1)</f>
        <v/>
      </c>
      <c r="AG1052" s="56">
        <f>IF(AND(OR(BR1052="L1",BR1052="L23"),AC1052&gt;0),SUMIFS($AC$7:$AC$1570,$BR$7:$BR$1570,BR1052,$AF$7:$AF$1570,"&gt;"&amp;AF1052)+SUMIFS($AC$7:$AC$1570,$BR$7:$BR$1570,BR1052,$AF$7:$AF$1570,AF1052,$BL$7:$BL$1570,"&lt;="&amp;BL1052),"")</f>
        <v/>
      </c>
      <c r="AH1052" s="65">
        <f>IF(AG1052="",0,MAX(0,MIN(1,(IF(BR1052="L1",Parameter!$K$5,Parameter!$K$6+Parameter!$K$7)-(AG1052-AC1052))/AC1052)))</f>
        <v/>
      </c>
      <c r="AI1052" s="55">
        <f>IF(LEFT(Cockpit!$I$5,1)="A",G1052,IF(BT1052=1,BU1052,IF(LEFT(Cockpit!$I$5,1)="B",AM1052,MAX(AM1052,G1052))))</f>
        <v/>
      </c>
      <c r="AJ1052" s="55">
        <f>IF(BO1052=1,0,ROUNDUP(AI1052/BN1052,0))</f>
        <v/>
      </c>
      <c r="AK1052" s="64">
        <f>IF(BO1052=1,IF(AI1052&lt;=0,0,BP1052*MAX(1,IF(G1052&gt;0,AI1052/G1052,1))),AJ1052*Q1052)</f>
        <v/>
      </c>
      <c r="AL1052" s="55">
        <f>AI1052*F1052</f>
        <v/>
      </c>
      <c r="AM1052" s="55">
        <f>ROUNDUP(MAX(I1052/IF(BS1052&gt;0,BS1052,MAX(0.1,N(Cockpit!$I$6))),BV1052)/BN1052,0)*BN1052</f>
        <v/>
      </c>
      <c r="AN1052" s="56">
        <f>IF(AK1052&gt;0,I1052/AK1052,-1)</f>
        <v/>
      </c>
      <c r="AO1052" s="56">
        <f>IF(AND(OR(BR1052="L1",BR1052="L23"),AK1052&gt;0),SUMIFS($AK$7:$AK$1570,$BR$7:$BR$1570,BR1052,$AN$7:$AN$1570,"&gt;"&amp;AN1052)+SUMIFS($AK$7:$AK$1570,$BR$7:$BR$1570,BR1052,$AN$7:$AN$1570,AN1052,$BL$7:$BL$1570,"&lt;="&amp;BL1052),"")</f>
        <v/>
      </c>
      <c r="AP1052" s="65">
        <f>IF(AO1052="",0,MAX(0,MIN(1,(IF(BR1052="L1",Parameter!$K$5,Parameter!$K$6+Parameter!$K$7)-(AO1052-AK1052))/AK1052)))</f>
        <v/>
      </c>
      <c r="AQ1052" s="55">
        <f>IF(LEFT(Cockpit!$O$5,1)="A",G1052,IF(BT1052=1,BU1052,IF(LEFT(Cockpit!$O$5,1)="B",AU1052,MAX(AU1052,G1052))))</f>
        <v/>
      </c>
      <c r="AR1052" s="55">
        <f>IF(BO1052=1,0,ROUNDUP(AQ1052/BN1052,0))</f>
        <v/>
      </c>
      <c r="AS1052" s="64">
        <f>IF(BO1052=1,IF(AQ1052&lt;=0,0,BP1052*MAX(1,IF(G1052&gt;0,AQ1052/G1052,1))),AR1052*Q1052)</f>
        <v/>
      </c>
      <c r="AT1052" s="55">
        <f>AQ1052*F1052</f>
        <v/>
      </c>
      <c r="AU1052" s="55">
        <f>ROUNDUP(MAX(I1052/IF(BS1052&gt;0,BS1052,MAX(0.1,N(Cockpit!$O$6))),BV1052)/BN1052,0)*BN1052</f>
        <v/>
      </c>
      <c r="AV1052" s="56">
        <f>IF(AS1052&gt;0,I1052/AS1052,-1)</f>
        <v/>
      </c>
      <c r="AW1052" s="56">
        <f>IF(AND(OR(BR1052="L1",BR1052="L23"),AS1052&gt;0),SUMIFS($AS$7:$AS$1570,$BR$7:$BR$1570,BR1052,$AV$7:$AV$1570,"&gt;"&amp;AV1052)+SUMIFS($AS$7:$AS$1570,$BR$7:$BR$1570,BR1052,$AV$7:$AV$1570,AV1052,$BL$7:$BL$1570,"&lt;="&amp;BL1052),"")</f>
        <v/>
      </c>
      <c r="AX1052" s="65">
        <f>IF(AW1052="",0,MAX(0,MIN(1,(IF(BR1052="L1",Parameter!$K$5,Parameter!$K$6+Parameter!$K$7)-(AW1052-AS1052))/AS1052)))</f>
        <v/>
      </c>
      <c r="AY1052" s="53">
        <f>IF(AC1052&lt;=0,"",IF(BR1052="Aussen","Aussenlager",IF(BR1052="-","Nicht im Lift",IF(AH1052&gt;=1,"Lift",IF(AH1052&lt;=0,"Aussenlager","teilweise")))))</f>
        <v/>
      </c>
      <c r="AZ1052" s="53">
        <f>IF(AK1052&lt;=0,"",IF(BR1052="Aussen","Aussenlager",IF(BR1052="-","Nicht im Lift",IF(AP1052&gt;=1,"Lift",IF(AP1052&lt;=0,"Aussenlager","teilweise")))))</f>
        <v/>
      </c>
      <c r="BA1052" s="53">
        <f>IF(AS1052&lt;=0,"",IF(BR1052="Aussen","Aussenlager",IF(BR1052="-","Nicht im Lift",IF(AX1052&gt;=1,"Lift",IF(AX1052&lt;=0,"Aussenlager","teilweise")))))</f>
        <v/>
      </c>
      <c r="BB1052" s="53">
        <f>IF(A1052="","",IF(BK1052=1,"Neu; ","")&amp;IF(AND(BK1052=0,BF1052&lt;0),"negativer Bestand (Export "&amp;BF1052&amp;"); ","")&amp;IF(I1052&lt;=0,"Kein Verbrauch; ","")&amp;IF(BO1052=1,"Lose – Fläche geschätzt; ","")&amp;IF(G1052&gt;AM1052,"Überbestand "&amp;ROUND(G1052-AM1052,0)&amp;" Stk / CHF "&amp;ROUND((G1052-AM1052)*F1052,0)&amp;"; ","")&amp;IF(AND(BT1052=1,BU1052&lt;BV1052),"MAX &lt; MB+LG; ","")&amp;IF(AND(BZ1052&gt;0,BY1052*10&gt;BZ1052),"zu hoch für Tablar; ","")&amp;IF(AND(BK1052=0,OR(BT1052=1,V1052&lt;&gt;"",S1052&lt;&gt;"",T1052&lt;&gt;"",W1052&lt;&gt;"")),"manuell übersteuert; ","")&amp;IF(AND(BO1052=0,Q1052=0),"Gebinde unbekannt; ","")&amp;IF(AND(BO1052=0,N(T1052)&lt;=0,N(P1052)&lt;=0),"Menge pro Gebinde fehlt (Ist = 1 Gebinde); ","")&amp;BJ1052)</f>
        <v/>
      </c>
      <c r="BC1052" s="53" t="n"/>
      <c r="BD1052" s="53" t="n"/>
      <c r="BE1052" s="61" t="n"/>
      <c r="BF1052" s="55" t="n">
        <v>-1</v>
      </c>
      <c r="BG1052" s="55" t="n">
        <v>9</v>
      </c>
      <c r="BH1052" s="54" t="n">
        <v>-145.85</v>
      </c>
      <c r="BI1052" s="55" t="n">
        <v>0</v>
      </c>
      <c r="BJ1052" s="53" t="inlineStr"/>
      <c r="BK1052" s="58" t="n">
        <v>0</v>
      </c>
      <c r="BL1052" s="58" t="n">
        <v>1052</v>
      </c>
      <c r="BM1052" s="53">
        <f>IF(S1052&lt;&gt;"",UPPER(TRIM(S1052)),IF(O1052="","LOSE",O1052))</f>
        <v/>
      </c>
      <c r="BN1052" s="55">
        <f>IF(BM1052="LOSE",1,IF(N(T1052)&gt;0,T1052,IF(N(P1052)&gt;0,P1052,MAX(1,G1052))))</f>
        <v/>
      </c>
      <c r="BO1052" s="58">
        <f>IF(BM1052="LOSE",1,0)</f>
        <v/>
      </c>
      <c r="BP1052" s="64">
        <f>IF(BO1052=0,0,IF(N(R1052)&gt;0,R1052,IFERROR(VLOOKUP(D1052,Parameter!$A$35:$C$64,3,0)+0,0)))</f>
        <v/>
      </c>
      <c r="BQ1052" s="53">
        <f>IF(V1052&lt;&gt;"",V1052,U1052)</f>
        <v/>
      </c>
      <c r="BR1052" s="53">
        <f>IF(BQ1052=1,"L1",IF(OR(BQ1052=2,BQ1052=3),"L23",IF(BQ1052="Aussen","Aussen","-")))</f>
        <v/>
      </c>
      <c r="BS1052" s="66">
        <f>IF(N(W1052)&gt;0,W1052,0)</f>
        <v/>
      </c>
      <c r="BT1052" s="58">
        <f>IF(ISNUMBER(Z1052),1,0)</f>
        <v/>
      </c>
      <c r="BU1052" s="55">
        <f>N(Z1052)</f>
        <v/>
      </c>
      <c r="BV1052" s="55">
        <f>N(L1052)+N(M1052)</f>
        <v/>
      </c>
      <c r="BW1052" s="55">
        <f>ROUNDUP(G1052/BN1052,0)</f>
        <v/>
      </c>
      <c r="BX1052" s="55">
        <f>ROUNDUP(BU1052/BN1052,0)</f>
        <v/>
      </c>
      <c r="BY1052" s="58">
        <f>IF(BO1052=1,0,IFERROR(VLOOKUP(BM1052,'Gebinde-Kategorie'!$A$5:$G$45,5,0)+0,0))</f>
        <v/>
      </c>
      <c r="BZ1052" s="58">
        <f>IFERROR(IF(OR(BQ1052=1,BQ1052=2,BQ1052=3),N(INDEX(Parameter!$I$5:$I$7,BQ1052)),0),0)</f>
        <v/>
      </c>
    </row>
    <row r="1053">
      <c r="A1053" s="53" t="inlineStr">
        <is>
          <t>001046</t>
        </is>
      </c>
      <c r="B1053" s="53" t="inlineStr">
        <is>
          <t>Karton</t>
        </is>
      </c>
      <c r="C1053" s="53" t="inlineStr">
        <is>
          <t>F</t>
        </is>
      </c>
      <c r="D1053" s="53" t="inlineStr">
        <is>
          <t>PAL</t>
        </is>
      </c>
      <c r="E1053" s="53" t="inlineStr">
        <is>
          <t>C</t>
        </is>
      </c>
      <c r="F1053" s="54" t="n">
        <v>4.63</v>
      </c>
      <c r="G1053" s="55">
        <f>MAX(0,IF(Parameter!$B$20="Jahresanfang 2025 + Export",BG1053+BF1053,BF1053))</f>
        <v/>
      </c>
      <c r="H1053" s="55">
        <f>G1053*F1053</f>
        <v/>
      </c>
      <c r="I1053" s="55">
        <f>BI1053*Parameter!$B$18</f>
        <v/>
      </c>
      <c r="J1053" s="56" t="n">
        <v>155</v>
      </c>
      <c r="K1053" s="57" t="n">
        <v>0.8451612903225807</v>
      </c>
      <c r="L1053" s="55" t="n">
        <v>7</v>
      </c>
      <c r="M1053" s="55" t="n">
        <v>135</v>
      </c>
      <c r="N1053" s="58" t="n">
        <v>21</v>
      </c>
      <c r="O1053" s="53" t="inlineStr">
        <is>
          <t>LOSE</t>
        </is>
      </c>
      <c r="P1053" s="55" t="n"/>
      <c r="Q1053" s="59">
        <f>IF(BO1053=1,0,IFERROR(VLOOKUP(BM1053,'Gebinde-Kategorie'!$A$5:$G$45,6,0)+0,0))</f>
        <v/>
      </c>
      <c r="R1053" s="60" t="n"/>
      <c r="S1053" s="61" t="n"/>
      <c r="T1053" s="61" t="n"/>
      <c r="U1053" s="53">
        <f>IF(A1053="","",IF(IFERROR(VLOOKUP(D1053,Parameter!$A$35:$C$64,2,0),"Nein")="2+3",IF(ISNUMBER(SEARCH("grosser Artikel",BJ1053)),2,IFERROR(VLOOKUP(BM1053,Parameter!$F$35:$G$64,2,0),2)),IF(OR(IFERROR(VLOOKUP(D1053,Parameter!$A$35:$C$64,2,0),"Nein")="Nein",IFERROR(VLOOKUP(D1053,Parameter!$A$35:$C$64,2,0),"Nein")=""),"-",VLOOKUP(D1053,Parameter!$A$35:$C$64,2,0))))</f>
        <v/>
      </c>
      <c r="V1053" s="61" t="n"/>
      <c r="W1053" s="62" t="n"/>
      <c r="X1053" s="55">
        <f>AM1053</f>
        <v/>
      </c>
      <c r="Y1053" s="55">
        <f>MAX(AM1053,G1053)</f>
        <v/>
      </c>
      <c r="Z1053" s="63" t="n"/>
      <c r="AA1053" s="55">
        <f>IF(LEFT(Cockpit!$C$5,1)="A",G1053,IF(BT1053=1,BU1053,IF(LEFT(Cockpit!$C$5,1)="B",AE1053,MAX(AE1053,G1053))))</f>
        <v/>
      </c>
      <c r="AB1053" s="55">
        <f>IF(BO1053=1,0,ROUNDUP(AA1053/BN1053,0))</f>
        <v/>
      </c>
      <c r="AC1053" s="64">
        <f>IF(BO1053=1,IF(AA1053&lt;=0,0,BP1053*MAX(1,IF(G1053&gt;0,AA1053/G1053,1))),AB1053*Q1053)</f>
        <v/>
      </c>
      <c r="AD1053" s="55">
        <f>AA1053*F1053</f>
        <v/>
      </c>
      <c r="AE1053" s="55">
        <f>ROUNDUP(MAX(I1053/IF(BS1053&gt;0,BS1053,MAX(0.1,N(Cockpit!$C$6))),BV1053)/BN1053,0)*BN1053</f>
        <v/>
      </c>
      <c r="AF1053" s="56">
        <f>IF(AC1053&gt;0,I1053/AC1053,-1)</f>
        <v/>
      </c>
      <c r="AG1053" s="56">
        <f>IF(AND(OR(BR1053="L1",BR1053="L23"),AC1053&gt;0),SUMIFS($AC$7:$AC$1570,$BR$7:$BR$1570,BR1053,$AF$7:$AF$1570,"&gt;"&amp;AF1053)+SUMIFS($AC$7:$AC$1570,$BR$7:$BR$1570,BR1053,$AF$7:$AF$1570,AF1053,$BL$7:$BL$1570,"&lt;="&amp;BL1053),"")</f>
        <v/>
      </c>
      <c r="AH1053" s="65">
        <f>IF(AG1053="",0,MAX(0,MIN(1,(IF(BR1053="L1",Parameter!$K$5,Parameter!$K$6+Parameter!$K$7)-(AG1053-AC1053))/AC1053)))</f>
        <v/>
      </c>
      <c r="AI1053" s="55">
        <f>IF(LEFT(Cockpit!$I$5,1)="A",G1053,IF(BT1053=1,BU1053,IF(LEFT(Cockpit!$I$5,1)="B",AM1053,MAX(AM1053,G1053))))</f>
        <v/>
      </c>
      <c r="AJ1053" s="55">
        <f>IF(BO1053=1,0,ROUNDUP(AI1053/BN1053,0))</f>
        <v/>
      </c>
      <c r="AK1053" s="64">
        <f>IF(BO1053=1,IF(AI1053&lt;=0,0,BP1053*MAX(1,IF(G1053&gt;0,AI1053/G1053,1))),AJ1053*Q1053)</f>
        <v/>
      </c>
      <c r="AL1053" s="55">
        <f>AI1053*F1053</f>
        <v/>
      </c>
      <c r="AM1053" s="55">
        <f>ROUNDUP(MAX(I1053/IF(BS1053&gt;0,BS1053,MAX(0.1,N(Cockpit!$I$6))),BV1053)/BN1053,0)*BN1053</f>
        <v/>
      </c>
      <c r="AN1053" s="56">
        <f>IF(AK1053&gt;0,I1053/AK1053,-1)</f>
        <v/>
      </c>
      <c r="AO1053" s="56">
        <f>IF(AND(OR(BR1053="L1",BR1053="L23"),AK1053&gt;0),SUMIFS($AK$7:$AK$1570,$BR$7:$BR$1570,BR1053,$AN$7:$AN$1570,"&gt;"&amp;AN1053)+SUMIFS($AK$7:$AK$1570,$BR$7:$BR$1570,BR1053,$AN$7:$AN$1570,AN1053,$BL$7:$BL$1570,"&lt;="&amp;BL1053),"")</f>
        <v/>
      </c>
      <c r="AP1053" s="65">
        <f>IF(AO1053="",0,MAX(0,MIN(1,(IF(BR1053="L1",Parameter!$K$5,Parameter!$K$6+Parameter!$K$7)-(AO1053-AK1053))/AK1053)))</f>
        <v/>
      </c>
      <c r="AQ1053" s="55">
        <f>IF(LEFT(Cockpit!$O$5,1)="A",G1053,IF(BT1053=1,BU1053,IF(LEFT(Cockpit!$O$5,1)="B",AU1053,MAX(AU1053,G1053))))</f>
        <v/>
      </c>
      <c r="AR1053" s="55">
        <f>IF(BO1053=1,0,ROUNDUP(AQ1053/BN1053,0))</f>
        <v/>
      </c>
      <c r="AS1053" s="64">
        <f>IF(BO1053=1,IF(AQ1053&lt;=0,0,BP1053*MAX(1,IF(G1053&gt;0,AQ1053/G1053,1))),AR1053*Q1053)</f>
        <v/>
      </c>
      <c r="AT1053" s="55">
        <f>AQ1053*F1053</f>
        <v/>
      </c>
      <c r="AU1053" s="55">
        <f>ROUNDUP(MAX(I1053/IF(BS1053&gt;0,BS1053,MAX(0.1,N(Cockpit!$O$6))),BV1053)/BN1053,0)*BN1053</f>
        <v/>
      </c>
      <c r="AV1053" s="56">
        <f>IF(AS1053&gt;0,I1053/AS1053,-1)</f>
        <v/>
      </c>
      <c r="AW1053" s="56">
        <f>IF(AND(OR(BR1053="L1",BR1053="L23"),AS1053&gt;0),SUMIFS($AS$7:$AS$1570,$BR$7:$BR$1570,BR1053,$AV$7:$AV$1570,"&gt;"&amp;AV1053)+SUMIFS($AS$7:$AS$1570,$BR$7:$BR$1570,BR1053,$AV$7:$AV$1570,AV1053,$BL$7:$BL$1570,"&lt;="&amp;BL1053),"")</f>
        <v/>
      </c>
      <c r="AX1053" s="65">
        <f>IF(AW1053="",0,MAX(0,MIN(1,(IF(BR1053="L1",Parameter!$K$5,Parameter!$K$6+Parameter!$K$7)-(AW1053-AS1053))/AS1053)))</f>
        <v/>
      </c>
      <c r="AY1053" s="53">
        <f>IF(AC1053&lt;=0,"",IF(BR1053="Aussen","Aussenlager",IF(BR1053="-","Nicht im Lift",IF(AH1053&gt;=1,"Lift",IF(AH1053&lt;=0,"Aussenlager","teilweise")))))</f>
        <v/>
      </c>
      <c r="AZ1053" s="53">
        <f>IF(AK1053&lt;=0,"",IF(BR1053="Aussen","Aussenlager",IF(BR1053="-","Nicht im Lift",IF(AP1053&gt;=1,"Lift",IF(AP1053&lt;=0,"Aussenlager","teilweise")))))</f>
        <v/>
      </c>
      <c r="BA1053" s="53">
        <f>IF(AS1053&lt;=0,"",IF(BR1053="Aussen","Aussenlager",IF(BR1053="-","Nicht im Lift",IF(AX1053&gt;=1,"Lift",IF(AX1053&lt;=0,"Aussenlager","teilweise")))))</f>
        <v/>
      </c>
      <c r="BB1053" s="53">
        <f>IF(A1053="","",IF(BK1053=1,"Neu; ","")&amp;IF(AND(BK1053=0,BF1053&lt;0),"negativer Bestand (Export "&amp;BF1053&amp;"); ","")&amp;IF(I1053&lt;=0,"Kein Verbrauch; ","")&amp;IF(BO1053=1,"Lose – Fläche geschätzt; ","")&amp;IF(G1053&gt;AM1053,"Überbestand "&amp;ROUND(G1053-AM1053,0)&amp;" Stk / CHF "&amp;ROUND((G1053-AM1053)*F1053,0)&amp;"; ","")&amp;IF(AND(BT1053=1,BU1053&lt;BV1053),"MAX &lt; MB+LG; ","")&amp;IF(AND(BZ1053&gt;0,BY1053*10&gt;BZ1053),"zu hoch für Tablar; ","")&amp;IF(AND(BK1053=0,OR(BT1053=1,V1053&lt;&gt;"",S1053&lt;&gt;"",T1053&lt;&gt;"",W1053&lt;&gt;"")),"manuell übersteuert; ","")&amp;IF(AND(BO1053=0,Q1053=0),"Gebinde unbekannt; ","")&amp;IF(AND(BO1053=0,N(T1053)&lt;=0,N(P1053)&lt;=0),"Menge pro Gebinde fehlt (Ist = 1 Gebinde); ","")&amp;BJ1053)</f>
        <v/>
      </c>
      <c r="BC1053" s="53" t="n"/>
      <c r="BD1053" s="53" t="n"/>
      <c r="BE1053" s="61" t="n"/>
      <c r="BF1053" s="55" t="n">
        <v>-35</v>
      </c>
      <c r="BG1053" s="55" t="n">
        <v>153</v>
      </c>
      <c r="BH1053" s="54" t="n">
        <v>-146.7500000000005</v>
      </c>
      <c r="BI1053" s="55" t="n">
        <v>131</v>
      </c>
      <c r="BJ1053" s="53" t="inlineStr"/>
      <c r="BK1053" s="58" t="n">
        <v>0</v>
      </c>
      <c r="BL1053" s="58" t="n">
        <v>1053</v>
      </c>
      <c r="BM1053" s="53">
        <f>IF(S1053&lt;&gt;"",UPPER(TRIM(S1053)),IF(O1053="","LOSE",O1053))</f>
        <v/>
      </c>
      <c r="BN1053" s="55">
        <f>IF(BM1053="LOSE",1,IF(N(T1053)&gt;0,T1053,IF(N(P1053)&gt;0,P1053,MAX(1,G1053))))</f>
        <v/>
      </c>
      <c r="BO1053" s="58">
        <f>IF(BM1053="LOSE",1,0)</f>
        <v/>
      </c>
      <c r="BP1053" s="64">
        <f>IF(BO1053=0,0,IF(N(R1053)&gt;0,R1053,IFERROR(VLOOKUP(D1053,Parameter!$A$35:$C$64,3,0)+0,0)))</f>
        <v/>
      </c>
      <c r="BQ1053" s="53">
        <f>IF(V1053&lt;&gt;"",V1053,U1053)</f>
        <v/>
      </c>
      <c r="BR1053" s="53">
        <f>IF(BQ1053=1,"L1",IF(OR(BQ1053=2,BQ1053=3),"L23",IF(BQ1053="Aussen","Aussen","-")))</f>
        <v/>
      </c>
      <c r="BS1053" s="66">
        <f>IF(N(W1053)&gt;0,W1053,0)</f>
        <v/>
      </c>
      <c r="BT1053" s="58">
        <f>IF(ISNUMBER(Z1053),1,0)</f>
        <v/>
      </c>
      <c r="BU1053" s="55">
        <f>N(Z1053)</f>
        <v/>
      </c>
      <c r="BV1053" s="55">
        <f>N(L1053)+N(M1053)</f>
        <v/>
      </c>
      <c r="BW1053" s="55">
        <f>ROUNDUP(G1053/BN1053,0)</f>
        <v/>
      </c>
      <c r="BX1053" s="55">
        <f>ROUNDUP(BU1053/BN1053,0)</f>
        <v/>
      </c>
      <c r="BY1053" s="58">
        <f>IF(BO1053=1,0,IFERROR(VLOOKUP(BM1053,'Gebinde-Kategorie'!$A$5:$G$45,5,0)+0,0))</f>
        <v/>
      </c>
      <c r="BZ1053" s="58">
        <f>IFERROR(IF(OR(BQ1053=1,BQ1053=2,BQ1053=3),N(INDEX(Parameter!$I$5:$I$7,BQ1053)),0),0)</f>
        <v/>
      </c>
    </row>
    <row r="1054">
      <c r="A1054" s="53" t="inlineStr">
        <is>
          <t>108646</t>
        </is>
      </c>
      <c r="B1054" s="53" t="inlineStr">
        <is>
          <t>Kondensatablassventil</t>
        </is>
      </c>
      <c r="C1054" s="53" t="inlineStr">
        <is>
          <t>F</t>
        </is>
      </c>
      <c r="D1054" s="53" t="inlineStr">
        <is>
          <t>KTL</t>
        </is>
      </c>
      <c r="E1054" s="53" t="inlineStr">
        <is>
          <t>C</t>
        </is>
      </c>
      <c r="F1054" s="54" t="n">
        <v>23.75</v>
      </c>
      <c r="G1054" s="55">
        <f>MAX(0,IF(Parameter!$B$20="Jahresanfang 2025 + Export",BG1054+BF1054,BF1054))</f>
        <v/>
      </c>
      <c r="H1054" s="55">
        <f>G1054*F1054</f>
        <v/>
      </c>
      <c r="I1054" s="55">
        <f>BI1054*Parameter!$B$18</f>
        <v/>
      </c>
      <c r="J1054" s="56" t="n">
        <v>7</v>
      </c>
      <c r="K1054" s="57" t="n">
        <v>2.714285714285714</v>
      </c>
      <c r="L1054" s="55" t="n">
        <v>1</v>
      </c>
      <c r="M1054" s="55" t="n">
        <v>20</v>
      </c>
      <c r="N1054" s="58" t="n">
        <v>28</v>
      </c>
      <c r="O1054" s="53" t="inlineStr">
        <is>
          <t>S41</t>
        </is>
      </c>
      <c r="P1054" s="55" t="n">
        <v>9</v>
      </c>
      <c r="Q1054" s="59">
        <f>IF(BO1054=1,0,IFERROR(VLOOKUP(BM1054,'Gebinde-Kategorie'!$A$5:$G$45,6,0)+0,0))</f>
        <v/>
      </c>
      <c r="R1054" s="60" t="n"/>
      <c r="S1054" s="61" t="n"/>
      <c r="T1054" s="61" t="n"/>
      <c r="U1054" s="53">
        <f>IF(A1054="","",IF(IFERROR(VLOOKUP(D1054,Parameter!$A$35:$C$64,2,0),"Nein")="2+3",IF(ISNUMBER(SEARCH("grosser Artikel",BJ1054)),2,IFERROR(VLOOKUP(BM1054,Parameter!$F$35:$G$64,2,0),2)),IF(OR(IFERROR(VLOOKUP(D1054,Parameter!$A$35:$C$64,2,0),"Nein")="Nein",IFERROR(VLOOKUP(D1054,Parameter!$A$35:$C$64,2,0),"Nein")=""),"-",VLOOKUP(D1054,Parameter!$A$35:$C$64,2,0))))</f>
        <v/>
      </c>
      <c r="V1054" s="61" t="n"/>
      <c r="W1054" s="62" t="n"/>
      <c r="X1054" s="55">
        <f>AM1054</f>
        <v/>
      </c>
      <c r="Y1054" s="55">
        <f>MAX(AM1054,G1054)</f>
        <v/>
      </c>
      <c r="Z1054" s="63" t="n"/>
      <c r="AA1054" s="55">
        <f>IF(LEFT(Cockpit!$C$5,1)="A",G1054,IF(BT1054=1,BU1054,IF(LEFT(Cockpit!$C$5,1)="B",AE1054,MAX(AE1054,G1054))))</f>
        <v/>
      </c>
      <c r="AB1054" s="55">
        <f>IF(BO1054=1,0,ROUNDUP(AA1054/BN1054,0))</f>
        <v/>
      </c>
      <c r="AC1054" s="64">
        <f>IF(BO1054=1,IF(AA1054&lt;=0,0,BP1054*MAX(1,IF(G1054&gt;0,AA1054/G1054,1))),AB1054*Q1054)</f>
        <v/>
      </c>
      <c r="AD1054" s="55">
        <f>AA1054*F1054</f>
        <v/>
      </c>
      <c r="AE1054" s="55">
        <f>ROUNDUP(MAX(I1054/IF(BS1054&gt;0,BS1054,MAX(0.1,N(Cockpit!$C$6))),BV1054)/BN1054,0)*BN1054</f>
        <v/>
      </c>
      <c r="AF1054" s="56">
        <f>IF(AC1054&gt;0,I1054/AC1054,-1)</f>
        <v/>
      </c>
      <c r="AG1054" s="56">
        <f>IF(AND(OR(BR1054="L1",BR1054="L23"),AC1054&gt;0),SUMIFS($AC$7:$AC$1570,$BR$7:$BR$1570,BR1054,$AF$7:$AF$1570,"&gt;"&amp;AF1054)+SUMIFS($AC$7:$AC$1570,$BR$7:$BR$1570,BR1054,$AF$7:$AF$1570,AF1054,$BL$7:$BL$1570,"&lt;="&amp;BL1054),"")</f>
        <v/>
      </c>
      <c r="AH1054" s="65">
        <f>IF(AG1054="",0,MAX(0,MIN(1,(IF(BR1054="L1",Parameter!$K$5,Parameter!$K$6+Parameter!$K$7)-(AG1054-AC1054))/AC1054)))</f>
        <v/>
      </c>
      <c r="AI1054" s="55">
        <f>IF(LEFT(Cockpit!$I$5,1)="A",G1054,IF(BT1054=1,BU1054,IF(LEFT(Cockpit!$I$5,1)="B",AM1054,MAX(AM1054,G1054))))</f>
        <v/>
      </c>
      <c r="AJ1054" s="55">
        <f>IF(BO1054=1,0,ROUNDUP(AI1054/BN1054,0))</f>
        <v/>
      </c>
      <c r="AK1054" s="64">
        <f>IF(BO1054=1,IF(AI1054&lt;=0,0,BP1054*MAX(1,IF(G1054&gt;0,AI1054/G1054,1))),AJ1054*Q1054)</f>
        <v/>
      </c>
      <c r="AL1054" s="55">
        <f>AI1054*F1054</f>
        <v/>
      </c>
      <c r="AM1054" s="55">
        <f>ROUNDUP(MAX(I1054/IF(BS1054&gt;0,BS1054,MAX(0.1,N(Cockpit!$I$6))),BV1054)/BN1054,0)*BN1054</f>
        <v/>
      </c>
      <c r="AN1054" s="56">
        <f>IF(AK1054&gt;0,I1054/AK1054,-1)</f>
        <v/>
      </c>
      <c r="AO1054" s="56">
        <f>IF(AND(OR(BR1054="L1",BR1054="L23"),AK1054&gt;0),SUMIFS($AK$7:$AK$1570,$BR$7:$BR$1570,BR1054,$AN$7:$AN$1570,"&gt;"&amp;AN1054)+SUMIFS($AK$7:$AK$1570,$BR$7:$BR$1570,BR1054,$AN$7:$AN$1570,AN1054,$BL$7:$BL$1570,"&lt;="&amp;BL1054),"")</f>
        <v/>
      </c>
      <c r="AP1054" s="65">
        <f>IF(AO1054="",0,MAX(0,MIN(1,(IF(BR1054="L1",Parameter!$K$5,Parameter!$K$6+Parameter!$K$7)-(AO1054-AK1054))/AK1054)))</f>
        <v/>
      </c>
      <c r="AQ1054" s="55">
        <f>IF(LEFT(Cockpit!$O$5,1)="A",G1054,IF(BT1054=1,BU1054,IF(LEFT(Cockpit!$O$5,1)="B",AU1054,MAX(AU1054,G1054))))</f>
        <v/>
      </c>
      <c r="AR1054" s="55">
        <f>IF(BO1054=1,0,ROUNDUP(AQ1054/BN1054,0))</f>
        <v/>
      </c>
      <c r="AS1054" s="64">
        <f>IF(BO1054=1,IF(AQ1054&lt;=0,0,BP1054*MAX(1,IF(G1054&gt;0,AQ1054/G1054,1))),AR1054*Q1054)</f>
        <v/>
      </c>
      <c r="AT1054" s="55">
        <f>AQ1054*F1054</f>
        <v/>
      </c>
      <c r="AU1054" s="55">
        <f>ROUNDUP(MAX(I1054/IF(BS1054&gt;0,BS1054,MAX(0.1,N(Cockpit!$O$6))),BV1054)/BN1054,0)*BN1054</f>
        <v/>
      </c>
      <c r="AV1054" s="56">
        <f>IF(AS1054&gt;0,I1054/AS1054,-1)</f>
        <v/>
      </c>
      <c r="AW1054" s="56">
        <f>IF(AND(OR(BR1054="L1",BR1054="L23"),AS1054&gt;0),SUMIFS($AS$7:$AS$1570,$BR$7:$BR$1570,BR1054,$AV$7:$AV$1570,"&gt;"&amp;AV1054)+SUMIFS($AS$7:$AS$1570,$BR$7:$BR$1570,BR1054,$AV$7:$AV$1570,AV1054,$BL$7:$BL$1570,"&lt;="&amp;BL1054),"")</f>
        <v/>
      </c>
      <c r="AX1054" s="65">
        <f>IF(AW1054="",0,MAX(0,MIN(1,(IF(BR1054="L1",Parameter!$K$5,Parameter!$K$6+Parameter!$K$7)-(AW1054-AS1054))/AS1054)))</f>
        <v/>
      </c>
      <c r="AY1054" s="53">
        <f>IF(AC1054&lt;=0,"",IF(BR1054="Aussen","Aussenlager",IF(BR1054="-","Nicht im Lift",IF(AH1054&gt;=1,"Lift",IF(AH1054&lt;=0,"Aussenlager","teilweise")))))</f>
        <v/>
      </c>
      <c r="AZ1054" s="53">
        <f>IF(AK1054&lt;=0,"",IF(BR1054="Aussen","Aussenlager",IF(BR1054="-","Nicht im Lift",IF(AP1054&gt;=1,"Lift",IF(AP1054&lt;=0,"Aussenlager","teilweise")))))</f>
        <v/>
      </c>
      <c r="BA1054" s="53">
        <f>IF(AS1054&lt;=0,"",IF(BR1054="Aussen","Aussenlager",IF(BR1054="-","Nicht im Lift",IF(AX1054&gt;=1,"Lift",IF(AX1054&lt;=0,"Aussenlager","teilweise")))))</f>
        <v/>
      </c>
      <c r="BB1054" s="53">
        <f>IF(A1054="","",IF(BK1054=1,"Neu; ","")&amp;IF(AND(BK1054=0,BF1054&lt;0),"negativer Bestand (Export "&amp;BF1054&amp;"); ","")&amp;IF(I1054&lt;=0,"Kein Verbrauch; ","")&amp;IF(BO1054=1,"Lose – Fläche geschätzt; ","")&amp;IF(G1054&gt;AM1054,"Überbestand "&amp;ROUND(G1054-AM1054,0)&amp;" Stk / CHF "&amp;ROUND((G1054-AM1054)*F1054,0)&amp;"; ","")&amp;IF(AND(BT1054=1,BU1054&lt;BV1054),"MAX &lt; MB+LG; ","")&amp;IF(AND(BZ1054&gt;0,BY1054*10&gt;BZ1054),"zu hoch für Tablar; ","")&amp;IF(AND(BK1054=0,OR(BT1054=1,V1054&lt;&gt;"",S1054&lt;&gt;"",T1054&lt;&gt;"",W1054&lt;&gt;"")),"manuell übersteuert; ","")&amp;IF(AND(BO1054=0,Q1054=0),"Gebinde unbekannt; ","")&amp;IF(AND(BO1054=0,N(T1054)&lt;=0,N(P1054)&lt;=0),"Menge pro Gebinde fehlt (Ist = 1 Gebinde); ","")&amp;BJ1054)</f>
        <v/>
      </c>
      <c r="BC1054" s="53" t="n"/>
      <c r="BD1054" s="53" t="n"/>
      <c r="BE1054" s="61" t="n"/>
      <c r="BF1054" s="55" t="n">
        <v>-7</v>
      </c>
      <c r="BG1054" s="55" t="n">
        <v>9</v>
      </c>
      <c r="BH1054" s="54" t="n">
        <v>-146.81</v>
      </c>
      <c r="BI1054" s="55" t="n">
        <v>19</v>
      </c>
      <c r="BJ1054" s="53" t="inlineStr">
        <is>
          <t>Neu</t>
        </is>
      </c>
      <c r="BK1054" s="58" t="n">
        <v>0</v>
      </c>
      <c r="BL1054" s="58" t="n">
        <v>1054</v>
      </c>
      <c r="BM1054" s="53">
        <f>IF(S1054&lt;&gt;"",UPPER(TRIM(S1054)),IF(O1054="","LOSE",O1054))</f>
        <v/>
      </c>
      <c r="BN1054" s="55">
        <f>IF(BM1054="LOSE",1,IF(N(T1054)&gt;0,T1054,IF(N(P1054)&gt;0,P1054,MAX(1,G1054))))</f>
        <v/>
      </c>
      <c r="BO1054" s="58">
        <f>IF(BM1054="LOSE",1,0)</f>
        <v/>
      </c>
      <c r="BP1054" s="64">
        <f>IF(BO1054=0,0,IF(N(R1054)&gt;0,R1054,IFERROR(VLOOKUP(D1054,Parameter!$A$35:$C$64,3,0)+0,0)))</f>
        <v/>
      </c>
      <c r="BQ1054" s="53">
        <f>IF(V1054&lt;&gt;"",V1054,U1054)</f>
        <v/>
      </c>
      <c r="BR1054" s="53">
        <f>IF(BQ1054=1,"L1",IF(OR(BQ1054=2,BQ1054=3),"L23",IF(BQ1054="Aussen","Aussen","-")))</f>
        <v/>
      </c>
      <c r="BS1054" s="66">
        <f>IF(N(W1054)&gt;0,W1054,0)</f>
        <v/>
      </c>
      <c r="BT1054" s="58">
        <f>IF(ISNUMBER(Z1054),1,0)</f>
        <v/>
      </c>
      <c r="BU1054" s="55">
        <f>N(Z1054)</f>
        <v/>
      </c>
      <c r="BV1054" s="55">
        <f>N(L1054)+N(M1054)</f>
        <v/>
      </c>
      <c r="BW1054" s="55">
        <f>ROUNDUP(G1054/BN1054,0)</f>
        <v/>
      </c>
      <c r="BX1054" s="55">
        <f>ROUNDUP(BU1054/BN1054,0)</f>
        <v/>
      </c>
      <c r="BY1054" s="58">
        <f>IF(BO1054=1,0,IFERROR(VLOOKUP(BM1054,'Gebinde-Kategorie'!$A$5:$G$45,5,0)+0,0))</f>
        <v/>
      </c>
      <c r="BZ1054" s="58">
        <f>IFERROR(IF(OR(BQ1054=1,BQ1054=2,BQ1054=3),N(INDEX(Parameter!$I$5:$I$7,BQ1054)),0),0)</f>
        <v/>
      </c>
    </row>
    <row r="1055">
      <c r="A1055" s="53" t="inlineStr">
        <is>
          <t>108079</t>
        </is>
      </c>
      <c r="B1055" s="53" t="inlineStr">
        <is>
          <t>Innenbox SPGr10 SVC2 1/4</t>
        </is>
      </c>
      <c r="C1055" s="53" t="inlineStr">
        <is>
          <t>G</t>
        </is>
      </c>
      <c r="D1055" s="53" t="inlineStr">
        <is>
          <t>PAL</t>
        </is>
      </c>
      <c r="E1055" s="53" t="inlineStr">
        <is>
          <t>C</t>
        </is>
      </c>
      <c r="F1055" s="54" t="n">
        <v>147.86</v>
      </c>
      <c r="G1055" s="55">
        <f>MAX(0,IF(Parameter!$B$20="Jahresanfang 2025 + Export",BG1055+BF1055,BF1055))</f>
        <v/>
      </c>
      <c r="H1055" s="55">
        <f>G1055*F1055</f>
        <v/>
      </c>
      <c r="I1055" s="55">
        <f>BI1055*Parameter!$B$18</f>
        <v/>
      </c>
      <c r="J1055" s="56" t="n">
        <v>0.5</v>
      </c>
      <c r="K1055" s="57" t="n">
        <v>0</v>
      </c>
      <c r="L1055" s="55" t="n">
        <v>0</v>
      </c>
      <c r="M1055" s="55" t="n">
        <v>1</v>
      </c>
      <c r="N1055" s="58" t="n">
        <v>56</v>
      </c>
      <c r="O1055" s="53" t="inlineStr">
        <is>
          <t>LOSE</t>
        </is>
      </c>
      <c r="P1055" s="55" t="n"/>
      <c r="Q1055" s="59">
        <f>IF(BO1055=1,0,IFERROR(VLOOKUP(BM1055,'Gebinde-Kategorie'!$A$5:$G$45,6,0)+0,0))</f>
        <v/>
      </c>
      <c r="R1055" s="60" t="n"/>
      <c r="S1055" s="61" t="n"/>
      <c r="T1055" s="61" t="n"/>
      <c r="U1055" s="53">
        <f>IF(A1055="","",IF(IFERROR(VLOOKUP(D1055,Parameter!$A$35:$C$64,2,0),"Nein")="2+3",IF(ISNUMBER(SEARCH("grosser Artikel",BJ1055)),2,IFERROR(VLOOKUP(BM1055,Parameter!$F$35:$G$64,2,0),2)),IF(OR(IFERROR(VLOOKUP(D1055,Parameter!$A$35:$C$64,2,0),"Nein")="Nein",IFERROR(VLOOKUP(D1055,Parameter!$A$35:$C$64,2,0),"Nein")=""),"-",VLOOKUP(D1055,Parameter!$A$35:$C$64,2,0))))</f>
        <v/>
      </c>
      <c r="V1055" s="61" t="n"/>
      <c r="W1055" s="62" t="n"/>
      <c r="X1055" s="55">
        <f>AM1055</f>
        <v/>
      </c>
      <c r="Y1055" s="55">
        <f>MAX(AM1055,G1055)</f>
        <v/>
      </c>
      <c r="Z1055" s="63" t="n"/>
      <c r="AA1055" s="55">
        <f>IF(LEFT(Cockpit!$C$5,1)="A",G1055,IF(BT1055=1,BU1055,IF(LEFT(Cockpit!$C$5,1)="B",AE1055,MAX(AE1055,G1055))))</f>
        <v/>
      </c>
      <c r="AB1055" s="55">
        <f>IF(BO1055=1,0,ROUNDUP(AA1055/BN1055,0))</f>
        <v/>
      </c>
      <c r="AC1055" s="64">
        <f>IF(BO1055=1,IF(AA1055&lt;=0,0,BP1055*MAX(1,IF(G1055&gt;0,AA1055/G1055,1))),AB1055*Q1055)</f>
        <v/>
      </c>
      <c r="AD1055" s="55">
        <f>AA1055*F1055</f>
        <v/>
      </c>
      <c r="AE1055" s="55">
        <f>ROUNDUP(MAX(I1055/IF(BS1055&gt;0,BS1055,MAX(0.1,N(Cockpit!$C$6))),BV1055)/BN1055,0)*BN1055</f>
        <v/>
      </c>
      <c r="AF1055" s="56">
        <f>IF(AC1055&gt;0,I1055/AC1055,-1)</f>
        <v/>
      </c>
      <c r="AG1055" s="56">
        <f>IF(AND(OR(BR1055="L1",BR1055="L23"),AC1055&gt;0),SUMIFS($AC$7:$AC$1570,$BR$7:$BR$1570,BR1055,$AF$7:$AF$1570,"&gt;"&amp;AF1055)+SUMIFS($AC$7:$AC$1570,$BR$7:$BR$1570,BR1055,$AF$7:$AF$1570,AF1055,$BL$7:$BL$1570,"&lt;="&amp;BL1055),"")</f>
        <v/>
      </c>
      <c r="AH1055" s="65">
        <f>IF(AG1055="",0,MAX(0,MIN(1,(IF(BR1055="L1",Parameter!$K$5,Parameter!$K$6+Parameter!$K$7)-(AG1055-AC1055))/AC1055)))</f>
        <v/>
      </c>
      <c r="AI1055" s="55">
        <f>IF(LEFT(Cockpit!$I$5,1)="A",G1055,IF(BT1055=1,BU1055,IF(LEFT(Cockpit!$I$5,1)="B",AM1055,MAX(AM1055,G1055))))</f>
        <v/>
      </c>
      <c r="AJ1055" s="55">
        <f>IF(BO1055=1,0,ROUNDUP(AI1055/BN1055,0))</f>
        <v/>
      </c>
      <c r="AK1055" s="64">
        <f>IF(BO1055=1,IF(AI1055&lt;=0,0,BP1055*MAX(1,IF(G1055&gt;0,AI1055/G1055,1))),AJ1055*Q1055)</f>
        <v/>
      </c>
      <c r="AL1055" s="55">
        <f>AI1055*F1055</f>
        <v/>
      </c>
      <c r="AM1055" s="55">
        <f>ROUNDUP(MAX(I1055/IF(BS1055&gt;0,BS1055,MAX(0.1,N(Cockpit!$I$6))),BV1055)/BN1055,0)*BN1055</f>
        <v/>
      </c>
      <c r="AN1055" s="56">
        <f>IF(AK1055&gt;0,I1055/AK1055,-1)</f>
        <v/>
      </c>
      <c r="AO1055" s="56">
        <f>IF(AND(OR(BR1055="L1",BR1055="L23"),AK1055&gt;0),SUMIFS($AK$7:$AK$1570,$BR$7:$BR$1570,BR1055,$AN$7:$AN$1570,"&gt;"&amp;AN1055)+SUMIFS($AK$7:$AK$1570,$BR$7:$BR$1570,BR1055,$AN$7:$AN$1570,AN1055,$BL$7:$BL$1570,"&lt;="&amp;BL1055),"")</f>
        <v/>
      </c>
      <c r="AP1055" s="65">
        <f>IF(AO1055="",0,MAX(0,MIN(1,(IF(BR1055="L1",Parameter!$K$5,Parameter!$K$6+Parameter!$K$7)-(AO1055-AK1055))/AK1055)))</f>
        <v/>
      </c>
      <c r="AQ1055" s="55">
        <f>IF(LEFT(Cockpit!$O$5,1)="A",G1055,IF(BT1055=1,BU1055,IF(LEFT(Cockpit!$O$5,1)="B",AU1055,MAX(AU1055,G1055))))</f>
        <v/>
      </c>
      <c r="AR1055" s="55">
        <f>IF(BO1055=1,0,ROUNDUP(AQ1055/BN1055,0))</f>
        <v/>
      </c>
      <c r="AS1055" s="64">
        <f>IF(BO1055=1,IF(AQ1055&lt;=0,0,BP1055*MAX(1,IF(G1055&gt;0,AQ1055/G1055,1))),AR1055*Q1055)</f>
        <v/>
      </c>
      <c r="AT1055" s="55">
        <f>AQ1055*F1055</f>
        <v/>
      </c>
      <c r="AU1055" s="55">
        <f>ROUNDUP(MAX(I1055/IF(BS1055&gt;0,BS1055,MAX(0.1,N(Cockpit!$O$6))),BV1055)/BN1055,0)*BN1055</f>
        <v/>
      </c>
      <c r="AV1055" s="56">
        <f>IF(AS1055&gt;0,I1055/AS1055,-1)</f>
        <v/>
      </c>
      <c r="AW1055" s="56">
        <f>IF(AND(OR(BR1055="L1",BR1055="L23"),AS1055&gt;0),SUMIFS($AS$7:$AS$1570,$BR$7:$BR$1570,BR1055,$AV$7:$AV$1570,"&gt;"&amp;AV1055)+SUMIFS($AS$7:$AS$1570,$BR$7:$BR$1570,BR1055,$AV$7:$AV$1570,AV1055,$BL$7:$BL$1570,"&lt;="&amp;BL1055),"")</f>
        <v/>
      </c>
      <c r="AX1055" s="65">
        <f>IF(AW1055="",0,MAX(0,MIN(1,(IF(BR1055="L1",Parameter!$K$5,Parameter!$K$6+Parameter!$K$7)-(AW1055-AS1055))/AS1055)))</f>
        <v/>
      </c>
      <c r="AY1055" s="53">
        <f>IF(AC1055&lt;=0,"",IF(BR1055="Aussen","Aussenlager",IF(BR1055="-","Nicht im Lift",IF(AH1055&gt;=1,"Lift",IF(AH1055&lt;=0,"Aussenlager","teilweise")))))</f>
        <v/>
      </c>
      <c r="AZ1055" s="53">
        <f>IF(AK1055&lt;=0,"",IF(BR1055="Aussen","Aussenlager",IF(BR1055="-","Nicht im Lift",IF(AP1055&gt;=1,"Lift",IF(AP1055&lt;=0,"Aussenlager","teilweise")))))</f>
        <v/>
      </c>
      <c r="BA1055" s="53">
        <f>IF(AS1055&lt;=0,"",IF(BR1055="Aussen","Aussenlager",IF(BR1055="-","Nicht im Lift",IF(AX1055&gt;=1,"Lift",IF(AX1055&lt;=0,"Aussenlager","teilweise")))))</f>
        <v/>
      </c>
      <c r="BB1055" s="53">
        <f>IF(A1055="","",IF(BK1055=1,"Neu; ","")&amp;IF(AND(BK1055=0,BF1055&lt;0),"negativer Bestand (Export "&amp;BF1055&amp;"); ","")&amp;IF(I1055&lt;=0,"Kein Verbrauch; ","")&amp;IF(BO1055=1,"Lose – Fläche geschätzt; ","")&amp;IF(G1055&gt;AM1055,"Überbestand "&amp;ROUND(G1055-AM1055,0)&amp;" Stk / CHF "&amp;ROUND((G1055-AM1055)*F1055,0)&amp;"; ","")&amp;IF(AND(BT1055=1,BU1055&lt;BV1055),"MAX &lt; MB+LG; ","")&amp;IF(AND(BZ1055&gt;0,BY1055*10&gt;BZ1055),"zu hoch für Tablar; ","")&amp;IF(AND(BK1055=0,OR(BT1055=1,V1055&lt;&gt;"",S1055&lt;&gt;"",T1055&lt;&gt;"",W1055&lt;&gt;"")),"manuell übersteuert; ","")&amp;IF(AND(BO1055=0,Q1055=0),"Gebinde unbekannt; ","")&amp;IF(AND(BO1055=0,N(T1055)&lt;=0,N(P1055)&lt;=0),"Menge pro Gebinde fehlt (Ist = 1 Gebinde); ","")&amp;BJ1055)</f>
        <v/>
      </c>
      <c r="BC1055" s="53" t="n"/>
      <c r="BD1055" s="53" t="n"/>
      <c r="BE1055" s="61" t="n"/>
      <c r="BF1055" s="55" t="n">
        <v>-1</v>
      </c>
      <c r="BG1055" s="55" t="n">
        <v>1</v>
      </c>
      <c r="BH1055" s="54" t="n">
        <v>-147.86</v>
      </c>
      <c r="BI1055" s="55" t="n">
        <v>0</v>
      </c>
      <c r="BJ1055" s="53" t="inlineStr">
        <is>
          <t>Neu</t>
        </is>
      </c>
      <c r="BK1055" s="58" t="n">
        <v>0</v>
      </c>
      <c r="BL1055" s="58" t="n">
        <v>1055</v>
      </c>
      <c r="BM1055" s="53">
        <f>IF(S1055&lt;&gt;"",UPPER(TRIM(S1055)),IF(O1055="","LOSE",O1055))</f>
        <v/>
      </c>
      <c r="BN1055" s="55">
        <f>IF(BM1055="LOSE",1,IF(N(T1055)&gt;0,T1055,IF(N(P1055)&gt;0,P1055,MAX(1,G1055))))</f>
        <v/>
      </c>
      <c r="BO1055" s="58">
        <f>IF(BM1055="LOSE",1,0)</f>
        <v/>
      </c>
      <c r="BP1055" s="64">
        <f>IF(BO1055=0,0,IF(N(R1055)&gt;0,R1055,IFERROR(VLOOKUP(D1055,Parameter!$A$35:$C$64,3,0)+0,0)))</f>
        <v/>
      </c>
      <c r="BQ1055" s="53">
        <f>IF(V1055&lt;&gt;"",V1055,U1055)</f>
        <v/>
      </c>
      <c r="BR1055" s="53">
        <f>IF(BQ1055=1,"L1",IF(OR(BQ1055=2,BQ1055=3),"L23",IF(BQ1055="Aussen","Aussen","-")))</f>
        <v/>
      </c>
      <c r="BS1055" s="66">
        <f>IF(N(W1055)&gt;0,W1055,0)</f>
        <v/>
      </c>
      <c r="BT1055" s="58">
        <f>IF(ISNUMBER(Z1055),1,0)</f>
        <v/>
      </c>
      <c r="BU1055" s="55">
        <f>N(Z1055)</f>
        <v/>
      </c>
      <c r="BV1055" s="55">
        <f>N(L1055)+N(M1055)</f>
        <v/>
      </c>
      <c r="BW1055" s="55">
        <f>ROUNDUP(G1055/BN1055,0)</f>
        <v/>
      </c>
      <c r="BX1055" s="55">
        <f>ROUNDUP(BU1055/BN1055,0)</f>
        <v/>
      </c>
      <c r="BY1055" s="58">
        <f>IF(BO1055=1,0,IFERROR(VLOOKUP(BM1055,'Gebinde-Kategorie'!$A$5:$G$45,5,0)+0,0))</f>
        <v/>
      </c>
      <c r="BZ1055" s="58">
        <f>IFERROR(IF(OR(BQ1055=1,BQ1055=2,BQ1055=3),N(INDEX(Parameter!$I$5:$I$7,BQ1055)),0),0)</f>
        <v/>
      </c>
    </row>
    <row r="1056">
      <c r="A1056" s="53" t="inlineStr">
        <is>
          <t>109909</t>
        </is>
      </c>
      <c r="B1056" s="53" t="inlineStr">
        <is>
          <t>Industrie Mobilfunk Router (US)</t>
        </is>
      </c>
      <c r="C1056" s="53" t="inlineStr">
        <is>
          <t>F</t>
        </is>
      </c>
      <c r="D1056" s="53" t="inlineStr">
        <is>
          <t>KTL</t>
        </is>
      </c>
      <c r="E1056" s="53" t="inlineStr">
        <is>
          <t>C</t>
        </is>
      </c>
      <c r="F1056" s="54" t="n">
        <v>147.96</v>
      </c>
      <c r="G1056" s="55">
        <f>MAX(0,IF(Parameter!$B$20="Jahresanfang 2025 + Export",BG1056+BF1056,BF1056))</f>
        <v/>
      </c>
      <c r="H1056" s="55">
        <f>G1056*F1056</f>
        <v/>
      </c>
      <c r="I1056" s="55">
        <f>BI1056*Parameter!$B$18</f>
        <v/>
      </c>
      <c r="J1056" s="56" t="n">
        <v>4.5</v>
      </c>
      <c r="K1056" s="57" t="n">
        <v>0</v>
      </c>
      <c r="L1056" s="55" t="n">
        <v>0</v>
      </c>
      <c r="M1056" s="55" t="n">
        <v>1</v>
      </c>
      <c r="N1056" s="58" t="n">
        <v>56</v>
      </c>
      <c r="O1056" s="53" t="inlineStr">
        <is>
          <t>S51</t>
        </is>
      </c>
      <c r="P1056" s="55" t="n">
        <v>5</v>
      </c>
      <c r="Q1056" s="59">
        <f>IF(BO1056=1,0,IFERROR(VLOOKUP(BM1056,'Gebinde-Kategorie'!$A$5:$G$45,6,0)+0,0))</f>
        <v/>
      </c>
      <c r="R1056" s="60" t="n"/>
      <c r="S1056" s="61" t="n"/>
      <c r="T1056" s="61" t="n"/>
      <c r="U1056" s="53">
        <f>IF(A1056="","",IF(IFERROR(VLOOKUP(D1056,Parameter!$A$35:$C$64,2,0),"Nein")="2+3",IF(ISNUMBER(SEARCH("grosser Artikel",BJ1056)),2,IFERROR(VLOOKUP(BM1056,Parameter!$F$35:$G$64,2,0),2)),IF(OR(IFERROR(VLOOKUP(D1056,Parameter!$A$35:$C$64,2,0),"Nein")="Nein",IFERROR(VLOOKUP(D1056,Parameter!$A$35:$C$64,2,0),"Nein")=""),"-",VLOOKUP(D1056,Parameter!$A$35:$C$64,2,0))))</f>
        <v/>
      </c>
      <c r="V1056" s="61" t="n"/>
      <c r="W1056" s="62" t="n"/>
      <c r="X1056" s="55">
        <f>AM1056</f>
        <v/>
      </c>
      <c r="Y1056" s="55">
        <f>MAX(AM1056,G1056)</f>
        <v/>
      </c>
      <c r="Z1056" s="63" t="n"/>
      <c r="AA1056" s="55">
        <f>IF(LEFT(Cockpit!$C$5,1)="A",G1056,IF(BT1056=1,BU1056,IF(LEFT(Cockpit!$C$5,1)="B",AE1056,MAX(AE1056,G1056))))</f>
        <v/>
      </c>
      <c r="AB1056" s="55">
        <f>IF(BO1056=1,0,ROUNDUP(AA1056/BN1056,0))</f>
        <v/>
      </c>
      <c r="AC1056" s="64">
        <f>IF(BO1056=1,IF(AA1056&lt;=0,0,BP1056*MAX(1,IF(G1056&gt;0,AA1056/G1056,1))),AB1056*Q1056)</f>
        <v/>
      </c>
      <c r="AD1056" s="55">
        <f>AA1056*F1056</f>
        <v/>
      </c>
      <c r="AE1056" s="55">
        <f>ROUNDUP(MAX(I1056/IF(BS1056&gt;0,BS1056,MAX(0.1,N(Cockpit!$C$6))),BV1056)/BN1056,0)*BN1056</f>
        <v/>
      </c>
      <c r="AF1056" s="56">
        <f>IF(AC1056&gt;0,I1056/AC1056,-1)</f>
        <v/>
      </c>
      <c r="AG1056" s="56">
        <f>IF(AND(OR(BR1056="L1",BR1056="L23"),AC1056&gt;0),SUMIFS($AC$7:$AC$1570,$BR$7:$BR$1570,BR1056,$AF$7:$AF$1570,"&gt;"&amp;AF1056)+SUMIFS($AC$7:$AC$1570,$BR$7:$BR$1570,BR1056,$AF$7:$AF$1570,AF1056,$BL$7:$BL$1570,"&lt;="&amp;BL1056),"")</f>
        <v/>
      </c>
      <c r="AH1056" s="65">
        <f>IF(AG1056="",0,MAX(0,MIN(1,(IF(BR1056="L1",Parameter!$K$5,Parameter!$K$6+Parameter!$K$7)-(AG1056-AC1056))/AC1056)))</f>
        <v/>
      </c>
      <c r="AI1056" s="55">
        <f>IF(LEFT(Cockpit!$I$5,1)="A",G1056,IF(BT1056=1,BU1056,IF(LEFT(Cockpit!$I$5,1)="B",AM1056,MAX(AM1056,G1056))))</f>
        <v/>
      </c>
      <c r="AJ1056" s="55">
        <f>IF(BO1056=1,0,ROUNDUP(AI1056/BN1056,0))</f>
        <v/>
      </c>
      <c r="AK1056" s="64">
        <f>IF(BO1056=1,IF(AI1056&lt;=0,0,BP1056*MAX(1,IF(G1056&gt;0,AI1056/G1056,1))),AJ1056*Q1056)</f>
        <v/>
      </c>
      <c r="AL1056" s="55">
        <f>AI1056*F1056</f>
        <v/>
      </c>
      <c r="AM1056" s="55">
        <f>ROUNDUP(MAX(I1056/IF(BS1056&gt;0,BS1056,MAX(0.1,N(Cockpit!$I$6))),BV1056)/BN1056,0)*BN1056</f>
        <v/>
      </c>
      <c r="AN1056" s="56">
        <f>IF(AK1056&gt;0,I1056/AK1056,-1)</f>
        <v/>
      </c>
      <c r="AO1056" s="56">
        <f>IF(AND(OR(BR1056="L1",BR1056="L23"),AK1056&gt;0),SUMIFS($AK$7:$AK$1570,$BR$7:$BR$1570,BR1056,$AN$7:$AN$1570,"&gt;"&amp;AN1056)+SUMIFS($AK$7:$AK$1570,$BR$7:$BR$1570,BR1056,$AN$7:$AN$1570,AN1056,$BL$7:$BL$1570,"&lt;="&amp;BL1056),"")</f>
        <v/>
      </c>
      <c r="AP1056" s="65">
        <f>IF(AO1056="",0,MAX(0,MIN(1,(IF(BR1056="L1",Parameter!$K$5,Parameter!$K$6+Parameter!$K$7)-(AO1056-AK1056))/AK1056)))</f>
        <v/>
      </c>
      <c r="AQ1056" s="55">
        <f>IF(LEFT(Cockpit!$O$5,1)="A",G1056,IF(BT1056=1,BU1056,IF(LEFT(Cockpit!$O$5,1)="B",AU1056,MAX(AU1056,G1056))))</f>
        <v/>
      </c>
      <c r="AR1056" s="55">
        <f>IF(BO1056=1,0,ROUNDUP(AQ1056/BN1056,0))</f>
        <v/>
      </c>
      <c r="AS1056" s="64">
        <f>IF(BO1056=1,IF(AQ1056&lt;=0,0,BP1056*MAX(1,IF(G1056&gt;0,AQ1056/G1056,1))),AR1056*Q1056)</f>
        <v/>
      </c>
      <c r="AT1056" s="55">
        <f>AQ1056*F1056</f>
        <v/>
      </c>
      <c r="AU1056" s="55">
        <f>ROUNDUP(MAX(I1056/IF(BS1056&gt;0,BS1056,MAX(0.1,N(Cockpit!$O$6))),BV1056)/BN1056,0)*BN1056</f>
        <v/>
      </c>
      <c r="AV1056" s="56">
        <f>IF(AS1056&gt;0,I1056/AS1056,-1)</f>
        <v/>
      </c>
      <c r="AW1056" s="56">
        <f>IF(AND(OR(BR1056="L1",BR1056="L23"),AS1056&gt;0),SUMIFS($AS$7:$AS$1570,$BR$7:$BR$1570,BR1056,$AV$7:$AV$1570,"&gt;"&amp;AV1056)+SUMIFS($AS$7:$AS$1570,$BR$7:$BR$1570,BR1056,$AV$7:$AV$1570,AV1056,$BL$7:$BL$1570,"&lt;="&amp;BL1056),"")</f>
        <v/>
      </c>
      <c r="AX1056" s="65">
        <f>IF(AW1056="",0,MAX(0,MIN(1,(IF(BR1056="L1",Parameter!$K$5,Parameter!$K$6+Parameter!$K$7)-(AW1056-AS1056))/AS1056)))</f>
        <v/>
      </c>
      <c r="AY1056" s="53">
        <f>IF(AC1056&lt;=0,"",IF(BR1056="Aussen","Aussenlager",IF(BR1056="-","Nicht im Lift",IF(AH1056&gt;=1,"Lift",IF(AH1056&lt;=0,"Aussenlager","teilweise")))))</f>
        <v/>
      </c>
      <c r="AZ1056" s="53">
        <f>IF(AK1056&lt;=0,"",IF(BR1056="Aussen","Aussenlager",IF(BR1056="-","Nicht im Lift",IF(AP1056&gt;=1,"Lift",IF(AP1056&lt;=0,"Aussenlager","teilweise")))))</f>
        <v/>
      </c>
      <c r="BA1056" s="53">
        <f>IF(AS1056&lt;=0,"",IF(BR1056="Aussen","Aussenlager",IF(BR1056="-","Nicht im Lift",IF(AX1056&gt;=1,"Lift",IF(AX1056&lt;=0,"Aussenlager","teilweise")))))</f>
        <v/>
      </c>
      <c r="BB1056" s="53">
        <f>IF(A1056="","",IF(BK1056=1,"Neu; ","")&amp;IF(AND(BK1056=0,BF1056&lt;0),"negativer Bestand (Export "&amp;BF1056&amp;"); ","")&amp;IF(I1056&lt;=0,"Kein Verbrauch; ","")&amp;IF(BO1056=1,"Lose – Fläche geschätzt; ","")&amp;IF(G1056&gt;AM1056,"Überbestand "&amp;ROUND(G1056-AM1056,0)&amp;" Stk / CHF "&amp;ROUND((G1056-AM1056)*F1056,0)&amp;"; ","")&amp;IF(AND(BT1056=1,BU1056&lt;BV1056),"MAX &lt; MB+LG; ","")&amp;IF(AND(BZ1056&gt;0,BY1056*10&gt;BZ1056),"zu hoch für Tablar; ","")&amp;IF(AND(BK1056=0,OR(BT1056=1,V1056&lt;&gt;"",S1056&lt;&gt;"",T1056&lt;&gt;"",W1056&lt;&gt;"")),"manuell übersteuert; ","")&amp;IF(AND(BO1056=0,Q1056=0),"Gebinde unbekannt; ","")&amp;IF(AND(BO1056=0,N(T1056)&lt;=0,N(P1056)&lt;=0),"Menge pro Gebinde fehlt (Ist = 1 Gebinde); ","")&amp;BJ1056)</f>
        <v/>
      </c>
      <c r="BC1056" s="53" t="n"/>
      <c r="BD1056" s="53" t="n"/>
      <c r="BE1056" s="61" t="n"/>
      <c r="BF1056" s="55" t="n">
        <v>-1</v>
      </c>
      <c r="BG1056" s="55" t="n">
        <v>5</v>
      </c>
      <c r="BH1056" s="54" t="n">
        <v>-147.96</v>
      </c>
      <c r="BI1056" s="55" t="n">
        <v>0</v>
      </c>
      <c r="BJ1056" s="53" t="inlineStr"/>
      <c r="BK1056" s="58" t="n">
        <v>0</v>
      </c>
      <c r="BL1056" s="58" t="n">
        <v>1056</v>
      </c>
      <c r="BM1056" s="53">
        <f>IF(S1056&lt;&gt;"",UPPER(TRIM(S1056)),IF(O1056="","LOSE",O1056))</f>
        <v/>
      </c>
      <c r="BN1056" s="55">
        <f>IF(BM1056="LOSE",1,IF(N(T1056)&gt;0,T1056,IF(N(P1056)&gt;0,P1056,MAX(1,G1056))))</f>
        <v/>
      </c>
      <c r="BO1056" s="58">
        <f>IF(BM1056="LOSE",1,0)</f>
        <v/>
      </c>
      <c r="BP1056" s="64">
        <f>IF(BO1056=0,0,IF(N(R1056)&gt;0,R1056,IFERROR(VLOOKUP(D1056,Parameter!$A$35:$C$64,3,0)+0,0)))</f>
        <v/>
      </c>
      <c r="BQ1056" s="53">
        <f>IF(V1056&lt;&gt;"",V1056,U1056)</f>
        <v/>
      </c>
      <c r="BR1056" s="53">
        <f>IF(BQ1056=1,"L1",IF(OR(BQ1056=2,BQ1056=3),"L23",IF(BQ1056="Aussen","Aussen","-")))</f>
        <v/>
      </c>
      <c r="BS1056" s="66">
        <f>IF(N(W1056)&gt;0,W1056,0)</f>
        <v/>
      </c>
      <c r="BT1056" s="58">
        <f>IF(ISNUMBER(Z1056),1,0)</f>
        <v/>
      </c>
      <c r="BU1056" s="55">
        <f>N(Z1056)</f>
        <v/>
      </c>
      <c r="BV1056" s="55">
        <f>N(L1056)+N(M1056)</f>
        <v/>
      </c>
      <c r="BW1056" s="55">
        <f>ROUNDUP(G1056/BN1056,0)</f>
        <v/>
      </c>
      <c r="BX1056" s="55">
        <f>ROUNDUP(BU1056/BN1056,0)</f>
        <v/>
      </c>
      <c r="BY1056" s="58">
        <f>IF(BO1056=1,0,IFERROR(VLOOKUP(BM1056,'Gebinde-Kategorie'!$A$5:$G$45,5,0)+0,0))</f>
        <v/>
      </c>
      <c r="BZ1056" s="58">
        <f>IFERROR(IF(OR(BQ1056=1,BQ1056=2,BQ1056=3),N(INDEX(Parameter!$I$5:$I$7,BQ1056)),0),0)</f>
        <v/>
      </c>
    </row>
    <row r="1057">
      <c r="A1057" s="53" t="inlineStr">
        <is>
          <t>105478</t>
        </is>
      </c>
      <c r="B1057" s="53" t="inlineStr">
        <is>
          <t>Flansch</t>
        </is>
      </c>
      <c r="C1057" s="53" t="inlineStr">
        <is>
          <t>F</t>
        </is>
      </c>
      <c r="D1057" s="53" t="inlineStr">
        <is>
          <t>PAL</t>
        </is>
      </c>
      <c r="E1057" s="53" t="inlineStr">
        <is>
          <t>C</t>
        </is>
      </c>
      <c r="F1057" s="54" t="n">
        <v>75</v>
      </c>
      <c r="G1057" s="55">
        <f>MAX(0,IF(Parameter!$B$20="Jahresanfang 2025 + Export",BG1057+BF1057,BF1057))</f>
        <v/>
      </c>
      <c r="H1057" s="55">
        <f>G1057*F1057</f>
        <v/>
      </c>
      <c r="I1057" s="55">
        <f>BI1057*Parameter!$B$18</f>
        <v/>
      </c>
      <c r="J1057" s="56" t="n">
        <v>12.5</v>
      </c>
      <c r="K1057" s="57" t="n">
        <v>2.16</v>
      </c>
      <c r="L1057" s="55" t="n">
        <v>1</v>
      </c>
      <c r="M1057" s="55" t="n">
        <v>25</v>
      </c>
      <c r="N1057" s="58" t="n">
        <v>21</v>
      </c>
      <c r="O1057" s="53" t="inlineStr">
        <is>
          <t>S61</t>
        </is>
      </c>
      <c r="P1057" s="55" t="n">
        <v>25</v>
      </c>
      <c r="Q1057" s="59">
        <f>IF(BO1057=1,0,IFERROR(VLOOKUP(BM1057,'Gebinde-Kategorie'!$A$5:$G$45,6,0)+0,0))</f>
        <v/>
      </c>
      <c r="R1057" s="60" t="n"/>
      <c r="S1057" s="61" t="n"/>
      <c r="T1057" s="61" t="n"/>
      <c r="U1057" s="53">
        <f>IF(A1057="","",IF(IFERROR(VLOOKUP(D1057,Parameter!$A$35:$C$64,2,0),"Nein")="2+3",IF(ISNUMBER(SEARCH("grosser Artikel",BJ1057)),2,IFERROR(VLOOKUP(BM1057,Parameter!$F$35:$G$64,2,0),2)),IF(OR(IFERROR(VLOOKUP(D1057,Parameter!$A$35:$C$64,2,0),"Nein")="Nein",IFERROR(VLOOKUP(D1057,Parameter!$A$35:$C$64,2,0),"Nein")=""),"-",VLOOKUP(D1057,Parameter!$A$35:$C$64,2,0))))</f>
        <v/>
      </c>
      <c r="V1057" s="61" t="n"/>
      <c r="W1057" s="62" t="n"/>
      <c r="X1057" s="55">
        <f>AM1057</f>
        <v/>
      </c>
      <c r="Y1057" s="55">
        <f>MAX(AM1057,G1057)</f>
        <v/>
      </c>
      <c r="Z1057" s="63" t="n"/>
      <c r="AA1057" s="55">
        <f>IF(LEFT(Cockpit!$C$5,1)="A",G1057,IF(BT1057=1,BU1057,IF(LEFT(Cockpit!$C$5,1)="B",AE1057,MAX(AE1057,G1057))))</f>
        <v/>
      </c>
      <c r="AB1057" s="55">
        <f>IF(BO1057=1,0,ROUNDUP(AA1057/BN1057,0))</f>
        <v/>
      </c>
      <c r="AC1057" s="64">
        <f>IF(BO1057=1,IF(AA1057&lt;=0,0,BP1057*MAX(1,IF(G1057&gt;0,AA1057/G1057,1))),AB1057*Q1057)</f>
        <v/>
      </c>
      <c r="AD1057" s="55">
        <f>AA1057*F1057</f>
        <v/>
      </c>
      <c r="AE1057" s="55">
        <f>ROUNDUP(MAX(I1057/IF(BS1057&gt;0,BS1057,MAX(0.1,N(Cockpit!$C$6))),BV1057)/BN1057,0)*BN1057</f>
        <v/>
      </c>
      <c r="AF1057" s="56">
        <f>IF(AC1057&gt;0,I1057/AC1057,-1)</f>
        <v/>
      </c>
      <c r="AG1057" s="56">
        <f>IF(AND(OR(BR1057="L1",BR1057="L23"),AC1057&gt;0),SUMIFS($AC$7:$AC$1570,$BR$7:$BR$1570,BR1057,$AF$7:$AF$1570,"&gt;"&amp;AF1057)+SUMIFS($AC$7:$AC$1570,$BR$7:$BR$1570,BR1057,$AF$7:$AF$1570,AF1057,$BL$7:$BL$1570,"&lt;="&amp;BL1057),"")</f>
        <v/>
      </c>
      <c r="AH1057" s="65">
        <f>IF(AG1057="",0,MAX(0,MIN(1,(IF(BR1057="L1",Parameter!$K$5,Parameter!$K$6+Parameter!$K$7)-(AG1057-AC1057))/AC1057)))</f>
        <v/>
      </c>
      <c r="AI1057" s="55">
        <f>IF(LEFT(Cockpit!$I$5,1)="A",G1057,IF(BT1057=1,BU1057,IF(LEFT(Cockpit!$I$5,1)="B",AM1057,MAX(AM1057,G1057))))</f>
        <v/>
      </c>
      <c r="AJ1057" s="55">
        <f>IF(BO1057=1,0,ROUNDUP(AI1057/BN1057,0))</f>
        <v/>
      </c>
      <c r="AK1057" s="64">
        <f>IF(BO1057=1,IF(AI1057&lt;=0,0,BP1057*MAX(1,IF(G1057&gt;0,AI1057/G1057,1))),AJ1057*Q1057)</f>
        <v/>
      </c>
      <c r="AL1057" s="55">
        <f>AI1057*F1057</f>
        <v/>
      </c>
      <c r="AM1057" s="55">
        <f>ROUNDUP(MAX(I1057/IF(BS1057&gt;0,BS1057,MAX(0.1,N(Cockpit!$I$6))),BV1057)/BN1057,0)*BN1057</f>
        <v/>
      </c>
      <c r="AN1057" s="56">
        <f>IF(AK1057&gt;0,I1057/AK1057,-1)</f>
        <v/>
      </c>
      <c r="AO1057" s="56">
        <f>IF(AND(OR(BR1057="L1",BR1057="L23"),AK1057&gt;0),SUMIFS($AK$7:$AK$1570,$BR$7:$BR$1570,BR1057,$AN$7:$AN$1570,"&gt;"&amp;AN1057)+SUMIFS($AK$7:$AK$1570,$BR$7:$BR$1570,BR1057,$AN$7:$AN$1570,AN1057,$BL$7:$BL$1570,"&lt;="&amp;BL1057),"")</f>
        <v/>
      </c>
      <c r="AP1057" s="65">
        <f>IF(AO1057="",0,MAX(0,MIN(1,(IF(BR1057="L1",Parameter!$K$5,Parameter!$K$6+Parameter!$K$7)-(AO1057-AK1057))/AK1057)))</f>
        <v/>
      </c>
      <c r="AQ1057" s="55">
        <f>IF(LEFT(Cockpit!$O$5,1)="A",G1057,IF(BT1057=1,BU1057,IF(LEFT(Cockpit!$O$5,1)="B",AU1057,MAX(AU1057,G1057))))</f>
        <v/>
      </c>
      <c r="AR1057" s="55">
        <f>IF(BO1057=1,0,ROUNDUP(AQ1057/BN1057,0))</f>
        <v/>
      </c>
      <c r="AS1057" s="64">
        <f>IF(BO1057=1,IF(AQ1057&lt;=0,0,BP1057*MAX(1,IF(G1057&gt;0,AQ1057/G1057,1))),AR1057*Q1057)</f>
        <v/>
      </c>
      <c r="AT1057" s="55">
        <f>AQ1057*F1057</f>
        <v/>
      </c>
      <c r="AU1057" s="55">
        <f>ROUNDUP(MAX(I1057/IF(BS1057&gt;0,BS1057,MAX(0.1,N(Cockpit!$O$6))),BV1057)/BN1057,0)*BN1057</f>
        <v/>
      </c>
      <c r="AV1057" s="56">
        <f>IF(AS1057&gt;0,I1057/AS1057,-1)</f>
        <v/>
      </c>
      <c r="AW1057" s="56">
        <f>IF(AND(OR(BR1057="L1",BR1057="L23"),AS1057&gt;0),SUMIFS($AS$7:$AS$1570,$BR$7:$BR$1570,BR1057,$AV$7:$AV$1570,"&gt;"&amp;AV1057)+SUMIFS($AS$7:$AS$1570,$BR$7:$BR$1570,BR1057,$AV$7:$AV$1570,AV1057,$BL$7:$BL$1570,"&lt;="&amp;BL1057),"")</f>
        <v/>
      </c>
      <c r="AX1057" s="65">
        <f>IF(AW1057="",0,MAX(0,MIN(1,(IF(BR1057="L1",Parameter!$K$5,Parameter!$K$6+Parameter!$K$7)-(AW1057-AS1057))/AS1057)))</f>
        <v/>
      </c>
      <c r="AY1057" s="53">
        <f>IF(AC1057&lt;=0,"",IF(BR1057="Aussen","Aussenlager",IF(BR1057="-","Nicht im Lift",IF(AH1057&gt;=1,"Lift",IF(AH1057&lt;=0,"Aussenlager","teilweise")))))</f>
        <v/>
      </c>
      <c r="AZ1057" s="53">
        <f>IF(AK1057&lt;=0,"",IF(BR1057="Aussen","Aussenlager",IF(BR1057="-","Nicht im Lift",IF(AP1057&gt;=1,"Lift",IF(AP1057&lt;=0,"Aussenlager","teilweise")))))</f>
        <v/>
      </c>
      <c r="BA1057" s="53">
        <f>IF(AS1057&lt;=0,"",IF(BR1057="Aussen","Aussenlager",IF(BR1057="-","Nicht im Lift",IF(AX1057&gt;=1,"Lift",IF(AX1057&lt;=0,"Aussenlager","teilweise")))))</f>
        <v/>
      </c>
      <c r="BB1057" s="53">
        <f>IF(A1057="","",IF(BK1057=1,"Neu; ","")&amp;IF(AND(BK1057=0,BF1057&lt;0),"negativer Bestand (Export "&amp;BF1057&amp;"); ","")&amp;IF(I1057&lt;=0,"Kein Verbrauch; ","")&amp;IF(BO1057=1,"Lose – Fläche geschätzt; ","")&amp;IF(G1057&gt;AM1057,"Überbestand "&amp;ROUND(G1057-AM1057,0)&amp;" Stk / CHF "&amp;ROUND((G1057-AM1057)*F1057,0)&amp;"; ","")&amp;IF(AND(BT1057=1,BU1057&lt;BV1057),"MAX &lt; MB+LG; ","")&amp;IF(AND(BZ1057&gt;0,BY1057*10&gt;BZ1057),"zu hoch für Tablar; ","")&amp;IF(AND(BK1057=0,OR(BT1057=1,V1057&lt;&gt;"",S1057&lt;&gt;"",T1057&lt;&gt;"",W1057&lt;&gt;"")),"manuell übersteuert; ","")&amp;IF(AND(BO1057=0,Q1057=0),"Gebinde unbekannt; ","")&amp;IF(AND(BO1057=0,N(T1057)&lt;=0,N(P1057)&lt;=0),"Menge pro Gebinde fehlt (Ist = 1 Gebinde); ","")&amp;BJ1057)</f>
        <v/>
      </c>
      <c r="BC1057" s="53" t="n"/>
      <c r="BD1057" s="53" t="n"/>
      <c r="BE1057" s="61" t="n"/>
      <c r="BF1057" s="55" t="n">
        <v>-2</v>
      </c>
      <c r="BG1057" s="55" t="n">
        <v>6</v>
      </c>
      <c r="BH1057" s="54" t="n">
        <v>-148.26</v>
      </c>
      <c r="BI1057" s="55" t="n">
        <v>27</v>
      </c>
      <c r="BJ1057" s="53" t="inlineStr"/>
      <c r="BK1057" s="58" t="n">
        <v>0</v>
      </c>
      <c r="BL1057" s="58" t="n">
        <v>1057</v>
      </c>
      <c r="BM1057" s="53">
        <f>IF(S1057&lt;&gt;"",UPPER(TRIM(S1057)),IF(O1057="","LOSE",O1057))</f>
        <v/>
      </c>
      <c r="BN1057" s="55">
        <f>IF(BM1057="LOSE",1,IF(N(T1057)&gt;0,T1057,IF(N(P1057)&gt;0,P1057,MAX(1,G1057))))</f>
        <v/>
      </c>
      <c r="BO1057" s="58">
        <f>IF(BM1057="LOSE",1,0)</f>
        <v/>
      </c>
      <c r="BP1057" s="64">
        <f>IF(BO1057=0,0,IF(N(R1057)&gt;0,R1057,IFERROR(VLOOKUP(D1057,Parameter!$A$35:$C$64,3,0)+0,0)))</f>
        <v/>
      </c>
      <c r="BQ1057" s="53">
        <f>IF(V1057&lt;&gt;"",V1057,U1057)</f>
        <v/>
      </c>
      <c r="BR1057" s="53">
        <f>IF(BQ1057=1,"L1",IF(OR(BQ1057=2,BQ1057=3),"L23",IF(BQ1057="Aussen","Aussen","-")))</f>
        <v/>
      </c>
      <c r="BS1057" s="66">
        <f>IF(N(W1057)&gt;0,W1057,0)</f>
        <v/>
      </c>
      <c r="BT1057" s="58">
        <f>IF(ISNUMBER(Z1057),1,0)</f>
        <v/>
      </c>
      <c r="BU1057" s="55">
        <f>N(Z1057)</f>
        <v/>
      </c>
      <c r="BV1057" s="55">
        <f>N(L1057)+N(M1057)</f>
        <v/>
      </c>
      <c r="BW1057" s="55">
        <f>ROUNDUP(G1057/BN1057,0)</f>
        <v/>
      </c>
      <c r="BX1057" s="55">
        <f>ROUNDUP(BU1057/BN1057,0)</f>
        <v/>
      </c>
      <c r="BY1057" s="58">
        <f>IF(BO1057=1,0,IFERROR(VLOOKUP(BM1057,'Gebinde-Kategorie'!$A$5:$G$45,5,0)+0,0))</f>
        <v/>
      </c>
      <c r="BZ1057" s="58">
        <f>IFERROR(IF(OR(BQ1057=1,BQ1057=2,BQ1057=3),N(INDEX(Parameter!$I$5:$I$7,BQ1057)),0),0)</f>
        <v/>
      </c>
    </row>
    <row r="1058">
      <c r="A1058" s="53" t="inlineStr">
        <is>
          <t>108528</t>
        </is>
      </c>
      <c r="B1058" s="53" t="inlineStr">
        <is>
          <t>Sinterscheibe</t>
        </is>
      </c>
      <c r="C1058" s="53" t="inlineStr">
        <is>
          <t>F</t>
        </is>
      </c>
      <c r="D1058" s="53" t="inlineStr">
        <is>
          <t>KTL</t>
        </is>
      </c>
      <c r="E1058" s="53" t="inlineStr">
        <is>
          <t>C</t>
        </is>
      </c>
      <c r="F1058" s="54" t="n">
        <v>4.52</v>
      </c>
      <c r="G1058" s="55">
        <f>MAX(0,IF(Parameter!$B$20="Jahresanfang 2025 + Export",BG1058+BF1058,BF1058))</f>
        <v/>
      </c>
      <c r="H1058" s="55">
        <f>G1058*F1058</f>
        <v/>
      </c>
      <c r="I1058" s="55">
        <f>BI1058*Parameter!$B$18</f>
        <v/>
      </c>
      <c r="J1058" s="56" t="n">
        <v>82.5</v>
      </c>
      <c r="K1058" s="57" t="n">
        <v>1.127272727272727</v>
      </c>
      <c r="L1058" s="55" t="n">
        <v>7</v>
      </c>
      <c r="M1058" s="55" t="n">
        <v>95</v>
      </c>
      <c r="N1058" s="58" t="n">
        <v>28</v>
      </c>
      <c r="O1058" s="53" t="inlineStr">
        <is>
          <t>S21</t>
        </is>
      </c>
      <c r="P1058" s="55" t="n">
        <v>55</v>
      </c>
      <c r="Q1058" s="59">
        <f>IF(BO1058=1,0,IFERROR(VLOOKUP(BM1058,'Gebinde-Kategorie'!$A$5:$G$45,6,0)+0,0))</f>
        <v/>
      </c>
      <c r="R1058" s="60" t="n"/>
      <c r="S1058" s="61" t="n"/>
      <c r="T1058" s="61" t="n"/>
      <c r="U1058" s="53">
        <f>IF(A1058="","",IF(IFERROR(VLOOKUP(D1058,Parameter!$A$35:$C$64,2,0),"Nein")="2+3",IF(ISNUMBER(SEARCH("grosser Artikel",BJ1058)),2,IFERROR(VLOOKUP(BM1058,Parameter!$F$35:$G$64,2,0),2)),IF(OR(IFERROR(VLOOKUP(D1058,Parameter!$A$35:$C$64,2,0),"Nein")="Nein",IFERROR(VLOOKUP(D1058,Parameter!$A$35:$C$64,2,0),"Nein")=""),"-",VLOOKUP(D1058,Parameter!$A$35:$C$64,2,0))))</f>
        <v/>
      </c>
      <c r="V1058" s="61" t="n"/>
      <c r="W1058" s="62" t="n"/>
      <c r="X1058" s="55">
        <f>AM1058</f>
        <v/>
      </c>
      <c r="Y1058" s="55">
        <f>MAX(AM1058,G1058)</f>
        <v/>
      </c>
      <c r="Z1058" s="63" t="n"/>
      <c r="AA1058" s="55">
        <f>IF(LEFT(Cockpit!$C$5,1)="A",G1058,IF(BT1058=1,BU1058,IF(LEFT(Cockpit!$C$5,1)="B",AE1058,MAX(AE1058,G1058))))</f>
        <v/>
      </c>
      <c r="AB1058" s="55">
        <f>IF(BO1058=1,0,ROUNDUP(AA1058/BN1058,0))</f>
        <v/>
      </c>
      <c r="AC1058" s="64">
        <f>IF(BO1058=1,IF(AA1058&lt;=0,0,BP1058*MAX(1,IF(G1058&gt;0,AA1058/G1058,1))),AB1058*Q1058)</f>
        <v/>
      </c>
      <c r="AD1058" s="55">
        <f>AA1058*F1058</f>
        <v/>
      </c>
      <c r="AE1058" s="55">
        <f>ROUNDUP(MAX(I1058/IF(BS1058&gt;0,BS1058,MAX(0.1,N(Cockpit!$C$6))),BV1058)/BN1058,0)*BN1058</f>
        <v/>
      </c>
      <c r="AF1058" s="56">
        <f>IF(AC1058&gt;0,I1058/AC1058,-1)</f>
        <v/>
      </c>
      <c r="AG1058" s="56">
        <f>IF(AND(OR(BR1058="L1",BR1058="L23"),AC1058&gt;0),SUMIFS($AC$7:$AC$1570,$BR$7:$BR$1570,BR1058,$AF$7:$AF$1570,"&gt;"&amp;AF1058)+SUMIFS($AC$7:$AC$1570,$BR$7:$BR$1570,BR1058,$AF$7:$AF$1570,AF1058,$BL$7:$BL$1570,"&lt;="&amp;BL1058),"")</f>
        <v/>
      </c>
      <c r="AH1058" s="65">
        <f>IF(AG1058="",0,MAX(0,MIN(1,(IF(BR1058="L1",Parameter!$K$5,Parameter!$K$6+Parameter!$K$7)-(AG1058-AC1058))/AC1058)))</f>
        <v/>
      </c>
      <c r="AI1058" s="55">
        <f>IF(LEFT(Cockpit!$I$5,1)="A",G1058,IF(BT1058=1,BU1058,IF(LEFT(Cockpit!$I$5,1)="B",AM1058,MAX(AM1058,G1058))))</f>
        <v/>
      </c>
      <c r="AJ1058" s="55">
        <f>IF(BO1058=1,0,ROUNDUP(AI1058/BN1058,0))</f>
        <v/>
      </c>
      <c r="AK1058" s="64">
        <f>IF(BO1058=1,IF(AI1058&lt;=0,0,BP1058*MAX(1,IF(G1058&gt;0,AI1058/G1058,1))),AJ1058*Q1058)</f>
        <v/>
      </c>
      <c r="AL1058" s="55">
        <f>AI1058*F1058</f>
        <v/>
      </c>
      <c r="AM1058" s="55">
        <f>ROUNDUP(MAX(I1058/IF(BS1058&gt;0,BS1058,MAX(0.1,N(Cockpit!$I$6))),BV1058)/BN1058,0)*BN1058</f>
        <v/>
      </c>
      <c r="AN1058" s="56">
        <f>IF(AK1058&gt;0,I1058/AK1058,-1)</f>
        <v/>
      </c>
      <c r="AO1058" s="56">
        <f>IF(AND(OR(BR1058="L1",BR1058="L23"),AK1058&gt;0),SUMIFS($AK$7:$AK$1570,$BR$7:$BR$1570,BR1058,$AN$7:$AN$1570,"&gt;"&amp;AN1058)+SUMIFS($AK$7:$AK$1570,$BR$7:$BR$1570,BR1058,$AN$7:$AN$1570,AN1058,$BL$7:$BL$1570,"&lt;="&amp;BL1058),"")</f>
        <v/>
      </c>
      <c r="AP1058" s="65">
        <f>IF(AO1058="",0,MAX(0,MIN(1,(IF(BR1058="L1",Parameter!$K$5,Parameter!$K$6+Parameter!$K$7)-(AO1058-AK1058))/AK1058)))</f>
        <v/>
      </c>
      <c r="AQ1058" s="55">
        <f>IF(LEFT(Cockpit!$O$5,1)="A",G1058,IF(BT1058=1,BU1058,IF(LEFT(Cockpit!$O$5,1)="B",AU1058,MAX(AU1058,G1058))))</f>
        <v/>
      </c>
      <c r="AR1058" s="55">
        <f>IF(BO1058=1,0,ROUNDUP(AQ1058/BN1058,0))</f>
        <v/>
      </c>
      <c r="AS1058" s="64">
        <f>IF(BO1058=1,IF(AQ1058&lt;=0,0,BP1058*MAX(1,IF(G1058&gt;0,AQ1058/G1058,1))),AR1058*Q1058)</f>
        <v/>
      </c>
      <c r="AT1058" s="55">
        <f>AQ1058*F1058</f>
        <v/>
      </c>
      <c r="AU1058" s="55">
        <f>ROUNDUP(MAX(I1058/IF(BS1058&gt;0,BS1058,MAX(0.1,N(Cockpit!$O$6))),BV1058)/BN1058,0)*BN1058</f>
        <v/>
      </c>
      <c r="AV1058" s="56">
        <f>IF(AS1058&gt;0,I1058/AS1058,-1)</f>
        <v/>
      </c>
      <c r="AW1058" s="56">
        <f>IF(AND(OR(BR1058="L1",BR1058="L23"),AS1058&gt;0),SUMIFS($AS$7:$AS$1570,$BR$7:$BR$1570,BR1058,$AV$7:$AV$1570,"&gt;"&amp;AV1058)+SUMIFS($AS$7:$AS$1570,$BR$7:$BR$1570,BR1058,$AV$7:$AV$1570,AV1058,$BL$7:$BL$1570,"&lt;="&amp;BL1058),"")</f>
        <v/>
      </c>
      <c r="AX1058" s="65">
        <f>IF(AW1058="",0,MAX(0,MIN(1,(IF(BR1058="L1",Parameter!$K$5,Parameter!$K$6+Parameter!$K$7)-(AW1058-AS1058))/AS1058)))</f>
        <v/>
      </c>
      <c r="AY1058" s="53">
        <f>IF(AC1058&lt;=0,"",IF(BR1058="Aussen","Aussenlager",IF(BR1058="-","Nicht im Lift",IF(AH1058&gt;=1,"Lift",IF(AH1058&lt;=0,"Aussenlager","teilweise")))))</f>
        <v/>
      </c>
      <c r="AZ1058" s="53">
        <f>IF(AK1058&lt;=0,"",IF(BR1058="Aussen","Aussenlager",IF(BR1058="-","Nicht im Lift",IF(AP1058&gt;=1,"Lift",IF(AP1058&lt;=0,"Aussenlager","teilweise")))))</f>
        <v/>
      </c>
      <c r="BA1058" s="53">
        <f>IF(AS1058&lt;=0,"",IF(BR1058="Aussen","Aussenlager",IF(BR1058="-","Nicht im Lift",IF(AX1058&gt;=1,"Lift",IF(AX1058&lt;=0,"Aussenlager","teilweise")))))</f>
        <v/>
      </c>
      <c r="BB1058" s="53">
        <f>IF(A1058="","",IF(BK1058=1,"Neu; ","")&amp;IF(AND(BK1058=0,BF1058&lt;0),"negativer Bestand (Export "&amp;BF1058&amp;"); ","")&amp;IF(I1058&lt;=0,"Kein Verbrauch; ","")&amp;IF(BO1058=1,"Lose – Fläche geschätzt; ","")&amp;IF(G1058&gt;AM1058,"Überbestand "&amp;ROUND(G1058-AM1058,0)&amp;" Stk / CHF "&amp;ROUND((G1058-AM1058)*F1058,0)&amp;"; ","")&amp;IF(AND(BT1058=1,BU1058&lt;BV1058),"MAX &lt; MB+LG; ","")&amp;IF(AND(BZ1058&gt;0,BY1058*10&gt;BZ1058),"zu hoch für Tablar; ","")&amp;IF(AND(BK1058=0,OR(BT1058=1,V1058&lt;&gt;"",S1058&lt;&gt;"",T1058&lt;&gt;"",W1058&lt;&gt;"")),"manuell übersteuert; ","")&amp;IF(AND(BO1058=0,Q1058=0),"Gebinde unbekannt; ","")&amp;IF(AND(BO1058=0,N(T1058)&lt;=0,N(P1058)&lt;=0),"Menge pro Gebinde fehlt (Ist = 1 Gebinde); ","")&amp;BJ1058)</f>
        <v/>
      </c>
      <c r="BC1058" s="53" t="n"/>
      <c r="BD1058" s="53" t="n"/>
      <c r="BE1058" s="61" t="n"/>
      <c r="BF1058" s="55" t="n">
        <v>-39</v>
      </c>
      <c r="BG1058" s="55" t="n">
        <v>81</v>
      </c>
      <c r="BH1058" s="54" t="n">
        <v>-152.7900000000001</v>
      </c>
      <c r="BI1058" s="55" t="n">
        <v>93</v>
      </c>
      <c r="BJ1058" s="53" t="inlineStr"/>
      <c r="BK1058" s="58" t="n">
        <v>0</v>
      </c>
      <c r="BL1058" s="58" t="n">
        <v>1058</v>
      </c>
      <c r="BM1058" s="53">
        <f>IF(S1058&lt;&gt;"",UPPER(TRIM(S1058)),IF(O1058="","LOSE",O1058))</f>
        <v/>
      </c>
      <c r="BN1058" s="55">
        <f>IF(BM1058="LOSE",1,IF(N(T1058)&gt;0,T1058,IF(N(P1058)&gt;0,P1058,MAX(1,G1058))))</f>
        <v/>
      </c>
      <c r="BO1058" s="58">
        <f>IF(BM1058="LOSE",1,0)</f>
        <v/>
      </c>
      <c r="BP1058" s="64">
        <f>IF(BO1058=0,0,IF(N(R1058)&gt;0,R1058,IFERROR(VLOOKUP(D1058,Parameter!$A$35:$C$64,3,0)+0,0)))</f>
        <v/>
      </c>
      <c r="BQ1058" s="53">
        <f>IF(V1058&lt;&gt;"",V1058,U1058)</f>
        <v/>
      </c>
      <c r="BR1058" s="53">
        <f>IF(BQ1058=1,"L1",IF(OR(BQ1058=2,BQ1058=3),"L23",IF(BQ1058="Aussen","Aussen","-")))</f>
        <v/>
      </c>
      <c r="BS1058" s="66">
        <f>IF(N(W1058)&gt;0,W1058,0)</f>
        <v/>
      </c>
      <c r="BT1058" s="58">
        <f>IF(ISNUMBER(Z1058),1,0)</f>
        <v/>
      </c>
      <c r="BU1058" s="55">
        <f>N(Z1058)</f>
        <v/>
      </c>
      <c r="BV1058" s="55">
        <f>N(L1058)+N(M1058)</f>
        <v/>
      </c>
      <c r="BW1058" s="55">
        <f>ROUNDUP(G1058/BN1058,0)</f>
        <v/>
      </c>
      <c r="BX1058" s="55">
        <f>ROUNDUP(BU1058/BN1058,0)</f>
        <v/>
      </c>
      <c r="BY1058" s="58">
        <f>IF(BO1058=1,0,IFERROR(VLOOKUP(BM1058,'Gebinde-Kategorie'!$A$5:$G$45,5,0)+0,0))</f>
        <v/>
      </c>
      <c r="BZ1058" s="58">
        <f>IFERROR(IF(OR(BQ1058=1,BQ1058=2,BQ1058=3),N(INDEX(Parameter!$I$5:$I$7,BQ1058)),0),0)</f>
        <v/>
      </c>
    </row>
    <row r="1059">
      <c r="A1059" s="53" t="inlineStr">
        <is>
          <t>001209</t>
        </is>
      </c>
      <c r="B1059" s="53" t="inlineStr">
        <is>
          <t>PVC Klebeband</t>
        </is>
      </c>
      <c r="C1059" s="53" t="inlineStr">
        <is>
          <t>F</t>
        </is>
      </c>
      <c r="D1059" s="53" t="inlineStr">
        <is>
          <t>KTL</t>
        </is>
      </c>
      <c r="E1059" s="53" t="inlineStr">
        <is>
          <t>C</t>
        </is>
      </c>
      <c r="F1059" s="54" t="n">
        <v>4.18</v>
      </c>
      <c r="G1059" s="55">
        <f>MAX(0,IF(Parameter!$B$20="Jahresanfang 2025 + Export",BG1059+BF1059,BF1059))</f>
        <v/>
      </c>
      <c r="H1059" s="55">
        <f>G1059*F1059</f>
        <v/>
      </c>
      <c r="I1059" s="55">
        <f>BI1059*Parameter!$B$18</f>
        <v/>
      </c>
      <c r="J1059" s="56" t="n">
        <v>31</v>
      </c>
      <c r="K1059" s="57" t="n">
        <v>0.5483870967741935</v>
      </c>
      <c r="L1059" s="55" t="n">
        <v>1</v>
      </c>
      <c r="M1059" s="55" t="n">
        <v>15</v>
      </c>
      <c r="N1059" s="58" t="n">
        <v>28</v>
      </c>
      <c r="O1059" s="53" t="inlineStr">
        <is>
          <t>S63</t>
        </is>
      </c>
      <c r="P1059" s="55" t="n">
        <v>105</v>
      </c>
      <c r="Q1059" s="59">
        <f>IF(BO1059=1,0,IFERROR(VLOOKUP(BM1059,'Gebinde-Kategorie'!$A$5:$G$45,6,0)+0,0))</f>
        <v/>
      </c>
      <c r="R1059" s="60" t="n"/>
      <c r="S1059" s="61" t="n"/>
      <c r="T1059" s="61" t="n"/>
      <c r="U1059" s="53">
        <f>IF(A1059="","",IF(IFERROR(VLOOKUP(D1059,Parameter!$A$35:$C$64,2,0),"Nein")="2+3",IF(ISNUMBER(SEARCH("grosser Artikel",BJ1059)),2,IFERROR(VLOOKUP(BM1059,Parameter!$F$35:$G$64,2,0),2)),IF(OR(IFERROR(VLOOKUP(D1059,Parameter!$A$35:$C$64,2,0),"Nein")="Nein",IFERROR(VLOOKUP(D1059,Parameter!$A$35:$C$64,2,0),"Nein")=""),"-",VLOOKUP(D1059,Parameter!$A$35:$C$64,2,0))))</f>
        <v/>
      </c>
      <c r="V1059" s="61" t="n"/>
      <c r="W1059" s="62" t="n"/>
      <c r="X1059" s="55">
        <f>AM1059</f>
        <v/>
      </c>
      <c r="Y1059" s="55">
        <f>MAX(AM1059,G1059)</f>
        <v/>
      </c>
      <c r="Z1059" s="63" t="n"/>
      <c r="AA1059" s="55">
        <f>IF(LEFT(Cockpit!$C$5,1)="A",G1059,IF(BT1059=1,BU1059,IF(LEFT(Cockpit!$C$5,1)="B",AE1059,MAX(AE1059,G1059))))</f>
        <v/>
      </c>
      <c r="AB1059" s="55">
        <f>IF(BO1059=1,0,ROUNDUP(AA1059/BN1059,0))</f>
        <v/>
      </c>
      <c r="AC1059" s="64">
        <f>IF(BO1059=1,IF(AA1059&lt;=0,0,BP1059*MAX(1,IF(G1059&gt;0,AA1059/G1059,1))),AB1059*Q1059)</f>
        <v/>
      </c>
      <c r="AD1059" s="55">
        <f>AA1059*F1059</f>
        <v/>
      </c>
      <c r="AE1059" s="55">
        <f>ROUNDUP(MAX(I1059/IF(BS1059&gt;0,BS1059,MAX(0.1,N(Cockpit!$C$6))),BV1059)/BN1059,0)*BN1059</f>
        <v/>
      </c>
      <c r="AF1059" s="56">
        <f>IF(AC1059&gt;0,I1059/AC1059,-1)</f>
        <v/>
      </c>
      <c r="AG1059" s="56">
        <f>IF(AND(OR(BR1059="L1",BR1059="L23"),AC1059&gt;0),SUMIFS($AC$7:$AC$1570,$BR$7:$BR$1570,BR1059,$AF$7:$AF$1570,"&gt;"&amp;AF1059)+SUMIFS($AC$7:$AC$1570,$BR$7:$BR$1570,BR1059,$AF$7:$AF$1570,AF1059,$BL$7:$BL$1570,"&lt;="&amp;BL1059),"")</f>
        <v/>
      </c>
      <c r="AH1059" s="65">
        <f>IF(AG1059="",0,MAX(0,MIN(1,(IF(BR1059="L1",Parameter!$K$5,Parameter!$K$6+Parameter!$K$7)-(AG1059-AC1059))/AC1059)))</f>
        <v/>
      </c>
      <c r="AI1059" s="55">
        <f>IF(LEFT(Cockpit!$I$5,1)="A",G1059,IF(BT1059=1,BU1059,IF(LEFT(Cockpit!$I$5,1)="B",AM1059,MAX(AM1059,G1059))))</f>
        <v/>
      </c>
      <c r="AJ1059" s="55">
        <f>IF(BO1059=1,0,ROUNDUP(AI1059/BN1059,0))</f>
        <v/>
      </c>
      <c r="AK1059" s="64">
        <f>IF(BO1059=1,IF(AI1059&lt;=0,0,BP1059*MAX(1,IF(G1059&gt;0,AI1059/G1059,1))),AJ1059*Q1059)</f>
        <v/>
      </c>
      <c r="AL1059" s="55">
        <f>AI1059*F1059</f>
        <v/>
      </c>
      <c r="AM1059" s="55">
        <f>ROUNDUP(MAX(I1059/IF(BS1059&gt;0,BS1059,MAX(0.1,N(Cockpit!$I$6))),BV1059)/BN1059,0)*BN1059</f>
        <v/>
      </c>
      <c r="AN1059" s="56">
        <f>IF(AK1059&gt;0,I1059/AK1059,-1)</f>
        <v/>
      </c>
      <c r="AO1059" s="56">
        <f>IF(AND(OR(BR1059="L1",BR1059="L23"),AK1059&gt;0),SUMIFS($AK$7:$AK$1570,$BR$7:$BR$1570,BR1059,$AN$7:$AN$1570,"&gt;"&amp;AN1059)+SUMIFS($AK$7:$AK$1570,$BR$7:$BR$1570,BR1059,$AN$7:$AN$1570,AN1059,$BL$7:$BL$1570,"&lt;="&amp;BL1059),"")</f>
        <v/>
      </c>
      <c r="AP1059" s="65">
        <f>IF(AO1059="",0,MAX(0,MIN(1,(IF(BR1059="L1",Parameter!$K$5,Parameter!$K$6+Parameter!$K$7)-(AO1059-AK1059))/AK1059)))</f>
        <v/>
      </c>
      <c r="AQ1059" s="55">
        <f>IF(LEFT(Cockpit!$O$5,1)="A",G1059,IF(BT1059=1,BU1059,IF(LEFT(Cockpit!$O$5,1)="B",AU1059,MAX(AU1059,G1059))))</f>
        <v/>
      </c>
      <c r="AR1059" s="55">
        <f>IF(BO1059=1,0,ROUNDUP(AQ1059/BN1059,0))</f>
        <v/>
      </c>
      <c r="AS1059" s="64">
        <f>IF(BO1059=1,IF(AQ1059&lt;=0,0,BP1059*MAX(1,IF(G1059&gt;0,AQ1059/G1059,1))),AR1059*Q1059)</f>
        <v/>
      </c>
      <c r="AT1059" s="55">
        <f>AQ1059*F1059</f>
        <v/>
      </c>
      <c r="AU1059" s="55">
        <f>ROUNDUP(MAX(I1059/IF(BS1059&gt;0,BS1059,MAX(0.1,N(Cockpit!$O$6))),BV1059)/BN1059,0)*BN1059</f>
        <v/>
      </c>
      <c r="AV1059" s="56">
        <f>IF(AS1059&gt;0,I1059/AS1059,-1)</f>
        <v/>
      </c>
      <c r="AW1059" s="56">
        <f>IF(AND(OR(BR1059="L1",BR1059="L23"),AS1059&gt;0),SUMIFS($AS$7:$AS$1570,$BR$7:$BR$1570,BR1059,$AV$7:$AV$1570,"&gt;"&amp;AV1059)+SUMIFS($AS$7:$AS$1570,$BR$7:$BR$1570,BR1059,$AV$7:$AV$1570,AV1059,$BL$7:$BL$1570,"&lt;="&amp;BL1059),"")</f>
        <v/>
      </c>
      <c r="AX1059" s="65">
        <f>IF(AW1059="",0,MAX(0,MIN(1,(IF(BR1059="L1",Parameter!$K$5,Parameter!$K$6+Parameter!$K$7)-(AW1059-AS1059))/AS1059)))</f>
        <v/>
      </c>
      <c r="AY1059" s="53">
        <f>IF(AC1059&lt;=0,"",IF(BR1059="Aussen","Aussenlager",IF(BR1059="-","Nicht im Lift",IF(AH1059&gt;=1,"Lift",IF(AH1059&lt;=0,"Aussenlager","teilweise")))))</f>
        <v/>
      </c>
      <c r="AZ1059" s="53">
        <f>IF(AK1059&lt;=0,"",IF(BR1059="Aussen","Aussenlager",IF(BR1059="-","Nicht im Lift",IF(AP1059&gt;=1,"Lift",IF(AP1059&lt;=0,"Aussenlager","teilweise")))))</f>
        <v/>
      </c>
      <c r="BA1059" s="53">
        <f>IF(AS1059&lt;=0,"",IF(BR1059="Aussen","Aussenlager",IF(BR1059="-","Nicht im Lift",IF(AX1059&gt;=1,"Lift",IF(AX1059&lt;=0,"Aussenlager","teilweise")))))</f>
        <v/>
      </c>
      <c r="BB1059" s="53">
        <f>IF(A1059="","",IF(BK1059=1,"Neu; ","")&amp;IF(AND(BK1059=0,BF1059&lt;0),"negativer Bestand (Export "&amp;BF1059&amp;"); ","")&amp;IF(I1059&lt;=0,"Kein Verbrauch; ","")&amp;IF(BO1059=1,"Lose – Fläche geschätzt; ","")&amp;IF(G1059&gt;AM1059,"Überbestand "&amp;ROUND(G1059-AM1059,0)&amp;" Stk / CHF "&amp;ROUND((G1059-AM1059)*F1059,0)&amp;"; ","")&amp;IF(AND(BT1059=1,BU1059&lt;BV1059),"MAX &lt; MB+LG; ","")&amp;IF(AND(BZ1059&gt;0,BY1059*10&gt;BZ1059),"zu hoch für Tablar; ","")&amp;IF(AND(BK1059=0,OR(BT1059=1,V1059&lt;&gt;"",S1059&lt;&gt;"",T1059&lt;&gt;"",W1059&lt;&gt;"")),"manuell übersteuert; ","")&amp;IF(AND(BO1059=0,Q1059=0),"Gebinde unbekannt; ","")&amp;IF(AND(BO1059=0,N(T1059)&lt;=0,N(P1059)&lt;=0),"Menge pro Gebinde fehlt (Ist = 1 Gebinde); ","")&amp;BJ1059)</f>
        <v/>
      </c>
      <c r="BC1059" s="53" t="n"/>
      <c r="BD1059" s="53" t="n"/>
      <c r="BE1059" s="61" t="n"/>
      <c r="BF1059" s="55" t="n">
        <v>-37</v>
      </c>
      <c r="BG1059" s="55" t="n">
        <v>42</v>
      </c>
      <c r="BH1059" s="54" t="n">
        <v>-154.66</v>
      </c>
      <c r="BI1059" s="55" t="n">
        <v>17</v>
      </c>
      <c r="BJ1059" s="53" t="inlineStr">
        <is>
          <t>Handlager</t>
        </is>
      </c>
      <c r="BK1059" s="58" t="n">
        <v>0</v>
      </c>
      <c r="BL1059" s="58" t="n">
        <v>1059</v>
      </c>
      <c r="BM1059" s="53">
        <f>IF(S1059&lt;&gt;"",UPPER(TRIM(S1059)),IF(O1059="","LOSE",O1059))</f>
        <v/>
      </c>
      <c r="BN1059" s="55">
        <f>IF(BM1059="LOSE",1,IF(N(T1059)&gt;0,T1059,IF(N(P1059)&gt;0,P1059,MAX(1,G1059))))</f>
        <v/>
      </c>
      <c r="BO1059" s="58">
        <f>IF(BM1059="LOSE",1,0)</f>
        <v/>
      </c>
      <c r="BP1059" s="64">
        <f>IF(BO1059=0,0,IF(N(R1059)&gt;0,R1059,IFERROR(VLOOKUP(D1059,Parameter!$A$35:$C$64,3,0)+0,0)))</f>
        <v/>
      </c>
      <c r="BQ1059" s="53">
        <f>IF(V1059&lt;&gt;"",V1059,U1059)</f>
        <v/>
      </c>
      <c r="BR1059" s="53">
        <f>IF(BQ1059=1,"L1",IF(OR(BQ1059=2,BQ1059=3),"L23",IF(BQ1059="Aussen","Aussen","-")))</f>
        <v/>
      </c>
      <c r="BS1059" s="66">
        <f>IF(N(W1059)&gt;0,W1059,0)</f>
        <v/>
      </c>
      <c r="BT1059" s="58">
        <f>IF(ISNUMBER(Z1059),1,0)</f>
        <v/>
      </c>
      <c r="BU1059" s="55">
        <f>N(Z1059)</f>
        <v/>
      </c>
      <c r="BV1059" s="55">
        <f>N(L1059)+N(M1059)</f>
        <v/>
      </c>
      <c r="BW1059" s="55">
        <f>ROUNDUP(G1059/BN1059,0)</f>
        <v/>
      </c>
      <c r="BX1059" s="55">
        <f>ROUNDUP(BU1059/BN1059,0)</f>
        <v/>
      </c>
      <c r="BY1059" s="58">
        <f>IF(BO1059=1,0,IFERROR(VLOOKUP(BM1059,'Gebinde-Kategorie'!$A$5:$G$45,5,0)+0,0))</f>
        <v/>
      </c>
      <c r="BZ1059" s="58">
        <f>IFERROR(IF(OR(BQ1059=1,BQ1059=2,BQ1059=3),N(INDEX(Parameter!$I$5:$I$7,BQ1059)),0),0)</f>
        <v/>
      </c>
    </row>
    <row r="1060">
      <c r="A1060" s="53" t="inlineStr">
        <is>
          <t>107049</t>
        </is>
      </c>
      <c r="B1060" s="53" t="inlineStr">
        <is>
          <t>Ringgabelschlüssel</t>
        </is>
      </c>
      <c r="C1060" s="53" t="inlineStr">
        <is>
          <t>F</t>
        </is>
      </c>
      <c r="D1060" s="53" t="inlineStr">
        <is>
          <t>KTL</t>
        </is>
      </c>
      <c r="E1060" s="53" t="inlineStr">
        <is>
          <t>C</t>
        </is>
      </c>
      <c r="F1060" s="54" t="n">
        <v>30.05</v>
      </c>
      <c r="G1060" s="55">
        <f>MAX(0,IF(Parameter!$B$20="Jahresanfang 2025 + Export",BG1060+BF1060,BF1060))</f>
        <v/>
      </c>
      <c r="H1060" s="55">
        <f>G1060*F1060</f>
        <v/>
      </c>
      <c r="I1060" s="55">
        <f>BI1060*Parameter!$B$18</f>
        <v/>
      </c>
      <c r="J1060" s="56" t="n">
        <v>14.5</v>
      </c>
      <c r="K1060" s="57" t="n">
        <v>1.379310344827586</v>
      </c>
      <c r="L1060" s="55" t="n">
        <v>0</v>
      </c>
      <c r="M1060" s="55" t="n">
        <v>20</v>
      </c>
      <c r="N1060" s="58" t="n">
        <v>14</v>
      </c>
      <c r="O1060" s="53" t="inlineStr">
        <is>
          <t>S61</t>
        </is>
      </c>
      <c r="P1060" s="55" t="n">
        <v>24</v>
      </c>
      <c r="Q1060" s="59">
        <f>IF(BO1060=1,0,IFERROR(VLOOKUP(BM1060,'Gebinde-Kategorie'!$A$5:$G$45,6,0)+0,0))</f>
        <v/>
      </c>
      <c r="R1060" s="60" t="n"/>
      <c r="S1060" s="61" t="n"/>
      <c r="T1060" s="61" t="n"/>
      <c r="U1060" s="53">
        <f>IF(A1060="","",IF(IFERROR(VLOOKUP(D1060,Parameter!$A$35:$C$64,2,0),"Nein")="2+3",IF(ISNUMBER(SEARCH("grosser Artikel",BJ1060)),2,IFERROR(VLOOKUP(BM1060,Parameter!$F$35:$G$64,2,0),2)),IF(OR(IFERROR(VLOOKUP(D1060,Parameter!$A$35:$C$64,2,0),"Nein")="Nein",IFERROR(VLOOKUP(D1060,Parameter!$A$35:$C$64,2,0),"Nein")=""),"-",VLOOKUP(D1060,Parameter!$A$35:$C$64,2,0))))</f>
        <v/>
      </c>
      <c r="V1060" s="61" t="n"/>
      <c r="W1060" s="62" t="n"/>
      <c r="X1060" s="55">
        <f>AM1060</f>
        <v/>
      </c>
      <c r="Y1060" s="55">
        <f>MAX(AM1060,G1060)</f>
        <v/>
      </c>
      <c r="Z1060" s="63" t="n"/>
      <c r="AA1060" s="55">
        <f>IF(LEFT(Cockpit!$C$5,1)="A",G1060,IF(BT1060=1,BU1060,IF(LEFT(Cockpit!$C$5,1)="B",AE1060,MAX(AE1060,G1060))))</f>
        <v/>
      </c>
      <c r="AB1060" s="55">
        <f>IF(BO1060=1,0,ROUNDUP(AA1060/BN1060,0))</f>
        <v/>
      </c>
      <c r="AC1060" s="64">
        <f>IF(BO1060=1,IF(AA1060&lt;=0,0,BP1060*MAX(1,IF(G1060&gt;0,AA1060/G1060,1))),AB1060*Q1060)</f>
        <v/>
      </c>
      <c r="AD1060" s="55">
        <f>AA1060*F1060</f>
        <v/>
      </c>
      <c r="AE1060" s="55">
        <f>ROUNDUP(MAX(I1060/IF(BS1060&gt;0,BS1060,MAX(0.1,N(Cockpit!$C$6))),BV1060)/BN1060,0)*BN1060</f>
        <v/>
      </c>
      <c r="AF1060" s="56">
        <f>IF(AC1060&gt;0,I1060/AC1060,-1)</f>
        <v/>
      </c>
      <c r="AG1060" s="56">
        <f>IF(AND(OR(BR1060="L1",BR1060="L23"),AC1060&gt;0),SUMIFS($AC$7:$AC$1570,$BR$7:$BR$1570,BR1060,$AF$7:$AF$1570,"&gt;"&amp;AF1060)+SUMIFS($AC$7:$AC$1570,$BR$7:$BR$1570,BR1060,$AF$7:$AF$1570,AF1060,$BL$7:$BL$1570,"&lt;="&amp;BL1060),"")</f>
        <v/>
      </c>
      <c r="AH1060" s="65">
        <f>IF(AG1060="",0,MAX(0,MIN(1,(IF(BR1060="L1",Parameter!$K$5,Parameter!$K$6+Parameter!$K$7)-(AG1060-AC1060))/AC1060)))</f>
        <v/>
      </c>
      <c r="AI1060" s="55">
        <f>IF(LEFT(Cockpit!$I$5,1)="A",G1060,IF(BT1060=1,BU1060,IF(LEFT(Cockpit!$I$5,1)="B",AM1060,MAX(AM1060,G1060))))</f>
        <v/>
      </c>
      <c r="AJ1060" s="55">
        <f>IF(BO1060=1,0,ROUNDUP(AI1060/BN1060,0))</f>
        <v/>
      </c>
      <c r="AK1060" s="64">
        <f>IF(BO1060=1,IF(AI1060&lt;=0,0,BP1060*MAX(1,IF(G1060&gt;0,AI1060/G1060,1))),AJ1060*Q1060)</f>
        <v/>
      </c>
      <c r="AL1060" s="55">
        <f>AI1060*F1060</f>
        <v/>
      </c>
      <c r="AM1060" s="55">
        <f>ROUNDUP(MAX(I1060/IF(BS1060&gt;0,BS1060,MAX(0.1,N(Cockpit!$I$6))),BV1060)/BN1060,0)*BN1060</f>
        <v/>
      </c>
      <c r="AN1060" s="56">
        <f>IF(AK1060&gt;0,I1060/AK1060,-1)</f>
        <v/>
      </c>
      <c r="AO1060" s="56">
        <f>IF(AND(OR(BR1060="L1",BR1060="L23"),AK1060&gt;0),SUMIFS($AK$7:$AK$1570,$BR$7:$BR$1570,BR1060,$AN$7:$AN$1570,"&gt;"&amp;AN1060)+SUMIFS($AK$7:$AK$1570,$BR$7:$BR$1570,BR1060,$AN$7:$AN$1570,AN1060,$BL$7:$BL$1570,"&lt;="&amp;BL1060),"")</f>
        <v/>
      </c>
      <c r="AP1060" s="65">
        <f>IF(AO1060="",0,MAX(0,MIN(1,(IF(BR1060="L1",Parameter!$K$5,Parameter!$K$6+Parameter!$K$7)-(AO1060-AK1060))/AK1060)))</f>
        <v/>
      </c>
      <c r="AQ1060" s="55">
        <f>IF(LEFT(Cockpit!$O$5,1)="A",G1060,IF(BT1060=1,BU1060,IF(LEFT(Cockpit!$O$5,1)="B",AU1060,MAX(AU1060,G1060))))</f>
        <v/>
      </c>
      <c r="AR1060" s="55">
        <f>IF(BO1060=1,0,ROUNDUP(AQ1060/BN1060,0))</f>
        <v/>
      </c>
      <c r="AS1060" s="64">
        <f>IF(BO1060=1,IF(AQ1060&lt;=0,0,BP1060*MAX(1,IF(G1060&gt;0,AQ1060/G1060,1))),AR1060*Q1060)</f>
        <v/>
      </c>
      <c r="AT1060" s="55">
        <f>AQ1060*F1060</f>
        <v/>
      </c>
      <c r="AU1060" s="55">
        <f>ROUNDUP(MAX(I1060/IF(BS1060&gt;0,BS1060,MAX(0.1,N(Cockpit!$O$6))),BV1060)/BN1060,0)*BN1060</f>
        <v/>
      </c>
      <c r="AV1060" s="56">
        <f>IF(AS1060&gt;0,I1060/AS1060,-1)</f>
        <v/>
      </c>
      <c r="AW1060" s="56">
        <f>IF(AND(OR(BR1060="L1",BR1060="L23"),AS1060&gt;0),SUMIFS($AS$7:$AS$1570,$BR$7:$BR$1570,BR1060,$AV$7:$AV$1570,"&gt;"&amp;AV1060)+SUMIFS($AS$7:$AS$1570,$BR$7:$BR$1570,BR1060,$AV$7:$AV$1570,AV1060,$BL$7:$BL$1570,"&lt;="&amp;BL1060),"")</f>
        <v/>
      </c>
      <c r="AX1060" s="65">
        <f>IF(AW1060="",0,MAX(0,MIN(1,(IF(BR1060="L1",Parameter!$K$5,Parameter!$K$6+Parameter!$K$7)-(AW1060-AS1060))/AS1060)))</f>
        <v/>
      </c>
      <c r="AY1060" s="53">
        <f>IF(AC1060&lt;=0,"",IF(BR1060="Aussen","Aussenlager",IF(BR1060="-","Nicht im Lift",IF(AH1060&gt;=1,"Lift",IF(AH1060&lt;=0,"Aussenlager","teilweise")))))</f>
        <v/>
      </c>
      <c r="AZ1060" s="53">
        <f>IF(AK1060&lt;=0,"",IF(BR1060="Aussen","Aussenlager",IF(BR1060="-","Nicht im Lift",IF(AP1060&gt;=1,"Lift",IF(AP1060&lt;=0,"Aussenlager","teilweise")))))</f>
        <v/>
      </c>
      <c r="BA1060" s="53">
        <f>IF(AS1060&lt;=0,"",IF(BR1060="Aussen","Aussenlager",IF(BR1060="-","Nicht im Lift",IF(AX1060&gt;=1,"Lift",IF(AX1060&lt;=0,"Aussenlager","teilweise")))))</f>
        <v/>
      </c>
      <c r="BB1060" s="53">
        <f>IF(A1060="","",IF(BK1060=1,"Neu; ","")&amp;IF(AND(BK1060=0,BF1060&lt;0),"negativer Bestand (Export "&amp;BF1060&amp;"); ","")&amp;IF(I1060&lt;=0,"Kein Verbrauch; ","")&amp;IF(BO1060=1,"Lose – Fläche geschätzt; ","")&amp;IF(G1060&gt;AM1060,"Überbestand "&amp;ROUND(G1060-AM1060,0)&amp;" Stk / CHF "&amp;ROUND((G1060-AM1060)*F1060,0)&amp;"; ","")&amp;IF(AND(BT1060=1,BU1060&lt;BV1060),"MAX &lt; MB+LG; ","")&amp;IF(AND(BZ1060&gt;0,BY1060*10&gt;BZ1060),"zu hoch für Tablar; ","")&amp;IF(AND(BK1060=0,OR(BT1060=1,V1060&lt;&gt;"",S1060&lt;&gt;"",T1060&lt;&gt;"",W1060&lt;&gt;"")),"manuell übersteuert; ","")&amp;IF(AND(BO1060=0,Q1060=0),"Gebinde unbekannt; ","")&amp;IF(AND(BO1060=0,N(T1060)&lt;=0,N(P1060)&lt;=0),"Menge pro Gebinde fehlt (Ist = 1 Gebinde); ","")&amp;BJ1060)</f>
        <v/>
      </c>
      <c r="BC1060" s="53" t="n"/>
      <c r="BD1060" s="53" t="n"/>
      <c r="BE1060" s="61" t="n"/>
      <c r="BF1060" s="55" t="n">
        <v>-5</v>
      </c>
      <c r="BG1060" s="55" t="n">
        <v>10</v>
      </c>
      <c r="BH1060" s="54" t="n">
        <v>-155.0500000000001</v>
      </c>
      <c r="BI1060" s="55" t="n">
        <v>20</v>
      </c>
      <c r="BJ1060" s="53" t="inlineStr"/>
      <c r="BK1060" s="58" t="n">
        <v>0</v>
      </c>
      <c r="BL1060" s="58" t="n">
        <v>1060</v>
      </c>
      <c r="BM1060" s="53">
        <f>IF(S1060&lt;&gt;"",UPPER(TRIM(S1060)),IF(O1060="","LOSE",O1060))</f>
        <v/>
      </c>
      <c r="BN1060" s="55">
        <f>IF(BM1060="LOSE",1,IF(N(T1060)&gt;0,T1060,IF(N(P1060)&gt;0,P1060,MAX(1,G1060))))</f>
        <v/>
      </c>
      <c r="BO1060" s="58">
        <f>IF(BM1060="LOSE",1,0)</f>
        <v/>
      </c>
      <c r="BP1060" s="64">
        <f>IF(BO1060=0,0,IF(N(R1060)&gt;0,R1060,IFERROR(VLOOKUP(D1060,Parameter!$A$35:$C$64,3,0)+0,0)))</f>
        <v/>
      </c>
      <c r="BQ1060" s="53">
        <f>IF(V1060&lt;&gt;"",V1060,U1060)</f>
        <v/>
      </c>
      <c r="BR1060" s="53">
        <f>IF(BQ1060=1,"L1",IF(OR(BQ1060=2,BQ1060=3),"L23",IF(BQ1060="Aussen","Aussen","-")))</f>
        <v/>
      </c>
      <c r="BS1060" s="66">
        <f>IF(N(W1060)&gt;0,W1060,0)</f>
        <v/>
      </c>
      <c r="BT1060" s="58">
        <f>IF(ISNUMBER(Z1060),1,0)</f>
        <v/>
      </c>
      <c r="BU1060" s="55">
        <f>N(Z1060)</f>
        <v/>
      </c>
      <c r="BV1060" s="55">
        <f>N(L1060)+N(M1060)</f>
        <v/>
      </c>
      <c r="BW1060" s="55">
        <f>ROUNDUP(G1060/BN1060,0)</f>
        <v/>
      </c>
      <c r="BX1060" s="55">
        <f>ROUNDUP(BU1060/BN1060,0)</f>
        <v/>
      </c>
      <c r="BY1060" s="58">
        <f>IF(BO1060=1,0,IFERROR(VLOOKUP(BM1060,'Gebinde-Kategorie'!$A$5:$G$45,5,0)+0,0))</f>
        <v/>
      </c>
      <c r="BZ1060" s="58">
        <f>IFERROR(IF(OR(BQ1060=1,BQ1060=2,BQ1060=3),N(INDEX(Parameter!$I$5:$I$7,BQ1060)),0),0)</f>
        <v/>
      </c>
    </row>
    <row r="1061">
      <c r="A1061" s="53" t="inlineStr">
        <is>
          <t>005100</t>
        </is>
      </c>
      <c r="B1061" s="53" t="inlineStr">
        <is>
          <t>SPS Schnittstellenadapter</t>
        </is>
      </c>
      <c r="C1061" s="53" t="inlineStr">
        <is>
          <t>F</t>
        </is>
      </c>
      <c r="D1061" s="53" t="inlineStr">
        <is>
          <t>KTL</t>
        </is>
      </c>
      <c r="E1061" s="53" t="inlineStr">
        <is>
          <t>C</t>
        </is>
      </c>
      <c r="F1061" s="54" t="n">
        <v>156.88</v>
      </c>
      <c r="G1061" s="55">
        <f>MAX(0,IF(Parameter!$B$20="Jahresanfang 2025 + Export",BG1061+BF1061,BF1061))</f>
        <v/>
      </c>
      <c r="H1061" s="55">
        <f>G1061*F1061</f>
        <v/>
      </c>
      <c r="I1061" s="55">
        <f>BI1061*Parameter!$B$18</f>
        <v/>
      </c>
      <c r="J1061" s="56" t="n">
        <v>6.5</v>
      </c>
      <c r="K1061" s="57" t="n">
        <v>0.1538461538461539</v>
      </c>
      <c r="L1061" s="55" t="n">
        <v>0</v>
      </c>
      <c r="M1061" s="55" t="n">
        <v>1</v>
      </c>
      <c r="N1061" s="58" t="n">
        <v>21</v>
      </c>
      <c r="O1061" s="53" t="inlineStr">
        <is>
          <t>S41</t>
        </is>
      </c>
      <c r="P1061" s="55" t="n">
        <v>6</v>
      </c>
      <c r="Q1061" s="59">
        <f>IF(BO1061=1,0,IFERROR(VLOOKUP(BM1061,'Gebinde-Kategorie'!$A$5:$G$45,6,0)+0,0))</f>
        <v/>
      </c>
      <c r="R1061" s="60" t="n"/>
      <c r="S1061" s="61" t="n"/>
      <c r="T1061" s="61" t="n"/>
      <c r="U1061" s="53">
        <f>IF(A1061="","",IF(IFERROR(VLOOKUP(D1061,Parameter!$A$35:$C$64,2,0),"Nein")="2+3",IF(ISNUMBER(SEARCH("grosser Artikel",BJ1061)),2,IFERROR(VLOOKUP(BM1061,Parameter!$F$35:$G$64,2,0),2)),IF(OR(IFERROR(VLOOKUP(D1061,Parameter!$A$35:$C$64,2,0),"Nein")="Nein",IFERROR(VLOOKUP(D1061,Parameter!$A$35:$C$64,2,0),"Nein")=""),"-",VLOOKUP(D1061,Parameter!$A$35:$C$64,2,0))))</f>
        <v/>
      </c>
      <c r="V1061" s="61" t="n"/>
      <c r="W1061" s="62" t="n"/>
      <c r="X1061" s="55">
        <f>AM1061</f>
        <v/>
      </c>
      <c r="Y1061" s="55">
        <f>MAX(AM1061,G1061)</f>
        <v/>
      </c>
      <c r="Z1061" s="63" t="n"/>
      <c r="AA1061" s="55">
        <f>IF(LEFT(Cockpit!$C$5,1)="A",G1061,IF(BT1061=1,BU1061,IF(LEFT(Cockpit!$C$5,1)="B",AE1061,MAX(AE1061,G1061))))</f>
        <v/>
      </c>
      <c r="AB1061" s="55">
        <f>IF(BO1061=1,0,ROUNDUP(AA1061/BN1061,0))</f>
        <v/>
      </c>
      <c r="AC1061" s="64">
        <f>IF(BO1061=1,IF(AA1061&lt;=0,0,BP1061*MAX(1,IF(G1061&gt;0,AA1061/G1061,1))),AB1061*Q1061)</f>
        <v/>
      </c>
      <c r="AD1061" s="55">
        <f>AA1061*F1061</f>
        <v/>
      </c>
      <c r="AE1061" s="55">
        <f>ROUNDUP(MAX(I1061/IF(BS1061&gt;0,BS1061,MAX(0.1,N(Cockpit!$C$6))),BV1061)/BN1061,0)*BN1061</f>
        <v/>
      </c>
      <c r="AF1061" s="56">
        <f>IF(AC1061&gt;0,I1061/AC1061,-1)</f>
        <v/>
      </c>
      <c r="AG1061" s="56">
        <f>IF(AND(OR(BR1061="L1",BR1061="L23"),AC1061&gt;0),SUMIFS($AC$7:$AC$1570,$BR$7:$BR$1570,BR1061,$AF$7:$AF$1570,"&gt;"&amp;AF1061)+SUMIFS($AC$7:$AC$1570,$BR$7:$BR$1570,BR1061,$AF$7:$AF$1570,AF1061,$BL$7:$BL$1570,"&lt;="&amp;BL1061),"")</f>
        <v/>
      </c>
      <c r="AH1061" s="65">
        <f>IF(AG1061="",0,MAX(0,MIN(1,(IF(BR1061="L1",Parameter!$K$5,Parameter!$K$6+Parameter!$K$7)-(AG1061-AC1061))/AC1061)))</f>
        <v/>
      </c>
      <c r="AI1061" s="55">
        <f>IF(LEFT(Cockpit!$I$5,1)="A",G1061,IF(BT1061=1,BU1061,IF(LEFT(Cockpit!$I$5,1)="B",AM1061,MAX(AM1061,G1061))))</f>
        <v/>
      </c>
      <c r="AJ1061" s="55">
        <f>IF(BO1061=1,0,ROUNDUP(AI1061/BN1061,0))</f>
        <v/>
      </c>
      <c r="AK1061" s="64">
        <f>IF(BO1061=1,IF(AI1061&lt;=0,0,BP1061*MAX(1,IF(G1061&gt;0,AI1061/G1061,1))),AJ1061*Q1061)</f>
        <v/>
      </c>
      <c r="AL1061" s="55">
        <f>AI1061*F1061</f>
        <v/>
      </c>
      <c r="AM1061" s="55">
        <f>ROUNDUP(MAX(I1061/IF(BS1061&gt;0,BS1061,MAX(0.1,N(Cockpit!$I$6))),BV1061)/BN1061,0)*BN1061</f>
        <v/>
      </c>
      <c r="AN1061" s="56">
        <f>IF(AK1061&gt;0,I1061/AK1061,-1)</f>
        <v/>
      </c>
      <c r="AO1061" s="56">
        <f>IF(AND(OR(BR1061="L1",BR1061="L23"),AK1061&gt;0),SUMIFS($AK$7:$AK$1570,$BR$7:$BR$1570,BR1061,$AN$7:$AN$1570,"&gt;"&amp;AN1061)+SUMIFS($AK$7:$AK$1570,$BR$7:$BR$1570,BR1061,$AN$7:$AN$1570,AN1061,$BL$7:$BL$1570,"&lt;="&amp;BL1061),"")</f>
        <v/>
      </c>
      <c r="AP1061" s="65">
        <f>IF(AO1061="",0,MAX(0,MIN(1,(IF(BR1061="L1",Parameter!$K$5,Parameter!$K$6+Parameter!$K$7)-(AO1061-AK1061))/AK1061)))</f>
        <v/>
      </c>
      <c r="AQ1061" s="55">
        <f>IF(LEFT(Cockpit!$O$5,1)="A",G1061,IF(BT1061=1,BU1061,IF(LEFT(Cockpit!$O$5,1)="B",AU1061,MAX(AU1061,G1061))))</f>
        <v/>
      </c>
      <c r="AR1061" s="55">
        <f>IF(BO1061=1,0,ROUNDUP(AQ1061/BN1061,0))</f>
        <v/>
      </c>
      <c r="AS1061" s="64">
        <f>IF(BO1061=1,IF(AQ1061&lt;=0,0,BP1061*MAX(1,IF(G1061&gt;0,AQ1061/G1061,1))),AR1061*Q1061)</f>
        <v/>
      </c>
      <c r="AT1061" s="55">
        <f>AQ1061*F1061</f>
        <v/>
      </c>
      <c r="AU1061" s="55">
        <f>ROUNDUP(MAX(I1061/IF(BS1061&gt;0,BS1061,MAX(0.1,N(Cockpit!$O$6))),BV1061)/BN1061,0)*BN1061</f>
        <v/>
      </c>
      <c r="AV1061" s="56">
        <f>IF(AS1061&gt;0,I1061/AS1061,-1)</f>
        <v/>
      </c>
      <c r="AW1061" s="56">
        <f>IF(AND(OR(BR1061="L1",BR1061="L23"),AS1061&gt;0),SUMIFS($AS$7:$AS$1570,$BR$7:$BR$1570,BR1061,$AV$7:$AV$1570,"&gt;"&amp;AV1061)+SUMIFS($AS$7:$AS$1570,$BR$7:$BR$1570,BR1061,$AV$7:$AV$1570,AV1061,$BL$7:$BL$1570,"&lt;="&amp;BL1061),"")</f>
        <v/>
      </c>
      <c r="AX1061" s="65">
        <f>IF(AW1061="",0,MAX(0,MIN(1,(IF(BR1061="L1",Parameter!$K$5,Parameter!$K$6+Parameter!$K$7)-(AW1061-AS1061))/AS1061)))</f>
        <v/>
      </c>
      <c r="AY1061" s="53">
        <f>IF(AC1061&lt;=0,"",IF(BR1061="Aussen","Aussenlager",IF(BR1061="-","Nicht im Lift",IF(AH1061&gt;=1,"Lift",IF(AH1061&lt;=0,"Aussenlager","teilweise")))))</f>
        <v/>
      </c>
      <c r="AZ1061" s="53">
        <f>IF(AK1061&lt;=0,"",IF(BR1061="Aussen","Aussenlager",IF(BR1061="-","Nicht im Lift",IF(AP1061&gt;=1,"Lift",IF(AP1061&lt;=0,"Aussenlager","teilweise")))))</f>
        <v/>
      </c>
      <c r="BA1061" s="53">
        <f>IF(AS1061&lt;=0,"",IF(BR1061="Aussen","Aussenlager",IF(BR1061="-","Nicht im Lift",IF(AX1061&gt;=1,"Lift",IF(AX1061&lt;=0,"Aussenlager","teilweise")))))</f>
        <v/>
      </c>
      <c r="BB1061" s="53">
        <f>IF(A1061="","",IF(BK1061=1,"Neu; ","")&amp;IF(AND(BK1061=0,BF1061&lt;0),"negativer Bestand (Export "&amp;BF1061&amp;"); ","")&amp;IF(I1061&lt;=0,"Kein Verbrauch; ","")&amp;IF(BO1061=1,"Lose – Fläche geschätzt; ","")&amp;IF(G1061&gt;AM1061,"Überbestand "&amp;ROUND(G1061-AM1061,0)&amp;" Stk / CHF "&amp;ROUND((G1061-AM1061)*F1061,0)&amp;"; ","")&amp;IF(AND(BT1061=1,BU1061&lt;BV1061),"MAX &lt; MB+LG; ","")&amp;IF(AND(BZ1061&gt;0,BY1061*10&gt;BZ1061),"zu hoch für Tablar; ","")&amp;IF(AND(BK1061=0,OR(BT1061=1,V1061&lt;&gt;"",S1061&lt;&gt;"",T1061&lt;&gt;"",W1061&lt;&gt;"")),"manuell übersteuert; ","")&amp;IF(AND(BO1061=0,Q1061=0),"Gebinde unbekannt; ","")&amp;IF(AND(BO1061=0,N(T1061)&lt;=0,N(P1061)&lt;=0),"Menge pro Gebinde fehlt (Ist = 1 Gebinde); ","")&amp;BJ1061)</f>
        <v/>
      </c>
      <c r="BC1061" s="53" t="n"/>
      <c r="BD1061" s="53" t="n"/>
      <c r="BE1061" s="61" t="n"/>
      <c r="BF1061" s="55" t="n">
        <v>-1</v>
      </c>
      <c r="BG1061" s="55" t="n">
        <v>7</v>
      </c>
      <c r="BH1061" s="54" t="n">
        <v>-156.88</v>
      </c>
      <c r="BI1061" s="55" t="n">
        <v>1</v>
      </c>
      <c r="BJ1061" s="53" t="inlineStr"/>
      <c r="BK1061" s="58" t="n">
        <v>0</v>
      </c>
      <c r="BL1061" s="58" t="n">
        <v>1061</v>
      </c>
      <c r="BM1061" s="53">
        <f>IF(S1061&lt;&gt;"",UPPER(TRIM(S1061)),IF(O1061="","LOSE",O1061))</f>
        <v/>
      </c>
      <c r="BN1061" s="55">
        <f>IF(BM1061="LOSE",1,IF(N(T1061)&gt;0,T1061,IF(N(P1061)&gt;0,P1061,MAX(1,G1061))))</f>
        <v/>
      </c>
      <c r="BO1061" s="58">
        <f>IF(BM1061="LOSE",1,0)</f>
        <v/>
      </c>
      <c r="BP1061" s="64">
        <f>IF(BO1061=0,0,IF(N(R1061)&gt;0,R1061,IFERROR(VLOOKUP(D1061,Parameter!$A$35:$C$64,3,0)+0,0)))</f>
        <v/>
      </c>
      <c r="BQ1061" s="53">
        <f>IF(V1061&lt;&gt;"",V1061,U1061)</f>
        <v/>
      </c>
      <c r="BR1061" s="53">
        <f>IF(BQ1061=1,"L1",IF(OR(BQ1061=2,BQ1061=3),"L23",IF(BQ1061="Aussen","Aussen","-")))</f>
        <v/>
      </c>
      <c r="BS1061" s="66">
        <f>IF(N(W1061)&gt;0,W1061,0)</f>
        <v/>
      </c>
      <c r="BT1061" s="58">
        <f>IF(ISNUMBER(Z1061),1,0)</f>
        <v/>
      </c>
      <c r="BU1061" s="55">
        <f>N(Z1061)</f>
        <v/>
      </c>
      <c r="BV1061" s="55">
        <f>N(L1061)+N(M1061)</f>
        <v/>
      </c>
      <c r="BW1061" s="55">
        <f>ROUNDUP(G1061/BN1061,0)</f>
        <v/>
      </c>
      <c r="BX1061" s="55">
        <f>ROUNDUP(BU1061/BN1061,0)</f>
        <v/>
      </c>
      <c r="BY1061" s="58">
        <f>IF(BO1061=1,0,IFERROR(VLOOKUP(BM1061,'Gebinde-Kategorie'!$A$5:$G$45,5,0)+0,0))</f>
        <v/>
      </c>
      <c r="BZ1061" s="58">
        <f>IFERROR(IF(OR(BQ1061=1,BQ1061=2,BQ1061=3),N(INDEX(Parameter!$I$5:$I$7,BQ1061)),0),0)</f>
        <v/>
      </c>
    </row>
    <row r="1062">
      <c r="A1062" s="53" t="inlineStr">
        <is>
          <t>109617</t>
        </is>
      </c>
      <c r="B1062" s="53" t="inlineStr">
        <is>
          <t>Adapter Bündelanschluss Druckluft</t>
        </is>
      </c>
      <c r="C1062" s="53" t="inlineStr">
        <is>
          <t>F</t>
        </is>
      </c>
      <c r="D1062" s="53" t="inlineStr">
        <is>
          <t>KTL</t>
        </is>
      </c>
      <c r="E1062" s="53" t="inlineStr">
        <is>
          <t>C</t>
        </is>
      </c>
      <c r="F1062" s="54" t="n">
        <v>157.08</v>
      </c>
      <c r="G1062" s="55">
        <f>MAX(0,IF(Parameter!$B$20="Jahresanfang 2025 + Export",BG1062+BF1062,BF1062))</f>
        <v/>
      </c>
      <c r="H1062" s="55">
        <f>G1062*F1062</f>
        <v/>
      </c>
      <c r="I1062" s="55">
        <f>BI1062*Parameter!$B$18</f>
        <v/>
      </c>
      <c r="J1062" s="56" t="n">
        <v>4.5</v>
      </c>
      <c r="K1062" s="57" t="n">
        <v>0.2222222222222222</v>
      </c>
      <c r="L1062" s="55" t="n">
        <v>0</v>
      </c>
      <c r="M1062" s="55" t="n">
        <v>1</v>
      </c>
      <c r="N1062" s="58" t="n">
        <v>28</v>
      </c>
      <c r="O1062" s="53" t="inlineStr">
        <is>
          <t>S32</t>
        </is>
      </c>
      <c r="P1062" s="55" t="n">
        <v>5</v>
      </c>
      <c r="Q1062" s="59">
        <f>IF(BO1062=1,0,IFERROR(VLOOKUP(BM1062,'Gebinde-Kategorie'!$A$5:$G$45,6,0)+0,0))</f>
        <v/>
      </c>
      <c r="R1062" s="60" t="n"/>
      <c r="S1062" s="61" t="n"/>
      <c r="T1062" s="61" t="n"/>
      <c r="U1062" s="53">
        <f>IF(A1062="","",IF(IFERROR(VLOOKUP(D1062,Parameter!$A$35:$C$64,2,0),"Nein")="2+3",IF(ISNUMBER(SEARCH("grosser Artikel",BJ1062)),2,IFERROR(VLOOKUP(BM1062,Parameter!$F$35:$G$64,2,0),2)),IF(OR(IFERROR(VLOOKUP(D1062,Parameter!$A$35:$C$64,2,0),"Nein")="Nein",IFERROR(VLOOKUP(D1062,Parameter!$A$35:$C$64,2,0),"Nein")=""),"-",VLOOKUP(D1062,Parameter!$A$35:$C$64,2,0))))</f>
        <v/>
      </c>
      <c r="V1062" s="61" t="n"/>
      <c r="W1062" s="62" t="n"/>
      <c r="X1062" s="55">
        <f>AM1062</f>
        <v/>
      </c>
      <c r="Y1062" s="55">
        <f>MAX(AM1062,G1062)</f>
        <v/>
      </c>
      <c r="Z1062" s="63" t="n"/>
      <c r="AA1062" s="55">
        <f>IF(LEFT(Cockpit!$C$5,1)="A",G1062,IF(BT1062=1,BU1062,IF(LEFT(Cockpit!$C$5,1)="B",AE1062,MAX(AE1062,G1062))))</f>
        <v/>
      </c>
      <c r="AB1062" s="55">
        <f>IF(BO1062=1,0,ROUNDUP(AA1062/BN1062,0))</f>
        <v/>
      </c>
      <c r="AC1062" s="64">
        <f>IF(BO1062=1,IF(AA1062&lt;=0,0,BP1062*MAX(1,IF(G1062&gt;0,AA1062/G1062,1))),AB1062*Q1062)</f>
        <v/>
      </c>
      <c r="AD1062" s="55">
        <f>AA1062*F1062</f>
        <v/>
      </c>
      <c r="AE1062" s="55">
        <f>ROUNDUP(MAX(I1062/IF(BS1062&gt;0,BS1062,MAX(0.1,N(Cockpit!$C$6))),BV1062)/BN1062,0)*BN1062</f>
        <v/>
      </c>
      <c r="AF1062" s="56">
        <f>IF(AC1062&gt;0,I1062/AC1062,-1)</f>
        <v/>
      </c>
      <c r="AG1062" s="56">
        <f>IF(AND(OR(BR1062="L1",BR1062="L23"),AC1062&gt;0),SUMIFS($AC$7:$AC$1570,$BR$7:$BR$1570,BR1062,$AF$7:$AF$1570,"&gt;"&amp;AF1062)+SUMIFS($AC$7:$AC$1570,$BR$7:$BR$1570,BR1062,$AF$7:$AF$1570,AF1062,$BL$7:$BL$1570,"&lt;="&amp;BL1062),"")</f>
        <v/>
      </c>
      <c r="AH1062" s="65">
        <f>IF(AG1062="",0,MAX(0,MIN(1,(IF(BR1062="L1",Parameter!$K$5,Parameter!$K$6+Parameter!$K$7)-(AG1062-AC1062))/AC1062)))</f>
        <v/>
      </c>
      <c r="AI1062" s="55">
        <f>IF(LEFT(Cockpit!$I$5,1)="A",G1062,IF(BT1062=1,BU1062,IF(LEFT(Cockpit!$I$5,1)="B",AM1062,MAX(AM1062,G1062))))</f>
        <v/>
      </c>
      <c r="AJ1062" s="55">
        <f>IF(BO1062=1,0,ROUNDUP(AI1062/BN1062,0))</f>
        <v/>
      </c>
      <c r="AK1062" s="64">
        <f>IF(BO1062=1,IF(AI1062&lt;=0,0,BP1062*MAX(1,IF(G1062&gt;0,AI1062/G1062,1))),AJ1062*Q1062)</f>
        <v/>
      </c>
      <c r="AL1062" s="55">
        <f>AI1062*F1062</f>
        <v/>
      </c>
      <c r="AM1062" s="55">
        <f>ROUNDUP(MAX(I1062/IF(BS1062&gt;0,BS1062,MAX(0.1,N(Cockpit!$I$6))),BV1062)/BN1062,0)*BN1062</f>
        <v/>
      </c>
      <c r="AN1062" s="56">
        <f>IF(AK1062&gt;0,I1062/AK1062,-1)</f>
        <v/>
      </c>
      <c r="AO1062" s="56">
        <f>IF(AND(OR(BR1062="L1",BR1062="L23"),AK1062&gt;0),SUMIFS($AK$7:$AK$1570,$BR$7:$BR$1570,BR1062,$AN$7:$AN$1570,"&gt;"&amp;AN1062)+SUMIFS($AK$7:$AK$1570,$BR$7:$BR$1570,BR1062,$AN$7:$AN$1570,AN1062,$BL$7:$BL$1570,"&lt;="&amp;BL1062),"")</f>
        <v/>
      </c>
      <c r="AP1062" s="65">
        <f>IF(AO1062="",0,MAX(0,MIN(1,(IF(BR1062="L1",Parameter!$K$5,Parameter!$K$6+Parameter!$K$7)-(AO1062-AK1062))/AK1062)))</f>
        <v/>
      </c>
      <c r="AQ1062" s="55">
        <f>IF(LEFT(Cockpit!$O$5,1)="A",G1062,IF(BT1062=1,BU1062,IF(LEFT(Cockpit!$O$5,1)="B",AU1062,MAX(AU1062,G1062))))</f>
        <v/>
      </c>
      <c r="AR1062" s="55">
        <f>IF(BO1062=1,0,ROUNDUP(AQ1062/BN1062,0))</f>
        <v/>
      </c>
      <c r="AS1062" s="64">
        <f>IF(BO1062=1,IF(AQ1062&lt;=0,0,BP1062*MAX(1,IF(G1062&gt;0,AQ1062/G1062,1))),AR1062*Q1062)</f>
        <v/>
      </c>
      <c r="AT1062" s="55">
        <f>AQ1062*F1062</f>
        <v/>
      </c>
      <c r="AU1062" s="55">
        <f>ROUNDUP(MAX(I1062/IF(BS1062&gt;0,BS1062,MAX(0.1,N(Cockpit!$O$6))),BV1062)/BN1062,0)*BN1062</f>
        <v/>
      </c>
      <c r="AV1062" s="56">
        <f>IF(AS1062&gt;0,I1062/AS1062,-1)</f>
        <v/>
      </c>
      <c r="AW1062" s="56">
        <f>IF(AND(OR(BR1062="L1",BR1062="L23"),AS1062&gt;0),SUMIFS($AS$7:$AS$1570,$BR$7:$BR$1570,BR1062,$AV$7:$AV$1570,"&gt;"&amp;AV1062)+SUMIFS($AS$7:$AS$1570,$BR$7:$BR$1570,BR1062,$AV$7:$AV$1570,AV1062,$BL$7:$BL$1570,"&lt;="&amp;BL1062),"")</f>
        <v/>
      </c>
      <c r="AX1062" s="65">
        <f>IF(AW1062="",0,MAX(0,MIN(1,(IF(BR1062="L1",Parameter!$K$5,Parameter!$K$6+Parameter!$K$7)-(AW1062-AS1062))/AS1062)))</f>
        <v/>
      </c>
      <c r="AY1062" s="53">
        <f>IF(AC1062&lt;=0,"",IF(BR1062="Aussen","Aussenlager",IF(BR1062="-","Nicht im Lift",IF(AH1062&gt;=1,"Lift",IF(AH1062&lt;=0,"Aussenlager","teilweise")))))</f>
        <v/>
      </c>
      <c r="AZ1062" s="53">
        <f>IF(AK1062&lt;=0,"",IF(BR1062="Aussen","Aussenlager",IF(BR1062="-","Nicht im Lift",IF(AP1062&gt;=1,"Lift",IF(AP1062&lt;=0,"Aussenlager","teilweise")))))</f>
        <v/>
      </c>
      <c r="BA1062" s="53">
        <f>IF(AS1062&lt;=0,"",IF(BR1062="Aussen","Aussenlager",IF(BR1062="-","Nicht im Lift",IF(AX1062&gt;=1,"Lift",IF(AX1062&lt;=0,"Aussenlager","teilweise")))))</f>
        <v/>
      </c>
      <c r="BB1062" s="53">
        <f>IF(A1062="","",IF(BK1062=1,"Neu; ","")&amp;IF(AND(BK1062=0,BF1062&lt;0),"negativer Bestand (Export "&amp;BF1062&amp;"); ","")&amp;IF(I1062&lt;=0,"Kein Verbrauch; ","")&amp;IF(BO1062=1,"Lose – Fläche geschätzt; ","")&amp;IF(G1062&gt;AM1062,"Überbestand "&amp;ROUND(G1062-AM1062,0)&amp;" Stk / CHF "&amp;ROUND((G1062-AM1062)*F1062,0)&amp;"; ","")&amp;IF(AND(BT1062=1,BU1062&lt;BV1062),"MAX &lt; MB+LG; ","")&amp;IF(AND(BZ1062&gt;0,BY1062*10&gt;BZ1062),"zu hoch für Tablar; ","")&amp;IF(AND(BK1062=0,OR(BT1062=1,V1062&lt;&gt;"",S1062&lt;&gt;"",T1062&lt;&gt;"",W1062&lt;&gt;"")),"manuell übersteuert; ","")&amp;IF(AND(BO1062=0,Q1062=0),"Gebinde unbekannt; ","")&amp;IF(AND(BO1062=0,N(T1062)&lt;=0,N(P1062)&lt;=0),"Menge pro Gebinde fehlt (Ist = 1 Gebinde); ","")&amp;BJ1062)</f>
        <v/>
      </c>
      <c r="BC1062" s="53" t="n"/>
      <c r="BD1062" s="53" t="n"/>
      <c r="BE1062" s="61" t="n"/>
      <c r="BF1062" s="55" t="n">
        <v>-1</v>
      </c>
      <c r="BG1062" s="55" t="n">
        <v>5</v>
      </c>
      <c r="BH1062" s="54" t="n">
        <v>-157.08</v>
      </c>
      <c r="BI1062" s="55" t="n">
        <v>1</v>
      </c>
      <c r="BJ1062" s="53" t="inlineStr"/>
      <c r="BK1062" s="58" t="n">
        <v>0</v>
      </c>
      <c r="BL1062" s="58" t="n">
        <v>1062</v>
      </c>
      <c r="BM1062" s="53">
        <f>IF(S1062&lt;&gt;"",UPPER(TRIM(S1062)),IF(O1062="","LOSE",O1062))</f>
        <v/>
      </c>
      <c r="BN1062" s="55">
        <f>IF(BM1062="LOSE",1,IF(N(T1062)&gt;0,T1062,IF(N(P1062)&gt;0,P1062,MAX(1,G1062))))</f>
        <v/>
      </c>
      <c r="BO1062" s="58">
        <f>IF(BM1062="LOSE",1,0)</f>
        <v/>
      </c>
      <c r="BP1062" s="64">
        <f>IF(BO1062=0,0,IF(N(R1062)&gt;0,R1062,IFERROR(VLOOKUP(D1062,Parameter!$A$35:$C$64,3,0)+0,0)))</f>
        <v/>
      </c>
      <c r="BQ1062" s="53">
        <f>IF(V1062&lt;&gt;"",V1062,U1062)</f>
        <v/>
      </c>
      <c r="BR1062" s="53">
        <f>IF(BQ1062=1,"L1",IF(OR(BQ1062=2,BQ1062=3),"L23",IF(BQ1062="Aussen","Aussen","-")))</f>
        <v/>
      </c>
      <c r="BS1062" s="66">
        <f>IF(N(W1062)&gt;0,W1062,0)</f>
        <v/>
      </c>
      <c r="BT1062" s="58">
        <f>IF(ISNUMBER(Z1062),1,0)</f>
        <v/>
      </c>
      <c r="BU1062" s="55">
        <f>N(Z1062)</f>
        <v/>
      </c>
      <c r="BV1062" s="55">
        <f>N(L1062)+N(M1062)</f>
        <v/>
      </c>
      <c r="BW1062" s="55">
        <f>ROUNDUP(G1062/BN1062,0)</f>
        <v/>
      </c>
      <c r="BX1062" s="55">
        <f>ROUNDUP(BU1062/BN1062,0)</f>
        <v/>
      </c>
      <c r="BY1062" s="58">
        <f>IF(BO1062=1,0,IFERROR(VLOOKUP(BM1062,'Gebinde-Kategorie'!$A$5:$G$45,5,0)+0,0))</f>
        <v/>
      </c>
      <c r="BZ1062" s="58">
        <f>IFERROR(IF(OR(BQ1062=1,BQ1062=2,BQ1062=3),N(INDEX(Parameter!$I$5:$I$7,BQ1062)),0),0)</f>
        <v/>
      </c>
    </row>
    <row r="1063">
      <c r="A1063" s="53" t="inlineStr">
        <is>
          <t>005750</t>
        </is>
      </c>
      <c r="B1063" s="53" t="inlineStr">
        <is>
          <t>T-Stück Edelstahl</t>
        </is>
      </c>
      <c r="C1063" s="53" t="inlineStr">
        <is>
          <t>F</t>
        </is>
      </c>
      <c r="D1063" s="53" t="inlineStr">
        <is>
          <t>KTL</t>
        </is>
      </c>
      <c r="E1063" s="53" t="inlineStr">
        <is>
          <t>C</t>
        </is>
      </c>
      <c r="F1063" s="54" t="n">
        <v>22.7</v>
      </c>
      <c r="G1063" s="55">
        <f>MAX(0,IF(Parameter!$B$20="Jahresanfang 2025 + Export",BG1063+BF1063,BF1063))</f>
        <v/>
      </c>
      <c r="H1063" s="55">
        <f>G1063*F1063</f>
        <v/>
      </c>
      <c r="I1063" s="55">
        <f>BI1063*Parameter!$B$18</f>
        <v/>
      </c>
      <c r="J1063" s="56" t="n">
        <v>13</v>
      </c>
      <c r="K1063" s="57" t="n">
        <v>0.3076923076923077</v>
      </c>
      <c r="L1063" s="55" t="n">
        <v>0</v>
      </c>
      <c r="M1063" s="55" t="n">
        <v>5</v>
      </c>
      <c r="N1063" s="58" t="n">
        <v>35</v>
      </c>
      <c r="O1063" s="53" t="inlineStr">
        <is>
          <t>S32</t>
        </is>
      </c>
      <c r="P1063" s="55" t="n">
        <v>9</v>
      </c>
      <c r="Q1063" s="59">
        <f>IF(BO1063=1,0,IFERROR(VLOOKUP(BM1063,'Gebinde-Kategorie'!$A$5:$G$45,6,0)+0,0))</f>
        <v/>
      </c>
      <c r="R1063" s="60" t="n"/>
      <c r="S1063" s="61" t="n"/>
      <c r="T1063" s="61" t="n"/>
      <c r="U1063" s="53">
        <f>IF(A1063="","",IF(IFERROR(VLOOKUP(D1063,Parameter!$A$35:$C$64,2,0),"Nein")="2+3",IF(ISNUMBER(SEARCH("grosser Artikel",BJ1063)),2,IFERROR(VLOOKUP(BM1063,Parameter!$F$35:$G$64,2,0),2)),IF(OR(IFERROR(VLOOKUP(D1063,Parameter!$A$35:$C$64,2,0),"Nein")="Nein",IFERROR(VLOOKUP(D1063,Parameter!$A$35:$C$64,2,0),"Nein")=""),"-",VLOOKUP(D1063,Parameter!$A$35:$C$64,2,0))))</f>
        <v/>
      </c>
      <c r="V1063" s="61" t="n"/>
      <c r="W1063" s="62" t="n"/>
      <c r="X1063" s="55">
        <f>AM1063</f>
        <v/>
      </c>
      <c r="Y1063" s="55">
        <f>MAX(AM1063,G1063)</f>
        <v/>
      </c>
      <c r="Z1063" s="63" t="n"/>
      <c r="AA1063" s="55">
        <f>IF(LEFT(Cockpit!$C$5,1)="A",G1063,IF(BT1063=1,BU1063,IF(LEFT(Cockpit!$C$5,1)="B",AE1063,MAX(AE1063,G1063))))</f>
        <v/>
      </c>
      <c r="AB1063" s="55">
        <f>IF(BO1063=1,0,ROUNDUP(AA1063/BN1063,0))</f>
        <v/>
      </c>
      <c r="AC1063" s="64">
        <f>IF(BO1063=1,IF(AA1063&lt;=0,0,BP1063*MAX(1,IF(G1063&gt;0,AA1063/G1063,1))),AB1063*Q1063)</f>
        <v/>
      </c>
      <c r="AD1063" s="55">
        <f>AA1063*F1063</f>
        <v/>
      </c>
      <c r="AE1063" s="55">
        <f>ROUNDUP(MAX(I1063/IF(BS1063&gt;0,BS1063,MAX(0.1,N(Cockpit!$C$6))),BV1063)/BN1063,0)*BN1063</f>
        <v/>
      </c>
      <c r="AF1063" s="56">
        <f>IF(AC1063&gt;0,I1063/AC1063,-1)</f>
        <v/>
      </c>
      <c r="AG1063" s="56">
        <f>IF(AND(OR(BR1063="L1",BR1063="L23"),AC1063&gt;0),SUMIFS($AC$7:$AC$1570,$BR$7:$BR$1570,BR1063,$AF$7:$AF$1570,"&gt;"&amp;AF1063)+SUMIFS($AC$7:$AC$1570,$BR$7:$BR$1570,BR1063,$AF$7:$AF$1570,AF1063,$BL$7:$BL$1570,"&lt;="&amp;BL1063),"")</f>
        <v/>
      </c>
      <c r="AH1063" s="65">
        <f>IF(AG1063="",0,MAX(0,MIN(1,(IF(BR1063="L1",Parameter!$K$5,Parameter!$K$6+Parameter!$K$7)-(AG1063-AC1063))/AC1063)))</f>
        <v/>
      </c>
      <c r="AI1063" s="55">
        <f>IF(LEFT(Cockpit!$I$5,1)="A",G1063,IF(BT1063=1,BU1063,IF(LEFT(Cockpit!$I$5,1)="B",AM1063,MAX(AM1063,G1063))))</f>
        <v/>
      </c>
      <c r="AJ1063" s="55">
        <f>IF(BO1063=1,0,ROUNDUP(AI1063/BN1063,0))</f>
        <v/>
      </c>
      <c r="AK1063" s="64">
        <f>IF(BO1063=1,IF(AI1063&lt;=0,0,BP1063*MAX(1,IF(G1063&gt;0,AI1063/G1063,1))),AJ1063*Q1063)</f>
        <v/>
      </c>
      <c r="AL1063" s="55">
        <f>AI1063*F1063</f>
        <v/>
      </c>
      <c r="AM1063" s="55">
        <f>ROUNDUP(MAX(I1063/IF(BS1063&gt;0,BS1063,MAX(0.1,N(Cockpit!$I$6))),BV1063)/BN1063,0)*BN1063</f>
        <v/>
      </c>
      <c r="AN1063" s="56">
        <f>IF(AK1063&gt;0,I1063/AK1063,-1)</f>
        <v/>
      </c>
      <c r="AO1063" s="56">
        <f>IF(AND(OR(BR1063="L1",BR1063="L23"),AK1063&gt;0),SUMIFS($AK$7:$AK$1570,$BR$7:$BR$1570,BR1063,$AN$7:$AN$1570,"&gt;"&amp;AN1063)+SUMIFS($AK$7:$AK$1570,$BR$7:$BR$1570,BR1063,$AN$7:$AN$1570,AN1063,$BL$7:$BL$1570,"&lt;="&amp;BL1063),"")</f>
        <v/>
      </c>
      <c r="AP1063" s="65">
        <f>IF(AO1063="",0,MAX(0,MIN(1,(IF(BR1063="L1",Parameter!$K$5,Parameter!$K$6+Parameter!$K$7)-(AO1063-AK1063))/AK1063)))</f>
        <v/>
      </c>
      <c r="AQ1063" s="55">
        <f>IF(LEFT(Cockpit!$O$5,1)="A",G1063,IF(BT1063=1,BU1063,IF(LEFT(Cockpit!$O$5,1)="B",AU1063,MAX(AU1063,G1063))))</f>
        <v/>
      </c>
      <c r="AR1063" s="55">
        <f>IF(BO1063=1,0,ROUNDUP(AQ1063/BN1063,0))</f>
        <v/>
      </c>
      <c r="AS1063" s="64">
        <f>IF(BO1063=1,IF(AQ1063&lt;=0,0,BP1063*MAX(1,IF(G1063&gt;0,AQ1063/G1063,1))),AR1063*Q1063)</f>
        <v/>
      </c>
      <c r="AT1063" s="55">
        <f>AQ1063*F1063</f>
        <v/>
      </c>
      <c r="AU1063" s="55">
        <f>ROUNDUP(MAX(I1063/IF(BS1063&gt;0,BS1063,MAX(0.1,N(Cockpit!$O$6))),BV1063)/BN1063,0)*BN1063</f>
        <v/>
      </c>
      <c r="AV1063" s="56">
        <f>IF(AS1063&gt;0,I1063/AS1063,-1)</f>
        <v/>
      </c>
      <c r="AW1063" s="56">
        <f>IF(AND(OR(BR1063="L1",BR1063="L23"),AS1063&gt;0),SUMIFS($AS$7:$AS$1570,$BR$7:$BR$1570,BR1063,$AV$7:$AV$1570,"&gt;"&amp;AV1063)+SUMIFS($AS$7:$AS$1570,$BR$7:$BR$1570,BR1063,$AV$7:$AV$1570,AV1063,$BL$7:$BL$1570,"&lt;="&amp;BL1063),"")</f>
        <v/>
      </c>
      <c r="AX1063" s="65">
        <f>IF(AW1063="",0,MAX(0,MIN(1,(IF(BR1063="L1",Parameter!$K$5,Parameter!$K$6+Parameter!$K$7)-(AW1063-AS1063))/AS1063)))</f>
        <v/>
      </c>
      <c r="AY1063" s="53">
        <f>IF(AC1063&lt;=0,"",IF(BR1063="Aussen","Aussenlager",IF(BR1063="-","Nicht im Lift",IF(AH1063&gt;=1,"Lift",IF(AH1063&lt;=0,"Aussenlager","teilweise")))))</f>
        <v/>
      </c>
      <c r="AZ1063" s="53">
        <f>IF(AK1063&lt;=0,"",IF(BR1063="Aussen","Aussenlager",IF(BR1063="-","Nicht im Lift",IF(AP1063&gt;=1,"Lift",IF(AP1063&lt;=0,"Aussenlager","teilweise")))))</f>
        <v/>
      </c>
      <c r="BA1063" s="53">
        <f>IF(AS1063&lt;=0,"",IF(BR1063="Aussen","Aussenlager",IF(BR1063="-","Nicht im Lift",IF(AX1063&gt;=1,"Lift",IF(AX1063&lt;=0,"Aussenlager","teilweise")))))</f>
        <v/>
      </c>
      <c r="BB1063" s="53">
        <f>IF(A1063="","",IF(BK1063=1,"Neu; ","")&amp;IF(AND(BK1063=0,BF1063&lt;0),"negativer Bestand (Export "&amp;BF1063&amp;"); ","")&amp;IF(I1063&lt;=0,"Kein Verbrauch; ","")&amp;IF(BO1063=1,"Lose – Fläche geschätzt; ","")&amp;IF(G1063&gt;AM1063,"Überbestand "&amp;ROUND(G1063-AM1063,0)&amp;" Stk / CHF "&amp;ROUND((G1063-AM1063)*F1063,0)&amp;"; ","")&amp;IF(AND(BT1063=1,BU1063&lt;BV1063),"MAX &lt; MB+LG; ","")&amp;IF(AND(BZ1063&gt;0,BY1063*10&gt;BZ1063),"zu hoch für Tablar; ","")&amp;IF(AND(BK1063=0,OR(BT1063=1,V1063&lt;&gt;"",S1063&lt;&gt;"",T1063&lt;&gt;"",W1063&lt;&gt;"")),"manuell übersteuert; ","")&amp;IF(AND(BO1063=0,Q1063=0),"Gebinde unbekannt; ","")&amp;IF(AND(BO1063=0,N(T1063)&lt;=0,N(P1063)&lt;=0),"Menge pro Gebinde fehlt (Ist = 1 Gebinde); ","")&amp;BJ1063)</f>
        <v/>
      </c>
      <c r="BC1063" s="53" t="n"/>
      <c r="BD1063" s="53" t="n"/>
      <c r="BE1063" s="61" t="n"/>
      <c r="BF1063" s="55" t="n">
        <v>-7</v>
      </c>
      <c r="BG1063" s="55" t="n">
        <v>11</v>
      </c>
      <c r="BH1063" s="54" t="n">
        <v>-158.9</v>
      </c>
      <c r="BI1063" s="55" t="n">
        <v>4</v>
      </c>
      <c r="BJ1063" s="53" t="inlineStr"/>
      <c r="BK1063" s="58" t="n">
        <v>0</v>
      </c>
      <c r="BL1063" s="58" t="n">
        <v>1063</v>
      </c>
      <c r="BM1063" s="53">
        <f>IF(S1063&lt;&gt;"",UPPER(TRIM(S1063)),IF(O1063="","LOSE",O1063))</f>
        <v/>
      </c>
      <c r="BN1063" s="55">
        <f>IF(BM1063="LOSE",1,IF(N(T1063)&gt;0,T1063,IF(N(P1063)&gt;0,P1063,MAX(1,G1063))))</f>
        <v/>
      </c>
      <c r="BO1063" s="58">
        <f>IF(BM1063="LOSE",1,0)</f>
        <v/>
      </c>
      <c r="BP1063" s="64">
        <f>IF(BO1063=0,0,IF(N(R1063)&gt;0,R1063,IFERROR(VLOOKUP(D1063,Parameter!$A$35:$C$64,3,0)+0,0)))</f>
        <v/>
      </c>
      <c r="BQ1063" s="53">
        <f>IF(V1063&lt;&gt;"",V1063,U1063)</f>
        <v/>
      </c>
      <c r="BR1063" s="53">
        <f>IF(BQ1063=1,"L1",IF(OR(BQ1063=2,BQ1063=3),"L23",IF(BQ1063="Aussen","Aussen","-")))</f>
        <v/>
      </c>
      <c r="BS1063" s="66">
        <f>IF(N(W1063)&gt;0,W1063,0)</f>
        <v/>
      </c>
      <c r="BT1063" s="58">
        <f>IF(ISNUMBER(Z1063),1,0)</f>
        <v/>
      </c>
      <c r="BU1063" s="55">
        <f>N(Z1063)</f>
        <v/>
      </c>
      <c r="BV1063" s="55">
        <f>N(L1063)+N(M1063)</f>
        <v/>
      </c>
      <c r="BW1063" s="55">
        <f>ROUNDUP(G1063/BN1063,0)</f>
        <v/>
      </c>
      <c r="BX1063" s="55">
        <f>ROUNDUP(BU1063/BN1063,0)</f>
        <v/>
      </c>
      <c r="BY1063" s="58">
        <f>IF(BO1063=1,0,IFERROR(VLOOKUP(BM1063,'Gebinde-Kategorie'!$A$5:$G$45,5,0)+0,0))</f>
        <v/>
      </c>
      <c r="BZ1063" s="58">
        <f>IFERROR(IF(OR(BQ1063=1,BQ1063=2,BQ1063=3),N(INDEX(Parameter!$I$5:$I$7,BQ1063)),0),0)</f>
        <v/>
      </c>
    </row>
    <row r="1064">
      <c r="A1064" s="53" t="inlineStr">
        <is>
          <t>109165</t>
        </is>
      </c>
      <c r="B1064" s="53" t="inlineStr">
        <is>
          <t>Verbindungsnippel</t>
        </is>
      </c>
      <c r="C1064" s="53" t="inlineStr">
        <is>
          <t>F</t>
        </is>
      </c>
      <c r="D1064" s="53" t="inlineStr">
        <is>
          <t>KTL</t>
        </is>
      </c>
      <c r="E1064" s="53" t="inlineStr">
        <is>
          <t>C</t>
        </is>
      </c>
      <c r="F1064" s="54" t="n">
        <v>80.5</v>
      </c>
      <c r="G1064" s="55">
        <f>MAX(0,IF(Parameter!$B$20="Jahresanfang 2025 + Export",BG1064+BF1064,BF1064))</f>
        <v/>
      </c>
      <c r="H1064" s="55">
        <f>G1064*F1064</f>
        <v/>
      </c>
      <c r="I1064" s="55">
        <f>BI1064*Parameter!$B$18</f>
        <v/>
      </c>
      <c r="J1064" s="56" t="n">
        <v>8</v>
      </c>
      <c r="K1064" s="57" t="n">
        <v>0.25</v>
      </c>
      <c r="L1064" s="55" t="n">
        <v>0</v>
      </c>
      <c r="M1064" s="55" t="n">
        <v>1</v>
      </c>
      <c r="N1064" s="58" t="n">
        <v>35</v>
      </c>
      <c r="O1064" s="53" t="inlineStr">
        <is>
          <t>S21</t>
        </is>
      </c>
      <c r="P1064" s="55" t="n">
        <v>7</v>
      </c>
      <c r="Q1064" s="59">
        <f>IF(BO1064=1,0,IFERROR(VLOOKUP(BM1064,'Gebinde-Kategorie'!$A$5:$G$45,6,0)+0,0))</f>
        <v/>
      </c>
      <c r="R1064" s="60" t="n"/>
      <c r="S1064" s="61" t="n"/>
      <c r="T1064" s="61" t="n"/>
      <c r="U1064" s="53">
        <f>IF(A1064="","",IF(IFERROR(VLOOKUP(D1064,Parameter!$A$35:$C$64,2,0),"Nein")="2+3",IF(ISNUMBER(SEARCH("grosser Artikel",BJ1064)),2,IFERROR(VLOOKUP(BM1064,Parameter!$F$35:$G$64,2,0),2)),IF(OR(IFERROR(VLOOKUP(D1064,Parameter!$A$35:$C$64,2,0),"Nein")="Nein",IFERROR(VLOOKUP(D1064,Parameter!$A$35:$C$64,2,0),"Nein")=""),"-",VLOOKUP(D1064,Parameter!$A$35:$C$64,2,0))))</f>
        <v/>
      </c>
      <c r="V1064" s="61" t="n"/>
      <c r="W1064" s="62" t="n"/>
      <c r="X1064" s="55">
        <f>AM1064</f>
        <v/>
      </c>
      <c r="Y1064" s="55">
        <f>MAX(AM1064,G1064)</f>
        <v/>
      </c>
      <c r="Z1064" s="63" t="n"/>
      <c r="AA1064" s="55">
        <f>IF(LEFT(Cockpit!$C$5,1)="A",G1064,IF(BT1064=1,BU1064,IF(LEFT(Cockpit!$C$5,1)="B",AE1064,MAX(AE1064,G1064))))</f>
        <v/>
      </c>
      <c r="AB1064" s="55">
        <f>IF(BO1064=1,0,ROUNDUP(AA1064/BN1064,0))</f>
        <v/>
      </c>
      <c r="AC1064" s="64">
        <f>IF(BO1064=1,IF(AA1064&lt;=0,0,BP1064*MAX(1,IF(G1064&gt;0,AA1064/G1064,1))),AB1064*Q1064)</f>
        <v/>
      </c>
      <c r="AD1064" s="55">
        <f>AA1064*F1064</f>
        <v/>
      </c>
      <c r="AE1064" s="55">
        <f>ROUNDUP(MAX(I1064/IF(BS1064&gt;0,BS1064,MAX(0.1,N(Cockpit!$C$6))),BV1064)/BN1064,0)*BN1064</f>
        <v/>
      </c>
      <c r="AF1064" s="56">
        <f>IF(AC1064&gt;0,I1064/AC1064,-1)</f>
        <v/>
      </c>
      <c r="AG1064" s="56">
        <f>IF(AND(OR(BR1064="L1",BR1064="L23"),AC1064&gt;0),SUMIFS($AC$7:$AC$1570,$BR$7:$BR$1570,BR1064,$AF$7:$AF$1570,"&gt;"&amp;AF1064)+SUMIFS($AC$7:$AC$1570,$BR$7:$BR$1570,BR1064,$AF$7:$AF$1570,AF1064,$BL$7:$BL$1570,"&lt;="&amp;BL1064),"")</f>
        <v/>
      </c>
      <c r="AH1064" s="65">
        <f>IF(AG1064="",0,MAX(0,MIN(1,(IF(BR1064="L1",Parameter!$K$5,Parameter!$K$6+Parameter!$K$7)-(AG1064-AC1064))/AC1064)))</f>
        <v/>
      </c>
      <c r="AI1064" s="55">
        <f>IF(LEFT(Cockpit!$I$5,1)="A",G1064,IF(BT1064=1,BU1064,IF(LEFT(Cockpit!$I$5,1)="B",AM1064,MAX(AM1064,G1064))))</f>
        <v/>
      </c>
      <c r="AJ1064" s="55">
        <f>IF(BO1064=1,0,ROUNDUP(AI1064/BN1064,0))</f>
        <v/>
      </c>
      <c r="AK1064" s="64">
        <f>IF(BO1064=1,IF(AI1064&lt;=0,0,BP1064*MAX(1,IF(G1064&gt;0,AI1064/G1064,1))),AJ1064*Q1064)</f>
        <v/>
      </c>
      <c r="AL1064" s="55">
        <f>AI1064*F1064</f>
        <v/>
      </c>
      <c r="AM1064" s="55">
        <f>ROUNDUP(MAX(I1064/IF(BS1064&gt;0,BS1064,MAX(0.1,N(Cockpit!$I$6))),BV1064)/BN1064,0)*BN1064</f>
        <v/>
      </c>
      <c r="AN1064" s="56">
        <f>IF(AK1064&gt;0,I1064/AK1064,-1)</f>
        <v/>
      </c>
      <c r="AO1064" s="56">
        <f>IF(AND(OR(BR1064="L1",BR1064="L23"),AK1064&gt;0),SUMIFS($AK$7:$AK$1570,$BR$7:$BR$1570,BR1064,$AN$7:$AN$1570,"&gt;"&amp;AN1064)+SUMIFS($AK$7:$AK$1570,$BR$7:$BR$1570,BR1064,$AN$7:$AN$1570,AN1064,$BL$7:$BL$1570,"&lt;="&amp;BL1064),"")</f>
        <v/>
      </c>
      <c r="AP1064" s="65">
        <f>IF(AO1064="",0,MAX(0,MIN(1,(IF(BR1064="L1",Parameter!$K$5,Parameter!$K$6+Parameter!$K$7)-(AO1064-AK1064))/AK1064)))</f>
        <v/>
      </c>
      <c r="AQ1064" s="55">
        <f>IF(LEFT(Cockpit!$O$5,1)="A",G1064,IF(BT1064=1,BU1064,IF(LEFT(Cockpit!$O$5,1)="B",AU1064,MAX(AU1064,G1064))))</f>
        <v/>
      </c>
      <c r="AR1064" s="55">
        <f>IF(BO1064=1,0,ROUNDUP(AQ1064/BN1064,0))</f>
        <v/>
      </c>
      <c r="AS1064" s="64">
        <f>IF(BO1064=1,IF(AQ1064&lt;=0,0,BP1064*MAX(1,IF(G1064&gt;0,AQ1064/G1064,1))),AR1064*Q1064)</f>
        <v/>
      </c>
      <c r="AT1064" s="55">
        <f>AQ1064*F1064</f>
        <v/>
      </c>
      <c r="AU1064" s="55">
        <f>ROUNDUP(MAX(I1064/IF(BS1064&gt;0,BS1064,MAX(0.1,N(Cockpit!$O$6))),BV1064)/BN1064,0)*BN1064</f>
        <v/>
      </c>
      <c r="AV1064" s="56">
        <f>IF(AS1064&gt;0,I1064/AS1064,-1)</f>
        <v/>
      </c>
      <c r="AW1064" s="56">
        <f>IF(AND(OR(BR1064="L1",BR1064="L23"),AS1064&gt;0),SUMIFS($AS$7:$AS$1570,$BR$7:$BR$1570,BR1064,$AV$7:$AV$1570,"&gt;"&amp;AV1064)+SUMIFS($AS$7:$AS$1570,$BR$7:$BR$1570,BR1064,$AV$7:$AV$1570,AV1064,$BL$7:$BL$1570,"&lt;="&amp;BL1064),"")</f>
        <v/>
      </c>
      <c r="AX1064" s="65">
        <f>IF(AW1064="",0,MAX(0,MIN(1,(IF(BR1064="L1",Parameter!$K$5,Parameter!$K$6+Parameter!$K$7)-(AW1064-AS1064))/AS1064)))</f>
        <v/>
      </c>
      <c r="AY1064" s="53">
        <f>IF(AC1064&lt;=0,"",IF(BR1064="Aussen","Aussenlager",IF(BR1064="-","Nicht im Lift",IF(AH1064&gt;=1,"Lift",IF(AH1064&lt;=0,"Aussenlager","teilweise")))))</f>
        <v/>
      </c>
      <c r="AZ1064" s="53">
        <f>IF(AK1064&lt;=0,"",IF(BR1064="Aussen","Aussenlager",IF(BR1064="-","Nicht im Lift",IF(AP1064&gt;=1,"Lift",IF(AP1064&lt;=0,"Aussenlager","teilweise")))))</f>
        <v/>
      </c>
      <c r="BA1064" s="53">
        <f>IF(AS1064&lt;=0,"",IF(BR1064="Aussen","Aussenlager",IF(BR1064="-","Nicht im Lift",IF(AX1064&gt;=1,"Lift",IF(AX1064&lt;=0,"Aussenlager","teilweise")))))</f>
        <v/>
      </c>
      <c r="BB1064" s="53">
        <f>IF(A1064="","",IF(BK1064=1,"Neu; ","")&amp;IF(AND(BK1064=0,BF1064&lt;0),"negativer Bestand (Export "&amp;BF1064&amp;"); ","")&amp;IF(I1064&lt;=0,"Kein Verbrauch; ","")&amp;IF(BO1064=1,"Lose – Fläche geschätzt; ","")&amp;IF(G1064&gt;AM1064,"Überbestand "&amp;ROUND(G1064-AM1064,0)&amp;" Stk / CHF "&amp;ROUND((G1064-AM1064)*F1064,0)&amp;"; ","")&amp;IF(AND(BT1064=1,BU1064&lt;BV1064),"MAX &lt; MB+LG; ","")&amp;IF(AND(BZ1064&gt;0,BY1064*10&gt;BZ1064),"zu hoch für Tablar; ","")&amp;IF(AND(BK1064=0,OR(BT1064=1,V1064&lt;&gt;"",S1064&lt;&gt;"",T1064&lt;&gt;"",W1064&lt;&gt;"")),"manuell übersteuert; ","")&amp;IF(AND(BO1064=0,Q1064=0),"Gebinde unbekannt; ","")&amp;IF(AND(BO1064=0,N(T1064)&lt;=0,N(P1064)&lt;=0),"Menge pro Gebinde fehlt (Ist = 1 Gebinde); ","")&amp;BJ1064)</f>
        <v/>
      </c>
      <c r="BC1064" s="53" t="n"/>
      <c r="BD1064" s="53" t="n"/>
      <c r="BE1064" s="61" t="n"/>
      <c r="BF1064" s="55" t="n">
        <v>-2</v>
      </c>
      <c r="BG1064" s="55" t="n">
        <v>9</v>
      </c>
      <c r="BH1064" s="54" t="n">
        <v>-161</v>
      </c>
      <c r="BI1064" s="55" t="n">
        <v>2</v>
      </c>
      <c r="BJ1064" s="53" t="inlineStr"/>
      <c r="BK1064" s="58" t="n">
        <v>0</v>
      </c>
      <c r="BL1064" s="58" t="n">
        <v>1064</v>
      </c>
      <c r="BM1064" s="53">
        <f>IF(S1064&lt;&gt;"",UPPER(TRIM(S1064)),IF(O1064="","LOSE",O1064))</f>
        <v/>
      </c>
      <c r="BN1064" s="55">
        <f>IF(BM1064="LOSE",1,IF(N(T1064)&gt;0,T1064,IF(N(P1064)&gt;0,P1064,MAX(1,G1064))))</f>
        <v/>
      </c>
      <c r="BO1064" s="58">
        <f>IF(BM1064="LOSE",1,0)</f>
        <v/>
      </c>
      <c r="BP1064" s="64">
        <f>IF(BO1064=0,0,IF(N(R1064)&gt;0,R1064,IFERROR(VLOOKUP(D1064,Parameter!$A$35:$C$64,3,0)+0,0)))</f>
        <v/>
      </c>
      <c r="BQ1064" s="53">
        <f>IF(V1064&lt;&gt;"",V1064,U1064)</f>
        <v/>
      </c>
      <c r="BR1064" s="53">
        <f>IF(BQ1064=1,"L1",IF(OR(BQ1064=2,BQ1064=3),"L23",IF(BQ1064="Aussen","Aussen","-")))</f>
        <v/>
      </c>
      <c r="BS1064" s="66">
        <f>IF(N(W1064)&gt;0,W1064,0)</f>
        <v/>
      </c>
      <c r="BT1064" s="58">
        <f>IF(ISNUMBER(Z1064),1,0)</f>
        <v/>
      </c>
      <c r="BU1064" s="55">
        <f>N(Z1064)</f>
        <v/>
      </c>
      <c r="BV1064" s="55">
        <f>N(L1064)+N(M1064)</f>
        <v/>
      </c>
      <c r="BW1064" s="55">
        <f>ROUNDUP(G1064/BN1064,0)</f>
        <v/>
      </c>
      <c r="BX1064" s="55">
        <f>ROUNDUP(BU1064/BN1064,0)</f>
        <v/>
      </c>
      <c r="BY1064" s="58">
        <f>IF(BO1064=1,0,IFERROR(VLOOKUP(BM1064,'Gebinde-Kategorie'!$A$5:$G$45,5,0)+0,0))</f>
        <v/>
      </c>
      <c r="BZ1064" s="58">
        <f>IFERROR(IF(OR(BQ1064=1,BQ1064=2,BQ1064=3),N(INDEX(Parameter!$I$5:$I$7,BQ1064)),0),0)</f>
        <v/>
      </c>
    </row>
    <row r="1065">
      <c r="A1065" s="53" t="inlineStr">
        <is>
          <t>107587</t>
        </is>
      </c>
      <c r="B1065" s="53" t="inlineStr">
        <is>
          <t>Begleitschreiben, SPGr16</t>
        </is>
      </c>
      <c r="C1065" s="53" t="inlineStr">
        <is>
          <t>F</t>
        </is>
      </c>
      <c r="D1065" s="53" t="inlineStr">
        <is>
          <t>KTL</t>
        </is>
      </c>
      <c r="E1065" s="53" t="inlineStr">
        <is>
          <t>C</t>
        </is>
      </c>
      <c r="F1065" s="54" t="n">
        <v>3.69</v>
      </c>
      <c r="G1065" s="55">
        <f>MAX(0,IF(Parameter!$B$20="Jahresanfang 2025 + Export",BG1065+BF1065,BF1065))</f>
        <v/>
      </c>
      <c r="H1065" s="55">
        <f>G1065*F1065</f>
        <v/>
      </c>
      <c r="I1065" s="55">
        <f>BI1065*Parameter!$B$18</f>
        <v/>
      </c>
      <c r="J1065" s="56" t="n">
        <v>37</v>
      </c>
      <c r="K1065" s="57" t="n">
        <v>0.6756756756756757</v>
      </c>
      <c r="L1065" s="55" t="n">
        <v>1</v>
      </c>
      <c r="M1065" s="55" t="n">
        <v>50</v>
      </c>
      <c r="N1065" s="58" t="n">
        <v>28</v>
      </c>
      <c r="O1065" s="53" t="inlineStr">
        <is>
          <t>S41</t>
        </is>
      </c>
      <c r="P1065" s="55" t="n">
        <v>88</v>
      </c>
      <c r="Q1065" s="59">
        <f>IF(BO1065=1,0,IFERROR(VLOOKUP(BM1065,'Gebinde-Kategorie'!$A$5:$G$45,6,0)+0,0))</f>
        <v/>
      </c>
      <c r="R1065" s="60" t="n"/>
      <c r="S1065" s="61" t="n"/>
      <c r="T1065" s="61" t="n"/>
      <c r="U1065" s="53">
        <f>IF(A1065="","",IF(IFERROR(VLOOKUP(D1065,Parameter!$A$35:$C$64,2,0),"Nein")="2+3",IF(ISNUMBER(SEARCH("grosser Artikel",BJ1065)),2,IFERROR(VLOOKUP(BM1065,Parameter!$F$35:$G$64,2,0),2)),IF(OR(IFERROR(VLOOKUP(D1065,Parameter!$A$35:$C$64,2,0),"Nein")="Nein",IFERROR(VLOOKUP(D1065,Parameter!$A$35:$C$64,2,0),"Nein")=""),"-",VLOOKUP(D1065,Parameter!$A$35:$C$64,2,0))))</f>
        <v/>
      </c>
      <c r="V1065" s="61" t="n"/>
      <c r="W1065" s="62" t="n"/>
      <c r="X1065" s="55">
        <f>AM1065</f>
        <v/>
      </c>
      <c r="Y1065" s="55">
        <f>MAX(AM1065,G1065)</f>
        <v/>
      </c>
      <c r="Z1065" s="63" t="n"/>
      <c r="AA1065" s="55">
        <f>IF(LEFT(Cockpit!$C$5,1)="A",G1065,IF(BT1065=1,BU1065,IF(LEFT(Cockpit!$C$5,1)="B",AE1065,MAX(AE1065,G1065))))</f>
        <v/>
      </c>
      <c r="AB1065" s="55">
        <f>IF(BO1065=1,0,ROUNDUP(AA1065/BN1065,0))</f>
        <v/>
      </c>
      <c r="AC1065" s="64">
        <f>IF(BO1065=1,IF(AA1065&lt;=0,0,BP1065*MAX(1,IF(G1065&gt;0,AA1065/G1065,1))),AB1065*Q1065)</f>
        <v/>
      </c>
      <c r="AD1065" s="55">
        <f>AA1065*F1065</f>
        <v/>
      </c>
      <c r="AE1065" s="55">
        <f>ROUNDUP(MAX(I1065/IF(BS1065&gt;0,BS1065,MAX(0.1,N(Cockpit!$C$6))),BV1065)/BN1065,0)*BN1065</f>
        <v/>
      </c>
      <c r="AF1065" s="56">
        <f>IF(AC1065&gt;0,I1065/AC1065,-1)</f>
        <v/>
      </c>
      <c r="AG1065" s="56">
        <f>IF(AND(OR(BR1065="L1",BR1065="L23"),AC1065&gt;0),SUMIFS($AC$7:$AC$1570,$BR$7:$BR$1570,BR1065,$AF$7:$AF$1570,"&gt;"&amp;AF1065)+SUMIFS($AC$7:$AC$1570,$BR$7:$BR$1570,BR1065,$AF$7:$AF$1570,AF1065,$BL$7:$BL$1570,"&lt;="&amp;BL1065),"")</f>
        <v/>
      </c>
      <c r="AH1065" s="65">
        <f>IF(AG1065="",0,MAX(0,MIN(1,(IF(BR1065="L1",Parameter!$K$5,Parameter!$K$6+Parameter!$K$7)-(AG1065-AC1065))/AC1065)))</f>
        <v/>
      </c>
      <c r="AI1065" s="55">
        <f>IF(LEFT(Cockpit!$I$5,1)="A",G1065,IF(BT1065=1,BU1065,IF(LEFT(Cockpit!$I$5,1)="B",AM1065,MAX(AM1065,G1065))))</f>
        <v/>
      </c>
      <c r="AJ1065" s="55">
        <f>IF(BO1065=1,0,ROUNDUP(AI1065/BN1065,0))</f>
        <v/>
      </c>
      <c r="AK1065" s="64">
        <f>IF(BO1065=1,IF(AI1065&lt;=0,0,BP1065*MAX(1,IF(G1065&gt;0,AI1065/G1065,1))),AJ1065*Q1065)</f>
        <v/>
      </c>
      <c r="AL1065" s="55">
        <f>AI1065*F1065</f>
        <v/>
      </c>
      <c r="AM1065" s="55">
        <f>ROUNDUP(MAX(I1065/IF(BS1065&gt;0,BS1065,MAX(0.1,N(Cockpit!$I$6))),BV1065)/BN1065,0)*BN1065</f>
        <v/>
      </c>
      <c r="AN1065" s="56">
        <f>IF(AK1065&gt;0,I1065/AK1065,-1)</f>
        <v/>
      </c>
      <c r="AO1065" s="56">
        <f>IF(AND(OR(BR1065="L1",BR1065="L23"),AK1065&gt;0),SUMIFS($AK$7:$AK$1570,$BR$7:$BR$1570,BR1065,$AN$7:$AN$1570,"&gt;"&amp;AN1065)+SUMIFS($AK$7:$AK$1570,$BR$7:$BR$1570,BR1065,$AN$7:$AN$1570,AN1065,$BL$7:$BL$1570,"&lt;="&amp;BL1065),"")</f>
        <v/>
      </c>
      <c r="AP1065" s="65">
        <f>IF(AO1065="",0,MAX(0,MIN(1,(IF(BR1065="L1",Parameter!$K$5,Parameter!$K$6+Parameter!$K$7)-(AO1065-AK1065))/AK1065)))</f>
        <v/>
      </c>
      <c r="AQ1065" s="55">
        <f>IF(LEFT(Cockpit!$O$5,1)="A",G1065,IF(BT1065=1,BU1065,IF(LEFT(Cockpit!$O$5,1)="B",AU1065,MAX(AU1065,G1065))))</f>
        <v/>
      </c>
      <c r="AR1065" s="55">
        <f>IF(BO1065=1,0,ROUNDUP(AQ1065/BN1065,0))</f>
        <v/>
      </c>
      <c r="AS1065" s="64">
        <f>IF(BO1065=1,IF(AQ1065&lt;=0,0,BP1065*MAX(1,IF(G1065&gt;0,AQ1065/G1065,1))),AR1065*Q1065)</f>
        <v/>
      </c>
      <c r="AT1065" s="55">
        <f>AQ1065*F1065</f>
        <v/>
      </c>
      <c r="AU1065" s="55">
        <f>ROUNDUP(MAX(I1065/IF(BS1065&gt;0,BS1065,MAX(0.1,N(Cockpit!$O$6))),BV1065)/BN1065,0)*BN1065</f>
        <v/>
      </c>
      <c r="AV1065" s="56">
        <f>IF(AS1065&gt;0,I1065/AS1065,-1)</f>
        <v/>
      </c>
      <c r="AW1065" s="56">
        <f>IF(AND(OR(BR1065="L1",BR1065="L23"),AS1065&gt;0),SUMIFS($AS$7:$AS$1570,$BR$7:$BR$1570,BR1065,$AV$7:$AV$1570,"&gt;"&amp;AV1065)+SUMIFS($AS$7:$AS$1570,$BR$7:$BR$1570,BR1065,$AV$7:$AV$1570,AV1065,$BL$7:$BL$1570,"&lt;="&amp;BL1065),"")</f>
        <v/>
      </c>
      <c r="AX1065" s="65">
        <f>IF(AW1065="",0,MAX(0,MIN(1,(IF(BR1065="L1",Parameter!$K$5,Parameter!$K$6+Parameter!$K$7)-(AW1065-AS1065))/AS1065)))</f>
        <v/>
      </c>
      <c r="AY1065" s="53">
        <f>IF(AC1065&lt;=0,"",IF(BR1065="Aussen","Aussenlager",IF(BR1065="-","Nicht im Lift",IF(AH1065&gt;=1,"Lift",IF(AH1065&lt;=0,"Aussenlager","teilweise")))))</f>
        <v/>
      </c>
      <c r="AZ1065" s="53">
        <f>IF(AK1065&lt;=0,"",IF(BR1065="Aussen","Aussenlager",IF(BR1065="-","Nicht im Lift",IF(AP1065&gt;=1,"Lift",IF(AP1065&lt;=0,"Aussenlager","teilweise")))))</f>
        <v/>
      </c>
      <c r="BA1065" s="53">
        <f>IF(AS1065&lt;=0,"",IF(BR1065="Aussen","Aussenlager",IF(BR1065="-","Nicht im Lift",IF(AX1065&gt;=1,"Lift",IF(AX1065&lt;=0,"Aussenlager","teilweise")))))</f>
        <v/>
      </c>
      <c r="BB1065" s="53">
        <f>IF(A1065="","",IF(BK1065=1,"Neu; ","")&amp;IF(AND(BK1065=0,BF1065&lt;0),"negativer Bestand (Export "&amp;BF1065&amp;"); ","")&amp;IF(I1065&lt;=0,"Kein Verbrauch; ","")&amp;IF(BO1065=1,"Lose – Fläche geschätzt; ","")&amp;IF(G1065&gt;AM1065,"Überbestand "&amp;ROUND(G1065-AM1065,0)&amp;" Stk / CHF "&amp;ROUND((G1065-AM1065)*F1065,0)&amp;"; ","")&amp;IF(AND(BT1065=1,BU1065&lt;BV1065),"MAX &lt; MB+LG; ","")&amp;IF(AND(BZ1065&gt;0,BY1065*10&gt;BZ1065),"zu hoch für Tablar; ","")&amp;IF(AND(BK1065=0,OR(BT1065=1,V1065&lt;&gt;"",S1065&lt;&gt;"",T1065&lt;&gt;"",W1065&lt;&gt;"")),"manuell übersteuert; ","")&amp;IF(AND(BO1065=0,Q1065=0),"Gebinde unbekannt; ","")&amp;IF(AND(BO1065=0,N(T1065)&lt;=0,N(P1065)&lt;=0),"Menge pro Gebinde fehlt (Ist = 1 Gebinde); ","")&amp;BJ1065)</f>
        <v/>
      </c>
      <c r="BC1065" s="53" t="n"/>
      <c r="BD1065" s="53" t="n"/>
      <c r="BE1065" s="61" t="n"/>
      <c r="BF1065" s="55" t="n">
        <v>-44</v>
      </c>
      <c r="BG1065" s="55" t="n">
        <v>50</v>
      </c>
      <c r="BH1065" s="54" t="n">
        <v>-162.36</v>
      </c>
      <c r="BI1065" s="55" t="n">
        <v>25</v>
      </c>
      <c r="BJ1065" s="53" t="inlineStr">
        <is>
          <t>Neu</t>
        </is>
      </c>
      <c r="BK1065" s="58" t="n">
        <v>0</v>
      </c>
      <c r="BL1065" s="58" t="n">
        <v>1065</v>
      </c>
      <c r="BM1065" s="53">
        <f>IF(S1065&lt;&gt;"",UPPER(TRIM(S1065)),IF(O1065="","LOSE",O1065))</f>
        <v/>
      </c>
      <c r="BN1065" s="55">
        <f>IF(BM1065="LOSE",1,IF(N(T1065)&gt;0,T1065,IF(N(P1065)&gt;0,P1065,MAX(1,G1065))))</f>
        <v/>
      </c>
      <c r="BO1065" s="58">
        <f>IF(BM1065="LOSE",1,0)</f>
        <v/>
      </c>
      <c r="BP1065" s="64">
        <f>IF(BO1065=0,0,IF(N(R1065)&gt;0,R1065,IFERROR(VLOOKUP(D1065,Parameter!$A$35:$C$64,3,0)+0,0)))</f>
        <v/>
      </c>
      <c r="BQ1065" s="53">
        <f>IF(V1065&lt;&gt;"",V1065,U1065)</f>
        <v/>
      </c>
      <c r="BR1065" s="53">
        <f>IF(BQ1065=1,"L1",IF(OR(BQ1065=2,BQ1065=3),"L23",IF(BQ1065="Aussen","Aussen","-")))</f>
        <v/>
      </c>
      <c r="BS1065" s="66">
        <f>IF(N(W1065)&gt;0,W1065,0)</f>
        <v/>
      </c>
      <c r="BT1065" s="58">
        <f>IF(ISNUMBER(Z1065),1,0)</f>
        <v/>
      </c>
      <c r="BU1065" s="55">
        <f>N(Z1065)</f>
        <v/>
      </c>
      <c r="BV1065" s="55">
        <f>N(L1065)+N(M1065)</f>
        <v/>
      </c>
      <c r="BW1065" s="55">
        <f>ROUNDUP(G1065/BN1065,0)</f>
        <v/>
      </c>
      <c r="BX1065" s="55">
        <f>ROUNDUP(BU1065/BN1065,0)</f>
        <v/>
      </c>
      <c r="BY1065" s="58">
        <f>IF(BO1065=1,0,IFERROR(VLOOKUP(BM1065,'Gebinde-Kategorie'!$A$5:$G$45,5,0)+0,0))</f>
        <v/>
      </c>
      <c r="BZ1065" s="58">
        <f>IFERROR(IF(OR(BQ1065=1,BQ1065=2,BQ1065=3),N(INDEX(Parameter!$I$5:$I$7,BQ1065)),0),0)</f>
        <v/>
      </c>
    </row>
    <row r="1066">
      <c r="A1066" s="53" t="inlineStr">
        <is>
          <t>109530</t>
        </is>
      </c>
      <c r="B1066" s="53" t="inlineStr">
        <is>
          <t>Rohr komplett</t>
        </is>
      </c>
      <c r="C1066" s="53" t="inlineStr">
        <is>
          <t>G</t>
        </is>
      </c>
      <c r="D1066" s="53" t="inlineStr">
        <is>
          <t>KTL</t>
        </is>
      </c>
      <c r="E1066" s="53" t="inlineStr">
        <is>
          <t>C</t>
        </is>
      </c>
      <c r="F1066" s="54" t="n">
        <v>20.45</v>
      </c>
      <c r="G1066" s="55">
        <f>MAX(0,IF(Parameter!$B$20="Jahresanfang 2025 + Export",BG1066+BF1066,BF1066))</f>
        <v/>
      </c>
      <c r="H1066" s="55">
        <f>G1066*F1066</f>
        <v/>
      </c>
      <c r="I1066" s="55">
        <f>BI1066*Parameter!$B$18</f>
        <v/>
      </c>
      <c r="J1066" s="56" t="n">
        <v>8</v>
      </c>
      <c r="K1066" s="57" t="n">
        <v>1</v>
      </c>
      <c r="L1066" s="55" t="n">
        <v>0</v>
      </c>
      <c r="M1066" s="55" t="n">
        <v>10</v>
      </c>
      <c r="N1066" s="58" t="n">
        <v>21</v>
      </c>
      <c r="O1066" s="53" t="inlineStr">
        <is>
          <t>LOSE</t>
        </is>
      </c>
      <c r="P1066" s="55" t="n"/>
      <c r="Q1066" s="59">
        <f>IF(BO1066=1,0,IFERROR(VLOOKUP(BM1066,'Gebinde-Kategorie'!$A$5:$G$45,6,0)+0,0))</f>
        <v/>
      </c>
      <c r="R1066" s="60" t="n"/>
      <c r="S1066" s="61" t="n"/>
      <c r="T1066" s="61" t="n"/>
      <c r="U1066" s="53">
        <f>IF(A1066="","",IF(IFERROR(VLOOKUP(D1066,Parameter!$A$35:$C$64,2,0),"Nein")="2+3",IF(ISNUMBER(SEARCH("grosser Artikel",BJ1066)),2,IFERROR(VLOOKUP(BM1066,Parameter!$F$35:$G$64,2,0),2)),IF(OR(IFERROR(VLOOKUP(D1066,Parameter!$A$35:$C$64,2,0),"Nein")="Nein",IFERROR(VLOOKUP(D1066,Parameter!$A$35:$C$64,2,0),"Nein")=""),"-",VLOOKUP(D1066,Parameter!$A$35:$C$64,2,0))))</f>
        <v/>
      </c>
      <c r="V1066" s="61" t="n"/>
      <c r="W1066" s="62" t="n"/>
      <c r="X1066" s="55">
        <f>AM1066</f>
        <v/>
      </c>
      <c r="Y1066" s="55">
        <f>MAX(AM1066,G1066)</f>
        <v/>
      </c>
      <c r="Z1066" s="63" t="n"/>
      <c r="AA1066" s="55">
        <f>IF(LEFT(Cockpit!$C$5,1)="A",G1066,IF(BT1066=1,BU1066,IF(LEFT(Cockpit!$C$5,1)="B",AE1066,MAX(AE1066,G1066))))</f>
        <v/>
      </c>
      <c r="AB1066" s="55">
        <f>IF(BO1066=1,0,ROUNDUP(AA1066/BN1066,0))</f>
        <v/>
      </c>
      <c r="AC1066" s="64">
        <f>IF(BO1066=1,IF(AA1066&lt;=0,0,BP1066*MAX(1,IF(G1066&gt;0,AA1066/G1066,1))),AB1066*Q1066)</f>
        <v/>
      </c>
      <c r="AD1066" s="55">
        <f>AA1066*F1066</f>
        <v/>
      </c>
      <c r="AE1066" s="55">
        <f>ROUNDUP(MAX(I1066/IF(BS1066&gt;0,BS1066,MAX(0.1,N(Cockpit!$C$6))),BV1066)/BN1066,0)*BN1066</f>
        <v/>
      </c>
      <c r="AF1066" s="56">
        <f>IF(AC1066&gt;0,I1066/AC1066,-1)</f>
        <v/>
      </c>
      <c r="AG1066" s="56">
        <f>IF(AND(OR(BR1066="L1",BR1066="L23"),AC1066&gt;0),SUMIFS($AC$7:$AC$1570,$BR$7:$BR$1570,BR1066,$AF$7:$AF$1570,"&gt;"&amp;AF1066)+SUMIFS($AC$7:$AC$1570,$BR$7:$BR$1570,BR1066,$AF$7:$AF$1570,AF1066,$BL$7:$BL$1570,"&lt;="&amp;BL1066),"")</f>
        <v/>
      </c>
      <c r="AH1066" s="65">
        <f>IF(AG1066="",0,MAX(0,MIN(1,(IF(BR1066="L1",Parameter!$K$5,Parameter!$K$6+Parameter!$K$7)-(AG1066-AC1066))/AC1066)))</f>
        <v/>
      </c>
      <c r="AI1066" s="55">
        <f>IF(LEFT(Cockpit!$I$5,1)="A",G1066,IF(BT1066=1,BU1066,IF(LEFT(Cockpit!$I$5,1)="B",AM1066,MAX(AM1066,G1066))))</f>
        <v/>
      </c>
      <c r="AJ1066" s="55">
        <f>IF(BO1066=1,0,ROUNDUP(AI1066/BN1066,0))</f>
        <v/>
      </c>
      <c r="AK1066" s="64">
        <f>IF(BO1066=1,IF(AI1066&lt;=0,0,BP1066*MAX(1,IF(G1066&gt;0,AI1066/G1066,1))),AJ1066*Q1066)</f>
        <v/>
      </c>
      <c r="AL1066" s="55">
        <f>AI1066*F1066</f>
        <v/>
      </c>
      <c r="AM1066" s="55">
        <f>ROUNDUP(MAX(I1066/IF(BS1066&gt;0,BS1066,MAX(0.1,N(Cockpit!$I$6))),BV1066)/BN1066,0)*BN1066</f>
        <v/>
      </c>
      <c r="AN1066" s="56">
        <f>IF(AK1066&gt;0,I1066/AK1066,-1)</f>
        <v/>
      </c>
      <c r="AO1066" s="56">
        <f>IF(AND(OR(BR1066="L1",BR1066="L23"),AK1066&gt;0),SUMIFS($AK$7:$AK$1570,$BR$7:$BR$1570,BR1066,$AN$7:$AN$1570,"&gt;"&amp;AN1066)+SUMIFS($AK$7:$AK$1570,$BR$7:$BR$1570,BR1066,$AN$7:$AN$1570,AN1066,$BL$7:$BL$1570,"&lt;="&amp;BL1066),"")</f>
        <v/>
      </c>
      <c r="AP1066" s="65">
        <f>IF(AO1066="",0,MAX(0,MIN(1,(IF(BR1066="L1",Parameter!$K$5,Parameter!$K$6+Parameter!$K$7)-(AO1066-AK1066))/AK1066)))</f>
        <v/>
      </c>
      <c r="AQ1066" s="55">
        <f>IF(LEFT(Cockpit!$O$5,1)="A",G1066,IF(BT1066=1,BU1066,IF(LEFT(Cockpit!$O$5,1)="B",AU1066,MAX(AU1066,G1066))))</f>
        <v/>
      </c>
      <c r="AR1066" s="55">
        <f>IF(BO1066=1,0,ROUNDUP(AQ1066/BN1066,0))</f>
        <v/>
      </c>
      <c r="AS1066" s="64">
        <f>IF(BO1066=1,IF(AQ1066&lt;=0,0,BP1066*MAX(1,IF(G1066&gt;0,AQ1066/G1066,1))),AR1066*Q1066)</f>
        <v/>
      </c>
      <c r="AT1066" s="55">
        <f>AQ1066*F1066</f>
        <v/>
      </c>
      <c r="AU1066" s="55">
        <f>ROUNDUP(MAX(I1066/IF(BS1066&gt;0,BS1066,MAX(0.1,N(Cockpit!$O$6))),BV1066)/BN1066,0)*BN1066</f>
        <v/>
      </c>
      <c r="AV1066" s="56">
        <f>IF(AS1066&gt;0,I1066/AS1066,-1)</f>
        <v/>
      </c>
      <c r="AW1066" s="56">
        <f>IF(AND(OR(BR1066="L1",BR1066="L23"),AS1066&gt;0),SUMIFS($AS$7:$AS$1570,$BR$7:$BR$1570,BR1066,$AV$7:$AV$1570,"&gt;"&amp;AV1066)+SUMIFS($AS$7:$AS$1570,$BR$7:$BR$1570,BR1066,$AV$7:$AV$1570,AV1066,$BL$7:$BL$1570,"&lt;="&amp;BL1066),"")</f>
        <v/>
      </c>
      <c r="AX1066" s="65">
        <f>IF(AW1066="",0,MAX(0,MIN(1,(IF(BR1066="L1",Parameter!$K$5,Parameter!$K$6+Parameter!$K$7)-(AW1066-AS1066))/AS1066)))</f>
        <v/>
      </c>
      <c r="AY1066" s="53">
        <f>IF(AC1066&lt;=0,"",IF(BR1066="Aussen","Aussenlager",IF(BR1066="-","Nicht im Lift",IF(AH1066&gt;=1,"Lift",IF(AH1066&lt;=0,"Aussenlager","teilweise")))))</f>
        <v/>
      </c>
      <c r="AZ1066" s="53">
        <f>IF(AK1066&lt;=0,"",IF(BR1066="Aussen","Aussenlager",IF(BR1066="-","Nicht im Lift",IF(AP1066&gt;=1,"Lift",IF(AP1066&lt;=0,"Aussenlager","teilweise")))))</f>
        <v/>
      </c>
      <c r="BA1066" s="53">
        <f>IF(AS1066&lt;=0,"",IF(BR1066="Aussen","Aussenlager",IF(BR1066="-","Nicht im Lift",IF(AX1066&gt;=1,"Lift",IF(AX1066&lt;=0,"Aussenlager","teilweise")))))</f>
        <v/>
      </c>
      <c r="BB1066" s="53">
        <f>IF(A1066="","",IF(BK1066=1,"Neu; ","")&amp;IF(AND(BK1066=0,BF1066&lt;0),"negativer Bestand (Export "&amp;BF1066&amp;"); ","")&amp;IF(I1066&lt;=0,"Kein Verbrauch; ","")&amp;IF(BO1066=1,"Lose – Fläche geschätzt; ","")&amp;IF(G1066&gt;AM1066,"Überbestand "&amp;ROUND(G1066-AM1066,0)&amp;" Stk / CHF "&amp;ROUND((G1066-AM1066)*F1066,0)&amp;"; ","")&amp;IF(AND(BT1066=1,BU1066&lt;BV1066),"MAX &lt; MB+LG; ","")&amp;IF(AND(BZ1066&gt;0,BY1066*10&gt;BZ1066),"zu hoch für Tablar; ","")&amp;IF(AND(BK1066=0,OR(BT1066=1,V1066&lt;&gt;"",S1066&lt;&gt;"",T1066&lt;&gt;"",W1066&lt;&gt;"")),"manuell übersteuert; ","")&amp;IF(AND(BO1066=0,Q1066=0),"Gebinde unbekannt; ","")&amp;IF(AND(BO1066=0,N(T1066)&lt;=0,N(P1066)&lt;=0),"Menge pro Gebinde fehlt (Ist = 1 Gebinde); ","")&amp;BJ1066)</f>
        <v/>
      </c>
      <c r="BC1066" s="53" t="n"/>
      <c r="BD1066" s="53" t="n"/>
      <c r="BE1066" s="61" t="n"/>
      <c r="BF1066" s="55" t="n">
        <v>-8</v>
      </c>
      <c r="BG1066" s="55" t="n">
        <v>16</v>
      </c>
      <c r="BH1066" s="54" t="n">
        <v>-163.6</v>
      </c>
      <c r="BI1066" s="55" t="n">
        <v>8</v>
      </c>
      <c r="BJ1066" s="53" t="inlineStr"/>
      <c r="BK1066" s="58" t="n">
        <v>0</v>
      </c>
      <c r="BL1066" s="58" t="n">
        <v>1066</v>
      </c>
      <c r="BM1066" s="53">
        <f>IF(S1066&lt;&gt;"",UPPER(TRIM(S1066)),IF(O1066="","LOSE",O1066))</f>
        <v/>
      </c>
      <c r="BN1066" s="55">
        <f>IF(BM1066="LOSE",1,IF(N(T1066)&gt;0,T1066,IF(N(P1066)&gt;0,P1066,MAX(1,G1066))))</f>
        <v/>
      </c>
      <c r="BO1066" s="58">
        <f>IF(BM1066="LOSE",1,0)</f>
        <v/>
      </c>
      <c r="BP1066" s="64">
        <f>IF(BO1066=0,0,IF(N(R1066)&gt;0,R1066,IFERROR(VLOOKUP(D1066,Parameter!$A$35:$C$64,3,0)+0,0)))</f>
        <v/>
      </c>
      <c r="BQ1066" s="53">
        <f>IF(V1066&lt;&gt;"",V1066,U1066)</f>
        <v/>
      </c>
      <c r="BR1066" s="53">
        <f>IF(BQ1066=1,"L1",IF(OR(BQ1066=2,BQ1066=3),"L23",IF(BQ1066="Aussen","Aussen","-")))</f>
        <v/>
      </c>
      <c r="BS1066" s="66">
        <f>IF(N(W1066)&gt;0,W1066,0)</f>
        <v/>
      </c>
      <c r="BT1066" s="58">
        <f>IF(ISNUMBER(Z1066),1,0)</f>
        <v/>
      </c>
      <c r="BU1066" s="55">
        <f>N(Z1066)</f>
        <v/>
      </c>
      <c r="BV1066" s="55">
        <f>N(L1066)+N(M1066)</f>
        <v/>
      </c>
      <c r="BW1066" s="55">
        <f>ROUNDUP(G1066/BN1066,0)</f>
        <v/>
      </c>
      <c r="BX1066" s="55">
        <f>ROUNDUP(BU1066/BN1066,0)</f>
        <v/>
      </c>
      <c r="BY1066" s="58">
        <f>IF(BO1066=1,0,IFERROR(VLOOKUP(BM1066,'Gebinde-Kategorie'!$A$5:$G$45,5,0)+0,0))</f>
        <v/>
      </c>
      <c r="BZ1066" s="58">
        <f>IFERROR(IF(OR(BQ1066=1,BQ1066=2,BQ1066=3),N(INDEX(Parameter!$I$5:$I$7,BQ1066)),0),0)</f>
        <v/>
      </c>
    </row>
    <row r="1067">
      <c r="A1067" s="53" t="inlineStr">
        <is>
          <t>107014</t>
        </is>
      </c>
      <c r="B1067" s="53" t="inlineStr">
        <is>
          <t>Feinfiltermatte</t>
        </is>
      </c>
      <c r="C1067" s="53" t="inlineStr">
        <is>
          <t>G</t>
        </is>
      </c>
      <c r="D1067" s="53" t="inlineStr">
        <is>
          <t>KTL</t>
        </is>
      </c>
      <c r="E1067" s="53" t="inlineStr">
        <is>
          <t>C</t>
        </is>
      </c>
      <c r="F1067" s="54" t="n">
        <v>4.12</v>
      </c>
      <c r="G1067" s="55">
        <f>MAX(0,IF(Parameter!$B$20="Jahresanfang 2025 + Export",BG1067+BF1067,BF1067))</f>
        <v/>
      </c>
      <c r="H1067" s="55">
        <f>G1067*F1067</f>
        <v/>
      </c>
      <c r="I1067" s="55">
        <f>BI1067*Parameter!$B$18</f>
        <v/>
      </c>
      <c r="J1067" s="56" t="n">
        <v>40</v>
      </c>
      <c r="K1067" s="57" t="n">
        <v>0</v>
      </c>
      <c r="L1067" s="55" t="n">
        <v>0</v>
      </c>
      <c r="M1067" s="55" t="n">
        <v>1</v>
      </c>
      <c r="N1067" s="58" t="n">
        <v>42</v>
      </c>
      <c r="O1067" s="53" t="inlineStr">
        <is>
          <t>LOSE</t>
        </is>
      </c>
      <c r="P1067" s="55" t="n"/>
      <c r="Q1067" s="59">
        <f>IF(BO1067=1,0,IFERROR(VLOOKUP(BM1067,'Gebinde-Kategorie'!$A$5:$G$45,6,0)+0,0))</f>
        <v/>
      </c>
      <c r="R1067" s="60" t="n"/>
      <c r="S1067" s="61" t="n"/>
      <c r="T1067" s="61" t="n"/>
      <c r="U1067" s="53">
        <f>IF(A1067="","",IF(IFERROR(VLOOKUP(D1067,Parameter!$A$35:$C$64,2,0),"Nein")="2+3",IF(ISNUMBER(SEARCH("grosser Artikel",BJ1067)),2,IFERROR(VLOOKUP(BM1067,Parameter!$F$35:$G$64,2,0),2)),IF(OR(IFERROR(VLOOKUP(D1067,Parameter!$A$35:$C$64,2,0),"Nein")="Nein",IFERROR(VLOOKUP(D1067,Parameter!$A$35:$C$64,2,0),"Nein")=""),"-",VLOOKUP(D1067,Parameter!$A$35:$C$64,2,0))))</f>
        <v/>
      </c>
      <c r="V1067" s="61" t="n"/>
      <c r="W1067" s="62" t="n"/>
      <c r="X1067" s="55">
        <f>AM1067</f>
        <v/>
      </c>
      <c r="Y1067" s="55">
        <f>MAX(AM1067,G1067)</f>
        <v/>
      </c>
      <c r="Z1067" s="63" t="n"/>
      <c r="AA1067" s="55">
        <f>IF(LEFT(Cockpit!$C$5,1)="A",G1067,IF(BT1067=1,BU1067,IF(LEFT(Cockpit!$C$5,1)="B",AE1067,MAX(AE1067,G1067))))</f>
        <v/>
      </c>
      <c r="AB1067" s="55">
        <f>IF(BO1067=1,0,ROUNDUP(AA1067/BN1067,0))</f>
        <v/>
      </c>
      <c r="AC1067" s="64">
        <f>IF(BO1067=1,IF(AA1067&lt;=0,0,BP1067*MAX(1,IF(G1067&gt;0,AA1067/G1067,1))),AB1067*Q1067)</f>
        <v/>
      </c>
      <c r="AD1067" s="55">
        <f>AA1067*F1067</f>
        <v/>
      </c>
      <c r="AE1067" s="55">
        <f>ROUNDUP(MAX(I1067/IF(BS1067&gt;0,BS1067,MAX(0.1,N(Cockpit!$C$6))),BV1067)/BN1067,0)*BN1067</f>
        <v/>
      </c>
      <c r="AF1067" s="56">
        <f>IF(AC1067&gt;0,I1067/AC1067,-1)</f>
        <v/>
      </c>
      <c r="AG1067" s="56">
        <f>IF(AND(OR(BR1067="L1",BR1067="L23"),AC1067&gt;0),SUMIFS($AC$7:$AC$1570,$BR$7:$BR$1570,BR1067,$AF$7:$AF$1570,"&gt;"&amp;AF1067)+SUMIFS($AC$7:$AC$1570,$BR$7:$BR$1570,BR1067,$AF$7:$AF$1570,AF1067,$BL$7:$BL$1570,"&lt;="&amp;BL1067),"")</f>
        <v/>
      </c>
      <c r="AH1067" s="65">
        <f>IF(AG1067="",0,MAX(0,MIN(1,(IF(BR1067="L1",Parameter!$K$5,Parameter!$K$6+Parameter!$K$7)-(AG1067-AC1067))/AC1067)))</f>
        <v/>
      </c>
      <c r="AI1067" s="55">
        <f>IF(LEFT(Cockpit!$I$5,1)="A",G1067,IF(BT1067=1,BU1067,IF(LEFT(Cockpit!$I$5,1)="B",AM1067,MAX(AM1067,G1067))))</f>
        <v/>
      </c>
      <c r="AJ1067" s="55">
        <f>IF(BO1067=1,0,ROUNDUP(AI1067/BN1067,0))</f>
        <v/>
      </c>
      <c r="AK1067" s="64">
        <f>IF(BO1067=1,IF(AI1067&lt;=0,0,BP1067*MAX(1,IF(G1067&gt;0,AI1067/G1067,1))),AJ1067*Q1067)</f>
        <v/>
      </c>
      <c r="AL1067" s="55">
        <f>AI1067*F1067</f>
        <v/>
      </c>
      <c r="AM1067" s="55">
        <f>ROUNDUP(MAX(I1067/IF(BS1067&gt;0,BS1067,MAX(0.1,N(Cockpit!$I$6))),BV1067)/BN1067,0)*BN1067</f>
        <v/>
      </c>
      <c r="AN1067" s="56">
        <f>IF(AK1067&gt;0,I1067/AK1067,-1)</f>
        <v/>
      </c>
      <c r="AO1067" s="56">
        <f>IF(AND(OR(BR1067="L1",BR1067="L23"),AK1067&gt;0),SUMIFS($AK$7:$AK$1570,$BR$7:$BR$1570,BR1067,$AN$7:$AN$1570,"&gt;"&amp;AN1067)+SUMIFS($AK$7:$AK$1570,$BR$7:$BR$1570,BR1067,$AN$7:$AN$1570,AN1067,$BL$7:$BL$1570,"&lt;="&amp;BL1067),"")</f>
        <v/>
      </c>
      <c r="AP1067" s="65">
        <f>IF(AO1067="",0,MAX(0,MIN(1,(IF(BR1067="L1",Parameter!$K$5,Parameter!$K$6+Parameter!$K$7)-(AO1067-AK1067))/AK1067)))</f>
        <v/>
      </c>
      <c r="AQ1067" s="55">
        <f>IF(LEFT(Cockpit!$O$5,1)="A",G1067,IF(BT1067=1,BU1067,IF(LEFT(Cockpit!$O$5,1)="B",AU1067,MAX(AU1067,G1067))))</f>
        <v/>
      </c>
      <c r="AR1067" s="55">
        <f>IF(BO1067=1,0,ROUNDUP(AQ1067/BN1067,0))</f>
        <v/>
      </c>
      <c r="AS1067" s="64">
        <f>IF(BO1067=1,IF(AQ1067&lt;=0,0,BP1067*MAX(1,IF(G1067&gt;0,AQ1067/G1067,1))),AR1067*Q1067)</f>
        <v/>
      </c>
      <c r="AT1067" s="55">
        <f>AQ1067*F1067</f>
        <v/>
      </c>
      <c r="AU1067" s="55">
        <f>ROUNDUP(MAX(I1067/IF(BS1067&gt;0,BS1067,MAX(0.1,N(Cockpit!$O$6))),BV1067)/BN1067,0)*BN1067</f>
        <v/>
      </c>
      <c r="AV1067" s="56">
        <f>IF(AS1067&gt;0,I1067/AS1067,-1)</f>
        <v/>
      </c>
      <c r="AW1067" s="56">
        <f>IF(AND(OR(BR1067="L1",BR1067="L23"),AS1067&gt;0),SUMIFS($AS$7:$AS$1570,$BR$7:$BR$1570,BR1067,$AV$7:$AV$1570,"&gt;"&amp;AV1067)+SUMIFS($AS$7:$AS$1570,$BR$7:$BR$1570,BR1067,$AV$7:$AV$1570,AV1067,$BL$7:$BL$1570,"&lt;="&amp;BL1067),"")</f>
        <v/>
      </c>
      <c r="AX1067" s="65">
        <f>IF(AW1067="",0,MAX(0,MIN(1,(IF(BR1067="L1",Parameter!$K$5,Parameter!$K$6+Parameter!$K$7)-(AW1067-AS1067))/AS1067)))</f>
        <v/>
      </c>
      <c r="AY1067" s="53">
        <f>IF(AC1067&lt;=0,"",IF(BR1067="Aussen","Aussenlager",IF(BR1067="-","Nicht im Lift",IF(AH1067&gt;=1,"Lift",IF(AH1067&lt;=0,"Aussenlager","teilweise")))))</f>
        <v/>
      </c>
      <c r="AZ1067" s="53">
        <f>IF(AK1067&lt;=0,"",IF(BR1067="Aussen","Aussenlager",IF(BR1067="-","Nicht im Lift",IF(AP1067&gt;=1,"Lift",IF(AP1067&lt;=0,"Aussenlager","teilweise")))))</f>
        <v/>
      </c>
      <c r="BA1067" s="53">
        <f>IF(AS1067&lt;=0,"",IF(BR1067="Aussen","Aussenlager",IF(BR1067="-","Nicht im Lift",IF(AX1067&gt;=1,"Lift",IF(AX1067&lt;=0,"Aussenlager","teilweise")))))</f>
        <v/>
      </c>
      <c r="BB1067" s="53">
        <f>IF(A1067="","",IF(BK1067=1,"Neu; ","")&amp;IF(AND(BK1067=0,BF1067&lt;0),"negativer Bestand (Export "&amp;BF1067&amp;"); ","")&amp;IF(I1067&lt;=0,"Kein Verbrauch; ","")&amp;IF(BO1067=1,"Lose – Fläche geschätzt; ","")&amp;IF(G1067&gt;AM1067,"Überbestand "&amp;ROUND(G1067-AM1067,0)&amp;" Stk / CHF "&amp;ROUND((G1067-AM1067)*F1067,0)&amp;"; ","")&amp;IF(AND(BT1067=1,BU1067&lt;BV1067),"MAX &lt; MB+LG; ","")&amp;IF(AND(BZ1067&gt;0,BY1067*10&gt;BZ1067),"zu hoch für Tablar; ","")&amp;IF(AND(BK1067=0,OR(BT1067=1,V1067&lt;&gt;"",S1067&lt;&gt;"",T1067&lt;&gt;"",W1067&lt;&gt;"")),"manuell übersteuert; ","")&amp;IF(AND(BO1067=0,Q1067=0),"Gebinde unbekannt; ","")&amp;IF(AND(BO1067=0,N(T1067)&lt;=0,N(P1067)&lt;=0),"Menge pro Gebinde fehlt (Ist = 1 Gebinde); ","")&amp;BJ1067)</f>
        <v/>
      </c>
      <c r="BC1067" s="53" t="n"/>
      <c r="BD1067" s="53" t="n"/>
      <c r="BE1067" s="61" t="n"/>
      <c r="BF1067" s="55" t="n">
        <v>-40</v>
      </c>
      <c r="BG1067" s="55" t="n">
        <v>40</v>
      </c>
      <c r="BH1067" s="54" t="n">
        <v>-164.8</v>
      </c>
      <c r="BI1067" s="55" t="n">
        <v>0</v>
      </c>
      <c r="BJ1067" s="53" t="inlineStr"/>
      <c r="BK1067" s="58" t="n">
        <v>0</v>
      </c>
      <c r="BL1067" s="58" t="n">
        <v>1067</v>
      </c>
      <c r="BM1067" s="53">
        <f>IF(S1067&lt;&gt;"",UPPER(TRIM(S1067)),IF(O1067="","LOSE",O1067))</f>
        <v/>
      </c>
      <c r="BN1067" s="55">
        <f>IF(BM1067="LOSE",1,IF(N(T1067)&gt;0,T1067,IF(N(P1067)&gt;0,P1067,MAX(1,G1067))))</f>
        <v/>
      </c>
      <c r="BO1067" s="58">
        <f>IF(BM1067="LOSE",1,0)</f>
        <v/>
      </c>
      <c r="BP1067" s="64">
        <f>IF(BO1067=0,0,IF(N(R1067)&gt;0,R1067,IFERROR(VLOOKUP(D1067,Parameter!$A$35:$C$64,3,0)+0,0)))</f>
        <v/>
      </c>
      <c r="BQ1067" s="53">
        <f>IF(V1067&lt;&gt;"",V1067,U1067)</f>
        <v/>
      </c>
      <c r="BR1067" s="53">
        <f>IF(BQ1067=1,"L1",IF(OR(BQ1067=2,BQ1067=3),"L23",IF(BQ1067="Aussen","Aussen","-")))</f>
        <v/>
      </c>
      <c r="BS1067" s="66">
        <f>IF(N(W1067)&gt;0,W1067,0)</f>
        <v/>
      </c>
      <c r="BT1067" s="58">
        <f>IF(ISNUMBER(Z1067),1,0)</f>
        <v/>
      </c>
      <c r="BU1067" s="55">
        <f>N(Z1067)</f>
        <v/>
      </c>
      <c r="BV1067" s="55">
        <f>N(L1067)+N(M1067)</f>
        <v/>
      </c>
      <c r="BW1067" s="55">
        <f>ROUNDUP(G1067/BN1067,0)</f>
        <v/>
      </c>
      <c r="BX1067" s="55">
        <f>ROUNDUP(BU1067/BN1067,0)</f>
        <v/>
      </c>
      <c r="BY1067" s="58">
        <f>IF(BO1067=1,0,IFERROR(VLOOKUP(BM1067,'Gebinde-Kategorie'!$A$5:$G$45,5,0)+0,0))</f>
        <v/>
      </c>
      <c r="BZ1067" s="58">
        <f>IFERROR(IF(OR(BQ1067=1,BQ1067=2,BQ1067=3),N(INDEX(Parameter!$I$5:$I$7,BQ1067)),0),0)</f>
        <v/>
      </c>
    </row>
    <row r="1068">
      <c r="A1068" s="53" t="inlineStr">
        <is>
          <t>107128</t>
        </is>
      </c>
      <c r="B1068" s="53" t="inlineStr">
        <is>
          <t>Typenschild</t>
        </is>
      </c>
      <c r="C1068" s="53" t="inlineStr">
        <is>
          <t>F</t>
        </is>
      </c>
      <c r="D1068" s="53" t="inlineStr">
        <is>
          <t>KTL</t>
        </is>
      </c>
      <c r="E1068" s="53" t="inlineStr">
        <is>
          <t>C</t>
        </is>
      </c>
      <c r="F1068" s="54" t="n">
        <v>21.16</v>
      </c>
      <c r="G1068" s="55">
        <f>MAX(0,IF(Parameter!$B$20="Jahresanfang 2025 + Export",BG1068+BF1068,BF1068))</f>
        <v/>
      </c>
      <c r="H1068" s="55">
        <f>G1068*F1068</f>
        <v/>
      </c>
      <c r="I1068" s="55">
        <f>BI1068*Parameter!$B$18</f>
        <v/>
      </c>
      <c r="J1068" s="56" t="n">
        <v>9</v>
      </c>
      <c r="K1068" s="57" t="n">
        <v>1.555555555555556</v>
      </c>
      <c r="L1068" s="55" t="n">
        <v>0</v>
      </c>
      <c r="M1068" s="55" t="n">
        <v>15</v>
      </c>
      <c r="N1068" s="58" t="n">
        <v>21</v>
      </c>
      <c r="O1068" s="53" t="inlineStr">
        <is>
          <t>S32</t>
        </is>
      </c>
      <c r="P1068" s="55" t="n">
        <v>24</v>
      </c>
      <c r="Q1068" s="59">
        <f>IF(BO1068=1,0,IFERROR(VLOOKUP(BM1068,'Gebinde-Kategorie'!$A$5:$G$45,6,0)+0,0))</f>
        <v/>
      </c>
      <c r="R1068" s="60" t="n"/>
      <c r="S1068" s="61" t="n"/>
      <c r="T1068" s="61" t="n"/>
      <c r="U1068" s="53">
        <f>IF(A1068="","",IF(IFERROR(VLOOKUP(D1068,Parameter!$A$35:$C$64,2,0),"Nein")="2+3",IF(ISNUMBER(SEARCH("grosser Artikel",BJ1068)),2,IFERROR(VLOOKUP(BM1068,Parameter!$F$35:$G$64,2,0),2)),IF(OR(IFERROR(VLOOKUP(D1068,Parameter!$A$35:$C$64,2,0),"Nein")="Nein",IFERROR(VLOOKUP(D1068,Parameter!$A$35:$C$64,2,0),"Nein")=""),"-",VLOOKUP(D1068,Parameter!$A$35:$C$64,2,0))))</f>
        <v/>
      </c>
      <c r="V1068" s="61" t="n"/>
      <c r="W1068" s="62" t="n"/>
      <c r="X1068" s="55">
        <f>AM1068</f>
        <v/>
      </c>
      <c r="Y1068" s="55">
        <f>MAX(AM1068,G1068)</f>
        <v/>
      </c>
      <c r="Z1068" s="63" t="n"/>
      <c r="AA1068" s="55">
        <f>IF(LEFT(Cockpit!$C$5,1)="A",G1068,IF(BT1068=1,BU1068,IF(LEFT(Cockpit!$C$5,1)="B",AE1068,MAX(AE1068,G1068))))</f>
        <v/>
      </c>
      <c r="AB1068" s="55">
        <f>IF(BO1068=1,0,ROUNDUP(AA1068/BN1068,0))</f>
        <v/>
      </c>
      <c r="AC1068" s="64">
        <f>IF(BO1068=1,IF(AA1068&lt;=0,0,BP1068*MAX(1,IF(G1068&gt;0,AA1068/G1068,1))),AB1068*Q1068)</f>
        <v/>
      </c>
      <c r="AD1068" s="55">
        <f>AA1068*F1068</f>
        <v/>
      </c>
      <c r="AE1068" s="55">
        <f>ROUNDUP(MAX(I1068/IF(BS1068&gt;0,BS1068,MAX(0.1,N(Cockpit!$C$6))),BV1068)/BN1068,0)*BN1068</f>
        <v/>
      </c>
      <c r="AF1068" s="56">
        <f>IF(AC1068&gt;0,I1068/AC1068,-1)</f>
        <v/>
      </c>
      <c r="AG1068" s="56">
        <f>IF(AND(OR(BR1068="L1",BR1068="L23"),AC1068&gt;0),SUMIFS($AC$7:$AC$1570,$BR$7:$BR$1570,BR1068,$AF$7:$AF$1570,"&gt;"&amp;AF1068)+SUMIFS($AC$7:$AC$1570,$BR$7:$BR$1570,BR1068,$AF$7:$AF$1570,AF1068,$BL$7:$BL$1570,"&lt;="&amp;BL1068),"")</f>
        <v/>
      </c>
      <c r="AH1068" s="65">
        <f>IF(AG1068="",0,MAX(0,MIN(1,(IF(BR1068="L1",Parameter!$K$5,Parameter!$K$6+Parameter!$K$7)-(AG1068-AC1068))/AC1068)))</f>
        <v/>
      </c>
      <c r="AI1068" s="55">
        <f>IF(LEFT(Cockpit!$I$5,1)="A",G1068,IF(BT1068=1,BU1068,IF(LEFT(Cockpit!$I$5,1)="B",AM1068,MAX(AM1068,G1068))))</f>
        <v/>
      </c>
      <c r="AJ1068" s="55">
        <f>IF(BO1068=1,0,ROUNDUP(AI1068/BN1068,0))</f>
        <v/>
      </c>
      <c r="AK1068" s="64">
        <f>IF(BO1068=1,IF(AI1068&lt;=0,0,BP1068*MAX(1,IF(G1068&gt;0,AI1068/G1068,1))),AJ1068*Q1068)</f>
        <v/>
      </c>
      <c r="AL1068" s="55">
        <f>AI1068*F1068</f>
        <v/>
      </c>
      <c r="AM1068" s="55">
        <f>ROUNDUP(MAX(I1068/IF(BS1068&gt;0,BS1068,MAX(0.1,N(Cockpit!$I$6))),BV1068)/BN1068,0)*BN1068</f>
        <v/>
      </c>
      <c r="AN1068" s="56">
        <f>IF(AK1068&gt;0,I1068/AK1068,-1)</f>
        <v/>
      </c>
      <c r="AO1068" s="56">
        <f>IF(AND(OR(BR1068="L1",BR1068="L23"),AK1068&gt;0),SUMIFS($AK$7:$AK$1570,$BR$7:$BR$1570,BR1068,$AN$7:$AN$1570,"&gt;"&amp;AN1068)+SUMIFS($AK$7:$AK$1570,$BR$7:$BR$1570,BR1068,$AN$7:$AN$1570,AN1068,$BL$7:$BL$1570,"&lt;="&amp;BL1068),"")</f>
        <v/>
      </c>
      <c r="AP1068" s="65">
        <f>IF(AO1068="",0,MAX(0,MIN(1,(IF(BR1068="L1",Parameter!$K$5,Parameter!$K$6+Parameter!$K$7)-(AO1068-AK1068))/AK1068)))</f>
        <v/>
      </c>
      <c r="AQ1068" s="55">
        <f>IF(LEFT(Cockpit!$O$5,1)="A",G1068,IF(BT1068=1,BU1068,IF(LEFT(Cockpit!$O$5,1)="B",AU1068,MAX(AU1068,G1068))))</f>
        <v/>
      </c>
      <c r="AR1068" s="55">
        <f>IF(BO1068=1,0,ROUNDUP(AQ1068/BN1068,0))</f>
        <v/>
      </c>
      <c r="AS1068" s="64">
        <f>IF(BO1068=1,IF(AQ1068&lt;=0,0,BP1068*MAX(1,IF(G1068&gt;0,AQ1068/G1068,1))),AR1068*Q1068)</f>
        <v/>
      </c>
      <c r="AT1068" s="55">
        <f>AQ1068*F1068</f>
        <v/>
      </c>
      <c r="AU1068" s="55">
        <f>ROUNDUP(MAX(I1068/IF(BS1068&gt;0,BS1068,MAX(0.1,N(Cockpit!$O$6))),BV1068)/BN1068,0)*BN1068</f>
        <v/>
      </c>
      <c r="AV1068" s="56">
        <f>IF(AS1068&gt;0,I1068/AS1068,-1)</f>
        <v/>
      </c>
      <c r="AW1068" s="56">
        <f>IF(AND(OR(BR1068="L1",BR1068="L23"),AS1068&gt;0),SUMIFS($AS$7:$AS$1570,$BR$7:$BR$1570,BR1068,$AV$7:$AV$1570,"&gt;"&amp;AV1068)+SUMIFS($AS$7:$AS$1570,$BR$7:$BR$1570,BR1068,$AV$7:$AV$1570,AV1068,$BL$7:$BL$1570,"&lt;="&amp;BL1068),"")</f>
        <v/>
      </c>
      <c r="AX1068" s="65">
        <f>IF(AW1068="",0,MAX(0,MIN(1,(IF(BR1068="L1",Parameter!$K$5,Parameter!$K$6+Parameter!$K$7)-(AW1068-AS1068))/AS1068)))</f>
        <v/>
      </c>
      <c r="AY1068" s="53">
        <f>IF(AC1068&lt;=0,"",IF(BR1068="Aussen","Aussenlager",IF(BR1068="-","Nicht im Lift",IF(AH1068&gt;=1,"Lift",IF(AH1068&lt;=0,"Aussenlager","teilweise")))))</f>
        <v/>
      </c>
      <c r="AZ1068" s="53">
        <f>IF(AK1068&lt;=0,"",IF(BR1068="Aussen","Aussenlager",IF(BR1068="-","Nicht im Lift",IF(AP1068&gt;=1,"Lift",IF(AP1068&lt;=0,"Aussenlager","teilweise")))))</f>
        <v/>
      </c>
      <c r="BA1068" s="53">
        <f>IF(AS1068&lt;=0,"",IF(BR1068="Aussen","Aussenlager",IF(BR1068="-","Nicht im Lift",IF(AX1068&gt;=1,"Lift",IF(AX1068&lt;=0,"Aussenlager","teilweise")))))</f>
        <v/>
      </c>
      <c r="BB1068" s="53">
        <f>IF(A1068="","",IF(BK1068=1,"Neu; ","")&amp;IF(AND(BK1068=0,BF1068&lt;0),"negativer Bestand (Export "&amp;BF1068&amp;"); ","")&amp;IF(I1068&lt;=0,"Kein Verbrauch; ","")&amp;IF(BO1068=1,"Lose – Fläche geschätzt; ","")&amp;IF(G1068&gt;AM1068,"Überbestand "&amp;ROUND(G1068-AM1068,0)&amp;" Stk / CHF "&amp;ROUND((G1068-AM1068)*F1068,0)&amp;"; ","")&amp;IF(AND(BT1068=1,BU1068&lt;BV1068),"MAX &lt; MB+LG; ","")&amp;IF(AND(BZ1068&gt;0,BY1068*10&gt;BZ1068),"zu hoch für Tablar; ","")&amp;IF(AND(BK1068=0,OR(BT1068=1,V1068&lt;&gt;"",S1068&lt;&gt;"",T1068&lt;&gt;"",W1068&lt;&gt;"")),"manuell übersteuert; ","")&amp;IF(AND(BO1068=0,Q1068=0),"Gebinde unbekannt; ","")&amp;IF(AND(BO1068=0,N(T1068)&lt;=0,N(P1068)&lt;=0),"Menge pro Gebinde fehlt (Ist = 1 Gebinde); ","")&amp;BJ1068)</f>
        <v/>
      </c>
      <c r="BC1068" s="53" t="n"/>
      <c r="BD1068" s="53" t="n"/>
      <c r="BE1068" s="61" t="n"/>
      <c r="BF1068" s="55" t="n">
        <v>-8</v>
      </c>
      <c r="BG1068" s="55" t="n">
        <v>11</v>
      </c>
      <c r="BH1068" s="54" t="n">
        <v>-166.2</v>
      </c>
      <c r="BI1068" s="55" t="n">
        <v>14</v>
      </c>
      <c r="BJ1068" s="53" t="inlineStr"/>
      <c r="BK1068" s="58" t="n">
        <v>0</v>
      </c>
      <c r="BL1068" s="58" t="n">
        <v>1068</v>
      </c>
      <c r="BM1068" s="53">
        <f>IF(S1068&lt;&gt;"",UPPER(TRIM(S1068)),IF(O1068="","LOSE",O1068))</f>
        <v/>
      </c>
      <c r="BN1068" s="55">
        <f>IF(BM1068="LOSE",1,IF(N(T1068)&gt;0,T1068,IF(N(P1068)&gt;0,P1068,MAX(1,G1068))))</f>
        <v/>
      </c>
      <c r="BO1068" s="58">
        <f>IF(BM1068="LOSE",1,0)</f>
        <v/>
      </c>
      <c r="BP1068" s="64">
        <f>IF(BO1068=0,0,IF(N(R1068)&gt;0,R1068,IFERROR(VLOOKUP(D1068,Parameter!$A$35:$C$64,3,0)+0,0)))</f>
        <v/>
      </c>
      <c r="BQ1068" s="53">
        <f>IF(V1068&lt;&gt;"",V1068,U1068)</f>
        <v/>
      </c>
      <c r="BR1068" s="53">
        <f>IF(BQ1068=1,"L1",IF(OR(BQ1068=2,BQ1068=3),"L23",IF(BQ1068="Aussen","Aussen","-")))</f>
        <v/>
      </c>
      <c r="BS1068" s="66">
        <f>IF(N(W1068)&gt;0,W1068,0)</f>
        <v/>
      </c>
      <c r="BT1068" s="58">
        <f>IF(ISNUMBER(Z1068),1,0)</f>
        <v/>
      </c>
      <c r="BU1068" s="55">
        <f>N(Z1068)</f>
        <v/>
      </c>
      <c r="BV1068" s="55">
        <f>N(L1068)+N(M1068)</f>
        <v/>
      </c>
      <c r="BW1068" s="55">
        <f>ROUNDUP(G1068/BN1068,0)</f>
        <v/>
      </c>
      <c r="BX1068" s="55">
        <f>ROUNDUP(BU1068/BN1068,0)</f>
        <v/>
      </c>
      <c r="BY1068" s="58">
        <f>IF(BO1068=1,0,IFERROR(VLOOKUP(BM1068,'Gebinde-Kategorie'!$A$5:$G$45,5,0)+0,0))</f>
        <v/>
      </c>
      <c r="BZ1068" s="58">
        <f>IFERROR(IF(OR(BQ1068=1,BQ1068=2,BQ1068=3),N(INDEX(Parameter!$I$5:$I$7,BQ1068)),0),0)</f>
        <v/>
      </c>
    </row>
    <row r="1069">
      <c r="A1069" s="53" t="inlineStr">
        <is>
          <t>106992</t>
        </is>
      </c>
      <c r="B1069" s="53" t="inlineStr">
        <is>
          <t>Hilfsstromschalter</t>
        </is>
      </c>
      <c r="C1069" s="53" t="inlineStr">
        <is>
          <t>F</t>
        </is>
      </c>
      <c r="D1069" s="53" t="inlineStr">
        <is>
          <t>KTL</t>
        </is>
      </c>
      <c r="E1069" s="53" t="inlineStr">
        <is>
          <t>C</t>
        </is>
      </c>
      <c r="F1069" s="54" t="n">
        <v>11.9</v>
      </c>
      <c r="G1069" s="55">
        <f>MAX(0,IF(Parameter!$B$20="Jahresanfang 2025 + Export",BG1069+BF1069,BF1069))</f>
        <v/>
      </c>
      <c r="H1069" s="55">
        <f>G1069*F1069</f>
        <v/>
      </c>
      <c r="I1069" s="55">
        <f>BI1069*Parameter!$B$18</f>
        <v/>
      </c>
      <c r="J1069" s="56" t="n">
        <v>169.5</v>
      </c>
      <c r="K1069" s="57" t="n">
        <v>0.01769911504424779</v>
      </c>
      <c r="L1069" s="55" t="n">
        <v>0</v>
      </c>
      <c r="M1069" s="55" t="n">
        <v>5</v>
      </c>
      <c r="N1069" s="58" t="n">
        <v>42</v>
      </c>
      <c r="O1069" s="53" t="inlineStr">
        <is>
          <t>S61</t>
        </is>
      </c>
      <c r="P1069" s="55" t="n">
        <v>160</v>
      </c>
      <c r="Q1069" s="59">
        <f>IF(BO1069=1,0,IFERROR(VLOOKUP(BM1069,'Gebinde-Kategorie'!$A$5:$G$45,6,0)+0,0))</f>
        <v/>
      </c>
      <c r="R1069" s="60" t="n"/>
      <c r="S1069" s="61" t="n"/>
      <c r="T1069" s="61" t="n"/>
      <c r="U1069" s="53">
        <f>IF(A1069="","",IF(IFERROR(VLOOKUP(D1069,Parameter!$A$35:$C$64,2,0),"Nein")="2+3",IF(ISNUMBER(SEARCH("grosser Artikel",BJ1069)),2,IFERROR(VLOOKUP(BM1069,Parameter!$F$35:$G$64,2,0),2)),IF(OR(IFERROR(VLOOKUP(D1069,Parameter!$A$35:$C$64,2,0),"Nein")="Nein",IFERROR(VLOOKUP(D1069,Parameter!$A$35:$C$64,2,0),"Nein")=""),"-",VLOOKUP(D1069,Parameter!$A$35:$C$64,2,0))))</f>
        <v/>
      </c>
      <c r="V1069" s="61" t="n"/>
      <c r="W1069" s="62" t="n"/>
      <c r="X1069" s="55">
        <f>AM1069</f>
        <v/>
      </c>
      <c r="Y1069" s="55">
        <f>MAX(AM1069,G1069)</f>
        <v/>
      </c>
      <c r="Z1069" s="63" t="n"/>
      <c r="AA1069" s="55">
        <f>IF(LEFT(Cockpit!$C$5,1)="A",G1069,IF(BT1069=1,BU1069,IF(LEFT(Cockpit!$C$5,1)="B",AE1069,MAX(AE1069,G1069))))</f>
        <v/>
      </c>
      <c r="AB1069" s="55">
        <f>IF(BO1069=1,0,ROUNDUP(AA1069/BN1069,0))</f>
        <v/>
      </c>
      <c r="AC1069" s="64">
        <f>IF(BO1069=1,IF(AA1069&lt;=0,0,BP1069*MAX(1,IF(G1069&gt;0,AA1069/G1069,1))),AB1069*Q1069)</f>
        <v/>
      </c>
      <c r="AD1069" s="55">
        <f>AA1069*F1069</f>
        <v/>
      </c>
      <c r="AE1069" s="55">
        <f>ROUNDUP(MAX(I1069/IF(BS1069&gt;0,BS1069,MAX(0.1,N(Cockpit!$C$6))),BV1069)/BN1069,0)*BN1069</f>
        <v/>
      </c>
      <c r="AF1069" s="56">
        <f>IF(AC1069&gt;0,I1069/AC1069,-1)</f>
        <v/>
      </c>
      <c r="AG1069" s="56">
        <f>IF(AND(OR(BR1069="L1",BR1069="L23"),AC1069&gt;0),SUMIFS($AC$7:$AC$1570,$BR$7:$BR$1570,BR1069,$AF$7:$AF$1570,"&gt;"&amp;AF1069)+SUMIFS($AC$7:$AC$1570,$BR$7:$BR$1570,BR1069,$AF$7:$AF$1570,AF1069,$BL$7:$BL$1570,"&lt;="&amp;BL1069),"")</f>
        <v/>
      </c>
      <c r="AH1069" s="65">
        <f>IF(AG1069="",0,MAX(0,MIN(1,(IF(BR1069="L1",Parameter!$K$5,Parameter!$K$6+Parameter!$K$7)-(AG1069-AC1069))/AC1069)))</f>
        <v/>
      </c>
      <c r="AI1069" s="55">
        <f>IF(LEFT(Cockpit!$I$5,1)="A",G1069,IF(BT1069=1,BU1069,IF(LEFT(Cockpit!$I$5,1)="B",AM1069,MAX(AM1069,G1069))))</f>
        <v/>
      </c>
      <c r="AJ1069" s="55">
        <f>IF(BO1069=1,0,ROUNDUP(AI1069/BN1069,0))</f>
        <v/>
      </c>
      <c r="AK1069" s="64">
        <f>IF(BO1069=1,IF(AI1069&lt;=0,0,BP1069*MAX(1,IF(G1069&gt;0,AI1069/G1069,1))),AJ1069*Q1069)</f>
        <v/>
      </c>
      <c r="AL1069" s="55">
        <f>AI1069*F1069</f>
        <v/>
      </c>
      <c r="AM1069" s="55">
        <f>ROUNDUP(MAX(I1069/IF(BS1069&gt;0,BS1069,MAX(0.1,N(Cockpit!$I$6))),BV1069)/BN1069,0)*BN1069</f>
        <v/>
      </c>
      <c r="AN1069" s="56">
        <f>IF(AK1069&gt;0,I1069/AK1069,-1)</f>
        <v/>
      </c>
      <c r="AO1069" s="56">
        <f>IF(AND(OR(BR1069="L1",BR1069="L23"),AK1069&gt;0),SUMIFS($AK$7:$AK$1570,$BR$7:$BR$1570,BR1069,$AN$7:$AN$1570,"&gt;"&amp;AN1069)+SUMIFS($AK$7:$AK$1570,$BR$7:$BR$1570,BR1069,$AN$7:$AN$1570,AN1069,$BL$7:$BL$1570,"&lt;="&amp;BL1069),"")</f>
        <v/>
      </c>
      <c r="AP1069" s="65">
        <f>IF(AO1069="",0,MAX(0,MIN(1,(IF(BR1069="L1",Parameter!$K$5,Parameter!$K$6+Parameter!$K$7)-(AO1069-AK1069))/AK1069)))</f>
        <v/>
      </c>
      <c r="AQ1069" s="55">
        <f>IF(LEFT(Cockpit!$O$5,1)="A",G1069,IF(BT1069=1,BU1069,IF(LEFT(Cockpit!$O$5,1)="B",AU1069,MAX(AU1069,G1069))))</f>
        <v/>
      </c>
      <c r="AR1069" s="55">
        <f>IF(BO1069=1,0,ROUNDUP(AQ1069/BN1069,0))</f>
        <v/>
      </c>
      <c r="AS1069" s="64">
        <f>IF(BO1069=1,IF(AQ1069&lt;=0,0,BP1069*MAX(1,IF(G1069&gt;0,AQ1069/G1069,1))),AR1069*Q1069)</f>
        <v/>
      </c>
      <c r="AT1069" s="55">
        <f>AQ1069*F1069</f>
        <v/>
      </c>
      <c r="AU1069" s="55">
        <f>ROUNDUP(MAX(I1069/IF(BS1069&gt;0,BS1069,MAX(0.1,N(Cockpit!$O$6))),BV1069)/BN1069,0)*BN1069</f>
        <v/>
      </c>
      <c r="AV1069" s="56">
        <f>IF(AS1069&gt;0,I1069/AS1069,-1)</f>
        <v/>
      </c>
      <c r="AW1069" s="56">
        <f>IF(AND(OR(BR1069="L1",BR1069="L23"),AS1069&gt;0),SUMIFS($AS$7:$AS$1570,$BR$7:$BR$1570,BR1069,$AV$7:$AV$1570,"&gt;"&amp;AV1069)+SUMIFS($AS$7:$AS$1570,$BR$7:$BR$1570,BR1069,$AV$7:$AV$1570,AV1069,$BL$7:$BL$1570,"&lt;="&amp;BL1069),"")</f>
        <v/>
      </c>
      <c r="AX1069" s="65">
        <f>IF(AW1069="",0,MAX(0,MIN(1,(IF(BR1069="L1",Parameter!$K$5,Parameter!$K$6+Parameter!$K$7)-(AW1069-AS1069))/AS1069)))</f>
        <v/>
      </c>
      <c r="AY1069" s="53">
        <f>IF(AC1069&lt;=0,"",IF(BR1069="Aussen","Aussenlager",IF(BR1069="-","Nicht im Lift",IF(AH1069&gt;=1,"Lift",IF(AH1069&lt;=0,"Aussenlager","teilweise")))))</f>
        <v/>
      </c>
      <c r="AZ1069" s="53">
        <f>IF(AK1069&lt;=0,"",IF(BR1069="Aussen","Aussenlager",IF(BR1069="-","Nicht im Lift",IF(AP1069&gt;=1,"Lift",IF(AP1069&lt;=0,"Aussenlager","teilweise")))))</f>
        <v/>
      </c>
      <c r="BA1069" s="53">
        <f>IF(AS1069&lt;=0,"",IF(BR1069="Aussen","Aussenlager",IF(BR1069="-","Nicht im Lift",IF(AX1069&gt;=1,"Lift",IF(AX1069&lt;=0,"Aussenlager","teilweise")))))</f>
        <v/>
      </c>
      <c r="BB1069" s="53">
        <f>IF(A1069="","",IF(BK1069=1,"Neu; ","")&amp;IF(AND(BK1069=0,BF1069&lt;0),"negativer Bestand (Export "&amp;BF1069&amp;"); ","")&amp;IF(I1069&lt;=0,"Kein Verbrauch; ","")&amp;IF(BO1069=1,"Lose – Fläche geschätzt; ","")&amp;IF(G1069&gt;AM1069,"Überbestand "&amp;ROUND(G1069-AM1069,0)&amp;" Stk / CHF "&amp;ROUND((G1069-AM1069)*F1069,0)&amp;"; ","")&amp;IF(AND(BT1069=1,BU1069&lt;BV1069),"MAX &lt; MB+LG; ","")&amp;IF(AND(BZ1069&gt;0,BY1069*10&gt;BZ1069),"zu hoch für Tablar; ","")&amp;IF(AND(BK1069=0,OR(BT1069=1,V1069&lt;&gt;"",S1069&lt;&gt;"",T1069&lt;&gt;"",W1069&lt;&gt;"")),"manuell übersteuert; ","")&amp;IF(AND(BO1069=0,Q1069=0),"Gebinde unbekannt; ","")&amp;IF(AND(BO1069=0,N(T1069)&lt;=0,N(P1069)&lt;=0),"Menge pro Gebinde fehlt (Ist = 1 Gebinde); ","")&amp;BJ1069)</f>
        <v/>
      </c>
      <c r="BC1069" s="53" t="n"/>
      <c r="BD1069" s="53" t="n"/>
      <c r="BE1069" s="61" t="n"/>
      <c r="BF1069" s="55" t="n">
        <v>-14</v>
      </c>
      <c r="BG1069" s="55" t="n">
        <v>175</v>
      </c>
      <c r="BH1069" s="54" t="n">
        <v>-166.6</v>
      </c>
      <c r="BI1069" s="55" t="n">
        <v>3</v>
      </c>
      <c r="BJ1069" s="53" t="inlineStr">
        <is>
          <t>überbestand</t>
        </is>
      </c>
      <c r="BK1069" s="58" t="n">
        <v>0</v>
      </c>
      <c r="BL1069" s="58" t="n">
        <v>1069</v>
      </c>
      <c r="BM1069" s="53">
        <f>IF(S1069&lt;&gt;"",UPPER(TRIM(S1069)),IF(O1069="","LOSE",O1069))</f>
        <v/>
      </c>
      <c r="BN1069" s="55">
        <f>IF(BM1069="LOSE",1,IF(N(T1069)&gt;0,T1069,IF(N(P1069)&gt;0,P1069,MAX(1,G1069))))</f>
        <v/>
      </c>
      <c r="BO1069" s="58">
        <f>IF(BM1069="LOSE",1,0)</f>
        <v/>
      </c>
      <c r="BP1069" s="64">
        <f>IF(BO1069=0,0,IF(N(R1069)&gt;0,R1069,IFERROR(VLOOKUP(D1069,Parameter!$A$35:$C$64,3,0)+0,0)))</f>
        <v/>
      </c>
      <c r="BQ1069" s="53">
        <f>IF(V1069&lt;&gt;"",V1069,U1069)</f>
        <v/>
      </c>
      <c r="BR1069" s="53">
        <f>IF(BQ1069=1,"L1",IF(OR(BQ1069=2,BQ1069=3),"L23",IF(BQ1069="Aussen","Aussen","-")))</f>
        <v/>
      </c>
      <c r="BS1069" s="66">
        <f>IF(N(W1069)&gt;0,W1069,0)</f>
        <v/>
      </c>
      <c r="BT1069" s="58">
        <f>IF(ISNUMBER(Z1069),1,0)</f>
        <v/>
      </c>
      <c r="BU1069" s="55">
        <f>N(Z1069)</f>
        <v/>
      </c>
      <c r="BV1069" s="55">
        <f>N(L1069)+N(M1069)</f>
        <v/>
      </c>
      <c r="BW1069" s="55">
        <f>ROUNDUP(G1069/BN1069,0)</f>
        <v/>
      </c>
      <c r="BX1069" s="55">
        <f>ROUNDUP(BU1069/BN1069,0)</f>
        <v/>
      </c>
      <c r="BY1069" s="58">
        <f>IF(BO1069=1,0,IFERROR(VLOOKUP(BM1069,'Gebinde-Kategorie'!$A$5:$G$45,5,0)+0,0))</f>
        <v/>
      </c>
      <c r="BZ1069" s="58">
        <f>IFERROR(IF(OR(BQ1069=1,BQ1069=2,BQ1069=3),N(INDEX(Parameter!$I$5:$I$7,BQ1069)),0),0)</f>
        <v/>
      </c>
    </row>
    <row r="1070">
      <c r="A1070" s="53" t="inlineStr">
        <is>
          <t>001150</t>
        </is>
      </c>
      <c r="B1070" s="53" t="inlineStr">
        <is>
          <t>Schleifvlies SCOTCH-BRITE</t>
        </is>
      </c>
      <c r="C1070" s="53" t="inlineStr">
        <is>
          <t>F</t>
        </is>
      </c>
      <c r="D1070" s="53" t="inlineStr">
        <is>
          <t>KTL</t>
        </is>
      </c>
      <c r="E1070" s="53" t="inlineStr">
        <is>
          <t>C</t>
        </is>
      </c>
      <c r="F1070" s="54" t="n">
        <v>33.39</v>
      </c>
      <c r="G1070" s="55">
        <f>MAX(0,IF(Parameter!$B$20="Jahresanfang 2025 + Export",BG1070+BF1070,BF1070))</f>
        <v/>
      </c>
      <c r="H1070" s="55">
        <f>G1070*F1070</f>
        <v/>
      </c>
      <c r="I1070" s="55">
        <f>BI1070*Parameter!$B$18</f>
        <v/>
      </c>
      <c r="J1070" s="56" t="n">
        <v>37.875</v>
      </c>
      <c r="K1070" s="57" t="n">
        <v>0.006600660066006601</v>
      </c>
      <c r="L1070" s="55" t="n">
        <v>0</v>
      </c>
      <c r="M1070" s="55" t="n">
        <v>1</v>
      </c>
      <c r="N1070" s="58" t="n">
        <v>14</v>
      </c>
      <c r="O1070" s="53" t="inlineStr">
        <is>
          <t>S41</t>
        </is>
      </c>
      <c r="P1070" s="55" t="n">
        <v>40</v>
      </c>
      <c r="Q1070" s="59">
        <f>IF(BO1070=1,0,IFERROR(VLOOKUP(BM1070,'Gebinde-Kategorie'!$A$5:$G$45,6,0)+0,0))</f>
        <v/>
      </c>
      <c r="R1070" s="60" t="n"/>
      <c r="S1070" s="61" t="n"/>
      <c r="T1070" s="61" t="n"/>
      <c r="U1070" s="53">
        <f>IF(A1070="","",IF(IFERROR(VLOOKUP(D1070,Parameter!$A$35:$C$64,2,0),"Nein")="2+3",IF(ISNUMBER(SEARCH("grosser Artikel",BJ1070)),2,IFERROR(VLOOKUP(BM1070,Parameter!$F$35:$G$64,2,0),2)),IF(OR(IFERROR(VLOOKUP(D1070,Parameter!$A$35:$C$64,2,0),"Nein")="Nein",IFERROR(VLOOKUP(D1070,Parameter!$A$35:$C$64,2,0),"Nein")=""),"-",VLOOKUP(D1070,Parameter!$A$35:$C$64,2,0))))</f>
        <v/>
      </c>
      <c r="V1070" s="61" t="n"/>
      <c r="W1070" s="62" t="n"/>
      <c r="X1070" s="55">
        <f>AM1070</f>
        <v/>
      </c>
      <c r="Y1070" s="55">
        <f>MAX(AM1070,G1070)</f>
        <v/>
      </c>
      <c r="Z1070" s="63" t="n"/>
      <c r="AA1070" s="55">
        <f>IF(LEFT(Cockpit!$C$5,1)="A",G1070,IF(BT1070=1,BU1070,IF(LEFT(Cockpit!$C$5,1)="B",AE1070,MAX(AE1070,G1070))))</f>
        <v/>
      </c>
      <c r="AB1070" s="55">
        <f>IF(BO1070=1,0,ROUNDUP(AA1070/BN1070,0))</f>
        <v/>
      </c>
      <c r="AC1070" s="64">
        <f>IF(BO1070=1,IF(AA1070&lt;=0,0,BP1070*MAX(1,IF(G1070&gt;0,AA1070/G1070,1))),AB1070*Q1070)</f>
        <v/>
      </c>
      <c r="AD1070" s="55">
        <f>AA1070*F1070</f>
        <v/>
      </c>
      <c r="AE1070" s="55">
        <f>ROUNDUP(MAX(I1070/IF(BS1070&gt;0,BS1070,MAX(0.1,N(Cockpit!$C$6))),BV1070)/BN1070,0)*BN1070</f>
        <v/>
      </c>
      <c r="AF1070" s="56">
        <f>IF(AC1070&gt;0,I1070/AC1070,-1)</f>
        <v/>
      </c>
      <c r="AG1070" s="56">
        <f>IF(AND(OR(BR1070="L1",BR1070="L23"),AC1070&gt;0),SUMIFS($AC$7:$AC$1570,$BR$7:$BR$1570,BR1070,$AF$7:$AF$1570,"&gt;"&amp;AF1070)+SUMIFS($AC$7:$AC$1570,$BR$7:$BR$1570,BR1070,$AF$7:$AF$1570,AF1070,$BL$7:$BL$1570,"&lt;="&amp;BL1070),"")</f>
        <v/>
      </c>
      <c r="AH1070" s="65">
        <f>IF(AG1070="",0,MAX(0,MIN(1,(IF(BR1070="L1",Parameter!$K$5,Parameter!$K$6+Parameter!$K$7)-(AG1070-AC1070))/AC1070)))</f>
        <v/>
      </c>
      <c r="AI1070" s="55">
        <f>IF(LEFT(Cockpit!$I$5,1)="A",G1070,IF(BT1070=1,BU1070,IF(LEFT(Cockpit!$I$5,1)="B",AM1070,MAX(AM1070,G1070))))</f>
        <v/>
      </c>
      <c r="AJ1070" s="55">
        <f>IF(BO1070=1,0,ROUNDUP(AI1070/BN1070,0))</f>
        <v/>
      </c>
      <c r="AK1070" s="64">
        <f>IF(BO1070=1,IF(AI1070&lt;=0,0,BP1070*MAX(1,IF(G1070&gt;0,AI1070/G1070,1))),AJ1070*Q1070)</f>
        <v/>
      </c>
      <c r="AL1070" s="55">
        <f>AI1070*F1070</f>
        <v/>
      </c>
      <c r="AM1070" s="55">
        <f>ROUNDUP(MAX(I1070/IF(BS1070&gt;0,BS1070,MAX(0.1,N(Cockpit!$I$6))),BV1070)/BN1070,0)*BN1070</f>
        <v/>
      </c>
      <c r="AN1070" s="56">
        <f>IF(AK1070&gt;0,I1070/AK1070,-1)</f>
        <v/>
      </c>
      <c r="AO1070" s="56">
        <f>IF(AND(OR(BR1070="L1",BR1070="L23"),AK1070&gt;0),SUMIFS($AK$7:$AK$1570,$BR$7:$BR$1570,BR1070,$AN$7:$AN$1570,"&gt;"&amp;AN1070)+SUMIFS($AK$7:$AK$1570,$BR$7:$BR$1570,BR1070,$AN$7:$AN$1570,AN1070,$BL$7:$BL$1570,"&lt;="&amp;BL1070),"")</f>
        <v/>
      </c>
      <c r="AP1070" s="65">
        <f>IF(AO1070="",0,MAX(0,MIN(1,(IF(BR1070="L1",Parameter!$K$5,Parameter!$K$6+Parameter!$K$7)-(AO1070-AK1070))/AK1070)))</f>
        <v/>
      </c>
      <c r="AQ1070" s="55">
        <f>IF(LEFT(Cockpit!$O$5,1)="A",G1070,IF(BT1070=1,BU1070,IF(LEFT(Cockpit!$O$5,1)="B",AU1070,MAX(AU1070,G1070))))</f>
        <v/>
      </c>
      <c r="AR1070" s="55">
        <f>IF(BO1070=1,0,ROUNDUP(AQ1070/BN1070,0))</f>
        <v/>
      </c>
      <c r="AS1070" s="64">
        <f>IF(BO1070=1,IF(AQ1070&lt;=0,0,BP1070*MAX(1,IF(G1070&gt;0,AQ1070/G1070,1))),AR1070*Q1070)</f>
        <v/>
      </c>
      <c r="AT1070" s="55">
        <f>AQ1070*F1070</f>
        <v/>
      </c>
      <c r="AU1070" s="55">
        <f>ROUNDUP(MAX(I1070/IF(BS1070&gt;0,BS1070,MAX(0.1,N(Cockpit!$O$6))),BV1070)/BN1070,0)*BN1070</f>
        <v/>
      </c>
      <c r="AV1070" s="56">
        <f>IF(AS1070&gt;0,I1070/AS1070,-1)</f>
        <v/>
      </c>
      <c r="AW1070" s="56">
        <f>IF(AND(OR(BR1070="L1",BR1070="L23"),AS1070&gt;0),SUMIFS($AS$7:$AS$1570,$BR$7:$BR$1570,BR1070,$AV$7:$AV$1570,"&gt;"&amp;AV1070)+SUMIFS($AS$7:$AS$1570,$BR$7:$BR$1570,BR1070,$AV$7:$AV$1570,AV1070,$BL$7:$BL$1570,"&lt;="&amp;BL1070),"")</f>
        <v/>
      </c>
      <c r="AX1070" s="65">
        <f>IF(AW1070="",0,MAX(0,MIN(1,(IF(BR1070="L1",Parameter!$K$5,Parameter!$K$6+Parameter!$K$7)-(AW1070-AS1070))/AS1070)))</f>
        <v/>
      </c>
      <c r="AY1070" s="53">
        <f>IF(AC1070&lt;=0,"",IF(BR1070="Aussen","Aussenlager",IF(BR1070="-","Nicht im Lift",IF(AH1070&gt;=1,"Lift",IF(AH1070&lt;=0,"Aussenlager","teilweise")))))</f>
        <v/>
      </c>
      <c r="AZ1070" s="53">
        <f>IF(AK1070&lt;=0,"",IF(BR1070="Aussen","Aussenlager",IF(BR1070="-","Nicht im Lift",IF(AP1070&gt;=1,"Lift",IF(AP1070&lt;=0,"Aussenlager","teilweise")))))</f>
        <v/>
      </c>
      <c r="BA1070" s="53">
        <f>IF(AS1070&lt;=0,"",IF(BR1070="Aussen","Aussenlager",IF(BR1070="-","Nicht im Lift",IF(AX1070&gt;=1,"Lift",IF(AX1070&lt;=0,"Aussenlager","teilweise")))))</f>
        <v/>
      </c>
      <c r="BB1070" s="53">
        <f>IF(A1070="","",IF(BK1070=1,"Neu; ","")&amp;IF(AND(BK1070=0,BF1070&lt;0),"negativer Bestand (Export "&amp;BF1070&amp;"); ","")&amp;IF(I1070&lt;=0,"Kein Verbrauch; ","")&amp;IF(BO1070=1,"Lose – Fläche geschätzt; ","")&amp;IF(G1070&gt;AM1070,"Überbestand "&amp;ROUND(G1070-AM1070,0)&amp;" Stk / CHF "&amp;ROUND((G1070-AM1070)*F1070,0)&amp;"; ","")&amp;IF(AND(BT1070=1,BU1070&lt;BV1070),"MAX &lt; MB+LG; ","")&amp;IF(AND(BZ1070&gt;0,BY1070*10&gt;BZ1070),"zu hoch für Tablar; ","")&amp;IF(AND(BK1070=0,OR(BT1070=1,V1070&lt;&gt;"",S1070&lt;&gt;"",T1070&lt;&gt;"",W1070&lt;&gt;"")),"manuell übersteuert; ","")&amp;IF(AND(BO1070=0,Q1070=0),"Gebinde unbekannt; ","")&amp;IF(AND(BO1070=0,N(T1070)&lt;=0,N(P1070)&lt;=0),"Menge pro Gebinde fehlt (Ist = 1 Gebinde); ","")&amp;BJ1070)</f>
        <v/>
      </c>
      <c r="BC1070" s="53" t="n"/>
      <c r="BD1070" s="53" t="n"/>
      <c r="BE1070" s="61" t="n"/>
      <c r="BF1070" s="55" t="n">
        <v>-5</v>
      </c>
      <c r="BG1070" s="55" t="n">
        <v>38</v>
      </c>
      <c r="BH1070" s="54" t="n">
        <v>-166.95</v>
      </c>
      <c r="BI1070" s="55" t="n">
        <v>0.25</v>
      </c>
      <c r="BJ1070" s="53" t="inlineStr">
        <is>
          <t>Verb.Lager</t>
        </is>
      </c>
      <c r="BK1070" s="58" t="n">
        <v>0</v>
      </c>
      <c r="BL1070" s="58" t="n">
        <v>1070</v>
      </c>
      <c r="BM1070" s="53">
        <f>IF(S1070&lt;&gt;"",UPPER(TRIM(S1070)),IF(O1070="","LOSE",O1070))</f>
        <v/>
      </c>
      <c r="BN1070" s="55">
        <f>IF(BM1070="LOSE",1,IF(N(T1070)&gt;0,T1070,IF(N(P1070)&gt;0,P1070,MAX(1,G1070))))</f>
        <v/>
      </c>
      <c r="BO1070" s="58">
        <f>IF(BM1070="LOSE",1,0)</f>
        <v/>
      </c>
      <c r="BP1070" s="64">
        <f>IF(BO1070=0,0,IF(N(R1070)&gt;0,R1070,IFERROR(VLOOKUP(D1070,Parameter!$A$35:$C$64,3,0)+0,0)))</f>
        <v/>
      </c>
      <c r="BQ1070" s="53">
        <f>IF(V1070&lt;&gt;"",V1070,U1070)</f>
        <v/>
      </c>
      <c r="BR1070" s="53">
        <f>IF(BQ1070=1,"L1",IF(OR(BQ1070=2,BQ1070=3),"L23",IF(BQ1070="Aussen","Aussen","-")))</f>
        <v/>
      </c>
      <c r="BS1070" s="66">
        <f>IF(N(W1070)&gt;0,W1070,0)</f>
        <v/>
      </c>
      <c r="BT1070" s="58">
        <f>IF(ISNUMBER(Z1070),1,0)</f>
        <v/>
      </c>
      <c r="BU1070" s="55">
        <f>N(Z1070)</f>
        <v/>
      </c>
      <c r="BV1070" s="55">
        <f>N(L1070)+N(M1070)</f>
        <v/>
      </c>
      <c r="BW1070" s="55">
        <f>ROUNDUP(G1070/BN1070,0)</f>
        <v/>
      </c>
      <c r="BX1070" s="55">
        <f>ROUNDUP(BU1070/BN1070,0)</f>
        <v/>
      </c>
      <c r="BY1070" s="58">
        <f>IF(BO1070=1,0,IFERROR(VLOOKUP(BM1070,'Gebinde-Kategorie'!$A$5:$G$45,5,0)+0,0))</f>
        <v/>
      </c>
      <c r="BZ1070" s="58">
        <f>IFERROR(IF(OR(BQ1070=1,BQ1070=2,BQ1070=3),N(INDEX(Parameter!$I$5:$I$7,BQ1070)),0),0)</f>
        <v/>
      </c>
    </row>
    <row r="1071">
      <c r="A1071" s="53" t="inlineStr">
        <is>
          <t>001053</t>
        </is>
      </c>
      <c r="B1071" s="53" t="inlineStr">
        <is>
          <t>Tauschdeckel SBB</t>
        </is>
      </c>
      <c r="C1071" s="53" t="inlineStr">
        <is>
          <t>F</t>
        </is>
      </c>
      <c r="D1071" s="53" t="inlineStr">
        <is>
          <t>PAL</t>
        </is>
      </c>
      <c r="E1071" s="53" t="inlineStr">
        <is>
          <t>C</t>
        </is>
      </c>
      <c r="F1071" s="54" t="n">
        <v>14.64</v>
      </c>
      <c r="G1071" s="55">
        <f>MAX(0,IF(Parameter!$B$20="Jahresanfang 2025 + Export",BG1071+BF1071,BF1071))</f>
        <v/>
      </c>
      <c r="H1071" s="55">
        <f>G1071*F1071</f>
        <v/>
      </c>
      <c r="I1071" s="55">
        <f>BI1071*Parameter!$B$18</f>
        <v/>
      </c>
      <c r="J1071" s="56" t="n">
        <v>28.5</v>
      </c>
      <c r="K1071" s="57" t="n">
        <v>3.43859649122807</v>
      </c>
      <c r="L1071" s="55" t="n">
        <v>5</v>
      </c>
      <c r="M1071" s="55" t="n">
        <v>25</v>
      </c>
      <c r="N1071" s="58" t="n">
        <v>21</v>
      </c>
      <c r="O1071" s="53" t="inlineStr">
        <is>
          <t>LOSE</t>
        </is>
      </c>
      <c r="P1071" s="55" t="n"/>
      <c r="Q1071" s="59">
        <f>IF(BO1071=1,0,IFERROR(VLOOKUP(BM1071,'Gebinde-Kategorie'!$A$5:$G$45,6,0)+0,0))</f>
        <v/>
      </c>
      <c r="R1071" s="60" t="n"/>
      <c r="S1071" s="61" t="n"/>
      <c r="T1071" s="61" t="n"/>
      <c r="U1071" s="53">
        <f>IF(A1071="","",IF(IFERROR(VLOOKUP(D1071,Parameter!$A$35:$C$64,2,0),"Nein")="2+3",IF(ISNUMBER(SEARCH("grosser Artikel",BJ1071)),2,IFERROR(VLOOKUP(BM1071,Parameter!$F$35:$G$64,2,0),2)),IF(OR(IFERROR(VLOOKUP(D1071,Parameter!$A$35:$C$64,2,0),"Nein")="Nein",IFERROR(VLOOKUP(D1071,Parameter!$A$35:$C$64,2,0),"Nein")=""),"-",VLOOKUP(D1071,Parameter!$A$35:$C$64,2,0))))</f>
        <v/>
      </c>
      <c r="V1071" s="61" t="n"/>
      <c r="W1071" s="62" t="n"/>
      <c r="X1071" s="55">
        <f>AM1071</f>
        <v/>
      </c>
      <c r="Y1071" s="55">
        <f>MAX(AM1071,G1071)</f>
        <v/>
      </c>
      <c r="Z1071" s="63" t="n"/>
      <c r="AA1071" s="55">
        <f>IF(LEFT(Cockpit!$C$5,1)="A",G1071,IF(BT1071=1,BU1071,IF(LEFT(Cockpit!$C$5,1)="B",AE1071,MAX(AE1071,G1071))))</f>
        <v/>
      </c>
      <c r="AB1071" s="55">
        <f>IF(BO1071=1,0,ROUNDUP(AA1071/BN1071,0))</f>
        <v/>
      </c>
      <c r="AC1071" s="64">
        <f>IF(BO1071=1,IF(AA1071&lt;=0,0,BP1071*MAX(1,IF(G1071&gt;0,AA1071/G1071,1))),AB1071*Q1071)</f>
        <v/>
      </c>
      <c r="AD1071" s="55">
        <f>AA1071*F1071</f>
        <v/>
      </c>
      <c r="AE1071" s="55">
        <f>ROUNDUP(MAX(I1071/IF(BS1071&gt;0,BS1071,MAX(0.1,N(Cockpit!$C$6))),BV1071)/BN1071,0)*BN1071</f>
        <v/>
      </c>
      <c r="AF1071" s="56">
        <f>IF(AC1071&gt;0,I1071/AC1071,-1)</f>
        <v/>
      </c>
      <c r="AG1071" s="56">
        <f>IF(AND(OR(BR1071="L1",BR1071="L23"),AC1071&gt;0),SUMIFS($AC$7:$AC$1570,$BR$7:$BR$1570,BR1071,$AF$7:$AF$1570,"&gt;"&amp;AF1071)+SUMIFS($AC$7:$AC$1570,$BR$7:$BR$1570,BR1071,$AF$7:$AF$1570,AF1071,$BL$7:$BL$1570,"&lt;="&amp;BL1071),"")</f>
        <v/>
      </c>
      <c r="AH1071" s="65">
        <f>IF(AG1071="",0,MAX(0,MIN(1,(IF(BR1071="L1",Parameter!$K$5,Parameter!$K$6+Parameter!$K$7)-(AG1071-AC1071))/AC1071)))</f>
        <v/>
      </c>
      <c r="AI1071" s="55">
        <f>IF(LEFT(Cockpit!$I$5,1)="A",G1071,IF(BT1071=1,BU1071,IF(LEFT(Cockpit!$I$5,1)="B",AM1071,MAX(AM1071,G1071))))</f>
        <v/>
      </c>
      <c r="AJ1071" s="55">
        <f>IF(BO1071=1,0,ROUNDUP(AI1071/BN1071,0))</f>
        <v/>
      </c>
      <c r="AK1071" s="64">
        <f>IF(BO1071=1,IF(AI1071&lt;=0,0,BP1071*MAX(1,IF(G1071&gt;0,AI1071/G1071,1))),AJ1071*Q1071)</f>
        <v/>
      </c>
      <c r="AL1071" s="55">
        <f>AI1071*F1071</f>
        <v/>
      </c>
      <c r="AM1071" s="55">
        <f>ROUNDUP(MAX(I1071/IF(BS1071&gt;0,BS1071,MAX(0.1,N(Cockpit!$I$6))),BV1071)/BN1071,0)*BN1071</f>
        <v/>
      </c>
      <c r="AN1071" s="56">
        <f>IF(AK1071&gt;0,I1071/AK1071,-1)</f>
        <v/>
      </c>
      <c r="AO1071" s="56">
        <f>IF(AND(OR(BR1071="L1",BR1071="L23"),AK1071&gt;0),SUMIFS($AK$7:$AK$1570,$BR$7:$BR$1570,BR1071,$AN$7:$AN$1570,"&gt;"&amp;AN1071)+SUMIFS($AK$7:$AK$1570,$BR$7:$BR$1570,BR1071,$AN$7:$AN$1570,AN1071,$BL$7:$BL$1570,"&lt;="&amp;BL1071),"")</f>
        <v/>
      </c>
      <c r="AP1071" s="65">
        <f>IF(AO1071="",0,MAX(0,MIN(1,(IF(BR1071="L1",Parameter!$K$5,Parameter!$K$6+Parameter!$K$7)-(AO1071-AK1071))/AK1071)))</f>
        <v/>
      </c>
      <c r="AQ1071" s="55">
        <f>IF(LEFT(Cockpit!$O$5,1)="A",G1071,IF(BT1071=1,BU1071,IF(LEFT(Cockpit!$O$5,1)="B",AU1071,MAX(AU1071,G1071))))</f>
        <v/>
      </c>
      <c r="AR1071" s="55">
        <f>IF(BO1071=1,0,ROUNDUP(AQ1071/BN1071,0))</f>
        <v/>
      </c>
      <c r="AS1071" s="64">
        <f>IF(BO1071=1,IF(AQ1071&lt;=0,0,BP1071*MAX(1,IF(G1071&gt;0,AQ1071/G1071,1))),AR1071*Q1071)</f>
        <v/>
      </c>
      <c r="AT1071" s="55">
        <f>AQ1071*F1071</f>
        <v/>
      </c>
      <c r="AU1071" s="55">
        <f>ROUNDUP(MAX(I1071/IF(BS1071&gt;0,BS1071,MAX(0.1,N(Cockpit!$O$6))),BV1071)/BN1071,0)*BN1071</f>
        <v/>
      </c>
      <c r="AV1071" s="56">
        <f>IF(AS1071&gt;0,I1071/AS1071,-1)</f>
        <v/>
      </c>
      <c r="AW1071" s="56">
        <f>IF(AND(OR(BR1071="L1",BR1071="L23"),AS1071&gt;0),SUMIFS($AS$7:$AS$1570,$BR$7:$BR$1570,BR1071,$AV$7:$AV$1570,"&gt;"&amp;AV1071)+SUMIFS($AS$7:$AS$1570,$BR$7:$BR$1570,BR1071,$AV$7:$AV$1570,AV1071,$BL$7:$BL$1570,"&lt;="&amp;BL1071),"")</f>
        <v/>
      </c>
      <c r="AX1071" s="65">
        <f>IF(AW1071="",0,MAX(0,MIN(1,(IF(BR1071="L1",Parameter!$K$5,Parameter!$K$6+Parameter!$K$7)-(AW1071-AS1071))/AS1071)))</f>
        <v/>
      </c>
      <c r="AY1071" s="53">
        <f>IF(AC1071&lt;=0,"",IF(BR1071="Aussen","Aussenlager",IF(BR1071="-","Nicht im Lift",IF(AH1071&gt;=1,"Lift",IF(AH1071&lt;=0,"Aussenlager","teilweise")))))</f>
        <v/>
      </c>
      <c r="AZ1071" s="53">
        <f>IF(AK1071&lt;=0,"",IF(BR1071="Aussen","Aussenlager",IF(BR1071="-","Nicht im Lift",IF(AP1071&gt;=1,"Lift",IF(AP1071&lt;=0,"Aussenlager","teilweise")))))</f>
        <v/>
      </c>
      <c r="BA1071" s="53">
        <f>IF(AS1071&lt;=0,"",IF(BR1071="Aussen","Aussenlager",IF(BR1071="-","Nicht im Lift",IF(AX1071&gt;=1,"Lift",IF(AX1071&lt;=0,"Aussenlager","teilweise")))))</f>
        <v/>
      </c>
      <c r="BB1071" s="53">
        <f>IF(A1071="","",IF(BK1071=1,"Neu; ","")&amp;IF(AND(BK1071=0,BF1071&lt;0),"negativer Bestand (Export "&amp;BF1071&amp;"); ","")&amp;IF(I1071&lt;=0,"Kein Verbrauch; ","")&amp;IF(BO1071=1,"Lose – Fläche geschätzt; ","")&amp;IF(G1071&gt;AM1071,"Überbestand "&amp;ROUND(G1071-AM1071,0)&amp;" Stk / CHF "&amp;ROUND((G1071-AM1071)*F1071,0)&amp;"; ","")&amp;IF(AND(BT1071=1,BU1071&lt;BV1071),"MAX &lt; MB+LG; ","")&amp;IF(AND(BZ1071&gt;0,BY1071*10&gt;BZ1071),"zu hoch für Tablar; ","")&amp;IF(AND(BK1071=0,OR(BT1071=1,V1071&lt;&gt;"",S1071&lt;&gt;"",T1071&lt;&gt;"",W1071&lt;&gt;"")),"manuell übersteuert; ","")&amp;IF(AND(BO1071=0,Q1071=0),"Gebinde unbekannt; ","")&amp;IF(AND(BO1071=0,N(T1071)&lt;=0,N(P1071)&lt;=0),"Menge pro Gebinde fehlt (Ist = 1 Gebinde); ","")&amp;BJ1071)</f>
        <v/>
      </c>
      <c r="BC1071" s="53" t="n"/>
      <c r="BD1071" s="53" t="n"/>
      <c r="BE1071" s="61" t="n"/>
      <c r="BF1071" s="55" t="n">
        <v>-11</v>
      </c>
      <c r="BG1071" s="55" t="n">
        <v>29</v>
      </c>
      <c r="BH1071" s="54" t="n">
        <v>-167.1299999999997</v>
      </c>
      <c r="BI1071" s="55" t="n">
        <v>98</v>
      </c>
      <c r="BJ1071" s="53" t="inlineStr">
        <is>
          <t>grosser Artikel &amp; nicht im KTL</t>
        </is>
      </c>
      <c r="BK1071" s="58" t="n">
        <v>0</v>
      </c>
      <c r="BL1071" s="58" t="n">
        <v>1071</v>
      </c>
      <c r="BM1071" s="53">
        <f>IF(S1071&lt;&gt;"",UPPER(TRIM(S1071)),IF(O1071="","LOSE",O1071))</f>
        <v/>
      </c>
      <c r="BN1071" s="55">
        <f>IF(BM1071="LOSE",1,IF(N(T1071)&gt;0,T1071,IF(N(P1071)&gt;0,P1071,MAX(1,G1071))))</f>
        <v/>
      </c>
      <c r="BO1071" s="58">
        <f>IF(BM1071="LOSE",1,0)</f>
        <v/>
      </c>
      <c r="BP1071" s="64">
        <f>IF(BO1071=0,0,IF(N(R1071)&gt;0,R1071,IFERROR(VLOOKUP(D1071,Parameter!$A$35:$C$64,3,0)+0,0)))</f>
        <v/>
      </c>
      <c r="BQ1071" s="53">
        <f>IF(V1071&lt;&gt;"",V1071,U1071)</f>
        <v/>
      </c>
      <c r="BR1071" s="53">
        <f>IF(BQ1071=1,"L1",IF(OR(BQ1071=2,BQ1071=3),"L23",IF(BQ1071="Aussen","Aussen","-")))</f>
        <v/>
      </c>
      <c r="BS1071" s="66">
        <f>IF(N(W1071)&gt;0,W1071,0)</f>
        <v/>
      </c>
      <c r="BT1071" s="58">
        <f>IF(ISNUMBER(Z1071),1,0)</f>
        <v/>
      </c>
      <c r="BU1071" s="55">
        <f>N(Z1071)</f>
        <v/>
      </c>
      <c r="BV1071" s="55">
        <f>N(L1071)+N(M1071)</f>
        <v/>
      </c>
      <c r="BW1071" s="55">
        <f>ROUNDUP(G1071/BN1071,0)</f>
        <v/>
      </c>
      <c r="BX1071" s="55">
        <f>ROUNDUP(BU1071/BN1071,0)</f>
        <v/>
      </c>
      <c r="BY1071" s="58">
        <f>IF(BO1071=1,0,IFERROR(VLOOKUP(BM1071,'Gebinde-Kategorie'!$A$5:$G$45,5,0)+0,0))</f>
        <v/>
      </c>
      <c r="BZ1071" s="58">
        <f>IFERROR(IF(OR(BQ1071=1,BQ1071=2,BQ1071=3),N(INDEX(Parameter!$I$5:$I$7,BQ1071)),0),0)</f>
        <v/>
      </c>
    </row>
    <row r="1072">
      <c r="A1072" s="53" t="inlineStr">
        <is>
          <t>104213</t>
        </is>
      </c>
      <c r="B1072" s="53" t="inlineStr">
        <is>
          <t>Transfermagnetventil Spule CH4</t>
        </is>
      </c>
      <c r="C1072" s="53" t="inlineStr">
        <is>
          <t>F</t>
        </is>
      </c>
      <c r="D1072" s="53" t="inlineStr">
        <is>
          <t>PAL</t>
        </is>
      </c>
      <c r="E1072" s="53" t="inlineStr">
        <is>
          <t>C</t>
        </is>
      </c>
      <c r="F1072" s="54" t="n">
        <v>168</v>
      </c>
      <c r="G1072" s="55">
        <f>MAX(0,IF(Parameter!$B$20="Jahresanfang 2025 + Export",BG1072+BF1072,BF1072))</f>
        <v/>
      </c>
      <c r="H1072" s="55">
        <f>G1072*F1072</f>
        <v/>
      </c>
      <c r="I1072" s="55">
        <f>BI1072*Parameter!$B$18</f>
        <v/>
      </c>
      <c r="J1072" s="56" t="n">
        <v>23.5</v>
      </c>
      <c r="K1072" s="57" t="n">
        <v>0.0425531914893617</v>
      </c>
      <c r="L1072" s="55" t="n">
        <v>0</v>
      </c>
      <c r="M1072" s="55" t="n">
        <v>1</v>
      </c>
      <c r="N1072" s="58" t="n">
        <v>14</v>
      </c>
      <c r="O1072" s="53" t="inlineStr">
        <is>
          <t>LOSE</t>
        </is>
      </c>
      <c r="P1072" s="55" t="n"/>
      <c r="Q1072" s="59">
        <f>IF(BO1072=1,0,IFERROR(VLOOKUP(BM1072,'Gebinde-Kategorie'!$A$5:$G$45,6,0)+0,0))</f>
        <v/>
      </c>
      <c r="R1072" s="60" t="n"/>
      <c r="S1072" s="61" t="n"/>
      <c r="T1072" s="61" t="n"/>
      <c r="U1072" s="53">
        <f>IF(A1072="","",IF(IFERROR(VLOOKUP(D1072,Parameter!$A$35:$C$64,2,0),"Nein")="2+3",IF(ISNUMBER(SEARCH("grosser Artikel",BJ1072)),2,IFERROR(VLOOKUP(BM1072,Parameter!$F$35:$G$64,2,0),2)),IF(OR(IFERROR(VLOOKUP(D1072,Parameter!$A$35:$C$64,2,0),"Nein")="Nein",IFERROR(VLOOKUP(D1072,Parameter!$A$35:$C$64,2,0),"Nein")=""),"-",VLOOKUP(D1072,Parameter!$A$35:$C$64,2,0))))</f>
        <v/>
      </c>
      <c r="V1072" s="61" t="n"/>
      <c r="W1072" s="62" t="n"/>
      <c r="X1072" s="55">
        <f>AM1072</f>
        <v/>
      </c>
      <c r="Y1072" s="55">
        <f>MAX(AM1072,G1072)</f>
        <v/>
      </c>
      <c r="Z1072" s="63" t="n"/>
      <c r="AA1072" s="55">
        <f>IF(LEFT(Cockpit!$C$5,1)="A",G1072,IF(BT1072=1,BU1072,IF(LEFT(Cockpit!$C$5,1)="B",AE1072,MAX(AE1072,G1072))))</f>
        <v/>
      </c>
      <c r="AB1072" s="55">
        <f>IF(BO1072=1,0,ROUNDUP(AA1072/BN1072,0))</f>
        <v/>
      </c>
      <c r="AC1072" s="64">
        <f>IF(BO1072=1,IF(AA1072&lt;=0,0,BP1072*MAX(1,IF(G1072&gt;0,AA1072/G1072,1))),AB1072*Q1072)</f>
        <v/>
      </c>
      <c r="AD1072" s="55">
        <f>AA1072*F1072</f>
        <v/>
      </c>
      <c r="AE1072" s="55">
        <f>ROUNDUP(MAX(I1072/IF(BS1072&gt;0,BS1072,MAX(0.1,N(Cockpit!$C$6))),BV1072)/BN1072,0)*BN1072</f>
        <v/>
      </c>
      <c r="AF1072" s="56">
        <f>IF(AC1072&gt;0,I1072/AC1072,-1)</f>
        <v/>
      </c>
      <c r="AG1072" s="56">
        <f>IF(AND(OR(BR1072="L1",BR1072="L23"),AC1072&gt;0),SUMIFS($AC$7:$AC$1570,$BR$7:$BR$1570,BR1072,$AF$7:$AF$1570,"&gt;"&amp;AF1072)+SUMIFS($AC$7:$AC$1570,$BR$7:$BR$1570,BR1072,$AF$7:$AF$1570,AF1072,$BL$7:$BL$1570,"&lt;="&amp;BL1072),"")</f>
        <v/>
      </c>
      <c r="AH1072" s="65">
        <f>IF(AG1072="",0,MAX(0,MIN(1,(IF(BR1072="L1",Parameter!$K$5,Parameter!$K$6+Parameter!$K$7)-(AG1072-AC1072))/AC1072)))</f>
        <v/>
      </c>
      <c r="AI1072" s="55">
        <f>IF(LEFT(Cockpit!$I$5,1)="A",G1072,IF(BT1072=1,BU1072,IF(LEFT(Cockpit!$I$5,1)="B",AM1072,MAX(AM1072,G1072))))</f>
        <v/>
      </c>
      <c r="AJ1072" s="55">
        <f>IF(BO1072=1,0,ROUNDUP(AI1072/BN1072,0))</f>
        <v/>
      </c>
      <c r="AK1072" s="64">
        <f>IF(BO1072=1,IF(AI1072&lt;=0,0,BP1072*MAX(1,IF(G1072&gt;0,AI1072/G1072,1))),AJ1072*Q1072)</f>
        <v/>
      </c>
      <c r="AL1072" s="55">
        <f>AI1072*F1072</f>
        <v/>
      </c>
      <c r="AM1072" s="55">
        <f>ROUNDUP(MAX(I1072/IF(BS1072&gt;0,BS1072,MAX(0.1,N(Cockpit!$I$6))),BV1072)/BN1072,0)*BN1072</f>
        <v/>
      </c>
      <c r="AN1072" s="56">
        <f>IF(AK1072&gt;0,I1072/AK1072,-1)</f>
        <v/>
      </c>
      <c r="AO1072" s="56">
        <f>IF(AND(OR(BR1072="L1",BR1072="L23"),AK1072&gt;0),SUMIFS($AK$7:$AK$1570,$BR$7:$BR$1570,BR1072,$AN$7:$AN$1570,"&gt;"&amp;AN1072)+SUMIFS($AK$7:$AK$1570,$BR$7:$BR$1570,BR1072,$AN$7:$AN$1570,AN1072,$BL$7:$BL$1570,"&lt;="&amp;BL1072),"")</f>
        <v/>
      </c>
      <c r="AP1072" s="65">
        <f>IF(AO1072="",0,MAX(0,MIN(1,(IF(BR1072="L1",Parameter!$K$5,Parameter!$K$6+Parameter!$K$7)-(AO1072-AK1072))/AK1072)))</f>
        <v/>
      </c>
      <c r="AQ1072" s="55">
        <f>IF(LEFT(Cockpit!$O$5,1)="A",G1072,IF(BT1072=1,BU1072,IF(LEFT(Cockpit!$O$5,1)="B",AU1072,MAX(AU1072,G1072))))</f>
        <v/>
      </c>
      <c r="AR1072" s="55">
        <f>IF(BO1072=1,0,ROUNDUP(AQ1072/BN1072,0))</f>
        <v/>
      </c>
      <c r="AS1072" s="64">
        <f>IF(BO1072=1,IF(AQ1072&lt;=0,0,BP1072*MAX(1,IF(G1072&gt;0,AQ1072/G1072,1))),AR1072*Q1072)</f>
        <v/>
      </c>
      <c r="AT1072" s="55">
        <f>AQ1072*F1072</f>
        <v/>
      </c>
      <c r="AU1072" s="55">
        <f>ROUNDUP(MAX(I1072/IF(BS1072&gt;0,BS1072,MAX(0.1,N(Cockpit!$O$6))),BV1072)/BN1072,0)*BN1072</f>
        <v/>
      </c>
      <c r="AV1072" s="56">
        <f>IF(AS1072&gt;0,I1072/AS1072,-1)</f>
        <v/>
      </c>
      <c r="AW1072" s="56">
        <f>IF(AND(OR(BR1072="L1",BR1072="L23"),AS1072&gt;0),SUMIFS($AS$7:$AS$1570,$BR$7:$BR$1570,BR1072,$AV$7:$AV$1570,"&gt;"&amp;AV1072)+SUMIFS($AS$7:$AS$1570,$BR$7:$BR$1570,BR1072,$AV$7:$AV$1570,AV1072,$BL$7:$BL$1570,"&lt;="&amp;BL1072),"")</f>
        <v/>
      </c>
      <c r="AX1072" s="65">
        <f>IF(AW1072="",0,MAX(0,MIN(1,(IF(BR1072="L1",Parameter!$K$5,Parameter!$K$6+Parameter!$K$7)-(AW1072-AS1072))/AS1072)))</f>
        <v/>
      </c>
      <c r="AY1072" s="53">
        <f>IF(AC1072&lt;=0,"",IF(BR1072="Aussen","Aussenlager",IF(BR1072="-","Nicht im Lift",IF(AH1072&gt;=1,"Lift",IF(AH1072&lt;=0,"Aussenlager","teilweise")))))</f>
        <v/>
      </c>
      <c r="AZ1072" s="53">
        <f>IF(AK1072&lt;=0,"",IF(BR1072="Aussen","Aussenlager",IF(BR1072="-","Nicht im Lift",IF(AP1072&gt;=1,"Lift",IF(AP1072&lt;=0,"Aussenlager","teilweise")))))</f>
        <v/>
      </c>
      <c r="BA1072" s="53">
        <f>IF(AS1072&lt;=0,"",IF(BR1072="Aussen","Aussenlager",IF(BR1072="-","Nicht im Lift",IF(AX1072&gt;=1,"Lift",IF(AX1072&lt;=0,"Aussenlager","teilweise")))))</f>
        <v/>
      </c>
      <c r="BB1072" s="53">
        <f>IF(A1072="","",IF(BK1072=1,"Neu; ","")&amp;IF(AND(BK1072=0,BF1072&lt;0),"negativer Bestand (Export "&amp;BF1072&amp;"); ","")&amp;IF(I1072&lt;=0,"Kein Verbrauch; ","")&amp;IF(BO1072=1,"Lose – Fläche geschätzt; ","")&amp;IF(G1072&gt;AM1072,"Überbestand "&amp;ROUND(G1072-AM1072,0)&amp;" Stk / CHF "&amp;ROUND((G1072-AM1072)*F1072,0)&amp;"; ","")&amp;IF(AND(BT1072=1,BU1072&lt;BV1072),"MAX &lt; MB+LG; ","")&amp;IF(AND(BZ1072&gt;0,BY1072*10&gt;BZ1072),"zu hoch für Tablar; ","")&amp;IF(AND(BK1072=0,OR(BT1072=1,V1072&lt;&gt;"",S1072&lt;&gt;"",T1072&lt;&gt;"",W1072&lt;&gt;"")),"manuell übersteuert; ","")&amp;IF(AND(BO1072=0,Q1072=0),"Gebinde unbekannt; ","")&amp;IF(AND(BO1072=0,N(T1072)&lt;=0,N(P1072)&lt;=0),"Menge pro Gebinde fehlt (Ist = 1 Gebinde); ","")&amp;BJ1072)</f>
        <v/>
      </c>
      <c r="BC1072" s="53" t="n"/>
      <c r="BD1072" s="53" t="n"/>
      <c r="BE1072" s="61" t="n"/>
      <c r="BF1072" s="55" t="n">
        <v>-1</v>
      </c>
      <c r="BG1072" s="55" t="n">
        <v>24</v>
      </c>
      <c r="BH1072" s="54" t="n">
        <v>-168</v>
      </c>
      <c r="BI1072" s="55" t="n">
        <v>1</v>
      </c>
      <c r="BJ1072" s="53" t="inlineStr">
        <is>
          <t>Überbestand; grosser Artikel &amp; nicht im KTL</t>
        </is>
      </c>
      <c r="BK1072" s="58" t="n">
        <v>0</v>
      </c>
      <c r="BL1072" s="58" t="n">
        <v>1072</v>
      </c>
      <c r="BM1072" s="53">
        <f>IF(S1072&lt;&gt;"",UPPER(TRIM(S1072)),IF(O1072="","LOSE",O1072))</f>
        <v/>
      </c>
      <c r="BN1072" s="55">
        <f>IF(BM1072="LOSE",1,IF(N(T1072)&gt;0,T1072,IF(N(P1072)&gt;0,P1072,MAX(1,G1072))))</f>
        <v/>
      </c>
      <c r="BO1072" s="58">
        <f>IF(BM1072="LOSE",1,0)</f>
        <v/>
      </c>
      <c r="BP1072" s="64">
        <f>IF(BO1072=0,0,IF(N(R1072)&gt;0,R1072,IFERROR(VLOOKUP(D1072,Parameter!$A$35:$C$64,3,0)+0,0)))</f>
        <v/>
      </c>
      <c r="BQ1072" s="53">
        <f>IF(V1072&lt;&gt;"",V1072,U1072)</f>
        <v/>
      </c>
      <c r="BR1072" s="53">
        <f>IF(BQ1072=1,"L1",IF(OR(BQ1072=2,BQ1072=3),"L23",IF(BQ1072="Aussen","Aussen","-")))</f>
        <v/>
      </c>
      <c r="BS1072" s="66">
        <f>IF(N(W1072)&gt;0,W1072,0)</f>
        <v/>
      </c>
      <c r="BT1072" s="58">
        <f>IF(ISNUMBER(Z1072),1,0)</f>
        <v/>
      </c>
      <c r="BU1072" s="55">
        <f>N(Z1072)</f>
        <v/>
      </c>
      <c r="BV1072" s="55">
        <f>N(L1072)+N(M1072)</f>
        <v/>
      </c>
      <c r="BW1072" s="55">
        <f>ROUNDUP(G1072/BN1072,0)</f>
        <v/>
      </c>
      <c r="BX1072" s="55">
        <f>ROUNDUP(BU1072/BN1072,0)</f>
        <v/>
      </c>
      <c r="BY1072" s="58">
        <f>IF(BO1072=1,0,IFERROR(VLOOKUP(BM1072,'Gebinde-Kategorie'!$A$5:$G$45,5,0)+0,0))</f>
        <v/>
      </c>
      <c r="BZ1072" s="58">
        <f>IFERROR(IF(OR(BQ1072=1,BQ1072=2,BQ1072=3),N(INDEX(Parameter!$I$5:$I$7,BQ1072)),0),0)</f>
        <v/>
      </c>
    </row>
    <row r="1073">
      <c r="A1073" s="53" t="inlineStr">
        <is>
          <t>104274</t>
        </is>
      </c>
      <c r="B1073" s="53" t="inlineStr">
        <is>
          <t>Transfermagnetventil Spule O2</t>
        </is>
      </c>
      <c r="C1073" s="53" t="inlineStr">
        <is>
          <t>F</t>
        </is>
      </c>
      <c r="D1073" s="53" t="inlineStr">
        <is>
          <t>PAL</t>
        </is>
      </c>
      <c r="E1073" s="53" t="inlineStr">
        <is>
          <t>C</t>
        </is>
      </c>
      <c r="F1073" s="54" t="n">
        <v>168</v>
      </c>
      <c r="G1073" s="55">
        <f>MAX(0,IF(Parameter!$B$20="Jahresanfang 2025 + Export",BG1073+BF1073,BF1073))</f>
        <v/>
      </c>
      <c r="H1073" s="55">
        <f>G1073*F1073</f>
        <v/>
      </c>
      <c r="I1073" s="55">
        <f>BI1073*Parameter!$B$18</f>
        <v/>
      </c>
      <c r="J1073" s="56" t="n">
        <v>11.5</v>
      </c>
      <c r="K1073" s="57" t="n">
        <v>0.08695652173913043</v>
      </c>
      <c r="L1073" s="55" t="n">
        <v>0</v>
      </c>
      <c r="M1073" s="55" t="n">
        <v>1</v>
      </c>
      <c r="N1073" s="58" t="n">
        <v>84</v>
      </c>
      <c r="O1073" s="53" t="inlineStr">
        <is>
          <t>S71</t>
        </is>
      </c>
      <c r="P1073" s="55" t="n">
        <v>15</v>
      </c>
      <c r="Q1073" s="59">
        <f>IF(BO1073=1,0,IFERROR(VLOOKUP(BM1073,'Gebinde-Kategorie'!$A$5:$G$45,6,0)+0,0))</f>
        <v/>
      </c>
      <c r="R1073" s="60" t="n"/>
      <c r="S1073" s="61" t="n"/>
      <c r="T1073" s="61" t="n"/>
      <c r="U1073" s="53">
        <f>IF(A1073="","",IF(IFERROR(VLOOKUP(D1073,Parameter!$A$35:$C$64,2,0),"Nein")="2+3",IF(ISNUMBER(SEARCH("grosser Artikel",BJ1073)),2,IFERROR(VLOOKUP(BM1073,Parameter!$F$35:$G$64,2,0),2)),IF(OR(IFERROR(VLOOKUP(D1073,Parameter!$A$35:$C$64,2,0),"Nein")="Nein",IFERROR(VLOOKUP(D1073,Parameter!$A$35:$C$64,2,0),"Nein")=""),"-",VLOOKUP(D1073,Parameter!$A$35:$C$64,2,0))))</f>
        <v/>
      </c>
      <c r="V1073" s="61" t="n"/>
      <c r="W1073" s="62" t="n"/>
      <c r="X1073" s="55">
        <f>AM1073</f>
        <v/>
      </c>
      <c r="Y1073" s="55">
        <f>MAX(AM1073,G1073)</f>
        <v/>
      </c>
      <c r="Z1073" s="63" t="n"/>
      <c r="AA1073" s="55">
        <f>IF(LEFT(Cockpit!$C$5,1)="A",G1073,IF(BT1073=1,BU1073,IF(LEFT(Cockpit!$C$5,1)="B",AE1073,MAX(AE1073,G1073))))</f>
        <v/>
      </c>
      <c r="AB1073" s="55">
        <f>IF(BO1073=1,0,ROUNDUP(AA1073/BN1073,0))</f>
        <v/>
      </c>
      <c r="AC1073" s="64">
        <f>IF(BO1073=1,IF(AA1073&lt;=0,0,BP1073*MAX(1,IF(G1073&gt;0,AA1073/G1073,1))),AB1073*Q1073)</f>
        <v/>
      </c>
      <c r="AD1073" s="55">
        <f>AA1073*F1073</f>
        <v/>
      </c>
      <c r="AE1073" s="55">
        <f>ROUNDUP(MAX(I1073/IF(BS1073&gt;0,BS1073,MAX(0.1,N(Cockpit!$C$6))),BV1073)/BN1073,0)*BN1073</f>
        <v/>
      </c>
      <c r="AF1073" s="56">
        <f>IF(AC1073&gt;0,I1073/AC1073,-1)</f>
        <v/>
      </c>
      <c r="AG1073" s="56">
        <f>IF(AND(OR(BR1073="L1",BR1073="L23"),AC1073&gt;0),SUMIFS($AC$7:$AC$1570,$BR$7:$BR$1570,BR1073,$AF$7:$AF$1570,"&gt;"&amp;AF1073)+SUMIFS($AC$7:$AC$1570,$BR$7:$BR$1570,BR1073,$AF$7:$AF$1570,AF1073,$BL$7:$BL$1570,"&lt;="&amp;BL1073),"")</f>
        <v/>
      </c>
      <c r="AH1073" s="65">
        <f>IF(AG1073="",0,MAX(0,MIN(1,(IF(BR1073="L1",Parameter!$K$5,Parameter!$K$6+Parameter!$K$7)-(AG1073-AC1073))/AC1073)))</f>
        <v/>
      </c>
      <c r="AI1073" s="55">
        <f>IF(LEFT(Cockpit!$I$5,1)="A",G1073,IF(BT1073=1,BU1073,IF(LEFT(Cockpit!$I$5,1)="B",AM1073,MAX(AM1073,G1073))))</f>
        <v/>
      </c>
      <c r="AJ1073" s="55">
        <f>IF(BO1073=1,0,ROUNDUP(AI1073/BN1073,0))</f>
        <v/>
      </c>
      <c r="AK1073" s="64">
        <f>IF(BO1073=1,IF(AI1073&lt;=0,0,BP1073*MAX(1,IF(G1073&gt;0,AI1073/G1073,1))),AJ1073*Q1073)</f>
        <v/>
      </c>
      <c r="AL1073" s="55">
        <f>AI1073*F1073</f>
        <v/>
      </c>
      <c r="AM1073" s="55">
        <f>ROUNDUP(MAX(I1073/IF(BS1073&gt;0,BS1073,MAX(0.1,N(Cockpit!$I$6))),BV1073)/BN1073,0)*BN1073</f>
        <v/>
      </c>
      <c r="AN1073" s="56">
        <f>IF(AK1073&gt;0,I1073/AK1073,-1)</f>
        <v/>
      </c>
      <c r="AO1073" s="56">
        <f>IF(AND(OR(BR1073="L1",BR1073="L23"),AK1073&gt;0),SUMIFS($AK$7:$AK$1570,$BR$7:$BR$1570,BR1073,$AN$7:$AN$1570,"&gt;"&amp;AN1073)+SUMIFS($AK$7:$AK$1570,$BR$7:$BR$1570,BR1073,$AN$7:$AN$1570,AN1073,$BL$7:$BL$1570,"&lt;="&amp;BL1073),"")</f>
        <v/>
      </c>
      <c r="AP1073" s="65">
        <f>IF(AO1073="",0,MAX(0,MIN(1,(IF(BR1073="L1",Parameter!$K$5,Parameter!$K$6+Parameter!$K$7)-(AO1073-AK1073))/AK1073)))</f>
        <v/>
      </c>
      <c r="AQ1073" s="55">
        <f>IF(LEFT(Cockpit!$O$5,1)="A",G1073,IF(BT1073=1,BU1073,IF(LEFT(Cockpit!$O$5,1)="B",AU1073,MAX(AU1073,G1073))))</f>
        <v/>
      </c>
      <c r="AR1073" s="55">
        <f>IF(BO1073=1,0,ROUNDUP(AQ1073/BN1073,0))</f>
        <v/>
      </c>
      <c r="AS1073" s="64">
        <f>IF(BO1073=1,IF(AQ1073&lt;=0,0,BP1073*MAX(1,IF(G1073&gt;0,AQ1073/G1073,1))),AR1073*Q1073)</f>
        <v/>
      </c>
      <c r="AT1073" s="55">
        <f>AQ1073*F1073</f>
        <v/>
      </c>
      <c r="AU1073" s="55">
        <f>ROUNDUP(MAX(I1073/IF(BS1073&gt;0,BS1073,MAX(0.1,N(Cockpit!$O$6))),BV1073)/BN1073,0)*BN1073</f>
        <v/>
      </c>
      <c r="AV1073" s="56">
        <f>IF(AS1073&gt;0,I1073/AS1073,-1)</f>
        <v/>
      </c>
      <c r="AW1073" s="56">
        <f>IF(AND(OR(BR1073="L1",BR1073="L23"),AS1073&gt;0),SUMIFS($AS$7:$AS$1570,$BR$7:$BR$1570,BR1073,$AV$7:$AV$1570,"&gt;"&amp;AV1073)+SUMIFS($AS$7:$AS$1570,$BR$7:$BR$1570,BR1073,$AV$7:$AV$1570,AV1073,$BL$7:$BL$1570,"&lt;="&amp;BL1073),"")</f>
        <v/>
      </c>
      <c r="AX1073" s="65">
        <f>IF(AW1073="",0,MAX(0,MIN(1,(IF(BR1073="L1",Parameter!$K$5,Parameter!$K$6+Parameter!$K$7)-(AW1073-AS1073))/AS1073)))</f>
        <v/>
      </c>
      <c r="AY1073" s="53">
        <f>IF(AC1073&lt;=0,"",IF(BR1073="Aussen","Aussenlager",IF(BR1073="-","Nicht im Lift",IF(AH1073&gt;=1,"Lift",IF(AH1073&lt;=0,"Aussenlager","teilweise")))))</f>
        <v/>
      </c>
      <c r="AZ1073" s="53">
        <f>IF(AK1073&lt;=0,"",IF(BR1073="Aussen","Aussenlager",IF(BR1073="-","Nicht im Lift",IF(AP1073&gt;=1,"Lift",IF(AP1073&lt;=0,"Aussenlager","teilweise")))))</f>
        <v/>
      </c>
      <c r="BA1073" s="53">
        <f>IF(AS1073&lt;=0,"",IF(BR1073="Aussen","Aussenlager",IF(BR1073="-","Nicht im Lift",IF(AX1073&gt;=1,"Lift",IF(AX1073&lt;=0,"Aussenlager","teilweise")))))</f>
        <v/>
      </c>
      <c r="BB1073" s="53">
        <f>IF(A1073="","",IF(BK1073=1,"Neu; ","")&amp;IF(AND(BK1073=0,BF1073&lt;0),"negativer Bestand (Export "&amp;BF1073&amp;"); ","")&amp;IF(I1073&lt;=0,"Kein Verbrauch; ","")&amp;IF(BO1073=1,"Lose – Fläche geschätzt; ","")&amp;IF(G1073&gt;AM1073,"Überbestand "&amp;ROUND(G1073-AM1073,0)&amp;" Stk / CHF "&amp;ROUND((G1073-AM1073)*F1073,0)&amp;"; ","")&amp;IF(AND(BT1073=1,BU1073&lt;BV1073),"MAX &lt; MB+LG; ","")&amp;IF(AND(BZ1073&gt;0,BY1073*10&gt;BZ1073),"zu hoch für Tablar; ","")&amp;IF(AND(BK1073=0,OR(BT1073=1,V1073&lt;&gt;"",S1073&lt;&gt;"",T1073&lt;&gt;"",W1073&lt;&gt;"")),"manuell übersteuert; ","")&amp;IF(AND(BO1073=0,Q1073=0),"Gebinde unbekannt; ","")&amp;IF(AND(BO1073=0,N(T1073)&lt;=0,N(P1073)&lt;=0),"Menge pro Gebinde fehlt (Ist = 1 Gebinde); ","")&amp;BJ1073)</f>
        <v/>
      </c>
      <c r="BC1073" s="53" t="n"/>
      <c r="BD1073" s="53" t="n"/>
      <c r="BE1073" s="61" t="n"/>
      <c r="BF1073" s="55" t="n">
        <v>-1</v>
      </c>
      <c r="BG1073" s="55" t="n">
        <v>12</v>
      </c>
      <c r="BH1073" s="54" t="n">
        <v>-168</v>
      </c>
      <c r="BI1073" s="55" t="n">
        <v>1</v>
      </c>
      <c r="BJ1073" s="53" t="inlineStr">
        <is>
          <t>grosser Artikel &amp; nicht im KTL</t>
        </is>
      </c>
      <c r="BK1073" s="58" t="n">
        <v>0</v>
      </c>
      <c r="BL1073" s="58" t="n">
        <v>1073</v>
      </c>
      <c r="BM1073" s="53">
        <f>IF(S1073&lt;&gt;"",UPPER(TRIM(S1073)),IF(O1073="","LOSE",O1073))</f>
        <v/>
      </c>
      <c r="BN1073" s="55">
        <f>IF(BM1073="LOSE",1,IF(N(T1073)&gt;0,T1073,IF(N(P1073)&gt;0,P1073,MAX(1,G1073))))</f>
        <v/>
      </c>
      <c r="BO1073" s="58">
        <f>IF(BM1073="LOSE",1,0)</f>
        <v/>
      </c>
      <c r="BP1073" s="64">
        <f>IF(BO1073=0,0,IF(N(R1073)&gt;0,R1073,IFERROR(VLOOKUP(D1073,Parameter!$A$35:$C$64,3,0)+0,0)))</f>
        <v/>
      </c>
      <c r="BQ1073" s="53">
        <f>IF(V1073&lt;&gt;"",V1073,U1073)</f>
        <v/>
      </c>
      <c r="BR1073" s="53">
        <f>IF(BQ1073=1,"L1",IF(OR(BQ1073=2,BQ1073=3),"L23",IF(BQ1073="Aussen","Aussen","-")))</f>
        <v/>
      </c>
      <c r="BS1073" s="66">
        <f>IF(N(W1073)&gt;0,W1073,0)</f>
        <v/>
      </c>
      <c r="BT1073" s="58">
        <f>IF(ISNUMBER(Z1073),1,0)</f>
        <v/>
      </c>
      <c r="BU1073" s="55">
        <f>N(Z1073)</f>
        <v/>
      </c>
      <c r="BV1073" s="55">
        <f>N(L1073)+N(M1073)</f>
        <v/>
      </c>
      <c r="BW1073" s="55">
        <f>ROUNDUP(G1073/BN1073,0)</f>
        <v/>
      </c>
      <c r="BX1073" s="55">
        <f>ROUNDUP(BU1073/BN1073,0)</f>
        <v/>
      </c>
      <c r="BY1073" s="58">
        <f>IF(BO1073=1,0,IFERROR(VLOOKUP(BM1073,'Gebinde-Kategorie'!$A$5:$G$45,5,0)+0,0))</f>
        <v/>
      </c>
      <c r="BZ1073" s="58">
        <f>IFERROR(IF(OR(BQ1073=1,BQ1073=2,BQ1073=3),N(INDEX(Parameter!$I$5:$I$7,BQ1073)),0),0)</f>
        <v/>
      </c>
    </row>
    <row r="1074">
      <c r="A1074" s="53" t="inlineStr">
        <is>
          <t>005542</t>
        </is>
      </c>
      <c r="B1074" s="53" t="inlineStr">
        <is>
          <t>PTFE Schlauch DN6</t>
        </is>
      </c>
      <c r="C1074" s="53" t="inlineStr">
        <is>
          <t>F</t>
        </is>
      </c>
      <c r="D1074" s="53" t="inlineStr">
        <is>
          <t>PAL</t>
        </is>
      </c>
      <c r="E1074" s="53" t="inlineStr">
        <is>
          <t>C</t>
        </is>
      </c>
      <c r="F1074" s="54" t="n">
        <v>43.8</v>
      </c>
      <c r="G1074" s="55">
        <f>MAX(0,IF(Parameter!$B$20="Jahresanfang 2025 + Export",BG1074+BF1074,BF1074))</f>
        <v/>
      </c>
      <c r="H1074" s="55">
        <f>G1074*F1074</f>
        <v/>
      </c>
      <c r="I1074" s="55">
        <f>BI1074*Parameter!$B$18</f>
        <v/>
      </c>
      <c r="J1074" s="56" t="n">
        <v>30</v>
      </c>
      <c r="K1074" s="57" t="n">
        <v>0.1333333333333333</v>
      </c>
      <c r="L1074" s="55" t="n">
        <v>0</v>
      </c>
      <c r="M1074" s="55" t="n">
        <v>5</v>
      </c>
      <c r="N1074" s="58" t="n">
        <v>70</v>
      </c>
      <c r="O1074" s="53" t="inlineStr">
        <is>
          <t>S63</t>
        </is>
      </c>
      <c r="P1074" s="55" t="n">
        <v>30</v>
      </c>
      <c r="Q1074" s="59">
        <f>IF(BO1074=1,0,IFERROR(VLOOKUP(BM1074,'Gebinde-Kategorie'!$A$5:$G$45,6,0)+0,0))</f>
        <v/>
      </c>
      <c r="R1074" s="60" t="n"/>
      <c r="S1074" s="61" t="n"/>
      <c r="T1074" s="61" t="n"/>
      <c r="U1074" s="53">
        <f>IF(A1074="","",IF(IFERROR(VLOOKUP(D1074,Parameter!$A$35:$C$64,2,0),"Nein")="2+3",IF(ISNUMBER(SEARCH("grosser Artikel",BJ1074)),2,IFERROR(VLOOKUP(BM1074,Parameter!$F$35:$G$64,2,0),2)),IF(OR(IFERROR(VLOOKUP(D1074,Parameter!$A$35:$C$64,2,0),"Nein")="Nein",IFERROR(VLOOKUP(D1074,Parameter!$A$35:$C$64,2,0),"Nein")=""),"-",VLOOKUP(D1074,Parameter!$A$35:$C$64,2,0))))</f>
        <v/>
      </c>
      <c r="V1074" s="61" t="n"/>
      <c r="W1074" s="62" t="n"/>
      <c r="X1074" s="55">
        <f>AM1074</f>
        <v/>
      </c>
      <c r="Y1074" s="55">
        <f>MAX(AM1074,G1074)</f>
        <v/>
      </c>
      <c r="Z1074" s="63" t="n"/>
      <c r="AA1074" s="55">
        <f>IF(LEFT(Cockpit!$C$5,1)="A",G1074,IF(BT1074=1,BU1074,IF(LEFT(Cockpit!$C$5,1)="B",AE1074,MAX(AE1074,G1074))))</f>
        <v/>
      </c>
      <c r="AB1074" s="55">
        <f>IF(BO1074=1,0,ROUNDUP(AA1074/BN1074,0))</f>
        <v/>
      </c>
      <c r="AC1074" s="64">
        <f>IF(BO1074=1,IF(AA1074&lt;=0,0,BP1074*MAX(1,IF(G1074&gt;0,AA1074/G1074,1))),AB1074*Q1074)</f>
        <v/>
      </c>
      <c r="AD1074" s="55">
        <f>AA1074*F1074</f>
        <v/>
      </c>
      <c r="AE1074" s="55">
        <f>ROUNDUP(MAX(I1074/IF(BS1074&gt;0,BS1074,MAX(0.1,N(Cockpit!$C$6))),BV1074)/BN1074,0)*BN1074</f>
        <v/>
      </c>
      <c r="AF1074" s="56">
        <f>IF(AC1074&gt;0,I1074/AC1074,-1)</f>
        <v/>
      </c>
      <c r="AG1074" s="56">
        <f>IF(AND(OR(BR1074="L1",BR1074="L23"),AC1074&gt;0),SUMIFS($AC$7:$AC$1570,$BR$7:$BR$1570,BR1074,$AF$7:$AF$1570,"&gt;"&amp;AF1074)+SUMIFS($AC$7:$AC$1570,$BR$7:$BR$1570,BR1074,$AF$7:$AF$1570,AF1074,$BL$7:$BL$1570,"&lt;="&amp;BL1074),"")</f>
        <v/>
      </c>
      <c r="AH1074" s="65">
        <f>IF(AG1074="",0,MAX(0,MIN(1,(IF(BR1074="L1",Parameter!$K$5,Parameter!$K$6+Parameter!$K$7)-(AG1074-AC1074))/AC1074)))</f>
        <v/>
      </c>
      <c r="AI1074" s="55">
        <f>IF(LEFT(Cockpit!$I$5,1)="A",G1074,IF(BT1074=1,BU1074,IF(LEFT(Cockpit!$I$5,1)="B",AM1074,MAX(AM1074,G1074))))</f>
        <v/>
      </c>
      <c r="AJ1074" s="55">
        <f>IF(BO1074=1,0,ROUNDUP(AI1074/BN1074,0))</f>
        <v/>
      </c>
      <c r="AK1074" s="64">
        <f>IF(BO1074=1,IF(AI1074&lt;=0,0,BP1074*MAX(1,IF(G1074&gt;0,AI1074/G1074,1))),AJ1074*Q1074)</f>
        <v/>
      </c>
      <c r="AL1074" s="55">
        <f>AI1074*F1074</f>
        <v/>
      </c>
      <c r="AM1074" s="55">
        <f>ROUNDUP(MAX(I1074/IF(BS1074&gt;0,BS1074,MAX(0.1,N(Cockpit!$I$6))),BV1074)/BN1074,0)*BN1074</f>
        <v/>
      </c>
      <c r="AN1074" s="56">
        <f>IF(AK1074&gt;0,I1074/AK1074,-1)</f>
        <v/>
      </c>
      <c r="AO1074" s="56">
        <f>IF(AND(OR(BR1074="L1",BR1074="L23"),AK1074&gt;0),SUMIFS($AK$7:$AK$1570,$BR$7:$BR$1570,BR1074,$AN$7:$AN$1570,"&gt;"&amp;AN1074)+SUMIFS($AK$7:$AK$1570,$BR$7:$BR$1570,BR1074,$AN$7:$AN$1570,AN1074,$BL$7:$BL$1570,"&lt;="&amp;BL1074),"")</f>
        <v/>
      </c>
      <c r="AP1074" s="65">
        <f>IF(AO1074="",0,MAX(0,MIN(1,(IF(BR1074="L1",Parameter!$K$5,Parameter!$K$6+Parameter!$K$7)-(AO1074-AK1074))/AK1074)))</f>
        <v/>
      </c>
      <c r="AQ1074" s="55">
        <f>IF(LEFT(Cockpit!$O$5,1)="A",G1074,IF(BT1074=1,BU1074,IF(LEFT(Cockpit!$O$5,1)="B",AU1074,MAX(AU1074,G1074))))</f>
        <v/>
      </c>
      <c r="AR1074" s="55">
        <f>IF(BO1074=1,0,ROUNDUP(AQ1074/BN1074,0))</f>
        <v/>
      </c>
      <c r="AS1074" s="64">
        <f>IF(BO1074=1,IF(AQ1074&lt;=0,0,BP1074*MAX(1,IF(G1074&gt;0,AQ1074/G1074,1))),AR1074*Q1074)</f>
        <v/>
      </c>
      <c r="AT1074" s="55">
        <f>AQ1074*F1074</f>
        <v/>
      </c>
      <c r="AU1074" s="55">
        <f>ROUNDUP(MAX(I1074/IF(BS1074&gt;0,BS1074,MAX(0.1,N(Cockpit!$O$6))),BV1074)/BN1074,0)*BN1074</f>
        <v/>
      </c>
      <c r="AV1074" s="56">
        <f>IF(AS1074&gt;0,I1074/AS1074,-1)</f>
        <v/>
      </c>
      <c r="AW1074" s="56">
        <f>IF(AND(OR(BR1074="L1",BR1074="L23"),AS1074&gt;0),SUMIFS($AS$7:$AS$1570,$BR$7:$BR$1570,BR1074,$AV$7:$AV$1570,"&gt;"&amp;AV1074)+SUMIFS($AS$7:$AS$1570,$BR$7:$BR$1570,BR1074,$AV$7:$AV$1570,AV1074,$BL$7:$BL$1570,"&lt;="&amp;BL1074),"")</f>
        <v/>
      </c>
      <c r="AX1074" s="65">
        <f>IF(AW1074="",0,MAX(0,MIN(1,(IF(BR1074="L1",Parameter!$K$5,Parameter!$K$6+Parameter!$K$7)-(AW1074-AS1074))/AS1074)))</f>
        <v/>
      </c>
      <c r="AY1074" s="53">
        <f>IF(AC1074&lt;=0,"",IF(BR1074="Aussen","Aussenlager",IF(BR1074="-","Nicht im Lift",IF(AH1074&gt;=1,"Lift",IF(AH1074&lt;=0,"Aussenlager","teilweise")))))</f>
        <v/>
      </c>
      <c r="AZ1074" s="53">
        <f>IF(AK1074&lt;=0,"",IF(BR1074="Aussen","Aussenlager",IF(BR1074="-","Nicht im Lift",IF(AP1074&gt;=1,"Lift",IF(AP1074&lt;=0,"Aussenlager","teilweise")))))</f>
        <v/>
      </c>
      <c r="BA1074" s="53">
        <f>IF(AS1074&lt;=0,"",IF(BR1074="Aussen","Aussenlager",IF(BR1074="-","Nicht im Lift",IF(AX1074&gt;=1,"Lift",IF(AX1074&lt;=0,"Aussenlager","teilweise")))))</f>
        <v/>
      </c>
      <c r="BB1074" s="53">
        <f>IF(A1074="","",IF(BK1074=1,"Neu; ","")&amp;IF(AND(BK1074=0,BF1074&lt;0),"negativer Bestand (Export "&amp;BF1074&amp;"); ","")&amp;IF(I1074&lt;=0,"Kein Verbrauch; ","")&amp;IF(BO1074=1,"Lose – Fläche geschätzt; ","")&amp;IF(G1074&gt;AM1074,"Überbestand "&amp;ROUND(G1074-AM1074,0)&amp;" Stk / CHF "&amp;ROUND((G1074-AM1074)*F1074,0)&amp;"; ","")&amp;IF(AND(BT1074=1,BU1074&lt;BV1074),"MAX &lt; MB+LG; ","")&amp;IF(AND(BZ1074&gt;0,BY1074*10&gt;BZ1074),"zu hoch für Tablar; ","")&amp;IF(AND(BK1074=0,OR(BT1074=1,V1074&lt;&gt;"",S1074&lt;&gt;"",T1074&lt;&gt;"",W1074&lt;&gt;"")),"manuell übersteuert; ","")&amp;IF(AND(BO1074=0,Q1074=0),"Gebinde unbekannt; ","")&amp;IF(AND(BO1074=0,N(T1074)&lt;=0,N(P1074)&lt;=0),"Menge pro Gebinde fehlt (Ist = 1 Gebinde); ","")&amp;BJ1074)</f>
        <v/>
      </c>
      <c r="BC1074" s="53" t="n"/>
      <c r="BD1074" s="53" t="n"/>
      <c r="BE1074" s="61" t="n"/>
      <c r="BF1074" s="55" t="n">
        <v>-4</v>
      </c>
      <c r="BG1074" s="55" t="n">
        <v>32</v>
      </c>
      <c r="BH1074" s="54" t="n">
        <v>-175.2</v>
      </c>
      <c r="BI1074" s="55" t="n">
        <v>4</v>
      </c>
      <c r="BJ1074" s="53" t="inlineStr">
        <is>
          <t>Überbestand</t>
        </is>
      </c>
      <c r="BK1074" s="58" t="n">
        <v>0</v>
      </c>
      <c r="BL1074" s="58" t="n">
        <v>1074</v>
      </c>
      <c r="BM1074" s="53">
        <f>IF(S1074&lt;&gt;"",UPPER(TRIM(S1074)),IF(O1074="","LOSE",O1074))</f>
        <v/>
      </c>
      <c r="BN1074" s="55">
        <f>IF(BM1074="LOSE",1,IF(N(T1074)&gt;0,T1074,IF(N(P1074)&gt;0,P1074,MAX(1,G1074))))</f>
        <v/>
      </c>
      <c r="BO1074" s="58">
        <f>IF(BM1074="LOSE",1,0)</f>
        <v/>
      </c>
      <c r="BP1074" s="64">
        <f>IF(BO1074=0,0,IF(N(R1074)&gt;0,R1074,IFERROR(VLOOKUP(D1074,Parameter!$A$35:$C$64,3,0)+0,0)))</f>
        <v/>
      </c>
      <c r="BQ1074" s="53">
        <f>IF(V1074&lt;&gt;"",V1074,U1074)</f>
        <v/>
      </c>
      <c r="BR1074" s="53">
        <f>IF(BQ1074=1,"L1",IF(OR(BQ1074=2,BQ1074=3),"L23",IF(BQ1074="Aussen","Aussen","-")))</f>
        <v/>
      </c>
      <c r="BS1074" s="66">
        <f>IF(N(W1074)&gt;0,W1074,0)</f>
        <v/>
      </c>
      <c r="BT1074" s="58">
        <f>IF(ISNUMBER(Z1074),1,0)</f>
        <v/>
      </c>
      <c r="BU1074" s="55">
        <f>N(Z1074)</f>
        <v/>
      </c>
      <c r="BV1074" s="55">
        <f>N(L1074)+N(M1074)</f>
        <v/>
      </c>
      <c r="BW1074" s="55">
        <f>ROUNDUP(G1074/BN1074,0)</f>
        <v/>
      </c>
      <c r="BX1074" s="55">
        <f>ROUNDUP(BU1074/BN1074,0)</f>
        <v/>
      </c>
      <c r="BY1074" s="58">
        <f>IF(BO1074=1,0,IFERROR(VLOOKUP(BM1074,'Gebinde-Kategorie'!$A$5:$G$45,5,0)+0,0))</f>
        <v/>
      </c>
      <c r="BZ1074" s="58">
        <f>IFERROR(IF(OR(BQ1074=1,BQ1074=2,BQ1074=3),N(INDEX(Parameter!$I$5:$I$7,BQ1074)),0),0)</f>
        <v/>
      </c>
    </row>
    <row r="1075">
      <c r="A1075" s="53" t="inlineStr">
        <is>
          <t>107249</t>
        </is>
      </c>
      <c r="B1075" s="53" t="inlineStr">
        <is>
          <t>Servicepaket AC260 Endabscheider</t>
        </is>
      </c>
      <c r="C1075" s="53" t="inlineStr">
        <is>
          <t>F</t>
        </is>
      </c>
      <c r="D1075" s="53" t="inlineStr">
        <is>
          <t>KTL</t>
        </is>
      </c>
      <c r="E1075" s="53" t="inlineStr">
        <is>
          <t>C</t>
        </is>
      </c>
      <c r="F1075" s="54" t="n">
        <v>111.1</v>
      </c>
      <c r="G1075" s="55">
        <f>MAX(0,IF(Parameter!$B$20="Jahresanfang 2025 + Export",BG1075+BF1075,BF1075))</f>
        <v/>
      </c>
      <c r="H1075" s="55">
        <f>G1075*F1075</f>
        <v/>
      </c>
      <c r="I1075" s="55">
        <f>BI1075*Parameter!$B$18</f>
        <v/>
      </c>
      <c r="J1075" s="56" t="n">
        <v>3</v>
      </c>
      <c r="K1075" s="57" t="n">
        <v>0.6666666666666666</v>
      </c>
      <c r="L1075" s="55" t="n">
        <v>0</v>
      </c>
      <c r="M1075" s="55" t="n">
        <v>1</v>
      </c>
      <c r="N1075" s="58" t="n">
        <v>28</v>
      </c>
      <c r="O1075" s="53" t="inlineStr">
        <is>
          <t>S32</t>
        </is>
      </c>
      <c r="P1075" s="55" t="n">
        <v>3</v>
      </c>
      <c r="Q1075" s="59">
        <f>IF(BO1075=1,0,IFERROR(VLOOKUP(BM1075,'Gebinde-Kategorie'!$A$5:$G$45,6,0)+0,0))</f>
        <v/>
      </c>
      <c r="R1075" s="60" t="n"/>
      <c r="S1075" s="61" t="n"/>
      <c r="T1075" s="61" t="n"/>
      <c r="U1075" s="53">
        <f>IF(A1075="","",IF(IFERROR(VLOOKUP(D1075,Parameter!$A$35:$C$64,2,0),"Nein")="2+3",IF(ISNUMBER(SEARCH("grosser Artikel",BJ1075)),2,IFERROR(VLOOKUP(BM1075,Parameter!$F$35:$G$64,2,0),2)),IF(OR(IFERROR(VLOOKUP(D1075,Parameter!$A$35:$C$64,2,0),"Nein")="Nein",IFERROR(VLOOKUP(D1075,Parameter!$A$35:$C$64,2,0),"Nein")=""),"-",VLOOKUP(D1075,Parameter!$A$35:$C$64,2,0))))</f>
        <v/>
      </c>
      <c r="V1075" s="61" t="n"/>
      <c r="W1075" s="62" t="n"/>
      <c r="X1075" s="55">
        <f>AM1075</f>
        <v/>
      </c>
      <c r="Y1075" s="55">
        <f>MAX(AM1075,G1075)</f>
        <v/>
      </c>
      <c r="Z1075" s="63" t="n"/>
      <c r="AA1075" s="55">
        <f>IF(LEFT(Cockpit!$C$5,1)="A",G1075,IF(BT1075=1,BU1075,IF(LEFT(Cockpit!$C$5,1)="B",AE1075,MAX(AE1075,G1075))))</f>
        <v/>
      </c>
      <c r="AB1075" s="55">
        <f>IF(BO1075=1,0,ROUNDUP(AA1075/BN1075,0))</f>
        <v/>
      </c>
      <c r="AC1075" s="64">
        <f>IF(BO1075=1,IF(AA1075&lt;=0,0,BP1075*MAX(1,IF(G1075&gt;0,AA1075/G1075,1))),AB1075*Q1075)</f>
        <v/>
      </c>
      <c r="AD1075" s="55">
        <f>AA1075*F1075</f>
        <v/>
      </c>
      <c r="AE1075" s="55">
        <f>ROUNDUP(MAX(I1075/IF(BS1075&gt;0,BS1075,MAX(0.1,N(Cockpit!$C$6))),BV1075)/BN1075,0)*BN1075</f>
        <v/>
      </c>
      <c r="AF1075" s="56">
        <f>IF(AC1075&gt;0,I1075/AC1075,-1)</f>
        <v/>
      </c>
      <c r="AG1075" s="56">
        <f>IF(AND(OR(BR1075="L1",BR1075="L23"),AC1075&gt;0),SUMIFS($AC$7:$AC$1570,$BR$7:$BR$1570,BR1075,$AF$7:$AF$1570,"&gt;"&amp;AF1075)+SUMIFS($AC$7:$AC$1570,$BR$7:$BR$1570,BR1075,$AF$7:$AF$1570,AF1075,$BL$7:$BL$1570,"&lt;="&amp;BL1075),"")</f>
        <v/>
      </c>
      <c r="AH1075" s="65">
        <f>IF(AG1075="",0,MAX(0,MIN(1,(IF(BR1075="L1",Parameter!$K$5,Parameter!$K$6+Parameter!$K$7)-(AG1075-AC1075))/AC1075)))</f>
        <v/>
      </c>
      <c r="AI1075" s="55">
        <f>IF(LEFT(Cockpit!$I$5,1)="A",G1075,IF(BT1075=1,BU1075,IF(LEFT(Cockpit!$I$5,1)="B",AM1075,MAX(AM1075,G1075))))</f>
        <v/>
      </c>
      <c r="AJ1075" s="55">
        <f>IF(BO1075=1,0,ROUNDUP(AI1075/BN1075,0))</f>
        <v/>
      </c>
      <c r="AK1075" s="64">
        <f>IF(BO1075=1,IF(AI1075&lt;=0,0,BP1075*MAX(1,IF(G1075&gt;0,AI1075/G1075,1))),AJ1075*Q1075)</f>
        <v/>
      </c>
      <c r="AL1075" s="55">
        <f>AI1075*F1075</f>
        <v/>
      </c>
      <c r="AM1075" s="55">
        <f>ROUNDUP(MAX(I1075/IF(BS1075&gt;0,BS1075,MAX(0.1,N(Cockpit!$I$6))),BV1075)/BN1075,0)*BN1075</f>
        <v/>
      </c>
      <c r="AN1075" s="56">
        <f>IF(AK1075&gt;0,I1075/AK1075,-1)</f>
        <v/>
      </c>
      <c r="AO1075" s="56">
        <f>IF(AND(OR(BR1075="L1",BR1075="L23"),AK1075&gt;0),SUMIFS($AK$7:$AK$1570,$BR$7:$BR$1570,BR1075,$AN$7:$AN$1570,"&gt;"&amp;AN1075)+SUMIFS($AK$7:$AK$1570,$BR$7:$BR$1570,BR1075,$AN$7:$AN$1570,AN1075,$BL$7:$BL$1570,"&lt;="&amp;BL1075),"")</f>
        <v/>
      </c>
      <c r="AP1075" s="65">
        <f>IF(AO1075="",0,MAX(0,MIN(1,(IF(BR1075="L1",Parameter!$K$5,Parameter!$K$6+Parameter!$K$7)-(AO1075-AK1075))/AK1075)))</f>
        <v/>
      </c>
      <c r="AQ1075" s="55">
        <f>IF(LEFT(Cockpit!$O$5,1)="A",G1075,IF(BT1075=1,BU1075,IF(LEFT(Cockpit!$O$5,1)="B",AU1075,MAX(AU1075,G1075))))</f>
        <v/>
      </c>
      <c r="AR1075" s="55">
        <f>IF(BO1075=1,0,ROUNDUP(AQ1075/BN1075,0))</f>
        <v/>
      </c>
      <c r="AS1075" s="64">
        <f>IF(BO1075=1,IF(AQ1075&lt;=0,0,BP1075*MAX(1,IF(G1075&gt;0,AQ1075/G1075,1))),AR1075*Q1075)</f>
        <v/>
      </c>
      <c r="AT1075" s="55">
        <f>AQ1075*F1075</f>
        <v/>
      </c>
      <c r="AU1075" s="55">
        <f>ROUNDUP(MAX(I1075/IF(BS1075&gt;0,BS1075,MAX(0.1,N(Cockpit!$O$6))),BV1075)/BN1075,0)*BN1075</f>
        <v/>
      </c>
      <c r="AV1075" s="56">
        <f>IF(AS1075&gt;0,I1075/AS1075,-1)</f>
        <v/>
      </c>
      <c r="AW1075" s="56">
        <f>IF(AND(OR(BR1075="L1",BR1075="L23"),AS1075&gt;0),SUMIFS($AS$7:$AS$1570,$BR$7:$BR$1570,BR1075,$AV$7:$AV$1570,"&gt;"&amp;AV1075)+SUMIFS($AS$7:$AS$1570,$BR$7:$BR$1570,BR1075,$AV$7:$AV$1570,AV1075,$BL$7:$BL$1570,"&lt;="&amp;BL1075),"")</f>
        <v/>
      </c>
      <c r="AX1075" s="65">
        <f>IF(AW1075="",0,MAX(0,MIN(1,(IF(BR1075="L1",Parameter!$K$5,Parameter!$K$6+Parameter!$K$7)-(AW1075-AS1075))/AS1075)))</f>
        <v/>
      </c>
      <c r="AY1075" s="53">
        <f>IF(AC1075&lt;=0,"",IF(BR1075="Aussen","Aussenlager",IF(BR1075="-","Nicht im Lift",IF(AH1075&gt;=1,"Lift",IF(AH1075&lt;=0,"Aussenlager","teilweise")))))</f>
        <v/>
      </c>
      <c r="AZ1075" s="53">
        <f>IF(AK1075&lt;=0,"",IF(BR1075="Aussen","Aussenlager",IF(BR1075="-","Nicht im Lift",IF(AP1075&gt;=1,"Lift",IF(AP1075&lt;=0,"Aussenlager","teilweise")))))</f>
        <v/>
      </c>
      <c r="BA1075" s="53">
        <f>IF(AS1075&lt;=0,"",IF(BR1075="Aussen","Aussenlager",IF(BR1075="-","Nicht im Lift",IF(AX1075&gt;=1,"Lift",IF(AX1075&lt;=0,"Aussenlager","teilweise")))))</f>
        <v/>
      </c>
      <c r="BB1075" s="53">
        <f>IF(A1075="","",IF(BK1075=1,"Neu; ","")&amp;IF(AND(BK1075=0,BF1075&lt;0),"negativer Bestand (Export "&amp;BF1075&amp;"); ","")&amp;IF(I1075&lt;=0,"Kein Verbrauch; ","")&amp;IF(BO1075=1,"Lose – Fläche geschätzt; ","")&amp;IF(G1075&gt;AM1075,"Überbestand "&amp;ROUND(G1075-AM1075,0)&amp;" Stk / CHF "&amp;ROUND((G1075-AM1075)*F1075,0)&amp;"; ","")&amp;IF(AND(BT1075=1,BU1075&lt;BV1075),"MAX &lt; MB+LG; ","")&amp;IF(AND(BZ1075&gt;0,BY1075*10&gt;BZ1075),"zu hoch für Tablar; ","")&amp;IF(AND(BK1075=0,OR(BT1075=1,V1075&lt;&gt;"",S1075&lt;&gt;"",T1075&lt;&gt;"",W1075&lt;&gt;"")),"manuell übersteuert; ","")&amp;IF(AND(BO1075=0,Q1075=0),"Gebinde unbekannt; ","")&amp;IF(AND(BO1075=0,N(T1075)&lt;=0,N(P1075)&lt;=0),"Menge pro Gebinde fehlt (Ist = 1 Gebinde); ","")&amp;BJ1075)</f>
        <v/>
      </c>
      <c r="BC1075" s="53" t="n"/>
      <c r="BD1075" s="53" t="n"/>
      <c r="BE1075" s="61" t="n"/>
      <c r="BF1075" s="55" t="n">
        <v>-2</v>
      </c>
      <c r="BG1075" s="55" t="n">
        <v>4</v>
      </c>
      <c r="BH1075" s="54" t="n">
        <v>-175.52</v>
      </c>
      <c r="BI1075" s="55" t="n">
        <v>2</v>
      </c>
      <c r="BJ1075" s="53" t="inlineStr">
        <is>
          <t>Neu</t>
        </is>
      </c>
      <c r="BK1075" s="58" t="n">
        <v>0</v>
      </c>
      <c r="BL1075" s="58" t="n">
        <v>1075</v>
      </c>
      <c r="BM1075" s="53">
        <f>IF(S1075&lt;&gt;"",UPPER(TRIM(S1075)),IF(O1075="","LOSE",O1075))</f>
        <v/>
      </c>
      <c r="BN1075" s="55">
        <f>IF(BM1075="LOSE",1,IF(N(T1075)&gt;0,T1075,IF(N(P1075)&gt;0,P1075,MAX(1,G1075))))</f>
        <v/>
      </c>
      <c r="BO1075" s="58">
        <f>IF(BM1075="LOSE",1,0)</f>
        <v/>
      </c>
      <c r="BP1075" s="64">
        <f>IF(BO1075=0,0,IF(N(R1075)&gt;0,R1075,IFERROR(VLOOKUP(D1075,Parameter!$A$35:$C$64,3,0)+0,0)))</f>
        <v/>
      </c>
      <c r="BQ1075" s="53">
        <f>IF(V1075&lt;&gt;"",V1075,U1075)</f>
        <v/>
      </c>
      <c r="BR1075" s="53">
        <f>IF(BQ1075=1,"L1",IF(OR(BQ1075=2,BQ1075=3),"L23",IF(BQ1075="Aussen","Aussen","-")))</f>
        <v/>
      </c>
      <c r="BS1075" s="66">
        <f>IF(N(W1075)&gt;0,W1075,0)</f>
        <v/>
      </c>
      <c r="BT1075" s="58">
        <f>IF(ISNUMBER(Z1075),1,0)</f>
        <v/>
      </c>
      <c r="BU1075" s="55">
        <f>N(Z1075)</f>
        <v/>
      </c>
      <c r="BV1075" s="55">
        <f>N(L1075)+N(M1075)</f>
        <v/>
      </c>
      <c r="BW1075" s="55">
        <f>ROUNDUP(G1075/BN1075,0)</f>
        <v/>
      </c>
      <c r="BX1075" s="55">
        <f>ROUNDUP(BU1075/BN1075,0)</f>
        <v/>
      </c>
      <c r="BY1075" s="58">
        <f>IF(BO1075=1,0,IFERROR(VLOOKUP(BM1075,'Gebinde-Kategorie'!$A$5:$G$45,5,0)+0,0))</f>
        <v/>
      </c>
      <c r="BZ1075" s="58">
        <f>IFERROR(IF(OR(BQ1075=1,BQ1075=2,BQ1075=3),N(INDEX(Parameter!$I$5:$I$7,BQ1075)),0),0)</f>
        <v/>
      </c>
    </row>
    <row r="1076">
      <c r="A1076" s="53" t="inlineStr">
        <is>
          <t>106896</t>
        </is>
      </c>
      <c r="B1076" s="53" t="inlineStr">
        <is>
          <t>Winkelverschraubung Stahl verzinkt</t>
        </is>
      </c>
      <c r="C1076" s="53" t="inlineStr">
        <is>
          <t>G</t>
        </is>
      </c>
      <c r="D1076" s="53" t="inlineStr">
        <is>
          <t>KTL</t>
        </is>
      </c>
      <c r="E1076" s="53" t="inlineStr">
        <is>
          <t>C</t>
        </is>
      </c>
      <c r="F1076" s="54" t="n">
        <v>6.84</v>
      </c>
      <c r="G1076" s="55">
        <f>MAX(0,IF(Parameter!$B$20="Jahresanfang 2025 + Export",BG1076+BF1076,BF1076))</f>
        <v/>
      </c>
      <c r="H1076" s="55">
        <f>G1076*F1076</f>
        <v/>
      </c>
      <c r="I1076" s="55">
        <f>BI1076*Parameter!$B$18</f>
        <v/>
      </c>
      <c r="J1076" s="56" t="n">
        <v>26</v>
      </c>
      <c r="K1076" s="57" t="n">
        <v>1</v>
      </c>
      <c r="L1076" s="55" t="n">
        <v>1</v>
      </c>
      <c r="M1076" s="55" t="n">
        <v>25</v>
      </c>
      <c r="N1076" s="58" t="n">
        <v>21</v>
      </c>
      <c r="O1076" s="53" t="inlineStr">
        <is>
          <t>S32</t>
        </is>
      </c>
      <c r="P1076" s="55" t="n">
        <v>13</v>
      </c>
      <c r="Q1076" s="59">
        <f>IF(BO1076=1,0,IFERROR(VLOOKUP(BM1076,'Gebinde-Kategorie'!$A$5:$G$45,6,0)+0,0))</f>
        <v/>
      </c>
      <c r="R1076" s="60" t="n"/>
      <c r="S1076" s="61" t="n"/>
      <c r="T1076" s="61" t="n"/>
      <c r="U1076" s="53">
        <f>IF(A1076="","",IF(IFERROR(VLOOKUP(D1076,Parameter!$A$35:$C$64,2,0),"Nein")="2+3",IF(ISNUMBER(SEARCH("grosser Artikel",BJ1076)),2,IFERROR(VLOOKUP(BM1076,Parameter!$F$35:$G$64,2,0),2)),IF(OR(IFERROR(VLOOKUP(D1076,Parameter!$A$35:$C$64,2,0),"Nein")="Nein",IFERROR(VLOOKUP(D1076,Parameter!$A$35:$C$64,2,0),"Nein")=""),"-",VLOOKUP(D1076,Parameter!$A$35:$C$64,2,0))))</f>
        <v/>
      </c>
      <c r="V1076" s="61" t="n"/>
      <c r="W1076" s="62" t="n"/>
      <c r="X1076" s="55">
        <f>AM1076</f>
        <v/>
      </c>
      <c r="Y1076" s="55">
        <f>MAX(AM1076,G1076)</f>
        <v/>
      </c>
      <c r="Z1076" s="63" t="n"/>
      <c r="AA1076" s="55">
        <f>IF(LEFT(Cockpit!$C$5,1)="A",G1076,IF(BT1076=1,BU1076,IF(LEFT(Cockpit!$C$5,1)="B",AE1076,MAX(AE1076,G1076))))</f>
        <v/>
      </c>
      <c r="AB1076" s="55">
        <f>IF(BO1076=1,0,ROUNDUP(AA1076/BN1076,0))</f>
        <v/>
      </c>
      <c r="AC1076" s="64">
        <f>IF(BO1076=1,IF(AA1076&lt;=0,0,BP1076*MAX(1,IF(G1076&gt;0,AA1076/G1076,1))),AB1076*Q1076)</f>
        <v/>
      </c>
      <c r="AD1076" s="55">
        <f>AA1076*F1076</f>
        <v/>
      </c>
      <c r="AE1076" s="55">
        <f>ROUNDUP(MAX(I1076/IF(BS1076&gt;0,BS1076,MAX(0.1,N(Cockpit!$C$6))),BV1076)/BN1076,0)*BN1076</f>
        <v/>
      </c>
      <c r="AF1076" s="56">
        <f>IF(AC1076&gt;0,I1076/AC1076,-1)</f>
        <v/>
      </c>
      <c r="AG1076" s="56">
        <f>IF(AND(OR(BR1076="L1",BR1076="L23"),AC1076&gt;0),SUMIFS($AC$7:$AC$1570,$BR$7:$BR$1570,BR1076,$AF$7:$AF$1570,"&gt;"&amp;AF1076)+SUMIFS($AC$7:$AC$1570,$BR$7:$BR$1570,BR1076,$AF$7:$AF$1570,AF1076,$BL$7:$BL$1570,"&lt;="&amp;BL1076),"")</f>
        <v/>
      </c>
      <c r="AH1076" s="65">
        <f>IF(AG1076="",0,MAX(0,MIN(1,(IF(BR1076="L1",Parameter!$K$5,Parameter!$K$6+Parameter!$K$7)-(AG1076-AC1076))/AC1076)))</f>
        <v/>
      </c>
      <c r="AI1076" s="55">
        <f>IF(LEFT(Cockpit!$I$5,1)="A",G1076,IF(BT1076=1,BU1076,IF(LEFT(Cockpit!$I$5,1)="B",AM1076,MAX(AM1076,G1076))))</f>
        <v/>
      </c>
      <c r="AJ1076" s="55">
        <f>IF(BO1076=1,0,ROUNDUP(AI1076/BN1076,0))</f>
        <v/>
      </c>
      <c r="AK1076" s="64">
        <f>IF(BO1076=1,IF(AI1076&lt;=0,0,BP1076*MAX(1,IF(G1076&gt;0,AI1076/G1076,1))),AJ1076*Q1076)</f>
        <v/>
      </c>
      <c r="AL1076" s="55">
        <f>AI1076*F1076</f>
        <v/>
      </c>
      <c r="AM1076" s="55">
        <f>ROUNDUP(MAX(I1076/IF(BS1076&gt;0,BS1076,MAX(0.1,N(Cockpit!$I$6))),BV1076)/BN1076,0)*BN1076</f>
        <v/>
      </c>
      <c r="AN1076" s="56">
        <f>IF(AK1076&gt;0,I1076/AK1076,-1)</f>
        <v/>
      </c>
      <c r="AO1076" s="56">
        <f>IF(AND(OR(BR1076="L1",BR1076="L23"),AK1076&gt;0),SUMIFS($AK$7:$AK$1570,$BR$7:$BR$1570,BR1076,$AN$7:$AN$1570,"&gt;"&amp;AN1076)+SUMIFS($AK$7:$AK$1570,$BR$7:$BR$1570,BR1076,$AN$7:$AN$1570,AN1076,$BL$7:$BL$1570,"&lt;="&amp;BL1076),"")</f>
        <v/>
      </c>
      <c r="AP1076" s="65">
        <f>IF(AO1076="",0,MAX(0,MIN(1,(IF(BR1076="L1",Parameter!$K$5,Parameter!$K$6+Parameter!$K$7)-(AO1076-AK1076))/AK1076)))</f>
        <v/>
      </c>
      <c r="AQ1076" s="55">
        <f>IF(LEFT(Cockpit!$O$5,1)="A",G1076,IF(BT1076=1,BU1076,IF(LEFT(Cockpit!$O$5,1)="B",AU1076,MAX(AU1076,G1076))))</f>
        <v/>
      </c>
      <c r="AR1076" s="55">
        <f>IF(BO1076=1,0,ROUNDUP(AQ1076/BN1076,0))</f>
        <v/>
      </c>
      <c r="AS1076" s="64">
        <f>IF(BO1076=1,IF(AQ1076&lt;=0,0,BP1076*MAX(1,IF(G1076&gt;0,AQ1076/G1076,1))),AR1076*Q1076)</f>
        <v/>
      </c>
      <c r="AT1076" s="55">
        <f>AQ1076*F1076</f>
        <v/>
      </c>
      <c r="AU1076" s="55">
        <f>ROUNDUP(MAX(I1076/IF(BS1076&gt;0,BS1076,MAX(0.1,N(Cockpit!$O$6))),BV1076)/BN1076,0)*BN1076</f>
        <v/>
      </c>
      <c r="AV1076" s="56">
        <f>IF(AS1076&gt;0,I1076/AS1076,-1)</f>
        <v/>
      </c>
      <c r="AW1076" s="56">
        <f>IF(AND(OR(BR1076="L1",BR1076="L23"),AS1076&gt;0),SUMIFS($AS$7:$AS$1570,$BR$7:$BR$1570,BR1076,$AV$7:$AV$1570,"&gt;"&amp;AV1076)+SUMIFS($AS$7:$AS$1570,$BR$7:$BR$1570,BR1076,$AV$7:$AV$1570,AV1076,$BL$7:$BL$1570,"&lt;="&amp;BL1076),"")</f>
        <v/>
      </c>
      <c r="AX1076" s="65">
        <f>IF(AW1076="",0,MAX(0,MIN(1,(IF(BR1076="L1",Parameter!$K$5,Parameter!$K$6+Parameter!$K$7)-(AW1076-AS1076))/AS1076)))</f>
        <v/>
      </c>
      <c r="AY1076" s="53">
        <f>IF(AC1076&lt;=0,"",IF(BR1076="Aussen","Aussenlager",IF(BR1076="-","Nicht im Lift",IF(AH1076&gt;=1,"Lift",IF(AH1076&lt;=0,"Aussenlager","teilweise")))))</f>
        <v/>
      </c>
      <c r="AZ1076" s="53">
        <f>IF(AK1076&lt;=0,"",IF(BR1076="Aussen","Aussenlager",IF(BR1076="-","Nicht im Lift",IF(AP1076&gt;=1,"Lift",IF(AP1076&lt;=0,"Aussenlager","teilweise")))))</f>
        <v/>
      </c>
      <c r="BA1076" s="53">
        <f>IF(AS1076&lt;=0,"",IF(BR1076="Aussen","Aussenlager",IF(BR1076="-","Nicht im Lift",IF(AX1076&gt;=1,"Lift",IF(AX1076&lt;=0,"Aussenlager","teilweise")))))</f>
        <v/>
      </c>
      <c r="BB1076" s="53">
        <f>IF(A1076="","",IF(BK1076=1,"Neu; ","")&amp;IF(AND(BK1076=0,BF1076&lt;0),"negativer Bestand (Export "&amp;BF1076&amp;"); ","")&amp;IF(I1076&lt;=0,"Kein Verbrauch; ","")&amp;IF(BO1076=1,"Lose – Fläche geschätzt; ","")&amp;IF(G1076&gt;AM1076,"Überbestand "&amp;ROUND(G1076-AM1076,0)&amp;" Stk / CHF "&amp;ROUND((G1076-AM1076)*F1076,0)&amp;"; ","")&amp;IF(AND(BT1076=1,BU1076&lt;BV1076),"MAX &lt; MB+LG; ","")&amp;IF(AND(BZ1076&gt;0,BY1076*10&gt;BZ1076),"zu hoch für Tablar; ","")&amp;IF(AND(BK1076=0,OR(BT1076=1,V1076&lt;&gt;"",S1076&lt;&gt;"",T1076&lt;&gt;"",W1076&lt;&gt;"")),"manuell übersteuert; ","")&amp;IF(AND(BO1076=0,Q1076=0),"Gebinde unbekannt; ","")&amp;IF(AND(BO1076=0,N(T1076)&lt;=0,N(P1076)&lt;=0),"Menge pro Gebinde fehlt (Ist = 1 Gebinde); ","")&amp;BJ1076)</f>
        <v/>
      </c>
      <c r="BC1076" s="53" t="n"/>
      <c r="BD1076" s="53" t="n"/>
      <c r="BE1076" s="61" t="n"/>
      <c r="BF1076" s="55" t="n">
        <v>-26</v>
      </c>
      <c r="BG1076" s="55" t="n">
        <v>52</v>
      </c>
      <c r="BH1076" s="54" t="n">
        <v>-177.84</v>
      </c>
      <c r="BI1076" s="55" t="n">
        <v>26</v>
      </c>
      <c r="BJ1076" s="53" t="inlineStr"/>
      <c r="BK1076" s="58" t="n">
        <v>0</v>
      </c>
      <c r="BL1076" s="58" t="n">
        <v>1076</v>
      </c>
      <c r="BM1076" s="53">
        <f>IF(S1076&lt;&gt;"",UPPER(TRIM(S1076)),IF(O1076="","LOSE",O1076))</f>
        <v/>
      </c>
      <c r="BN1076" s="55">
        <f>IF(BM1076="LOSE",1,IF(N(T1076)&gt;0,T1076,IF(N(P1076)&gt;0,P1076,MAX(1,G1076))))</f>
        <v/>
      </c>
      <c r="BO1076" s="58">
        <f>IF(BM1076="LOSE",1,0)</f>
        <v/>
      </c>
      <c r="BP1076" s="64">
        <f>IF(BO1076=0,0,IF(N(R1076)&gt;0,R1076,IFERROR(VLOOKUP(D1076,Parameter!$A$35:$C$64,3,0)+0,0)))</f>
        <v/>
      </c>
      <c r="BQ1076" s="53">
        <f>IF(V1076&lt;&gt;"",V1076,U1076)</f>
        <v/>
      </c>
      <c r="BR1076" s="53">
        <f>IF(BQ1076=1,"L1",IF(OR(BQ1076=2,BQ1076=3),"L23",IF(BQ1076="Aussen","Aussen","-")))</f>
        <v/>
      </c>
      <c r="BS1076" s="66">
        <f>IF(N(W1076)&gt;0,W1076,0)</f>
        <v/>
      </c>
      <c r="BT1076" s="58">
        <f>IF(ISNUMBER(Z1076),1,0)</f>
        <v/>
      </c>
      <c r="BU1076" s="55">
        <f>N(Z1076)</f>
        <v/>
      </c>
      <c r="BV1076" s="55">
        <f>N(L1076)+N(M1076)</f>
        <v/>
      </c>
      <c r="BW1076" s="55">
        <f>ROUNDUP(G1076/BN1076,0)</f>
        <v/>
      </c>
      <c r="BX1076" s="55">
        <f>ROUNDUP(BU1076/BN1076,0)</f>
        <v/>
      </c>
      <c r="BY1076" s="58">
        <f>IF(BO1076=1,0,IFERROR(VLOOKUP(BM1076,'Gebinde-Kategorie'!$A$5:$G$45,5,0)+0,0))</f>
        <v/>
      </c>
      <c r="BZ1076" s="58">
        <f>IFERROR(IF(OR(BQ1076=1,BQ1076=2,BQ1076=3),N(INDEX(Parameter!$I$5:$I$7,BQ1076)),0),0)</f>
        <v/>
      </c>
    </row>
    <row r="1077">
      <c r="A1077" s="53" t="inlineStr">
        <is>
          <t>106444</t>
        </is>
      </c>
      <c r="B1077" s="53" t="inlineStr">
        <is>
          <t>Verbindungsbolzen</t>
        </is>
      </c>
      <c r="C1077" s="53" t="inlineStr">
        <is>
          <t>F</t>
        </is>
      </c>
      <c r="D1077" s="53" t="inlineStr">
        <is>
          <t>KTL</t>
        </is>
      </c>
      <c r="E1077" s="53" t="inlineStr">
        <is>
          <t>C</t>
        </is>
      </c>
      <c r="F1077" s="54" t="n">
        <v>12.9</v>
      </c>
      <c r="G1077" s="55">
        <f>MAX(0,IF(Parameter!$B$20="Jahresanfang 2025 + Export",BG1077+BF1077,BF1077))</f>
        <v/>
      </c>
      <c r="H1077" s="55">
        <f>G1077*F1077</f>
        <v/>
      </c>
      <c r="I1077" s="55">
        <f>BI1077*Parameter!$B$18</f>
        <v/>
      </c>
      <c r="J1077" s="56" t="n">
        <v>23</v>
      </c>
      <c r="K1077" s="57" t="n">
        <v>0.3478260869565217</v>
      </c>
      <c r="L1077" s="55" t="n">
        <v>0</v>
      </c>
      <c r="M1077" s="55" t="n">
        <v>10</v>
      </c>
      <c r="N1077" s="58" t="n">
        <v>28</v>
      </c>
      <c r="O1077" s="53" t="inlineStr">
        <is>
          <t>S21</t>
        </is>
      </c>
      <c r="P1077" s="55" t="n">
        <v>29</v>
      </c>
      <c r="Q1077" s="59">
        <f>IF(BO1077=1,0,IFERROR(VLOOKUP(BM1077,'Gebinde-Kategorie'!$A$5:$G$45,6,0)+0,0))</f>
        <v/>
      </c>
      <c r="R1077" s="60" t="n"/>
      <c r="S1077" s="61" t="n"/>
      <c r="T1077" s="61" t="n"/>
      <c r="U1077" s="53">
        <f>IF(A1077="","",IF(IFERROR(VLOOKUP(D1077,Parameter!$A$35:$C$64,2,0),"Nein")="2+3",IF(ISNUMBER(SEARCH("grosser Artikel",BJ1077)),2,IFERROR(VLOOKUP(BM1077,Parameter!$F$35:$G$64,2,0),2)),IF(OR(IFERROR(VLOOKUP(D1077,Parameter!$A$35:$C$64,2,0),"Nein")="Nein",IFERROR(VLOOKUP(D1077,Parameter!$A$35:$C$64,2,0),"Nein")=""),"-",VLOOKUP(D1077,Parameter!$A$35:$C$64,2,0))))</f>
        <v/>
      </c>
      <c r="V1077" s="61" t="n"/>
      <c r="W1077" s="62" t="n"/>
      <c r="X1077" s="55">
        <f>AM1077</f>
        <v/>
      </c>
      <c r="Y1077" s="55">
        <f>MAX(AM1077,G1077)</f>
        <v/>
      </c>
      <c r="Z1077" s="63" t="n"/>
      <c r="AA1077" s="55">
        <f>IF(LEFT(Cockpit!$C$5,1)="A",G1077,IF(BT1077=1,BU1077,IF(LEFT(Cockpit!$C$5,1)="B",AE1077,MAX(AE1077,G1077))))</f>
        <v/>
      </c>
      <c r="AB1077" s="55">
        <f>IF(BO1077=1,0,ROUNDUP(AA1077/BN1077,0))</f>
        <v/>
      </c>
      <c r="AC1077" s="64">
        <f>IF(BO1077=1,IF(AA1077&lt;=0,0,BP1077*MAX(1,IF(G1077&gt;0,AA1077/G1077,1))),AB1077*Q1077)</f>
        <v/>
      </c>
      <c r="AD1077" s="55">
        <f>AA1077*F1077</f>
        <v/>
      </c>
      <c r="AE1077" s="55">
        <f>ROUNDUP(MAX(I1077/IF(BS1077&gt;0,BS1077,MAX(0.1,N(Cockpit!$C$6))),BV1077)/BN1077,0)*BN1077</f>
        <v/>
      </c>
      <c r="AF1077" s="56">
        <f>IF(AC1077&gt;0,I1077/AC1077,-1)</f>
        <v/>
      </c>
      <c r="AG1077" s="56">
        <f>IF(AND(OR(BR1077="L1",BR1077="L23"),AC1077&gt;0),SUMIFS($AC$7:$AC$1570,$BR$7:$BR$1570,BR1077,$AF$7:$AF$1570,"&gt;"&amp;AF1077)+SUMIFS($AC$7:$AC$1570,$BR$7:$BR$1570,BR1077,$AF$7:$AF$1570,AF1077,$BL$7:$BL$1570,"&lt;="&amp;BL1077),"")</f>
        <v/>
      </c>
      <c r="AH1077" s="65">
        <f>IF(AG1077="",0,MAX(0,MIN(1,(IF(BR1077="L1",Parameter!$K$5,Parameter!$K$6+Parameter!$K$7)-(AG1077-AC1077))/AC1077)))</f>
        <v/>
      </c>
      <c r="AI1077" s="55">
        <f>IF(LEFT(Cockpit!$I$5,1)="A",G1077,IF(BT1077=1,BU1077,IF(LEFT(Cockpit!$I$5,1)="B",AM1077,MAX(AM1077,G1077))))</f>
        <v/>
      </c>
      <c r="AJ1077" s="55">
        <f>IF(BO1077=1,0,ROUNDUP(AI1077/BN1077,0))</f>
        <v/>
      </c>
      <c r="AK1077" s="64">
        <f>IF(BO1077=1,IF(AI1077&lt;=0,0,BP1077*MAX(1,IF(G1077&gt;0,AI1077/G1077,1))),AJ1077*Q1077)</f>
        <v/>
      </c>
      <c r="AL1077" s="55">
        <f>AI1077*F1077</f>
        <v/>
      </c>
      <c r="AM1077" s="55">
        <f>ROUNDUP(MAX(I1077/IF(BS1077&gt;0,BS1077,MAX(0.1,N(Cockpit!$I$6))),BV1077)/BN1077,0)*BN1077</f>
        <v/>
      </c>
      <c r="AN1077" s="56">
        <f>IF(AK1077&gt;0,I1077/AK1077,-1)</f>
        <v/>
      </c>
      <c r="AO1077" s="56">
        <f>IF(AND(OR(BR1077="L1",BR1077="L23"),AK1077&gt;0),SUMIFS($AK$7:$AK$1570,$BR$7:$BR$1570,BR1077,$AN$7:$AN$1570,"&gt;"&amp;AN1077)+SUMIFS($AK$7:$AK$1570,$BR$7:$BR$1570,BR1077,$AN$7:$AN$1570,AN1077,$BL$7:$BL$1570,"&lt;="&amp;BL1077),"")</f>
        <v/>
      </c>
      <c r="AP1077" s="65">
        <f>IF(AO1077="",0,MAX(0,MIN(1,(IF(BR1077="L1",Parameter!$K$5,Parameter!$K$6+Parameter!$K$7)-(AO1077-AK1077))/AK1077)))</f>
        <v/>
      </c>
      <c r="AQ1077" s="55">
        <f>IF(LEFT(Cockpit!$O$5,1)="A",G1077,IF(BT1077=1,BU1077,IF(LEFT(Cockpit!$O$5,1)="B",AU1077,MAX(AU1077,G1077))))</f>
        <v/>
      </c>
      <c r="AR1077" s="55">
        <f>IF(BO1077=1,0,ROUNDUP(AQ1077/BN1077,0))</f>
        <v/>
      </c>
      <c r="AS1077" s="64">
        <f>IF(BO1077=1,IF(AQ1077&lt;=0,0,BP1077*MAX(1,IF(G1077&gt;0,AQ1077/G1077,1))),AR1077*Q1077)</f>
        <v/>
      </c>
      <c r="AT1077" s="55">
        <f>AQ1077*F1077</f>
        <v/>
      </c>
      <c r="AU1077" s="55">
        <f>ROUNDUP(MAX(I1077/IF(BS1077&gt;0,BS1077,MAX(0.1,N(Cockpit!$O$6))),BV1077)/BN1077,0)*BN1077</f>
        <v/>
      </c>
      <c r="AV1077" s="56">
        <f>IF(AS1077&gt;0,I1077/AS1077,-1)</f>
        <v/>
      </c>
      <c r="AW1077" s="56">
        <f>IF(AND(OR(BR1077="L1",BR1077="L23"),AS1077&gt;0),SUMIFS($AS$7:$AS$1570,$BR$7:$BR$1570,BR1077,$AV$7:$AV$1570,"&gt;"&amp;AV1077)+SUMIFS($AS$7:$AS$1570,$BR$7:$BR$1570,BR1077,$AV$7:$AV$1570,AV1077,$BL$7:$BL$1570,"&lt;="&amp;BL1077),"")</f>
        <v/>
      </c>
      <c r="AX1077" s="65">
        <f>IF(AW1077="",0,MAX(0,MIN(1,(IF(BR1077="L1",Parameter!$K$5,Parameter!$K$6+Parameter!$K$7)-(AW1077-AS1077))/AS1077)))</f>
        <v/>
      </c>
      <c r="AY1077" s="53">
        <f>IF(AC1077&lt;=0,"",IF(BR1077="Aussen","Aussenlager",IF(BR1077="-","Nicht im Lift",IF(AH1077&gt;=1,"Lift",IF(AH1077&lt;=0,"Aussenlager","teilweise")))))</f>
        <v/>
      </c>
      <c r="AZ1077" s="53">
        <f>IF(AK1077&lt;=0,"",IF(BR1077="Aussen","Aussenlager",IF(BR1077="-","Nicht im Lift",IF(AP1077&gt;=1,"Lift",IF(AP1077&lt;=0,"Aussenlager","teilweise")))))</f>
        <v/>
      </c>
      <c r="BA1077" s="53">
        <f>IF(AS1077&lt;=0,"",IF(BR1077="Aussen","Aussenlager",IF(BR1077="-","Nicht im Lift",IF(AX1077&gt;=1,"Lift",IF(AX1077&lt;=0,"Aussenlager","teilweise")))))</f>
        <v/>
      </c>
      <c r="BB1077" s="53">
        <f>IF(A1077="","",IF(BK1077=1,"Neu; ","")&amp;IF(AND(BK1077=0,BF1077&lt;0),"negativer Bestand (Export "&amp;BF1077&amp;"); ","")&amp;IF(I1077&lt;=0,"Kein Verbrauch; ","")&amp;IF(BO1077=1,"Lose – Fläche geschätzt; ","")&amp;IF(G1077&gt;AM1077,"Überbestand "&amp;ROUND(G1077-AM1077,0)&amp;" Stk / CHF "&amp;ROUND((G1077-AM1077)*F1077,0)&amp;"; ","")&amp;IF(AND(BT1077=1,BU1077&lt;BV1077),"MAX &lt; MB+LG; ","")&amp;IF(AND(BZ1077&gt;0,BY1077*10&gt;BZ1077),"zu hoch für Tablar; ","")&amp;IF(AND(BK1077=0,OR(BT1077=1,V1077&lt;&gt;"",S1077&lt;&gt;"",T1077&lt;&gt;"",W1077&lt;&gt;"")),"manuell übersteuert; ","")&amp;IF(AND(BO1077=0,Q1077=0),"Gebinde unbekannt; ","")&amp;IF(AND(BO1077=0,N(T1077)&lt;=0,N(P1077)&lt;=0),"Menge pro Gebinde fehlt (Ist = 1 Gebinde); ","")&amp;BJ1077)</f>
        <v/>
      </c>
      <c r="BC1077" s="53" t="n"/>
      <c r="BD1077" s="53" t="n"/>
      <c r="BE1077" s="61" t="n"/>
      <c r="BF1077" s="55" t="n">
        <v>-14</v>
      </c>
      <c r="BG1077" s="55" t="n">
        <v>27</v>
      </c>
      <c r="BH1077" s="54" t="n">
        <v>-180.6</v>
      </c>
      <c r="BI1077" s="55" t="n">
        <v>8</v>
      </c>
      <c r="BJ1077" s="53" t="inlineStr"/>
      <c r="BK1077" s="58" t="n">
        <v>0</v>
      </c>
      <c r="BL1077" s="58" t="n">
        <v>1077</v>
      </c>
      <c r="BM1077" s="53">
        <f>IF(S1077&lt;&gt;"",UPPER(TRIM(S1077)),IF(O1077="","LOSE",O1077))</f>
        <v/>
      </c>
      <c r="BN1077" s="55">
        <f>IF(BM1077="LOSE",1,IF(N(T1077)&gt;0,T1077,IF(N(P1077)&gt;0,P1077,MAX(1,G1077))))</f>
        <v/>
      </c>
      <c r="BO1077" s="58">
        <f>IF(BM1077="LOSE",1,0)</f>
        <v/>
      </c>
      <c r="BP1077" s="64">
        <f>IF(BO1077=0,0,IF(N(R1077)&gt;0,R1077,IFERROR(VLOOKUP(D1077,Parameter!$A$35:$C$64,3,0)+0,0)))</f>
        <v/>
      </c>
      <c r="BQ1077" s="53">
        <f>IF(V1077&lt;&gt;"",V1077,U1077)</f>
        <v/>
      </c>
      <c r="BR1077" s="53">
        <f>IF(BQ1077=1,"L1",IF(OR(BQ1077=2,BQ1077=3),"L23",IF(BQ1077="Aussen","Aussen","-")))</f>
        <v/>
      </c>
      <c r="BS1077" s="66">
        <f>IF(N(W1077)&gt;0,W1077,0)</f>
        <v/>
      </c>
      <c r="BT1077" s="58">
        <f>IF(ISNUMBER(Z1077),1,0)</f>
        <v/>
      </c>
      <c r="BU1077" s="55">
        <f>N(Z1077)</f>
        <v/>
      </c>
      <c r="BV1077" s="55">
        <f>N(L1077)+N(M1077)</f>
        <v/>
      </c>
      <c r="BW1077" s="55">
        <f>ROUNDUP(G1077/BN1077,0)</f>
        <v/>
      </c>
      <c r="BX1077" s="55">
        <f>ROUNDUP(BU1077/BN1077,0)</f>
        <v/>
      </c>
      <c r="BY1077" s="58">
        <f>IF(BO1077=1,0,IFERROR(VLOOKUP(BM1077,'Gebinde-Kategorie'!$A$5:$G$45,5,0)+0,0))</f>
        <v/>
      </c>
      <c r="BZ1077" s="58">
        <f>IFERROR(IF(OR(BQ1077=1,BQ1077=2,BQ1077=3),N(INDEX(Parameter!$I$5:$I$7,BQ1077)),0),0)</f>
        <v/>
      </c>
    </row>
    <row r="1078">
      <c r="A1078" s="53" t="inlineStr">
        <is>
          <t>107223</t>
        </is>
      </c>
      <c r="B1078" s="53" t="inlineStr">
        <is>
          <t>Befestigungsplatte Haltevorrichtung SPGr</t>
        </is>
      </c>
      <c r="C1078" s="53" t="inlineStr">
        <is>
          <t>F</t>
        </is>
      </c>
      <c r="D1078" s="53" t="inlineStr">
        <is>
          <t>KTL</t>
        </is>
      </c>
      <c r="E1078" s="53" t="inlineStr">
        <is>
          <t>C</t>
        </is>
      </c>
      <c r="F1078" s="54" t="n">
        <v>8.9</v>
      </c>
      <c r="G1078" s="55">
        <f>MAX(0,IF(Parameter!$B$20="Jahresanfang 2025 + Export",BG1078+BF1078,BF1078))</f>
        <v/>
      </c>
      <c r="H1078" s="55">
        <f>G1078*F1078</f>
        <v/>
      </c>
      <c r="I1078" s="55">
        <f>BI1078*Parameter!$B$18</f>
        <v/>
      </c>
      <c r="J1078" s="56" t="n">
        <v>34</v>
      </c>
      <c r="K1078" s="57" t="n">
        <v>0.6764705882352942</v>
      </c>
      <c r="L1078" s="55" t="n">
        <v>1</v>
      </c>
      <c r="M1078" s="55" t="n">
        <v>25</v>
      </c>
      <c r="N1078" s="58" t="n">
        <v>28</v>
      </c>
      <c r="O1078" s="53" t="inlineStr">
        <is>
          <t>S33</t>
        </is>
      </c>
      <c r="P1078" s="55" t="n">
        <v>27</v>
      </c>
      <c r="Q1078" s="59">
        <f>IF(BO1078=1,0,IFERROR(VLOOKUP(BM1078,'Gebinde-Kategorie'!$A$5:$G$45,6,0)+0,0))</f>
        <v/>
      </c>
      <c r="R1078" s="60" t="n"/>
      <c r="S1078" s="61" t="n"/>
      <c r="T1078" s="61" t="n"/>
      <c r="U1078" s="53">
        <f>IF(A1078="","",IF(IFERROR(VLOOKUP(D1078,Parameter!$A$35:$C$64,2,0),"Nein")="2+3",IF(ISNUMBER(SEARCH("grosser Artikel",BJ1078)),2,IFERROR(VLOOKUP(BM1078,Parameter!$F$35:$G$64,2,0),2)),IF(OR(IFERROR(VLOOKUP(D1078,Parameter!$A$35:$C$64,2,0),"Nein")="Nein",IFERROR(VLOOKUP(D1078,Parameter!$A$35:$C$64,2,0),"Nein")=""),"-",VLOOKUP(D1078,Parameter!$A$35:$C$64,2,0))))</f>
        <v/>
      </c>
      <c r="V1078" s="61" t="n"/>
      <c r="W1078" s="62" t="n"/>
      <c r="X1078" s="55">
        <f>AM1078</f>
        <v/>
      </c>
      <c r="Y1078" s="55">
        <f>MAX(AM1078,G1078)</f>
        <v/>
      </c>
      <c r="Z1078" s="63" t="n"/>
      <c r="AA1078" s="55">
        <f>IF(LEFT(Cockpit!$C$5,1)="A",G1078,IF(BT1078=1,BU1078,IF(LEFT(Cockpit!$C$5,1)="B",AE1078,MAX(AE1078,G1078))))</f>
        <v/>
      </c>
      <c r="AB1078" s="55">
        <f>IF(BO1078=1,0,ROUNDUP(AA1078/BN1078,0))</f>
        <v/>
      </c>
      <c r="AC1078" s="64">
        <f>IF(BO1078=1,IF(AA1078&lt;=0,0,BP1078*MAX(1,IF(G1078&gt;0,AA1078/G1078,1))),AB1078*Q1078)</f>
        <v/>
      </c>
      <c r="AD1078" s="55">
        <f>AA1078*F1078</f>
        <v/>
      </c>
      <c r="AE1078" s="55">
        <f>ROUNDUP(MAX(I1078/IF(BS1078&gt;0,BS1078,MAX(0.1,N(Cockpit!$C$6))),BV1078)/BN1078,0)*BN1078</f>
        <v/>
      </c>
      <c r="AF1078" s="56">
        <f>IF(AC1078&gt;0,I1078/AC1078,-1)</f>
        <v/>
      </c>
      <c r="AG1078" s="56">
        <f>IF(AND(OR(BR1078="L1",BR1078="L23"),AC1078&gt;0),SUMIFS($AC$7:$AC$1570,$BR$7:$BR$1570,BR1078,$AF$7:$AF$1570,"&gt;"&amp;AF1078)+SUMIFS($AC$7:$AC$1570,$BR$7:$BR$1570,BR1078,$AF$7:$AF$1570,AF1078,$BL$7:$BL$1570,"&lt;="&amp;BL1078),"")</f>
        <v/>
      </c>
      <c r="AH1078" s="65">
        <f>IF(AG1078="",0,MAX(0,MIN(1,(IF(BR1078="L1",Parameter!$K$5,Parameter!$K$6+Parameter!$K$7)-(AG1078-AC1078))/AC1078)))</f>
        <v/>
      </c>
      <c r="AI1078" s="55">
        <f>IF(LEFT(Cockpit!$I$5,1)="A",G1078,IF(BT1078=1,BU1078,IF(LEFT(Cockpit!$I$5,1)="B",AM1078,MAX(AM1078,G1078))))</f>
        <v/>
      </c>
      <c r="AJ1078" s="55">
        <f>IF(BO1078=1,0,ROUNDUP(AI1078/BN1078,0))</f>
        <v/>
      </c>
      <c r="AK1078" s="64">
        <f>IF(BO1078=1,IF(AI1078&lt;=0,0,BP1078*MAX(1,IF(G1078&gt;0,AI1078/G1078,1))),AJ1078*Q1078)</f>
        <v/>
      </c>
      <c r="AL1078" s="55">
        <f>AI1078*F1078</f>
        <v/>
      </c>
      <c r="AM1078" s="55">
        <f>ROUNDUP(MAX(I1078/IF(BS1078&gt;0,BS1078,MAX(0.1,N(Cockpit!$I$6))),BV1078)/BN1078,0)*BN1078</f>
        <v/>
      </c>
      <c r="AN1078" s="56">
        <f>IF(AK1078&gt;0,I1078/AK1078,-1)</f>
        <v/>
      </c>
      <c r="AO1078" s="56">
        <f>IF(AND(OR(BR1078="L1",BR1078="L23"),AK1078&gt;0),SUMIFS($AK$7:$AK$1570,$BR$7:$BR$1570,BR1078,$AN$7:$AN$1570,"&gt;"&amp;AN1078)+SUMIFS($AK$7:$AK$1570,$BR$7:$BR$1570,BR1078,$AN$7:$AN$1570,AN1078,$BL$7:$BL$1570,"&lt;="&amp;BL1078),"")</f>
        <v/>
      </c>
      <c r="AP1078" s="65">
        <f>IF(AO1078="",0,MAX(0,MIN(1,(IF(BR1078="L1",Parameter!$K$5,Parameter!$K$6+Parameter!$K$7)-(AO1078-AK1078))/AK1078)))</f>
        <v/>
      </c>
      <c r="AQ1078" s="55">
        <f>IF(LEFT(Cockpit!$O$5,1)="A",G1078,IF(BT1078=1,BU1078,IF(LEFT(Cockpit!$O$5,1)="B",AU1078,MAX(AU1078,G1078))))</f>
        <v/>
      </c>
      <c r="AR1078" s="55">
        <f>IF(BO1078=1,0,ROUNDUP(AQ1078/BN1078,0))</f>
        <v/>
      </c>
      <c r="AS1078" s="64">
        <f>IF(BO1078=1,IF(AQ1078&lt;=0,0,BP1078*MAX(1,IF(G1078&gt;0,AQ1078/G1078,1))),AR1078*Q1078)</f>
        <v/>
      </c>
      <c r="AT1078" s="55">
        <f>AQ1078*F1078</f>
        <v/>
      </c>
      <c r="AU1078" s="55">
        <f>ROUNDUP(MAX(I1078/IF(BS1078&gt;0,BS1078,MAX(0.1,N(Cockpit!$O$6))),BV1078)/BN1078,0)*BN1078</f>
        <v/>
      </c>
      <c r="AV1078" s="56">
        <f>IF(AS1078&gt;0,I1078/AS1078,-1)</f>
        <v/>
      </c>
      <c r="AW1078" s="56">
        <f>IF(AND(OR(BR1078="L1",BR1078="L23"),AS1078&gt;0),SUMIFS($AS$7:$AS$1570,$BR$7:$BR$1570,BR1078,$AV$7:$AV$1570,"&gt;"&amp;AV1078)+SUMIFS($AS$7:$AS$1570,$BR$7:$BR$1570,BR1078,$AV$7:$AV$1570,AV1078,$BL$7:$BL$1570,"&lt;="&amp;BL1078),"")</f>
        <v/>
      </c>
      <c r="AX1078" s="65">
        <f>IF(AW1078="",0,MAX(0,MIN(1,(IF(BR1078="L1",Parameter!$K$5,Parameter!$K$6+Parameter!$K$7)-(AW1078-AS1078))/AS1078)))</f>
        <v/>
      </c>
      <c r="AY1078" s="53">
        <f>IF(AC1078&lt;=0,"",IF(BR1078="Aussen","Aussenlager",IF(BR1078="-","Nicht im Lift",IF(AH1078&gt;=1,"Lift",IF(AH1078&lt;=0,"Aussenlager","teilweise")))))</f>
        <v/>
      </c>
      <c r="AZ1078" s="53">
        <f>IF(AK1078&lt;=0,"",IF(BR1078="Aussen","Aussenlager",IF(BR1078="-","Nicht im Lift",IF(AP1078&gt;=1,"Lift",IF(AP1078&lt;=0,"Aussenlager","teilweise")))))</f>
        <v/>
      </c>
      <c r="BA1078" s="53">
        <f>IF(AS1078&lt;=0,"",IF(BR1078="Aussen","Aussenlager",IF(BR1078="-","Nicht im Lift",IF(AX1078&gt;=1,"Lift",IF(AX1078&lt;=0,"Aussenlager","teilweise")))))</f>
        <v/>
      </c>
      <c r="BB1078" s="53">
        <f>IF(A1078="","",IF(BK1078=1,"Neu; ","")&amp;IF(AND(BK1078=0,BF1078&lt;0),"negativer Bestand (Export "&amp;BF1078&amp;"); ","")&amp;IF(I1078&lt;=0,"Kein Verbrauch; ","")&amp;IF(BO1078=1,"Lose – Fläche geschätzt; ","")&amp;IF(G1078&gt;AM1078,"Überbestand "&amp;ROUND(G1078-AM1078,0)&amp;" Stk / CHF "&amp;ROUND((G1078-AM1078)*F1078,0)&amp;"; ","")&amp;IF(AND(BT1078=1,BU1078&lt;BV1078),"MAX &lt; MB+LG; ","")&amp;IF(AND(BZ1078&gt;0,BY1078*10&gt;BZ1078),"zu hoch für Tablar; ","")&amp;IF(AND(BK1078=0,OR(BT1078=1,V1078&lt;&gt;"",S1078&lt;&gt;"",T1078&lt;&gt;"",W1078&lt;&gt;"")),"manuell übersteuert; ","")&amp;IF(AND(BO1078=0,Q1078=0),"Gebinde unbekannt; ","")&amp;IF(AND(BO1078=0,N(T1078)&lt;=0,N(P1078)&lt;=0),"Menge pro Gebinde fehlt (Ist = 1 Gebinde); ","")&amp;BJ1078)</f>
        <v/>
      </c>
      <c r="BC1078" s="53" t="n"/>
      <c r="BD1078" s="53" t="n"/>
      <c r="BE1078" s="61" t="n"/>
      <c r="BF1078" s="55" t="n">
        <v>-17</v>
      </c>
      <c r="BG1078" s="55" t="n">
        <v>30</v>
      </c>
      <c r="BH1078" s="54" t="n">
        <v>-182.2</v>
      </c>
      <c r="BI1078" s="55" t="n">
        <v>23</v>
      </c>
      <c r="BJ1078" s="53" t="inlineStr"/>
      <c r="BK1078" s="58" t="n">
        <v>0</v>
      </c>
      <c r="BL1078" s="58" t="n">
        <v>1078</v>
      </c>
      <c r="BM1078" s="53">
        <f>IF(S1078&lt;&gt;"",UPPER(TRIM(S1078)),IF(O1078="","LOSE",O1078))</f>
        <v/>
      </c>
      <c r="BN1078" s="55">
        <f>IF(BM1078="LOSE",1,IF(N(T1078)&gt;0,T1078,IF(N(P1078)&gt;0,P1078,MAX(1,G1078))))</f>
        <v/>
      </c>
      <c r="BO1078" s="58">
        <f>IF(BM1078="LOSE",1,0)</f>
        <v/>
      </c>
      <c r="BP1078" s="64">
        <f>IF(BO1078=0,0,IF(N(R1078)&gt;0,R1078,IFERROR(VLOOKUP(D1078,Parameter!$A$35:$C$64,3,0)+0,0)))</f>
        <v/>
      </c>
      <c r="BQ1078" s="53">
        <f>IF(V1078&lt;&gt;"",V1078,U1078)</f>
        <v/>
      </c>
      <c r="BR1078" s="53">
        <f>IF(BQ1078=1,"L1",IF(OR(BQ1078=2,BQ1078=3),"L23",IF(BQ1078="Aussen","Aussen","-")))</f>
        <v/>
      </c>
      <c r="BS1078" s="66">
        <f>IF(N(W1078)&gt;0,W1078,0)</f>
        <v/>
      </c>
      <c r="BT1078" s="58">
        <f>IF(ISNUMBER(Z1078),1,0)</f>
        <v/>
      </c>
      <c r="BU1078" s="55">
        <f>N(Z1078)</f>
        <v/>
      </c>
      <c r="BV1078" s="55">
        <f>N(L1078)+N(M1078)</f>
        <v/>
      </c>
      <c r="BW1078" s="55">
        <f>ROUNDUP(G1078/BN1078,0)</f>
        <v/>
      </c>
      <c r="BX1078" s="55">
        <f>ROUNDUP(BU1078/BN1078,0)</f>
        <v/>
      </c>
      <c r="BY1078" s="58">
        <f>IF(BO1078=1,0,IFERROR(VLOOKUP(BM1078,'Gebinde-Kategorie'!$A$5:$G$45,5,0)+0,0))</f>
        <v/>
      </c>
      <c r="BZ1078" s="58">
        <f>IFERROR(IF(OR(BQ1078=1,BQ1078=2,BQ1078=3),N(INDEX(Parameter!$I$5:$I$7,BQ1078)),0),0)</f>
        <v/>
      </c>
    </row>
    <row r="1079">
      <c r="A1079" s="53" t="inlineStr">
        <is>
          <t>100043</t>
        </is>
      </c>
      <c r="B1079" s="53" t="inlineStr">
        <is>
          <t>Sicherungsscheibe</t>
        </is>
      </c>
      <c r="C1079" s="53" t="inlineStr">
        <is>
          <t>F</t>
        </is>
      </c>
      <c r="D1079" s="53" t="inlineStr">
        <is>
          <t>KTL</t>
        </is>
      </c>
      <c r="E1079" s="53" t="inlineStr">
        <is>
          <t>C</t>
        </is>
      </c>
      <c r="F1079" s="54" t="n">
        <v>0.03</v>
      </c>
      <c r="G1079" s="55">
        <f>MAX(0,IF(Parameter!$B$20="Jahresanfang 2025 + Export",BG1079+BF1079,BF1079))</f>
        <v/>
      </c>
      <c r="H1079" s="55">
        <f>G1079*F1079</f>
        <v/>
      </c>
      <c r="I1079" s="55">
        <f>BI1079*Parameter!$B$18</f>
        <v/>
      </c>
      <c r="J1079" s="56" t="n">
        <v>5410.5</v>
      </c>
      <c r="K1079" s="57" t="n">
        <v>1.143332409204325</v>
      </c>
      <c r="L1079" s="55" t="n">
        <v>360</v>
      </c>
      <c r="M1079" s="55" t="n">
        <v>2000</v>
      </c>
      <c r="N1079" s="58" t="n">
        <v>21</v>
      </c>
      <c r="O1079" s="53" t="inlineStr">
        <is>
          <t>S33</t>
        </is>
      </c>
      <c r="P1079" s="55" t="n">
        <v>5992</v>
      </c>
      <c r="Q1079" s="59">
        <f>IF(BO1079=1,0,IFERROR(VLOOKUP(BM1079,'Gebinde-Kategorie'!$A$5:$G$45,6,0)+0,0))</f>
        <v/>
      </c>
      <c r="R1079" s="60" t="n"/>
      <c r="S1079" s="61" t="n"/>
      <c r="T1079" s="61" t="n"/>
      <c r="U1079" s="53">
        <f>IF(A1079="","",IF(IFERROR(VLOOKUP(D1079,Parameter!$A$35:$C$64,2,0),"Nein")="2+3",IF(ISNUMBER(SEARCH("grosser Artikel",BJ1079)),2,IFERROR(VLOOKUP(BM1079,Parameter!$F$35:$G$64,2,0),2)),IF(OR(IFERROR(VLOOKUP(D1079,Parameter!$A$35:$C$64,2,0),"Nein")="Nein",IFERROR(VLOOKUP(D1079,Parameter!$A$35:$C$64,2,0),"Nein")=""),"-",VLOOKUP(D1079,Parameter!$A$35:$C$64,2,0))))</f>
        <v/>
      </c>
      <c r="V1079" s="61" t="n"/>
      <c r="W1079" s="62" t="n"/>
      <c r="X1079" s="55">
        <f>AM1079</f>
        <v/>
      </c>
      <c r="Y1079" s="55">
        <f>MAX(AM1079,G1079)</f>
        <v/>
      </c>
      <c r="Z1079" s="63" t="n"/>
      <c r="AA1079" s="55">
        <f>IF(LEFT(Cockpit!$C$5,1)="A",G1079,IF(BT1079=1,BU1079,IF(LEFT(Cockpit!$C$5,1)="B",AE1079,MAX(AE1079,G1079))))</f>
        <v/>
      </c>
      <c r="AB1079" s="55">
        <f>IF(BO1079=1,0,ROUNDUP(AA1079/BN1079,0))</f>
        <v/>
      </c>
      <c r="AC1079" s="64">
        <f>IF(BO1079=1,IF(AA1079&lt;=0,0,BP1079*MAX(1,IF(G1079&gt;0,AA1079/G1079,1))),AB1079*Q1079)</f>
        <v/>
      </c>
      <c r="AD1079" s="55">
        <f>AA1079*F1079</f>
        <v/>
      </c>
      <c r="AE1079" s="55">
        <f>ROUNDUP(MAX(I1079/IF(BS1079&gt;0,BS1079,MAX(0.1,N(Cockpit!$C$6))),BV1079)/BN1079,0)*BN1079</f>
        <v/>
      </c>
      <c r="AF1079" s="56">
        <f>IF(AC1079&gt;0,I1079/AC1079,-1)</f>
        <v/>
      </c>
      <c r="AG1079" s="56">
        <f>IF(AND(OR(BR1079="L1",BR1079="L23"),AC1079&gt;0),SUMIFS($AC$7:$AC$1570,$BR$7:$BR$1570,BR1079,$AF$7:$AF$1570,"&gt;"&amp;AF1079)+SUMIFS($AC$7:$AC$1570,$BR$7:$BR$1570,BR1079,$AF$7:$AF$1570,AF1079,$BL$7:$BL$1570,"&lt;="&amp;BL1079),"")</f>
        <v/>
      </c>
      <c r="AH1079" s="65">
        <f>IF(AG1079="",0,MAX(0,MIN(1,(IF(BR1079="L1",Parameter!$K$5,Parameter!$K$6+Parameter!$K$7)-(AG1079-AC1079))/AC1079)))</f>
        <v/>
      </c>
      <c r="AI1079" s="55">
        <f>IF(LEFT(Cockpit!$I$5,1)="A",G1079,IF(BT1079=1,BU1079,IF(LEFT(Cockpit!$I$5,1)="B",AM1079,MAX(AM1079,G1079))))</f>
        <v/>
      </c>
      <c r="AJ1079" s="55">
        <f>IF(BO1079=1,0,ROUNDUP(AI1079/BN1079,0))</f>
        <v/>
      </c>
      <c r="AK1079" s="64">
        <f>IF(BO1079=1,IF(AI1079&lt;=0,0,BP1079*MAX(1,IF(G1079&gt;0,AI1079/G1079,1))),AJ1079*Q1079)</f>
        <v/>
      </c>
      <c r="AL1079" s="55">
        <f>AI1079*F1079</f>
        <v/>
      </c>
      <c r="AM1079" s="55">
        <f>ROUNDUP(MAX(I1079/IF(BS1079&gt;0,BS1079,MAX(0.1,N(Cockpit!$I$6))),BV1079)/BN1079,0)*BN1079</f>
        <v/>
      </c>
      <c r="AN1079" s="56">
        <f>IF(AK1079&gt;0,I1079/AK1079,-1)</f>
        <v/>
      </c>
      <c r="AO1079" s="56">
        <f>IF(AND(OR(BR1079="L1",BR1079="L23"),AK1079&gt;0),SUMIFS($AK$7:$AK$1570,$BR$7:$BR$1570,BR1079,$AN$7:$AN$1570,"&gt;"&amp;AN1079)+SUMIFS($AK$7:$AK$1570,$BR$7:$BR$1570,BR1079,$AN$7:$AN$1570,AN1079,$BL$7:$BL$1570,"&lt;="&amp;BL1079),"")</f>
        <v/>
      </c>
      <c r="AP1079" s="65">
        <f>IF(AO1079="",0,MAX(0,MIN(1,(IF(BR1079="L1",Parameter!$K$5,Parameter!$K$6+Parameter!$K$7)-(AO1079-AK1079))/AK1079)))</f>
        <v/>
      </c>
      <c r="AQ1079" s="55">
        <f>IF(LEFT(Cockpit!$O$5,1)="A",G1079,IF(BT1079=1,BU1079,IF(LEFT(Cockpit!$O$5,1)="B",AU1079,MAX(AU1079,G1079))))</f>
        <v/>
      </c>
      <c r="AR1079" s="55">
        <f>IF(BO1079=1,0,ROUNDUP(AQ1079/BN1079,0))</f>
        <v/>
      </c>
      <c r="AS1079" s="64">
        <f>IF(BO1079=1,IF(AQ1079&lt;=0,0,BP1079*MAX(1,IF(G1079&gt;0,AQ1079/G1079,1))),AR1079*Q1079)</f>
        <v/>
      </c>
      <c r="AT1079" s="55">
        <f>AQ1079*F1079</f>
        <v/>
      </c>
      <c r="AU1079" s="55">
        <f>ROUNDUP(MAX(I1079/IF(BS1079&gt;0,BS1079,MAX(0.1,N(Cockpit!$O$6))),BV1079)/BN1079,0)*BN1079</f>
        <v/>
      </c>
      <c r="AV1079" s="56">
        <f>IF(AS1079&gt;0,I1079/AS1079,-1)</f>
        <v/>
      </c>
      <c r="AW1079" s="56">
        <f>IF(AND(OR(BR1079="L1",BR1079="L23"),AS1079&gt;0),SUMIFS($AS$7:$AS$1570,$BR$7:$BR$1570,BR1079,$AV$7:$AV$1570,"&gt;"&amp;AV1079)+SUMIFS($AS$7:$AS$1570,$BR$7:$BR$1570,BR1079,$AV$7:$AV$1570,AV1079,$BL$7:$BL$1570,"&lt;="&amp;BL1079),"")</f>
        <v/>
      </c>
      <c r="AX1079" s="65">
        <f>IF(AW1079="",0,MAX(0,MIN(1,(IF(BR1079="L1",Parameter!$K$5,Parameter!$K$6+Parameter!$K$7)-(AW1079-AS1079))/AS1079)))</f>
        <v/>
      </c>
      <c r="AY1079" s="53">
        <f>IF(AC1079&lt;=0,"",IF(BR1079="Aussen","Aussenlager",IF(BR1079="-","Nicht im Lift",IF(AH1079&gt;=1,"Lift",IF(AH1079&lt;=0,"Aussenlager","teilweise")))))</f>
        <v/>
      </c>
      <c r="AZ1079" s="53">
        <f>IF(AK1079&lt;=0,"",IF(BR1079="Aussen","Aussenlager",IF(BR1079="-","Nicht im Lift",IF(AP1079&gt;=1,"Lift",IF(AP1079&lt;=0,"Aussenlager","teilweise")))))</f>
        <v/>
      </c>
      <c r="BA1079" s="53">
        <f>IF(AS1079&lt;=0,"",IF(BR1079="Aussen","Aussenlager",IF(BR1079="-","Nicht im Lift",IF(AX1079&gt;=1,"Lift",IF(AX1079&lt;=0,"Aussenlager","teilweise")))))</f>
        <v/>
      </c>
      <c r="BB1079" s="53">
        <f>IF(A1079="","",IF(BK1079=1,"Neu; ","")&amp;IF(AND(BK1079=0,BF1079&lt;0),"negativer Bestand (Export "&amp;BF1079&amp;"); ","")&amp;IF(I1079&lt;=0,"Kein Verbrauch; ","")&amp;IF(BO1079=1,"Lose – Fläche geschätzt; ","")&amp;IF(G1079&gt;AM1079,"Überbestand "&amp;ROUND(G1079-AM1079,0)&amp;" Stk / CHF "&amp;ROUND((G1079-AM1079)*F1079,0)&amp;"; ","")&amp;IF(AND(BT1079=1,BU1079&lt;BV1079),"MAX &lt; MB+LG; ","")&amp;IF(AND(BZ1079&gt;0,BY1079*10&gt;BZ1079),"zu hoch für Tablar; ","")&amp;IF(AND(BK1079=0,OR(BT1079=1,V1079&lt;&gt;"",S1079&lt;&gt;"",T1079&lt;&gt;"",W1079&lt;&gt;"")),"manuell übersteuert; ","")&amp;IF(AND(BO1079=0,Q1079=0),"Gebinde unbekannt; ","")&amp;IF(AND(BO1079=0,N(T1079)&lt;=0,N(P1079)&lt;=0),"Menge pro Gebinde fehlt (Ist = 1 Gebinde); ","")&amp;BJ1079)</f>
        <v/>
      </c>
      <c r="BC1079" s="53" t="n"/>
      <c r="BD1079" s="53" t="n"/>
      <c r="BE1079" s="61" t="n"/>
      <c r="BF1079" s="55" t="n">
        <v>-6097</v>
      </c>
      <c r="BG1079" s="55" t="n">
        <v>7658</v>
      </c>
      <c r="BH1079" s="54" t="n">
        <v>-182.91</v>
      </c>
      <c r="BI1079" s="55" t="n">
        <v>6186</v>
      </c>
      <c r="BJ1079" s="53" t="inlineStr"/>
      <c r="BK1079" s="58" t="n">
        <v>0</v>
      </c>
      <c r="BL1079" s="58" t="n">
        <v>1079</v>
      </c>
      <c r="BM1079" s="53">
        <f>IF(S1079&lt;&gt;"",UPPER(TRIM(S1079)),IF(O1079="","LOSE",O1079))</f>
        <v/>
      </c>
      <c r="BN1079" s="55">
        <f>IF(BM1079="LOSE",1,IF(N(T1079)&gt;0,T1079,IF(N(P1079)&gt;0,P1079,MAX(1,G1079))))</f>
        <v/>
      </c>
      <c r="BO1079" s="58">
        <f>IF(BM1079="LOSE",1,0)</f>
        <v/>
      </c>
      <c r="BP1079" s="64">
        <f>IF(BO1079=0,0,IF(N(R1079)&gt;0,R1079,IFERROR(VLOOKUP(D1079,Parameter!$A$35:$C$64,3,0)+0,0)))</f>
        <v/>
      </c>
      <c r="BQ1079" s="53">
        <f>IF(V1079&lt;&gt;"",V1079,U1079)</f>
        <v/>
      </c>
      <c r="BR1079" s="53">
        <f>IF(BQ1079=1,"L1",IF(OR(BQ1079=2,BQ1079=3),"L23",IF(BQ1079="Aussen","Aussen","-")))</f>
        <v/>
      </c>
      <c r="BS1079" s="66">
        <f>IF(N(W1079)&gt;0,W1079,0)</f>
        <v/>
      </c>
      <c r="BT1079" s="58">
        <f>IF(ISNUMBER(Z1079),1,0)</f>
        <v/>
      </c>
      <c r="BU1079" s="55">
        <f>N(Z1079)</f>
        <v/>
      </c>
      <c r="BV1079" s="55">
        <f>N(L1079)+N(M1079)</f>
        <v/>
      </c>
      <c r="BW1079" s="55">
        <f>ROUNDUP(G1079/BN1079,0)</f>
        <v/>
      </c>
      <c r="BX1079" s="55">
        <f>ROUNDUP(BU1079/BN1079,0)</f>
        <v/>
      </c>
      <c r="BY1079" s="58">
        <f>IF(BO1079=1,0,IFERROR(VLOOKUP(BM1079,'Gebinde-Kategorie'!$A$5:$G$45,5,0)+0,0))</f>
        <v/>
      </c>
      <c r="BZ1079" s="58">
        <f>IFERROR(IF(OR(BQ1079=1,BQ1079=2,BQ1079=3),N(INDEX(Parameter!$I$5:$I$7,BQ1079)),0),0)</f>
        <v/>
      </c>
    </row>
    <row r="1080">
      <c r="A1080" s="53" t="inlineStr">
        <is>
          <t>005793</t>
        </is>
      </c>
      <c r="B1080" s="53" t="inlineStr">
        <is>
          <t>Schütz</t>
        </is>
      </c>
      <c r="C1080" s="53" t="inlineStr">
        <is>
          <t>F</t>
        </is>
      </c>
      <c r="D1080" s="53" t="inlineStr">
        <is>
          <t>KTL</t>
        </is>
      </c>
      <c r="E1080" s="53" t="inlineStr">
        <is>
          <t>C</t>
        </is>
      </c>
      <c r="F1080" s="54" t="n">
        <v>45.83</v>
      </c>
      <c r="G1080" s="55">
        <f>MAX(0,IF(Parameter!$B$20="Jahresanfang 2025 + Export",BG1080+BF1080,BF1080))</f>
        <v/>
      </c>
      <c r="H1080" s="55">
        <f>G1080*F1080</f>
        <v/>
      </c>
      <c r="I1080" s="55">
        <f>BI1080*Parameter!$B$18</f>
        <v/>
      </c>
      <c r="J1080" s="56" t="n">
        <v>6.5</v>
      </c>
      <c r="K1080" s="57" t="n">
        <v>0.1538461538461539</v>
      </c>
      <c r="L1080" s="55" t="n">
        <v>0</v>
      </c>
      <c r="M1080" s="55" t="n">
        <v>1</v>
      </c>
      <c r="N1080" s="58" t="n">
        <v>28</v>
      </c>
      <c r="O1080" s="53" t="inlineStr">
        <is>
          <t>S32</t>
        </is>
      </c>
      <c r="P1080" s="55" t="n">
        <v>7</v>
      </c>
      <c r="Q1080" s="59">
        <f>IF(BO1080=1,0,IFERROR(VLOOKUP(BM1080,'Gebinde-Kategorie'!$A$5:$G$45,6,0)+0,0))</f>
        <v/>
      </c>
      <c r="R1080" s="60" t="n"/>
      <c r="S1080" s="61" t="n"/>
      <c r="T1080" s="61" t="n"/>
      <c r="U1080" s="53">
        <f>IF(A1080="","",IF(IFERROR(VLOOKUP(D1080,Parameter!$A$35:$C$64,2,0),"Nein")="2+3",IF(ISNUMBER(SEARCH("grosser Artikel",BJ1080)),2,IFERROR(VLOOKUP(BM1080,Parameter!$F$35:$G$64,2,0),2)),IF(OR(IFERROR(VLOOKUP(D1080,Parameter!$A$35:$C$64,2,0),"Nein")="Nein",IFERROR(VLOOKUP(D1080,Parameter!$A$35:$C$64,2,0),"Nein")=""),"-",VLOOKUP(D1080,Parameter!$A$35:$C$64,2,0))))</f>
        <v/>
      </c>
      <c r="V1080" s="61" t="n"/>
      <c r="W1080" s="62" t="n"/>
      <c r="X1080" s="55">
        <f>AM1080</f>
        <v/>
      </c>
      <c r="Y1080" s="55">
        <f>MAX(AM1080,G1080)</f>
        <v/>
      </c>
      <c r="Z1080" s="63" t="n"/>
      <c r="AA1080" s="55">
        <f>IF(LEFT(Cockpit!$C$5,1)="A",G1080,IF(BT1080=1,BU1080,IF(LEFT(Cockpit!$C$5,1)="B",AE1080,MAX(AE1080,G1080))))</f>
        <v/>
      </c>
      <c r="AB1080" s="55">
        <f>IF(BO1080=1,0,ROUNDUP(AA1080/BN1080,0))</f>
        <v/>
      </c>
      <c r="AC1080" s="64">
        <f>IF(BO1080=1,IF(AA1080&lt;=0,0,BP1080*MAX(1,IF(G1080&gt;0,AA1080/G1080,1))),AB1080*Q1080)</f>
        <v/>
      </c>
      <c r="AD1080" s="55">
        <f>AA1080*F1080</f>
        <v/>
      </c>
      <c r="AE1080" s="55">
        <f>ROUNDUP(MAX(I1080/IF(BS1080&gt;0,BS1080,MAX(0.1,N(Cockpit!$C$6))),BV1080)/BN1080,0)*BN1080</f>
        <v/>
      </c>
      <c r="AF1080" s="56">
        <f>IF(AC1080&gt;0,I1080/AC1080,-1)</f>
        <v/>
      </c>
      <c r="AG1080" s="56">
        <f>IF(AND(OR(BR1080="L1",BR1080="L23"),AC1080&gt;0),SUMIFS($AC$7:$AC$1570,$BR$7:$BR$1570,BR1080,$AF$7:$AF$1570,"&gt;"&amp;AF1080)+SUMIFS($AC$7:$AC$1570,$BR$7:$BR$1570,BR1080,$AF$7:$AF$1570,AF1080,$BL$7:$BL$1570,"&lt;="&amp;BL1080),"")</f>
        <v/>
      </c>
      <c r="AH1080" s="65">
        <f>IF(AG1080="",0,MAX(0,MIN(1,(IF(BR1080="L1",Parameter!$K$5,Parameter!$K$6+Parameter!$K$7)-(AG1080-AC1080))/AC1080)))</f>
        <v/>
      </c>
      <c r="AI1080" s="55">
        <f>IF(LEFT(Cockpit!$I$5,1)="A",G1080,IF(BT1080=1,BU1080,IF(LEFT(Cockpit!$I$5,1)="B",AM1080,MAX(AM1080,G1080))))</f>
        <v/>
      </c>
      <c r="AJ1080" s="55">
        <f>IF(BO1080=1,0,ROUNDUP(AI1080/BN1080,0))</f>
        <v/>
      </c>
      <c r="AK1080" s="64">
        <f>IF(BO1080=1,IF(AI1080&lt;=0,0,BP1080*MAX(1,IF(G1080&gt;0,AI1080/G1080,1))),AJ1080*Q1080)</f>
        <v/>
      </c>
      <c r="AL1080" s="55">
        <f>AI1080*F1080</f>
        <v/>
      </c>
      <c r="AM1080" s="55">
        <f>ROUNDUP(MAX(I1080/IF(BS1080&gt;0,BS1080,MAX(0.1,N(Cockpit!$I$6))),BV1080)/BN1080,0)*BN1080</f>
        <v/>
      </c>
      <c r="AN1080" s="56">
        <f>IF(AK1080&gt;0,I1080/AK1080,-1)</f>
        <v/>
      </c>
      <c r="AO1080" s="56">
        <f>IF(AND(OR(BR1080="L1",BR1080="L23"),AK1080&gt;0),SUMIFS($AK$7:$AK$1570,$BR$7:$BR$1570,BR1080,$AN$7:$AN$1570,"&gt;"&amp;AN1080)+SUMIFS($AK$7:$AK$1570,$BR$7:$BR$1570,BR1080,$AN$7:$AN$1570,AN1080,$BL$7:$BL$1570,"&lt;="&amp;BL1080),"")</f>
        <v/>
      </c>
      <c r="AP1080" s="65">
        <f>IF(AO1080="",0,MAX(0,MIN(1,(IF(BR1080="L1",Parameter!$K$5,Parameter!$K$6+Parameter!$K$7)-(AO1080-AK1080))/AK1080)))</f>
        <v/>
      </c>
      <c r="AQ1080" s="55">
        <f>IF(LEFT(Cockpit!$O$5,1)="A",G1080,IF(BT1080=1,BU1080,IF(LEFT(Cockpit!$O$5,1)="B",AU1080,MAX(AU1080,G1080))))</f>
        <v/>
      </c>
      <c r="AR1080" s="55">
        <f>IF(BO1080=1,0,ROUNDUP(AQ1080/BN1080,0))</f>
        <v/>
      </c>
      <c r="AS1080" s="64">
        <f>IF(BO1080=1,IF(AQ1080&lt;=0,0,BP1080*MAX(1,IF(G1080&gt;0,AQ1080/G1080,1))),AR1080*Q1080)</f>
        <v/>
      </c>
      <c r="AT1080" s="55">
        <f>AQ1080*F1080</f>
        <v/>
      </c>
      <c r="AU1080" s="55">
        <f>ROUNDUP(MAX(I1080/IF(BS1080&gt;0,BS1080,MAX(0.1,N(Cockpit!$O$6))),BV1080)/BN1080,0)*BN1080</f>
        <v/>
      </c>
      <c r="AV1080" s="56">
        <f>IF(AS1080&gt;0,I1080/AS1080,-1)</f>
        <v/>
      </c>
      <c r="AW1080" s="56">
        <f>IF(AND(OR(BR1080="L1",BR1080="L23"),AS1080&gt;0),SUMIFS($AS$7:$AS$1570,$BR$7:$BR$1570,BR1080,$AV$7:$AV$1570,"&gt;"&amp;AV1080)+SUMIFS($AS$7:$AS$1570,$BR$7:$BR$1570,BR1080,$AV$7:$AV$1570,AV1080,$BL$7:$BL$1570,"&lt;="&amp;BL1080),"")</f>
        <v/>
      </c>
      <c r="AX1080" s="65">
        <f>IF(AW1080="",0,MAX(0,MIN(1,(IF(BR1080="L1",Parameter!$K$5,Parameter!$K$6+Parameter!$K$7)-(AW1080-AS1080))/AS1080)))</f>
        <v/>
      </c>
      <c r="AY1080" s="53">
        <f>IF(AC1080&lt;=0,"",IF(BR1080="Aussen","Aussenlager",IF(BR1080="-","Nicht im Lift",IF(AH1080&gt;=1,"Lift",IF(AH1080&lt;=0,"Aussenlager","teilweise")))))</f>
        <v/>
      </c>
      <c r="AZ1080" s="53">
        <f>IF(AK1080&lt;=0,"",IF(BR1080="Aussen","Aussenlager",IF(BR1080="-","Nicht im Lift",IF(AP1080&gt;=1,"Lift",IF(AP1080&lt;=0,"Aussenlager","teilweise")))))</f>
        <v/>
      </c>
      <c r="BA1080" s="53">
        <f>IF(AS1080&lt;=0,"",IF(BR1080="Aussen","Aussenlager",IF(BR1080="-","Nicht im Lift",IF(AX1080&gt;=1,"Lift",IF(AX1080&lt;=0,"Aussenlager","teilweise")))))</f>
        <v/>
      </c>
      <c r="BB1080" s="53">
        <f>IF(A1080="","",IF(BK1080=1,"Neu; ","")&amp;IF(AND(BK1080=0,BF1080&lt;0),"negativer Bestand (Export "&amp;BF1080&amp;"); ","")&amp;IF(I1080&lt;=0,"Kein Verbrauch; ","")&amp;IF(BO1080=1,"Lose – Fläche geschätzt; ","")&amp;IF(G1080&gt;AM1080,"Überbestand "&amp;ROUND(G1080-AM1080,0)&amp;" Stk / CHF "&amp;ROUND((G1080-AM1080)*F1080,0)&amp;"; ","")&amp;IF(AND(BT1080=1,BU1080&lt;BV1080),"MAX &lt; MB+LG; ","")&amp;IF(AND(BZ1080&gt;0,BY1080*10&gt;BZ1080),"zu hoch für Tablar; ","")&amp;IF(AND(BK1080=0,OR(BT1080=1,V1080&lt;&gt;"",S1080&lt;&gt;"",T1080&lt;&gt;"",W1080&lt;&gt;"")),"manuell übersteuert; ","")&amp;IF(AND(BO1080=0,Q1080=0),"Gebinde unbekannt; ","")&amp;IF(AND(BO1080=0,N(T1080)&lt;=0,N(P1080)&lt;=0),"Menge pro Gebinde fehlt (Ist = 1 Gebinde); ","")&amp;BJ1080)</f>
        <v/>
      </c>
      <c r="BC1080" s="53" t="n"/>
      <c r="BD1080" s="53" t="n"/>
      <c r="BE1080" s="61" t="n"/>
      <c r="BF1080" s="55" t="n">
        <v>-4</v>
      </c>
      <c r="BG1080" s="55" t="n">
        <v>7</v>
      </c>
      <c r="BH1080" s="54" t="n">
        <v>-183.32</v>
      </c>
      <c r="BI1080" s="55" t="n">
        <v>1</v>
      </c>
      <c r="BJ1080" s="53" t="inlineStr"/>
      <c r="BK1080" s="58" t="n">
        <v>0</v>
      </c>
      <c r="BL1080" s="58" t="n">
        <v>1080</v>
      </c>
      <c r="BM1080" s="53">
        <f>IF(S1080&lt;&gt;"",UPPER(TRIM(S1080)),IF(O1080="","LOSE",O1080))</f>
        <v/>
      </c>
      <c r="BN1080" s="55">
        <f>IF(BM1080="LOSE",1,IF(N(T1080)&gt;0,T1080,IF(N(P1080)&gt;0,P1080,MAX(1,G1080))))</f>
        <v/>
      </c>
      <c r="BO1080" s="58">
        <f>IF(BM1080="LOSE",1,0)</f>
        <v/>
      </c>
      <c r="BP1080" s="64">
        <f>IF(BO1080=0,0,IF(N(R1080)&gt;0,R1080,IFERROR(VLOOKUP(D1080,Parameter!$A$35:$C$64,3,0)+0,0)))</f>
        <v/>
      </c>
      <c r="BQ1080" s="53">
        <f>IF(V1080&lt;&gt;"",V1080,U1080)</f>
        <v/>
      </c>
      <c r="BR1080" s="53">
        <f>IF(BQ1080=1,"L1",IF(OR(BQ1080=2,BQ1080=3),"L23",IF(BQ1080="Aussen","Aussen","-")))</f>
        <v/>
      </c>
      <c r="BS1080" s="66">
        <f>IF(N(W1080)&gt;0,W1080,0)</f>
        <v/>
      </c>
      <c r="BT1080" s="58">
        <f>IF(ISNUMBER(Z1080),1,0)</f>
        <v/>
      </c>
      <c r="BU1080" s="55">
        <f>N(Z1080)</f>
        <v/>
      </c>
      <c r="BV1080" s="55">
        <f>N(L1080)+N(M1080)</f>
        <v/>
      </c>
      <c r="BW1080" s="55">
        <f>ROUNDUP(G1080/BN1080,0)</f>
        <v/>
      </c>
      <c r="BX1080" s="55">
        <f>ROUNDUP(BU1080/BN1080,0)</f>
        <v/>
      </c>
      <c r="BY1080" s="58">
        <f>IF(BO1080=1,0,IFERROR(VLOOKUP(BM1080,'Gebinde-Kategorie'!$A$5:$G$45,5,0)+0,0))</f>
        <v/>
      </c>
      <c r="BZ1080" s="58">
        <f>IFERROR(IF(OR(BQ1080=1,BQ1080=2,BQ1080=3),N(INDEX(Parameter!$I$5:$I$7,BQ1080)),0),0)</f>
        <v/>
      </c>
    </row>
    <row r="1081">
      <c r="A1081" s="53" t="inlineStr">
        <is>
          <t>106133</t>
        </is>
      </c>
      <c r="B1081" s="53" t="inlineStr">
        <is>
          <t>Verbunddichtring</t>
        </is>
      </c>
      <c r="C1081" s="53" t="inlineStr">
        <is>
          <t>F</t>
        </is>
      </c>
      <c r="D1081" s="53" t="inlineStr">
        <is>
          <t>KTL</t>
        </is>
      </c>
      <c r="E1081" s="53" t="inlineStr">
        <is>
          <t>C</t>
        </is>
      </c>
      <c r="F1081" s="54" t="n">
        <v>3.55</v>
      </c>
      <c r="G1081" s="55">
        <f>MAX(0,IF(Parameter!$B$20="Jahresanfang 2025 + Export",BG1081+BF1081,BF1081))</f>
        <v/>
      </c>
      <c r="H1081" s="55">
        <f>G1081*F1081</f>
        <v/>
      </c>
      <c r="I1081" s="55">
        <f>BI1081*Parameter!$B$18</f>
        <v/>
      </c>
      <c r="J1081" s="56" t="n">
        <v>249.5</v>
      </c>
      <c r="K1081" s="57" t="n">
        <v>2.200400801603207</v>
      </c>
      <c r="L1081" s="55" t="n">
        <v>21</v>
      </c>
      <c r="M1081" s="55" t="n">
        <v>100</v>
      </c>
      <c r="N1081" s="58" t="n">
        <v>14</v>
      </c>
      <c r="O1081" s="53" t="inlineStr">
        <is>
          <t>S33</t>
        </is>
      </c>
      <c r="P1081" s="55" t="n">
        <v>716</v>
      </c>
      <c r="Q1081" s="59">
        <f>IF(BO1081=1,0,IFERROR(VLOOKUP(BM1081,'Gebinde-Kategorie'!$A$5:$G$45,6,0)+0,0))</f>
        <v/>
      </c>
      <c r="R1081" s="60" t="n"/>
      <c r="S1081" s="61" t="n"/>
      <c r="T1081" s="61" t="n"/>
      <c r="U1081" s="53">
        <f>IF(A1081="","",IF(IFERROR(VLOOKUP(D1081,Parameter!$A$35:$C$64,2,0),"Nein")="2+3",IF(ISNUMBER(SEARCH("grosser Artikel",BJ1081)),2,IFERROR(VLOOKUP(BM1081,Parameter!$F$35:$G$64,2,0),2)),IF(OR(IFERROR(VLOOKUP(D1081,Parameter!$A$35:$C$64,2,0),"Nein")="Nein",IFERROR(VLOOKUP(D1081,Parameter!$A$35:$C$64,2,0),"Nein")=""),"-",VLOOKUP(D1081,Parameter!$A$35:$C$64,2,0))))</f>
        <v/>
      </c>
      <c r="V1081" s="61" t="n"/>
      <c r="W1081" s="62" t="n"/>
      <c r="X1081" s="55">
        <f>AM1081</f>
        <v/>
      </c>
      <c r="Y1081" s="55">
        <f>MAX(AM1081,G1081)</f>
        <v/>
      </c>
      <c r="Z1081" s="63" t="n"/>
      <c r="AA1081" s="55">
        <f>IF(LEFT(Cockpit!$C$5,1)="A",G1081,IF(BT1081=1,BU1081,IF(LEFT(Cockpit!$C$5,1)="B",AE1081,MAX(AE1081,G1081))))</f>
        <v/>
      </c>
      <c r="AB1081" s="55">
        <f>IF(BO1081=1,0,ROUNDUP(AA1081/BN1081,0))</f>
        <v/>
      </c>
      <c r="AC1081" s="64">
        <f>IF(BO1081=1,IF(AA1081&lt;=0,0,BP1081*MAX(1,IF(G1081&gt;0,AA1081/G1081,1))),AB1081*Q1081)</f>
        <v/>
      </c>
      <c r="AD1081" s="55">
        <f>AA1081*F1081</f>
        <v/>
      </c>
      <c r="AE1081" s="55">
        <f>ROUNDUP(MAX(I1081/IF(BS1081&gt;0,BS1081,MAX(0.1,N(Cockpit!$C$6))),BV1081)/BN1081,0)*BN1081</f>
        <v/>
      </c>
      <c r="AF1081" s="56">
        <f>IF(AC1081&gt;0,I1081/AC1081,-1)</f>
        <v/>
      </c>
      <c r="AG1081" s="56">
        <f>IF(AND(OR(BR1081="L1",BR1081="L23"),AC1081&gt;0),SUMIFS($AC$7:$AC$1570,$BR$7:$BR$1570,BR1081,$AF$7:$AF$1570,"&gt;"&amp;AF1081)+SUMIFS($AC$7:$AC$1570,$BR$7:$BR$1570,BR1081,$AF$7:$AF$1570,AF1081,$BL$7:$BL$1570,"&lt;="&amp;BL1081),"")</f>
        <v/>
      </c>
      <c r="AH1081" s="65">
        <f>IF(AG1081="",0,MAX(0,MIN(1,(IF(BR1081="L1",Parameter!$K$5,Parameter!$K$6+Parameter!$K$7)-(AG1081-AC1081))/AC1081)))</f>
        <v/>
      </c>
      <c r="AI1081" s="55">
        <f>IF(LEFT(Cockpit!$I$5,1)="A",G1081,IF(BT1081=1,BU1081,IF(LEFT(Cockpit!$I$5,1)="B",AM1081,MAX(AM1081,G1081))))</f>
        <v/>
      </c>
      <c r="AJ1081" s="55">
        <f>IF(BO1081=1,0,ROUNDUP(AI1081/BN1081,0))</f>
        <v/>
      </c>
      <c r="AK1081" s="64">
        <f>IF(BO1081=1,IF(AI1081&lt;=0,0,BP1081*MAX(1,IF(G1081&gt;0,AI1081/G1081,1))),AJ1081*Q1081)</f>
        <v/>
      </c>
      <c r="AL1081" s="55">
        <f>AI1081*F1081</f>
        <v/>
      </c>
      <c r="AM1081" s="55">
        <f>ROUNDUP(MAX(I1081/IF(BS1081&gt;0,BS1081,MAX(0.1,N(Cockpit!$I$6))),BV1081)/BN1081,0)*BN1081</f>
        <v/>
      </c>
      <c r="AN1081" s="56">
        <f>IF(AK1081&gt;0,I1081/AK1081,-1)</f>
        <v/>
      </c>
      <c r="AO1081" s="56">
        <f>IF(AND(OR(BR1081="L1",BR1081="L23"),AK1081&gt;0),SUMIFS($AK$7:$AK$1570,$BR$7:$BR$1570,BR1081,$AN$7:$AN$1570,"&gt;"&amp;AN1081)+SUMIFS($AK$7:$AK$1570,$BR$7:$BR$1570,BR1081,$AN$7:$AN$1570,AN1081,$BL$7:$BL$1570,"&lt;="&amp;BL1081),"")</f>
        <v/>
      </c>
      <c r="AP1081" s="65">
        <f>IF(AO1081="",0,MAX(0,MIN(1,(IF(BR1081="L1",Parameter!$K$5,Parameter!$K$6+Parameter!$K$7)-(AO1081-AK1081))/AK1081)))</f>
        <v/>
      </c>
      <c r="AQ1081" s="55">
        <f>IF(LEFT(Cockpit!$O$5,1)="A",G1081,IF(BT1081=1,BU1081,IF(LEFT(Cockpit!$O$5,1)="B",AU1081,MAX(AU1081,G1081))))</f>
        <v/>
      </c>
      <c r="AR1081" s="55">
        <f>IF(BO1081=1,0,ROUNDUP(AQ1081/BN1081,0))</f>
        <v/>
      </c>
      <c r="AS1081" s="64">
        <f>IF(BO1081=1,IF(AQ1081&lt;=0,0,BP1081*MAX(1,IF(G1081&gt;0,AQ1081/G1081,1))),AR1081*Q1081)</f>
        <v/>
      </c>
      <c r="AT1081" s="55">
        <f>AQ1081*F1081</f>
        <v/>
      </c>
      <c r="AU1081" s="55">
        <f>ROUNDUP(MAX(I1081/IF(BS1081&gt;0,BS1081,MAX(0.1,N(Cockpit!$O$6))),BV1081)/BN1081,0)*BN1081</f>
        <v/>
      </c>
      <c r="AV1081" s="56">
        <f>IF(AS1081&gt;0,I1081/AS1081,-1)</f>
        <v/>
      </c>
      <c r="AW1081" s="56">
        <f>IF(AND(OR(BR1081="L1",BR1081="L23"),AS1081&gt;0),SUMIFS($AS$7:$AS$1570,$BR$7:$BR$1570,BR1081,$AV$7:$AV$1570,"&gt;"&amp;AV1081)+SUMIFS($AS$7:$AS$1570,$BR$7:$BR$1570,BR1081,$AV$7:$AV$1570,AV1081,$BL$7:$BL$1570,"&lt;="&amp;BL1081),"")</f>
        <v/>
      </c>
      <c r="AX1081" s="65">
        <f>IF(AW1081="",0,MAX(0,MIN(1,(IF(BR1081="L1",Parameter!$K$5,Parameter!$K$6+Parameter!$K$7)-(AW1081-AS1081))/AS1081)))</f>
        <v/>
      </c>
      <c r="AY1081" s="53">
        <f>IF(AC1081&lt;=0,"",IF(BR1081="Aussen","Aussenlager",IF(BR1081="-","Nicht im Lift",IF(AH1081&gt;=1,"Lift",IF(AH1081&lt;=0,"Aussenlager","teilweise")))))</f>
        <v/>
      </c>
      <c r="AZ1081" s="53">
        <f>IF(AK1081&lt;=0,"",IF(BR1081="Aussen","Aussenlager",IF(BR1081="-","Nicht im Lift",IF(AP1081&gt;=1,"Lift",IF(AP1081&lt;=0,"Aussenlager","teilweise")))))</f>
        <v/>
      </c>
      <c r="BA1081" s="53">
        <f>IF(AS1081&lt;=0,"",IF(BR1081="Aussen","Aussenlager",IF(BR1081="-","Nicht im Lift",IF(AX1081&gt;=1,"Lift",IF(AX1081&lt;=0,"Aussenlager","teilweise")))))</f>
        <v/>
      </c>
      <c r="BB1081" s="53">
        <f>IF(A1081="","",IF(BK1081=1,"Neu; ","")&amp;IF(AND(BK1081=0,BF1081&lt;0),"negativer Bestand (Export "&amp;BF1081&amp;"); ","")&amp;IF(I1081&lt;=0,"Kein Verbrauch; ","")&amp;IF(BO1081=1,"Lose – Fläche geschätzt; ","")&amp;IF(G1081&gt;AM1081,"Überbestand "&amp;ROUND(G1081-AM1081,0)&amp;" Stk / CHF "&amp;ROUND((G1081-AM1081)*F1081,0)&amp;"; ","")&amp;IF(AND(BT1081=1,BU1081&lt;BV1081),"MAX &lt; MB+LG; ","")&amp;IF(AND(BZ1081&gt;0,BY1081*10&gt;BZ1081),"zu hoch für Tablar; ","")&amp;IF(AND(BK1081=0,OR(BT1081=1,V1081&lt;&gt;"",S1081&lt;&gt;"",T1081&lt;&gt;"",W1081&lt;&gt;"")),"manuell übersteuert; ","")&amp;IF(AND(BO1081=0,Q1081=0),"Gebinde unbekannt; ","")&amp;IF(AND(BO1081=0,N(T1081)&lt;=0,N(P1081)&lt;=0),"Menge pro Gebinde fehlt (Ist = 1 Gebinde); ","")&amp;BJ1081)</f>
        <v/>
      </c>
      <c r="BC1081" s="53" t="n"/>
      <c r="BD1081" s="53" t="n"/>
      <c r="BE1081" s="61" t="n"/>
      <c r="BF1081" s="55" t="n">
        <v>-66</v>
      </c>
      <c r="BG1081" s="55" t="n">
        <v>228</v>
      </c>
      <c r="BH1081" s="54" t="n">
        <v>-186.4600000000004</v>
      </c>
      <c r="BI1081" s="55" t="n">
        <v>549</v>
      </c>
      <c r="BJ1081" s="53" t="inlineStr"/>
      <c r="BK1081" s="58" t="n">
        <v>0</v>
      </c>
      <c r="BL1081" s="58" t="n">
        <v>1081</v>
      </c>
      <c r="BM1081" s="53">
        <f>IF(S1081&lt;&gt;"",UPPER(TRIM(S1081)),IF(O1081="","LOSE",O1081))</f>
        <v/>
      </c>
      <c r="BN1081" s="55">
        <f>IF(BM1081="LOSE",1,IF(N(T1081)&gt;0,T1081,IF(N(P1081)&gt;0,P1081,MAX(1,G1081))))</f>
        <v/>
      </c>
      <c r="BO1081" s="58">
        <f>IF(BM1081="LOSE",1,0)</f>
        <v/>
      </c>
      <c r="BP1081" s="64">
        <f>IF(BO1081=0,0,IF(N(R1081)&gt;0,R1081,IFERROR(VLOOKUP(D1081,Parameter!$A$35:$C$64,3,0)+0,0)))</f>
        <v/>
      </c>
      <c r="BQ1081" s="53">
        <f>IF(V1081&lt;&gt;"",V1081,U1081)</f>
        <v/>
      </c>
      <c r="BR1081" s="53">
        <f>IF(BQ1081=1,"L1",IF(OR(BQ1081=2,BQ1081=3),"L23",IF(BQ1081="Aussen","Aussen","-")))</f>
        <v/>
      </c>
      <c r="BS1081" s="66">
        <f>IF(N(W1081)&gt;0,W1081,0)</f>
        <v/>
      </c>
      <c r="BT1081" s="58">
        <f>IF(ISNUMBER(Z1081),1,0)</f>
        <v/>
      </c>
      <c r="BU1081" s="55">
        <f>N(Z1081)</f>
        <v/>
      </c>
      <c r="BV1081" s="55">
        <f>N(L1081)+N(M1081)</f>
        <v/>
      </c>
      <c r="BW1081" s="55">
        <f>ROUNDUP(G1081/BN1081,0)</f>
        <v/>
      </c>
      <c r="BX1081" s="55">
        <f>ROUNDUP(BU1081/BN1081,0)</f>
        <v/>
      </c>
      <c r="BY1081" s="58">
        <f>IF(BO1081=1,0,IFERROR(VLOOKUP(BM1081,'Gebinde-Kategorie'!$A$5:$G$45,5,0)+0,0))</f>
        <v/>
      </c>
      <c r="BZ1081" s="58">
        <f>IFERROR(IF(OR(BQ1081=1,BQ1081=2,BQ1081=3),N(INDEX(Parameter!$I$5:$I$7,BQ1081)),0),0)</f>
        <v/>
      </c>
    </row>
    <row r="1082">
      <c r="A1082" s="53" t="inlineStr">
        <is>
          <t>101103</t>
        </is>
      </c>
      <c r="B1082" s="53" t="inlineStr">
        <is>
          <t>Sicherungsscheibe</t>
        </is>
      </c>
      <c r="C1082" s="53" t="inlineStr">
        <is>
          <t>F</t>
        </is>
      </c>
      <c r="D1082" s="53" t="inlineStr">
        <is>
          <t>KTL</t>
        </is>
      </c>
      <c r="E1082" s="53" t="inlineStr">
        <is>
          <t>C</t>
        </is>
      </c>
      <c r="F1082" s="54" t="n">
        <v>0.55</v>
      </c>
      <c r="G1082" s="55">
        <f>MAX(0,IF(Parameter!$B$20="Jahresanfang 2025 + Export",BG1082+BF1082,BF1082))</f>
        <v/>
      </c>
      <c r="H1082" s="55">
        <f>G1082*F1082</f>
        <v/>
      </c>
      <c r="I1082" s="55">
        <f>BI1082*Parameter!$B$18</f>
        <v/>
      </c>
      <c r="J1082" s="56" t="n">
        <v>1638.5</v>
      </c>
      <c r="K1082" s="57" t="n">
        <v>1.135184620079341</v>
      </c>
      <c r="L1082" s="55" t="n">
        <v>109</v>
      </c>
      <c r="M1082" s="55" t="n">
        <v>1900</v>
      </c>
      <c r="N1082" s="58" t="n">
        <v>21</v>
      </c>
      <c r="O1082" s="53" t="inlineStr">
        <is>
          <t>S51</t>
        </is>
      </c>
      <c r="P1082" s="55" t="n">
        <v>989</v>
      </c>
      <c r="Q1082" s="59">
        <f>IF(BO1082=1,0,IFERROR(VLOOKUP(BM1082,'Gebinde-Kategorie'!$A$5:$G$45,6,0)+0,0))</f>
        <v/>
      </c>
      <c r="R1082" s="60" t="n"/>
      <c r="S1082" s="61" t="n"/>
      <c r="T1082" s="61" t="n"/>
      <c r="U1082" s="53">
        <f>IF(A1082="","",IF(IFERROR(VLOOKUP(D1082,Parameter!$A$35:$C$64,2,0),"Nein")="2+3",IF(ISNUMBER(SEARCH("grosser Artikel",BJ1082)),2,IFERROR(VLOOKUP(BM1082,Parameter!$F$35:$G$64,2,0),2)),IF(OR(IFERROR(VLOOKUP(D1082,Parameter!$A$35:$C$64,2,0),"Nein")="Nein",IFERROR(VLOOKUP(D1082,Parameter!$A$35:$C$64,2,0),"Nein")=""),"-",VLOOKUP(D1082,Parameter!$A$35:$C$64,2,0))))</f>
        <v/>
      </c>
      <c r="V1082" s="61" t="n"/>
      <c r="W1082" s="62" t="n"/>
      <c r="X1082" s="55">
        <f>AM1082</f>
        <v/>
      </c>
      <c r="Y1082" s="55">
        <f>MAX(AM1082,G1082)</f>
        <v/>
      </c>
      <c r="Z1082" s="63" t="n"/>
      <c r="AA1082" s="55">
        <f>IF(LEFT(Cockpit!$C$5,1)="A",G1082,IF(BT1082=1,BU1082,IF(LEFT(Cockpit!$C$5,1)="B",AE1082,MAX(AE1082,G1082))))</f>
        <v/>
      </c>
      <c r="AB1082" s="55">
        <f>IF(BO1082=1,0,ROUNDUP(AA1082/BN1082,0))</f>
        <v/>
      </c>
      <c r="AC1082" s="64">
        <f>IF(BO1082=1,IF(AA1082&lt;=0,0,BP1082*MAX(1,IF(G1082&gt;0,AA1082/G1082,1))),AB1082*Q1082)</f>
        <v/>
      </c>
      <c r="AD1082" s="55">
        <f>AA1082*F1082</f>
        <v/>
      </c>
      <c r="AE1082" s="55">
        <f>ROUNDUP(MAX(I1082/IF(BS1082&gt;0,BS1082,MAX(0.1,N(Cockpit!$C$6))),BV1082)/BN1082,0)*BN1082</f>
        <v/>
      </c>
      <c r="AF1082" s="56">
        <f>IF(AC1082&gt;0,I1082/AC1082,-1)</f>
        <v/>
      </c>
      <c r="AG1082" s="56">
        <f>IF(AND(OR(BR1082="L1",BR1082="L23"),AC1082&gt;0),SUMIFS($AC$7:$AC$1570,$BR$7:$BR$1570,BR1082,$AF$7:$AF$1570,"&gt;"&amp;AF1082)+SUMIFS($AC$7:$AC$1570,$BR$7:$BR$1570,BR1082,$AF$7:$AF$1570,AF1082,$BL$7:$BL$1570,"&lt;="&amp;BL1082),"")</f>
        <v/>
      </c>
      <c r="AH1082" s="65">
        <f>IF(AG1082="",0,MAX(0,MIN(1,(IF(BR1082="L1",Parameter!$K$5,Parameter!$K$6+Parameter!$K$7)-(AG1082-AC1082))/AC1082)))</f>
        <v/>
      </c>
      <c r="AI1082" s="55">
        <f>IF(LEFT(Cockpit!$I$5,1)="A",G1082,IF(BT1082=1,BU1082,IF(LEFT(Cockpit!$I$5,1)="B",AM1082,MAX(AM1082,G1082))))</f>
        <v/>
      </c>
      <c r="AJ1082" s="55">
        <f>IF(BO1082=1,0,ROUNDUP(AI1082/BN1082,0))</f>
        <v/>
      </c>
      <c r="AK1082" s="64">
        <f>IF(BO1082=1,IF(AI1082&lt;=0,0,BP1082*MAX(1,IF(G1082&gt;0,AI1082/G1082,1))),AJ1082*Q1082)</f>
        <v/>
      </c>
      <c r="AL1082" s="55">
        <f>AI1082*F1082</f>
        <v/>
      </c>
      <c r="AM1082" s="55">
        <f>ROUNDUP(MAX(I1082/IF(BS1082&gt;0,BS1082,MAX(0.1,N(Cockpit!$I$6))),BV1082)/BN1082,0)*BN1082</f>
        <v/>
      </c>
      <c r="AN1082" s="56">
        <f>IF(AK1082&gt;0,I1082/AK1082,-1)</f>
        <v/>
      </c>
      <c r="AO1082" s="56">
        <f>IF(AND(OR(BR1082="L1",BR1082="L23"),AK1082&gt;0),SUMIFS($AK$7:$AK$1570,$BR$7:$BR$1570,BR1082,$AN$7:$AN$1570,"&gt;"&amp;AN1082)+SUMIFS($AK$7:$AK$1570,$BR$7:$BR$1570,BR1082,$AN$7:$AN$1570,AN1082,$BL$7:$BL$1570,"&lt;="&amp;BL1082),"")</f>
        <v/>
      </c>
      <c r="AP1082" s="65">
        <f>IF(AO1082="",0,MAX(0,MIN(1,(IF(BR1082="L1",Parameter!$K$5,Parameter!$K$6+Parameter!$K$7)-(AO1082-AK1082))/AK1082)))</f>
        <v/>
      </c>
      <c r="AQ1082" s="55">
        <f>IF(LEFT(Cockpit!$O$5,1)="A",G1082,IF(BT1082=1,BU1082,IF(LEFT(Cockpit!$O$5,1)="B",AU1082,MAX(AU1082,G1082))))</f>
        <v/>
      </c>
      <c r="AR1082" s="55">
        <f>IF(BO1082=1,0,ROUNDUP(AQ1082/BN1082,0))</f>
        <v/>
      </c>
      <c r="AS1082" s="64">
        <f>IF(BO1082=1,IF(AQ1082&lt;=0,0,BP1082*MAX(1,IF(G1082&gt;0,AQ1082/G1082,1))),AR1082*Q1082)</f>
        <v/>
      </c>
      <c r="AT1082" s="55">
        <f>AQ1082*F1082</f>
        <v/>
      </c>
      <c r="AU1082" s="55">
        <f>ROUNDUP(MAX(I1082/IF(BS1082&gt;0,BS1082,MAX(0.1,N(Cockpit!$O$6))),BV1082)/BN1082,0)*BN1082</f>
        <v/>
      </c>
      <c r="AV1082" s="56">
        <f>IF(AS1082&gt;0,I1082/AS1082,-1)</f>
        <v/>
      </c>
      <c r="AW1082" s="56">
        <f>IF(AND(OR(BR1082="L1",BR1082="L23"),AS1082&gt;0),SUMIFS($AS$7:$AS$1570,$BR$7:$BR$1570,BR1082,$AV$7:$AV$1570,"&gt;"&amp;AV1082)+SUMIFS($AS$7:$AS$1570,$BR$7:$BR$1570,BR1082,$AV$7:$AV$1570,AV1082,$BL$7:$BL$1570,"&lt;="&amp;BL1082),"")</f>
        <v/>
      </c>
      <c r="AX1082" s="65">
        <f>IF(AW1082="",0,MAX(0,MIN(1,(IF(BR1082="L1",Parameter!$K$5,Parameter!$K$6+Parameter!$K$7)-(AW1082-AS1082))/AS1082)))</f>
        <v/>
      </c>
      <c r="AY1082" s="53">
        <f>IF(AC1082&lt;=0,"",IF(BR1082="Aussen","Aussenlager",IF(BR1082="-","Nicht im Lift",IF(AH1082&gt;=1,"Lift",IF(AH1082&lt;=0,"Aussenlager","teilweise")))))</f>
        <v/>
      </c>
      <c r="AZ1082" s="53">
        <f>IF(AK1082&lt;=0,"",IF(BR1082="Aussen","Aussenlager",IF(BR1082="-","Nicht im Lift",IF(AP1082&gt;=1,"Lift",IF(AP1082&lt;=0,"Aussenlager","teilweise")))))</f>
        <v/>
      </c>
      <c r="BA1082" s="53">
        <f>IF(AS1082&lt;=0,"",IF(BR1082="Aussen","Aussenlager",IF(BR1082="-","Nicht im Lift",IF(AX1082&gt;=1,"Lift",IF(AX1082&lt;=0,"Aussenlager","teilweise")))))</f>
        <v/>
      </c>
      <c r="BB1082" s="53">
        <f>IF(A1082="","",IF(BK1082=1,"Neu; ","")&amp;IF(AND(BK1082=0,BF1082&lt;0),"negativer Bestand (Export "&amp;BF1082&amp;"); ","")&amp;IF(I1082&lt;=0,"Kein Verbrauch; ","")&amp;IF(BO1082=1,"Lose – Fläche geschätzt; ","")&amp;IF(G1082&gt;AM1082,"Überbestand "&amp;ROUND(G1082-AM1082,0)&amp;" Stk / CHF "&amp;ROUND((G1082-AM1082)*F1082,0)&amp;"; ","")&amp;IF(AND(BT1082=1,BU1082&lt;BV1082),"MAX &lt; MB+LG; ","")&amp;IF(AND(BZ1082&gt;0,BY1082*10&gt;BZ1082),"zu hoch für Tablar; ","")&amp;IF(AND(BK1082=0,OR(BT1082=1,V1082&lt;&gt;"",S1082&lt;&gt;"",T1082&lt;&gt;"",W1082&lt;&gt;"")),"manuell übersteuert; ","")&amp;IF(AND(BO1082=0,Q1082=0),"Gebinde unbekannt; ","")&amp;IF(AND(BO1082=0,N(T1082)&lt;=0,N(P1082)&lt;=0),"Menge pro Gebinde fehlt (Ist = 1 Gebinde); ","")&amp;BJ1082)</f>
        <v/>
      </c>
      <c r="BC1082" s="53" t="n"/>
      <c r="BD1082" s="53" t="n"/>
      <c r="BE1082" s="61" t="n"/>
      <c r="BF1082" s="55" t="n">
        <v>-375</v>
      </c>
      <c r="BG1082" s="55" t="n">
        <v>1868</v>
      </c>
      <c r="BH1082" s="54" t="n">
        <v>-187.5699999999991</v>
      </c>
      <c r="BI1082" s="55" t="n">
        <v>1860</v>
      </c>
      <c r="BJ1082" s="53" t="inlineStr"/>
      <c r="BK1082" s="58" t="n">
        <v>0</v>
      </c>
      <c r="BL1082" s="58" t="n">
        <v>1082</v>
      </c>
      <c r="BM1082" s="53">
        <f>IF(S1082&lt;&gt;"",UPPER(TRIM(S1082)),IF(O1082="","LOSE",O1082))</f>
        <v/>
      </c>
      <c r="BN1082" s="55">
        <f>IF(BM1082="LOSE",1,IF(N(T1082)&gt;0,T1082,IF(N(P1082)&gt;0,P1082,MAX(1,G1082))))</f>
        <v/>
      </c>
      <c r="BO1082" s="58">
        <f>IF(BM1082="LOSE",1,0)</f>
        <v/>
      </c>
      <c r="BP1082" s="64">
        <f>IF(BO1082=0,0,IF(N(R1082)&gt;0,R1082,IFERROR(VLOOKUP(D1082,Parameter!$A$35:$C$64,3,0)+0,0)))</f>
        <v/>
      </c>
      <c r="BQ1082" s="53">
        <f>IF(V1082&lt;&gt;"",V1082,U1082)</f>
        <v/>
      </c>
      <c r="BR1082" s="53">
        <f>IF(BQ1082=1,"L1",IF(OR(BQ1082=2,BQ1082=3),"L23",IF(BQ1082="Aussen","Aussen","-")))</f>
        <v/>
      </c>
      <c r="BS1082" s="66">
        <f>IF(N(W1082)&gt;0,W1082,0)</f>
        <v/>
      </c>
      <c r="BT1082" s="58">
        <f>IF(ISNUMBER(Z1082),1,0)</f>
        <v/>
      </c>
      <c r="BU1082" s="55">
        <f>N(Z1082)</f>
        <v/>
      </c>
      <c r="BV1082" s="55">
        <f>N(L1082)+N(M1082)</f>
        <v/>
      </c>
      <c r="BW1082" s="55">
        <f>ROUNDUP(G1082/BN1082,0)</f>
        <v/>
      </c>
      <c r="BX1082" s="55">
        <f>ROUNDUP(BU1082/BN1082,0)</f>
        <v/>
      </c>
      <c r="BY1082" s="58">
        <f>IF(BO1082=1,0,IFERROR(VLOOKUP(BM1082,'Gebinde-Kategorie'!$A$5:$G$45,5,0)+0,0))</f>
        <v/>
      </c>
      <c r="BZ1082" s="58">
        <f>IFERROR(IF(OR(BQ1082=1,BQ1082=2,BQ1082=3),N(INDEX(Parameter!$I$5:$I$7,BQ1082)),0),0)</f>
        <v/>
      </c>
    </row>
    <row r="1083">
      <c r="A1083" s="53" t="inlineStr">
        <is>
          <t>106427</t>
        </is>
      </c>
      <c r="B1083" s="53" t="inlineStr">
        <is>
          <t>Stützring</t>
        </is>
      </c>
      <c r="C1083" s="53" t="inlineStr">
        <is>
          <t>F</t>
        </is>
      </c>
      <c r="D1083" s="53" t="inlineStr">
        <is>
          <t>KTL</t>
        </is>
      </c>
      <c r="E1083" s="53" t="inlineStr">
        <is>
          <t>C</t>
        </is>
      </c>
      <c r="F1083" s="54" t="n">
        <v>8.23</v>
      </c>
      <c r="G1083" s="55">
        <f>MAX(0,IF(Parameter!$B$20="Jahresanfang 2025 + Export",BG1083+BF1083,BF1083))</f>
        <v/>
      </c>
      <c r="H1083" s="55">
        <f>G1083*F1083</f>
        <v/>
      </c>
      <c r="I1083" s="55">
        <f>BI1083*Parameter!$B$18</f>
        <v/>
      </c>
      <c r="J1083" s="56" t="n">
        <v>213</v>
      </c>
      <c r="K1083" s="57" t="n">
        <v>2.380281690140845</v>
      </c>
      <c r="L1083" s="55" t="n">
        <v>10</v>
      </c>
      <c r="M1083" s="55" t="n">
        <v>360</v>
      </c>
      <c r="N1083" s="58" t="n">
        <v>7</v>
      </c>
      <c r="O1083" s="53" t="inlineStr">
        <is>
          <t>S41</t>
        </is>
      </c>
      <c r="P1083" s="55" t="n">
        <v>309</v>
      </c>
      <c r="Q1083" s="59">
        <f>IF(BO1083=1,0,IFERROR(VLOOKUP(BM1083,'Gebinde-Kategorie'!$A$5:$G$45,6,0)+0,0))</f>
        <v/>
      </c>
      <c r="R1083" s="60" t="n"/>
      <c r="S1083" s="61" t="n"/>
      <c r="T1083" s="61" t="n"/>
      <c r="U1083" s="53">
        <f>IF(A1083="","",IF(IFERROR(VLOOKUP(D1083,Parameter!$A$35:$C$64,2,0),"Nein")="2+3",IF(ISNUMBER(SEARCH("grosser Artikel",BJ1083)),2,IFERROR(VLOOKUP(BM1083,Parameter!$F$35:$G$64,2,0),2)),IF(OR(IFERROR(VLOOKUP(D1083,Parameter!$A$35:$C$64,2,0),"Nein")="Nein",IFERROR(VLOOKUP(D1083,Parameter!$A$35:$C$64,2,0),"Nein")=""),"-",VLOOKUP(D1083,Parameter!$A$35:$C$64,2,0))))</f>
        <v/>
      </c>
      <c r="V1083" s="61" t="n"/>
      <c r="W1083" s="62" t="n"/>
      <c r="X1083" s="55">
        <f>AM1083</f>
        <v/>
      </c>
      <c r="Y1083" s="55">
        <f>MAX(AM1083,G1083)</f>
        <v/>
      </c>
      <c r="Z1083" s="63" t="n"/>
      <c r="AA1083" s="55">
        <f>IF(LEFT(Cockpit!$C$5,1)="A",G1083,IF(BT1083=1,BU1083,IF(LEFT(Cockpit!$C$5,1)="B",AE1083,MAX(AE1083,G1083))))</f>
        <v/>
      </c>
      <c r="AB1083" s="55">
        <f>IF(BO1083=1,0,ROUNDUP(AA1083/BN1083,0))</f>
        <v/>
      </c>
      <c r="AC1083" s="64">
        <f>IF(BO1083=1,IF(AA1083&lt;=0,0,BP1083*MAX(1,IF(G1083&gt;0,AA1083/G1083,1))),AB1083*Q1083)</f>
        <v/>
      </c>
      <c r="AD1083" s="55">
        <f>AA1083*F1083</f>
        <v/>
      </c>
      <c r="AE1083" s="55">
        <f>ROUNDUP(MAX(I1083/IF(BS1083&gt;0,BS1083,MAX(0.1,N(Cockpit!$C$6))),BV1083)/BN1083,0)*BN1083</f>
        <v/>
      </c>
      <c r="AF1083" s="56">
        <f>IF(AC1083&gt;0,I1083/AC1083,-1)</f>
        <v/>
      </c>
      <c r="AG1083" s="56">
        <f>IF(AND(OR(BR1083="L1",BR1083="L23"),AC1083&gt;0),SUMIFS($AC$7:$AC$1570,$BR$7:$BR$1570,BR1083,$AF$7:$AF$1570,"&gt;"&amp;AF1083)+SUMIFS($AC$7:$AC$1570,$BR$7:$BR$1570,BR1083,$AF$7:$AF$1570,AF1083,$BL$7:$BL$1570,"&lt;="&amp;BL1083),"")</f>
        <v/>
      </c>
      <c r="AH1083" s="65">
        <f>IF(AG1083="",0,MAX(0,MIN(1,(IF(BR1083="L1",Parameter!$K$5,Parameter!$K$6+Parameter!$K$7)-(AG1083-AC1083))/AC1083)))</f>
        <v/>
      </c>
      <c r="AI1083" s="55">
        <f>IF(LEFT(Cockpit!$I$5,1)="A",G1083,IF(BT1083=1,BU1083,IF(LEFT(Cockpit!$I$5,1)="B",AM1083,MAX(AM1083,G1083))))</f>
        <v/>
      </c>
      <c r="AJ1083" s="55">
        <f>IF(BO1083=1,0,ROUNDUP(AI1083/BN1083,0))</f>
        <v/>
      </c>
      <c r="AK1083" s="64">
        <f>IF(BO1083=1,IF(AI1083&lt;=0,0,BP1083*MAX(1,IF(G1083&gt;0,AI1083/G1083,1))),AJ1083*Q1083)</f>
        <v/>
      </c>
      <c r="AL1083" s="55">
        <f>AI1083*F1083</f>
        <v/>
      </c>
      <c r="AM1083" s="55">
        <f>ROUNDUP(MAX(I1083/IF(BS1083&gt;0,BS1083,MAX(0.1,N(Cockpit!$I$6))),BV1083)/BN1083,0)*BN1083</f>
        <v/>
      </c>
      <c r="AN1083" s="56">
        <f>IF(AK1083&gt;0,I1083/AK1083,-1)</f>
        <v/>
      </c>
      <c r="AO1083" s="56">
        <f>IF(AND(OR(BR1083="L1",BR1083="L23"),AK1083&gt;0),SUMIFS($AK$7:$AK$1570,$BR$7:$BR$1570,BR1083,$AN$7:$AN$1570,"&gt;"&amp;AN1083)+SUMIFS($AK$7:$AK$1570,$BR$7:$BR$1570,BR1083,$AN$7:$AN$1570,AN1083,$BL$7:$BL$1570,"&lt;="&amp;BL1083),"")</f>
        <v/>
      </c>
      <c r="AP1083" s="65">
        <f>IF(AO1083="",0,MAX(0,MIN(1,(IF(BR1083="L1",Parameter!$K$5,Parameter!$K$6+Parameter!$K$7)-(AO1083-AK1083))/AK1083)))</f>
        <v/>
      </c>
      <c r="AQ1083" s="55">
        <f>IF(LEFT(Cockpit!$O$5,1)="A",G1083,IF(BT1083=1,BU1083,IF(LEFT(Cockpit!$O$5,1)="B",AU1083,MAX(AU1083,G1083))))</f>
        <v/>
      </c>
      <c r="AR1083" s="55">
        <f>IF(BO1083=1,0,ROUNDUP(AQ1083/BN1083,0))</f>
        <v/>
      </c>
      <c r="AS1083" s="64">
        <f>IF(BO1083=1,IF(AQ1083&lt;=0,0,BP1083*MAX(1,IF(G1083&gt;0,AQ1083/G1083,1))),AR1083*Q1083)</f>
        <v/>
      </c>
      <c r="AT1083" s="55">
        <f>AQ1083*F1083</f>
        <v/>
      </c>
      <c r="AU1083" s="55">
        <f>ROUNDUP(MAX(I1083/IF(BS1083&gt;0,BS1083,MAX(0.1,N(Cockpit!$O$6))),BV1083)/BN1083,0)*BN1083</f>
        <v/>
      </c>
      <c r="AV1083" s="56">
        <f>IF(AS1083&gt;0,I1083/AS1083,-1)</f>
        <v/>
      </c>
      <c r="AW1083" s="56">
        <f>IF(AND(OR(BR1083="L1",BR1083="L23"),AS1083&gt;0),SUMIFS($AS$7:$AS$1570,$BR$7:$BR$1570,BR1083,$AV$7:$AV$1570,"&gt;"&amp;AV1083)+SUMIFS($AS$7:$AS$1570,$BR$7:$BR$1570,BR1083,$AV$7:$AV$1570,AV1083,$BL$7:$BL$1570,"&lt;="&amp;BL1083),"")</f>
        <v/>
      </c>
      <c r="AX1083" s="65">
        <f>IF(AW1083="",0,MAX(0,MIN(1,(IF(BR1083="L1",Parameter!$K$5,Parameter!$K$6+Parameter!$K$7)-(AW1083-AS1083))/AS1083)))</f>
        <v/>
      </c>
      <c r="AY1083" s="53">
        <f>IF(AC1083&lt;=0,"",IF(BR1083="Aussen","Aussenlager",IF(BR1083="-","Nicht im Lift",IF(AH1083&gt;=1,"Lift",IF(AH1083&lt;=0,"Aussenlager","teilweise")))))</f>
        <v/>
      </c>
      <c r="AZ1083" s="53">
        <f>IF(AK1083&lt;=0,"",IF(BR1083="Aussen","Aussenlager",IF(BR1083="-","Nicht im Lift",IF(AP1083&gt;=1,"Lift",IF(AP1083&lt;=0,"Aussenlager","teilweise")))))</f>
        <v/>
      </c>
      <c r="BA1083" s="53">
        <f>IF(AS1083&lt;=0,"",IF(BR1083="Aussen","Aussenlager",IF(BR1083="-","Nicht im Lift",IF(AX1083&gt;=1,"Lift",IF(AX1083&lt;=0,"Aussenlager","teilweise")))))</f>
        <v/>
      </c>
      <c r="BB1083" s="53">
        <f>IF(A1083="","",IF(BK1083=1,"Neu; ","")&amp;IF(AND(BK1083=0,BF1083&lt;0),"negativer Bestand (Export "&amp;BF1083&amp;"); ","")&amp;IF(I1083&lt;=0,"Kein Verbrauch; ","")&amp;IF(BO1083=1,"Lose – Fläche geschätzt; ","")&amp;IF(G1083&gt;AM1083,"Überbestand "&amp;ROUND(G1083-AM1083,0)&amp;" Stk / CHF "&amp;ROUND((G1083-AM1083)*F1083,0)&amp;"; ","")&amp;IF(AND(BT1083=1,BU1083&lt;BV1083),"MAX &lt; MB+LG; ","")&amp;IF(AND(BZ1083&gt;0,BY1083*10&gt;BZ1083),"zu hoch für Tablar; ","")&amp;IF(AND(BK1083=0,OR(BT1083=1,V1083&lt;&gt;"",S1083&lt;&gt;"",T1083&lt;&gt;"",W1083&lt;&gt;"")),"manuell übersteuert; ","")&amp;IF(AND(BO1083=0,Q1083=0),"Gebinde unbekannt; ","")&amp;IF(AND(BO1083=0,N(T1083)&lt;=0,N(P1083)&lt;=0),"Menge pro Gebinde fehlt (Ist = 1 Gebinde); ","")&amp;BJ1083)</f>
        <v/>
      </c>
      <c r="BC1083" s="53" t="n"/>
      <c r="BD1083" s="53" t="n"/>
      <c r="BE1083" s="61" t="n"/>
      <c r="BF1083" s="55" t="n">
        <v>-23</v>
      </c>
      <c r="BG1083" s="55" t="n">
        <v>162</v>
      </c>
      <c r="BH1083" s="54" t="n">
        <v>-187.750000000003</v>
      </c>
      <c r="BI1083" s="55" t="n">
        <v>507</v>
      </c>
      <c r="BJ1083" s="53" t="inlineStr"/>
      <c r="BK1083" s="58" t="n">
        <v>0</v>
      </c>
      <c r="BL1083" s="58" t="n">
        <v>1083</v>
      </c>
      <c r="BM1083" s="53">
        <f>IF(S1083&lt;&gt;"",UPPER(TRIM(S1083)),IF(O1083="","LOSE",O1083))</f>
        <v/>
      </c>
      <c r="BN1083" s="55">
        <f>IF(BM1083="LOSE",1,IF(N(T1083)&gt;0,T1083,IF(N(P1083)&gt;0,P1083,MAX(1,G1083))))</f>
        <v/>
      </c>
      <c r="BO1083" s="58">
        <f>IF(BM1083="LOSE",1,0)</f>
        <v/>
      </c>
      <c r="BP1083" s="64">
        <f>IF(BO1083=0,0,IF(N(R1083)&gt;0,R1083,IFERROR(VLOOKUP(D1083,Parameter!$A$35:$C$64,3,0)+0,0)))</f>
        <v/>
      </c>
      <c r="BQ1083" s="53">
        <f>IF(V1083&lt;&gt;"",V1083,U1083)</f>
        <v/>
      </c>
      <c r="BR1083" s="53">
        <f>IF(BQ1083=1,"L1",IF(OR(BQ1083=2,BQ1083=3),"L23",IF(BQ1083="Aussen","Aussen","-")))</f>
        <v/>
      </c>
      <c r="BS1083" s="66">
        <f>IF(N(W1083)&gt;0,W1083,0)</f>
        <v/>
      </c>
      <c r="BT1083" s="58">
        <f>IF(ISNUMBER(Z1083),1,0)</f>
        <v/>
      </c>
      <c r="BU1083" s="55">
        <f>N(Z1083)</f>
        <v/>
      </c>
      <c r="BV1083" s="55">
        <f>N(L1083)+N(M1083)</f>
        <v/>
      </c>
      <c r="BW1083" s="55">
        <f>ROUNDUP(G1083/BN1083,0)</f>
        <v/>
      </c>
      <c r="BX1083" s="55">
        <f>ROUNDUP(BU1083/BN1083,0)</f>
        <v/>
      </c>
      <c r="BY1083" s="58">
        <f>IF(BO1083=1,0,IFERROR(VLOOKUP(BM1083,'Gebinde-Kategorie'!$A$5:$G$45,5,0)+0,0))</f>
        <v/>
      </c>
      <c r="BZ1083" s="58">
        <f>IFERROR(IF(OR(BQ1083=1,BQ1083=2,BQ1083=3),N(INDEX(Parameter!$I$5:$I$7,BQ1083)),0),0)</f>
        <v/>
      </c>
    </row>
    <row r="1084">
      <c r="A1084" s="53" t="inlineStr">
        <is>
          <t>109750</t>
        </is>
      </c>
      <c r="B1084" s="53" t="inlineStr">
        <is>
          <t>Distanzhülse</t>
        </is>
      </c>
      <c r="C1084" s="53" t="inlineStr">
        <is>
          <t>F</t>
        </is>
      </c>
      <c r="D1084" s="53" t="inlineStr">
        <is>
          <t>KTL</t>
        </is>
      </c>
      <c r="E1084" s="53" t="inlineStr">
        <is>
          <t>C</t>
        </is>
      </c>
      <c r="F1084" s="54" t="n">
        <v>13.2</v>
      </c>
      <c r="G1084" s="55">
        <f>MAX(0,IF(Parameter!$B$20="Jahresanfang 2025 + Export",BG1084+BF1084,BF1084))</f>
        <v/>
      </c>
      <c r="H1084" s="55">
        <f>G1084*F1084</f>
        <v/>
      </c>
      <c r="I1084" s="55">
        <f>BI1084*Parameter!$B$18</f>
        <v/>
      </c>
      <c r="J1084" s="56" t="n">
        <v>8.5</v>
      </c>
      <c r="K1084" s="57" t="n">
        <v>1.176470588235294</v>
      </c>
      <c r="L1084" s="55" t="n">
        <v>0</v>
      </c>
      <c r="M1084" s="55" t="n">
        <v>10</v>
      </c>
      <c r="N1084" s="58" t="n">
        <v>28</v>
      </c>
      <c r="O1084" s="53" t="inlineStr">
        <is>
          <t>S22</t>
        </is>
      </c>
      <c r="P1084" s="55" t="n">
        <v>8</v>
      </c>
      <c r="Q1084" s="59">
        <f>IF(BO1084=1,0,IFERROR(VLOOKUP(BM1084,'Gebinde-Kategorie'!$A$5:$G$45,6,0)+0,0))</f>
        <v/>
      </c>
      <c r="R1084" s="60" t="n"/>
      <c r="S1084" s="61" t="n"/>
      <c r="T1084" s="61" t="n"/>
      <c r="U1084" s="53">
        <f>IF(A1084="","",IF(IFERROR(VLOOKUP(D1084,Parameter!$A$35:$C$64,2,0),"Nein")="2+3",IF(ISNUMBER(SEARCH("grosser Artikel",BJ1084)),2,IFERROR(VLOOKUP(BM1084,Parameter!$F$35:$G$64,2,0),2)),IF(OR(IFERROR(VLOOKUP(D1084,Parameter!$A$35:$C$64,2,0),"Nein")="Nein",IFERROR(VLOOKUP(D1084,Parameter!$A$35:$C$64,2,0),"Nein")=""),"-",VLOOKUP(D1084,Parameter!$A$35:$C$64,2,0))))</f>
        <v/>
      </c>
      <c r="V1084" s="61" t="n"/>
      <c r="W1084" s="62" t="n"/>
      <c r="X1084" s="55">
        <f>AM1084</f>
        <v/>
      </c>
      <c r="Y1084" s="55">
        <f>MAX(AM1084,G1084)</f>
        <v/>
      </c>
      <c r="Z1084" s="63" t="n"/>
      <c r="AA1084" s="55">
        <f>IF(LEFT(Cockpit!$C$5,1)="A",G1084,IF(BT1084=1,BU1084,IF(LEFT(Cockpit!$C$5,1)="B",AE1084,MAX(AE1084,G1084))))</f>
        <v/>
      </c>
      <c r="AB1084" s="55">
        <f>IF(BO1084=1,0,ROUNDUP(AA1084/BN1084,0))</f>
        <v/>
      </c>
      <c r="AC1084" s="64">
        <f>IF(BO1084=1,IF(AA1084&lt;=0,0,BP1084*MAX(1,IF(G1084&gt;0,AA1084/G1084,1))),AB1084*Q1084)</f>
        <v/>
      </c>
      <c r="AD1084" s="55">
        <f>AA1084*F1084</f>
        <v/>
      </c>
      <c r="AE1084" s="55">
        <f>ROUNDUP(MAX(I1084/IF(BS1084&gt;0,BS1084,MAX(0.1,N(Cockpit!$C$6))),BV1084)/BN1084,0)*BN1084</f>
        <v/>
      </c>
      <c r="AF1084" s="56">
        <f>IF(AC1084&gt;0,I1084/AC1084,-1)</f>
        <v/>
      </c>
      <c r="AG1084" s="56">
        <f>IF(AND(OR(BR1084="L1",BR1084="L23"),AC1084&gt;0),SUMIFS($AC$7:$AC$1570,$BR$7:$BR$1570,BR1084,$AF$7:$AF$1570,"&gt;"&amp;AF1084)+SUMIFS($AC$7:$AC$1570,$BR$7:$BR$1570,BR1084,$AF$7:$AF$1570,AF1084,$BL$7:$BL$1570,"&lt;="&amp;BL1084),"")</f>
        <v/>
      </c>
      <c r="AH1084" s="65">
        <f>IF(AG1084="",0,MAX(0,MIN(1,(IF(BR1084="L1",Parameter!$K$5,Parameter!$K$6+Parameter!$K$7)-(AG1084-AC1084))/AC1084)))</f>
        <v/>
      </c>
      <c r="AI1084" s="55">
        <f>IF(LEFT(Cockpit!$I$5,1)="A",G1084,IF(BT1084=1,BU1084,IF(LEFT(Cockpit!$I$5,1)="B",AM1084,MAX(AM1084,G1084))))</f>
        <v/>
      </c>
      <c r="AJ1084" s="55">
        <f>IF(BO1084=1,0,ROUNDUP(AI1084/BN1084,0))</f>
        <v/>
      </c>
      <c r="AK1084" s="64">
        <f>IF(BO1084=1,IF(AI1084&lt;=0,0,BP1084*MAX(1,IF(G1084&gt;0,AI1084/G1084,1))),AJ1084*Q1084)</f>
        <v/>
      </c>
      <c r="AL1084" s="55">
        <f>AI1084*F1084</f>
        <v/>
      </c>
      <c r="AM1084" s="55">
        <f>ROUNDUP(MAX(I1084/IF(BS1084&gt;0,BS1084,MAX(0.1,N(Cockpit!$I$6))),BV1084)/BN1084,0)*BN1084</f>
        <v/>
      </c>
      <c r="AN1084" s="56">
        <f>IF(AK1084&gt;0,I1084/AK1084,-1)</f>
        <v/>
      </c>
      <c r="AO1084" s="56">
        <f>IF(AND(OR(BR1084="L1",BR1084="L23"),AK1084&gt;0),SUMIFS($AK$7:$AK$1570,$BR$7:$BR$1570,BR1084,$AN$7:$AN$1570,"&gt;"&amp;AN1084)+SUMIFS($AK$7:$AK$1570,$BR$7:$BR$1570,BR1084,$AN$7:$AN$1570,AN1084,$BL$7:$BL$1570,"&lt;="&amp;BL1084),"")</f>
        <v/>
      </c>
      <c r="AP1084" s="65">
        <f>IF(AO1084="",0,MAX(0,MIN(1,(IF(BR1084="L1",Parameter!$K$5,Parameter!$K$6+Parameter!$K$7)-(AO1084-AK1084))/AK1084)))</f>
        <v/>
      </c>
      <c r="AQ1084" s="55">
        <f>IF(LEFT(Cockpit!$O$5,1)="A",G1084,IF(BT1084=1,BU1084,IF(LEFT(Cockpit!$O$5,1)="B",AU1084,MAX(AU1084,G1084))))</f>
        <v/>
      </c>
      <c r="AR1084" s="55">
        <f>IF(BO1084=1,0,ROUNDUP(AQ1084/BN1084,0))</f>
        <v/>
      </c>
      <c r="AS1084" s="64">
        <f>IF(BO1084=1,IF(AQ1084&lt;=0,0,BP1084*MAX(1,IF(G1084&gt;0,AQ1084/G1084,1))),AR1084*Q1084)</f>
        <v/>
      </c>
      <c r="AT1084" s="55">
        <f>AQ1084*F1084</f>
        <v/>
      </c>
      <c r="AU1084" s="55">
        <f>ROUNDUP(MAX(I1084/IF(BS1084&gt;0,BS1084,MAX(0.1,N(Cockpit!$O$6))),BV1084)/BN1084,0)*BN1084</f>
        <v/>
      </c>
      <c r="AV1084" s="56">
        <f>IF(AS1084&gt;0,I1084/AS1084,-1)</f>
        <v/>
      </c>
      <c r="AW1084" s="56">
        <f>IF(AND(OR(BR1084="L1",BR1084="L23"),AS1084&gt;0),SUMIFS($AS$7:$AS$1570,$BR$7:$BR$1570,BR1084,$AV$7:$AV$1570,"&gt;"&amp;AV1084)+SUMIFS($AS$7:$AS$1570,$BR$7:$BR$1570,BR1084,$AV$7:$AV$1570,AV1084,$BL$7:$BL$1570,"&lt;="&amp;BL1084),"")</f>
        <v/>
      </c>
      <c r="AX1084" s="65">
        <f>IF(AW1084="",0,MAX(0,MIN(1,(IF(BR1084="L1",Parameter!$K$5,Parameter!$K$6+Parameter!$K$7)-(AW1084-AS1084))/AS1084)))</f>
        <v/>
      </c>
      <c r="AY1084" s="53">
        <f>IF(AC1084&lt;=0,"",IF(BR1084="Aussen","Aussenlager",IF(BR1084="-","Nicht im Lift",IF(AH1084&gt;=1,"Lift",IF(AH1084&lt;=0,"Aussenlager","teilweise")))))</f>
        <v/>
      </c>
      <c r="AZ1084" s="53">
        <f>IF(AK1084&lt;=0,"",IF(BR1084="Aussen","Aussenlager",IF(BR1084="-","Nicht im Lift",IF(AP1084&gt;=1,"Lift",IF(AP1084&lt;=0,"Aussenlager","teilweise")))))</f>
        <v/>
      </c>
      <c r="BA1084" s="53">
        <f>IF(AS1084&lt;=0,"",IF(BR1084="Aussen","Aussenlager",IF(BR1084="-","Nicht im Lift",IF(AX1084&gt;=1,"Lift",IF(AX1084&lt;=0,"Aussenlager","teilweise")))))</f>
        <v/>
      </c>
      <c r="BB1084" s="53">
        <f>IF(A1084="","",IF(BK1084=1,"Neu; ","")&amp;IF(AND(BK1084=0,BF1084&lt;0),"negativer Bestand (Export "&amp;BF1084&amp;"); ","")&amp;IF(I1084&lt;=0,"Kein Verbrauch; ","")&amp;IF(BO1084=1,"Lose – Fläche geschätzt; ","")&amp;IF(G1084&gt;AM1084,"Überbestand "&amp;ROUND(G1084-AM1084,0)&amp;" Stk / CHF "&amp;ROUND((G1084-AM1084)*F1084,0)&amp;"; ","")&amp;IF(AND(BT1084=1,BU1084&lt;BV1084),"MAX &lt; MB+LG; ","")&amp;IF(AND(BZ1084&gt;0,BY1084*10&gt;BZ1084),"zu hoch für Tablar; ","")&amp;IF(AND(BK1084=0,OR(BT1084=1,V1084&lt;&gt;"",S1084&lt;&gt;"",T1084&lt;&gt;"",W1084&lt;&gt;"")),"manuell übersteuert; ","")&amp;IF(AND(BO1084=0,Q1084=0),"Gebinde unbekannt; ","")&amp;IF(AND(BO1084=0,N(T1084)&lt;=0,N(P1084)&lt;=0),"Menge pro Gebinde fehlt (Ist = 1 Gebinde); ","")&amp;BJ1084)</f>
        <v/>
      </c>
      <c r="BC1084" s="53" t="n"/>
      <c r="BD1084" s="53" t="n"/>
      <c r="BE1084" s="61" t="n"/>
      <c r="BF1084" s="55" t="n">
        <v>2</v>
      </c>
      <c r="BG1084" s="55" t="n">
        <v>6</v>
      </c>
      <c r="BH1084" s="54" t="n">
        <v>-188.3999999999999</v>
      </c>
      <c r="BI1084" s="55" t="n">
        <v>10</v>
      </c>
      <c r="BJ1084" s="53" t="inlineStr"/>
      <c r="BK1084" s="58" t="n">
        <v>0</v>
      </c>
      <c r="BL1084" s="58" t="n">
        <v>1084</v>
      </c>
      <c r="BM1084" s="53">
        <f>IF(S1084&lt;&gt;"",UPPER(TRIM(S1084)),IF(O1084="","LOSE",O1084))</f>
        <v/>
      </c>
      <c r="BN1084" s="55">
        <f>IF(BM1084="LOSE",1,IF(N(T1084)&gt;0,T1084,IF(N(P1084)&gt;0,P1084,MAX(1,G1084))))</f>
        <v/>
      </c>
      <c r="BO1084" s="58">
        <f>IF(BM1084="LOSE",1,0)</f>
        <v/>
      </c>
      <c r="BP1084" s="64">
        <f>IF(BO1084=0,0,IF(N(R1084)&gt;0,R1084,IFERROR(VLOOKUP(D1084,Parameter!$A$35:$C$64,3,0)+0,0)))</f>
        <v/>
      </c>
      <c r="BQ1084" s="53">
        <f>IF(V1084&lt;&gt;"",V1084,U1084)</f>
        <v/>
      </c>
      <c r="BR1084" s="53">
        <f>IF(BQ1084=1,"L1",IF(OR(BQ1084=2,BQ1084=3),"L23",IF(BQ1084="Aussen","Aussen","-")))</f>
        <v/>
      </c>
      <c r="BS1084" s="66">
        <f>IF(N(W1084)&gt;0,W1084,0)</f>
        <v/>
      </c>
      <c r="BT1084" s="58">
        <f>IF(ISNUMBER(Z1084),1,0)</f>
        <v/>
      </c>
      <c r="BU1084" s="55">
        <f>N(Z1084)</f>
        <v/>
      </c>
      <c r="BV1084" s="55">
        <f>N(L1084)+N(M1084)</f>
        <v/>
      </c>
      <c r="BW1084" s="55">
        <f>ROUNDUP(G1084/BN1084,0)</f>
        <v/>
      </c>
      <c r="BX1084" s="55">
        <f>ROUNDUP(BU1084/BN1084,0)</f>
        <v/>
      </c>
      <c r="BY1084" s="58">
        <f>IF(BO1084=1,0,IFERROR(VLOOKUP(BM1084,'Gebinde-Kategorie'!$A$5:$G$45,5,0)+0,0))</f>
        <v/>
      </c>
      <c r="BZ1084" s="58">
        <f>IFERROR(IF(OR(BQ1084=1,BQ1084=2,BQ1084=3),N(INDEX(Parameter!$I$5:$I$7,BQ1084)),0),0)</f>
        <v/>
      </c>
    </row>
    <row r="1085">
      <c r="A1085" s="53" t="inlineStr">
        <is>
          <t>107695</t>
        </is>
      </c>
      <c r="B1085" s="53" t="inlineStr">
        <is>
          <t>Anschweisslasche</t>
        </is>
      </c>
      <c r="C1085" s="53" t="inlineStr">
        <is>
          <t>F</t>
        </is>
      </c>
      <c r="D1085" s="53" t="inlineStr">
        <is>
          <t>KTL</t>
        </is>
      </c>
      <c r="E1085" s="53" t="inlineStr">
        <is>
          <t>C</t>
        </is>
      </c>
      <c r="F1085" s="54" t="n">
        <v>7.08</v>
      </c>
      <c r="G1085" s="55">
        <f>MAX(0,IF(Parameter!$B$20="Jahresanfang 2025 + Export",BG1085+BF1085,BF1085))</f>
        <v/>
      </c>
      <c r="H1085" s="55">
        <f>G1085*F1085</f>
        <v/>
      </c>
      <c r="I1085" s="55">
        <f>BI1085*Parameter!$B$18</f>
        <v/>
      </c>
      <c r="J1085" s="56" t="n">
        <v>91</v>
      </c>
      <c r="K1085" s="57" t="n">
        <v>1.417582417582418</v>
      </c>
      <c r="L1085" s="55" t="n">
        <v>7</v>
      </c>
      <c r="M1085" s="55" t="n">
        <v>130</v>
      </c>
      <c r="N1085" s="58" t="n">
        <v>21</v>
      </c>
      <c r="O1085" s="53" t="inlineStr">
        <is>
          <t>S32</t>
        </is>
      </c>
      <c r="P1085" s="55" t="n">
        <v>113</v>
      </c>
      <c r="Q1085" s="59">
        <f>IF(BO1085=1,0,IFERROR(VLOOKUP(BM1085,'Gebinde-Kategorie'!$A$5:$G$45,6,0)+0,0))</f>
        <v/>
      </c>
      <c r="R1085" s="60" t="n"/>
      <c r="S1085" s="61" t="n"/>
      <c r="T1085" s="61" t="n"/>
      <c r="U1085" s="53">
        <f>IF(A1085="","",IF(IFERROR(VLOOKUP(D1085,Parameter!$A$35:$C$64,2,0),"Nein")="2+3",IF(ISNUMBER(SEARCH("grosser Artikel",BJ1085)),2,IFERROR(VLOOKUP(BM1085,Parameter!$F$35:$G$64,2,0),2)),IF(OR(IFERROR(VLOOKUP(D1085,Parameter!$A$35:$C$64,2,0),"Nein")="Nein",IFERROR(VLOOKUP(D1085,Parameter!$A$35:$C$64,2,0),"Nein")=""),"-",VLOOKUP(D1085,Parameter!$A$35:$C$64,2,0))))</f>
        <v/>
      </c>
      <c r="V1085" s="61" t="n"/>
      <c r="W1085" s="62" t="n"/>
      <c r="X1085" s="55">
        <f>AM1085</f>
        <v/>
      </c>
      <c r="Y1085" s="55">
        <f>MAX(AM1085,G1085)</f>
        <v/>
      </c>
      <c r="Z1085" s="63" t="n"/>
      <c r="AA1085" s="55">
        <f>IF(LEFT(Cockpit!$C$5,1)="A",G1085,IF(BT1085=1,BU1085,IF(LEFT(Cockpit!$C$5,1)="B",AE1085,MAX(AE1085,G1085))))</f>
        <v/>
      </c>
      <c r="AB1085" s="55">
        <f>IF(BO1085=1,0,ROUNDUP(AA1085/BN1085,0))</f>
        <v/>
      </c>
      <c r="AC1085" s="64">
        <f>IF(BO1085=1,IF(AA1085&lt;=0,0,BP1085*MAX(1,IF(G1085&gt;0,AA1085/G1085,1))),AB1085*Q1085)</f>
        <v/>
      </c>
      <c r="AD1085" s="55">
        <f>AA1085*F1085</f>
        <v/>
      </c>
      <c r="AE1085" s="55">
        <f>ROUNDUP(MAX(I1085/IF(BS1085&gt;0,BS1085,MAX(0.1,N(Cockpit!$C$6))),BV1085)/BN1085,0)*BN1085</f>
        <v/>
      </c>
      <c r="AF1085" s="56">
        <f>IF(AC1085&gt;0,I1085/AC1085,-1)</f>
        <v/>
      </c>
      <c r="AG1085" s="56">
        <f>IF(AND(OR(BR1085="L1",BR1085="L23"),AC1085&gt;0),SUMIFS($AC$7:$AC$1570,$BR$7:$BR$1570,BR1085,$AF$7:$AF$1570,"&gt;"&amp;AF1085)+SUMIFS($AC$7:$AC$1570,$BR$7:$BR$1570,BR1085,$AF$7:$AF$1570,AF1085,$BL$7:$BL$1570,"&lt;="&amp;BL1085),"")</f>
        <v/>
      </c>
      <c r="AH1085" s="65">
        <f>IF(AG1085="",0,MAX(0,MIN(1,(IF(BR1085="L1",Parameter!$K$5,Parameter!$K$6+Parameter!$K$7)-(AG1085-AC1085))/AC1085)))</f>
        <v/>
      </c>
      <c r="AI1085" s="55">
        <f>IF(LEFT(Cockpit!$I$5,1)="A",G1085,IF(BT1085=1,BU1085,IF(LEFT(Cockpit!$I$5,1)="B",AM1085,MAX(AM1085,G1085))))</f>
        <v/>
      </c>
      <c r="AJ1085" s="55">
        <f>IF(BO1085=1,0,ROUNDUP(AI1085/BN1085,0))</f>
        <v/>
      </c>
      <c r="AK1085" s="64">
        <f>IF(BO1085=1,IF(AI1085&lt;=0,0,BP1085*MAX(1,IF(G1085&gt;0,AI1085/G1085,1))),AJ1085*Q1085)</f>
        <v/>
      </c>
      <c r="AL1085" s="55">
        <f>AI1085*F1085</f>
        <v/>
      </c>
      <c r="AM1085" s="55">
        <f>ROUNDUP(MAX(I1085/IF(BS1085&gt;0,BS1085,MAX(0.1,N(Cockpit!$I$6))),BV1085)/BN1085,0)*BN1085</f>
        <v/>
      </c>
      <c r="AN1085" s="56">
        <f>IF(AK1085&gt;0,I1085/AK1085,-1)</f>
        <v/>
      </c>
      <c r="AO1085" s="56">
        <f>IF(AND(OR(BR1085="L1",BR1085="L23"),AK1085&gt;0),SUMIFS($AK$7:$AK$1570,$BR$7:$BR$1570,BR1085,$AN$7:$AN$1570,"&gt;"&amp;AN1085)+SUMIFS($AK$7:$AK$1570,$BR$7:$BR$1570,BR1085,$AN$7:$AN$1570,AN1085,$BL$7:$BL$1570,"&lt;="&amp;BL1085),"")</f>
        <v/>
      </c>
      <c r="AP1085" s="65">
        <f>IF(AO1085="",0,MAX(0,MIN(1,(IF(BR1085="L1",Parameter!$K$5,Parameter!$K$6+Parameter!$K$7)-(AO1085-AK1085))/AK1085)))</f>
        <v/>
      </c>
      <c r="AQ1085" s="55">
        <f>IF(LEFT(Cockpit!$O$5,1)="A",G1085,IF(BT1085=1,BU1085,IF(LEFT(Cockpit!$O$5,1)="B",AU1085,MAX(AU1085,G1085))))</f>
        <v/>
      </c>
      <c r="AR1085" s="55">
        <f>IF(BO1085=1,0,ROUNDUP(AQ1085/BN1085,0))</f>
        <v/>
      </c>
      <c r="AS1085" s="64">
        <f>IF(BO1085=1,IF(AQ1085&lt;=0,0,BP1085*MAX(1,IF(G1085&gt;0,AQ1085/G1085,1))),AR1085*Q1085)</f>
        <v/>
      </c>
      <c r="AT1085" s="55">
        <f>AQ1085*F1085</f>
        <v/>
      </c>
      <c r="AU1085" s="55">
        <f>ROUNDUP(MAX(I1085/IF(BS1085&gt;0,BS1085,MAX(0.1,N(Cockpit!$O$6))),BV1085)/BN1085,0)*BN1085</f>
        <v/>
      </c>
      <c r="AV1085" s="56">
        <f>IF(AS1085&gt;0,I1085/AS1085,-1)</f>
        <v/>
      </c>
      <c r="AW1085" s="56">
        <f>IF(AND(OR(BR1085="L1",BR1085="L23"),AS1085&gt;0),SUMIFS($AS$7:$AS$1570,$BR$7:$BR$1570,BR1085,$AV$7:$AV$1570,"&gt;"&amp;AV1085)+SUMIFS($AS$7:$AS$1570,$BR$7:$BR$1570,BR1085,$AV$7:$AV$1570,AV1085,$BL$7:$BL$1570,"&lt;="&amp;BL1085),"")</f>
        <v/>
      </c>
      <c r="AX1085" s="65">
        <f>IF(AW1085="",0,MAX(0,MIN(1,(IF(BR1085="L1",Parameter!$K$5,Parameter!$K$6+Parameter!$K$7)-(AW1085-AS1085))/AS1085)))</f>
        <v/>
      </c>
      <c r="AY1085" s="53">
        <f>IF(AC1085&lt;=0,"",IF(BR1085="Aussen","Aussenlager",IF(BR1085="-","Nicht im Lift",IF(AH1085&gt;=1,"Lift",IF(AH1085&lt;=0,"Aussenlager","teilweise")))))</f>
        <v/>
      </c>
      <c r="AZ1085" s="53">
        <f>IF(AK1085&lt;=0,"",IF(BR1085="Aussen","Aussenlager",IF(BR1085="-","Nicht im Lift",IF(AP1085&gt;=1,"Lift",IF(AP1085&lt;=0,"Aussenlager","teilweise")))))</f>
        <v/>
      </c>
      <c r="BA1085" s="53">
        <f>IF(AS1085&lt;=0,"",IF(BR1085="Aussen","Aussenlager",IF(BR1085="-","Nicht im Lift",IF(AX1085&gt;=1,"Lift",IF(AX1085&lt;=0,"Aussenlager","teilweise")))))</f>
        <v/>
      </c>
      <c r="BB1085" s="53">
        <f>IF(A1085="","",IF(BK1085=1,"Neu; ","")&amp;IF(AND(BK1085=0,BF1085&lt;0),"negativer Bestand (Export "&amp;BF1085&amp;"); ","")&amp;IF(I1085&lt;=0,"Kein Verbrauch; ","")&amp;IF(BO1085=1,"Lose – Fläche geschätzt; ","")&amp;IF(G1085&gt;AM1085,"Überbestand "&amp;ROUND(G1085-AM1085,0)&amp;" Stk / CHF "&amp;ROUND((G1085-AM1085)*F1085,0)&amp;"; ","")&amp;IF(AND(BT1085=1,BU1085&lt;BV1085),"MAX &lt; MB+LG; ","")&amp;IF(AND(BZ1085&gt;0,BY1085*10&gt;BZ1085),"zu hoch für Tablar; ","")&amp;IF(AND(BK1085=0,OR(BT1085=1,V1085&lt;&gt;"",S1085&lt;&gt;"",T1085&lt;&gt;"",W1085&lt;&gt;"")),"manuell übersteuert; ","")&amp;IF(AND(BO1085=0,Q1085=0),"Gebinde unbekannt; ","")&amp;IF(AND(BO1085=0,N(T1085)&lt;=0,N(P1085)&lt;=0),"Menge pro Gebinde fehlt (Ist = 1 Gebinde); ","")&amp;BJ1085)</f>
        <v/>
      </c>
      <c r="BC1085" s="53" t="n"/>
      <c r="BD1085" s="53" t="n"/>
      <c r="BE1085" s="61" t="n"/>
      <c r="BF1085" s="55" t="n">
        <v>-22</v>
      </c>
      <c r="BG1085" s="55" t="n">
        <v>103</v>
      </c>
      <c r="BH1085" s="54" t="n">
        <v>-188.7199999999992</v>
      </c>
      <c r="BI1085" s="55" t="n">
        <v>129</v>
      </c>
      <c r="BJ1085" s="53" t="inlineStr"/>
      <c r="BK1085" s="58" t="n">
        <v>0</v>
      </c>
      <c r="BL1085" s="58" t="n">
        <v>1085</v>
      </c>
      <c r="BM1085" s="53">
        <f>IF(S1085&lt;&gt;"",UPPER(TRIM(S1085)),IF(O1085="","LOSE",O1085))</f>
        <v/>
      </c>
      <c r="BN1085" s="55">
        <f>IF(BM1085="LOSE",1,IF(N(T1085)&gt;0,T1085,IF(N(P1085)&gt;0,P1085,MAX(1,G1085))))</f>
        <v/>
      </c>
      <c r="BO1085" s="58">
        <f>IF(BM1085="LOSE",1,0)</f>
        <v/>
      </c>
      <c r="BP1085" s="64">
        <f>IF(BO1085=0,0,IF(N(R1085)&gt;0,R1085,IFERROR(VLOOKUP(D1085,Parameter!$A$35:$C$64,3,0)+0,0)))</f>
        <v/>
      </c>
      <c r="BQ1085" s="53">
        <f>IF(V1085&lt;&gt;"",V1085,U1085)</f>
        <v/>
      </c>
      <c r="BR1085" s="53">
        <f>IF(BQ1085=1,"L1",IF(OR(BQ1085=2,BQ1085=3),"L23",IF(BQ1085="Aussen","Aussen","-")))</f>
        <v/>
      </c>
      <c r="BS1085" s="66">
        <f>IF(N(W1085)&gt;0,W1085,0)</f>
        <v/>
      </c>
      <c r="BT1085" s="58">
        <f>IF(ISNUMBER(Z1085),1,0)</f>
        <v/>
      </c>
      <c r="BU1085" s="55">
        <f>N(Z1085)</f>
        <v/>
      </c>
      <c r="BV1085" s="55">
        <f>N(L1085)+N(M1085)</f>
        <v/>
      </c>
      <c r="BW1085" s="55">
        <f>ROUNDUP(G1085/BN1085,0)</f>
        <v/>
      </c>
      <c r="BX1085" s="55">
        <f>ROUNDUP(BU1085/BN1085,0)</f>
        <v/>
      </c>
      <c r="BY1085" s="58">
        <f>IF(BO1085=1,0,IFERROR(VLOOKUP(BM1085,'Gebinde-Kategorie'!$A$5:$G$45,5,0)+0,0))</f>
        <v/>
      </c>
      <c r="BZ1085" s="58">
        <f>IFERROR(IF(OR(BQ1085=1,BQ1085=2,BQ1085=3),N(INDEX(Parameter!$I$5:$I$7,BQ1085)),0),0)</f>
        <v/>
      </c>
    </row>
    <row r="1086">
      <c r="A1086" s="53" t="inlineStr">
        <is>
          <t>106991</t>
        </is>
      </c>
      <c r="B1086" s="53" t="inlineStr">
        <is>
          <t>Filterlüfter</t>
        </is>
      </c>
      <c r="C1086" s="53" t="inlineStr">
        <is>
          <t>G</t>
        </is>
      </c>
      <c r="D1086" s="53" t="inlineStr">
        <is>
          <t>KTL</t>
        </is>
      </c>
      <c r="E1086" s="53" t="inlineStr">
        <is>
          <t>C</t>
        </is>
      </c>
      <c r="F1086" s="54" t="n">
        <v>190.8</v>
      </c>
      <c r="G1086" s="55">
        <f>MAX(0,IF(Parameter!$B$20="Jahresanfang 2025 + Export",BG1086+BF1086,BF1086))</f>
        <v/>
      </c>
      <c r="H1086" s="55">
        <f>G1086*F1086</f>
        <v/>
      </c>
      <c r="I1086" s="55">
        <f>BI1086*Parameter!$B$18</f>
        <v/>
      </c>
      <c r="J1086" s="56" t="n">
        <v>1</v>
      </c>
      <c r="K1086" s="57" t="n">
        <v>0</v>
      </c>
      <c r="L1086" s="55" t="n">
        <v>0</v>
      </c>
      <c r="M1086" s="55" t="n">
        <v>1</v>
      </c>
      <c r="N1086" s="58" t="n">
        <v>42</v>
      </c>
      <c r="O1086" s="53" t="inlineStr">
        <is>
          <t>LOSE</t>
        </is>
      </c>
      <c r="P1086" s="55" t="n"/>
      <c r="Q1086" s="59">
        <f>IF(BO1086=1,0,IFERROR(VLOOKUP(BM1086,'Gebinde-Kategorie'!$A$5:$G$45,6,0)+0,0))</f>
        <v/>
      </c>
      <c r="R1086" s="60" t="n"/>
      <c r="S1086" s="61" t="n"/>
      <c r="T1086" s="61" t="n"/>
      <c r="U1086" s="53">
        <f>IF(A1086="","",IF(IFERROR(VLOOKUP(D1086,Parameter!$A$35:$C$64,2,0),"Nein")="2+3",IF(ISNUMBER(SEARCH("grosser Artikel",BJ1086)),2,IFERROR(VLOOKUP(BM1086,Parameter!$F$35:$G$64,2,0),2)),IF(OR(IFERROR(VLOOKUP(D1086,Parameter!$A$35:$C$64,2,0),"Nein")="Nein",IFERROR(VLOOKUP(D1086,Parameter!$A$35:$C$64,2,0),"Nein")=""),"-",VLOOKUP(D1086,Parameter!$A$35:$C$64,2,0))))</f>
        <v/>
      </c>
      <c r="V1086" s="61" t="n"/>
      <c r="W1086" s="62" t="n"/>
      <c r="X1086" s="55">
        <f>AM1086</f>
        <v/>
      </c>
      <c r="Y1086" s="55">
        <f>MAX(AM1086,G1086)</f>
        <v/>
      </c>
      <c r="Z1086" s="63" t="n"/>
      <c r="AA1086" s="55">
        <f>IF(LEFT(Cockpit!$C$5,1)="A",G1086,IF(BT1086=1,BU1086,IF(LEFT(Cockpit!$C$5,1)="B",AE1086,MAX(AE1086,G1086))))</f>
        <v/>
      </c>
      <c r="AB1086" s="55">
        <f>IF(BO1086=1,0,ROUNDUP(AA1086/BN1086,0))</f>
        <v/>
      </c>
      <c r="AC1086" s="64">
        <f>IF(BO1086=1,IF(AA1086&lt;=0,0,BP1086*MAX(1,IF(G1086&gt;0,AA1086/G1086,1))),AB1086*Q1086)</f>
        <v/>
      </c>
      <c r="AD1086" s="55">
        <f>AA1086*F1086</f>
        <v/>
      </c>
      <c r="AE1086" s="55">
        <f>ROUNDUP(MAX(I1086/IF(BS1086&gt;0,BS1086,MAX(0.1,N(Cockpit!$C$6))),BV1086)/BN1086,0)*BN1086</f>
        <v/>
      </c>
      <c r="AF1086" s="56">
        <f>IF(AC1086&gt;0,I1086/AC1086,-1)</f>
        <v/>
      </c>
      <c r="AG1086" s="56">
        <f>IF(AND(OR(BR1086="L1",BR1086="L23"),AC1086&gt;0),SUMIFS($AC$7:$AC$1570,$BR$7:$BR$1570,BR1086,$AF$7:$AF$1570,"&gt;"&amp;AF1086)+SUMIFS($AC$7:$AC$1570,$BR$7:$BR$1570,BR1086,$AF$7:$AF$1570,AF1086,$BL$7:$BL$1570,"&lt;="&amp;BL1086),"")</f>
        <v/>
      </c>
      <c r="AH1086" s="65">
        <f>IF(AG1086="",0,MAX(0,MIN(1,(IF(BR1086="L1",Parameter!$K$5,Parameter!$K$6+Parameter!$K$7)-(AG1086-AC1086))/AC1086)))</f>
        <v/>
      </c>
      <c r="AI1086" s="55">
        <f>IF(LEFT(Cockpit!$I$5,1)="A",G1086,IF(BT1086=1,BU1086,IF(LEFT(Cockpit!$I$5,1)="B",AM1086,MAX(AM1086,G1086))))</f>
        <v/>
      </c>
      <c r="AJ1086" s="55">
        <f>IF(BO1086=1,0,ROUNDUP(AI1086/BN1086,0))</f>
        <v/>
      </c>
      <c r="AK1086" s="64">
        <f>IF(BO1086=1,IF(AI1086&lt;=0,0,BP1086*MAX(1,IF(G1086&gt;0,AI1086/G1086,1))),AJ1086*Q1086)</f>
        <v/>
      </c>
      <c r="AL1086" s="55">
        <f>AI1086*F1086</f>
        <v/>
      </c>
      <c r="AM1086" s="55">
        <f>ROUNDUP(MAX(I1086/IF(BS1086&gt;0,BS1086,MAX(0.1,N(Cockpit!$I$6))),BV1086)/BN1086,0)*BN1086</f>
        <v/>
      </c>
      <c r="AN1086" s="56">
        <f>IF(AK1086&gt;0,I1086/AK1086,-1)</f>
        <v/>
      </c>
      <c r="AO1086" s="56">
        <f>IF(AND(OR(BR1086="L1",BR1086="L23"),AK1086&gt;0),SUMIFS($AK$7:$AK$1570,$BR$7:$BR$1570,BR1086,$AN$7:$AN$1570,"&gt;"&amp;AN1086)+SUMIFS($AK$7:$AK$1570,$BR$7:$BR$1570,BR1086,$AN$7:$AN$1570,AN1086,$BL$7:$BL$1570,"&lt;="&amp;BL1086),"")</f>
        <v/>
      </c>
      <c r="AP1086" s="65">
        <f>IF(AO1086="",0,MAX(0,MIN(1,(IF(BR1086="L1",Parameter!$K$5,Parameter!$K$6+Parameter!$K$7)-(AO1086-AK1086))/AK1086)))</f>
        <v/>
      </c>
      <c r="AQ1086" s="55">
        <f>IF(LEFT(Cockpit!$O$5,1)="A",G1086,IF(BT1086=1,BU1086,IF(LEFT(Cockpit!$O$5,1)="B",AU1086,MAX(AU1086,G1086))))</f>
        <v/>
      </c>
      <c r="AR1086" s="55">
        <f>IF(BO1086=1,0,ROUNDUP(AQ1086/BN1086,0))</f>
        <v/>
      </c>
      <c r="AS1086" s="64">
        <f>IF(BO1086=1,IF(AQ1086&lt;=0,0,BP1086*MAX(1,IF(G1086&gt;0,AQ1086/G1086,1))),AR1086*Q1086)</f>
        <v/>
      </c>
      <c r="AT1086" s="55">
        <f>AQ1086*F1086</f>
        <v/>
      </c>
      <c r="AU1086" s="55">
        <f>ROUNDUP(MAX(I1086/IF(BS1086&gt;0,BS1086,MAX(0.1,N(Cockpit!$O$6))),BV1086)/BN1086,0)*BN1086</f>
        <v/>
      </c>
      <c r="AV1086" s="56">
        <f>IF(AS1086&gt;0,I1086/AS1086,-1)</f>
        <v/>
      </c>
      <c r="AW1086" s="56">
        <f>IF(AND(OR(BR1086="L1",BR1086="L23"),AS1086&gt;0),SUMIFS($AS$7:$AS$1570,$BR$7:$BR$1570,BR1086,$AV$7:$AV$1570,"&gt;"&amp;AV1086)+SUMIFS($AS$7:$AS$1570,$BR$7:$BR$1570,BR1086,$AV$7:$AV$1570,AV1086,$BL$7:$BL$1570,"&lt;="&amp;BL1086),"")</f>
        <v/>
      </c>
      <c r="AX1086" s="65">
        <f>IF(AW1086="",0,MAX(0,MIN(1,(IF(BR1086="L1",Parameter!$K$5,Parameter!$K$6+Parameter!$K$7)-(AW1086-AS1086))/AS1086)))</f>
        <v/>
      </c>
      <c r="AY1086" s="53">
        <f>IF(AC1086&lt;=0,"",IF(BR1086="Aussen","Aussenlager",IF(BR1086="-","Nicht im Lift",IF(AH1086&gt;=1,"Lift",IF(AH1086&lt;=0,"Aussenlager","teilweise")))))</f>
        <v/>
      </c>
      <c r="AZ1086" s="53">
        <f>IF(AK1086&lt;=0,"",IF(BR1086="Aussen","Aussenlager",IF(BR1086="-","Nicht im Lift",IF(AP1086&gt;=1,"Lift",IF(AP1086&lt;=0,"Aussenlager","teilweise")))))</f>
        <v/>
      </c>
      <c r="BA1086" s="53">
        <f>IF(AS1086&lt;=0,"",IF(BR1086="Aussen","Aussenlager",IF(BR1086="-","Nicht im Lift",IF(AX1086&gt;=1,"Lift",IF(AX1086&lt;=0,"Aussenlager","teilweise")))))</f>
        <v/>
      </c>
      <c r="BB1086" s="53">
        <f>IF(A1086="","",IF(BK1086=1,"Neu; ","")&amp;IF(AND(BK1086=0,BF1086&lt;0),"negativer Bestand (Export "&amp;BF1086&amp;"); ","")&amp;IF(I1086&lt;=0,"Kein Verbrauch; ","")&amp;IF(BO1086=1,"Lose – Fläche geschätzt; ","")&amp;IF(G1086&gt;AM1086,"Überbestand "&amp;ROUND(G1086-AM1086,0)&amp;" Stk / CHF "&amp;ROUND((G1086-AM1086)*F1086,0)&amp;"; ","")&amp;IF(AND(BT1086=1,BU1086&lt;BV1086),"MAX &lt; MB+LG; ","")&amp;IF(AND(BZ1086&gt;0,BY1086*10&gt;BZ1086),"zu hoch für Tablar; ","")&amp;IF(AND(BK1086=0,OR(BT1086=1,V1086&lt;&gt;"",S1086&lt;&gt;"",T1086&lt;&gt;"",W1086&lt;&gt;"")),"manuell übersteuert; ","")&amp;IF(AND(BO1086=0,Q1086=0),"Gebinde unbekannt; ","")&amp;IF(AND(BO1086=0,N(T1086)&lt;=0,N(P1086)&lt;=0),"Menge pro Gebinde fehlt (Ist = 1 Gebinde); ","")&amp;BJ1086)</f>
        <v/>
      </c>
      <c r="BC1086" s="53" t="n"/>
      <c r="BD1086" s="53" t="n"/>
      <c r="BE1086" s="61" t="n"/>
      <c r="BF1086" s="55" t="n">
        <v>-1</v>
      </c>
      <c r="BG1086" s="55" t="n">
        <v>1</v>
      </c>
      <c r="BH1086" s="54" t="n">
        <v>-190.8</v>
      </c>
      <c r="BI1086" s="55" t="n">
        <v>0</v>
      </c>
      <c r="BJ1086" s="53" t="inlineStr"/>
      <c r="BK1086" s="58" t="n">
        <v>0</v>
      </c>
      <c r="BL1086" s="58" t="n">
        <v>1086</v>
      </c>
      <c r="BM1086" s="53">
        <f>IF(S1086&lt;&gt;"",UPPER(TRIM(S1086)),IF(O1086="","LOSE",O1086))</f>
        <v/>
      </c>
      <c r="BN1086" s="55">
        <f>IF(BM1086="LOSE",1,IF(N(T1086)&gt;0,T1086,IF(N(P1086)&gt;0,P1086,MAX(1,G1086))))</f>
        <v/>
      </c>
      <c r="BO1086" s="58">
        <f>IF(BM1086="LOSE",1,0)</f>
        <v/>
      </c>
      <c r="BP1086" s="64">
        <f>IF(BO1086=0,0,IF(N(R1086)&gt;0,R1086,IFERROR(VLOOKUP(D1086,Parameter!$A$35:$C$64,3,0)+0,0)))</f>
        <v/>
      </c>
      <c r="BQ1086" s="53">
        <f>IF(V1086&lt;&gt;"",V1086,U1086)</f>
        <v/>
      </c>
      <c r="BR1086" s="53">
        <f>IF(BQ1086=1,"L1",IF(OR(BQ1086=2,BQ1086=3),"L23",IF(BQ1086="Aussen","Aussen","-")))</f>
        <v/>
      </c>
      <c r="BS1086" s="66">
        <f>IF(N(W1086)&gt;0,W1086,0)</f>
        <v/>
      </c>
      <c r="BT1086" s="58">
        <f>IF(ISNUMBER(Z1086),1,0)</f>
        <v/>
      </c>
      <c r="BU1086" s="55">
        <f>N(Z1086)</f>
        <v/>
      </c>
      <c r="BV1086" s="55">
        <f>N(L1086)+N(M1086)</f>
        <v/>
      </c>
      <c r="BW1086" s="55">
        <f>ROUNDUP(G1086/BN1086,0)</f>
        <v/>
      </c>
      <c r="BX1086" s="55">
        <f>ROUNDUP(BU1086/BN1086,0)</f>
        <v/>
      </c>
      <c r="BY1086" s="58">
        <f>IF(BO1086=1,0,IFERROR(VLOOKUP(BM1086,'Gebinde-Kategorie'!$A$5:$G$45,5,0)+0,0))</f>
        <v/>
      </c>
      <c r="BZ1086" s="58">
        <f>IFERROR(IF(OR(BQ1086=1,BQ1086=2,BQ1086=3),N(INDEX(Parameter!$I$5:$I$7,BQ1086)),0),0)</f>
        <v/>
      </c>
    </row>
    <row r="1087">
      <c r="A1087" s="53" t="inlineStr">
        <is>
          <t>107051</t>
        </is>
      </c>
      <c r="B1087" s="53" t="inlineStr">
        <is>
          <t>Sechskant Stifteinsatz</t>
        </is>
      </c>
      <c r="C1087" s="53" t="inlineStr">
        <is>
          <t>F</t>
        </is>
      </c>
      <c r="D1087" s="53" t="inlineStr">
        <is>
          <t>KTL</t>
        </is>
      </c>
      <c r="E1087" s="53" t="inlineStr">
        <is>
          <t>C</t>
        </is>
      </c>
      <c r="F1087" s="54" t="n">
        <v>36.34</v>
      </c>
      <c r="G1087" s="55">
        <f>MAX(0,IF(Parameter!$B$20="Jahresanfang 2025 + Export",BG1087+BF1087,BF1087))</f>
        <v/>
      </c>
      <c r="H1087" s="55">
        <f>G1087*F1087</f>
        <v/>
      </c>
      <c r="I1087" s="55">
        <f>BI1087*Parameter!$B$18</f>
        <v/>
      </c>
      <c r="J1087" s="56" t="n">
        <v>10</v>
      </c>
      <c r="K1087" s="57" t="n">
        <v>1.2</v>
      </c>
      <c r="L1087" s="55" t="n">
        <v>0</v>
      </c>
      <c r="M1087" s="55" t="n">
        <v>10</v>
      </c>
      <c r="N1087" s="58" t="n">
        <v>14</v>
      </c>
      <c r="O1087" s="53" t="inlineStr">
        <is>
          <t>S41</t>
        </is>
      </c>
      <c r="P1087" s="55" t="n">
        <v>25</v>
      </c>
      <c r="Q1087" s="59">
        <f>IF(BO1087=1,0,IFERROR(VLOOKUP(BM1087,'Gebinde-Kategorie'!$A$5:$G$45,6,0)+0,0))</f>
        <v/>
      </c>
      <c r="R1087" s="60" t="n"/>
      <c r="S1087" s="61" t="n"/>
      <c r="T1087" s="61" t="n"/>
      <c r="U1087" s="53">
        <f>IF(A1087="","",IF(IFERROR(VLOOKUP(D1087,Parameter!$A$35:$C$64,2,0),"Nein")="2+3",IF(ISNUMBER(SEARCH("grosser Artikel",BJ1087)),2,IFERROR(VLOOKUP(BM1087,Parameter!$F$35:$G$64,2,0),2)),IF(OR(IFERROR(VLOOKUP(D1087,Parameter!$A$35:$C$64,2,0),"Nein")="Nein",IFERROR(VLOOKUP(D1087,Parameter!$A$35:$C$64,2,0),"Nein")=""),"-",VLOOKUP(D1087,Parameter!$A$35:$C$64,2,0))))</f>
        <v/>
      </c>
      <c r="V1087" s="61" t="n"/>
      <c r="W1087" s="62" t="n"/>
      <c r="X1087" s="55">
        <f>AM1087</f>
        <v/>
      </c>
      <c r="Y1087" s="55">
        <f>MAX(AM1087,G1087)</f>
        <v/>
      </c>
      <c r="Z1087" s="63" t="n"/>
      <c r="AA1087" s="55">
        <f>IF(LEFT(Cockpit!$C$5,1)="A",G1087,IF(BT1087=1,BU1087,IF(LEFT(Cockpit!$C$5,1)="B",AE1087,MAX(AE1087,G1087))))</f>
        <v/>
      </c>
      <c r="AB1087" s="55">
        <f>IF(BO1087=1,0,ROUNDUP(AA1087/BN1087,0))</f>
        <v/>
      </c>
      <c r="AC1087" s="64">
        <f>IF(BO1087=1,IF(AA1087&lt;=0,0,BP1087*MAX(1,IF(G1087&gt;0,AA1087/G1087,1))),AB1087*Q1087)</f>
        <v/>
      </c>
      <c r="AD1087" s="55">
        <f>AA1087*F1087</f>
        <v/>
      </c>
      <c r="AE1087" s="55">
        <f>ROUNDUP(MAX(I1087/IF(BS1087&gt;0,BS1087,MAX(0.1,N(Cockpit!$C$6))),BV1087)/BN1087,0)*BN1087</f>
        <v/>
      </c>
      <c r="AF1087" s="56">
        <f>IF(AC1087&gt;0,I1087/AC1087,-1)</f>
        <v/>
      </c>
      <c r="AG1087" s="56">
        <f>IF(AND(OR(BR1087="L1",BR1087="L23"),AC1087&gt;0),SUMIFS($AC$7:$AC$1570,$BR$7:$BR$1570,BR1087,$AF$7:$AF$1570,"&gt;"&amp;AF1087)+SUMIFS($AC$7:$AC$1570,$BR$7:$BR$1570,BR1087,$AF$7:$AF$1570,AF1087,$BL$7:$BL$1570,"&lt;="&amp;BL1087),"")</f>
        <v/>
      </c>
      <c r="AH1087" s="65">
        <f>IF(AG1087="",0,MAX(0,MIN(1,(IF(BR1087="L1",Parameter!$K$5,Parameter!$K$6+Parameter!$K$7)-(AG1087-AC1087))/AC1087)))</f>
        <v/>
      </c>
      <c r="AI1087" s="55">
        <f>IF(LEFT(Cockpit!$I$5,1)="A",G1087,IF(BT1087=1,BU1087,IF(LEFT(Cockpit!$I$5,1)="B",AM1087,MAX(AM1087,G1087))))</f>
        <v/>
      </c>
      <c r="AJ1087" s="55">
        <f>IF(BO1087=1,0,ROUNDUP(AI1087/BN1087,0))</f>
        <v/>
      </c>
      <c r="AK1087" s="64">
        <f>IF(BO1087=1,IF(AI1087&lt;=0,0,BP1087*MAX(1,IF(G1087&gt;0,AI1087/G1087,1))),AJ1087*Q1087)</f>
        <v/>
      </c>
      <c r="AL1087" s="55">
        <f>AI1087*F1087</f>
        <v/>
      </c>
      <c r="AM1087" s="55">
        <f>ROUNDUP(MAX(I1087/IF(BS1087&gt;0,BS1087,MAX(0.1,N(Cockpit!$I$6))),BV1087)/BN1087,0)*BN1087</f>
        <v/>
      </c>
      <c r="AN1087" s="56">
        <f>IF(AK1087&gt;0,I1087/AK1087,-1)</f>
        <v/>
      </c>
      <c r="AO1087" s="56">
        <f>IF(AND(OR(BR1087="L1",BR1087="L23"),AK1087&gt;0),SUMIFS($AK$7:$AK$1570,$BR$7:$BR$1570,BR1087,$AN$7:$AN$1570,"&gt;"&amp;AN1087)+SUMIFS($AK$7:$AK$1570,$BR$7:$BR$1570,BR1087,$AN$7:$AN$1570,AN1087,$BL$7:$BL$1570,"&lt;="&amp;BL1087),"")</f>
        <v/>
      </c>
      <c r="AP1087" s="65">
        <f>IF(AO1087="",0,MAX(0,MIN(1,(IF(BR1087="L1",Parameter!$K$5,Parameter!$K$6+Parameter!$K$7)-(AO1087-AK1087))/AK1087)))</f>
        <v/>
      </c>
      <c r="AQ1087" s="55">
        <f>IF(LEFT(Cockpit!$O$5,1)="A",G1087,IF(BT1087=1,BU1087,IF(LEFT(Cockpit!$O$5,1)="B",AU1087,MAX(AU1087,G1087))))</f>
        <v/>
      </c>
      <c r="AR1087" s="55">
        <f>IF(BO1087=1,0,ROUNDUP(AQ1087/BN1087,0))</f>
        <v/>
      </c>
      <c r="AS1087" s="64">
        <f>IF(BO1087=1,IF(AQ1087&lt;=0,0,BP1087*MAX(1,IF(G1087&gt;0,AQ1087/G1087,1))),AR1087*Q1087)</f>
        <v/>
      </c>
      <c r="AT1087" s="55">
        <f>AQ1087*F1087</f>
        <v/>
      </c>
      <c r="AU1087" s="55">
        <f>ROUNDUP(MAX(I1087/IF(BS1087&gt;0,BS1087,MAX(0.1,N(Cockpit!$O$6))),BV1087)/BN1087,0)*BN1087</f>
        <v/>
      </c>
      <c r="AV1087" s="56">
        <f>IF(AS1087&gt;0,I1087/AS1087,-1)</f>
        <v/>
      </c>
      <c r="AW1087" s="56">
        <f>IF(AND(OR(BR1087="L1",BR1087="L23"),AS1087&gt;0),SUMIFS($AS$7:$AS$1570,$BR$7:$BR$1570,BR1087,$AV$7:$AV$1570,"&gt;"&amp;AV1087)+SUMIFS($AS$7:$AS$1570,$BR$7:$BR$1570,BR1087,$AV$7:$AV$1570,AV1087,$BL$7:$BL$1570,"&lt;="&amp;BL1087),"")</f>
        <v/>
      </c>
      <c r="AX1087" s="65">
        <f>IF(AW1087="",0,MAX(0,MIN(1,(IF(BR1087="L1",Parameter!$K$5,Parameter!$K$6+Parameter!$K$7)-(AW1087-AS1087))/AS1087)))</f>
        <v/>
      </c>
      <c r="AY1087" s="53">
        <f>IF(AC1087&lt;=0,"",IF(BR1087="Aussen","Aussenlager",IF(BR1087="-","Nicht im Lift",IF(AH1087&gt;=1,"Lift",IF(AH1087&lt;=0,"Aussenlager","teilweise")))))</f>
        <v/>
      </c>
      <c r="AZ1087" s="53">
        <f>IF(AK1087&lt;=0,"",IF(BR1087="Aussen","Aussenlager",IF(BR1087="-","Nicht im Lift",IF(AP1087&gt;=1,"Lift",IF(AP1087&lt;=0,"Aussenlager","teilweise")))))</f>
        <v/>
      </c>
      <c r="BA1087" s="53">
        <f>IF(AS1087&lt;=0,"",IF(BR1087="Aussen","Aussenlager",IF(BR1087="-","Nicht im Lift",IF(AX1087&gt;=1,"Lift",IF(AX1087&lt;=0,"Aussenlager","teilweise")))))</f>
        <v/>
      </c>
      <c r="BB1087" s="53">
        <f>IF(A1087="","",IF(BK1087=1,"Neu; ","")&amp;IF(AND(BK1087=0,BF1087&lt;0),"negativer Bestand (Export "&amp;BF1087&amp;"); ","")&amp;IF(I1087&lt;=0,"Kein Verbrauch; ","")&amp;IF(BO1087=1,"Lose – Fläche geschätzt; ","")&amp;IF(G1087&gt;AM1087,"Überbestand "&amp;ROUND(G1087-AM1087,0)&amp;" Stk / CHF "&amp;ROUND((G1087-AM1087)*F1087,0)&amp;"; ","")&amp;IF(AND(BT1087=1,BU1087&lt;BV1087),"MAX &lt; MB+LG; ","")&amp;IF(AND(BZ1087&gt;0,BY1087*10&gt;BZ1087),"zu hoch für Tablar; ","")&amp;IF(AND(BK1087=0,OR(BT1087=1,V1087&lt;&gt;"",S1087&lt;&gt;"",T1087&lt;&gt;"",W1087&lt;&gt;"")),"manuell übersteuert; ","")&amp;IF(AND(BO1087=0,Q1087=0),"Gebinde unbekannt; ","")&amp;IF(AND(BO1087=0,N(T1087)&lt;=0,N(P1087)&lt;=0),"Menge pro Gebinde fehlt (Ist = 1 Gebinde); ","")&amp;BJ1087)</f>
        <v/>
      </c>
      <c r="BC1087" s="53" t="n"/>
      <c r="BD1087" s="53" t="n"/>
      <c r="BE1087" s="61" t="n"/>
      <c r="BF1087" s="55" t="n">
        <v>-5</v>
      </c>
      <c r="BG1087" s="55" t="n">
        <v>11</v>
      </c>
      <c r="BH1087" s="54" t="n">
        <v>-191.82</v>
      </c>
      <c r="BI1087" s="55" t="n">
        <v>12</v>
      </c>
      <c r="BJ1087" s="53" t="inlineStr"/>
      <c r="BK1087" s="58" t="n">
        <v>0</v>
      </c>
      <c r="BL1087" s="58" t="n">
        <v>1087</v>
      </c>
      <c r="BM1087" s="53">
        <f>IF(S1087&lt;&gt;"",UPPER(TRIM(S1087)),IF(O1087="","LOSE",O1087))</f>
        <v/>
      </c>
      <c r="BN1087" s="55">
        <f>IF(BM1087="LOSE",1,IF(N(T1087)&gt;0,T1087,IF(N(P1087)&gt;0,P1087,MAX(1,G1087))))</f>
        <v/>
      </c>
      <c r="BO1087" s="58">
        <f>IF(BM1087="LOSE",1,0)</f>
        <v/>
      </c>
      <c r="BP1087" s="64">
        <f>IF(BO1087=0,0,IF(N(R1087)&gt;0,R1087,IFERROR(VLOOKUP(D1087,Parameter!$A$35:$C$64,3,0)+0,0)))</f>
        <v/>
      </c>
      <c r="BQ1087" s="53">
        <f>IF(V1087&lt;&gt;"",V1087,U1087)</f>
        <v/>
      </c>
      <c r="BR1087" s="53">
        <f>IF(BQ1087=1,"L1",IF(OR(BQ1087=2,BQ1087=3),"L23",IF(BQ1087="Aussen","Aussen","-")))</f>
        <v/>
      </c>
      <c r="BS1087" s="66">
        <f>IF(N(W1087)&gt;0,W1087,0)</f>
        <v/>
      </c>
      <c r="BT1087" s="58">
        <f>IF(ISNUMBER(Z1087),1,0)</f>
        <v/>
      </c>
      <c r="BU1087" s="55">
        <f>N(Z1087)</f>
        <v/>
      </c>
      <c r="BV1087" s="55">
        <f>N(L1087)+N(M1087)</f>
        <v/>
      </c>
      <c r="BW1087" s="55">
        <f>ROUNDUP(G1087/BN1087,0)</f>
        <v/>
      </c>
      <c r="BX1087" s="55">
        <f>ROUNDUP(BU1087/BN1087,0)</f>
        <v/>
      </c>
      <c r="BY1087" s="58">
        <f>IF(BO1087=1,0,IFERROR(VLOOKUP(BM1087,'Gebinde-Kategorie'!$A$5:$G$45,5,0)+0,0))</f>
        <v/>
      </c>
      <c r="BZ1087" s="58">
        <f>IFERROR(IF(OR(BQ1087=1,BQ1087=2,BQ1087=3),N(INDEX(Parameter!$I$5:$I$7,BQ1087)),0),0)</f>
        <v/>
      </c>
    </row>
    <row r="1088">
      <c r="A1088" s="53" t="inlineStr">
        <is>
          <t>001051</t>
        </is>
      </c>
      <c r="B1088" s="53" t="inlineStr">
        <is>
          <t>Tauschpalette EPAL</t>
        </is>
      </c>
      <c r="C1088" s="53" t="inlineStr">
        <is>
          <t>F</t>
        </is>
      </c>
      <c r="D1088" s="53" t="inlineStr">
        <is>
          <t>PAL</t>
        </is>
      </c>
      <c r="E1088" s="53" t="inlineStr">
        <is>
          <t>C</t>
        </is>
      </c>
      <c r="F1088" s="54" t="n">
        <v>16</v>
      </c>
      <c r="G1088" s="55">
        <f>MAX(0,IF(Parameter!$B$20="Jahresanfang 2025 + Export",BG1088+BF1088,BF1088))</f>
        <v/>
      </c>
      <c r="H1088" s="55">
        <f>G1088*F1088</f>
        <v/>
      </c>
      <c r="I1088" s="55">
        <f>BI1088*Parameter!$B$18</f>
        <v/>
      </c>
      <c r="J1088" s="56" t="n">
        <v>50.5</v>
      </c>
      <c r="K1088" s="57" t="n">
        <v>2.574257425742574</v>
      </c>
      <c r="L1088" s="55" t="n">
        <v>7</v>
      </c>
      <c r="M1088" s="55" t="n">
        <v>15</v>
      </c>
      <c r="N1088" s="58" t="n">
        <v>21</v>
      </c>
      <c r="O1088" s="53" t="inlineStr">
        <is>
          <t>LOSE</t>
        </is>
      </c>
      <c r="P1088" s="55" t="n"/>
      <c r="Q1088" s="59">
        <f>IF(BO1088=1,0,IFERROR(VLOOKUP(BM1088,'Gebinde-Kategorie'!$A$5:$G$45,6,0)+0,0))</f>
        <v/>
      </c>
      <c r="R1088" s="60" t="n"/>
      <c r="S1088" s="61" t="n"/>
      <c r="T1088" s="61" t="n"/>
      <c r="U1088" s="53">
        <f>IF(A1088="","",IF(IFERROR(VLOOKUP(D1088,Parameter!$A$35:$C$64,2,0),"Nein")="2+3",IF(ISNUMBER(SEARCH("grosser Artikel",BJ1088)),2,IFERROR(VLOOKUP(BM1088,Parameter!$F$35:$G$64,2,0),2)),IF(OR(IFERROR(VLOOKUP(D1088,Parameter!$A$35:$C$64,2,0),"Nein")="Nein",IFERROR(VLOOKUP(D1088,Parameter!$A$35:$C$64,2,0),"Nein")=""),"-",VLOOKUP(D1088,Parameter!$A$35:$C$64,2,0))))</f>
        <v/>
      </c>
      <c r="V1088" s="61" t="n"/>
      <c r="W1088" s="62" t="n"/>
      <c r="X1088" s="55">
        <f>AM1088</f>
        <v/>
      </c>
      <c r="Y1088" s="55">
        <f>MAX(AM1088,G1088)</f>
        <v/>
      </c>
      <c r="Z1088" s="63" t="n"/>
      <c r="AA1088" s="55">
        <f>IF(LEFT(Cockpit!$C$5,1)="A",G1088,IF(BT1088=1,BU1088,IF(LEFT(Cockpit!$C$5,1)="B",AE1088,MAX(AE1088,G1088))))</f>
        <v/>
      </c>
      <c r="AB1088" s="55">
        <f>IF(BO1088=1,0,ROUNDUP(AA1088/BN1088,0))</f>
        <v/>
      </c>
      <c r="AC1088" s="64">
        <f>IF(BO1088=1,IF(AA1088&lt;=0,0,BP1088*MAX(1,IF(G1088&gt;0,AA1088/G1088,1))),AB1088*Q1088)</f>
        <v/>
      </c>
      <c r="AD1088" s="55">
        <f>AA1088*F1088</f>
        <v/>
      </c>
      <c r="AE1088" s="55">
        <f>ROUNDUP(MAX(I1088/IF(BS1088&gt;0,BS1088,MAX(0.1,N(Cockpit!$C$6))),BV1088)/BN1088,0)*BN1088</f>
        <v/>
      </c>
      <c r="AF1088" s="56">
        <f>IF(AC1088&gt;0,I1088/AC1088,-1)</f>
        <v/>
      </c>
      <c r="AG1088" s="56">
        <f>IF(AND(OR(BR1088="L1",BR1088="L23"),AC1088&gt;0),SUMIFS($AC$7:$AC$1570,$BR$7:$BR$1570,BR1088,$AF$7:$AF$1570,"&gt;"&amp;AF1088)+SUMIFS($AC$7:$AC$1570,$BR$7:$BR$1570,BR1088,$AF$7:$AF$1570,AF1088,$BL$7:$BL$1570,"&lt;="&amp;BL1088),"")</f>
        <v/>
      </c>
      <c r="AH1088" s="65">
        <f>IF(AG1088="",0,MAX(0,MIN(1,(IF(BR1088="L1",Parameter!$K$5,Parameter!$K$6+Parameter!$K$7)-(AG1088-AC1088))/AC1088)))</f>
        <v/>
      </c>
      <c r="AI1088" s="55">
        <f>IF(LEFT(Cockpit!$I$5,1)="A",G1088,IF(BT1088=1,BU1088,IF(LEFT(Cockpit!$I$5,1)="B",AM1088,MAX(AM1088,G1088))))</f>
        <v/>
      </c>
      <c r="AJ1088" s="55">
        <f>IF(BO1088=1,0,ROUNDUP(AI1088/BN1088,0))</f>
        <v/>
      </c>
      <c r="AK1088" s="64">
        <f>IF(BO1088=1,IF(AI1088&lt;=0,0,BP1088*MAX(1,IF(G1088&gt;0,AI1088/G1088,1))),AJ1088*Q1088)</f>
        <v/>
      </c>
      <c r="AL1088" s="55">
        <f>AI1088*F1088</f>
        <v/>
      </c>
      <c r="AM1088" s="55">
        <f>ROUNDUP(MAX(I1088/IF(BS1088&gt;0,BS1088,MAX(0.1,N(Cockpit!$I$6))),BV1088)/BN1088,0)*BN1088</f>
        <v/>
      </c>
      <c r="AN1088" s="56">
        <f>IF(AK1088&gt;0,I1088/AK1088,-1)</f>
        <v/>
      </c>
      <c r="AO1088" s="56">
        <f>IF(AND(OR(BR1088="L1",BR1088="L23"),AK1088&gt;0),SUMIFS($AK$7:$AK$1570,$BR$7:$BR$1570,BR1088,$AN$7:$AN$1570,"&gt;"&amp;AN1088)+SUMIFS($AK$7:$AK$1570,$BR$7:$BR$1570,BR1088,$AN$7:$AN$1570,AN1088,$BL$7:$BL$1570,"&lt;="&amp;BL1088),"")</f>
        <v/>
      </c>
      <c r="AP1088" s="65">
        <f>IF(AO1088="",0,MAX(0,MIN(1,(IF(BR1088="L1",Parameter!$K$5,Parameter!$K$6+Parameter!$K$7)-(AO1088-AK1088))/AK1088)))</f>
        <v/>
      </c>
      <c r="AQ1088" s="55">
        <f>IF(LEFT(Cockpit!$O$5,1)="A",G1088,IF(BT1088=1,BU1088,IF(LEFT(Cockpit!$O$5,1)="B",AU1088,MAX(AU1088,G1088))))</f>
        <v/>
      </c>
      <c r="AR1088" s="55">
        <f>IF(BO1088=1,0,ROUNDUP(AQ1088/BN1088,0))</f>
        <v/>
      </c>
      <c r="AS1088" s="64">
        <f>IF(BO1088=1,IF(AQ1088&lt;=0,0,BP1088*MAX(1,IF(G1088&gt;0,AQ1088/G1088,1))),AR1088*Q1088)</f>
        <v/>
      </c>
      <c r="AT1088" s="55">
        <f>AQ1088*F1088</f>
        <v/>
      </c>
      <c r="AU1088" s="55">
        <f>ROUNDUP(MAX(I1088/IF(BS1088&gt;0,BS1088,MAX(0.1,N(Cockpit!$O$6))),BV1088)/BN1088,0)*BN1088</f>
        <v/>
      </c>
      <c r="AV1088" s="56">
        <f>IF(AS1088&gt;0,I1088/AS1088,-1)</f>
        <v/>
      </c>
      <c r="AW1088" s="56">
        <f>IF(AND(OR(BR1088="L1",BR1088="L23"),AS1088&gt;0),SUMIFS($AS$7:$AS$1570,$BR$7:$BR$1570,BR1088,$AV$7:$AV$1570,"&gt;"&amp;AV1088)+SUMIFS($AS$7:$AS$1570,$BR$7:$BR$1570,BR1088,$AV$7:$AV$1570,AV1088,$BL$7:$BL$1570,"&lt;="&amp;BL1088),"")</f>
        <v/>
      </c>
      <c r="AX1088" s="65">
        <f>IF(AW1088="",0,MAX(0,MIN(1,(IF(BR1088="L1",Parameter!$K$5,Parameter!$K$6+Parameter!$K$7)-(AW1088-AS1088))/AS1088)))</f>
        <v/>
      </c>
      <c r="AY1088" s="53">
        <f>IF(AC1088&lt;=0,"",IF(BR1088="Aussen","Aussenlager",IF(BR1088="-","Nicht im Lift",IF(AH1088&gt;=1,"Lift",IF(AH1088&lt;=0,"Aussenlager","teilweise")))))</f>
        <v/>
      </c>
      <c r="AZ1088" s="53">
        <f>IF(AK1088&lt;=0,"",IF(BR1088="Aussen","Aussenlager",IF(BR1088="-","Nicht im Lift",IF(AP1088&gt;=1,"Lift",IF(AP1088&lt;=0,"Aussenlager","teilweise")))))</f>
        <v/>
      </c>
      <c r="BA1088" s="53">
        <f>IF(AS1088&lt;=0,"",IF(BR1088="Aussen","Aussenlager",IF(BR1088="-","Nicht im Lift",IF(AX1088&gt;=1,"Lift",IF(AX1088&lt;=0,"Aussenlager","teilweise")))))</f>
        <v/>
      </c>
      <c r="BB1088" s="53">
        <f>IF(A1088="","",IF(BK1088=1,"Neu; ","")&amp;IF(AND(BK1088=0,BF1088&lt;0),"negativer Bestand (Export "&amp;BF1088&amp;"); ","")&amp;IF(I1088&lt;=0,"Kein Verbrauch; ","")&amp;IF(BO1088=1,"Lose – Fläche geschätzt; ","")&amp;IF(G1088&gt;AM1088,"Überbestand "&amp;ROUND(G1088-AM1088,0)&amp;" Stk / CHF "&amp;ROUND((G1088-AM1088)*F1088,0)&amp;"; ","")&amp;IF(AND(BT1088=1,BU1088&lt;BV1088),"MAX &lt; MB+LG; ","")&amp;IF(AND(BZ1088&gt;0,BY1088*10&gt;BZ1088),"zu hoch für Tablar; ","")&amp;IF(AND(BK1088=0,OR(BT1088=1,V1088&lt;&gt;"",S1088&lt;&gt;"",T1088&lt;&gt;"",W1088&lt;&gt;"")),"manuell übersteuert; ","")&amp;IF(AND(BO1088=0,Q1088=0),"Gebinde unbekannt; ","")&amp;IF(AND(BO1088=0,N(T1088)&lt;=0,N(P1088)&lt;=0),"Menge pro Gebinde fehlt (Ist = 1 Gebinde); ","")&amp;BJ1088)</f>
        <v/>
      </c>
      <c r="BC1088" s="53" t="n"/>
      <c r="BD1088" s="53" t="n"/>
      <c r="BE1088" s="61" t="n"/>
      <c r="BF1088" s="55" t="n">
        <v>-13</v>
      </c>
      <c r="BG1088" s="55" t="n">
        <v>11</v>
      </c>
      <c r="BH1088" s="54" t="n">
        <v>-193.4800000000014</v>
      </c>
      <c r="BI1088" s="55" t="n">
        <v>130</v>
      </c>
      <c r="BJ1088" s="53" t="inlineStr"/>
      <c r="BK1088" s="58" t="n">
        <v>0</v>
      </c>
      <c r="BL1088" s="58" t="n">
        <v>1088</v>
      </c>
      <c r="BM1088" s="53">
        <f>IF(S1088&lt;&gt;"",UPPER(TRIM(S1088)),IF(O1088="","LOSE",O1088))</f>
        <v/>
      </c>
      <c r="BN1088" s="55">
        <f>IF(BM1088="LOSE",1,IF(N(T1088)&gt;0,T1088,IF(N(P1088)&gt;0,P1088,MAX(1,G1088))))</f>
        <v/>
      </c>
      <c r="BO1088" s="58">
        <f>IF(BM1088="LOSE",1,0)</f>
        <v/>
      </c>
      <c r="BP1088" s="64">
        <f>IF(BO1088=0,0,IF(N(R1088)&gt;0,R1088,IFERROR(VLOOKUP(D1088,Parameter!$A$35:$C$64,3,0)+0,0)))</f>
        <v/>
      </c>
      <c r="BQ1088" s="53">
        <f>IF(V1088&lt;&gt;"",V1088,U1088)</f>
        <v/>
      </c>
      <c r="BR1088" s="53">
        <f>IF(BQ1088=1,"L1",IF(OR(BQ1088=2,BQ1088=3),"L23",IF(BQ1088="Aussen","Aussen","-")))</f>
        <v/>
      </c>
      <c r="BS1088" s="66">
        <f>IF(N(W1088)&gt;0,W1088,0)</f>
        <v/>
      </c>
      <c r="BT1088" s="58">
        <f>IF(ISNUMBER(Z1088),1,0)</f>
        <v/>
      </c>
      <c r="BU1088" s="55">
        <f>N(Z1088)</f>
        <v/>
      </c>
      <c r="BV1088" s="55">
        <f>N(L1088)+N(M1088)</f>
        <v/>
      </c>
      <c r="BW1088" s="55">
        <f>ROUNDUP(G1088/BN1088,0)</f>
        <v/>
      </c>
      <c r="BX1088" s="55">
        <f>ROUNDUP(BU1088/BN1088,0)</f>
        <v/>
      </c>
      <c r="BY1088" s="58">
        <f>IF(BO1088=1,0,IFERROR(VLOOKUP(BM1088,'Gebinde-Kategorie'!$A$5:$G$45,5,0)+0,0))</f>
        <v/>
      </c>
      <c r="BZ1088" s="58">
        <f>IFERROR(IF(OR(BQ1088=1,BQ1088=2,BQ1088=3),N(INDEX(Parameter!$I$5:$I$7,BQ1088)),0),0)</f>
        <v/>
      </c>
    </row>
    <row r="1089">
      <c r="A1089" s="53" t="inlineStr">
        <is>
          <t>106481</t>
        </is>
      </c>
      <c r="B1089" s="53" t="inlineStr">
        <is>
          <t>Magnetspule</t>
        </is>
      </c>
      <c r="C1089" s="53" t="inlineStr">
        <is>
          <t>F</t>
        </is>
      </c>
      <c r="D1089" s="53" t="inlineStr">
        <is>
          <t>KTL</t>
        </is>
      </c>
      <c r="E1089" s="53" t="inlineStr">
        <is>
          <t>C</t>
        </is>
      </c>
      <c r="F1089" s="54" t="n">
        <v>40.16</v>
      </c>
      <c r="G1089" s="55">
        <f>MAX(0,IF(Parameter!$B$20="Jahresanfang 2025 + Export",BG1089+BF1089,BF1089))</f>
        <v/>
      </c>
      <c r="H1089" s="55">
        <f>G1089*F1089</f>
        <v/>
      </c>
      <c r="I1089" s="55">
        <f>BI1089*Parameter!$B$18</f>
        <v/>
      </c>
      <c r="J1089" s="56" t="n">
        <v>22.5</v>
      </c>
      <c r="K1089" s="57" t="n">
        <v>1.022222222222222</v>
      </c>
      <c r="L1089" s="55" t="n">
        <v>1</v>
      </c>
      <c r="M1089" s="55" t="n">
        <v>25</v>
      </c>
      <c r="N1089" s="58" t="n">
        <v>21</v>
      </c>
      <c r="O1089" s="53" t="inlineStr">
        <is>
          <t>S52</t>
        </is>
      </c>
      <c r="P1089" s="55" t="n">
        <v>48</v>
      </c>
      <c r="Q1089" s="59">
        <f>IF(BO1089=1,0,IFERROR(VLOOKUP(BM1089,'Gebinde-Kategorie'!$A$5:$G$45,6,0)+0,0))</f>
        <v/>
      </c>
      <c r="R1089" s="60" t="n"/>
      <c r="S1089" s="61" t="n"/>
      <c r="T1089" s="61" t="n"/>
      <c r="U1089" s="53">
        <f>IF(A1089="","",IF(IFERROR(VLOOKUP(D1089,Parameter!$A$35:$C$64,2,0),"Nein")="2+3",IF(ISNUMBER(SEARCH("grosser Artikel",BJ1089)),2,IFERROR(VLOOKUP(BM1089,Parameter!$F$35:$G$64,2,0),2)),IF(OR(IFERROR(VLOOKUP(D1089,Parameter!$A$35:$C$64,2,0),"Nein")="Nein",IFERROR(VLOOKUP(D1089,Parameter!$A$35:$C$64,2,0),"Nein")=""),"-",VLOOKUP(D1089,Parameter!$A$35:$C$64,2,0))))</f>
        <v/>
      </c>
      <c r="V1089" s="61" t="n"/>
      <c r="W1089" s="62" t="n"/>
      <c r="X1089" s="55">
        <f>AM1089</f>
        <v/>
      </c>
      <c r="Y1089" s="55">
        <f>MAX(AM1089,G1089)</f>
        <v/>
      </c>
      <c r="Z1089" s="63" t="n"/>
      <c r="AA1089" s="55">
        <f>IF(LEFT(Cockpit!$C$5,1)="A",G1089,IF(BT1089=1,BU1089,IF(LEFT(Cockpit!$C$5,1)="B",AE1089,MAX(AE1089,G1089))))</f>
        <v/>
      </c>
      <c r="AB1089" s="55">
        <f>IF(BO1089=1,0,ROUNDUP(AA1089/BN1089,0))</f>
        <v/>
      </c>
      <c r="AC1089" s="64">
        <f>IF(BO1089=1,IF(AA1089&lt;=0,0,BP1089*MAX(1,IF(G1089&gt;0,AA1089/G1089,1))),AB1089*Q1089)</f>
        <v/>
      </c>
      <c r="AD1089" s="55">
        <f>AA1089*F1089</f>
        <v/>
      </c>
      <c r="AE1089" s="55">
        <f>ROUNDUP(MAX(I1089/IF(BS1089&gt;0,BS1089,MAX(0.1,N(Cockpit!$C$6))),BV1089)/BN1089,0)*BN1089</f>
        <v/>
      </c>
      <c r="AF1089" s="56">
        <f>IF(AC1089&gt;0,I1089/AC1089,-1)</f>
        <v/>
      </c>
      <c r="AG1089" s="56">
        <f>IF(AND(OR(BR1089="L1",BR1089="L23"),AC1089&gt;0),SUMIFS($AC$7:$AC$1570,$BR$7:$BR$1570,BR1089,$AF$7:$AF$1570,"&gt;"&amp;AF1089)+SUMIFS($AC$7:$AC$1570,$BR$7:$BR$1570,BR1089,$AF$7:$AF$1570,AF1089,$BL$7:$BL$1570,"&lt;="&amp;BL1089),"")</f>
        <v/>
      </c>
      <c r="AH1089" s="65">
        <f>IF(AG1089="",0,MAX(0,MIN(1,(IF(BR1089="L1",Parameter!$K$5,Parameter!$K$6+Parameter!$K$7)-(AG1089-AC1089))/AC1089)))</f>
        <v/>
      </c>
      <c r="AI1089" s="55">
        <f>IF(LEFT(Cockpit!$I$5,1)="A",G1089,IF(BT1089=1,BU1089,IF(LEFT(Cockpit!$I$5,1)="B",AM1089,MAX(AM1089,G1089))))</f>
        <v/>
      </c>
      <c r="AJ1089" s="55">
        <f>IF(BO1089=1,0,ROUNDUP(AI1089/BN1089,0))</f>
        <v/>
      </c>
      <c r="AK1089" s="64">
        <f>IF(BO1089=1,IF(AI1089&lt;=0,0,BP1089*MAX(1,IF(G1089&gt;0,AI1089/G1089,1))),AJ1089*Q1089)</f>
        <v/>
      </c>
      <c r="AL1089" s="55">
        <f>AI1089*F1089</f>
        <v/>
      </c>
      <c r="AM1089" s="55">
        <f>ROUNDUP(MAX(I1089/IF(BS1089&gt;0,BS1089,MAX(0.1,N(Cockpit!$I$6))),BV1089)/BN1089,0)*BN1089</f>
        <v/>
      </c>
      <c r="AN1089" s="56">
        <f>IF(AK1089&gt;0,I1089/AK1089,-1)</f>
        <v/>
      </c>
      <c r="AO1089" s="56">
        <f>IF(AND(OR(BR1089="L1",BR1089="L23"),AK1089&gt;0),SUMIFS($AK$7:$AK$1570,$BR$7:$BR$1570,BR1089,$AN$7:$AN$1570,"&gt;"&amp;AN1089)+SUMIFS($AK$7:$AK$1570,$BR$7:$BR$1570,BR1089,$AN$7:$AN$1570,AN1089,$BL$7:$BL$1570,"&lt;="&amp;BL1089),"")</f>
        <v/>
      </c>
      <c r="AP1089" s="65">
        <f>IF(AO1089="",0,MAX(0,MIN(1,(IF(BR1089="L1",Parameter!$K$5,Parameter!$K$6+Parameter!$K$7)-(AO1089-AK1089))/AK1089)))</f>
        <v/>
      </c>
      <c r="AQ1089" s="55">
        <f>IF(LEFT(Cockpit!$O$5,1)="A",G1089,IF(BT1089=1,BU1089,IF(LEFT(Cockpit!$O$5,1)="B",AU1089,MAX(AU1089,G1089))))</f>
        <v/>
      </c>
      <c r="AR1089" s="55">
        <f>IF(BO1089=1,0,ROUNDUP(AQ1089/BN1089,0))</f>
        <v/>
      </c>
      <c r="AS1089" s="64">
        <f>IF(BO1089=1,IF(AQ1089&lt;=0,0,BP1089*MAX(1,IF(G1089&gt;0,AQ1089/G1089,1))),AR1089*Q1089)</f>
        <v/>
      </c>
      <c r="AT1089" s="55">
        <f>AQ1089*F1089</f>
        <v/>
      </c>
      <c r="AU1089" s="55">
        <f>ROUNDUP(MAX(I1089/IF(BS1089&gt;0,BS1089,MAX(0.1,N(Cockpit!$O$6))),BV1089)/BN1089,0)*BN1089</f>
        <v/>
      </c>
      <c r="AV1089" s="56">
        <f>IF(AS1089&gt;0,I1089/AS1089,-1)</f>
        <v/>
      </c>
      <c r="AW1089" s="56">
        <f>IF(AND(OR(BR1089="L1",BR1089="L23"),AS1089&gt;0),SUMIFS($AS$7:$AS$1570,$BR$7:$BR$1570,BR1089,$AV$7:$AV$1570,"&gt;"&amp;AV1089)+SUMIFS($AS$7:$AS$1570,$BR$7:$BR$1570,BR1089,$AV$7:$AV$1570,AV1089,$BL$7:$BL$1570,"&lt;="&amp;BL1089),"")</f>
        <v/>
      </c>
      <c r="AX1089" s="65">
        <f>IF(AW1089="",0,MAX(0,MIN(1,(IF(BR1089="L1",Parameter!$K$5,Parameter!$K$6+Parameter!$K$7)-(AW1089-AS1089))/AS1089)))</f>
        <v/>
      </c>
      <c r="AY1089" s="53">
        <f>IF(AC1089&lt;=0,"",IF(BR1089="Aussen","Aussenlager",IF(BR1089="-","Nicht im Lift",IF(AH1089&gt;=1,"Lift",IF(AH1089&lt;=0,"Aussenlager","teilweise")))))</f>
        <v/>
      </c>
      <c r="AZ1089" s="53">
        <f>IF(AK1089&lt;=0,"",IF(BR1089="Aussen","Aussenlager",IF(BR1089="-","Nicht im Lift",IF(AP1089&gt;=1,"Lift",IF(AP1089&lt;=0,"Aussenlager","teilweise")))))</f>
        <v/>
      </c>
      <c r="BA1089" s="53">
        <f>IF(AS1089&lt;=0,"",IF(BR1089="Aussen","Aussenlager",IF(BR1089="-","Nicht im Lift",IF(AX1089&gt;=1,"Lift",IF(AX1089&lt;=0,"Aussenlager","teilweise")))))</f>
        <v/>
      </c>
      <c r="BB1089" s="53">
        <f>IF(A1089="","",IF(BK1089=1,"Neu; ","")&amp;IF(AND(BK1089=0,BF1089&lt;0),"negativer Bestand (Export "&amp;BF1089&amp;"); ","")&amp;IF(I1089&lt;=0,"Kein Verbrauch; ","")&amp;IF(BO1089=1,"Lose – Fläche geschätzt; ","")&amp;IF(G1089&gt;AM1089,"Überbestand "&amp;ROUND(G1089-AM1089,0)&amp;" Stk / CHF "&amp;ROUND((G1089-AM1089)*F1089,0)&amp;"; ","")&amp;IF(AND(BT1089=1,BU1089&lt;BV1089),"MAX &lt; MB+LG; ","")&amp;IF(AND(BZ1089&gt;0,BY1089*10&gt;BZ1089),"zu hoch für Tablar; ","")&amp;IF(AND(BK1089=0,OR(BT1089=1,V1089&lt;&gt;"",S1089&lt;&gt;"",T1089&lt;&gt;"",W1089&lt;&gt;"")),"manuell übersteuert; ","")&amp;IF(AND(BO1089=0,Q1089=0),"Gebinde unbekannt; ","")&amp;IF(AND(BO1089=0,N(T1089)&lt;=0,N(P1089)&lt;=0),"Menge pro Gebinde fehlt (Ist = 1 Gebinde); ","")&amp;BJ1089)</f>
        <v/>
      </c>
      <c r="BC1089" s="53" t="n"/>
      <c r="BD1089" s="53" t="n"/>
      <c r="BE1089" s="61" t="n"/>
      <c r="BF1089" s="55" t="n">
        <v>-5</v>
      </c>
      <c r="BG1089" s="55" t="n">
        <v>26</v>
      </c>
      <c r="BH1089" s="54" t="n">
        <v>-193.5400000000001</v>
      </c>
      <c r="BI1089" s="55" t="n">
        <v>23</v>
      </c>
      <c r="BJ1089" s="53" t="inlineStr">
        <is>
          <t>SPGr</t>
        </is>
      </c>
      <c r="BK1089" s="58" t="n">
        <v>0</v>
      </c>
      <c r="BL1089" s="58" t="n">
        <v>1089</v>
      </c>
      <c r="BM1089" s="53">
        <f>IF(S1089&lt;&gt;"",UPPER(TRIM(S1089)),IF(O1089="","LOSE",O1089))</f>
        <v/>
      </c>
      <c r="BN1089" s="55">
        <f>IF(BM1089="LOSE",1,IF(N(T1089)&gt;0,T1089,IF(N(P1089)&gt;0,P1089,MAX(1,G1089))))</f>
        <v/>
      </c>
      <c r="BO1089" s="58">
        <f>IF(BM1089="LOSE",1,0)</f>
        <v/>
      </c>
      <c r="BP1089" s="64">
        <f>IF(BO1089=0,0,IF(N(R1089)&gt;0,R1089,IFERROR(VLOOKUP(D1089,Parameter!$A$35:$C$64,3,0)+0,0)))</f>
        <v/>
      </c>
      <c r="BQ1089" s="53">
        <f>IF(V1089&lt;&gt;"",V1089,U1089)</f>
        <v/>
      </c>
      <c r="BR1089" s="53">
        <f>IF(BQ1089=1,"L1",IF(OR(BQ1089=2,BQ1089=3),"L23",IF(BQ1089="Aussen","Aussen","-")))</f>
        <v/>
      </c>
      <c r="BS1089" s="66">
        <f>IF(N(W1089)&gt;0,W1089,0)</f>
        <v/>
      </c>
      <c r="BT1089" s="58">
        <f>IF(ISNUMBER(Z1089),1,0)</f>
        <v/>
      </c>
      <c r="BU1089" s="55">
        <f>N(Z1089)</f>
        <v/>
      </c>
      <c r="BV1089" s="55">
        <f>N(L1089)+N(M1089)</f>
        <v/>
      </c>
      <c r="BW1089" s="55">
        <f>ROUNDUP(G1089/BN1089,0)</f>
        <v/>
      </c>
      <c r="BX1089" s="55">
        <f>ROUNDUP(BU1089/BN1089,0)</f>
        <v/>
      </c>
      <c r="BY1089" s="58">
        <f>IF(BO1089=1,0,IFERROR(VLOOKUP(BM1089,'Gebinde-Kategorie'!$A$5:$G$45,5,0)+0,0))</f>
        <v/>
      </c>
      <c r="BZ1089" s="58">
        <f>IFERROR(IF(OR(BQ1089=1,BQ1089=2,BQ1089=3),N(INDEX(Parameter!$I$5:$I$7,BQ1089)),0),0)</f>
        <v/>
      </c>
    </row>
    <row r="1090">
      <c r="A1090" s="53" t="inlineStr">
        <is>
          <t>005449</t>
        </is>
      </c>
      <c r="B1090" s="53" t="inlineStr">
        <is>
          <t>Mutter-Klemmringsatz</t>
        </is>
      </c>
      <c r="C1090" s="53" t="inlineStr">
        <is>
          <t>F</t>
        </is>
      </c>
      <c r="D1090" s="53" t="inlineStr">
        <is>
          <t>KTL</t>
        </is>
      </c>
      <c r="E1090" s="53" t="inlineStr">
        <is>
          <t>C</t>
        </is>
      </c>
      <c r="F1090" s="54" t="n">
        <v>6.33</v>
      </c>
      <c r="G1090" s="55">
        <f>MAX(0,IF(Parameter!$B$20="Jahresanfang 2025 + Export",BG1090+BF1090,BF1090))</f>
        <v/>
      </c>
      <c r="H1090" s="55">
        <f>G1090*F1090</f>
        <v/>
      </c>
      <c r="I1090" s="55">
        <f>BI1090*Parameter!$B$18</f>
        <v/>
      </c>
      <c r="J1090" s="56" t="n">
        <v>66</v>
      </c>
      <c r="K1090" s="57" t="n">
        <v>0.3939393939393939</v>
      </c>
      <c r="L1090" s="55" t="n">
        <v>1</v>
      </c>
      <c r="M1090" s="55" t="n">
        <v>25</v>
      </c>
      <c r="N1090" s="58" t="n">
        <v>14</v>
      </c>
      <c r="O1090" s="53" t="inlineStr">
        <is>
          <t>S21</t>
        </is>
      </c>
      <c r="P1090" s="55" t="n">
        <v>46</v>
      </c>
      <c r="Q1090" s="59">
        <f>IF(BO1090=1,0,IFERROR(VLOOKUP(BM1090,'Gebinde-Kategorie'!$A$5:$G$45,6,0)+0,0))</f>
        <v/>
      </c>
      <c r="R1090" s="60" t="n"/>
      <c r="S1090" s="61" t="n"/>
      <c r="T1090" s="61" t="n"/>
      <c r="U1090" s="53">
        <f>IF(A1090="","",IF(IFERROR(VLOOKUP(D1090,Parameter!$A$35:$C$64,2,0),"Nein")="2+3",IF(ISNUMBER(SEARCH("grosser Artikel",BJ1090)),2,IFERROR(VLOOKUP(BM1090,Parameter!$F$35:$G$64,2,0),2)),IF(OR(IFERROR(VLOOKUP(D1090,Parameter!$A$35:$C$64,2,0),"Nein")="Nein",IFERROR(VLOOKUP(D1090,Parameter!$A$35:$C$64,2,0),"Nein")=""),"-",VLOOKUP(D1090,Parameter!$A$35:$C$64,2,0))))</f>
        <v/>
      </c>
      <c r="V1090" s="61" t="n"/>
      <c r="W1090" s="62" t="n"/>
      <c r="X1090" s="55">
        <f>AM1090</f>
        <v/>
      </c>
      <c r="Y1090" s="55">
        <f>MAX(AM1090,G1090)</f>
        <v/>
      </c>
      <c r="Z1090" s="63" t="n"/>
      <c r="AA1090" s="55">
        <f>IF(LEFT(Cockpit!$C$5,1)="A",G1090,IF(BT1090=1,BU1090,IF(LEFT(Cockpit!$C$5,1)="B",AE1090,MAX(AE1090,G1090))))</f>
        <v/>
      </c>
      <c r="AB1090" s="55">
        <f>IF(BO1090=1,0,ROUNDUP(AA1090/BN1090,0))</f>
        <v/>
      </c>
      <c r="AC1090" s="64">
        <f>IF(BO1090=1,IF(AA1090&lt;=0,0,BP1090*MAX(1,IF(G1090&gt;0,AA1090/G1090,1))),AB1090*Q1090)</f>
        <v/>
      </c>
      <c r="AD1090" s="55">
        <f>AA1090*F1090</f>
        <v/>
      </c>
      <c r="AE1090" s="55">
        <f>ROUNDUP(MAX(I1090/IF(BS1090&gt;0,BS1090,MAX(0.1,N(Cockpit!$C$6))),BV1090)/BN1090,0)*BN1090</f>
        <v/>
      </c>
      <c r="AF1090" s="56">
        <f>IF(AC1090&gt;0,I1090/AC1090,-1)</f>
        <v/>
      </c>
      <c r="AG1090" s="56">
        <f>IF(AND(OR(BR1090="L1",BR1090="L23"),AC1090&gt;0),SUMIFS($AC$7:$AC$1570,$BR$7:$BR$1570,BR1090,$AF$7:$AF$1570,"&gt;"&amp;AF1090)+SUMIFS($AC$7:$AC$1570,$BR$7:$BR$1570,BR1090,$AF$7:$AF$1570,AF1090,$BL$7:$BL$1570,"&lt;="&amp;BL1090),"")</f>
        <v/>
      </c>
      <c r="AH1090" s="65">
        <f>IF(AG1090="",0,MAX(0,MIN(1,(IF(BR1090="L1",Parameter!$K$5,Parameter!$K$6+Parameter!$K$7)-(AG1090-AC1090))/AC1090)))</f>
        <v/>
      </c>
      <c r="AI1090" s="55">
        <f>IF(LEFT(Cockpit!$I$5,1)="A",G1090,IF(BT1090=1,BU1090,IF(LEFT(Cockpit!$I$5,1)="B",AM1090,MAX(AM1090,G1090))))</f>
        <v/>
      </c>
      <c r="AJ1090" s="55">
        <f>IF(BO1090=1,0,ROUNDUP(AI1090/BN1090,0))</f>
        <v/>
      </c>
      <c r="AK1090" s="64">
        <f>IF(BO1090=1,IF(AI1090&lt;=0,0,BP1090*MAX(1,IF(G1090&gt;0,AI1090/G1090,1))),AJ1090*Q1090)</f>
        <v/>
      </c>
      <c r="AL1090" s="55">
        <f>AI1090*F1090</f>
        <v/>
      </c>
      <c r="AM1090" s="55">
        <f>ROUNDUP(MAX(I1090/IF(BS1090&gt;0,BS1090,MAX(0.1,N(Cockpit!$I$6))),BV1090)/BN1090,0)*BN1090</f>
        <v/>
      </c>
      <c r="AN1090" s="56">
        <f>IF(AK1090&gt;0,I1090/AK1090,-1)</f>
        <v/>
      </c>
      <c r="AO1090" s="56">
        <f>IF(AND(OR(BR1090="L1",BR1090="L23"),AK1090&gt;0),SUMIFS($AK$7:$AK$1570,$BR$7:$BR$1570,BR1090,$AN$7:$AN$1570,"&gt;"&amp;AN1090)+SUMIFS($AK$7:$AK$1570,$BR$7:$BR$1570,BR1090,$AN$7:$AN$1570,AN1090,$BL$7:$BL$1570,"&lt;="&amp;BL1090),"")</f>
        <v/>
      </c>
      <c r="AP1090" s="65">
        <f>IF(AO1090="",0,MAX(0,MIN(1,(IF(BR1090="L1",Parameter!$K$5,Parameter!$K$6+Parameter!$K$7)-(AO1090-AK1090))/AK1090)))</f>
        <v/>
      </c>
      <c r="AQ1090" s="55">
        <f>IF(LEFT(Cockpit!$O$5,1)="A",G1090,IF(BT1090=1,BU1090,IF(LEFT(Cockpit!$O$5,1)="B",AU1090,MAX(AU1090,G1090))))</f>
        <v/>
      </c>
      <c r="AR1090" s="55">
        <f>IF(BO1090=1,0,ROUNDUP(AQ1090/BN1090,0))</f>
        <v/>
      </c>
      <c r="AS1090" s="64">
        <f>IF(BO1090=1,IF(AQ1090&lt;=0,0,BP1090*MAX(1,IF(G1090&gt;0,AQ1090/G1090,1))),AR1090*Q1090)</f>
        <v/>
      </c>
      <c r="AT1090" s="55">
        <f>AQ1090*F1090</f>
        <v/>
      </c>
      <c r="AU1090" s="55">
        <f>ROUNDUP(MAX(I1090/IF(BS1090&gt;0,BS1090,MAX(0.1,N(Cockpit!$O$6))),BV1090)/BN1090,0)*BN1090</f>
        <v/>
      </c>
      <c r="AV1090" s="56">
        <f>IF(AS1090&gt;0,I1090/AS1090,-1)</f>
        <v/>
      </c>
      <c r="AW1090" s="56">
        <f>IF(AND(OR(BR1090="L1",BR1090="L23"),AS1090&gt;0),SUMIFS($AS$7:$AS$1570,$BR$7:$BR$1570,BR1090,$AV$7:$AV$1570,"&gt;"&amp;AV1090)+SUMIFS($AS$7:$AS$1570,$BR$7:$BR$1570,BR1090,$AV$7:$AV$1570,AV1090,$BL$7:$BL$1570,"&lt;="&amp;BL1090),"")</f>
        <v/>
      </c>
      <c r="AX1090" s="65">
        <f>IF(AW1090="",0,MAX(0,MIN(1,(IF(BR1090="L1",Parameter!$K$5,Parameter!$K$6+Parameter!$K$7)-(AW1090-AS1090))/AS1090)))</f>
        <v/>
      </c>
      <c r="AY1090" s="53">
        <f>IF(AC1090&lt;=0,"",IF(BR1090="Aussen","Aussenlager",IF(BR1090="-","Nicht im Lift",IF(AH1090&gt;=1,"Lift",IF(AH1090&lt;=0,"Aussenlager","teilweise")))))</f>
        <v/>
      </c>
      <c r="AZ1090" s="53">
        <f>IF(AK1090&lt;=0,"",IF(BR1090="Aussen","Aussenlager",IF(BR1090="-","Nicht im Lift",IF(AP1090&gt;=1,"Lift",IF(AP1090&lt;=0,"Aussenlager","teilweise")))))</f>
        <v/>
      </c>
      <c r="BA1090" s="53">
        <f>IF(AS1090&lt;=0,"",IF(BR1090="Aussen","Aussenlager",IF(BR1090="-","Nicht im Lift",IF(AX1090&gt;=1,"Lift",IF(AX1090&lt;=0,"Aussenlager","teilweise")))))</f>
        <v/>
      </c>
      <c r="BB1090" s="53">
        <f>IF(A1090="","",IF(BK1090=1,"Neu; ","")&amp;IF(AND(BK1090=0,BF1090&lt;0),"negativer Bestand (Export "&amp;BF1090&amp;"); ","")&amp;IF(I1090&lt;=0,"Kein Verbrauch; ","")&amp;IF(BO1090=1,"Lose – Fläche geschätzt; ","")&amp;IF(G1090&gt;AM1090,"Überbestand "&amp;ROUND(G1090-AM1090,0)&amp;" Stk / CHF "&amp;ROUND((G1090-AM1090)*F1090,0)&amp;"; ","")&amp;IF(AND(BT1090=1,BU1090&lt;BV1090),"MAX &lt; MB+LG; ","")&amp;IF(AND(BZ1090&gt;0,BY1090*10&gt;BZ1090),"zu hoch für Tablar; ","")&amp;IF(AND(BK1090=0,OR(BT1090=1,V1090&lt;&gt;"",S1090&lt;&gt;"",T1090&lt;&gt;"",W1090&lt;&gt;"")),"manuell übersteuert; ","")&amp;IF(AND(BO1090=0,Q1090=0),"Gebinde unbekannt; ","")&amp;IF(AND(BO1090=0,N(T1090)&lt;=0,N(P1090)&lt;=0),"Menge pro Gebinde fehlt (Ist = 1 Gebinde); ","")&amp;BJ1090)</f>
        <v/>
      </c>
      <c r="BC1090" s="53" t="n"/>
      <c r="BD1090" s="53" t="n"/>
      <c r="BE1090" s="61" t="n"/>
      <c r="BF1090" s="55" t="n">
        <v>-31</v>
      </c>
      <c r="BG1090" s="55" t="n">
        <v>79</v>
      </c>
      <c r="BH1090" s="54" t="n">
        <v>-196.23</v>
      </c>
      <c r="BI1090" s="55" t="n">
        <v>26</v>
      </c>
      <c r="BJ1090" s="53" t="inlineStr"/>
      <c r="BK1090" s="58" t="n">
        <v>0</v>
      </c>
      <c r="BL1090" s="58" t="n">
        <v>1090</v>
      </c>
      <c r="BM1090" s="53">
        <f>IF(S1090&lt;&gt;"",UPPER(TRIM(S1090)),IF(O1090="","LOSE",O1090))</f>
        <v/>
      </c>
      <c r="BN1090" s="55">
        <f>IF(BM1090="LOSE",1,IF(N(T1090)&gt;0,T1090,IF(N(P1090)&gt;0,P1090,MAX(1,G1090))))</f>
        <v/>
      </c>
      <c r="BO1090" s="58">
        <f>IF(BM1090="LOSE",1,0)</f>
        <v/>
      </c>
      <c r="BP1090" s="64">
        <f>IF(BO1090=0,0,IF(N(R1090)&gt;0,R1090,IFERROR(VLOOKUP(D1090,Parameter!$A$35:$C$64,3,0)+0,0)))</f>
        <v/>
      </c>
      <c r="BQ1090" s="53">
        <f>IF(V1090&lt;&gt;"",V1090,U1090)</f>
        <v/>
      </c>
      <c r="BR1090" s="53">
        <f>IF(BQ1090=1,"L1",IF(OR(BQ1090=2,BQ1090=3),"L23",IF(BQ1090="Aussen","Aussen","-")))</f>
        <v/>
      </c>
      <c r="BS1090" s="66">
        <f>IF(N(W1090)&gt;0,W1090,0)</f>
        <v/>
      </c>
      <c r="BT1090" s="58">
        <f>IF(ISNUMBER(Z1090),1,0)</f>
        <v/>
      </c>
      <c r="BU1090" s="55">
        <f>N(Z1090)</f>
        <v/>
      </c>
      <c r="BV1090" s="55">
        <f>N(L1090)+N(M1090)</f>
        <v/>
      </c>
      <c r="BW1090" s="55">
        <f>ROUNDUP(G1090/BN1090,0)</f>
        <v/>
      </c>
      <c r="BX1090" s="55">
        <f>ROUNDUP(BU1090/BN1090,0)</f>
        <v/>
      </c>
      <c r="BY1090" s="58">
        <f>IF(BO1090=1,0,IFERROR(VLOOKUP(BM1090,'Gebinde-Kategorie'!$A$5:$G$45,5,0)+0,0))</f>
        <v/>
      </c>
      <c r="BZ1090" s="58">
        <f>IFERROR(IF(OR(BQ1090=1,BQ1090=2,BQ1090=3),N(INDEX(Parameter!$I$5:$I$7,BQ1090)),0),0)</f>
        <v/>
      </c>
    </row>
    <row r="1091">
      <c r="A1091" s="53" t="inlineStr">
        <is>
          <t>108938</t>
        </is>
      </c>
      <c r="B1091" s="53" t="inlineStr">
        <is>
          <t>Markierungspunkt rot</t>
        </is>
      </c>
      <c r="C1091" s="53" t="inlineStr">
        <is>
          <t>F</t>
        </is>
      </c>
      <c r="D1091" s="53" t="inlineStr">
        <is>
          <t>KTL</t>
        </is>
      </c>
      <c r="E1091" s="53" t="inlineStr">
        <is>
          <t>C</t>
        </is>
      </c>
      <c r="F1091" s="54" t="n">
        <v>6.34</v>
      </c>
      <c r="G1091" s="55">
        <f>MAX(0,IF(Parameter!$B$20="Jahresanfang 2025 + Export",BG1091+BF1091,BF1091))</f>
        <v/>
      </c>
      <c r="H1091" s="55">
        <f>G1091*F1091</f>
        <v/>
      </c>
      <c r="I1091" s="55">
        <f>BI1091*Parameter!$B$18</f>
        <v/>
      </c>
      <c r="J1091" s="56" t="n">
        <v>108</v>
      </c>
      <c r="K1091" s="57" t="n">
        <v>0.1111111111111111</v>
      </c>
      <c r="L1091" s="55" t="n">
        <v>0</v>
      </c>
      <c r="M1091" s="55" t="n">
        <v>10</v>
      </c>
      <c r="N1091" s="58" t="n">
        <v>21</v>
      </c>
      <c r="O1091" s="53" t="inlineStr">
        <is>
          <t>LOSE</t>
        </is>
      </c>
      <c r="P1091" s="55" t="n"/>
      <c r="Q1091" s="59">
        <f>IF(BO1091=1,0,IFERROR(VLOOKUP(BM1091,'Gebinde-Kategorie'!$A$5:$G$45,6,0)+0,0))</f>
        <v/>
      </c>
      <c r="R1091" s="60" t="n"/>
      <c r="S1091" s="61" t="n"/>
      <c r="T1091" s="61" t="n"/>
      <c r="U1091" s="53">
        <f>IF(A1091="","",IF(IFERROR(VLOOKUP(D1091,Parameter!$A$35:$C$64,2,0),"Nein")="2+3",IF(ISNUMBER(SEARCH("grosser Artikel",BJ1091)),2,IFERROR(VLOOKUP(BM1091,Parameter!$F$35:$G$64,2,0),2)),IF(OR(IFERROR(VLOOKUP(D1091,Parameter!$A$35:$C$64,2,0),"Nein")="Nein",IFERROR(VLOOKUP(D1091,Parameter!$A$35:$C$64,2,0),"Nein")=""),"-",VLOOKUP(D1091,Parameter!$A$35:$C$64,2,0))))</f>
        <v/>
      </c>
      <c r="V1091" s="61" t="n"/>
      <c r="W1091" s="62" t="n"/>
      <c r="X1091" s="55">
        <f>AM1091</f>
        <v/>
      </c>
      <c r="Y1091" s="55">
        <f>MAX(AM1091,G1091)</f>
        <v/>
      </c>
      <c r="Z1091" s="63" t="n"/>
      <c r="AA1091" s="55">
        <f>IF(LEFT(Cockpit!$C$5,1)="A",G1091,IF(BT1091=1,BU1091,IF(LEFT(Cockpit!$C$5,1)="B",AE1091,MAX(AE1091,G1091))))</f>
        <v/>
      </c>
      <c r="AB1091" s="55">
        <f>IF(BO1091=1,0,ROUNDUP(AA1091/BN1091,0))</f>
        <v/>
      </c>
      <c r="AC1091" s="64">
        <f>IF(BO1091=1,IF(AA1091&lt;=0,0,BP1091*MAX(1,IF(G1091&gt;0,AA1091/G1091,1))),AB1091*Q1091)</f>
        <v/>
      </c>
      <c r="AD1091" s="55">
        <f>AA1091*F1091</f>
        <v/>
      </c>
      <c r="AE1091" s="55">
        <f>ROUNDUP(MAX(I1091/IF(BS1091&gt;0,BS1091,MAX(0.1,N(Cockpit!$C$6))),BV1091)/BN1091,0)*BN1091</f>
        <v/>
      </c>
      <c r="AF1091" s="56">
        <f>IF(AC1091&gt;0,I1091/AC1091,-1)</f>
        <v/>
      </c>
      <c r="AG1091" s="56">
        <f>IF(AND(OR(BR1091="L1",BR1091="L23"),AC1091&gt;0),SUMIFS($AC$7:$AC$1570,$BR$7:$BR$1570,BR1091,$AF$7:$AF$1570,"&gt;"&amp;AF1091)+SUMIFS($AC$7:$AC$1570,$BR$7:$BR$1570,BR1091,$AF$7:$AF$1570,AF1091,$BL$7:$BL$1570,"&lt;="&amp;BL1091),"")</f>
        <v/>
      </c>
      <c r="AH1091" s="65">
        <f>IF(AG1091="",0,MAX(0,MIN(1,(IF(BR1091="L1",Parameter!$K$5,Parameter!$K$6+Parameter!$K$7)-(AG1091-AC1091))/AC1091)))</f>
        <v/>
      </c>
      <c r="AI1091" s="55">
        <f>IF(LEFT(Cockpit!$I$5,1)="A",G1091,IF(BT1091=1,BU1091,IF(LEFT(Cockpit!$I$5,1)="B",AM1091,MAX(AM1091,G1091))))</f>
        <v/>
      </c>
      <c r="AJ1091" s="55">
        <f>IF(BO1091=1,0,ROUNDUP(AI1091/BN1091,0))</f>
        <v/>
      </c>
      <c r="AK1091" s="64">
        <f>IF(BO1091=1,IF(AI1091&lt;=0,0,BP1091*MAX(1,IF(G1091&gt;0,AI1091/G1091,1))),AJ1091*Q1091)</f>
        <v/>
      </c>
      <c r="AL1091" s="55">
        <f>AI1091*F1091</f>
        <v/>
      </c>
      <c r="AM1091" s="55">
        <f>ROUNDUP(MAX(I1091/IF(BS1091&gt;0,BS1091,MAX(0.1,N(Cockpit!$I$6))),BV1091)/BN1091,0)*BN1091</f>
        <v/>
      </c>
      <c r="AN1091" s="56">
        <f>IF(AK1091&gt;0,I1091/AK1091,-1)</f>
        <v/>
      </c>
      <c r="AO1091" s="56">
        <f>IF(AND(OR(BR1091="L1",BR1091="L23"),AK1091&gt;0),SUMIFS($AK$7:$AK$1570,$BR$7:$BR$1570,BR1091,$AN$7:$AN$1570,"&gt;"&amp;AN1091)+SUMIFS($AK$7:$AK$1570,$BR$7:$BR$1570,BR1091,$AN$7:$AN$1570,AN1091,$BL$7:$BL$1570,"&lt;="&amp;BL1091),"")</f>
        <v/>
      </c>
      <c r="AP1091" s="65">
        <f>IF(AO1091="",0,MAX(0,MIN(1,(IF(BR1091="L1",Parameter!$K$5,Parameter!$K$6+Parameter!$K$7)-(AO1091-AK1091))/AK1091)))</f>
        <v/>
      </c>
      <c r="AQ1091" s="55">
        <f>IF(LEFT(Cockpit!$O$5,1)="A",G1091,IF(BT1091=1,BU1091,IF(LEFT(Cockpit!$O$5,1)="B",AU1091,MAX(AU1091,G1091))))</f>
        <v/>
      </c>
      <c r="AR1091" s="55">
        <f>IF(BO1091=1,0,ROUNDUP(AQ1091/BN1091,0))</f>
        <v/>
      </c>
      <c r="AS1091" s="64">
        <f>IF(BO1091=1,IF(AQ1091&lt;=0,0,BP1091*MAX(1,IF(G1091&gt;0,AQ1091/G1091,1))),AR1091*Q1091)</f>
        <v/>
      </c>
      <c r="AT1091" s="55">
        <f>AQ1091*F1091</f>
        <v/>
      </c>
      <c r="AU1091" s="55">
        <f>ROUNDUP(MAX(I1091/IF(BS1091&gt;0,BS1091,MAX(0.1,N(Cockpit!$O$6))),BV1091)/BN1091,0)*BN1091</f>
        <v/>
      </c>
      <c r="AV1091" s="56">
        <f>IF(AS1091&gt;0,I1091/AS1091,-1)</f>
        <v/>
      </c>
      <c r="AW1091" s="56">
        <f>IF(AND(OR(BR1091="L1",BR1091="L23"),AS1091&gt;0),SUMIFS($AS$7:$AS$1570,$BR$7:$BR$1570,BR1091,$AV$7:$AV$1570,"&gt;"&amp;AV1091)+SUMIFS($AS$7:$AS$1570,$BR$7:$BR$1570,BR1091,$AV$7:$AV$1570,AV1091,$BL$7:$BL$1570,"&lt;="&amp;BL1091),"")</f>
        <v/>
      </c>
      <c r="AX1091" s="65">
        <f>IF(AW1091="",0,MAX(0,MIN(1,(IF(BR1091="L1",Parameter!$K$5,Parameter!$K$6+Parameter!$K$7)-(AW1091-AS1091))/AS1091)))</f>
        <v/>
      </c>
      <c r="AY1091" s="53">
        <f>IF(AC1091&lt;=0,"",IF(BR1091="Aussen","Aussenlager",IF(BR1091="-","Nicht im Lift",IF(AH1091&gt;=1,"Lift",IF(AH1091&lt;=0,"Aussenlager","teilweise")))))</f>
        <v/>
      </c>
      <c r="AZ1091" s="53">
        <f>IF(AK1091&lt;=0,"",IF(BR1091="Aussen","Aussenlager",IF(BR1091="-","Nicht im Lift",IF(AP1091&gt;=1,"Lift",IF(AP1091&lt;=0,"Aussenlager","teilweise")))))</f>
        <v/>
      </c>
      <c r="BA1091" s="53">
        <f>IF(AS1091&lt;=0,"",IF(BR1091="Aussen","Aussenlager",IF(BR1091="-","Nicht im Lift",IF(AX1091&gt;=1,"Lift",IF(AX1091&lt;=0,"Aussenlager","teilweise")))))</f>
        <v/>
      </c>
      <c r="BB1091" s="53">
        <f>IF(A1091="","",IF(BK1091=1,"Neu; ","")&amp;IF(AND(BK1091=0,BF1091&lt;0),"negativer Bestand (Export "&amp;BF1091&amp;"); ","")&amp;IF(I1091&lt;=0,"Kein Verbrauch; ","")&amp;IF(BO1091=1,"Lose – Fläche geschätzt; ","")&amp;IF(G1091&gt;AM1091,"Überbestand "&amp;ROUND(G1091-AM1091,0)&amp;" Stk / CHF "&amp;ROUND((G1091-AM1091)*F1091,0)&amp;"; ","")&amp;IF(AND(BT1091=1,BU1091&lt;BV1091),"MAX &lt; MB+LG; ","")&amp;IF(AND(BZ1091&gt;0,BY1091*10&gt;BZ1091),"zu hoch für Tablar; ","")&amp;IF(AND(BK1091=0,OR(BT1091=1,V1091&lt;&gt;"",S1091&lt;&gt;"",T1091&lt;&gt;"",W1091&lt;&gt;"")),"manuell übersteuert; ","")&amp;IF(AND(BO1091=0,Q1091=0),"Gebinde unbekannt; ","")&amp;IF(AND(BO1091=0,N(T1091)&lt;=0,N(P1091)&lt;=0),"Menge pro Gebinde fehlt (Ist = 1 Gebinde); ","")&amp;BJ1091)</f>
        <v/>
      </c>
      <c r="BC1091" s="53" t="n"/>
      <c r="BD1091" s="53" t="n"/>
      <c r="BE1091" s="61" t="n"/>
      <c r="BF1091" s="55" t="n">
        <v>-31</v>
      </c>
      <c r="BG1091" s="55" t="n">
        <v>117</v>
      </c>
      <c r="BH1091" s="54" t="n">
        <v>-196.54</v>
      </c>
      <c r="BI1091" s="55" t="n">
        <v>12</v>
      </c>
      <c r="BJ1091" s="53" t="inlineStr"/>
      <c r="BK1091" s="58" t="n">
        <v>0</v>
      </c>
      <c r="BL1091" s="58" t="n">
        <v>1091</v>
      </c>
      <c r="BM1091" s="53">
        <f>IF(S1091&lt;&gt;"",UPPER(TRIM(S1091)),IF(O1091="","LOSE",O1091))</f>
        <v/>
      </c>
      <c r="BN1091" s="55">
        <f>IF(BM1091="LOSE",1,IF(N(T1091)&gt;0,T1091,IF(N(P1091)&gt;0,P1091,MAX(1,G1091))))</f>
        <v/>
      </c>
      <c r="BO1091" s="58">
        <f>IF(BM1091="LOSE",1,0)</f>
        <v/>
      </c>
      <c r="BP1091" s="64">
        <f>IF(BO1091=0,0,IF(N(R1091)&gt;0,R1091,IFERROR(VLOOKUP(D1091,Parameter!$A$35:$C$64,3,0)+0,0)))</f>
        <v/>
      </c>
      <c r="BQ1091" s="53">
        <f>IF(V1091&lt;&gt;"",V1091,U1091)</f>
        <v/>
      </c>
      <c r="BR1091" s="53">
        <f>IF(BQ1091=1,"L1",IF(OR(BQ1091=2,BQ1091=3),"L23",IF(BQ1091="Aussen","Aussen","-")))</f>
        <v/>
      </c>
      <c r="BS1091" s="66">
        <f>IF(N(W1091)&gt;0,W1091,0)</f>
        <v/>
      </c>
      <c r="BT1091" s="58">
        <f>IF(ISNUMBER(Z1091),1,0)</f>
        <v/>
      </c>
      <c r="BU1091" s="55">
        <f>N(Z1091)</f>
        <v/>
      </c>
      <c r="BV1091" s="55">
        <f>N(L1091)+N(M1091)</f>
        <v/>
      </c>
      <c r="BW1091" s="55">
        <f>ROUNDUP(G1091/BN1091,0)</f>
        <v/>
      </c>
      <c r="BX1091" s="55">
        <f>ROUNDUP(BU1091/BN1091,0)</f>
        <v/>
      </c>
      <c r="BY1091" s="58">
        <f>IF(BO1091=1,0,IFERROR(VLOOKUP(BM1091,'Gebinde-Kategorie'!$A$5:$G$45,5,0)+0,0))</f>
        <v/>
      </c>
      <c r="BZ1091" s="58">
        <f>IFERROR(IF(OR(BQ1091=1,BQ1091=2,BQ1091=3),N(INDEX(Parameter!$I$5:$I$7,BQ1091)),0),0)</f>
        <v/>
      </c>
    </row>
    <row r="1092">
      <c r="A1092" s="53" t="inlineStr">
        <is>
          <t>001128</t>
        </is>
      </c>
      <c r="B1092" s="53" t="inlineStr">
        <is>
          <t>Holzschraube</t>
        </is>
      </c>
      <c r="C1092" s="53" t="inlineStr">
        <is>
          <t>F</t>
        </is>
      </c>
      <c r="D1092" s="53" t="inlineStr">
        <is>
          <t>KTL</t>
        </is>
      </c>
      <c r="E1092" s="53" t="inlineStr">
        <is>
          <t>C</t>
        </is>
      </c>
      <c r="F1092" s="54" t="n">
        <v>0.27</v>
      </c>
      <c r="G1092" s="55">
        <f>MAX(0,IF(Parameter!$B$20="Jahresanfang 2025 + Export",BG1092+BF1092,BF1092))</f>
        <v/>
      </c>
      <c r="H1092" s="55">
        <f>G1092*F1092</f>
        <v/>
      </c>
      <c r="I1092" s="55">
        <f>BI1092*Parameter!$B$18</f>
        <v/>
      </c>
      <c r="J1092" s="56" t="n">
        <v>367.5</v>
      </c>
      <c r="K1092" s="57" t="n">
        <v>2</v>
      </c>
      <c r="L1092" s="55" t="n">
        <v>0</v>
      </c>
      <c r="M1092" s="55" t="n">
        <v>100</v>
      </c>
      <c r="N1092" s="58" t="n">
        <v>14</v>
      </c>
      <c r="O1092" s="53" t="inlineStr">
        <is>
          <t>LOSE</t>
        </is>
      </c>
      <c r="P1092" s="55" t="n"/>
      <c r="Q1092" s="59">
        <f>IF(BO1092=1,0,IFERROR(VLOOKUP(BM1092,'Gebinde-Kategorie'!$A$5:$G$45,6,0)+0,0))</f>
        <v/>
      </c>
      <c r="R1092" s="60" t="n"/>
      <c r="S1092" s="61" t="n"/>
      <c r="T1092" s="61" t="n"/>
      <c r="U1092" s="53">
        <f>IF(A1092="","",IF(IFERROR(VLOOKUP(D1092,Parameter!$A$35:$C$64,2,0),"Nein")="2+3",IF(ISNUMBER(SEARCH("grosser Artikel",BJ1092)),2,IFERROR(VLOOKUP(BM1092,Parameter!$F$35:$G$64,2,0),2)),IF(OR(IFERROR(VLOOKUP(D1092,Parameter!$A$35:$C$64,2,0),"Nein")="Nein",IFERROR(VLOOKUP(D1092,Parameter!$A$35:$C$64,2,0),"Nein")=""),"-",VLOOKUP(D1092,Parameter!$A$35:$C$64,2,0))))</f>
        <v/>
      </c>
      <c r="V1092" s="61" t="n"/>
      <c r="W1092" s="62" t="n"/>
      <c r="X1092" s="55">
        <f>AM1092</f>
        <v/>
      </c>
      <c r="Y1092" s="55">
        <f>MAX(AM1092,G1092)</f>
        <v/>
      </c>
      <c r="Z1092" s="63" t="n"/>
      <c r="AA1092" s="55">
        <f>IF(LEFT(Cockpit!$C$5,1)="A",G1092,IF(BT1092=1,BU1092,IF(LEFT(Cockpit!$C$5,1)="B",AE1092,MAX(AE1092,G1092))))</f>
        <v/>
      </c>
      <c r="AB1092" s="55">
        <f>IF(BO1092=1,0,ROUNDUP(AA1092/BN1092,0))</f>
        <v/>
      </c>
      <c r="AC1092" s="64">
        <f>IF(BO1092=1,IF(AA1092&lt;=0,0,BP1092*MAX(1,IF(G1092&gt;0,AA1092/G1092,1))),AB1092*Q1092)</f>
        <v/>
      </c>
      <c r="AD1092" s="55">
        <f>AA1092*F1092</f>
        <v/>
      </c>
      <c r="AE1092" s="55">
        <f>ROUNDUP(MAX(I1092/IF(BS1092&gt;0,BS1092,MAX(0.1,N(Cockpit!$C$6))),BV1092)/BN1092,0)*BN1092</f>
        <v/>
      </c>
      <c r="AF1092" s="56">
        <f>IF(AC1092&gt;0,I1092/AC1092,-1)</f>
        <v/>
      </c>
      <c r="AG1092" s="56">
        <f>IF(AND(OR(BR1092="L1",BR1092="L23"),AC1092&gt;0),SUMIFS($AC$7:$AC$1570,$BR$7:$BR$1570,BR1092,$AF$7:$AF$1570,"&gt;"&amp;AF1092)+SUMIFS($AC$7:$AC$1570,$BR$7:$BR$1570,BR1092,$AF$7:$AF$1570,AF1092,$BL$7:$BL$1570,"&lt;="&amp;BL1092),"")</f>
        <v/>
      </c>
      <c r="AH1092" s="65">
        <f>IF(AG1092="",0,MAX(0,MIN(1,(IF(BR1092="L1",Parameter!$K$5,Parameter!$K$6+Parameter!$K$7)-(AG1092-AC1092))/AC1092)))</f>
        <v/>
      </c>
      <c r="AI1092" s="55">
        <f>IF(LEFT(Cockpit!$I$5,1)="A",G1092,IF(BT1092=1,BU1092,IF(LEFT(Cockpit!$I$5,1)="B",AM1092,MAX(AM1092,G1092))))</f>
        <v/>
      </c>
      <c r="AJ1092" s="55">
        <f>IF(BO1092=1,0,ROUNDUP(AI1092/BN1092,0))</f>
        <v/>
      </c>
      <c r="AK1092" s="64">
        <f>IF(BO1092=1,IF(AI1092&lt;=0,0,BP1092*MAX(1,IF(G1092&gt;0,AI1092/G1092,1))),AJ1092*Q1092)</f>
        <v/>
      </c>
      <c r="AL1092" s="55">
        <f>AI1092*F1092</f>
        <v/>
      </c>
      <c r="AM1092" s="55">
        <f>ROUNDUP(MAX(I1092/IF(BS1092&gt;0,BS1092,MAX(0.1,N(Cockpit!$I$6))),BV1092)/BN1092,0)*BN1092</f>
        <v/>
      </c>
      <c r="AN1092" s="56">
        <f>IF(AK1092&gt;0,I1092/AK1092,-1)</f>
        <v/>
      </c>
      <c r="AO1092" s="56">
        <f>IF(AND(OR(BR1092="L1",BR1092="L23"),AK1092&gt;0),SUMIFS($AK$7:$AK$1570,$BR$7:$BR$1570,BR1092,$AN$7:$AN$1570,"&gt;"&amp;AN1092)+SUMIFS($AK$7:$AK$1570,$BR$7:$BR$1570,BR1092,$AN$7:$AN$1570,AN1092,$BL$7:$BL$1570,"&lt;="&amp;BL1092),"")</f>
        <v/>
      </c>
      <c r="AP1092" s="65">
        <f>IF(AO1092="",0,MAX(0,MIN(1,(IF(BR1092="L1",Parameter!$K$5,Parameter!$K$6+Parameter!$K$7)-(AO1092-AK1092))/AK1092)))</f>
        <v/>
      </c>
      <c r="AQ1092" s="55">
        <f>IF(LEFT(Cockpit!$O$5,1)="A",G1092,IF(BT1092=1,BU1092,IF(LEFT(Cockpit!$O$5,1)="B",AU1092,MAX(AU1092,G1092))))</f>
        <v/>
      </c>
      <c r="AR1092" s="55">
        <f>IF(BO1092=1,0,ROUNDUP(AQ1092/BN1092,0))</f>
        <v/>
      </c>
      <c r="AS1092" s="64">
        <f>IF(BO1092=1,IF(AQ1092&lt;=0,0,BP1092*MAX(1,IF(G1092&gt;0,AQ1092/G1092,1))),AR1092*Q1092)</f>
        <v/>
      </c>
      <c r="AT1092" s="55">
        <f>AQ1092*F1092</f>
        <v/>
      </c>
      <c r="AU1092" s="55">
        <f>ROUNDUP(MAX(I1092/IF(BS1092&gt;0,BS1092,MAX(0.1,N(Cockpit!$O$6))),BV1092)/BN1092,0)*BN1092</f>
        <v/>
      </c>
      <c r="AV1092" s="56">
        <f>IF(AS1092&gt;0,I1092/AS1092,-1)</f>
        <v/>
      </c>
      <c r="AW1092" s="56">
        <f>IF(AND(OR(BR1092="L1",BR1092="L23"),AS1092&gt;0),SUMIFS($AS$7:$AS$1570,$BR$7:$BR$1570,BR1092,$AV$7:$AV$1570,"&gt;"&amp;AV1092)+SUMIFS($AS$7:$AS$1570,$BR$7:$BR$1570,BR1092,$AV$7:$AV$1570,AV1092,$BL$7:$BL$1570,"&lt;="&amp;BL1092),"")</f>
        <v/>
      </c>
      <c r="AX1092" s="65">
        <f>IF(AW1092="",0,MAX(0,MIN(1,(IF(BR1092="L1",Parameter!$K$5,Parameter!$K$6+Parameter!$K$7)-(AW1092-AS1092))/AS1092)))</f>
        <v/>
      </c>
      <c r="AY1092" s="53">
        <f>IF(AC1092&lt;=0,"",IF(BR1092="Aussen","Aussenlager",IF(BR1092="-","Nicht im Lift",IF(AH1092&gt;=1,"Lift",IF(AH1092&lt;=0,"Aussenlager","teilweise")))))</f>
        <v/>
      </c>
      <c r="AZ1092" s="53">
        <f>IF(AK1092&lt;=0,"",IF(BR1092="Aussen","Aussenlager",IF(BR1092="-","Nicht im Lift",IF(AP1092&gt;=1,"Lift",IF(AP1092&lt;=0,"Aussenlager","teilweise")))))</f>
        <v/>
      </c>
      <c r="BA1092" s="53">
        <f>IF(AS1092&lt;=0,"",IF(BR1092="Aussen","Aussenlager",IF(BR1092="-","Nicht im Lift",IF(AX1092&gt;=1,"Lift",IF(AX1092&lt;=0,"Aussenlager","teilweise")))))</f>
        <v/>
      </c>
      <c r="BB1092" s="53">
        <f>IF(A1092="","",IF(BK1092=1,"Neu; ","")&amp;IF(AND(BK1092=0,BF1092&lt;0),"negativer Bestand (Export "&amp;BF1092&amp;"); ","")&amp;IF(I1092&lt;=0,"Kein Verbrauch; ","")&amp;IF(BO1092=1,"Lose – Fläche geschätzt; ","")&amp;IF(G1092&gt;AM1092,"Überbestand "&amp;ROUND(G1092-AM1092,0)&amp;" Stk / CHF "&amp;ROUND((G1092-AM1092)*F1092,0)&amp;"; ","")&amp;IF(AND(BT1092=1,BU1092&lt;BV1092),"MAX &lt; MB+LG; ","")&amp;IF(AND(BZ1092&gt;0,BY1092*10&gt;BZ1092),"zu hoch für Tablar; ","")&amp;IF(AND(BK1092=0,OR(BT1092=1,V1092&lt;&gt;"",S1092&lt;&gt;"",T1092&lt;&gt;"",W1092&lt;&gt;"")),"manuell übersteuert; ","")&amp;IF(AND(BO1092=0,Q1092=0),"Gebinde unbekannt; ","")&amp;IF(AND(BO1092=0,N(T1092)&lt;=0,N(P1092)&lt;=0),"Menge pro Gebinde fehlt (Ist = 1 Gebinde); ","")&amp;BJ1092)</f>
        <v/>
      </c>
      <c r="BC1092" s="53" t="n"/>
      <c r="BD1092" s="53" t="n"/>
      <c r="BE1092" s="61" t="n"/>
      <c r="BF1092" s="55" t="n">
        <v>-735</v>
      </c>
      <c r="BG1092" s="55" t="n">
        <v>735</v>
      </c>
      <c r="BH1092" s="54" t="n">
        <v>-198.45</v>
      </c>
      <c r="BI1092" s="55" t="n">
        <v>735</v>
      </c>
      <c r="BJ1092" s="53" t="inlineStr"/>
      <c r="BK1092" s="58" t="n">
        <v>0</v>
      </c>
      <c r="BL1092" s="58" t="n">
        <v>1092</v>
      </c>
      <c r="BM1092" s="53">
        <f>IF(S1092&lt;&gt;"",UPPER(TRIM(S1092)),IF(O1092="","LOSE",O1092))</f>
        <v/>
      </c>
      <c r="BN1092" s="55">
        <f>IF(BM1092="LOSE",1,IF(N(T1092)&gt;0,T1092,IF(N(P1092)&gt;0,P1092,MAX(1,G1092))))</f>
        <v/>
      </c>
      <c r="BO1092" s="58">
        <f>IF(BM1092="LOSE",1,0)</f>
        <v/>
      </c>
      <c r="BP1092" s="64">
        <f>IF(BO1092=0,0,IF(N(R1092)&gt;0,R1092,IFERROR(VLOOKUP(D1092,Parameter!$A$35:$C$64,3,0)+0,0)))</f>
        <v/>
      </c>
      <c r="BQ1092" s="53">
        <f>IF(V1092&lt;&gt;"",V1092,U1092)</f>
        <v/>
      </c>
      <c r="BR1092" s="53">
        <f>IF(BQ1092=1,"L1",IF(OR(BQ1092=2,BQ1092=3),"L23",IF(BQ1092="Aussen","Aussen","-")))</f>
        <v/>
      </c>
      <c r="BS1092" s="66">
        <f>IF(N(W1092)&gt;0,W1092,0)</f>
        <v/>
      </c>
      <c r="BT1092" s="58">
        <f>IF(ISNUMBER(Z1092),1,0)</f>
        <v/>
      </c>
      <c r="BU1092" s="55">
        <f>N(Z1092)</f>
        <v/>
      </c>
      <c r="BV1092" s="55">
        <f>N(L1092)+N(M1092)</f>
        <v/>
      </c>
      <c r="BW1092" s="55">
        <f>ROUNDUP(G1092/BN1092,0)</f>
        <v/>
      </c>
      <c r="BX1092" s="55">
        <f>ROUNDUP(BU1092/BN1092,0)</f>
        <v/>
      </c>
      <c r="BY1092" s="58">
        <f>IF(BO1092=1,0,IFERROR(VLOOKUP(BM1092,'Gebinde-Kategorie'!$A$5:$G$45,5,0)+0,0))</f>
        <v/>
      </c>
      <c r="BZ1092" s="58">
        <f>IFERROR(IF(OR(BQ1092=1,BQ1092=2,BQ1092=3),N(INDEX(Parameter!$I$5:$I$7,BQ1092)),0),0)</f>
        <v/>
      </c>
    </row>
    <row r="1093">
      <c r="A1093" s="53" t="inlineStr">
        <is>
          <t>108070</t>
        </is>
      </c>
      <c r="B1093" s="53" t="inlineStr">
        <is>
          <t>Sicherheitsventil 2. Stufe AC260</t>
        </is>
      </c>
      <c r="C1093" s="53" t="inlineStr">
        <is>
          <t>F</t>
        </is>
      </c>
      <c r="D1093" s="53" t="inlineStr">
        <is>
          <t>KTL</t>
        </is>
      </c>
      <c r="E1093" s="53" t="inlineStr">
        <is>
          <t>C</t>
        </is>
      </c>
      <c r="F1093" s="54" t="n">
        <v>74.34</v>
      </c>
      <c r="G1093" s="55">
        <f>MAX(0,IF(Parameter!$B$20="Jahresanfang 2025 + Export",BG1093+BF1093,BF1093))</f>
        <v/>
      </c>
      <c r="H1093" s="55">
        <f>G1093*F1093</f>
        <v/>
      </c>
      <c r="I1093" s="55">
        <f>BI1093*Parameter!$B$18</f>
        <v/>
      </c>
      <c r="J1093" s="56" t="n">
        <v>5</v>
      </c>
      <c r="K1093" s="57" t="n">
        <v>0.8</v>
      </c>
      <c r="L1093" s="55" t="n">
        <v>0</v>
      </c>
      <c r="M1093" s="55" t="n">
        <v>5</v>
      </c>
      <c r="N1093" s="58" t="n">
        <v>21</v>
      </c>
      <c r="O1093" s="53" t="inlineStr">
        <is>
          <t>S32</t>
        </is>
      </c>
      <c r="P1093" s="55" t="n">
        <v>4</v>
      </c>
      <c r="Q1093" s="59">
        <f>IF(BO1093=1,0,IFERROR(VLOOKUP(BM1093,'Gebinde-Kategorie'!$A$5:$G$45,6,0)+0,0))</f>
        <v/>
      </c>
      <c r="R1093" s="60" t="n"/>
      <c r="S1093" s="61" t="n"/>
      <c r="T1093" s="61" t="n"/>
      <c r="U1093" s="53">
        <f>IF(A1093="","",IF(IFERROR(VLOOKUP(D1093,Parameter!$A$35:$C$64,2,0),"Nein")="2+3",IF(ISNUMBER(SEARCH("grosser Artikel",BJ1093)),2,IFERROR(VLOOKUP(BM1093,Parameter!$F$35:$G$64,2,0),2)),IF(OR(IFERROR(VLOOKUP(D1093,Parameter!$A$35:$C$64,2,0),"Nein")="Nein",IFERROR(VLOOKUP(D1093,Parameter!$A$35:$C$64,2,0),"Nein")=""),"-",VLOOKUP(D1093,Parameter!$A$35:$C$64,2,0))))</f>
        <v/>
      </c>
      <c r="V1093" s="61" t="n"/>
      <c r="W1093" s="62" t="n"/>
      <c r="X1093" s="55">
        <f>AM1093</f>
        <v/>
      </c>
      <c r="Y1093" s="55">
        <f>MAX(AM1093,G1093)</f>
        <v/>
      </c>
      <c r="Z1093" s="63" t="n"/>
      <c r="AA1093" s="55">
        <f>IF(LEFT(Cockpit!$C$5,1)="A",G1093,IF(BT1093=1,BU1093,IF(LEFT(Cockpit!$C$5,1)="B",AE1093,MAX(AE1093,G1093))))</f>
        <v/>
      </c>
      <c r="AB1093" s="55">
        <f>IF(BO1093=1,0,ROUNDUP(AA1093/BN1093,0))</f>
        <v/>
      </c>
      <c r="AC1093" s="64">
        <f>IF(BO1093=1,IF(AA1093&lt;=0,0,BP1093*MAX(1,IF(G1093&gt;0,AA1093/G1093,1))),AB1093*Q1093)</f>
        <v/>
      </c>
      <c r="AD1093" s="55">
        <f>AA1093*F1093</f>
        <v/>
      </c>
      <c r="AE1093" s="55">
        <f>ROUNDUP(MAX(I1093/IF(BS1093&gt;0,BS1093,MAX(0.1,N(Cockpit!$C$6))),BV1093)/BN1093,0)*BN1093</f>
        <v/>
      </c>
      <c r="AF1093" s="56">
        <f>IF(AC1093&gt;0,I1093/AC1093,-1)</f>
        <v/>
      </c>
      <c r="AG1093" s="56">
        <f>IF(AND(OR(BR1093="L1",BR1093="L23"),AC1093&gt;0),SUMIFS($AC$7:$AC$1570,$BR$7:$BR$1570,BR1093,$AF$7:$AF$1570,"&gt;"&amp;AF1093)+SUMIFS($AC$7:$AC$1570,$BR$7:$BR$1570,BR1093,$AF$7:$AF$1570,AF1093,$BL$7:$BL$1570,"&lt;="&amp;BL1093),"")</f>
        <v/>
      </c>
      <c r="AH1093" s="65">
        <f>IF(AG1093="",0,MAX(0,MIN(1,(IF(BR1093="L1",Parameter!$K$5,Parameter!$K$6+Parameter!$K$7)-(AG1093-AC1093))/AC1093)))</f>
        <v/>
      </c>
      <c r="AI1093" s="55">
        <f>IF(LEFT(Cockpit!$I$5,1)="A",G1093,IF(BT1093=1,BU1093,IF(LEFT(Cockpit!$I$5,1)="B",AM1093,MAX(AM1093,G1093))))</f>
        <v/>
      </c>
      <c r="AJ1093" s="55">
        <f>IF(BO1093=1,0,ROUNDUP(AI1093/BN1093,0))</f>
        <v/>
      </c>
      <c r="AK1093" s="64">
        <f>IF(BO1093=1,IF(AI1093&lt;=0,0,BP1093*MAX(1,IF(G1093&gt;0,AI1093/G1093,1))),AJ1093*Q1093)</f>
        <v/>
      </c>
      <c r="AL1093" s="55">
        <f>AI1093*F1093</f>
        <v/>
      </c>
      <c r="AM1093" s="55">
        <f>ROUNDUP(MAX(I1093/IF(BS1093&gt;0,BS1093,MAX(0.1,N(Cockpit!$I$6))),BV1093)/BN1093,0)*BN1093</f>
        <v/>
      </c>
      <c r="AN1093" s="56">
        <f>IF(AK1093&gt;0,I1093/AK1093,-1)</f>
        <v/>
      </c>
      <c r="AO1093" s="56">
        <f>IF(AND(OR(BR1093="L1",BR1093="L23"),AK1093&gt;0),SUMIFS($AK$7:$AK$1570,$BR$7:$BR$1570,BR1093,$AN$7:$AN$1570,"&gt;"&amp;AN1093)+SUMIFS($AK$7:$AK$1570,$BR$7:$BR$1570,BR1093,$AN$7:$AN$1570,AN1093,$BL$7:$BL$1570,"&lt;="&amp;BL1093),"")</f>
        <v/>
      </c>
      <c r="AP1093" s="65">
        <f>IF(AO1093="",0,MAX(0,MIN(1,(IF(BR1093="L1",Parameter!$K$5,Parameter!$K$6+Parameter!$K$7)-(AO1093-AK1093))/AK1093)))</f>
        <v/>
      </c>
      <c r="AQ1093" s="55">
        <f>IF(LEFT(Cockpit!$O$5,1)="A",G1093,IF(BT1093=1,BU1093,IF(LEFT(Cockpit!$O$5,1)="B",AU1093,MAX(AU1093,G1093))))</f>
        <v/>
      </c>
      <c r="AR1093" s="55">
        <f>IF(BO1093=1,0,ROUNDUP(AQ1093/BN1093,0))</f>
        <v/>
      </c>
      <c r="AS1093" s="64">
        <f>IF(BO1093=1,IF(AQ1093&lt;=0,0,BP1093*MAX(1,IF(G1093&gt;0,AQ1093/G1093,1))),AR1093*Q1093)</f>
        <v/>
      </c>
      <c r="AT1093" s="55">
        <f>AQ1093*F1093</f>
        <v/>
      </c>
      <c r="AU1093" s="55">
        <f>ROUNDUP(MAX(I1093/IF(BS1093&gt;0,BS1093,MAX(0.1,N(Cockpit!$O$6))),BV1093)/BN1093,0)*BN1093</f>
        <v/>
      </c>
      <c r="AV1093" s="56">
        <f>IF(AS1093&gt;0,I1093/AS1093,-1)</f>
        <v/>
      </c>
      <c r="AW1093" s="56">
        <f>IF(AND(OR(BR1093="L1",BR1093="L23"),AS1093&gt;0),SUMIFS($AS$7:$AS$1570,$BR$7:$BR$1570,BR1093,$AV$7:$AV$1570,"&gt;"&amp;AV1093)+SUMIFS($AS$7:$AS$1570,$BR$7:$BR$1570,BR1093,$AV$7:$AV$1570,AV1093,$BL$7:$BL$1570,"&lt;="&amp;BL1093),"")</f>
        <v/>
      </c>
      <c r="AX1093" s="65">
        <f>IF(AW1093="",0,MAX(0,MIN(1,(IF(BR1093="L1",Parameter!$K$5,Parameter!$K$6+Parameter!$K$7)-(AW1093-AS1093))/AS1093)))</f>
        <v/>
      </c>
      <c r="AY1093" s="53">
        <f>IF(AC1093&lt;=0,"",IF(BR1093="Aussen","Aussenlager",IF(BR1093="-","Nicht im Lift",IF(AH1093&gt;=1,"Lift",IF(AH1093&lt;=0,"Aussenlager","teilweise")))))</f>
        <v/>
      </c>
      <c r="AZ1093" s="53">
        <f>IF(AK1093&lt;=0,"",IF(BR1093="Aussen","Aussenlager",IF(BR1093="-","Nicht im Lift",IF(AP1093&gt;=1,"Lift",IF(AP1093&lt;=0,"Aussenlager","teilweise")))))</f>
        <v/>
      </c>
      <c r="BA1093" s="53">
        <f>IF(AS1093&lt;=0,"",IF(BR1093="Aussen","Aussenlager",IF(BR1093="-","Nicht im Lift",IF(AX1093&gt;=1,"Lift",IF(AX1093&lt;=0,"Aussenlager","teilweise")))))</f>
        <v/>
      </c>
      <c r="BB1093" s="53">
        <f>IF(A1093="","",IF(BK1093=1,"Neu; ","")&amp;IF(AND(BK1093=0,BF1093&lt;0),"negativer Bestand (Export "&amp;BF1093&amp;"); ","")&amp;IF(I1093&lt;=0,"Kein Verbrauch; ","")&amp;IF(BO1093=1,"Lose – Fläche geschätzt; ","")&amp;IF(G1093&gt;AM1093,"Überbestand "&amp;ROUND(G1093-AM1093,0)&amp;" Stk / CHF "&amp;ROUND((G1093-AM1093)*F1093,0)&amp;"; ","")&amp;IF(AND(BT1093=1,BU1093&lt;BV1093),"MAX &lt; MB+LG; ","")&amp;IF(AND(BZ1093&gt;0,BY1093*10&gt;BZ1093),"zu hoch für Tablar; ","")&amp;IF(AND(BK1093=0,OR(BT1093=1,V1093&lt;&gt;"",S1093&lt;&gt;"",T1093&lt;&gt;"",W1093&lt;&gt;"")),"manuell übersteuert; ","")&amp;IF(AND(BO1093=0,Q1093=0),"Gebinde unbekannt; ","")&amp;IF(AND(BO1093=0,N(T1093)&lt;=0,N(P1093)&lt;=0),"Menge pro Gebinde fehlt (Ist = 1 Gebinde); ","")&amp;BJ1093)</f>
        <v/>
      </c>
      <c r="BC1093" s="53" t="n"/>
      <c r="BD1093" s="53" t="n"/>
      <c r="BE1093" s="61" t="n"/>
      <c r="BF1093" s="55" t="n">
        <v>-3</v>
      </c>
      <c r="BG1093" s="55" t="n">
        <v>7</v>
      </c>
      <c r="BH1093" s="54" t="n">
        <v>-199.4299999999999</v>
      </c>
      <c r="BI1093" s="55" t="n">
        <v>4</v>
      </c>
      <c r="BJ1093" s="53" t="inlineStr">
        <is>
          <t>Neu</t>
        </is>
      </c>
      <c r="BK1093" s="58" t="n">
        <v>0</v>
      </c>
      <c r="BL1093" s="58" t="n">
        <v>1093</v>
      </c>
      <c r="BM1093" s="53">
        <f>IF(S1093&lt;&gt;"",UPPER(TRIM(S1093)),IF(O1093="","LOSE",O1093))</f>
        <v/>
      </c>
      <c r="BN1093" s="55">
        <f>IF(BM1093="LOSE",1,IF(N(T1093)&gt;0,T1093,IF(N(P1093)&gt;0,P1093,MAX(1,G1093))))</f>
        <v/>
      </c>
      <c r="BO1093" s="58">
        <f>IF(BM1093="LOSE",1,0)</f>
        <v/>
      </c>
      <c r="BP1093" s="64">
        <f>IF(BO1093=0,0,IF(N(R1093)&gt;0,R1093,IFERROR(VLOOKUP(D1093,Parameter!$A$35:$C$64,3,0)+0,0)))</f>
        <v/>
      </c>
      <c r="BQ1093" s="53">
        <f>IF(V1093&lt;&gt;"",V1093,U1093)</f>
        <v/>
      </c>
      <c r="BR1093" s="53">
        <f>IF(BQ1093=1,"L1",IF(OR(BQ1093=2,BQ1093=3),"L23",IF(BQ1093="Aussen","Aussen","-")))</f>
        <v/>
      </c>
      <c r="BS1093" s="66">
        <f>IF(N(W1093)&gt;0,W1093,0)</f>
        <v/>
      </c>
      <c r="BT1093" s="58">
        <f>IF(ISNUMBER(Z1093),1,0)</f>
        <v/>
      </c>
      <c r="BU1093" s="55">
        <f>N(Z1093)</f>
        <v/>
      </c>
      <c r="BV1093" s="55">
        <f>N(L1093)+N(M1093)</f>
        <v/>
      </c>
      <c r="BW1093" s="55">
        <f>ROUNDUP(G1093/BN1093,0)</f>
        <v/>
      </c>
      <c r="BX1093" s="55">
        <f>ROUNDUP(BU1093/BN1093,0)</f>
        <v/>
      </c>
      <c r="BY1093" s="58">
        <f>IF(BO1093=1,0,IFERROR(VLOOKUP(BM1093,'Gebinde-Kategorie'!$A$5:$G$45,5,0)+0,0))</f>
        <v/>
      </c>
      <c r="BZ1093" s="58">
        <f>IFERROR(IF(OR(BQ1093=1,BQ1093=2,BQ1093=3),N(INDEX(Parameter!$I$5:$I$7,BQ1093)),0),0)</f>
        <v/>
      </c>
    </row>
    <row r="1094">
      <c r="A1094" s="53" t="inlineStr">
        <is>
          <t>103608</t>
        </is>
      </c>
      <c r="B1094" s="53" t="inlineStr">
        <is>
          <t>Verbindungselement</t>
        </is>
      </c>
      <c r="C1094" s="53" t="inlineStr">
        <is>
          <t>F</t>
        </is>
      </c>
      <c r="D1094" s="53" t="inlineStr">
        <is>
          <t>KTL</t>
        </is>
      </c>
      <c r="E1094" s="53" t="inlineStr">
        <is>
          <t>C</t>
        </is>
      </c>
      <c r="F1094" s="54" t="n">
        <v>17.26</v>
      </c>
      <c r="G1094" s="55">
        <f>MAX(0,IF(Parameter!$B$20="Jahresanfang 2025 + Export",BG1094+BF1094,BF1094))</f>
        <v/>
      </c>
      <c r="H1094" s="55">
        <f>G1094*F1094</f>
        <v/>
      </c>
      <c r="I1094" s="55">
        <f>BI1094*Parameter!$B$18</f>
        <v/>
      </c>
      <c r="J1094" s="56" t="n">
        <v>33</v>
      </c>
      <c r="K1094" s="57" t="n">
        <v>1</v>
      </c>
      <c r="L1094" s="55" t="n">
        <v>2</v>
      </c>
      <c r="M1094" s="55" t="n">
        <v>35</v>
      </c>
      <c r="N1094" s="58" t="n">
        <v>21</v>
      </c>
      <c r="O1094" s="53" t="inlineStr">
        <is>
          <t>S51</t>
        </is>
      </c>
      <c r="P1094" s="55" t="n">
        <v>48</v>
      </c>
      <c r="Q1094" s="59">
        <f>IF(BO1094=1,0,IFERROR(VLOOKUP(BM1094,'Gebinde-Kategorie'!$A$5:$G$45,6,0)+0,0))</f>
        <v/>
      </c>
      <c r="R1094" s="60" t="n"/>
      <c r="S1094" s="61" t="n"/>
      <c r="T1094" s="61" t="n"/>
      <c r="U1094" s="53">
        <f>IF(A1094="","",IF(IFERROR(VLOOKUP(D1094,Parameter!$A$35:$C$64,2,0),"Nein")="2+3",IF(ISNUMBER(SEARCH("grosser Artikel",BJ1094)),2,IFERROR(VLOOKUP(BM1094,Parameter!$F$35:$G$64,2,0),2)),IF(OR(IFERROR(VLOOKUP(D1094,Parameter!$A$35:$C$64,2,0),"Nein")="Nein",IFERROR(VLOOKUP(D1094,Parameter!$A$35:$C$64,2,0),"Nein")=""),"-",VLOOKUP(D1094,Parameter!$A$35:$C$64,2,0))))</f>
        <v/>
      </c>
      <c r="V1094" s="61" t="n"/>
      <c r="W1094" s="62" t="n"/>
      <c r="X1094" s="55">
        <f>AM1094</f>
        <v/>
      </c>
      <c r="Y1094" s="55">
        <f>MAX(AM1094,G1094)</f>
        <v/>
      </c>
      <c r="Z1094" s="63" t="n"/>
      <c r="AA1094" s="55">
        <f>IF(LEFT(Cockpit!$C$5,1)="A",G1094,IF(BT1094=1,BU1094,IF(LEFT(Cockpit!$C$5,1)="B",AE1094,MAX(AE1094,G1094))))</f>
        <v/>
      </c>
      <c r="AB1094" s="55">
        <f>IF(BO1094=1,0,ROUNDUP(AA1094/BN1094,0))</f>
        <v/>
      </c>
      <c r="AC1094" s="64">
        <f>IF(BO1094=1,IF(AA1094&lt;=0,0,BP1094*MAX(1,IF(G1094&gt;0,AA1094/G1094,1))),AB1094*Q1094)</f>
        <v/>
      </c>
      <c r="AD1094" s="55">
        <f>AA1094*F1094</f>
        <v/>
      </c>
      <c r="AE1094" s="55">
        <f>ROUNDUP(MAX(I1094/IF(BS1094&gt;0,BS1094,MAX(0.1,N(Cockpit!$C$6))),BV1094)/BN1094,0)*BN1094</f>
        <v/>
      </c>
      <c r="AF1094" s="56">
        <f>IF(AC1094&gt;0,I1094/AC1094,-1)</f>
        <v/>
      </c>
      <c r="AG1094" s="56">
        <f>IF(AND(OR(BR1094="L1",BR1094="L23"),AC1094&gt;0),SUMIFS($AC$7:$AC$1570,$BR$7:$BR$1570,BR1094,$AF$7:$AF$1570,"&gt;"&amp;AF1094)+SUMIFS($AC$7:$AC$1570,$BR$7:$BR$1570,BR1094,$AF$7:$AF$1570,AF1094,$BL$7:$BL$1570,"&lt;="&amp;BL1094),"")</f>
        <v/>
      </c>
      <c r="AH1094" s="65">
        <f>IF(AG1094="",0,MAX(0,MIN(1,(IF(BR1094="L1",Parameter!$K$5,Parameter!$K$6+Parameter!$K$7)-(AG1094-AC1094))/AC1094)))</f>
        <v/>
      </c>
      <c r="AI1094" s="55">
        <f>IF(LEFT(Cockpit!$I$5,1)="A",G1094,IF(BT1094=1,BU1094,IF(LEFT(Cockpit!$I$5,1)="B",AM1094,MAX(AM1094,G1094))))</f>
        <v/>
      </c>
      <c r="AJ1094" s="55">
        <f>IF(BO1094=1,0,ROUNDUP(AI1094/BN1094,0))</f>
        <v/>
      </c>
      <c r="AK1094" s="64">
        <f>IF(BO1094=1,IF(AI1094&lt;=0,0,BP1094*MAX(1,IF(G1094&gt;0,AI1094/G1094,1))),AJ1094*Q1094)</f>
        <v/>
      </c>
      <c r="AL1094" s="55">
        <f>AI1094*F1094</f>
        <v/>
      </c>
      <c r="AM1094" s="55">
        <f>ROUNDUP(MAX(I1094/IF(BS1094&gt;0,BS1094,MAX(0.1,N(Cockpit!$I$6))),BV1094)/BN1094,0)*BN1094</f>
        <v/>
      </c>
      <c r="AN1094" s="56">
        <f>IF(AK1094&gt;0,I1094/AK1094,-1)</f>
        <v/>
      </c>
      <c r="AO1094" s="56">
        <f>IF(AND(OR(BR1094="L1",BR1094="L23"),AK1094&gt;0),SUMIFS($AK$7:$AK$1570,$BR$7:$BR$1570,BR1094,$AN$7:$AN$1570,"&gt;"&amp;AN1094)+SUMIFS($AK$7:$AK$1570,$BR$7:$BR$1570,BR1094,$AN$7:$AN$1570,AN1094,$BL$7:$BL$1570,"&lt;="&amp;BL1094),"")</f>
        <v/>
      </c>
      <c r="AP1094" s="65">
        <f>IF(AO1094="",0,MAX(0,MIN(1,(IF(BR1094="L1",Parameter!$K$5,Parameter!$K$6+Parameter!$K$7)-(AO1094-AK1094))/AK1094)))</f>
        <v/>
      </c>
      <c r="AQ1094" s="55">
        <f>IF(LEFT(Cockpit!$O$5,1)="A",G1094,IF(BT1094=1,BU1094,IF(LEFT(Cockpit!$O$5,1)="B",AU1094,MAX(AU1094,G1094))))</f>
        <v/>
      </c>
      <c r="AR1094" s="55">
        <f>IF(BO1094=1,0,ROUNDUP(AQ1094/BN1094,0))</f>
        <v/>
      </c>
      <c r="AS1094" s="64">
        <f>IF(BO1094=1,IF(AQ1094&lt;=0,0,BP1094*MAX(1,IF(G1094&gt;0,AQ1094/G1094,1))),AR1094*Q1094)</f>
        <v/>
      </c>
      <c r="AT1094" s="55">
        <f>AQ1094*F1094</f>
        <v/>
      </c>
      <c r="AU1094" s="55">
        <f>ROUNDUP(MAX(I1094/IF(BS1094&gt;0,BS1094,MAX(0.1,N(Cockpit!$O$6))),BV1094)/BN1094,0)*BN1094</f>
        <v/>
      </c>
      <c r="AV1094" s="56">
        <f>IF(AS1094&gt;0,I1094/AS1094,-1)</f>
        <v/>
      </c>
      <c r="AW1094" s="56">
        <f>IF(AND(OR(BR1094="L1",BR1094="L23"),AS1094&gt;0),SUMIFS($AS$7:$AS$1570,$BR$7:$BR$1570,BR1094,$AV$7:$AV$1570,"&gt;"&amp;AV1094)+SUMIFS($AS$7:$AS$1570,$BR$7:$BR$1570,BR1094,$AV$7:$AV$1570,AV1094,$BL$7:$BL$1570,"&lt;="&amp;BL1094),"")</f>
        <v/>
      </c>
      <c r="AX1094" s="65">
        <f>IF(AW1094="",0,MAX(0,MIN(1,(IF(BR1094="L1",Parameter!$K$5,Parameter!$K$6+Parameter!$K$7)-(AW1094-AS1094))/AS1094)))</f>
        <v/>
      </c>
      <c r="AY1094" s="53">
        <f>IF(AC1094&lt;=0,"",IF(BR1094="Aussen","Aussenlager",IF(BR1094="-","Nicht im Lift",IF(AH1094&gt;=1,"Lift",IF(AH1094&lt;=0,"Aussenlager","teilweise")))))</f>
        <v/>
      </c>
      <c r="AZ1094" s="53">
        <f>IF(AK1094&lt;=0,"",IF(BR1094="Aussen","Aussenlager",IF(BR1094="-","Nicht im Lift",IF(AP1094&gt;=1,"Lift",IF(AP1094&lt;=0,"Aussenlager","teilweise")))))</f>
        <v/>
      </c>
      <c r="BA1094" s="53">
        <f>IF(AS1094&lt;=0,"",IF(BR1094="Aussen","Aussenlager",IF(BR1094="-","Nicht im Lift",IF(AX1094&gt;=1,"Lift",IF(AX1094&lt;=0,"Aussenlager","teilweise")))))</f>
        <v/>
      </c>
      <c r="BB1094" s="53">
        <f>IF(A1094="","",IF(BK1094=1,"Neu; ","")&amp;IF(AND(BK1094=0,BF1094&lt;0),"negativer Bestand (Export "&amp;BF1094&amp;"); ","")&amp;IF(I1094&lt;=0,"Kein Verbrauch; ","")&amp;IF(BO1094=1,"Lose – Fläche geschätzt; ","")&amp;IF(G1094&gt;AM1094,"Überbestand "&amp;ROUND(G1094-AM1094,0)&amp;" Stk / CHF "&amp;ROUND((G1094-AM1094)*F1094,0)&amp;"; ","")&amp;IF(AND(BT1094=1,BU1094&lt;BV1094),"MAX &lt; MB+LG; ","")&amp;IF(AND(BZ1094&gt;0,BY1094*10&gt;BZ1094),"zu hoch für Tablar; ","")&amp;IF(AND(BK1094=0,OR(BT1094=1,V1094&lt;&gt;"",S1094&lt;&gt;"",T1094&lt;&gt;"",W1094&lt;&gt;"")),"manuell übersteuert; ","")&amp;IF(AND(BO1094=0,Q1094=0),"Gebinde unbekannt; ","")&amp;IF(AND(BO1094=0,N(T1094)&lt;=0,N(P1094)&lt;=0),"Menge pro Gebinde fehlt (Ist = 1 Gebinde); ","")&amp;BJ1094)</f>
        <v/>
      </c>
      <c r="BC1094" s="53" t="n"/>
      <c r="BD1094" s="53" t="n"/>
      <c r="BE1094" s="61" t="n"/>
      <c r="BF1094" s="55" t="n">
        <v>-8</v>
      </c>
      <c r="BG1094" s="55" t="n">
        <v>20</v>
      </c>
      <c r="BH1094" s="54" t="n">
        <v>-202.08</v>
      </c>
      <c r="BI1094" s="55" t="n">
        <v>33</v>
      </c>
      <c r="BJ1094" s="53" t="inlineStr"/>
      <c r="BK1094" s="58" t="n">
        <v>0</v>
      </c>
      <c r="BL1094" s="58" t="n">
        <v>1094</v>
      </c>
      <c r="BM1094" s="53">
        <f>IF(S1094&lt;&gt;"",UPPER(TRIM(S1094)),IF(O1094="","LOSE",O1094))</f>
        <v/>
      </c>
      <c r="BN1094" s="55">
        <f>IF(BM1094="LOSE",1,IF(N(T1094)&gt;0,T1094,IF(N(P1094)&gt;0,P1094,MAX(1,G1094))))</f>
        <v/>
      </c>
      <c r="BO1094" s="58">
        <f>IF(BM1094="LOSE",1,0)</f>
        <v/>
      </c>
      <c r="BP1094" s="64">
        <f>IF(BO1094=0,0,IF(N(R1094)&gt;0,R1094,IFERROR(VLOOKUP(D1094,Parameter!$A$35:$C$64,3,0)+0,0)))</f>
        <v/>
      </c>
      <c r="BQ1094" s="53">
        <f>IF(V1094&lt;&gt;"",V1094,U1094)</f>
        <v/>
      </c>
      <c r="BR1094" s="53">
        <f>IF(BQ1094=1,"L1",IF(OR(BQ1094=2,BQ1094=3),"L23",IF(BQ1094="Aussen","Aussen","-")))</f>
        <v/>
      </c>
      <c r="BS1094" s="66">
        <f>IF(N(W1094)&gt;0,W1094,0)</f>
        <v/>
      </c>
      <c r="BT1094" s="58">
        <f>IF(ISNUMBER(Z1094),1,0)</f>
        <v/>
      </c>
      <c r="BU1094" s="55">
        <f>N(Z1094)</f>
        <v/>
      </c>
      <c r="BV1094" s="55">
        <f>N(L1094)+N(M1094)</f>
        <v/>
      </c>
      <c r="BW1094" s="55">
        <f>ROUNDUP(G1094/BN1094,0)</f>
        <v/>
      </c>
      <c r="BX1094" s="55">
        <f>ROUNDUP(BU1094/BN1094,0)</f>
        <v/>
      </c>
      <c r="BY1094" s="58">
        <f>IF(BO1094=1,0,IFERROR(VLOOKUP(BM1094,'Gebinde-Kategorie'!$A$5:$G$45,5,0)+0,0))</f>
        <v/>
      </c>
      <c r="BZ1094" s="58">
        <f>IFERROR(IF(OR(BQ1094=1,BQ1094=2,BQ1094=3),N(INDEX(Parameter!$I$5:$I$7,BQ1094)),0),0)</f>
        <v/>
      </c>
    </row>
    <row r="1095">
      <c r="A1095" s="53" t="inlineStr">
        <is>
          <t>005248</t>
        </is>
      </c>
      <c r="B1095" s="53" t="inlineStr">
        <is>
          <t>Kette</t>
        </is>
      </c>
      <c r="C1095" s="53" t="inlineStr">
        <is>
          <t>F</t>
        </is>
      </c>
      <c r="D1095" s="53" t="inlineStr">
        <is>
          <t>PAL</t>
        </is>
      </c>
      <c r="E1095" s="53" t="inlineStr">
        <is>
          <t>C</t>
        </is>
      </c>
      <c r="F1095" s="54" t="n">
        <v>17.05</v>
      </c>
      <c r="G1095" s="55">
        <f>MAX(0,IF(Parameter!$B$20="Jahresanfang 2025 + Export",BG1095+BF1095,BF1095))</f>
        <v/>
      </c>
      <c r="H1095" s="55">
        <f>G1095*F1095</f>
        <v/>
      </c>
      <c r="I1095" s="55">
        <f>BI1095*Parameter!$B$18</f>
        <v/>
      </c>
      <c r="J1095" s="56" t="n">
        <v>51.85200000000012</v>
      </c>
      <c r="K1095" s="57" t="n">
        <v>2.681227339350454</v>
      </c>
      <c r="L1095" s="55" t="n">
        <v>8</v>
      </c>
      <c r="M1095" s="55" t="n">
        <v>50</v>
      </c>
      <c r="N1095" s="58" t="n">
        <v>21</v>
      </c>
      <c r="O1095" s="53" t="inlineStr">
        <is>
          <t>LOSE</t>
        </is>
      </c>
      <c r="P1095" s="55" t="n"/>
      <c r="Q1095" s="59">
        <f>IF(BO1095=1,0,IFERROR(VLOOKUP(BM1095,'Gebinde-Kategorie'!$A$5:$G$45,6,0)+0,0))</f>
        <v/>
      </c>
      <c r="R1095" s="60" t="n"/>
      <c r="S1095" s="61" t="n"/>
      <c r="T1095" s="61" t="n"/>
      <c r="U1095" s="53">
        <f>IF(A1095="","",IF(IFERROR(VLOOKUP(D1095,Parameter!$A$35:$C$64,2,0),"Nein")="2+3",IF(ISNUMBER(SEARCH("grosser Artikel",BJ1095)),2,IFERROR(VLOOKUP(BM1095,Parameter!$F$35:$G$64,2,0),2)),IF(OR(IFERROR(VLOOKUP(D1095,Parameter!$A$35:$C$64,2,0),"Nein")="Nein",IFERROR(VLOOKUP(D1095,Parameter!$A$35:$C$64,2,0),"Nein")=""),"-",VLOOKUP(D1095,Parameter!$A$35:$C$64,2,0))))</f>
        <v/>
      </c>
      <c r="V1095" s="61" t="n"/>
      <c r="W1095" s="62" t="n"/>
      <c r="X1095" s="55">
        <f>AM1095</f>
        <v/>
      </c>
      <c r="Y1095" s="55">
        <f>MAX(AM1095,G1095)</f>
        <v/>
      </c>
      <c r="Z1095" s="63" t="n"/>
      <c r="AA1095" s="55">
        <f>IF(LEFT(Cockpit!$C$5,1)="A",G1095,IF(BT1095=1,BU1095,IF(LEFT(Cockpit!$C$5,1)="B",AE1095,MAX(AE1095,G1095))))</f>
        <v/>
      </c>
      <c r="AB1095" s="55">
        <f>IF(BO1095=1,0,ROUNDUP(AA1095/BN1095,0))</f>
        <v/>
      </c>
      <c r="AC1095" s="64">
        <f>IF(BO1095=1,IF(AA1095&lt;=0,0,BP1095*MAX(1,IF(G1095&gt;0,AA1095/G1095,1))),AB1095*Q1095)</f>
        <v/>
      </c>
      <c r="AD1095" s="55">
        <f>AA1095*F1095</f>
        <v/>
      </c>
      <c r="AE1095" s="55">
        <f>ROUNDUP(MAX(I1095/IF(BS1095&gt;0,BS1095,MAX(0.1,N(Cockpit!$C$6))),BV1095)/BN1095,0)*BN1095</f>
        <v/>
      </c>
      <c r="AF1095" s="56">
        <f>IF(AC1095&gt;0,I1095/AC1095,-1)</f>
        <v/>
      </c>
      <c r="AG1095" s="56">
        <f>IF(AND(OR(BR1095="L1",BR1095="L23"),AC1095&gt;0),SUMIFS($AC$7:$AC$1570,$BR$7:$BR$1570,BR1095,$AF$7:$AF$1570,"&gt;"&amp;AF1095)+SUMIFS($AC$7:$AC$1570,$BR$7:$BR$1570,BR1095,$AF$7:$AF$1570,AF1095,$BL$7:$BL$1570,"&lt;="&amp;BL1095),"")</f>
        <v/>
      </c>
      <c r="AH1095" s="65">
        <f>IF(AG1095="",0,MAX(0,MIN(1,(IF(BR1095="L1",Parameter!$K$5,Parameter!$K$6+Parameter!$K$7)-(AG1095-AC1095))/AC1095)))</f>
        <v/>
      </c>
      <c r="AI1095" s="55">
        <f>IF(LEFT(Cockpit!$I$5,1)="A",G1095,IF(BT1095=1,BU1095,IF(LEFT(Cockpit!$I$5,1)="B",AM1095,MAX(AM1095,G1095))))</f>
        <v/>
      </c>
      <c r="AJ1095" s="55">
        <f>IF(BO1095=1,0,ROUNDUP(AI1095/BN1095,0))</f>
        <v/>
      </c>
      <c r="AK1095" s="64">
        <f>IF(BO1095=1,IF(AI1095&lt;=0,0,BP1095*MAX(1,IF(G1095&gt;0,AI1095/G1095,1))),AJ1095*Q1095)</f>
        <v/>
      </c>
      <c r="AL1095" s="55">
        <f>AI1095*F1095</f>
        <v/>
      </c>
      <c r="AM1095" s="55">
        <f>ROUNDUP(MAX(I1095/IF(BS1095&gt;0,BS1095,MAX(0.1,N(Cockpit!$I$6))),BV1095)/BN1095,0)*BN1095</f>
        <v/>
      </c>
      <c r="AN1095" s="56">
        <f>IF(AK1095&gt;0,I1095/AK1095,-1)</f>
        <v/>
      </c>
      <c r="AO1095" s="56">
        <f>IF(AND(OR(BR1095="L1",BR1095="L23"),AK1095&gt;0),SUMIFS($AK$7:$AK$1570,$BR$7:$BR$1570,BR1095,$AN$7:$AN$1570,"&gt;"&amp;AN1095)+SUMIFS($AK$7:$AK$1570,$BR$7:$BR$1570,BR1095,$AN$7:$AN$1570,AN1095,$BL$7:$BL$1570,"&lt;="&amp;BL1095),"")</f>
        <v/>
      </c>
      <c r="AP1095" s="65">
        <f>IF(AO1095="",0,MAX(0,MIN(1,(IF(BR1095="L1",Parameter!$K$5,Parameter!$K$6+Parameter!$K$7)-(AO1095-AK1095))/AK1095)))</f>
        <v/>
      </c>
      <c r="AQ1095" s="55">
        <f>IF(LEFT(Cockpit!$O$5,1)="A",G1095,IF(BT1095=1,BU1095,IF(LEFT(Cockpit!$O$5,1)="B",AU1095,MAX(AU1095,G1095))))</f>
        <v/>
      </c>
      <c r="AR1095" s="55">
        <f>IF(BO1095=1,0,ROUNDUP(AQ1095/BN1095,0))</f>
        <v/>
      </c>
      <c r="AS1095" s="64">
        <f>IF(BO1095=1,IF(AQ1095&lt;=0,0,BP1095*MAX(1,IF(G1095&gt;0,AQ1095/G1095,1))),AR1095*Q1095)</f>
        <v/>
      </c>
      <c r="AT1095" s="55">
        <f>AQ1095*F1095</f>
        <v/>
      </c>
      <c r="AU1095" s="55">
        <f>ROUNDUP(MAX(I1095/IF(BS1095&gt;0,BS1095,MAX(0.1,N(Cockpit!$O$6))),BV1095)/BN1095,0)*BN1095</f>
        <v/>
      </c>
      <c r="AV1095" s="56">
        <f>IF(AS1095&gt;0,I1095/AS1095,-1)</f>
        <v/>
      </c>
      <c r="AW1095" s="56">
        <f>IF(AND(OR(BR1095="L1",BR1095="L23"),AS1095&gt;0),SUMIFS($AS$7:$AS$1570,$BR$7:$BR$1570,BR1095,$AV$7:$AV$1570,"&gt;"&amp;AV1095)+SUMIFS($AS$7:$AS$1570,$BR$7:$BR$1570,BR1095,$AV$7:$AV$1570,AV1095,$BL$7:$BL$1570,"&lt;="&amp;BL1095),"")</f>
        <v/>
      </c>
      <c r="AX1095" s="65">
        <f>IF(AW1095="",0,MAX(0,MIN(1,(IF(BR1095="L1",Parameter!$K$5,Parameter!$K$6+Parameter!$K$7)-(AW1095-AS1095))/AS1095)))</f>
        <v/>
      </c>
      <c r="AY1095" s="53">
        <f>IF(AC1095&lt;=0,"",IF(BR1095="Aussen","Aussenlager",IF(BR1095="-","Nicht im Lift",IF(AH1095&gt;=1,"Lift",IF(AH1095&lt;=0,"Aussenlager","teilweise")))))</f>
        <v/>
      </c>
      <c r="AZ1095" s="53">
        <f>IF(AK1095&lt;=0,"",IF(BR1095="Aussen","Aussenlager",IF(BR1095="-","Nicht im Lift",IF(AP1095&gt;=1,"Lift",IF(AP1095&lt;=0,"Aussenlager","teilweise")))))</f>
        <v/>
      </c>
      <c r="BA1095" s="53">
        <f>IF(AS1095&lt;=0,"",IF(BR1095="Aussen","Aussenlager",IF(BR1095="-","Nicht im Lift",IF(AX1095&gt;=1,"Lift",IF(AX1095&lt;=0,"Aussenlager","teilweise")))))</f>
        <v/>
      </c>
      <c r="BB1095" s="53">
        <f>IF(A1095="","",IF(BK1095=1,"Neu; ","")&amp;IF(AND(BK1095=0,BF1095&lt;0),"negativer Bestand (Export "&amp;BF1095&amp;"); ","")&amp;IF(I1095&lt;=0,"Kein Verbrauch; ","")&amp;IF(BO1095=1,"Lose – Fläche geschätzt; ","")&amp;IF(G1095&gt;AM1095,"Überbestand "&amp;ROUND(G1095-AM1095,0)&amp;" Stk / CHF "&amp;ROUND((G1095-AM1095)*F1095,0)&amp;"; ","")&amp;IF(AND(BT1095=1,BU1095&lt;BV1095),"MAX &lt; MB+LG; ","")&amp;IF(AND(BZ1095&gt;0,BY1095*10&gt;BZ1095),"zu hoch für Tablar; ","")&amp;IF(AND(BK1095=0,OR(BT1095=1,V1095&lt;&gt;"",S1095&lt;&gt;"",T1095&lt;&gt;"",W1095&lt;&gt;"")),"manuell übersteuert; ","")&amp;IF(AND(BO1095=0,Q1095=0),"Gebinde unbekannt; ","")&amp;IF(AND(BO1095=0,N(T1095)&lt;=0,N(P1095)&lt;=0),"Menge pro Gebinde fehlt (Ist = 1 Gebinde); ","")&amp;BJ1095)</f>
        <v/>
      </c>
      <c r="BC1095" s="53" t="n"/>
      <c r="BD1095" s="53" t="n"/>
      <c r="BE1095" s="61" t="n"/>
      <c r="BF1095" s="55" t="n">
        <v>-9.07999999999997</v>
      </c>
      <c r="BG1095" s="55" t="n">
        <v>41.20400000000012</v>
      </c>
      <c r="BH1095" s="54" t="n">
        <v>-202.6199999999998</v>
      </c>
      <c r="BI1095" s="55" t="n">
        <v>139.027</v>
      </c>
      <c r="BJ1095" s="53" t="inlineStr"/>
      <c r="BK1095" s="58" t="n">
        <v>0</v>
      </c>
      <c r="BL1095" s="58" t="n">
        <v>1095</v>
      </c>
      <c r="BM1095" s="53">
        <f>IF(S1095&lt;&gt;"",UPPER(TRIM(S1095)),IF(O1095="","LOSE",O1095))</f>
        <v/>
      </c>
      <c r="BN1095" s="55">
        <f>IF(BM1095="LOSE",1,IF(N(T1095)&gt;0,T1095,IF(N(P1095)&gt;0,P1095,MAX(1,G1095))))</f>
        <v/>
      </c>
      <c r="BO1095" s="58">
        <f>IF(BM1095="LOSE",1,0)</f>
        <v/>
      </c>
      <c r="BP1095" s="64">
        <f>IF(BO1095=0,0,IF(N(R1095)&gt;0,R1095,IFERROR(VLOOKUP(D1095,Parameter!$A$35:$C$64,3,0)+0,0)))</f>
        <v/>
      </c>
      <c r="BQ1095" s="53">
        <f>IF(V1095&lt;&gt;"",V1095,U1095)</f>
        <v/>
      </c>
      <c r="BR1095" s="53">
        <f>IF(BQ1095=1,"L1",IF(OR(BQ1095=2,BQ1095=3),"L23",IF(BQ1095="Aussen","Aussen","-")))</f>
        <v/>
      </c>
      <c r="BS1095" s="66">
        <f>IF(N(W1095)&gt;0,W1095,0)</f>
        <v/>
      </c>
      <c r="BT1095" s="58">
        <f>IF(ISNUMBER(Z1095),1,0)</f>
        <v/>
      </c>
      <c r="BU1095" s="55">
        <f>N(Z1095)</f>
        <v/>
      </c>
      <c r="BV1095" s="55">
        <f>N(L1095)+N(M1095)</f>
        <v/>
      </c>
      <c r="BW1095" s="55">
        <f>ROUNDUP(G1095/BN1095,0)</f>
        <v/>
      </c>
      <c r="BX1095" s="55">
        <f>ROUNDUP(BU1095/BN1095,0)</f>
        <v/>
      </c>
      <c r="BY1095" s="58">
        <f>IF(BO1095=1,0,IFERROR(VLOOKUP(BM1095,'Gebinde-Kategorie'!$A$5:$G$45,5,0)+0,0))</f>
        <v/>
      </c>
      <c r="BZ1095" s="58">
        <f>IFERROR(IF(OR(BQ1095=1,BQ1095=2,BQ1095=3),N(INDEX(Parameter!$I$5:$I$7,BQ1095)),0),0)</f>
        <v/>
      </c>
    </row>
    <row r="1096">
      <c r="A1096" s="53" t="inlineStr">
        <is>
          <t>108552</t>
        </is>
      </c>
      <c r="B1096" s="53" t="inlineStr">
        <is>
          <t>Saugventil 2. Stufe AC260</t>
        </is>
      </c>
      <c r="C1096" s="53" t="inlineStr">
        <is>
          <t>F</t>
        </is>
      </c>
      <c r="D1096" s="53" t="inlineStr">
        <is>
          <t>KTL</t>
        </is>
      </c>
      <c r="E1096" s="53" t="inlineStr">
        <is>
          <t>C</t>
        </is>
      </c>
      <c r="F1096" s="54" t="n">
        <v>101.62</v>
      </c>
      <c r="G1096" s="55">
        <f>MAX(0,IF(Parameter!$B$20="Jahresanfang 2025 + Export",BG1096+BF1096,BF1096))</f>
        <v/>
      </c>
      <c r="H1096" s="55">
        <f>G1096*F1096</f>
        <v/>
      </c>
      <c r="I1096" s="55">
        <f>BI1096*Parameter!$B$18</f>
        <v/>
      </c>
      <c r="J1096" s="56" t="n">
        <v>10</v>
      </c>
      <c r="K1096" s="57" t="n">
        <v>0.2</v>
      </c>
      <c r="L1096" s="55" t="n">
        <v>0</v>
      </c>
      <c r="M1096" s="55" t="n">
        <v>1</v>
      </c>
      <c r="N1096" s="58" t="n">
        <v>21</v>
      </c>
      <c r="O1096" s="53" t="inlineStr">
        <is>
          <t>S41</t>
        </is>
      </c>
      <c r="P1096" s="55" t="n">
        <v>16</v>
      </c>
      <c r="Q1096" s="59">
        <f>IF(BO1096=1,0,IFERROR(VLOOKUP(BM1096,'Gebinde-Kategorie'!$A$5:$G$45,6,0)+0,0))</f>
        <v/>
      </c>
      <c r="R1096" s="60" t="n"/>
      <c r="S1096" s="61" t="n"/>
      <c r="T1096" s="61" t="n"/>
      <c r="U1096" s="53">
        <f>IF(A1096="","",IF(IFERROR(VLOOKUP(D1096,Parameter!$A$35:$C$64,2,0),"Nein")="2+3",IF(ISNUMBER(SEARCH("grosser Artikel",BJ1096)),2,IFERROR(VLOOKUP(BM1096,Parameter!$F$35:$G$64,2,0),2)),IF(OR(IFERROR(VLOOKUP(D1096,Parameter!$A$35:$C$64,2,0),"Nein")="Nein",IFERROR(VLOOKUP(D1096,Parameter!$A$35:$C$64,2,0),"Nein")=""),"-",VLOOKUP(D1096,Parameter!$A$35:$C$64,2,0))))</f>
        <v/>
      </c>
      <c r="V1096" s="61" t="n"/>
      <c r="W1096" s="62" t="n"/>
      <c r="X1096" s="55">
        <f>AM1096</f>
        <v/>
      </c>
      <c r="Y1096" s="55">
        <f>MAX(AM1096,G1096)</f>
        <v/>
      </c>
      <c r="Z1096" s="63" t="n"/>
      <c r="AA1096" s="55">
        <f>IF(LEFT(Cockpit!$C$5,1)="A",G1096,IF(BT1096=1,BU1096,IF(LEFT(Cockpit!$C$5,1)="B",AE1096,MAX(AE1096,G1096))))</f>
        <v/>
      </c>
      <c r="AB1096" s="55">
        <f>IF(BO1096=1,0,ROUNDUP(AA1096/BN1096,0))</f>
        <v/>
      </c>
      <c r="AC1096" s="64">
        <f>IF(BO1096=1,IF(AA1096&lt;=0,0,BP1096*MAX(1,IF(G1096&gt;0,AA1096/G1096,1))),AB1096*Q1096)</f>
        <v/>
      </c>
      <c r="AD1096" s="55">
        <f>AA1096*F1096</f>
        <v/>
      </c>
      <c r="AE1096" s="55">
        <f>ROUNDUP(MAX(I1096/IF(BS1096&gt;0,BS1096,MAX(0.1,N(Cockpit!$C$6))),BV1096)/BN1096,0)*BN1096</f>
        <v/>
      </c>
      <c r="AF1096" s="56">
        <f>IF(AC1096&gt;0,I1096/AC1096,-1)</f>
        <v/>
      </c>
      <c r="AG1096" s="56">
        <f>IF(AND(OR(BR1096="L1",BR1096="L23"),AC1096&gt;0),SUMIFS($AC$7:$AC$1570,$BR$7:$BR$1570,BR1096,$AF$7:$AF$1570,"&gt;"&amp;AF1096)+SUMIFS($AC$7:$AC$1570,$BR$7:$BR$1570,BR1096,$AF$7:$AF$1570,AF1096,$BL$7:$BL$1570,"&lt;="&amp;BL1096),"")</f>
        <v/>
      </c>
      <c r="AH1096" s="65">
        <f>IF(AG1096="",0,MAX(0,MIN(1,(IF(BR1096="L1",Parameter!$K$5,Parameter!$K$6+Parameter!$K$7)-(AG1096-AC1096))/AC1096)))</f>
        <v/>
      </c>
      <c r="AI1096" s="55">
        <f>IF(LEFT(Cockpit!$I$5,1)="A",G1096,IF(BT1096=1,BU1096,IF(LEFT(Cockpit!$I$5,1)="B",AM1096,MAX(AM1096,G1096))))</f>
        <v/>
      </c>
      <c r="AJ1096" s="55">
        <f>IF(BO1096=1,0,ROUNDUP(AI1096/BN1096,0))</f>
        <v/>
      </c>
      <c r="AK1096" s="64">
        <f>IF(BO1096=1,IF(AI1096&lt;=0,0,BP1096*MAX(1,IF(G1096&gt;0,AI1096/G1096,1))),AJ1096*Q1096)</f>
        <v/>
      </c>
      <c r="AL1096" s="55">
        <f>AI1096*F1096</f>
        <v/>
      </c>
      <c r="AM1096" s="55">
        <f>ROUNDUP(MAX(I1096/IF(BS1096&gt;0,BS1096,MAX(0.1,N(Cockpit!$I$6))),BV1096)/BN1096,0)*BN1096</f>
        <v/>
      </c>
      <c r="AN1096" s="56">
        <f>IF(AK1096&gt;0,I1096/AK1096,-1)</f>
        <v/>
      </c>
      <c r="AO1096" s="56">
        <f>IF(AND(OR(BR1096="L1",BR1096="L23"),AK1096&gt;0),SUMIFS($AK$7:$AK$1570,$BR$7:$BR$1570,BR1096,$AN$7:$AN$1570,"&gt;"&amp;AN1096)+SUMIFS($AK$7:$AK$1570,$BR$7:$BR$1570,BR1096,$AN$7:$AN$1570,AN1096,$BL$7:$BL$1570,"&lt;="&amp;BL1096),"")</f>
        <v/>
      </c>
      <c r="AP1096" s="65">
        <f>IF(AO1096="",0,MAX(0,MIN(1,(IF(BR1096="L1",Parameter!$K$5,Parameter!$K$6+Parameter!$K$7)-(AO1096-AK1096))/AK1096)))</f>
        <v/>
      </c>
      <c r="AQ1096" s="55">
        <f>IF(LEFT(Cockpit!$O$5,1)="A",G1096,IF(BT1096=1,BU1096,IF(LEFT(Cockpit!$O$5,1)="B",AU1096,MAX(AU1096,G1096))))</f>
        <v/>
      </c>
      <c r="AR1096" s="55">
        <f>IF(BO1096=1,0,ROUNDUP(AQ1096/BN1096,0))</f>
        <v/>
      </c>
      <c r="AS1096" s="64">
        <f>IF(BO1096=1,IF(AQ1096&lt;=0,0,BP1096*MAX(1,IF(G1096&gt;0,AQ1096/G1096,1))),AR1096*Q1096)</f>
        <v/>
      </c>
      <c r="AT1096" s="55">
        <f>AQ1096*F1096</f>
        <v/>
      </c>
      <c r="AU1096" s="55">
        <f>ROUNDUP(MAX(I1096/IF(BS1096&gt;0,BS1096,MAX(0.1,N(Cockpit!$O$6))),BV1096)/BN1096,0)*BN1096</f>
        <v/>
      </c>
      <c r="AV1096" s="56">
        <f>IF(AS1096&gt;0,I1096/AS1096,-1)</f>
        <v/>
      </c>
      <c r="AW1096" s="56">
        <f>IF(AND(OR(BR1096="L1",BR1096="L23"),AS1096&gt;0),SUMIFS($AS$7:$AS$1570,$BR$7:$BR$1570,BR1096,$AV$7:$AV$1570,"&gt;"&amp;AV1096)+SUMIFS($AS$7:$AS$1570,$BR$7:$BR$1570,BR1096,$AV$7:$AV$1570,AV1096,$BL$7:$BL$1570,"&lt;="&amp;BL1096),"")</f>
        <v/>
      </c>
      <c r="AX1096" s="65">
        <f>IF(AW1096="",0,MAX(0,MIN(1,(IF(BR1096="L1",Parameter!$K$5,Parameter!$K$6+Parameter!$K$7)-(AW1096-AS1096))/AS1096)))</f>
        <v/>
      </c>
      <c r="AY1096" s="53">
        <f>IF(AC1096&lt;=0,"",IF(BR1096="Aussen","Aussenlager",IF(BR1096="-","Nicht im Lift",IF(AH1096&gt;=1,"Lift",IF(AH1096&lt;=0,"Aussenlager","teilweise")))))</f>
        <v/>
      </c>
      <c r="AZ1096" s="53">
        <f>IF(AK1096&lt;=0,"",IF(BR1096="Aussen","Aussenlager",IF(BR1096="-","Nicht im Lift",IF(AP1096&gt;=1,"Lift",IF(AP1096&lt;=0,"Aussenlager","teilweise")))))</f>
        <v/>
      </c>
      <c r="BA1096" s="53">
        <f>IF(AS1096&lt;=0,"",IF(BR1096="Aussen","Aussenlager",IF(BR1096="-","Nicht im Lift",IF(AX1096&gt;=1,"Lift",IF(AX1096&lt;=0,"Aussenlager","teilweise")))))</f>
        <v/>
      </c>
      <c r="BB1096" s="53">
        <f>IF(A1096="","",IF(BK1096=1,"Neu; ","")&amp;IF(AND(BK1096=0,BF1096&lt;0),"negativer Bestand (Export "&amp;BF1096&amp;"); ","")&amp;IF(I1096&lt;=0,"Kein Verbrauch; ","")&amp;IF(BO1096=1,"Lose – Fläche geschätzt; ","")&amp;IF(G1096&gt;AM1096,"Überbestand "&amp;ROUND(G1096-AM1096,0)&amp;" Stk / CHF "&amp;ROUND((G1096-AM1096)*F1096,0)&amp;"; ","")&amp;IF(AND(BT1096=1,BU1096&lt;BV1096),"MAX &lt; MB+LG; ","")&amp;IF(AND(BZ1096&gt;0,BY1096*10&gt;BZ1096),"zu hoch für Tablar; ","")&amp;IF(AND(BK1096=0,OR(BT1096=1,V1096&lt;&gt;"",S1096&lt;&gt;"",T1096&lt;&gt;"",W1096&lt;&gt;"")),"manuell übersteuert; ","")&amp;IF(AND(BO1096=0,Q1096=0),"Gebinde unbekannt; ","")&amp;IF(AND(BO1096=0,N(T1096)&lt;=0,N(P1096)&lt;=0),"Menge pro Gebinde fehlt (Ist = 1 Gebinde); ","")&amp;BJ1096)</f>
        <v/>
      </c>
      <c r="BC1096" s="53" t="n"/>
      <c r="BD1096" s="53" t="n"/>
      <c r="BE1096" s="61" t="n"/>
      <c r="BF1096" s="55" t="n">
        <v>-2</v>
      </c>
      <c r="BG1096" s="55" t="n">
        <v>11</v>
      </c>
      <c r="BH1096" s="54" t="n">
        <v>-203.24</v>
      </c>
      <c r="BI1096" s="55" t="n">
        <v>2</v>
      </c>
      <c r="BJ1096" s="53" t="inlineStr"/>
      <c r="BK1096" s="58" t="n">
        <v>0</v>
      </c>
      <c r="BL1096" s="58" t="n">
        <v>1096</v>
      </c>
      <c r="BM1096" s="53">
        <f>IF(S1096&lt;&gt;"",UPPER(TRIM(S1096)),IF(O1096="","LOSE",O1096))</f>
        <v/>
      </c>
      <c r="BN1096" s="55">
        <f>IF(BM1096="LOSE",1,IF(N(T1096)&gt;0,T1096,IF(N(P1096)&gt;0,P1096,MAX(1,G1096))))</f>
        <v/>
      </c>
      <c r="BO1096" s="58">
        <f>IF(BM1096="LOSE",1,0)</f>
        <v/>
      </c>
      <c r="BP1096" s="64">
        <f>IF(BO1096=0,0,IF(N(R1096)&gt;0,R1096,IFERROR(VLOOKUP(D1096,Parameter!$A$35:$C$64,3,0)+0,0)))</f>
        <v/>
      </c>
      <c r="BQ1096" s="53">
        <f>IF(V1096&lt;&gt;"",V1096,U1096)</f>
        <v/>
      </c>
      <c r="BR1096" s="53">
        <f>IF(BQ1096=1,"L1",IF(OR(BQ1096=2,BQ1096=3),"L23",IF(BQ1096="Aussen","Aussen","-")))</f>
        <v/>
      </c>
      <c r="BS1096" s="66">
        <f>IF(N(W1096)&gt;0,W1096,0)</f>
        <v/>
      </c>
      <c r="BT1096" s="58">
        <f>IF(ISNUMBER(Z1096),1,0)</f>
        <v/>
      </c>
      <c r="BU1096" s="55">
        <f>N(Z1096)</f>
        <v/>
      </c>
      <c r="BV1096" s="55">
        <f>N(L1096)+N(M1096)</f>
        <v/>
      </c>
      <c r="BW1096" s="55">
        <f>ROUNDUP(G1096/BN1096,0)</f>
        <v/>
      </c>
      <c r="BX1096" s="55">
        <f>ROUNDUP(BU1096/BN1096,0)</f>
        <v/>
      </c>
      <c r="BY1096" s="58">
        <f>IF(BO1096=1,0,IFERROR(VLOOKUP(BM1096,'Gebinde-Kategorie'!$A$5:$G$45,5,0)+0,0))</f>
        <v/>
      </c>
      <c r="BZ1096" s="58">
        <f>IFERROR(IF(OR(BQ1096=1,BQ1096=2,BQ1096=3),N(INDEX(Parameter!$I$5:$I$7,BQ1096)),0),0)</f>
        <v/>
      </c>
    </row>
    <row r="1097">
      <c r="A1097" s="53" t="inlineStr">
        <is>
          <t>005545</t>
        </is>
      </c>
      <c r="B1097" s="53" t="inlineStr">
        <is>
          <t>Signalhorn mit Blitzleuchte</t>
        </is>
      </c>
      <c r="C1097" s="53" t="inlineStr">
        <is>
          <t>F</t>
        </is>
      </c>
      <c r="D1097" s="53" t="inlineStr">
        <is>
          <t>PAL</t>
        </is>
      </c>
      <c r="E1097" s="53" t="inlineStr">
        <is>
          <t>C</t>
        </is>
      </c>
      <c r="F1097" s="54" t="n">
        <v>205.4</v>
      </c>
      <c r="G1097" s="55">
        <f>MAX(0,IF(Parameter!$B$20="Jahresanfang 2025 + Export",BG1097+BF1097,BF1097))</f>
        <v/>
      </c>
      <c r="H1097" s="55">
        <f>G1097*F1097</f>
        <v/>
      </c>
      <c r="I1097" s="55">
        <f>BI1097*Parameter!$B$18</f>
        <v/>
      </c>
      <c r="J1097" s="56" t="n">
        <v>22.5</v>
      </c>
      <c r="K1097" s="57" t="n">
        <v>0</v>
      </c>
      <c r="L1097" s="55" t="n">
        <v>0</v>
      </c>
      <c r="M1097" s="55" t="n">
        <v>1</v>
      </c>
      <c r="N1097" s="58" t="n">
        <v>28</v>
      </c>
      <c r="O1097" s="53" t="inlineStr">
        <is>
          <t>S71</t>
        </is>
      </c>
      <c r="P1097" s="55" t="n">
        <v>24</v>
      </c>
      <c r="Q1097" s="59">
        <f>IF(BO1097=1,0,IFERROR(VLOOKUP(BM1097,'Gebinde-Kategorie'!$A$5:$G$45,6,0)+0,0))</f>
        <v/>
      </c>
      <c r="R1097" s="60" t="n"/>
      <c r="S1097" s="61" t="n"/>
      <c r="T1097" s="61" t="n"/>
      <c r="U1097" s="53">
        <f>IF(A1097="","",IF(IFERROR(VLOOKUP(D1097,Parameter!$A$35:$C$64,2,0),"Nein")="2+3",IF(ISNUMBER(SEARCH("grosser Artikel",BJ1097)),2,IFERROR(VLOOKUP(BM1097,Parameter!$F$35:$G$64,2,0),2)),IF(OR(IFERROR(VLOOKUP(D1097,Parameter!$A$35:$C$64,2,0),"Nein")="Nein",IFERROR(VLOOKUP(D1097,Parameter!$A$35:$C$64,2,0),"Nein")=""),"-",VLOOKUP(D1097,Parameter!$A$35:$C$64,2,0))))</f>
        <v/>
      </c>
      <c r="V1097" s="61" t="n"/>
      <c r="W1097" s="62" t="n"/>
      <c r="X1097" s="55">
        <f>AM1097</f>
        <v/>
      </c>
      <c r="Y1097" s="55">
        <f>MAX(AM1097,G1097)</f>
        <v/>
      </c>
      <c r="Z1097" s="63" t="n"/>
      <c r="AA1097" s="55">
        <f>IF(LEFT(Cockpit!$C$5,1)="A",G1097,IF(BT1097=1,BU1097,IF(LEFT(Cockpit!$C$5,1)="B",AE1097,MAX(AE1097,G1097))))</f>
        <v/>
      </c>
      <c r="AB1097" s="55">
        <f>IF(BO1097=1,0,ROUNDUP(AA1097/BN1097,0))</f>
        <v/>
      </c>
      <c r="AC1097" s="64">
        <f>IF(BO1097=1,IF(AA1097&lt;=0,0,BP1097*MAX(1,IF(G1097&gt;0,AA1097/G1097,1))),AB1097*Q1097)</f>
        <v/>
      </c>
      <c r="AD1097" s="55">
        <f>AA1097*F1097</f>
        <v/>
      </c>
      <c r="AE1097" s="55">
        <f>ROUNDUP(MAX(I1097/IF(BS1097&gt;0,BS1097,MAX(0.1,N(Cockpit!$C$6))),BV1097)/BN1097,0)*BN1097</f>
        <v/>
      </c>
      <c r="AF1097" s="56">
        <f>IF(AC1097&gt;0,I1097/AC1097,-1)</f>
        <v/>
      </c>
      <c r="AG1097" s="56">
        <f>IF(AND(OR(BR1097="L1",BR1097="L23"),AC1097&gt;0),SUMIFS($AC$7:$AC$1570,$BR$7:$BR$1570,BR1097,$AF$7:$AF$1570,"&gt;"&amp;AF1097)+SUMIFS($AC$7:$AC$1570,$BR$7:$BR$1570,BR1097,$AF$7:$AF$1570,AF1097,$BL$7:$BL$1570,"&lt;="&amp;BL1097),"")</f>
        <v/>
      </c>
      <c r="AH1097" s="65">
        <f>IF(AG1097="",0,MAX(0,MIN(1,(IF(BR1097="L1",Parameter!$K$5,Parameter!$K$6+Parameter!$K$7)-(AG1097-AC1097))/AC1097)))</f>
        <v/>
      </c>
      <c r="AI1097" s="55">
        <f>IF(LEFT(Cockpit!$I$5,1)="A",G1097,IF(BT1097=1,BU1097,IF(LEFT(Cockpit!$I$5,1)="B",AM1097,MAX(AM1097,G1097))))</f>
        <v/>
      </c>
      <c r="AJ1097" s="55">
        <f>IF(BO1097=1,0,ROUNDUP(AI1097/BN1097,0))</f>
        <v/>
      </c>
      <c r="AK1097" s="64">
        <f>IF(BO1097=1,IF(AI1097&lt;=0,0,BP1097*MAX(1,IF(G1097&gt;0,AI1097/G1097,1))),AJ1097*Q1097)</f>
        <v/>
      </c>
      <c r="AL1097" s="55">
        <f>AI1097*F1097</f>
        <v/>
      </c>
      <c r="AM1097" s="55">
        <f>ROUNDUP(MAX(I1097/IF(BS1097&gt;0,BS1097,MAX(0.1,N(Cockpit!$I$6))),BV1097)/BN1097,0)*BN1097</f>
        <v/>
      </c>
      <c r="AN1097" s="56">
        <f>IF(AK1097&gt;0,I1097/AK1097,-1)</f>
        <v/>
      </c>
      <c r="AO1097" s="56">
        <f>IF(AND(OR(BR1097="L1",BR1097="L23"),AK1097&gt;0),SUMIFS($AK$7:$AK$1570,$BR$7:$BR$1570,BR1097,$AN$7:$AN$1570,"&gt;"&amp;AN1097)+SUMIFS($AK$7:$AK$1570,$BR$7:$BR$1570,BR1097,$AN$7:$AN$1570,AN1097,$BL$7:$BL$1570,"&lt;="&amp;BL1097),"")</f>
        <v/>
      </c>
      <c r="AP1097" s="65">
        <f>IF(AO1097="",0,MAX(0,MIN(1,(IF(BR1097="L1",Parameter!$K$5,Parameter!$K$6+Parameter!$K$7)-(AO1097-AK1097))/AK1097)))</f>
        <v/>
      </c>
      <c r="AQ1097" s="55">
        <f>IF(LEFT(Cockpit!$O$5,1)="A",G1097,IF(BT1097=1,BU1097,IF(LEFT(Cockpit!$O$5,1)="B",AU1097,MAX(AU1097,G1097))))</f>
        <v/>
      </c>
      <c r="AR1097" s="55">
        <f>IF(BO1097=1,0,ROUNDUP(AQ1097/BN1097,0))</f>
        <v/>
      </c>
      <c r="AS1097" s="64">
        <f>IF(BO1097=1,IF(AQ1097&lt;=0,0,BP1097*MAX(1,IF(G1097&gt;0,AQ1097/G1097,1))),AR1097*Q1097)</f>
        <v/>
      </c>
      <c r="AT1097" s="55">
        <f>AQ1097*F1097</f>
        <v/>
      </c>
      <c r="AU1097" s="55">
        <f>ROUNDUP(MAX(I1097/IF(BS1097&gt;0,BS1097,MAX(0.1,N(Cockpit!$O$6))),BV1097)/BN1097,0)*BN1097</f>
        <v/>
      </c>
      <c r="AV1097" s="56">
        <f>IF(AS1097&gt;0,I1097/AS1097,-1)</f>
        <v/>
      </c>
      <c r="AW1097" s="56">
        <f>IF(AND(OR(BR1097="L1",BR1097="L23"),AS1097&gt;0),SUMIFS($AS$7:$AS$1570,$BR$7:$BR$1570,BR1097,$AV$7:$AV$1570,"&gt;"&amp;AV1097)+SUMIFS($AS$7:$AS$1570,$BR$7:$BR$1570,BR1097,$AV$7:$AV$1570,AV1097,$BL$7:$BL$1570,"&lt;="&amp;BL1097),"")</f>
        <v/>
      </c>
      <c r="AX1097" s="65">
        <f>IF(AW1097="",0,MAX(0,MIN(1,(IF(BR1097="L1",Parameter!$K$5,Parameter!$K$6+Parameter!$K$7)-(AW1097-AS1097))/AS1097)))</f>
        <v/>
      </c>
      <c r="AY1097" s="53">
        <f>IF(AC1097&lt;=0,"",IF(BR1097="Aussen","Aussenlager",IF(BR1097="-","Nicht im Lift",IF(AH1097&gt;=1,"Lift",IF(AH1097&lt;=0,"Aussenlager","teilweise")))))</f>
        <v/>
      </c>
      <c r="AZ1097" s="53">
        <f>IF(AK1097&lt;=0,"",IF(BR1097="Aussen","Aussenlager",IF(BR1097="-","Nicht im Lift",IF(AP1097&gt;=1,"Lift",IF(AP1097&lt;=0,"Aussenlager","teilweise")))))</f>
        <v/>
      </c>
      <c r="BA1097" s="53">
        <f>IF(AS1097&lt;=0,"",IF(BR1097="Aussen","Aussenlager",IF(BR1097="-","Nicht im Lift",IF(AX1097&gt;=1,"Lift",IF(AX1097&lt;=0,"Aussenlager","teilweise")))))</f>
        <v/>
      </c>
      <c r="BB1097" s="53">
        <f>IF(A1097="","",IF(BK1097=1,"Neu; ","")&amp;IF(AND(BK1097=0,BF1097&lt;0),"negativer Bestand (Export "&amp;BF1097&amp;"); ","")&amp;IF(I1097&lt;=0,"Kein Verbrauch; ","")&amp;IF(BO1097=1,"Lose – Fläche geschätzt; ","")&amp;IF(G1097&gt;AM1097,"Überbestand "&amp;ROUND(G1097-AM1097,0)&amp;" Stk / CHF "&amp;ROUND((G1097-AM1097)*F1097,0)&amp;"; ","")&amp;IF(AND(BT1097=1,BU1097&lt;BV1097),"MAX &lt; MB+LG; ","")&amp;IF(AND(BZ1097&gt;0,BY1097*10&gt;BZ1097),"zu hoch für Tablar; ","")&amp;IF(AND(BK1097=0,OR(BT1097=1,V1097&lt;&gt;"",S1097&lt;&gt;"",T1097&lt;&gt;"",W1097&lt;&gt;"")),"manuell übersteuert; ","")&amp;IF(AND(BO1097=0,Q1097=0),"Gebinde unbekannt; ","")&amp;IF(AND(BO1097=0,N(T1097)&lt;=0,N(P1097)&lt;=0),"Menge pro Gebinde fehlt (Ist = 1 Gebinde); ","")&amp;BJ1097)</f>
        <v/>
      </c>
      <c r="BC1097" s="53" t="n"/>
      <c r="BD1097" s="53" t="n"/>
      <c r="BE1097" s="61" t="n"/>
      <c r="BF1097" s="55" t="n">
        <v>-1</v>
      </c>
      <c r="BG1097" s="55" t="n">
        <v>23</v>
      </c>
      <c r="BH1097" s="54" t="n">
        <v>-205.4</v>
      </c>
      <c r="BI1097" s="55" t="n">
        <v>0</v>
      </c>
      <c r="BJ1097" s="53" t="inlineStr"/>
      <c r="BK1097" s="58" t="n">
        <v>0</v>
      </c>
      <c r="BL1097" s="58" t="n">
        <v>1097</v>
      </c>
      <c r="BM1097" s="53">
        <f>IF(S1097&lt;&gt;"",UPPER(TRIM(S1097)),IF(O1097="","LOSE",O1097))</f>
        <v/>
      </c>
      <c r="BN1097" s="55">
        <f>IF(BM1097="LOSE",1,IF(N(T1097)&gt;0,T1097,IF(N(P1097)&gt;0,P1097,MAX(1,G1097))))</f>
        <v/>
      </c>
      <c r="BO1097" s="58">
        <f>IF(BM1097="LOSE",1,0)</f>
        <v/>
      </c>
      <c r="BP1097" s="64">
        <f>IF(BO1097=0,0,IF(N(R1097)&gt;0,R1097,IFERROR(VLOOKUP(D1097,Parameter!$A$35:$C$64,3,0)+0,0)))</f>
        <v/>
      </c>
      <c r="BQ1097" s="53">
        <f>IF(V1097&lt;&gt;"",V1097,U1097)</f>
        <v/>
      </c>
      <c r="BR1097" s="53">
        <f>IF(BQ1097=1,"L1",IF(OR(BQ1097=2,BQ1097=3),"L23",IF(BQ1097="Aussen","Aussen","-")))</f>
        <v/>
      </c>
      <c r="BS1097" s="66">
        <f>IF(N(W1097)&gt;0,W1097,0)</f>
        <v/>
      </c>
      <c r="BT1097" s="58">
        <f>IF(ISNUMBER(Z1097),1,0)</f>
        <v/>
      </c>
      <c r="BU1097" s="55">
        <f>N(Z1097)</f>
        <v/>
      </c>
      <c r="BV1097" s="55">
        <f>N(L1097)+N(M1097)</f>
        <v/>
      </c>
      <c r="BW1097" s="55">
        <f>ROUNDUP(G1097/BN1097,0)</f>
        <v/>
      </c>
      <c r="BX1097" s="55">
        <f>ROUNDUP(BU1097/BN1097,0)</f>
        <v/>
      </c>
      <c r="BY1097" s="58">
        <f>IF(BO1097=1,0,IFERROR(VLOOKUP(BM1097,'Gebinde-Kategorie'!$A$5:$G$45,5,0)+0,0))</f>
        <v/>
      </c>
      <c r="BZ1097" s="58">
        <f>IFERROR(IF(OR(BQ1097=1,BQ1097=2,BQ1097=3),N(INDEX(Parameter!$I$5:$I$7,BQ1097)),0),0)</f>
        <v/>
      </c>
    </row>
    <row r="1098">
      <c r="A1098" s="53" t="inlineStr">
        <is>
          <t>100347</t>
        </is>
      </c>
      <c r="B1098" s="53" t="inlineStr">
        <is>
          <t>Adapter Stahl verzinkt</t>
        </is>
      </c>
      <c r="C1098" s="53" t="inlineStr">
        <is>
          <t>F</t>
        </is>
      </c>
      <c r="D1098" s="53" t="inlineStr">
        <is>
          <t>KTL</t>
        </is>
      </c>
      <c r="E1098" s="53" t="inlineStr">
        <is>
          <t>C</t>
        </is>
      </c>
      <c r="F1098" s="54" t="n">
        <v>1.85</v>
      </c>
      <c r="G1098" s="55">
        <f>MAX(0,IF(Parameter!$B$20="Jahresanfang 2025 + Export",BG1098+BF1098,BF1098))</f>
        <v/>
      </c>
      <c r="H1098" s="55">
        <f>G1098*F1098</f>
        <v/>
      </c>
      <c r="I1098" s="55">
        <f>BI1098*Parameter!$B$18</f>
        <v/>
      </c>
      <c r="J1098" s="56" t="n">
        <v>409.5</v>
      </c>
      <c r="K1098" s="57" t="n">
        <v>0.6349206349206349</v>
      </c>
      <c r="L1098" s="55" t="n">
        <v>15</v>
      </c>
      <c r="M1098" s="55" t="n">
        <v>260</v>
      </c>
      <c r="N1098" s="58" t="n">
        <v>21</v>
      </c>
      <c r="O1098" s="53" t="inlineStr">
        <is>
          <t>S52</t>
        </is>
      </c>
      <c r="P1098" s="55" t="n">
        <v>832</v>
      </c>
      <c r="Q1098" s="59">
        <f>IF(BO1098=1,0,IFERROR(VLOOKUP(BM1098,'Gebinde-Kategorie'!$A$5:$G$45,6,0)+0,0))</f>
        <v/>
      </c>
      <c r="R1098" s="60" t="n"/>
      <c r="S1098" s="61" t="n"/>
      <c r="T1098" s="61" t="n"/>
      <c r="U1098" s="53">
        <f>IF(A1098="","",IF(IFERROR(VLOOKUP(D1098,Parameter!$A$35:$C$64,2,0),"Nein")="2+3",IF(ISNUMBER(SEARCH("grosser Artikel",BJ1098)),2,IFERROR(VLOOKUP(BM1098,Parameter!$F$35:$G$64,2,0),2)),IF(OR(IFERROR(VLOOKUP(D1098,Parameter!$A$35:$C$64,2,0),"Nein")="Nein",IFERROR(VLOOKUP(D1098,Parameter!$A$35:$C$64,2,0),"Nein")=""),"-",VLOOKUP(D1098,Parameter!$A$35:$C$64,2,0))))</f>
        <v/>
      </c>
      <c r="V1098" s="61" t="n"/>
      <c r="W1098" s="62" t="n"/>
      <c r="X1098" s="55">
        <f>AM1098</f>
        <v/>
      </c>
      <c r="Y1098" s="55">
        <f>MAX(AM1098,G1098)</f>
        <v/>
      </c>
      <c r="Z1098" s="63" t="n"/>
      <c r="AA1098" s="55">
        <f>IF(LEFT(Cockpit!$C$5,1)="A",G1098,IF(BT1098=1,BU1098,IF(LEFT(Cockpit!$C$5,1)="B",AE1098,MAX(AE1098,G1098))))</f>
        <v/>
      </c>
      <c r="AB1098" s="55">
        <f>IF(BO1098=1,0,ROUNDUP(AA1098/BN1098,0))</f>
        <v/>
      </c>
      <c r="AC1098" s="64">
        <f>IF(BO1098=1,IF(AA1098&lt;=0,0,BP1098*MAX(1,IF(G1098&gt;0,AA1098/G1098,1))),AB1098*Q1098)</f>
        <v/>
      </c>
      <c r="AD1098" s="55">
        <f>AA1098*F1098</f>
        <v/>
      </c>
      <c r="AE1098" s="55">
        <f>ROUNDUP(MAX(I1098/IF(BS1098&gt;0,BS1098,MAX(0.1,N(Cockpit!$C$6))),BV1098)/BN1098,0)*BN1098</f>
        <v/>
      </c>
      <c r="AF1098" s="56">
        <f>IF(AC1098&gt;0,I1098/AC1098,-1)</f>
        <v/>
      </c>
      <c r="AG1098" s="56">
        <f>IF(AND(OR(BR1098="L1",BR1098="L23"),AC1098&gt;0),SUMIFS($AC$7:$AC$1570,$BR$7:$BR$1570,BR1098,$AF$7:$AF$1570,"&gt;"&amp;AF1098)+SUMIFS($AC$7:$AC$1570,$BR$7:$BR$1570,BR1098,$AF$7:$AF$1570,AF1098,$BL$7:$BL$1570,"&lt;="&amp;BL1098),"")</f>
        <v/>
      </c>
      <c r="AH1098" s="65">
        <f>IF(AG1098="",0,MAX(0,MIN(1,(IF(BR1098="L1",Parameter!$K$5,Parameter!$K$6+Parameter!$K$7)-(AG1098-AC1098))/AC1098)))</f>
        <v/>
      </c>
      <c r="AI1098" s="55">
        <f>IF(LEFT(Cockpit!$I$5,1)="A",G1098,IF(BT1098=1,BU1098,IF(LEFT(Cockpit!$I$5,1)="B",AM1098,MAX(AM1098,G1098))))</f>
        <v/>
      </c>
      <c r="AJ1098" s="55">
        <f>IF(BO1098=1,0,ROUNDUP(AI1098/BN1098,0))</f>
        <v/>
      </c>
      <c r="AK1098" s="64">
        <f>IF(BO1098=1,IF(AI1098&lt;=0,0,BP1098*MAX(1,IF(G1098&gt;0,AI1098/G1098,1))),AJ1098*Q1098)</f>
        <v/>
      </c>
      <c r="AL1098" s="55">
        <f>AI1098*F1098</f>
        <v/>
      </c>
      <c r="AM1098" s="55">
        <f>ROUNDUP(MAX(I1098/IF(BS1098&gt;0,BS1098,MAX(0.1,N(Cockpit!$I$6))),BV1098)/BN1098,0)*BN1098</f>
        <v/>
      </c>
      <c r="AN1098" s="56">
        <f>IF(AK1098&gt;0,I1098/AK1098,-1)</f>
        <v/>
      </c>
      <c r="AO1098" s="56">
        <f>IF(AND(OR(BR1098="L1",BR1098="L23"),AK1098&gt;0),SUMIFS($AK$7:$AK$1570,$BR$7:$BR$1570,BR1098,$AN$7:$AN$1570,"&gt;"&amp;AN1098)+SUMIFS($AK$7:$AK$1570,$BR$7:$BR$1570,BR1098,$AN$7:$AN$1570,AN1098,$BL$7:$BL$1570,"&lt;="&amp;BL1098),"")</f>
        <v/>
      </c>
      <c r="AP1098" s="65">
        <f>IF(AO1098="",0,MAX(0,MIN(1,(IF(BR1098="L1",Parameter!$K$5,Parameter!$K$6+Parameter!$K$7)-(AO1098-AK1098))/AK1098)))</f>
        <v/>
      </c>
      <c r="AQ1098" s="55">
        <f>IF(LEFT(Cockpit!$O$5,1)="A",G1098,IF(BT1098=1,BU1098,IF(LEFT(Cockpit!$O$5,1)="B",AU1098,MAX(AU1098,G1098))))</f>
        <v/>
      </c>
      <c r="AR1098" s="55">
        <f>IF(BO1098=1,0,ROUNDUP(AQ1098/BN1098,0))</f>
        <v/>
      </c>
      <c r="AS1098" s="64">
        <f>IF(BO1098=1,IF(AQ1098&lt;=0,0,BP1098*MAX(1,IF(G1098&gt;0,AQ1098/G1098,1))),AR1098*Q1098)</f>
        <v/>
      </c>
      <c r="AT1098" s="55">
        <f>AQ1098*F1098</f>
        <v/>
      </c>
      <c r="AU1098" s="55">
        <f>ROUNDUP(MAX(I1098/IF(BS1098&gt;0,BS1098,MAX(0.1,N(Cockpit!$O$6))),BV1098)/BN1098,0)*BN1098</f>
        <v/>
      </c>
      <c r="AV1098" s="56">
        <f>IF(AS1098&gt;0,I1098/AS1098,-1)</f>
        <v/>
      </c>
      <c r="AW1098" s="56">
        <f>IF(AND(OR(BR1098="L1",BR1098="L23"),AS1098&gt;0),SUMIFS($AS$7:$AS$1570,$BR$7:$BR$1570,BR1098,$AV$7:$AV$1570,"&gt;"&amp;AV1098)+SUMIFS($AS$7:$AS$1570,$BR$7:$BR$1570,BR1098,$AV$7:$AV$1570,AV1098,$BL$7:$BL$1570,"&lt;="&amp;BL1098),"")</f>
        <v/>
      </c>
      <c r="AX1098" s="65">
        <f>IF(AW1098="",0,MAX(0,MIN(1,(IF(BR1098="L1",Parameter!$K$5,Parameter!$K$6+Parameter!$K$7)-(AW1098-AS1098))/AS1098)))</f>
        <v/>
      </c>
      <c r="AY1098" s="53">
        <f>IF(AC1098&lt;=0,"",IF(BR1098="Aussen","Aussenlager",IF(BR1098="-","Nicht im Lift",IF(AH1098&gt;=1,"Lift",IF(AH1098&lt;=0,"Aussenlager","teilweise")))))</f>
        <v/>
      </c>
      <c r="AZ1098" s="53">
        <f>IF(AK1098&lt;=0,"",IF(BR1098="Aussen","Aussenlager",IF(BR1098="-","Nicht im Lift",IF(AP1098&gt;=1,"Lift",IF(AP1098&lt;=0,"Aussenlager","teilweise")))))</f>
        <v/>
      </c>
      <c r="BA1098" s="53">
        <f>IF(AS1098&lt;=0,"",IF(BR1098="Aussen","Aussenlager",IF(BR1098="-","Nicht im Lift",IF(AX1098&gt;=1,"Lift",IF(AX1098&lt;=0,"Aussenlager","teilweise")))))</f>
        <v/>
      </c>
      <c r="BB1098" s="53">
        <f>IF(A1098="","",IF(BK1098=1,"Neu; ","")&amp;IF(AND(BK1098=0,BF1098&lt;0),"negativer Bestand (Export "&amp;BF1098&amp;"); ","")&amp;IF(I1098&lt;=0,"Kein Verbrauch; ","")&amp;IF(BO1098=1,"Lose – Fläche geschätzt; ","")&amp;IF(G1098&gt;AM1098,"Überbestand "&amp;ROUND(G1098-AM1098,0)&amp;" Stk / CHF "&amp;ROUND((G1098-AM1098)*F1098,0)&amp;"; ","")&amp;IF(AND(BT1098=1,BU1098&lt;BV1098),"MAX &lt; MB+LG; ","")&amp;IF(AND(BZ1098&gt;0,BY1098*10&gt;BZ1098),"zu hoch für Tablar; ","")&amp;IF(AND(BK1098=0,OR(BT1098=1,V1098&lt;&gt;"",S1098&lt;&gt;"",T1098&lt;&gt;"",W1098&lt;&gt;"")),"manuell übersteuert; ","")&amp;IF(AND(BO1098=0,Q1098=0),"Gebinde unbekannt; ","")&amp;IF(AND(BO1098=0,N(T1098)&lt;=0,N(P1098)&lt;=0),"Menge pro Gebinde fehlt (Ist = 1 Gebinde); ","")&amp;BJ1098)</f>
        <v/>
      </c>
      <c r="BC1098" s="53" t="n"/>
      <c r="BD1098" s="53" t="n"/>
      <c r="BE1098" s="61" t="n"/>
      <c r="BF1098" s="55" t="n">
        <v>-30</v>
      </c>
      <c r="BG1098" s="55" t="n">
        <v>352</v>
      </c>
      <c r="BH1098" s="54" t="n">
        <v>-207.1500000000005</v>
      </c>
      <c r="BI1098" s="55" t="n">
        <v>260</v>
      </c>
      <c r="BJ1098" s="53" t="inlineStr"/>
      <c r="BK1098" s="58" t="n">
        <v>0</v>
      </c>
      <c r="BL1098" s="58" t="n">
        <v>1098</v>
      </c>
      <c r="BM1098" s="53">
        <f>IF(S1098&lt;&gt;"",UPPER(TRIM(S1098)),IF(O1098="","LOSE",O1098))</f>
        <v/>
      </c>
      <c r="BN1098" s="55">
        <f>IF(BM1098="LOSE",1,IF(N(T1098)&gt;0,T1098,IF(N(P1098)&gt;0,P1098,MAX(1,G1098))))</f>
        <v/>
      </c>
      <c r="BO1098" s="58">
        <f>IF(BM1098="LOSE",1,0)</f>
        <v/>
      </c>
      <c r="BP1098" s="64">
        <f>IF(BO1098=0,0,IF(N(R1098)&gt;0,R1098,IFERROR(VLOOKUP(D1098,Parameter!$A$35:$C$64,3,0)+0,0)))</f>
        <v/>
      </c>
      <c r="BQ1098" s="53">
        <f>IF(V1098&lt;&gt;"",V1098,U1098)</f>
        <v/>
      </c>
      <c r="BR1098" s="53">
        <f>IF(BQ1098=1,"L1",IF(OR(BQ1098=2,BQ1098=3),"L23",IF(BQ1098="Aussen","Aussen","-")))</f>
        <v/>
      </c>
      <c r="BS1098" s="66">
        <f>IF(N(W1098)&gt;0,W1098,0)</f>
        <v/>
      </c>
      <c r="BT1098" s="58">
        <f>IF(ISNUMBER(Z1098),1,0)</f>
        <v/>
      </c>
      <c r="BU1098" s="55">
        <f>N(Z1098)</f>
        <v/>
      </c>
      <c r="BV1098" s="55">
        <f>N(L1098)+N(M1098)</f>
        <v/>
      </c>
      <c r="BW1098" s="55">
        <f>ROUNDUP(G1098/BN1098,0)</f>
        <v/>
      </c>
      <c r="BX1098" s="55">
        <f>ROUNDUP(BU1098/BN1098,0)</f>
        <v/>
      </c>
      <c r="BY1098" s="58">
        <f>IF(BO1098=1,0,IFERROR(VLOOKUP(BM1098,'Gebinde-Kategorie'!$A$5:$G$45,5,0)+0,0))</f>
        <v/>
      </c>
      <c r="BZ1098" s="58">
        <f>IFERROR(IF(OR(BQ1098=1,BQ1098=2,BQ1098=3),N(INDEX(Parameter!$I$5:$I$7,BQ1098)),0),0)</f>
        <v/>
      </c>
    </row>
    <row r="1099">
      <c r="A1099" s="53" t="inlineStr">
        <is>
          <t>109162</t>
        </is>
      </c>
      <c r="B1099" s="53" t="inlineStr">
        <is>
          <t>Hochdruck-Ganzmetallschlauch Luft DN6</t>
        </is>
      </c>
      <c r="C1099" s="53" t="inlineStr">
        <is>
          <t>F</t>
        </is>
      </c>
      <c r="D1099" s="53" t="inlineStr">
        <is>
          <t>PAL</t>
        </is>
      </c>
      <c r="E1099" s="53" t="inlineStr">
        <is>
          <t>C</t>
        </is>
      </c>
      <c r="F1099" s="54" t="n">
        <v>166.37</v>
      </c>
      <c r="G1099" s="55">
        <f>MAX(0,IF(Parameter!$B$20="Jahresanfang 2025 + Export",BG1099+BF1099,BF1099))</f>
        <v/>
      </c>
      <c r="H1099" s="55">
        <f>G1099*F1099</f>
        <v/>
      </c>
      <c r="I1099" s="55">
        <f>BI1099*Parameter!$B$18</f>
        <v/>
      </c>
      <c r="J1099" s="56" t="n">
        <v>10.5</v>
      </c>
      <c r="K1099" s="57" t="n">
        <v>1.523809523809524</v>
      </c>
      <c r="L1099" s="55" t="n">
        <v>1</v>
      </c>
      <c r="M1099" s="55" t="n">
        <v>15</v>
      </c>
      <c r="N1099" s="58" t="n">
        <v>35</v>
      </c>
      <c r="O1099" s="53" t="inlineStr">
        <is>
          <t>S71</t>
        </is>
      </c>
      <c r="P1099" s="55" t="n">
        <v>20</v>
      </c>
      <c r="Q1099" s="59">
        <f>IF(BO1099=1,0,IFERROR(VLOOKUP(BM1099,'Gebinde-Kategorie'!$A$5:$G$45,6,0)+0,0))</f>
        <v/>
      </c>
      <c r="R1099" s="60" t="n"/>
      <c r="S1099" s="61" t="n"/>
      <c r="T1099" s="61" t="n"/>
      <c r="U1099" s="53">
        <f>IF(A1099="","",IF(IFERROR(VLOOKUP(D1099,Parameter!$A$35:$C$64,2,0),"Nein")="2+3",IF(ISNUMBER(SEARCH("grosser Artikel",BJ1099)),2,IFERROR(VLOOKUP(BM1099,Parameter!$F$35:$G$64,2,0),2)),IF(OR(IFERROR(VLOOKUP(D1099,Parameter!$A$35:$C$64,2,0),"Nein")="Nein",IFERROR(VLOOKUP(D1099,Parameter!$A$35:$C$64,2,0),"Nein")=""),"-",VLOOKUP(D1099,Parameter!$A$35:$C$64,2,0))))</f>
        <v/>
      </c>
      <c r="V1099" s="61" t="n"/>
      <c r="W1099" s="62" t="n"/>
      <c r="X1099" s="55">
        <f>AM1099</f>
        <v/>
      </c>
      <c r="Y1099" s="55">
        <f>MAX(AM1099,G1099)</f>
        <v/>
      </c>
      <c r="Z1099" s="63" t="n"/>
      <c r="AA1099" s="55">
        <f>IF(LEFT(Cockpit!$C$5,1)="A",G1099,IF(BT1099=1,BU1099,IF(LEFT(Cockpit!$C$5,1)="B",AE1099,MAX(AE1099,G1099))))</f>
        <v/>
      </c>
      <c r="AB1099" s="55">
        <f>IF(BO1099=1,0,ROUNDUP(AA1099/BN1099,0))</f>
        <v/>
      </c>
      <c r="AC1099" s="64">
        <f>IF(BO1099=1,IF(AA1099&lt;=0,0,BP1099*MAX(1,IF(G1099&gt;0,AA1099/G1099,1))),AB1099*Q1099)</f>
        <v/>
      </c>
      <c r="AD1099" s="55">
        <f>AA1099*F1099</f>
        <v/>
      </c>
      <c r="AE1099" s="55">
        <f>ROUNDUP(MAX(I1099/IF(BS1099&gt;0,BS1099,MAX(0.1,N(Cockpit!$C$6))),BV1099)/BN1099,0)*BN1099</f>
        <v/>
      </c>
      <c r="AF1099" s="56">
        <f>IF(AC1099&gt;0,I1099/AC1099,-1)</f>
        <v/>
      </c>
      <c r="AG1099" s="56">
        <f>IF(AND(OR(BR1099="L1",BR1099="L23"),AC1099&gt;0),SUMIFS($AC$7:$AC$1570,$BR$7:$BR$1570,BR1099,$AF$7:$AF$1570,"&gt;"&amp;AF1099)+SUMIFS($AC$7:$AC$1570,$BR$7:$BR$1570,BR1099,$AF$7:$AF$1570,AF1099,$BL$7:$BL$1570,"&lt;="&amp;BL1099),"")</f>
        <v/>
      </c>
      <c r="AH1099" s="65">
        <f>IF(AG1099="",0,MAX(0,MIN(1,(IF(BR1099="L1",Parameter!$K$5,Parameter!$K$6+Parameter!$K$7)-(AG1099-AC1099))/AC1099)))</f>
        <v/>
      </c>
      <c r="AI1099" s="55">
        <f>IF(LEFT(Cockpit!$I$5,1)="A",G1099,IF(BT1099=1,BU1099,IF(LEFT(Cockpit!$I$5,1)="B",AM1099,MAX(AM1099,G1099))))</f>
        <v/>
      </c>
      <c r="AJ1099" s="55">
        <f>IF(BO1099=1,0,ROUNDUP(AI1099/BN1099,0))</f>
        <v/>
      </c>
      <c r="AK1099" s="64">
        <f>IF(BO1099=1,IF(AI1099&lt;=0,0,BP1099*MAX(1,IF(G1099&gt;0,AI1099/G1099,1))),AJ1099*Q1099)</f>
        <v/>
      </c>
      <c r="AL1099" s="55">
        <f>AI1099*F1099</f>
        <v/>
      </c>
      <c r="AM1099" s="55">
        <f>ROUNDUP(MAX(I1099/IF(BS1099&gt;0,BS1099,MAX(0.1,N(Cockpit!$I$6))),BV1099)/BN1099,0)*BN1099</f>
        <v/>
      </c>
      <c r="AN1099" s="56">
        <f>IF(AK1099&gt;0,I1099/AK1099,-1)</f>
        <v/>
      </c>
      <c r="AO1099" s="56">
        <f>IF(AND(OR(BR1099="L1",BR1099="L23"),AK1099&gt;0),SUMIFS($AK$7:$AK$1570,$BR$7:$BR$1570,BR1099,$AN$7:$AN$1570,"&gt;"&amp;AN1099)+SUMIFS($AK$7:$AK$1570,$BR$7:$BR$1570,BR1099,$AN$7:$AN$1570,AN1099,$BL$7:$BL$1570,"&lt;="&amp;BL1099),"")</f>
        <v/>
      </c>
      <c r="AP1099" s="65">
        <f>IF(AO1099="",0,MAX(0,MIN(1,(IF(BR1099="L1",Parameter!$K$5,Parameter!$K$6+Parameter!$K$7)-(AO1099-AK1099))/AK1099)))</f>
        <v/>
      </c>
      <c r="AQ1099" s="55">
        <f>IF(LEFT(Cockpit!$O$5,1)="A",G1099,IF(BT1099=1,BU1099,IF(LEFT(Cockpit!$O$5,1)="B",AU1099,MAX(AU1099,G1099))))</f>
        <v/>
      </c>
      <c r="AR1099" s="55">
        <f>IF(BO1099=1,0,ROUNDUP(AQ1099/BN1099,0))</f>
        <v/>
      </c>
      <c r="AS1099" s="64">
        <f>IF(BO1099=1,IF(AQ1099&lt;=0,0,BP1099*MAX(1,IF(G1099&gt;0,AQ1099/G1099,1))),AR1099*Q1099)</f>
        <v/>
      </c>
      <c r="AT1099" s="55">
        <f>AQ1099*F1099</f>
        <v/>
      </c>
      <c r="AU1099" s="55">
        <f>ROUNDUP(MAX(I1099/IF(BS1099&gt;0,BS1099,MAX(0.1,N(Cockpit!$O$6))),BV1099)/BN1099,0)*BN1099</f>
        <v/>
      </c>
      <c r="AV1099" s="56">
        <f>IF(AS1099&gt;0,I1099/AS1099,-1)</f>
        <v/>
      </c>
      <c r="AW1099" s="56">
        <f>IF(AND(OR(BR1099="L1",BR1099="L23"),AS1099&gt;0),SUMIFS($AS$7:$AS$1570,$BR$7:$BR$1570,BR1099,$AV$7:$AV$1570,"&gt;"&amp;AV1099)+SUMIFS($AS$7:$AS$1570,$BR$7:$BR$1570,BR1099,$AV$7:$AV$1570,AV1099,$BL$7:$BL$1570,"&lt;="&amp;BL1099),"")</f>
        <v/>
      </c>
      <c r="AX1099" s="65">
        <f>IF(AW1099="",0,MAX(0,MIN(1,(IF(BR1099="L1",Parameter!$K$5,Parameter!$K$6+Parameter!$K$7)-(AW1099-AS1099))/AS1099)))</f>
        <v/>
      </c>
      <c r="AY1099" s="53">
        <f>IF(AC1099&lt;=0,"",IF(BR1099="Aussen","Aussenlager",IF(BR1099="-","Nicht im Lift",IF(AH1099&gt;=1,"Lift",IF(AH1099&lt;=0,"Aussenlager","teilweise")))))</f>
        <v/>
      </c>
      <c r="AZ1099" s="53">
        <f>IF(AK1099&lt;=0,"",IF(BR1099="Aussen","Aussenlager",IF(BR1099="-","Nicht im Lift",IF(AP1099&gt;=1,"Lift",IF(AP1099&lt;=0,"Aussenlager","teilweise")))))</f>
        <v/>
      </c>
      <c r="BA1099" s="53">
        <f>IF(AS1099&lt;=0,"",IF(BR1099="Aussen","Aussenlager",IF(BR1099="-","Nicht im Lift",IF(AX1099&gt;=1,"Lift",IF(AX1099&lt;=0,"Aussenlager","teilweise")))))</f>
        <v/>
      </c>
      <c r="BB1099" s="53">
        <f>IF(A1099="","",IF(BK1099=1,"Neu; ","")&amp;IF(AND(BK1099=0,BF1099&lt;0),"negativer Bestand (Export "&amp;BF1099&amp;"); ","")&amp;IF(I1099&lt;=0,"Kein Verbrauch; ","")&amp;IF(BO1099=1,"Lose – Fläche geschätzt; ","")&amp;IF(G1099&gt;AM1099,"Überbestand "&amp;ROUND(G1099-AM1099,0)&amp;" Stk / CHF "&amp;ROUND((G1099-AM1099)*F1099,0)&amp;"; ","")&amp;IF(AND(BT1099=1,BU1099&lt;BV1099),"MAX &lt; MB+LG; ","")&amp;IF(AND(BZ1099&gt;0,BY1099*10&gt;BZ1099),"zu hoch für Tablar; ","")&amp;IF(AND(BK1099=0,OR(BT1099=1,V1099&lt;&gt;"",S1099&lt;&gt;"",T1099&lt;&gt;"",W1099&lt;&gt;"")),"manuell übersteuert; ","")&amp;IF(AND(BO1099=0,Q1099=0),"Gebinde unbekannt; ","")&amp;IF(AND(BO1099=0,N(T1099)&lt;=0,N(P1099)&lt;=0),"Menge pro Gebinde fehlt (Ist = 1 Gebinde); ","")&amp;BJ1099)</f>
        <v/>
      </c>
      <c r="BC1099" s="53" t="n"/>
      <c r="BD1099" s="53" t="n"/>
      <c r="BE1099" s="61" t="n"/>
      <c r="BF1099" s="55" t="n">
        <v>-2</v>
      </c>
      <c r="BG1099" s="55" t="n">
        <v>11</v>
      </c>
      <c r="BH1099" s="54" t="n">
        <v>-212.2900000000004</v>
      </c>
      <c r="BI1099" s="55" t="n">
        <v>16</v>
      </c>
      <c r="BJ1099" s="53" t="inlineStr"/>
      <c r="BK1099" s="58" t="n">
        <v>0</v>
      </c>
      <c r="BL1099" s="58" t="n">
        <v>1099</v>
      </c>
      <c r="BM1099" s="53">
        <f>IF(S1099&lt;&gt;"",UPPER(TRIM(S1099)),IF(O1099="","LOSE",O1099))</f>
        <v/>
      </c>
      <c r="BN1099" s="55">
        <f>IF(BM1099="LOSE",1,IF(N(T1099)&gt;0,T1099,IF(N(P1099)&gt;0,P1099,MAX(1,G1099))))</f>
        <v/>
      </c>
      <c r="BO1099" s="58">
        <f>IF(BM1099="LOSE",1,0)</f>
        <v/>
      </c>
      <c r="BP1099" s="64">
        <f>IF(BO1099=0,0,IF(N(R1099)&gt;0,R1099,IFERROR(VLOOKUP(D1099,Parameter!$A$35:$C$64,3,0)+0,0)))</f>
        <v/>
      </c>
      <c r="BQ1099" s="53">
        <f>IF(V1099&lt;&gt;"",V1099,U1099)</f>
        <v/>
      </c>
      <c r="BR1099" s="53">
        <f>IF(BQ1099=1,"L1",IF(OR(BQ1099=2,BQ1099=3),"L23",IF(BQ1099="Aussen","Aussen","-")))</f>
        <v/>
      </c>
      <c r="BS1099" s="66">
        <f>IF(N(W1099)&gt;0,W1099,0)</f>
        <v/>
      </c>
      <c r="BT1099" s="58">
        <f>IF(ISNUMBER(Z1099),1,0)</f>
        <v/>
      </c>
      <c r="BU1099" s="55">
        <f>N(Z1099)</f>
        <v/>
      </c>
      <c r="BV1099" s="55">
        <f>N(L1099)+N(M1099)</f>
        <v/>
      </c>
      <c r="BW1099" s="55">
        <f>ROUNDUP(G1099/BN1099,0)</f>
        <v/>
      </c>
      <c r="BX1099" s="55">
        <f>ROUNDUP(BU1099/BN1099,0)</f>
        <v/>
      </c>
      <c r="BY1099" s="58">
        <f>IF(BO1099=1,0,IFERROR(VLOOKUP(BM1099,'Gebinde-Kategorie'!$A$5:$G$45,5,0)+0,0))</f>
        <v/>
      </c>
      <c r="BZ1099" s="58">
        <f>IFERROR(IF(OR(BQ1099=1,BQ1099=2,BQ1099=3),N(INDEX(Parameter!$I$5:$I$7,BQ1099)),0),0)</f>
        <v/>
      </c>
    </row>
    <row r="1100">
      <c r="A1100" s="53" t="inlineStr">
        <is>
          <t>005238</t>
        </is>
      </c>
      <c r="B1100" s="53" t="inlineStr">
        <is>
          <t>Sicherung</t>
        </is>
      </c>
      <c r="C1100" s="53" t="inlineStr">
        <is>
          <t>F</t>
        </is>
      </c>
      <c r="D1100" s="53" t="inlineStr">
        <is>
          <t>KTL</t>
        </is>
      </c>
      <c r="E1100" s="53" t="inlineStr">
        <is>
          <t>C</t>
        </is>
      </c>
      <c r="F1100" s="54" t="n">
        <v>106.83</v>
      </c>
      <c r="G1100" s="55">
        <f>MAX(0,IF(Parameter!$B$20="Jahresanfang 2025 + Export",BG1100+BF1100,BF1100))</f>
        <v/>
      </c>
      <c r="H1100" s="55">
        <f>G1100*F1100</f>
        <v/>
      </c>
      <c r="I1100" s="55">
        <f>BI1100*Parameter!$B$18</f>
        <v/>
      </c>
      <c r="J1100" s="56" t="n">
        <v>2</v>
      </c>
      <c r="K1100" s="57" t="n">
        <v>0</v>
      </c>
      <c r="L1100" s="55" t="n">
        <v>0</v>
      </c>
      <c r="M1100" s="55" t="n">
        <v>1</v>
      </c>
      <c r="N1100" s="58" t="n">
        <v>21</v>
      </c>
      <c r="O1100" s="53" t="inlineStr">
        <is>
          <t>S22</t>
        </is>
      </c>
      <c r="P1100" s="55" t="n">
        <v>5</v>
      </c>
      <c r="Q1100" s="59">
        <f>IF(BO1100=1,0,IFERROR(VLOOKUP(BM1100,'Gebinde-Kategorie'!$A$5:$G$45,6,0)+0,0))</f>
        <v/>
      </c>
      <c r="R1100" s="60" t="n"/>
      <c r="S1100" s="61" t="n"/>
      <c r="T1100" s="61" t="n"/>
      <c r="U1100" s="53">
        <f>IF(A1100="","",IF(IFERROR(VLOOKUP(D1100,Parameter!$A$35:$C$64,2,0),"Nein")="2+3",IF(ISNUMBER(SEARCH("grosser Artikel",BJ1100)),2,IFERROR(VLOOKUP(BM1100,Parameter!$F$35:$G$64,2,0),2)),IF(OR(IFERROR(VLOOKUP(D1100,Parameter!$A$35:$C$64,2,0),"Nein")="Nein",IFERROR(VLOOKUP(D1100,Parameter!$A$35:$C$64,2,0),"Nein")=""),"-",VLOOKUP(D1100,Parameter!$A$35:$C$64,2,0))))</f>
        <v/>
      </c>
      <c r="V1100" s="61" t="n"/>
      <c r="W1100" s="62" t="n"/>
      <c r="X1100" s="55">
        <f>AM1100</f>
        <v/>
      </c>
      <c r="Y1100" s="55">
        <f>MAX(AM1100,G1100)</f>
        <v/>
      </c>
      <c r="Z1100" s="63" t="n"/>
      <c r="AA1100" s="55">
        <f>IF(LEFT(Cockpit!$C$5,1)="A",G1100,IF(BT1100=1,BU1100,IF(LEFT(Cockpit!$C$5,1)="B",AE1100,MAX(AE1100,G1100))))</f>
        <v/>
      </c>
      <c r="AB1100" s="55">
        <f>IF(BO1100=1,0,ROUNDUP(AA1100/BN1100,0))</f>
        <v/>
      </c>
      <c r="AC1100" s="64">
        <f>IF(BO1100=1,IF(AA1100&lt;=0,0,BP1100*MAX(1,IF(G1100&gt;0,AA1100/G1100,1))),AB1100*Q1100)</f>
        <v/>
      </c>
      <c r="AD1100" s="55">
        <f>AA1100*F1100</f>
        <v/>
      </c>
      <c r="AE1100" s="55">
        <f>ROUNDUP(MAX(I1100/IF(BS1100&gt;0,BS1100,MAX(0.1,N(Cockpit!$C$6))),BV1100)/BN1100,0)*BN1100</f>
        <v/>
      </c>
      <c r="AF1100" s="56">
        <f>IF(AC1100&gt;0,I1100/AC1100,-1)</f>
        <v/>
      </c>
      <c r="AG1100" s="56">
        <f>IF(AND(OR(BR1100="L1",BR1100="L23"),AC1100&gt;0),SUMIFS($AC$7:$AC$1570,$BR$7:$BR$1570,BR1100,$AF$7:$AF$1570,"&gt;"&amp;AF1100)+SUMIFS($AC$7:$AC$1570,$BR$7:$BR$1570,BR1100,$AF$7:$AF$1570,AF1100,$BL$7:$BL$1570,"&lt;="&amp;BL1100),"")</f>
        <v/>
      </c>
      <c r="AH1100" s="65">
        <f>IF(AG1100="",0,MAX(0,MIN(1,(IF(BR1100="L1",Parameter!$K$5,Parameter!$K$6+Parameter!$K$7)-(AG1100-AC1100))/AC1100)))</f>
        <v/>
      </c>
      <c r="AI1100" s="55">
        <f>IF(LEFT(Cockpit!$I$5,1)="A",G1100,IF(BT1100=1,BU1100,IF(LEFT(Cockpit!$I$5,1)="B",AM1100,MAX(AM1100,G1100))))</f>
        <v/>
      </c>
      <c r="AJ1100" s="55">
        <f>IF(BO1100=1,0,ROUNDUP(AI1100/BN1100,0))</f>
        <v/>
      </c>
      <c r="AK1100" s="64">
        <f>IF(BO1100=1,IF(AI1100&lt;=0,0,BP1100*MAX(1,IF(G1100&gt;0,AI1100/G1100,1))),AJ1100*Q1100)</f>
        <v/>
      </c>
      <c r="AL1100" s="55">
        <f>AI1100*F1100</f>
        <v/>
      </c>
      <c r="AM1100" s="55">
        <f>ROUNDUP(MAX(I1100/IF(BS1100&gt;0,BS1100,MAX(0.1,N(Cockpit!$I$6))),BV1100)/BN1100,0)*BN1100</f>
        <v/>
      </c>
      <c r="AN1100" s="56">
        <f>IF(AK1100&gt;0,I1100/AK1100,-1)</f>
        <v/>
      </c>
      <c r="AO1100" s="56">
        <f>IF(AND(OR(BR1100="L1",BR1100="L23"),AK1100&gt;0),SUMIFS($AK$7:$AK$1570,$BR$7:$BR$1570,BR1100,$AN$7:$AN$1570,"&gt;"&amp;AN1100)+SUMIFS($AK$7:$AK$1570,$BR$7:$BR$1570,BR1100,$AN$7:$AN$1570,AN1100,$BL$7:$BL$1570,"&lt;="&amp;BL1100),"")</f>
        <v/>
      </c>
      <c r="AP1100" s="65">
        <f>IF(AO1100="",0,MAX(0,MIN(1,(IF(BR1100="L1",Parameter!$K$5,Parameter!$K$6+Parameter!$K$7)-(AO1100-AK1100))/AK1100)))</f>
        <v/>
      </c>
      <c r="AQ1100" s="55">
        <f>IF(LEFT(Cockpit!$O$5,1)="A",G1100,IF(BT1100=1,BU1100,IF(LEFT(Cockpit!$O$5,1)="B",AU1100,MAX(AU1100,G1100))))</f>
        <v/>
      </c>
      <c r="AR1100" s="55">
        <f>IF(BO1100=1,0,ROUNDUP(AQ1100/BN1100,0))</f>
        <v/>
      </c>
      <c r="AS1100" s="64">
        <f>IF(BO1100=1,IF(AQ1100&lt;=0,0,BP1100*MAX(1,IF(G1100&gt;0,AQ1100/G1100,1))),AR1100*Q1100)</f>
        <v/>
      </c>
      <c r="AT1100" s="55">
        <f>AQ1100*F1100</f>
        <v/>
      </c>
      <c r="AU1100" s="55">
        <f>ROUNDUP(MAX(I1100/IF(BS1100&gt;0,BS1100,MAX(0.1,N(Cockpit!$O$6))),BV1100)/BN1100,0)*BN1100</f>
        <v/>
      </c>
      <c r="AV1100" s="56">
        <f>IF(AS1100&gt;0,I1100/AS1100,-1)</f>
        <v/>
      </c>
      <c r="AW1100" s="56">
        <f>IF(AND(OR(BR1100="L1",BR1100="L23"),AS1100&gt;0),SUMIFS($AS$7:$AS$1570,$BR$7:$BR$1570,BR1100,$AV$7:$AV$1570,"&gt;"&amp;AV1100)+SUMIFS($AS$7:$AS$1570,$BR$7:$BR$1570,BR1100,$AV$7:$AV$1570,AV1100,$BL$7:$BL$1570,"&lt;="&amp;BL1100),"")</f>
        <v/>
      </c>
      <c r="AX1100" s="65">
        <f>IF(AW1100="",0,MAX(0,MIN(1,(IF(BR1100="L1",Parameter!$K$5,Parameter!$K$6+Parameter!$K$7)-(AW1100-AS1100))/AS1100)))</f>
        <v/>
      </c>
      <c r="AY1100" s="53">
        <f>IF(AC1100&lt;=0,"",IF(BR1100="Aussen","Aussenlager",IF(BR1100="-","Nicht im Lift",IF(AH1100&gt;=1,"Lift",IF(AH1100&lt;=0,"Aussenlager","teilweise")))))</f>
        <v/>
      </c>
      <c r="AZ1100" s="53">
        <f>IF(AK1100&lt;=0,"",IF(BR1100="Aussen","Aussenlager",IF(BR1100="-","Nicht im Lift",IF(AP1100&gt;=1,"Lift",IF(AP1100&lt;=0,"Aussenlager","teilweise")))))</f>
        <v/>
      </c>
      <c r="BA1100" s="53">
        <f>IF(AS1100&lt;=0,"",IF(BR1100="Aussen","Aussenlager",IF(BR1100="-","Nicht im Lift",IF(AX1100&gt;=1,"Lift",IF(AX1100&lt;=0,"Aussenlager","teilweise")))))</f>
        <v/>
      </c>
      <c r="BB1100" s="53">
        <f>IF(A1100="","",IF(BK1100=1,"Neu; ","")&amp;IF(AND(BK1100=0,BF1100&lt;0),"negativer Bestand (Export "&amp;BF1100&amp;"); ","")&amp;IF(I1100&lt;=0,"Kein Verbrauch; ","")&amp;IF(BO1100=1,"Lose – Fläche geschätzt; ","")&amp;IF(G1100&gt;AM1100,"Überbestand "&amp;ROUND(G1100-AM1100,0)&amp;" Stk / CHF "&amp;ROUND((G1100-AM1100)*F1100,0)&amp;"; ","")&amp;IF(AND(BT1100=1,BU1100&lt;BV1100),"MAX &lt; MB+LG; ","")&amp;IF(AND(BZ1100&gt;0,BY1100*10&gt;BZ1100),"zu hoch für Tablar; ","")&amp;IF(AND(BK1100=0,OR(BT1100=1,V1100&lt;&gt;"",S1100&lt;&gt;"",T1100&lt;&gt;"",W1100&lt;&gt;"")),"manuell übersteuert; ","")&amp;IF(AND(BO1100=0,Q1100=0),"Gebinde unbekannt; ","")&amp;IF(AND(BO1100=0,N(T1100)&lt;=0,N(P1100)&lt;=0),"Menge pro Gebinde fehlt (Ist = 1 Gebinde); ","")&amp;BJ1100)</f>
        <v/>
      </c>
      <c r="BC1100" s="53" t="n"/>
      <c r="BD1100" s="53" t="n"/>
      <c r="BE1100" s="61" t="n"/>
      <c r="BF1100" s="55" t="n">
        <v>-2</v>
      </c>
      <c r="BG1100" s="55" t="n">
        <v>3</v>
      </c>
      <c r="BH1100" s="54" t="n">
        <v>-213.66</v>
      </c>
      <c r="BI1100" s="55" t="n">
        <v>0</v>
      </c>
      <c r="BJ1100" s="53" t="inlineStr"/>
      <c r="BK1100" s="58" t="n">
        <v>0</v>
      </c>
      <c r="BL1100" s="58" t="n">
        <v>1100</v>
      </c>
      <c r="BM1100" s="53">
        <f>IF(S1100&lt;&gt;"",UPPER(TRIM(S1100)),IF(O1100="","LOSE",O1100))</f>
        <v/>
      </c>
      <c r="BN1100" s="55">
        <f>IF(BM1100="LOSE",1,IF(N(T1100)&gt;0,T1100,IF(N(P1100)&gt;0,P1100,MAX(1,G1100))))</f>
        <v/>
      </c>
      <c r="BO1100" s="58">
        <f>IF(BM1100="LOSE",1,0)</f>
        <v/>
      </c>
      <c r="BP1100" s="64">
        <f>IF(BO1100=0,0,IF(N(R1100)&gt;0,R1100,IFERROR(VLOOKUP(D1100,Parameter!$A$35:$C$64,3,0)+0,0)))</f>
        <v/>
      </c>
      <c r="BQ1100" s="53">
        <f>IF(V1100&lt;&gt;"",V1100,U1100)</f>
        <v/>
      </c>
      <c r="BR1100" s="53">
        <f>IF(BQ1100=1,"L1",IF(OR(BQ1100=2,BQ1100=3),"L23",IF(BQ1100="Aussen","Aussen","-")))</f>
        <v/>
      </c>
      <c r="BS1100" s="66">
        <f>IF(N(W1100)&gt;0,W1100,0)</f>
        <v/>
      </c>
      <c r="BT1100" s="58">
        <f>IF(ISNUMBER(Z1100),1,0)</f>
        <v/>
      </c>
      <c r="BU1100" s="55">
        <f>N(Z1100)</f>
        <v/>
      </c>
      <c r="BV1100" s="55">
        <f>N(L1100)+N(M1100)</f>
        <v/>
      </c>
      <c r="BW1100" s="55">
        <f>ROUNDUP(G1100/BN1100,0)</f>
        <v/>
      </c>
      <c r="BX1100" s="55">
        <f>ROUNDUP(BU1100/BN1100,0)</f>
        <v/>
      </c>
      <c r="BY1100" s="58">
        <f>IF(BO1100=1,0,IFERROR(VLOOKUP(BM1100,'Gebinde-Kategorie'!$A$5:$G$45,5,0)+0,0))</f>
        <v/>
      </c>
      <c r="BZ1100" s="58">
        <f>IFERROR(IF(OR(BQ1100=1,BQ1100=2,BQ1100=3),N(INDEX(Parameter!$I$5:$I$7,BQ1100)),0),0)</f>
        <v/>
      </c>
    </row>
    <row r="1101">
      <c r="A1101" s="53" t="inlineStr">
        <is>
          <t>005348</t>
        </is>
      </c>
      <c r="B1101" s="53" t="inlineStr">
        <is>
          <t>Zylinderschraube mit Innensechskant</t>
        </is>
      </c>
      <c r="C1101" s="53" t="inlineStr">
        <is>
          <t>F</t>
        </is>
      </c>
      <c r="D1101" s="53" t="inlineStr">
        <is>
          <t>KTL</t>
        </is>
      </c>
      <c r="E1101" s="53" t="inlineStr">
        <is>
          <t>C</t>
        </is>
      </c>
      <c r="F1101" s="54" t="n">
        <v>2.3</v>
      </c>
      <c r="G1101" s="55">
        <f>MAX(0,IF(Parameter!$B$20="Jahresanfang 2025 + Export",BG1101+BF1101,BF1101))</f>
        <v/>
      </c>
      <c r="H1101" s="55">
        <f>G1101*F1101</f>
        <v/>
      </c>
      <c r="I1101" s="55">
        <f>BI1101*Parameter!$B$18</f>
        <v/>
      </c>
      <c r="J1101" s="56" t="n">
        <v>2381.5</v>
      </c>
      <c r="K1101" s="57" t="n">
        <v>0.02015536426621877</v>
      </c>
      <c r="L1101" s="55" t="n">
        <v>2</v>
      </c>
      <c r="M1101" s="55" t="n">
        <v>50</v>
      </c>
      <c r="N1101" s="58" t="n">
        <v>21</v>
      </c>
      <c r="O1101" s="53" t="inlineStr">
        <is>
          <t>S63</t>
        </is>
      </c>
      <c r="P1101" s="55" t="n">
        <v>400</v>
      </c>
      <c r="Q1101" s="59">
        <f>IF(BO1101=1,0,IFERROR(VLOOKUP(BM1101,'Gebinde-Kategorie'!$A$5:$G$45,6,0)+0,0))</f>
        <v/>
      </c>
      <c r="R1101" s="60" t="n"/>
      <c r="S1101" s="61" t="n"/>
      <c r="T1101" s="61" t="n"/>
      <c r="U1101" s="53">
        <f>IF(A1101="","",IF(IFERROR(VLOOKUP(D1101,Parameter!$A$35:$C$64,2,0),"Nein")="2+3",IF(ISNUMBER(SEARCH("grosser Artikel",BJ1101)),2,IFERROR(VLOOKUP(BM1101,Parameter!$F$35:$G$64,2,0),2)),IF(OR(IFERROR(VLOOKUP(D1101,Parameter!$A$35:$C$64,2,0),"Nein")="Nein",IFERROR(VLOOKUP(D1101,Parameter!$A$35:$C$64,2,0),"Nein")=""),"-",VLOOKUP(D1101,Parameter!$A$35:$C$64,2,0))))</f>
        <v/>
      </c>
      <c r="V1101" s="61" t="n"/>
      <c r="W1101" s="62" t="n"/>
      <c r="X1101" s="55">
        <f>AM1101</f>
        <v/>
      </c>
      <c r="Y1101" s="55">
        <f>MAX(AM1101,G1101)</f>
        <v/>
      </c>
      <c r="Z1101" s="63" t="n"/>
      <c r="AA1101" s="55">
        <f>IF(LEFT(Cockpit!$C$5,1)="A",G1101,IF(BT1101=1,BU1101,IF(LEFT(Cockpit!$C$5,1)="B",AE1101,MAX(AE1101,G1101))))</f>
        <v/>
      </c>
      <c r="AB1101" s="55">
        <f>IF(BO1101=1,0,ROUNDUP(AA1101/BN1101,0))</f>
        <v/>
      </c>
      <c r="AC1101" s="64">
        <f>IF(BO1101=1,IF(AA1101&lt;=0,0,BP1101*MAX(1,IF(G1101&gt;0,AA1101/G1101,1))),AB1101*Q1101)</f>
        <v/>
      </c>
      <c r="AD1101" s="55">
        <f>AA1101*F1101</f>
        <v/>
      </c>
      <c r="AE1101" s="55">
        <f>ROUNDUP(MAX(I1101/IF(BS1101&gt;0,BS1101,MAX(0.1,N(Cockpit!$C$6))),BV1101)/BN1101,0)*BN1101</f>
        <v/>
      </c>
      <c r="AF1101" s="56">
        <f>IF(AC1101&gt;0,I1101/AC1101,-1)</f>
        <v/>
      </c>
      <c r="AG1101" s="56">
        <f>IF(AND(OR(BR1101="L1",BR1101="L23"),AC1101&gt;0),SUMIFS($AC$7:$AC$1570,$BR$7:$BR$1570,BR1101,$AF$7:$AF$1570,"&gt;"&amp;AF1101)+SUMIFS($AC$7:$AC$1570,$BR$7:$BR$1570,BR1101,$AF$7:$AF$1570,AF1101,$BL$7:$BL$1570,"&lt;="&amp;BL1101),"")</f>
        <v/>
      </c>
      <c r="AH1101" s="65">
        <f>IF(AG1101="",0,MAX(0,MIN(1,(IF(BR1101="L1",Parameter!$K$5,Parameter!$K$6+Parameter!$K$7)-(AG1101-AC1101))/AC1101)))</f>
        <v/>
      </c>
      <c r="AI1101" s="55">
        <f>IF(LEFT(Cockpit!$I$5,1)="A",G1101,IF(BT1101=1,BU1101,IF(LEFT(Cockpit!$I$5,1)="B",AM1101,MAX(AM1101,G1101))))</f>
        <v/>
      </c>
      <c r="AJ1101" s="55">
        <f>IF(BO1101=1,0,ROUNDUP(AI1101/BN1101,0))</f>
        <v/>
      </c>
      <c r="AK1101" s="64">
        <f>IF(BO1101=1,IF(AI1101&lt;=0,0,BP1101*MAX(1,IF(G1101&gt;0,AI1101/G1101,1))),AJ1101*Q1101)</f>
        <v/>
      </c>
      <c r="AL1101" s="55">
        <f>AI1101*F1101</f>
        <v/>
      </c>
      <c r="AM1101" s="55">
        <f>ROUNDUP(MAX(I1101/IF(BS1101&gt;0,BS1101,MAX(0.1,N(Cockpit!$I$6))),BV1101)/BN1101,0)*BN1101</f>
        <v/>
      </c>
      <c r="AN1101" s="56">
        <f>IF(AK1101&gt;0,I1101/AK1101,-1)</f>
        <v/>
      </c>
      <c r="AO1101" s="56">
        <f>IF(AND(OR(BR1101="L1",BR1101="L23"),AK1101&gt;0),SUMIFS($AK$7:$AK$1570,$BR$7:$BR$1570,BR1101,$AN$7:$AN$1570,"&gt;"&amp;AN1101)+SUMIFS($AK$7:$AK$1570,$BR$7:$BR$1570,BR1101,$AN$7:$AN$1570,AN1101,$BL$7:$BL$1570,"&lt;="&amp;BL1101),"")</f>
        <v/>
      </c>
      <c r="AP1101" s="65">
        <f>IF(AO1101="",0,MAX(0,MIN(1,(IF(BR1101="L1",Parameter!$K$5,Parameter!$K$6+Parameter!$K$7)-(AO1101-AK1101))/AK1101)))</f>
        <v/>
      </c>
      <c r="AQ1101" s="55">
        <f>IF(LEFT(Cockpit!$O$5,1)="A",G1101,IF(BT1101=1,BU1101,IF(LEFT(Cockpit!$O$5,1)="B",AU1101,MAX(AU1101,G1101))))</f>
        <v/>
      </c>
      <c r="AR1101" s="55">
        <f>IF(BO1101=1,0,ROUNDUP(AQ1101/BN1101,0))</f>
        <v/>
      </c>
      <c r="AS1101" s="64">
        <f>IF(BO1101=1,IF(AQ1101&lt;=0,0,BP1101*MAX(1,IF(G1101&gt;0,AQ1101/G1101,1))),AR1101*Q1101)</f>
        <v/>
      </c>
      <c r="AT1101" s="55">
        <f>AQ1101*F1101</f>
        <v/>
      </c>
      <c r="AU1101" s="55">
        <f>ROUNDUP(MAX(I1101/IF(BS1101&gt;0,BS1101,MAX(0.1,N(Cockpit!$O$6))),BV1101)/BN1101,0)*BN1101</f>
        <v/>
      </c>
      <c r="AV1101" s="56">
        <f>IF(AS1101&gt;0,I1101/AS1101,-1)</f>
        <v/>
      </c>
      <c r="AW1101" s="56">
        <f>IF(AND(OR(BR1101="L1",BR1101="L23"),AS1101&gt;0),SUMIFS($AS$7:$AS$1570,$BR$7:$BR$1570,BR1101,$AV$7:$AV$1570,"&gt;"&amp;AV1101)+SUMIFS($AS$7:$AS$1570,$BR$7:$BR$1570,BR1101,$AV$7:$AV$1570,AV1101,$BL$7:$BL$1570,"&lt;="&amp;BL1101),"")</f>
        <v/>
      </c>
      <c r="AX1101" s="65">
        <f>IF(AW1101="",0,MAX(0,MIN(1,(IF(BR1101="L1",Parameter!$K$5,Parameter!$K$6+Parameter!$K$7)-(AW1101-AS1101))/AS1101)))</f>
        <v/>
      </c>
      <c r="AY1101" s="53">
        <f>IF(AC1101&lt;=0,"",IF(BR1101="Aussen","Aussenlager",IF(BR1101="-","Nicht im Lift",IF(AH1101&gt;=1,"Lift",IF(AH1101&lt;=0,"Aussenlager","teilweise")))))</f>
        <v/>
      </c>
      <c r="AZ1101" s="53">
        <f>IF(AK1101&lt;=0,"",IF(BR1101="Aussen","Aussenlager",IF(BR1101="-","Nicht im Lift",IF(AP1101&gt;=1,"Lift",IF(AP1101&lt;=0,"Aussenlager","teilweise")))))</f>
        <v/>
      </c>
      <c r="BA1101" s="53">
        <f>IF(AS1101&lt;=0,"",IF(BR1101="Aussen","Aussenlager",IF(BR1101="-","Nicht im Lift",IF(AX1101&gt;=1,"Lift",IF(AX1101&lt;=0,"Aussenlager","teilweise")))))</f>
        <v/>
      </c>
      <c r="BB1101" s="53">
        <f>IF(A1101="","",IF(BK1101=1,"Neu; ","")&amp;IF(AND(BK1101=0,BF1101&lt;0),"negativer Bestand (Export "&amp;BF1101&amp;"); ","")&amp;IF(I1101&lt;=0,"Kein Verbrauch; ","")&amp;IF(BO1101=1,"Lose – Fläche geschätzt; ","")&amp;IF(G1101&gt;AM1101,"Überbestand "&amp;ROUND(G1101-AM1101,0)&amp;" Stk / CHF "&amp;ROUND((G1101-AM1101)*F1101,0)&amp;"; ","")&amp;IF(AND(BT1101=1,BU1101&lt;BV1101),"MAX &lt; MB+LG; ","")&amp;IF(AND(BZ1101&gt;0,BY1101*10&gt;BZ1101),"zu hoch für Tablar; ","")&amp;IF(AND(BK1101=0,OR(BT1101=1,V1101&lt;&gt;"",S1101&lt;&gt;"",T1101&lt;&gt;"",W1101&lt;&gt;"")),"manuell übersteuert; ","")&amp;IF(AND(BO1101=0,Q1101=0),"Gebinde unbekannt; ","")&amp;IF(AND(BO1101=0,N(T1101)&lt;=0,N(P1101)&lt;=0),"Menge pro Gebinde fehlt (Ist = 1 Gebinde); ","")&amp;BJ1101)</f>
        <v/>
      </c>
      <c r="BC1101" s="53" t="n"/>
      <c r="BD1101" s="53" t="n"/>
      <c r="BE1101" s="61" t="n"/>
      <c r="BF1101" s="55" t="n">
        <v>-93</v>
      </c>
      <c r="BG1101" s="55" t="n">
        <v>2400</v>
      </c>
      <c r="BH1101" s="54" t="n">
        <v>-213.8999999999998</v>
      </c>
      <c r="BI1101" s="55" t="n">
        <v>48</v>
      </c>
      <c r="BJ1101" s="53" t="inlineStr"/>
      <c r="BK1101" s="58" t="n">
        <v>0</v>
      </c>
      <c r="BL1101" s="58" t="n">
        <v>1101</v>
      </c>
      <c r="BM1101" s="53">
        <f>IF(S1101&lt;&gt;"",UPPER(TRIM(S1101)),IF(O1101="","LOSE",O1101))</f>
        <v/>
      </c>
      <c r="BN1101" s="55">
        <f>IF(BM1101="LOSE",1,IF(N(T1101)&gt;0,T1101,IF(N(P1101)&gt;0,P1101,MAX(1,G1101))))</f>
        <v/>
      </c>
      <c r="BO1101" s="58">
        <f>IF(BM1101="LOSE",1,0)</f>
        <v/>
      </c>
      <c r="BP1101" s="64">
        <f>IF(BO1101=0,0,IF(N(R1101)&gt;0,R1101,IFERROR(VLOOKUP(D1101,Parameter!$A$35:$C$64,3,0)+0,0)))</f>
        <v/>
      </c>
      <c r="BQ1101" s="53">
        <f>IF(V1101&lt;&gt;"",V1101,U1101)</f>
        <v/>
      </c>
      <c r="BR1101" s="53">
        <f>IF(BQ1101=1,"L1",IF(OR(BQ1101=2,BQ1101=3),"L23",IF(BQ1101="Aussen","Aussen","-")))</f>
        <v/>
      </c>
      <c r="BS1101" s="66">
        <f>IF(N(W1101)&gt;0,W1101,0)</f>
        <v/>
      </c>
      <c r="BT1101" s="58">
        <f>IF(ISNUMBER(Z1101),1,0)</f>
        <v/>
      </c>
      <c r="BU1101" s="55">
        <f>N(Z1101)</f>
        <v/>
      </c>
      <c r="BV1101" s="55">
        <f>N(L1101)+N(M1101)</f>
        <v/>
      </c>
      <c r="BW1101" s="55">
        <f>ROUNDUP(G1101/BN1101,0)</f>
        <v/>
      </c>
      <c r="BX1101" s="55">
        <f>ROUNDUP(BU1101/BN1101,0)</f>
        <v/>
      </c>
      <c r="BY1101" s="58">
        <f>IF(BO1101=1,0,IFERROR(VLOOKUP(BM1101,'Gebinde-Kategorie'!$A$5:$G$45,5,0)+0,0))</f>
        <v/>
      </c>
      <c r="BZ1101" s="58">
        <f>IFERROR(IF(OR(BQ1101=1,BQ1101=2,BQ1101=3),N(INDEX(Parameter!$I$5:$I$7,BQ1101)),0),0)</f>
        <v/>
      </c>
    </row>
    <row r="1102">
      <c r="A1102" s="53" t="inlineStr">
        <is>
          <t>106959</t>
        </is>
      </c>
      <c r="B1102" s="53" t="inlineStr">
        <is>
          <t>Sicheres digtales Eingangsmodul</t>
        </is>
      </c>
      <c r="C1102" s="53" t="inlineStr">
        <is>
          <t>F</t>
        </is>
      </c>
      <c r="D1102" s="53" t="inlineStr">
        <is>
          <t>KTL</t>
        </is>
      </c>
      <c r="E1102" s="53" t="inlineStr">
        <is>
          <t>C</t>
        </is>
      </c>
      <c r="F1102" s="54" t="n">
        <v>71.61</v>
      </c>
      <c r="G1102" s="55">
        <f>MAX(0,IF(Parameter!$B$20="Jahresanfang 2025 + Export",BG1102+BF1102,BF1102))</f>
        <v/>
      </c>
      <c r="H1102" s="55">
        <f>G1102*F1102</f>
        <v/>
      </c>
      <c r="I1102" s="55">
        <f>BI1102*Parameter!$B$18</f>
        <v/>
      </c>
      <c r="J1102" s="56" t="n">
        <v>60</v>
      </c>
      <c r="K1102" s="57" t="n">
        <v>0.03333333333333333</v>
      </c>
      <c r="L1102" s="55" t="n">
        <v>0</v>
      </c>
      <c r="M1102" s="55" t="n">
        <v>1</v>
      </c>
      <c r="N1102" s="58" t="n">
        <v>63</v>
      </c>
      <c r="O1102" s="53" t="inlineStr">
        <is>
          <t>S52</t>
        </is>
      </c>
      <c r="P1102" s="55" t="n">
        <v>60</v>
      </c>
      <c r="Q1102" s="59">
        <f>IF(BO1102=1,0,IFERROR(VLOOKUP(BM1102,'Gebinde-Kategorie'!$A$5:$G$45,6,0)+0,0))</f>
        <v/>
      </c>
      <c r="R1102" s="60" t="n"/>
      <c r="S1102" s="61" t="n"/>
      <c r="T1102" s="61" t="n"/>
      <c r="U1102" s="53">
        <f>IF(A1102="","",IF(IFERROR(VLOOKUP(D1102,Parameter!$A$35:$C$64,2,0),"Nein")="2+3",IF(ISNUMBER(SEARCH("grosser Artikel",BJ1102)),2,IFERROR(VLOOKUP(BM1102,Parameter!$F$35:$G$64,2,0),2)),IF(OR(IFERROR(VLOOKUP(D1102,Parameter!$A$35:$C$64,2,0),"Nein")="Nein",IFERROR(VLOOKUP(D1102,Parameter!$A$35:$C$64,2,0),"Nein")=""),"-",VLOOKUP(D1102,Parameter!$A$35:$C$64,2,0))))</f>
        <v/>
      </c>
      <c r="V1102" s="61" t="n"/>
      <c r="W1102" s="62" t="n"/>
      <c r="X1102" s="55">
        <f>AM1102</f>
        <v/>
      </c>
      <c r="Y1102" s="55">
        <f>MAX(AM1102,G1102)</f>
        <v/>
      </c>
      <c r="Z1102" s="63" t="n"/>
      <c r="AA1102" s="55">
        <f>IF(LEFT(Cockpit!$C$5,1)="A",G1102,IF(BT1102=1,BU1102,IF(LEFT(Cockpit!$C$5,1)="B",AE1102,MAX(AE1102,G1102))))</f>
        <v/>
      </c>
      <c r="AB1102" s="55">
        <f>IF(BO1102=1,0,ROUNDUP(AA1102/BN1102,0))</f>
        <v/>
      </c>
      <c r="AC1102" s="64">
        <f>IF(BO1102=1,IF(AA1102&lt;=0,0,BP1102*MAX(1,IF(G1102&gt;0,AA1102/G1102,1))),AB1102*Q1102)</f>
        <v/>
      </c>
      <c r="AD1102" s="55">
        <f>AA1102*F1102</f>
        <v/>
      </c>
      <c r="AE1102" s="55">
        <f>ROUNDUP(MAX(I1102/IF(BS1102&gt;0,BS1102,MAX(0.1,N(Cockpit!$C$6))),BV1102)/BN1102,0)*BN1102</f>
        <v/>
      </c>
      <c r="AF1102" s="56">
        <f>IF(AC1102&gt;0,I1102/AC1102,-1)</f>
        <v/>
      </c>
      <c r="AG1102" s="56">
        <f>IF(AND(OR(BR1102="L1",BR1102="L23"),AC1102&gt;0),SUMIFS($AC$7:$AC$1570,$BR$7:$BR$1570,BR1102,$AF$7:$AF$1570,"&gt;"&amp;AF1102)+SUMIFS($AC$7:$AC$1570,$BR$7:$BR$1570,BR1102,$AF$7:$AF$1570,AF1102,$BL$7:$BL$1570,"&lt;="&amp;BL1102),"")</f>
        <v/>
      </c>
      <c r="AH1102" s="65">
        <f>IF(AG1102="",0,MAX(0,MIN(1,(IF(BR1102="L1",Parameter!$K$5,Parameter!$K$6+Parameter!$K$7)-(AG1102-AC1102))/AC1102)))</f>
        <v/>
      </c>
      <c r="AI1102" s="55">
        <f>IF(LEFT(Cockpit!$I$5,1)="A",G1102,IF(BT1102=1,BU1102,IF(LEFT(Cockpit!$I$5,1)="B",AM1102,MAX(AM1102,G1102))))</f>
        <v/>
      </c>
      <c r="AJ1102" s="55">
        <f>IF(BO1102=1,0,ROUNDUP(AI1102/BN1102,0))</f>
        <v/>
      </c>
      <c r="AK1102" s="64">
        <f>IF(BO1102=1,IF(AI1102&lt;=0,0,BP1102*MAX(1,IF(G1102&gt;0,AI1102/G1102,1))),AJ1102*Q1102)</f>
        <v/>
      </c>
      <c r="AL1102" s="55">
        <f>AI1102*F1102</f>
        <v/>
      </c>
      <c r="AM1102" s="55">
        <f>ROUNDUP(MAX(I1102/IF(BS1102&gt;0,BS1102,MAX(0.1,N(Cockpit!$I$6))),BV1102)/BN1102,0)*BN1102</f>
        <v/>
      </c>
      <c r="AN1102" s="56">
        <f>IF(AK1102&gt;0,I1102/AK1102,-1)</f>
        <v/>
      </c>
      <c r="AO1102" s="56">
        <f>IF(AND(OR(BR1102="L1",BR1102="L23"),AK1102&gt;0),SUMIFS($AK$7:$AK$1570,$BR$7:$BR$1570,BR1102,$AN$7:$AN$1570,"&gt;"&amp;AN1102)+SUMIFS($AK$7:$AK$1570,$BR$7:$BR$1570,BR1102,$AN$7:$AN$1570,AN1102,$BL$7:$BL$1570,"&lt;="&amp;BL1102),"")</f>
        <v/>
      </c>
      <c r="AP1102" s="65">
        <f>IF(AO1102="",0,MAX(0,MIN(1,(IF(BR1102="L1",Parameter!$K$5,Parameter!$K$6+Parameter!$K$7)-(AO1102-AK1102))/AK1102)))</f>
        <v/>
      </c>
      <c r="AQ1102" s="55">
        <f>IF(LEFT(Cockpit!$O$5,1)="A",G1102,IF(BT1102=1,BU1102,IF(LEFT(Cockpit!$O$5,1)="B",AU1102,MAX(AU1102,G1102))))</f>
        <v/>
      </c>
      <c r="AR1102" s="55">
        <f>IF(BO1102=1,0,ROUNDUP(AQ1102/BN1102,0))</f>
        <v/>
      </c>
      <c r="AS1102" s="64">
        <f>IF(BO1102=1,IF(AQ1102&lt;=0,0,BP1102*MAX(1,IF(G1102&gt;0,AQ1102/G1102,1))),AR1102*Q1102)</f>
        <v/>
      </c>
      <c r="AT1102" s="55">
        <f>AQ1102*F1102</f>
        <v/>
      </c>
      <c r="AU1102" s="55">
        <f>ROUNDUP(MAX(I1102/IF(BS1102&gt;0,BS1102,MAX(0.1,N(Cockpit!$O$6))),BV1102)/BN1102,0)*BN1102</f>
        <v/>
      </c>
      <c r="AV1102" s="56">
        <f>IF(AS1102&gt;0,I1102/AS1102,-1)</f>
        <v/>
      </c>
      <c r="AW1102" s="56">
        <f>IF(AND(OR(BR1102="L1",BR1102="L23"),AS1102&gt;0),SUMIFS($AS$7:$AS$1570,$BR$7:$BR$1570,BR1102,$AV$7:$AV$1570,"&gt;"&amp;AV1102)+SUMIFS($AS$7:$AS$1570,$BR$7:$BR$1570,BR1102,$AV$7:$AV$1570,AV1102,$BL$7:$BL$1570,"&lt;="&amp;BL1102),"")</f>
        <v/>
      </c>
      <c r="AX1102" s="65">
        <f>IF(AW1102="",0,MAX(0,MIN(1,(IF(BR1102="L1",Parameter!$K$5,Parameter!$K$6+Parameter!$K$7)-(AW1102-AS1102))/AS1102)))</f>
        <v/>
      </c>
      <c r="AY1102" s="53">
        <f>IF(AC1102&lt;=0,"",IF(BR1102="Aussen","Aussenlager",IF(BR1102="-","Nicht im Lift",IF(AH1102&gt;=1,"Lift",IF(AH1102&lt;=0,"Aussenlager","teilweise")))))</f>
        <v/>
      </c>
      <c r="AZ1102" s="53">
        <f>IF(AK1102&lt;=0,"",IF(BR1102="Aussen","Aussenlager",IF(BR1102="-","Nicht im Lift",IF(AP1102&gt;=1,"Lift",IF(AP1102&lt;=0,"Aussenlager","teilweise")))))</f>
        <v/>
      </c>
      <c r="BA1102" s="53">
        <f>IF(AS1102&lt;=0,"",IF(BR1102="Aussen","Aussenlager",IF(BR1102="-","Nicht im Lift",IF(AX1102&gt;=1,"Lift",IF(AX1102&lt;=0,"Aussenlager","teilweise")))))</f>
        <v/>
      </c>
      <c r="BB1102" s="53">
        <f>IF(A1102="","",IF(BK1102=1,"Neu; ","")&amp;IF(AND(BK1102=0,BF1102&lt;0),"negativer Bestand (Export "&amp;BF1102&amp;"); ","")&amp;IF(I1102&lt;=0,"Kein Verbrauch; ","")&amp;IF(BO1102=1,"Lose – Fläche geschätzt; ","")&amp;IF(G1102&gt;AM1102,"Überbestand "&amp;ROUND(G1102-AM1102,0)&amp;" Stk / CHF "&amp;ROUND((G1102-AM1102)*F1102,0)&amp;"; ","")&amp;IF(AND(BT1102=1,BU1102&lt;BV1102),"MAX &lt; MB+LG; ","")&amp;IF(AND(BZ1102&gt;0,BY1102*10&gt;BZ1102),"zu hoch für Tablar; ","")&amp;IF(AND(BK1102=0,OR(BT1102=1,V1102&lt;&gt;"",S1102&lt;&gt;"",T1102&lt;&gt;"",W1102&lt;&gt;"")),"manuell übersteuert; ","")&amp;IF(AND(BO1102=0,Q1102=0),"Gebinde unbekannt; ","")&amp;IF(AND(BO1102=0,N(T1102)&lt;=0,N(P1102)&lt;=0),"Menge pro Gebinde fehlt (Ist = 1 Gebinde); ","")&amp;BJ1102)</f>
        <v/>
      </c>
      <c r="BC1102" s="53" t="n"/>
      <c r="BD1102" s="53" t="n"/>
      <c r="BE1102" s="61" t="n"/>
      <c r="BF1102" s="55" t="n">
        <v>-3</v>
      </c>
      <c r="BG1102" s="55" t="n">
        <v>61</v>
      </c>
      <c r="BH1102" s="54" t="n">
        <v>-214.83</v>
      </c>
      <c r="BI1102" s="55" t="n">
        <v>2</v>
      </c>
      <c r="BJ1102" s="53" t="inlineStr">
        <is>
          <t>i.o</t>
        </is>
      </c>
      <c r="BK1102" s="58" t="n">
        <v>0</v>
      </c>
      <c r="BL1102" s="58" t="n">
        <v>1102</v>
      </c>
      <c r="BM1102" s="53">
        <f>IF(S1102&lt;&gt;"",UPPER(TRIM(S1102)),IF(O1102="","LOSE",O1102))</f>
        <v/>
      </c>
      <c r="BN1102" s="55">
        <f>IF(BM1102="LOSE",1,IF(N(T1102)&gt;0,T1102,IF(N(P1102)&gt;0,P1102,MAX(1,G1102))))</f>
        <v/>
      </c>
      <c r="BO1102" s="58">
        <f>IF(BM1102="LOSE",1,0)</f>
        <v/>
      </c>
      <c r="BP1102" s="64">
        <f>IF(BO1102=0,0,IF(N(R1102)&gt;0,R1102,IFERROR(VLOOKUP(D1102,Parameter!$A$35:$C$64,3,0)+0,0)))</f>
        <v/>
      </c>
      <c r="BQ1102" s="53">
        <f>IF(V1102&lt;&gt;"",V1102,U1102)</f>
        <v/>
      </c>
      <c r="BR1102" s="53">
        <f>IF(BQ1102=1,"L1",IF(OR(BQ1102=2,BQ1102=3),"L23",IF(BQ1102="Aussen","Aussen","-")))</f>
        <v/>
      </c>
      <c r="BS1102" s="66">
        <f>IF(N(W1102)&gt;0,W1102,0)</f>
        <v/>
      </c>
      <c r="BT1102" s="58">
        <f>IF(ISNUMBER(Z1102),1,0)</f>
        <v/>
      </c>
      <c r="BU1102" s="55">
        <f>N(Z1102)</f>
        <v/>
      </c>
      <c r="BV1102" s="55">
        <f>N(L1102)+N(M1102)</f>
        <v/>
      </c>
      <c r="BW1102" s="55">
        <f>ROUNDUP(G1102/BN1102,0)</f>
        <v/>
      </c>
      <c r="BX1102" s="55">
        <f>ROUNDUP(BU1102/BN1102,0)</f>
        <v/>
      </c>
      <c r="BY1102" s="58">
        <f>IF(BO1102=1,0,IFERROR(VLOOKUP(BM1102,'Gebinde-Kategorie'!$A$5:$G$45,5,0)+0,0))</f>
        <v/>
      </c>
      <c r="BZ1102" s="58">
        <f>IFERROR(IF(OR(BQ1102=1,BQ1102=2,BQ1102=3),N(INDEX(Parameter!$I$5:$I$7,BQ1102)),0),0)</f>
        <v/>
      </c>
    </row>
    <row r="1103">
      <c r="A1103" s="53" t="inlineStr">
        <is>
          <t>109342</t>
        </is>
      </c>
      <c r="B1103" s="53" t="inlineStr">
        <is>
          <t>Adapter Bündelanschluss Druckluft</t>
        </is>
      </c>
      <c r="C1103" s="53" t="inlineStr">
        <is>
          <t>F</t>
        </is>
      </c>
      <c r="D1103" s="53" t="inlineStr">
        <is>
          <t>KTL</t>
        </is>
      </c>
      <c r="E1103" s="53" t="inlineStr">
        <is>
          <t>C</t>
        </is>
      </c>
      <c r="F1103" s="54" t="n">
        <v>83.58</v>
      </c>
      <c r="G1103" s="55">
        <f>MAX(0,IF(Parameter!$B$20="Jahresanfang 2025 + Export",BG1103+BF1103,BF1103))</f>
        <v/>
      </c>
      <c r="H1103" s="55">
        <f>G1103*F1103</f>
        <v/>
      </c>
      <c r="I1103" s="55">
        <f>BI1103*Parameter!$B$18</f>
        <v/>
      </c>
      <c r="J1103" s="56" t="n">
        <v>4.5</v>
      </c>
      <c r="K1103" s="57" t="n">
        <v>0.2222222222222222</v>
      </c>
      <c r="L1103" s="55" t="n">
        <v>0</v>
      </c>
      <c r="M1103" s="55" t="n">
        <v>1</v>
      </c>
      <c r="N1103" s="58" t="n">
        <v>35</v>
      </c>
      <c r="O1103" s="53" t="inlineStr">
        <is>
          <t>LOSE</t>
        </is>
      </c>
      <c r="P1103" s="55" t="n"/>
      <c r="Q1103" s="59">
        <f>IF(BO1103=1,0,IFERROR(VLOOKUP(BM1103,'Gebinde-Kategorie'!$A$5:$G$45,6,0)+0,0))</f>
        <v/>
      </c>
      <c r="R1103" s="60" t="n"/>
      <c r="S1103" s="61" t="n"/>
      <c r="T1103" s="61" t="n"/>
      <c r="U1103" s="53">
        <f>IF(A1103="","",IF(IFERROR(VLOOKUP(D1103,Parameter!$A$35:$C$64,2,0),"Nein")="2+3",IF(ISNUMBER(SEARCH("grosser Artikel",BJ1103)),2,IFERROR(VLOOKUP(BM1103,Parameter!$F$35:$G$64,2,0),2)),IF(OR(IFERROR(VLOOKUP(D1103,Parameter!$A$35:$C$64,2,0),"Nein")="Nein",IFERROR(VLOOKUP(D1103,Parameter!$A$35:$C$64,2,0),"Nein")=""),"-",VLOOKUP(D1103,Parameter!$A$35:$C$64,2,0))))</f>
        <v/>
      </c>
      <c r="V1103" s="61" t="n"/>
      <c r="W1103" s="62" t="n"/>
      <c r="X1103" s="55">
        <f>AM1103</f>
        <v/>
      </c>
      <c r="Y1103" s="55">
        <f>MAX(AM1103,G1103)</f>
        <v/>
      </c>
      <c r="Z1103" s="63" t="n"/>
      <c r="AA1103" s="55">
        <f>IF(LEFT(Cockpit!$C$5,1)="A",G1103,IF(BT1103=1,BU1103,IF(LEFT(Cockpit!$C$5,1)="B",AE1103,MAX(AE1103,G1103))))</f>
        <v/>
      </c>
      <c r="AB1103" s="55">
        <f>IF(BO1103=1,0,ROUNDUP(AA1103/BN1103,0))</f>
        <v/>
      </c>
      <c r="AC1103" s="64">
        <f>IF(BO1103=1,IF(AA1103&lt;=0,0,BP1103*MAX(1,IF(G1103&gt;0,AA1103/G1103,1))),AB1103*Q1103)</f>
        <v/>
      </c>
      <c r="AD1103" s="55">
        <f>AA1103*F1103</f>
        <v/>
      </c>
      <c r="AE1103" s="55">
        <f>ROUNDUP(MAX(I1103/IF(BS1103&gt;0,BS1103,MAX(0.1,N(Cockpit!$C$6))),BV1103)/BN1103,0)*BN1103</f>
        <v/>
      </c>
      <c r="AF1103" s="56">
        <f>IF(AC1103&gt;0,I1103/AC1103,-1)</f>
        <v/>
      </c>
      <c r="AG1103" s="56">
        <f>IF(AND(OR(BR1103="L1",BR1103="L23"),AC1103&gt;0),SUMIFS($AC$7:$AC$1570,$BR$7:$BR$1570,BR1103,$AF$7:$AF$1570,"&gt;"&amp;AF1103)+SUMIFS($AC$7:$AC$1570,$BR$7:$BR$1570,BR1103,$AF$7:$AF$1570,AF1103,$BL$7:$BL$1570,"&lt;="&amp;BL1103),"")</f>
        <v/>
      </c>
      <c r="AH1103" s="65">
        <f>IF(AG1103="",0,MAX(0,MIN(1,(IF(BR1103="L1",Parameter!$K$5,Parameter!$K$6+Parameter!$K$7)-(AG1103-AC1103))/AC1103)))</f>
        <v/>
      </c>
      <c r="AI1103" s="55">
        <f>IF(LEFT(Cockpit!$I$5,1)="A",G1103,IF(BT1103=1,BU1103,IF(LEFT(Cockpit!$I$5,1)="B",AM1103,MAX(AM1103,G1103))))</f>
        <v/>
      </c>
      <c r="AJ1103" s="55">
        <f>IF(BO1103=1,0,ROUNDUP(AI1103/BN1103,0))</f>
        <v/>
      </c>
      <c r="AK1103" s="64">
        <f>IF(BO1103=1,IF(AI1103&lt;=0,0,BP1103*MAX(1,IF(G1103&gt;0,AI1103/G1103,1))),AJ1103*Q1103)</f>
        <v/>
      </c>
      <c r="AL1103" s="55">
        <f>AI1103*F1103</f>
        <v/>
      </c>
      <c r="AM1103" s="55">
        <f>ROUNDUP(MAX(I1103/IF(BS1103&gt;0,BS1103,MAX(0.1,N(Cockpit!$I$6))),BV1103)/BN1103,0)*BN1103</f>
        <v/>
      </c>
      <c r="AN1103" s="56">
        <f>IF(AK1103&gt;0,I1103/AK1103,-1)</f>
        <v/>
      </c>
      <c r="AO1103" s="56">
        <f>IF(AND(OR(BR1103="L1",BR1103="L23"),AK1103&gt;0),SUMIFS($AK$7:$AK$1570,$BR$7:$BR$1570,BR1103,$AN$7:$AN$1570,"&gt;"&amp;AN1103)+SUMIFS($AK$7:$AK$1570,$BR$7:$BR$1570,BR1103,$AN$7:$AN$1570,AN1103,$BL$7:$BL$1570,"&lt;="&amp;BL1103),"")</f>
        <v/>
      </c>
      <c r="AP1103" s="65">
        <f>IF(AO1103="",0,MAX(0,MIN(1,(IF(BR1103="L1",Parameter!$K$5,Parameter!$K$6+Parameter!$K$7)-(AO1103-AK1103))/AK1103)))</f>
        <v/>
      </c>
      <c r="AQ1103" s="55">
        <f>IF(LEFT(Cockpit!$O$5,1)="A",G1103,IF(BT1103=1,BU1103,IF(LEFT(Cockpit!$O$5,1)="B",AU1103,MAX(AU1103,G1103))))</f>
        <v/>
      </c>
      <c r="AR1103" s="55">
        <f>IF(BO1103=1,0,ROUNDUP(AQ1103/BN1103,0))</f>
        <v/>
      </c>
      <c r="AS1103" s="64">
        <f>IF(BO1103=1,IF(AQ1103&lt;=0,0,BP1103*MAX(1,IF(G1103&gt;0,AQ1103/G1103,1))),AR1103*Q1103)</f>
        <v/>
      </c>
      <c r="AT1103" s="55">
        <f>AQ1103*F1103</f>
        <v/>
      </c>
      <c r="AU1103" s="55">
        <f>ROUNDUP(MAX(I1103/IF(BS1103&gt;0,BS1103,MAX(0.1,N(Cockpit!$O$6))),BV1103)/BN1103,0)*BN1103</f>
        <v/>
      </c>
      <c r="AV1103" s="56">
        <f>IF(AS1103&gt;0,I1103/AS1103,-1)</f>
        <v/>
      </c>
      <c r="AW1103" s="56">
        <f>IF(AND(OR(BR1103="L1",BR1103="L23"),AS1103&gt;0),SUMIFS($AS$7:$AS$1570,$BR$7:$BR$1570,BR1103,$AV$7:$AV$1570,"&gt;"&amp;AV1103)+SUMIFS($AS$7:$AS$1570,$BR$7:$BR$1570,BR1103,$AV$7:$AV$1570,AV1103,$BL$7:$BL$1570,"&lt;="&amp;BL1103),"")</f>
        <v/>
      </c>
      <c r="AX1103" s="65">
        <f>IF(AW1103="",0,MAX(0,MIN(1,(IF(BR1103="L1",Parameter!$K$5,Parameter!$K$6+Parameter!$K$7)-(AW1103-AS1103))/AS1103)))</f>
        <v/>
      </c>
      <c r="AY1103" s="53">
        <f>IF(AC1103&lt;=0,"",IF(BR1103="Aussen","Aussenlager",IF(BR1103="-","Nicht im Lift",IF(AH1103&gt;=1,"Lift",IF(AH1103&lt;=0,"Aussenlager","teilweise")))))</f>
        <v/>
      </c>
      <c r="AZ1103" s="53">
        <f>IF(AK1103&lt;=0,"",IF(BR1103="Aussen","Aussenlager",IF(BR1103="-","Nicht im Lift",IF(AP1103&gt;=1,"Lift",IF(AP1103&lt;=0,"Aussenlager","teilweise")))))</f>
        <v/>
      </c>
      <c r="BA1103" s="53">
        <f>IF(AS1103&lt;=0,"",IF(BR1103="Aussen","Aussenlager",IF(BR1103="-","Nicht im Lift",IF(AX1103&gt;=1,"Lift",IF(AX1103&lt;=0,"Aussenlager","teilweise")))))</f>
        <v/>
      </c>
      <c r="BB1103" s="53">
        <f>IF(A1103="","",IF(BK1103=1,"Neu; ","")&amp;IF(AND(BK1103=0,BF1103&lt;0),"negativer Bestand (Export "&amp;BF1103&amp;"); ","")&amp;IF(I1103&lt;=0,"Kein Verbrauch; ","")&amp;IF(BO1103=1,"Lose – Fläche geschätzt; ","")&amp;IF(G1103&gt;AM1103,"Überbestand "&amp;ROUND(G1103-AM1103,0)&amp;" Stk / CHF "&amp;ROUND((G1103-AM1103)*F1103,0)&amp;"; ","")&amp;IF(AND(BT1103=1,BU1103&lt;BV1103),"MAX &lt; MB+LG; ","")&amp;IF(AND(BZ1103&gt;0,BY1103*10&gt;BZ1103),"zu hoch für Tablar; ","")&amp;IF(AND(BK1103=0,OR(BT1103=1,V1103&lt;&gt;"",S1103&lt;&gt;"",T1103&lt;&gt;"",W1103&lt;&gt;"")),"manuell übersteuert; ","")&amp;IF(AND(BO1103=0,Q1103=0),"Gebinde unbekannt; ","")&amp;IF(AND(BO1103=0,N(T1103)&lt;=0,N(P1103)&lt;=0),"Menge pro Gebinde fehlt (Ist = 1 Gebinde); ","")&amp;BJ1103)</f>
        <v/>
      </c>
      <c r="BC1103" s="53" t="n"/>
      <c r="BD1103" s="53" t="n"/>
      <c r="BE1103" s="61" t="n"/>
      <c r="BF1103" s="55" t="n">
        <v>-3</v>
      </c>
      <c r="BG1103" s="55" t="n">
        <v>5</v>
      </c>
      <c r="BH1103" s="54" t="n">
        <v>-216.3899999999999</v>
      </c>
      <c r="BI1103" s="55" t="n">
        <v>1</v>
      </c>
      <c r="BJ1103" s="53" t="inlineStr"/>
      <c r="BK1103" s="58" t="n">
        <v>0</v>
      </c>
      <c r="BL1103" s="58" t="n">
        <v>1103</v>
      </c>
      <c r="BM1103" s="53">
        <f>IF(S1103&lt;&gt;"",UPPER(TRIM(S1103)),IF(O1103="","LOSE",O1103))</f>
        <v/>
      </c>
      <c r="BN1103" s="55">
        <f>IF(BM1103="LOSE",1,IF(N(T1103)&gt;0,T1103,IF(N(P1103)&gt;0,P1103,MAX(1,G1103))))</f>
        <v/>
      </c>
      <c r="BO1103" s="58">
        <f>IF(BM1103="LOSE",1,0)</f>
        <v/>
      </c>
      <c r="BP1103" s="64">
        <f>IF(BO1103=0,0,IF(N(R1103)&gt;0,R1103,IFERROR(VLOOKUP(D1103,Parameter!$A$35:$C$64,3,0)+0,0)))</f>
        <v/>
      </c>
      <c r="BQ1103" s="53">
        <f>IF(V1103&lt;&gt;"",V1103,U1103)</f>
        <v/>
      </c>
      <c r="BR1103" s="53">
        <f>IF(BQ1103=1,"L1",IF(OR(BQ1103=2,BQ1103=3),"L23",IF(BQ1103="Aussen","Aussen","-")))</f>
        <v/>
      </c>
      <c r="BS1103" s="66">
        <f>IF(N(W1103)&gt;0,W1103,0)</f>
        <v/>
      </c>
      <c r="BT1103" s="58">
        <f>IF(ISNUMBER(Z1103),1,0)</f>
        <v/>
      </c>
      <c r="BU1103" s="55">
        <f>N(Z1103)</f>
        <v/>
      </c>
      <c r="BV1103" s="55">
        <f>N(L1103)+N(M1103)</f>
        <v/>
      </c>
      <c r="BW1103" s="55">
        <f>ROUNDUP(G1103/BN1103,0)</f>
        <v/>
      </c>
      <c r="BX1103" s="55">
        <f>ROUNDUP(BU1103/BN1103,0)</f>
        <v/>
      </c>
      <c r="BY1103" s="58">
        <f>IF(BO1103=1,0,IFERROR(VLOOKUP(BM1103,'Gebinde-Kategorie'!$A$5:$G$45,5,0)+0,0))</f>
        <v/>
      </c>
      <c r="BZ1103" s="58">
        <f>IFERROR(IF(OR(BQ1103=1,BQ1103=2,BQ1103=3),N(INDEX(Parameter!$I$5:$I$7,BQ1103)),0),0)</f>
        <v/>
      </c>
    </row>
    <row r="1104">
      <c r="A1104" s="53" t="inlineStr">
        <is>
          <t>109382</t>
        </is>
      </c>
      <c r="B1104" s="53" t="inlineStr">
        <is>
          <t>Datensteckverbinder</t>
        </is>
      </c>
      <c r="C1104" s="53" t="inlineStr">
        <is>
          <t>F</t>
        </is>
      </c>
      <c r="D1104" s="53" t="inlineStr">
        <is>
          <t>KTL</t>
        </is>
      </c>
      <c r="E1104" s="53" t="inlineStr">
        <is>
          <t>C</t>
        </is>
      </c>
      <c r="F1104" s="54" t="n">
        <v>18.24</v>
      </c>
      <c r="G1104" s="55">
        <f>MAX(0,IF(Parameter!$B$20="Jahresanfang 2025 + Export",BG1104+BF1104,BF1104))</f>
        <v/>
      </c>
      <c r="H1104" s="55">
        <f>G1104*F1104</f>
        <v/>
      </c>
      <c r="I1104" s="55">
        <f>BI1104*Parameter!$B$18</f>
        <v/>
      </c>
      <c r="J1104" s="56" t="n">
        <v>25</v>
      </c>
      <c r="K1104" s="57" t="n">
        <v>0.8</v>
      </c>
      <c r="L1104" s="55" t="n">
        <v>2</v>
      </c>
      <c r="M1104" s="55" t="n">
        <v>20</v>
      </c>
      <c r="N1104" s="58" t="n">
        <v>49</v>
      </c>
      <c r="O1104" s="53" t="inlineStr">
        <is>
          <t>S32</t>
        </is>
      </c>
      <c r="P1104" s="55" t="n">
        <v>30</v>
      </c>
      <c r="Q1104" s="59">
        <f>IF(BO1104=1,0,IFERROR(VLOOKUP(BM1104,'Gebinde-Kategorie'!$A$5:$G$45,6,0)+0,0))</f>
        <v/>
      </c>
      <c r="R1104" s="60" t="n"/>
      <c r="S1104" s="61" t="n"/>
      <c r="T1104" s="61" t="n"/>
      <c r="U1104" s="53">
        <f>IF(A1104="","",IF(IFERROR(VLOOKUP(D1104,Parameter!$A$35:$C$64,2,0),"Nein")="2+3",IF(ISNUMBER(SEARCH("grosser Artikel",BJ1104)),2,IFERROR(VLOOKUP(BM1104,Parameter!$F$35:$G$64,2,0),2)),IF(OR(IFERROR(VLOOKUP(D1104,Parameter!$A$35:$C$64,2,0),"Nein")="Nein",IFERROR(VLOOKUP(D1104,Parameter!$A$35:$C$64,2,0),"Nein")=""),"-",VLOOKUP(D1104,Parameter!$A$35:$C$64,2,0))))</f>
        <v/>
      </c>
      <c r="V1104" s="61" t="n"/>
      <c r="W1104" s="62" t="n"/>
      <c r="X1104" s="55">
        <f>AM1104</f>
        <v/>
      </c>
      <c r="Y1104" s="55">
        <f>MAX(AM1104,G1104)</f>
        <v/>
      </c>
      <c r="Z1104" s="63" t="n"/>
      <c r="AA1104" s="55">
        <f>IF(LEFT(Cockpit!$C$5,1)="A",G1104,IF(BT1104=1,BU1104,IF(LEFT(Cockpit!$C$5,1)="B",AE1104,MAX(AE1104,G1104))))</f>
        <v/>
      </c>
      <c r="AB1104" s="55">
        <f>IF(BO1104=1,0,ROUNDUP(AA1104/BN1104,0))</f>
        <v/>
      </c>
      <c r="AC1104" s="64">
        <f>IF(BO1104=1,IF(AA1104&lt;=0,0,BP1104*MAX(1,IF(G1104&gt;0,AA1104/G1104,1))),AB1104*Q1104)</f>
        <v/>
      </c>
      <c r="AD1104" s="55">
        <f>AA1104*F1104</f>
        <v/>
      </c>
      <c r="AE1104" s="55">
        <f>ROUNDUP(MAX(I1104/IF(BS1104&gt;0,BS1104,MAX(0.1,N(Cockpit!$C$6))),BV1104)/BN1104,0)*BN1104</f>
        <v/>
      </c>
      <c r="AF1104" s="56">
        <f>IF(AC1104&gt;0,I1104/AC1104,-1)</f>
        <v/>
      </c>
      <c r="AG1104" s="56">
        <f>IF(AND(OR(BR1104="L1",BR1104="L23"),AC1104&gt;0),SUMIFS($AC$7:$AC$1570,$BR$7:$BR$1570,BR1104,$AF$7:$AF$1570,"&gt;"&amp;AF1104)+SUMIFS($AC$7:$AC$1570,$BR$7:$BR$1570,BR1104,$AF$7:$AF$1570,AF1104,$BL$7:$BL$1570,"&lt;="&amp;BL1104),"")</f>
        <v/>
      </c>
      <c r="AH1104" s="65">
        <f>IF(AG1104="",0,MAX(0,MIN(1,(IF(BR1104="L1",Parameter!$K$5,Parameter!$K$6+Parameter!$K$7)-(AG1104-AC1104))/AC1104)))</f>
        <v/>
      </c>
      <c r="AI1104" s="55">
        <f>IF(LEFT(Cockpit!$I$5,1)="A",G1104,IF(BT1104=1,BU1104,IF(LEFT(Cockpit!$I$5,1)="B",AM1104,MAX(AM1104,G1104))))</f>
        <v/>
      </c>
      <c r="AJ1104" s="55">
        <f>IF(BO1104=1,0,ROUNDUP(AI1104/BN1104,0))</f>
        <v/>
      </c>
      <c r="AK1104" s="64">
        <f>IF(BO1104=1,IF(AI1104&lt;=0,0,BP1104*MAX(1,IF(G1104&gt;0,AI1104/G1104,1))),AJ1104*Q1104)</f>
        <v/>
      </c>
      <c r="AL1104" s="55">
        <f>AI1104*F1104</f>
        <v/>
      </c>
      <c r="AM1104" s="55">
        <f>ROUNDUP(MAX(I1104/IF(BS1104&gt;0,BS1104,MAX(0.1,N(Cockpit!$I$6))),BV1104)/BN1104,0)*BN1104</f>
        <v/>
      </c>
      <c r="AN1104" s="56">
        <f>IF(AK1104&gt;0,I1104/AK1104,-1)</f>
        <v/>
      </c>
      <c r="AO1104" s="56">
        <f>IF(AND(OR(BR1104="L1",BR1104="L23"),AK1104&gt;0),SUMIFS($AK$7:$AK$1570,$BR$7:$BR$1570,BR1104,$AN$7:$AN$1570,"&gt;"&amp;AN1104)+SUMIFS($AK$7:$AK$1570,$BR$7:$BR$1570,BR1104,$AN$7:$AN$1570,AN1104,$BL$7:$BL$1570,"&lt;="&amp;BL1104),"")</f>
        <v/>
      </c>
      <c r="AP1104" s="65">
        <f>IF(AO1104="",0,MAX(0,MIN(1,(IF(BR1104="L1",Parameter!$K$5,Parameter!$K$6+Parameter!$K$7)-(AO1104-AK1104))/AK1104)))</f>
        <v/>
      </c>
      <c r="AQ1104" s="55">
        <f>IF(LEFT(Cockpit!$O$5,1)="A",G1104,IF(BT1104=1,BU1104,IF(LEFT(Cockpit!$O$5,1)="B",AU1104,MAX(AU1104,G1104))))</f>
        <v/>
      </c>
      <c r="AR1104" s="55">
        <f>IF(BO1104=1,0,ROUNDUP(AQ1104/BN1104,0))</f>
        <v/>
      </c>
      <c r="AS1104" s="64">
        <f>IF(BO1104=1,IF(AQ1104&lt;=0,0,BP1104*MAX(1,IF(G1104&gt;0,AQ1104/G1104,1))),AR1104*Q1104)</f>
        <v/>
      </c>
      <c r="AT1104" s="55">
        <f>AQ1104*F1104</f>
        <v/>
      </c>
      <c r="AU1104" s="55">
        <f>ROUNDUP(MAX(I1104/IF(BS1104&gt;0,BS1104,MAX(0.1,N(Cockpit!$O$6))),BV1104)/BN1104,0)*BN1104</f>
        <v/>
      </c>
      <c r="AV1104" s="56">
        <f>IF(AS1104&gt;0,I1104/AS1104,-1)</f>
        <v/>
      </c>
      <c r="AW1104" s="56">
        <f>IF(AND(OR(BR1104="L1",BR1104="L23"),AS1104&gt;0),SUMIFS($AS$7:$AS$1570,$BR$7:$BR$1570,BR1104,$AV$7:$AV$1570,"&gt;"&amp;AV1104)+SUMIFS($AS$7:$AS$1570,$BR$7:$BR$1570,BR1104,$AV$7:$AV$1570,AV1104,$BL$7:$BL$1570,"&lt;="&amp;BL1104),"")</f>
        <v/>
      </c>
      <c r="AX1104" s="65">
        <f>IF(AW1104="",0,MAX(0,MIN(1,(IF(BR1104="L1",Parameter!$K$5,Parameter!$K$6+Parameter!$K$7)-(AW1104-AS1104))/AS1104)))</f>
        <v/>
      </c>
      <c r="AY1104" s="53">
        <f>IF(AC1104&lt;=0,"",IF(BR1104="Aussen","Aussenlager",IF(BR1104="-","Nicht im Lift",IF(AH1104&gt;=1,"Lift",IF(AH1104&lt;=0,"Aussenlager","teilweise")))))</f>
        <v/>
      </c>
      <c r="AZ1104" s="53">
        <f>IF(AK1104&lt;=0,"",IF(BR1104="Aussen","Aussenlager",IF(BR1104="-","Nicht im Lift",IF(AP1104&gt;=1,"Lift",IF(AP1104&lt;=0,"Aussenlager","teilweise")))))</f>
        <v/>
      </c>
      <c r="BA1104" s="53">
        <f>IF(AS1104&lt;=0,"",IF(BR1104="Aussen","Aussenlager",IF(BR1104="-","Nicht im Lift",IF(AX1104&gt;=1,"Lift",IF(AX1104&lt;=0,"Aussenlager","teilweise")))))</f>
        <v/>
      </c>
      <c r="BB1104" s="53">
        <f>IF(A1104="","",IF(BK1104=1,"Neu; ","")&amp;IF(AND(BK1104=0,BF1104&lt;0),"negativer Bestand (Export "&amp;BF1104&amp;"); ","")&amp;IF(I1104&lt;=0,"Kein Verbrauch; ","")&amp;IF(BO1104=1,"Lose – Fläche geschätzt; ","")&amp;IF(G1104&gt;AM1104,"Überbestand "&amp;ROUND(G1104-AM1104,0)&amp;" Stk / CHF "&amp;ROUND((G1104-AM1104)*F1104,0)&amp;"; ","")&amp;IF(AND(BT1104=1,BU1104&lt;BV1104),"MAX &lt; MB+LG; ","")&amp;IF(AND(BZ1104&gt;0,BY1104*10&gt;BZ1104),"zu hoch für Tablar; ","")&amp;IF(AND(BK1104=0,OR(BT1104=1,V1104&lt;&gt;"",S1104&lt;&gt;"",T1104&lt;&gt;"",W1104&lt;&gt;"")),"manuell übersteuert; ","")&amp;IF(AND(BO1104=0,Q1104=0),"Gebinde unbekannt; ","")&amp;IF(AND(BO1104=0,N(T1104)&lt;=0,N(P1104)&lt;=0),"Menge pro Gebinde fehlt (Ist = 1 Gebinde); ","")&amp;BJ1104)</f>
        <v/>
      </c>
      <c r="BC1104" s="53" t="n"/>
      <c r="BD1104" s="53" t="n"/>
      <c r="BE1104" s="61" t="n"/>
      <c r="BF1104" s="55" t="n">
        <v>-12</v>
      </c>
      <c r="BG1104" s="55" t="n">
        <v>34</v>
      </c>
      <c r="BH1104" s="54" t="n">
        <v>-218.5399999999999</v>
      </c>
      <c r="BI1104" s="55" t="n">
        <v>20</v>
      </c>
      <c r="BJ1104" s="53" t="inlineStr"/>
      <c r="BK1104" s="58" t="n">
        <v>0</v>
      </c>
      <c r="BL1104" s="58" t="n">
        <v>1104</v>
      </c>
      <c r="BM1104" s="53">
        <f>IF(S1104&lt;&gt;"",UPPER(TRIM(S1104)),IF(O1104="","LOSE",O1104))</f>
        <v/>
      </c>
      <c r="BN1104" s="55">
        <f>IF(BM1104="LOSE",1,IF(N(T1104)&gt;0,T1104,IF(N(P1104)&gt;0,P1104,MAX(1,G1104))))</f>
        <v/>
      </c>
      <c r="BO1104" s="58">
        <f>IF(BM1104="LOSE",1,0)</f>
        <v/>
      </c>
      <c r="BP1104" s="64">
        <f>IF(BO1104=0,0,IF(N(R1104)&gt;0,R1104,IFERROR(VLOOKUP(D1104,Parameter!$A$35:$C$64,3,0)+0,0)))</f>
        <v/>
      </c>
      <c r="BQ1104" s="53">
        <f>IF(V1104&lt;&gt;"",V1104,U1104)</f>
        <v/>
      </c>
      <c r="BR1104" s="53">
        <f>IF(BQ1104=1,"L1",IF(OR(BQ1104=2,BQ1104=3),"L23",IF(BQ1104="Aussen","Aussen","-")))</f>
        <v/>
      </c>
      <c r="BS1104" s="66">
        <f>IF(N(W1104)&gt;0,W1104,0)</f>
        <v/>
      </c>
      <c r="BT1104" s="58">
        <f>IF(ISNUMBER(Z1104),1,0)</f>
        <v/>
      </c>
      <c r="BU1104" s="55">
        <f>N(Z1104)</f>
        <v/>
      </c>
      <c r="BV1104" s="55">
        <f>N(L1104)+N(M1104)</f>
        <v/>
      </c>
      <c r="BW1104" s="55">
        <f>ROUNDUP(G1104/BN1104,0)</f>
        <v/>
      </c>
      <c r="BX1104" s="55">
        <f>ROUNDUP(BU1104/BN1104,0)</f>
        <v/>
      </c>
      <c r="BY1104" s="58">
        <f>IF(BO1104=1,0,IFERROR(VLOOKUP(BM1104,'Gebinde-Kategorie'!$A$5:$G$45,5,0)+0,0))</f>
        <v/>
      </c>
      <c r="BZ1104" s="58">
        <f>IFERROR(IF(OR(BQ1104=1,BQ1104=2,BQ1104=3),N(INDEX(Parameter!$I$5:$I$7,BQ1104)),0),0)</f>
        <v/>
      </c>
    </row>
    <row r="1105">
      <c r="A1105" s="53" t="inlineStr">
        <is>
          <t>106853</t>
        </is>
      </c>
      <c r="B1105" s="53" t="inlineStr">
        <is>
          <t>Bolzen</t>
        </is>
      </c>
      <c r="C1105" s="53" t="inlineStr">
        <is>
          <t>F</t>
        </is>
      </c>
      <c r="D1105" s="53" t="inlineStr">
        <is>
          <t>KTL</t>
        </is>
      </c>
      <c r="E1105" s="53" t="inlineStr">
        <is>
          <t>C</t>
        </is>
      </c>
      <c r="F1105" s="54" t="n">
        <v>37</v>
      </c>
      <c r="G1105" s="55">
        <f>MAX(0,IF(Parameter!$B$20="Jahresanfang 2025 + Export",BG1105+BF1105,BF1105))</f>
        <v/>
      </c>
      <c r="H1105" s="55">
        <f>G1105*F1105</f>
        <v/>
      </c>
      <c r="I1105" s="55">
        <f>BI1105*Parameter!$B$18</f>
        <v/>
      </c>
      <c r="J1105" s="56" t="n">
        <v>14</v>
      </c>
      <c r="K1105" s="57" t="n">
        <v>1.428571428571429</v>
      </c>
      <c r="L1105" s="55" t="n">
        <v>1</v>
      </c>
      <c r="M1105" s="55" t="n">
        <v>20</v>
      </c>
      <c r="N1105" s="58" t="n">
        <v>35</v>
      </c>
      <c r="O1105" s="53" t="inlineStr">
        <is>
          <t>S32</t>
        </is>
      </c>
      <c r="P1105" s="55" t="n">
        <v>19</v>
      </c>
      <c r="Q1105" s="59">
        <f>IF(BO1105=1,0,IFERROR(VLOOKUP(BM1105,'Gebinde-Kategorie'!$A$5:$G$45,6,0)+0,0))</f>
        <v/>
      </c>
      <c r="R1105" s="60" t="n"/>
      <c r="S1105" s="61" t="n"/>
      <c r="T1105" s="61" t="n"/>
      <c r="U1105" s="53">
        <f>IF(A1105="","",IF(IFERROR(VLOOKUP(D1105,Parameter!$A$35:$C$64,2,0),"Nein")="2+3",IF(ISNUMBER(SEARCH("grosser Artikel",BJ1105)),2,IFERROR(VLOOKUP(BM1105,Parameter!$F$35:$G$64,2,0),2)),IF(OR(IFERROR(VLOOKUP(D1105,Parameter!$A$35:$C$64,2,0),"Nein")="Nein",IFERROR(VLOOKUP(D1105,Parameter!$A$35:$C$64,2,0),"Nein")=""),"-",VLOOKUP(D1105,Parameter!$A$35:$C$64,2,0))))</f>
        <v/>
      </c>
      <c r="V1105" s="61" t="n"/>
      <c r="W1105" s="62" t="n"/>
      <c r="X1105" s="55">
        <f>AM1105</f>
        <v/>
      </c>
      <c r="Y1105" s="55">
        <f>MAX(AM1105,G1105)</f>
        <v/>
      </c>
      <c r="Z1105" s="63" t="n"/>
      <c r="AA1105" s="55">
        <f>IF(LEFT(Cockpit!$C$5,1)="A",G1105,IF(BT1105=1,BU1105,IF(LEFT(Cockpit!$C$5,1)="B",AE1105,MAX(AE1105,G1105))))</f>
        <v/>
      </c>
      <c r="AB1105" s="55">
        <f>IF(BO1105=1,0,ROUNDUP(AA1105/BN1105,0))</f>
        <v/>
      </c>
      <c r="AC1105" s="64">
        <f>IF(BO1105=1,IF(AA1105&lt;=0,0,BP1105*MAX(1,IF(G1105&gt;0,AA1105/G1105,1))),AB1105*Q1105)</f>
        <v/>
      </c>
      <c r="AD1105" s="55">
        <f>AA1105*F1105</f>
        <v/>
      </c>
      <c r="AE1105" s="55">
        <f>ROUNDUP(MAX(I1105/IF(BS1105&gt;0,BS1105,MAX(0.1,N(Cockpit!$C$6))),BV1105)/BN1105,0)*BN1105</f>
        <v/>
      </c>
      <c r="AF1105" s="56">
        <f>IF(AC1105&gt;0,I1105/AC1105,-1)</f>
        <v/>
      </c>
      <c r="AG1105" s="56">
        <f>IF(AND(OR(BR1105="L1",BR1105="L23"),AC1105&gt;0),SUMIFS($AC$7:$AC$1570,$BR$7:$BR$1570,BR1105,$AF$7:$AF$1570,"&gt;"&amp;AF1105)+SUMIFS($AC$7:$AC$1570,$BR$7:$BR$1570,BR1105,$AF$7:$AF$1570,AF1105,$BL$7:$BL$1570,"&lt;="&amp;BL1105),"")</f>
        <v/>
      </c>
      <c r="AH1105" s="65">
        <f>IF(AG1105="",0,MAX(0,MIN(1,(IF(BR1105="L1",Parameter!$K$5,Parameter!$K$6+Parameter!$K$7)-(AG1105-AC1105))/AC1105)))</f>
        <v/>
      </c>
      <c r="AI1105" s="55">
        <f>IF(LEFT(Cockpit!$I$5,1)="A",G1105,IF(BT1105=1,BU1105,IF(LEFT(Cockpit!$I$5,1)="B",AM1105,MAX(AM1105,G1105))))</f>
        <v/>
      </c>
      <c r="AJ1105" s="55">
        <f>IF(BO1105=1,0,ROUNDUP(AI1105/BN1105,0))</f>
        <v/>
      </c>
      <c r="AK1105" s="64">
        <f>IF(BO1105=1,IF(AI1105&lt;=0,0,BP1105*MAX(1,IF(G1105&gt;0,AI1105/G1105,1))),AJ1105*Q1105)</f>
        <v/>
      </c>
      <c r="AL1105" s="55">
        <f>AI1105*F1105</f>
        <v/>
      </c>
      <c r="AM1105" s="55">
        <f>ROUNDUP(MAX(I1105/IF(BS1105&gt;0,BS1105,MAX(0.1,N(Cockpit!$I$6))),BV1105)/BN1105,0)*BN1105</f>
        <v/>
      </c>
      <c r="AN1105" s="56">
        <f>IF(AK1105&gt;0,I1105/AK1105,-1)</f>
        <v/>
      </c>
      <c r="AO1105" s="56">
        <f>IF(AND(OR(BR1105="L1",BR1105="L23"),AK1105&gt;0),SUMIFS($AK$7:$AK$1570,$BR$7:$BR$1570,BR1105,$AN$7:$AN$1570,"&gt;"&amp;AN1105)+SUMIFS($AK$7:$AK$1570,$BR$7:$BR$1570,BR1105,$AN$7:$AN$1570,AN1105,$BL$7:$BL$1570,"&lt;="&amp;BL1105),"")</f>
        <v/>
      </c>
      <c r="AP1105" s="65">
        <f>IF(AO1105="",0,MAX(0,MIN(1,(IF(BR1105="L1",Parameter!$K$5,Parameter!$K$6+Parameter!$K$7)-(AO1105-AK1105))/AK1105)))</f>
        <v/>
      </c>
      <c r="AQ1105" s="55">
        <f>IF(LEFT(Cockpit!$O$5,1)="A",G1105,IF(BT1105=1,BU1105,IF(LEFT(Cockpit!$O$5,1)="B",AU1105,MAX(AU1105,G1105))))</f>
        <v/>
      </c>
      <c r="AR1105" s="55">
        <f>IF(BO1105=1,0,ROUNDUP(AQ1105/BN1105,0))</f>
        <v/>
      </c>
      <c r="AS1105" s="64">
        <f>IF(BO1105=1,IF(AQ1105&lt;=0,0,BP1105*MAX(1,IF(G1105&gt;0,AQ1105/G1105,1))),AR1105*Q1105)</f>
        <v/>
      </c>
      <c r="AT1105" s="55">
        <f>AQ1105*F1105</f>
        <v/>
      </c>
      <c r="AU1105" s="55">
        <f>ROUNDUP(MAX(I1105/IF(BS1105&gt;0,BS1105,MAX(0.1,N(Cockpit!$O$6))),BV1105)/BN1105,0)*BN1105</f>
        <v/>
      </c>
      <c r="AV1105" s="56">
        <f>IF(AS1105&gt;0,I1105/AS1105,-1)</f>
        <v/>
      </c>
      <c r="AW1105" s="56">
        <f>IF(AND(OR(BR1105="L1",BR1105="L23"),AS1105&gt;0),SUMIFS($AS$7:$AS$1570,$BR$7:$BR$1570,BR1105,$AV$7:$AV$1570,"&gt;"&amp;AV1105)+SUMIFS($AS$7:$AS$1570,$BR$7:$BR$1570,BR1105,$AV$7:$AV$1570,AV1105,$BL$7:$BL$1570,"&lt;="&amp;BL1105),"")</f>
        <v/>
      </c>
      <c r="AX1105" s="65">
        <f>IF(AW1105="",0,MAX(0,MIN(1,(IF(BR1105="L1",Parameter!$K$5,Parameter!$K$6+Parameter!$K$7)-(AW1105-AS1105))/AS1105)))</f>
        <v/>
      </c>
      <c r="AY1105" s="53">
        <f>IF(AC1105&lt;=0,"",IF(BR1105="Aussen","Aussenlager",IF(BR1105="-","Nicht im Lift",IF(AH1105&gt;=1,"Lift",IF(AH1105&lt;=0,"Aussenlager","teilweise")))))</f>
        <v/>
      </c>
      <c r="AZ1105" s="53">
        <f>IF(AK1105&lt;=0,"",IF(BR1105="Aussen","Aussenlager",IF(BR1105="-","Nicht im Lift",IF(AP1105&gt;=1,"Lift",IF(AP1105&lt;=0,"Aussenlager","teilweise")))))</f>
        <v/>
      </c>
      <c r="BA1105" s="53">
        <f>IF(AS1105&lt;=0,"",IF(BR1105="Aussen","Aussenlager",IF(BR1105="-","Nicht im Lift",IF(AX1105&gt;=1,"Lift",IF(AX1105&lt;=0,"Aussenlager","teilweise")))))</f>
        <v/>
      </c>
      <c r="BB1105" s="53">
        <f>IF(A1105="","",IF(BK1105=1,"Neu; ","")&amp;IF(AND(BK1105=0,BF1105&lt;0),"negativer Bestand (Export "&amp;BF1105&amp;"); ","")&amp;IF(I1105&lt;=0,"Kein Verbrauch; ","")&amp;IF(BO1105=1,"Lose – Fläche geschätzt; ","")&amp;IF(G1105&gt;AM1105,"Überbestand "&amp;ROUND(G1105-AM1105,0)&amp;" Stk / CHF "&amp;ROUND((G1105-AM1105)*F1105,0)&amp;"; ","")&amp;IF(AND(BT1105=1,BU1105&lt;BV1105),"MAX &lt; MB+LG; ","")&amp;IF(AND(BZ1105&gt;0,BY1105*10&gt;BZ1105),"zu hoch für Tablar; ","")&amp;IF(AND(BK1105=0,OR(BT1105=1,V1105&lt;&gt;"",S1105&lt;&gt;"",T1105&lt;&gt;"",W1105&lt;&gt;"")),"manuell übersteuert; ","")&amp;IF(AND(BO1105=0,Q1105=0),"Gebinde unbekannt; ","")&amp;IF(AND(BO1105=0,N(T1105)&lt;=0,N(P1105)&lt;=0),"Menge pro Gebinde fehlt (Ist = 1 Gebinde); ","")&amp;BJ1105)</f>
        <v/>
      </c>
      <c r="BC1105" s="53" t="n"/>
      <c r="BD1105" s="53" t="n"/>
      <c r="BE1105" s="61" t="n"/>
      <c r="BF1105" s="55" t="n">
        <v>-6</v>
      </c>
      <c r="BG1105" s="55" t="n">
        <v>14</v>
      </c>
      <c r="BH1105" s="54" t="n">
        <v>-222</v>
      </c>
      <c r="BI1105" s="55" t="n">
        <v>20</v>
      </c>
      <c r="BJ1105" s="53" t="inlineStr"/>
      <c r="BK1105" s="58" t="n">
        <v>0</v>
      </c>
      <c r="BL1105" s="58" t="n">
        <v>1105</v>
      </c>
      <c r="BM1105" s="53">
        <f>IF(S1105&lt;&gt;"",UPPER(TRIM(S1105)),IF(O1105="","LOSE",O1105))</f>
        <v/>
      </c>
      <c r="BN1105" s="55">
        <f>IF(BM1105="LOSE",1,IF(N(T1105)&gt;0,T1105,IF(N(P1105)&gt;0,P1105,MAX(1,G1105))))</f>
        <v/>
      </c>
      <c r="BO1105" s="58">
        <f>IF(BM1105="LOSE",1,0)</f>
        <v/>
      </c>
      <c r="BP1105" s="64">
        <f>IF(BO1105=0,0,IF(N(R1105)&gt;0,R1105,IFERROR(VLOOKUP(D1105,Parameter!$A$35:$C$64,3,0)+0,0)))</f>
        <v/>
      </c>
      <c r="BQ1105" s="53">
        <f>IF(V1105&lt;&gt;"",V1105,U1105)</f>
        <v/>
      </c>
      <c r="BR1105" s="53">
        <f>IF(BQ1105=1,"L1",IF(OR(BQ1105=2,BQ1105=3),"L23",IF(BQ1105="Aussen","Aussen","-")))</f>
        <v/>
      </c>
      <c r="BS1105" s="66">
        <f>IF(N(W1105)&gt;0,W1105,0)</f>
        <v/>
      </c>
      <c r="BT1105" s="58">
        <f>IF(ISNUMBER(Z1105),1,0)</f>
        <v/>
      </c>
      <c r="BU1105" s="55">
        <f>N(Z1105)</f>
        <v/>
      </c>
      <c r="BV1105" s="55">
        <f>N(L1105)+N(M1105)</f>
        <v/>
      </c>
      <c r="BW1105" s="55">
        <f>ROUNDUP(G1105/BN1105,0)</f>
        <v/>
      </c>
      <c r="BX1105" s="55">
        <f>ROUNDUP(BU1105/BN1105,0)</f>
        <v/>
      </c>
      <c r="BY1105" s="58">
        <f>IF(BO1105=1,0,IFERROR(VLOOKUP(BM1105,'Gebinde-Kategorie'!$A$5:$G$45,5,0)+0,0))</f>
        <v/>
      </c>
      <c r="BZ1105" s="58">
        <f>IFERROR(IF(OR(BQ1105=1,BQ1105=2,BQ1105=3),N(INDEX(Parameter!$I$5:$I$7,BQ1105)),0),0)</f>
        <v/>
      </c>
    </row>
    <row r="1106">
      <c r="A1106" s="53" t="inlineStr">
        <is>
          <t>107858</t>
        </is>
      </c>
      <c r="B1106" s="53" t="inlineStr">
        <is>
          <t>Typenschild</t>
        </is>
      </c>
      <c r="C1106" s="53" t="inlineStr">
        <is>
          <t>F</t>
        </is>
      </c>
      <c r="D1106" s="53" t="inlineStr">
        <is>
          <t>KTL</t>
        </is>
      </c>
      <c r="E1106" s="53" t="inlineStr">
        <is>
          <t>C</t>
        </is>
      </c>
      <c r="F1106" s="54" t="n">
        <v>16.05</v>
      </c>
      <c r="G1106" s="55">
        <f>MAX(0,IF(Parameter!$B$20="Jahresanfang 2025 + Export",BG1106+BF1106,BF1106))</f>
        <v/>
      </c>
      <c r="H1106" s="55">
        <f>G1106*F1106</f>
        <v/>
      </c>
      <c r="I1106" s="55">
        <f>BI1106*Parameter!$B$18</f>
        <v/>
      </c>
      <c r="J1106" s="56" t="n">
        <v>32</v>
      </c>
      <c r="K1106" s="57" t="n">
        <v>0</v>
      </c>
      <c r="L1106" s="55" t="n">
        <v>2</v>
      </c>
      <c r="M1106" s="55" t="n">
        <v>1</v>
      </c>
      <c r="N1106" s="58" t="n">
        <v>28</v>
      </c>
      <c r="O1106" s="53" t="inlineStr">
        <is>
          <t>S32</t>
        </is>
      </c>
      <c r="P1106" s="55" t="n">
        <v>39</v>
      </c>
      <c r="Q1106" s="59">
        <f>IF(BO1106=1,0,IFERROR(VLOOKUP(BM1106,'Gebinde-Kategorie'!$A$5:$G$45,6,0)+0,0))</f>
        <v/>
      </c>
      <c r="R1106" s="60" t="n"/>
      <c r="S1106" s="61" t="n"/>
      <c r="T1106" s="61" t="n"/>
      <c r="U1106" s="53">
        <f>IF(A1106="","",IF(IFERROR(VLOOKUP(D1106,Parameter!$A$35:$C$64,2,0),"Nein")="2+3",IF(ISNUMBER(SEARCH("grosser Artikel",BJ1106)),2,IFERROR(VLOOKUP(BM1106,Parameter!$F$35:$G$64,2,0),2)),IF(OR(IFERROR(VLOOKUP(D1106,Parameter!$A$35:$C$64,2,0),"Nein")="Nein",IFERROR(VLOOKUP(D1106,Parameter!$A$35:$C$64,2,0),"Nein")=""),"-",VLOOKUP(D1106,Parameter!$A$35:$C$64,2,0))))</f>
        <v/>
      </c>
      <c r="V1106" s="61" t="n"/>
      <c r="W1106" s="62" t="n"/>
      <c r="X1106" s="55">
        <f>AM1106</f>
        <v/>
      </c>
      <c r="Y1106" s="55">
        <f>MAX(AM1106,G1106)</f>
        <v/>
      </c>
      <c r="Z1106" s="63" t="n"/>
      <c r="AA1106" s="55">
        <f>IF(LEFT(Cockpit!$C$5,1)="A",G1106,IF(BT1106=1,BU1106,IF(LEFT(Cockpit!$C$5,1)="B",AE1106,MAX(AE1106,G1106))))</f>
        <v/>
      </c>
      <c r="AB1106" s="55">
        <f>IF(BO1106=1,0,ROUNDUP(AA1106/BN1106,0))</f>
        <v/>
      </c>
      <c r="AC1106" s="64">
        <f>IF(BO1106=1,IF(AA1106&lt;=0,0,BP1106*MAX(1,IF(G1106&gt;0,AA1106/G1106,1))),AB1106*Q1106)</f>
        <v/>
      </c>
      <c r="AD1106" s="55">
        <f>AA1106*F1106</f>
        <v/>
      </c>
      <c r="AE1106" s="55">
        <f>ROUNDUP(MAX(I1106/IF(BS1106&gt;0,BS1106,MAX(0.1,N(Cockpit!$C$6))),BV1106)/BN1106,0)*BN1106</f>
        <v/>
      </c>
      <c r="AF1106" s="56">
        <f>IF(AC1106&gt;0,I1106/AC1106,-1)</f>
        <v/>
      </c>
      <c r="AG1106" s="56">
        <f>IF(AND(OR(BR1106="L1",BR1106="L23"),AC1106&gt;0),SUMIFS($AC$7:$AC$1570,$BR$7:$BR$1570,BR1106,$AF$7:$AF$1570,"&gt;"&amp;AF1106)+SUMIFS($AC$7:$AC$1570,$BR$7:$BR$1570,BR1106,$AF$7:$AF$1570,AF1106,$BL$7:$BL$1570,"&lt;="&amp;BL1106),"")</f>
        <v/>
      </c>
      <c r="AH1106" s="65">
        <f>IF(AG1106="",0,MAX(0,MIN(1,(IF(BR1106="L1",Parameter!$K$5,Parameter!$K$6+Parameter!$K$7)-(AG1106-AC1106))/AC1106)))</f>
        <v/>
      </c>
      <c r="AI1106" s="55">
        <f>IF(LEFT(Cockpit!$I$5,1)="A",G1106,IF(BT1106=1,BU1106,IF(LEFT(Cockpit!$I$5,1)="B",AM1106,MAX(AM1106,G1106))))</f>
        <v/>
      </c>
      <c r="AJ1106" s="55">
        <f>IF(BO1106=1,0,ROUNDUP(AI1106/BN1106,0))</f>
        <v/>
      </c>
      <c r="AK1106" s="64">
        <f>IF(BO1106=1,IF(AI1106&lt;=0,0,BP1106*MAX(1,IF(G1106&gt;0,AI1106/G1106,1))),AJ1106*Q1106)</f>
        <v/>
      </c>
      <c r="AL1106" s="55">
        <f>AI1106*F1106</f>
        <v/>
      </c>
      <c r="AM1106" s="55">
        <f>ROUNDUP(MAX(I1106/IF(BS1106&gt;0,BS1106,MAX(0.1,N(Cockpit!$I$6))),BV1106)/BN1106,0)*BN1106</f>
        <v/>
      </c>
      <c r="AN1106" s="56">
        <f>IF(AK1106&gt;0,I1106/AK1106,-1)</f>
        <v/>
      </c>
      <c r="AO1106" s="56">
        <f>IF(AND(OR(BR1106="L1",BR1106="L23"),AK1106&gt;0),SUMIFS($AK$7:$AK$1570,$BR$7:$BR$1570,BR1106,$AN$7:$AN$1570,"&gt;"&amp;AN1106)+SUMIFS($AK$7:$AK$1570,$BR$7:$BR$1570,BR1106,$AN$7:$AN$1570,AN1106,$BL$7:$BL$1570,"&lt;="&amp;BL1106),"")</f>
        <v/>
      </c>
      <c r="AP1106" s="65">
        <f>IF(AO1106="",0,MAX(0,MIN(1,(IF(BR1106="L1",Parameter!$K$5,Parameter!$K$6+Parameter!$K$7)-(AO1106-AK1106))/AK1106)))</f>
        <v/>
      </c>
      <c r="AQ1106" s="55">
        <f>IF(LEFT(Cockpit!$O$5,1)="A",G1106,IF(BT1106=1,BU1106,IF(LEFT(Cockpit!$O$5,1)="B",AU1106,MAX(AU1106,G1106))))</f>
        <v/>
      </c>
      <c r="AR1106" s="55">
        <f>IF(BO1106=1,0,ROUNDUP(AQ1106/BN1106,0))</f>
        <v/>
      </c>
      <c r="AS1106" s="64">
        <f>IF(BO1106=1,IF(AQ1106&lt;=0,0,BP1106*MAX(1,IF(G1106&gt;0,AQ1106/G1106,1))),AR1106*Q1106)</f>
        <v/>
      </c>
      <c r="AT1106" s="55">
        <f>AQ1106*F1106</f>
        <v/>
      </c>
      <c r="AU1106" s="55">
        <f>ROUNDUP(MAX(I1106/IF(BS1106&gt;0,BS1106,MAX(0.1,N(Cockpit!$O$6))),BV1106)/BN1106,0)*BN1106</f>
        <v/>
      </c>
      <c r="AV1106" s="56">
        <f>IF(AS1106&gt;0,I1106/AS1106,-1)</f>
        <v/>
      </c>
      <c r="AW1106" s="56">
        <f>IF(AND(OR(BR1106="L1",BR1106="L23"),AS1106&gt;0),SUMIFS($AS$7:$AS$1570,$BR$7:$BR$1570,BR1106,$AV$7:$AV$1570,"&gt;"&amp;AV1106)+SUMIFS($AS$7:$AS$1570,$BR$7:$BR$1570,BR1106,$AV$7:$AV$1570,AV1106,$BL$7:$BL$1570,"&lt;="&amp;BL1106),"")</f>
        <v/>
      </c>
      <c r="AX1106" s="65">
        <f>IF(AW1106="",0,MAX(0,MIN(1,(IF(BR1106="L1",Parameter!$K$5,Parameter!$K$6+Parameter!$K$7)-(AW1106-AS1106))/AS1106)))</f>
        <v/>
      </c>
      <c r="AY1106" s="53">
        <f>IF(AC1106&lt;=0,"",IF(BR1106="Aussen","Aussenlager",IF(BR1106="-","Nicht im Lift",IF(AH1106&gt;=1,"Lift",IF(AH1106&lt;=0,"Aussenlager","teilweise")))))</f>
        <v/>
      </c>
      <c r="AZ1106" s="53">
        <f>IF(AK1106&lt;=0,"",IF(BR1106="Aussen","Aussenlager",IF(BR1106="-","Nicht im Lift",IF(AP1106&gt;=1,"Lift",IF(AP1106&lt;=0,"Aussenlager","teilweise")))))</f>
        <v/>
      </c>
      <c r="BA1106" s="53">
        <f>IF(AS1106&lt;=0,"",IF(BR1106="Aussen","Aussenlager",IF(BR1106="-","Nicht im Lift",IF(AX1106&gt;=1,"Lift",IF(AX1106&lt;=0,"Aussenlager","teilweise")))))</f>
        <v/>
      </c>
      <c r="BB1106" s="53">
        <f>IF(A1106="","",IF(BK1106=1,"Neu; ","")&amp;IF(AND(BK1106=0,BF1106&lt;0),"negativer Bestand (Export "&amp;BF1106&amp;"); ","")&amp;IF(I1106&lt;=0,"Kein Verbrauch; ","")&amp;IF(BO1106=1,"Lose – Fläche geschätzt; ","")&amp;IF(G1106&gt;AM1106,"Überbestand "&amp;ROUND(G1106-AM1106,0)&amp;" Stk / CHF "&amp;ROUND((G1106-AM1106)*F1106,0)&amp;"; ","")&amp;IF(AND(BT1106=1,BU1106&lt;BV1106),"MAX &lt; MB+LG; ","")&amp;IF(AND(BZ1106&gt;0,BY1106*10&gt;BZ1106),"zu hoch für Tablar; ","")&amp;IF(AND(BK1106=0,OR(BT1106=1,V1106&lt;&gt;"",S1106&lt;&gt;"",T1106&lt;&gt;"",W1106&lt;&gt;"")),"manuell übersteuert; ","")&amp;IF(AND(BO1106=0,Q1106=0),"Gebinde unbekannt; ","")&amp;IF(AND(BO1106=0,N(T1106)&lt;=0,N(P1106)&lt;=0),"Menge pro Gebinde fehlt (Ist = 1 Gebinde); ","")&amp;BJ1106)</f>
        <v/>
      </c>
      <c r="BC1106" s="53" t="n"/>
      <c r="BD1106" s="53" t="n"/>
      <c r="BE1106" s="61" t="n"/>
      <c r="BF1106" s="55" t="n">
        <v>-14</v>
      </c>
      <c r="BG1106" s="55" t="n">
        <v>39</v>
      </c>
      <c r="BH1106" s="54" t="n">
        <v>-224.7</v>
      </c>
      <c r="BI1106" s="55" t="n">
        <v>0</v>
      </c>
      <c r="BJ1106" s="53" t="inlineStr">
        <is>
          <t>Neu</t>
        </is>
      </c>
      <c r="BK1106" s="58" t="n">
        <v>0</v>
      </c>
      <c r="BL1106" s="58" t="n">
        <v>1106</v>
      </c>
      <c r="BM1106" s="53">
        <f>IF(S1106&lt;&gt;"",UPPER(TRIM(S1106)),IF(O1106="","LOSE",O1106))</f>
        <v/>
      </c>
      <c r="BN1106" s="55">
        <f>IF(BM1106="LOSE",1,IF(N(T1106)&gt;0,T1106,IF(N(P1106)&gt;0,P1106,MAX(1,G1106))))</f>
        <v/>
      </c>
      <c r="BO1106" s="58">
        <f>IF(BM1106="LOSE",1,0)</f>
        <v/>
      </c>
      <c r="BP1106" s="64">
        <f>IF(BO1106=0,0,IF(N(R1106)&gt;0,R1106,IFERROR(VLOOKUP(D1106,Parameter!$A$35:$C$64,3,0)+0,0)))</f>
        <v/>
      </c>
      <c r="BQ1106" s="53">
        <f>IF(V1106&lt;&gt;"",V1106,U1106)</f>
        <v/>
      </c>
      <c r="BR1106" s="53">
        <f>IF(BQ1106=1,"L1",IF(OR(BQ1106=2,BQ1106=3),"L23",IF(BQ1106="Aussen","Aussen","-")))</f>
        <v/>
      </c>
      <c r="BS1106" s="66">
        <f>IF(N(W1106)&gt;0,W1106,0)</f>
        <v/>
      </c>
      <c r="BT1106" s="58">
        <f>IF(ISNUMBER(Z1106),1,0)</f>
        <v/>
      </c>
      <c r="BU1106" s="55">
        <f>N(Z1106)</f>
        <v/>
      </c>
      <c r="BV1106" s="55">
        <f>N(L1106)+N(M1106)</f>
        <v/>
      </c>
      <c r="BW1106" s="55">
        <f>ROUNDUP(G1106/BN1106,0)</f>
        <v/>
      </c>
      <c r="BX1106" s="55">
        <f>ROUNDUP(BU1106/BN1106,0)</f>
        <v/>
      </c>
      <c r="BY1106" s="58">
        <f>IF(BO1106=1,0,IFERROR(VLOOKUP(BM1106,'Gebinde-Kategorie'!$A$5:$G$45,5,0)+0,0))</f>
        <v/>
      </c>
      <c r="BZ1106" s="58">
        <f>IFERROR(IF(OR(BQ1106=1,BQ1106=2,BQ1106=3),N(INDEX(Parameter!$I$5:$I$7,BQ1106)),0),0)</f>
        <v/>
      </c>
    </row>
    <row r="1107">
      <c r="A1107" s="53" t="inlineStr">
        <is>
          <t>103275</t>
        </is>
      </c>
      <c r="B1107" s="53" t="inlineStr">
        <is>
          <t>Halter für 3 Kettenaufhänger</t>
        </is>
      </c>
      <c r="C1107" s="53" t="inlineStr">
        <is>
          <t>F</t>
        </is>
      </c>
      <c r="D1107" s="53" t="inlineStr">
        <is>
          <t>KTL</t>
        </is>
      </c>
      <c r="E1107" s="53" t="inlineStr">
        <is>
          <t>C</t>
        </is>
      </c>
      <c r="F1107" s="54" t="n">
        <v>225.71</v>
      </c>
      <c r="G1107" s="55">
        <f>MAX(0,IF(Parameter!$B$20="Jahresanfang 2025 + Export",BG1107+BF1107,BF1107))</f>
        <v/>
      </c>
      <c r="H1107" s="55">
        <f>G1107*F1107</f>
        <v/>
      </c>
      <c r="I1107" s="55">
        <f>BI1107*Parameter!$B$18</f>
        <v/>
      </c>
      <c r="J1107" s="56" t="n">
        <v>6.5</v>
      </c>
      <c r="K1107" s="57" t="n">
        <v>0.1538461538461539</v>
      </c>
      <c r="L1107" s="55" t="n">
        <v>0</v>
      </c>
      <c r="M1107" s="55" t="n">
        <v>1</v>
      </c>
      <c r="N1107" s="58" t="n">
        <v>28</v>
      </c>
      <c r="O1107" s="53" t="inlineStr">
        <is>
          <t>S41</t>
        </is>
      </c>
      <c r="P1107" s="55" t="n">
        <v>7</v>
      </c>
      <c r="Q1107" s="59">
        <f>IF(BO1107=1,0,IFERROR(VLOOKUP(BM1107,'Gebinde-Kategorie'!$A$5:$G$45,6,0)+0,0))</f>
        <v/>
      </c>
      <c r="R1107" s="60" t="n"/>
      <c r="S1107" s="61" t="n"/>
      <c r="T1107" s="61" t="n"/>
      <c r="U1107" s="53">
        <f>IF(A1107="","",IF(IFERROR(VLOOKUP(D1107,Parameter!$A$35:$C$64,2,0),"Nein")="2+3",IF(ISNUMBER(SEARCH("grosser Artikel",BJ1107)),2,IFERROR(VLOOKUP(BM1107,Parameter!$F$35:$G$64,2,0),2)),IF(OR(IFERROR(VLOOKUP(D1107,Parameter!$A$35:$C$64,2,0),"Nein")="Nein",IFERROR(VLOOKUP(D1107,Parameter!$A$35:$C$64,2,0),"Nein")=""),"-",VLOOKUP(D1107,Parameter!$A$35:$C$64,2,0))))</f>
        <v/>
      </c>
      <c r="V1107" s="61" t="n"/>
      <c r="W1107" s="62" t="n"/>
      <c r="X1107" s="55">
        <f>AM1107</f>
        <v/>
      </c>
      <c r="Y1107" s="55">
        <f>MAX(AM1107,G1107)</f>
        <v/>
      </c>
      <c r="Z1107" s="63" t="n"/>
      <c r="AA1107" s="55">
        <f>IF(LEFT(Cockpit!$C$5,1)="A",G1107,IF(BT1107=1,BU1107,IF(LEFT(Cockpit!$C$5,1)="B",AE1107,MAX(AE1107,G1107))))</f>
        <v/>
      </c>
      <c r="AB1107" s="55">
        <f>IF(BO1107=1,0,ROUNDUP(AA1107/BN1107,0))</f>
        <v/>
      </c>
      <c r="AC1107" s="64">
        <f>IF(BO1107=1,IF(AA1107&lt;=0,0,BP1107*MAX(1,IF(G1107&gt;0,AA1107/G1107,1))),AB1107*Q1107)</f>
        <v/>
      </c>
      <c r="AD1107" s="55">
        <f>AA1107*F1107</f>
        <v/>
      </c>
      <c r="AE1107" s="55">
        <f>ROUNDUP(MAX(I1107/IF(BS1107&gt;0,BS1107,MAX(0.1,N(Cockpit!$C$6))),BV1107)/BN1107,0)*BN1107</f>
        <v/>
      </c>
      <c r="AF1107" s="56">
        <f>IF(AC1107&gt;0,I1107/AC1107,-1)</f>
        <v/>
      </c>
      <c r="AG1107" s="56">
        <f>IF(AND(OR(BR1107="L1",BR1107="L23"),AC1107&gt;0),SUMIFS($AC$7:$AC$1570,$BR$7:$BR$1570,BR1107,$AF$7:$AF$1570,"&gt;"&amp;AF1107)+SUMIFS($AC$7:$AC$1570,$BR$7:$BR$1570,BR1107,$AF$7:$AF$1570,AF1107,$BL$7:$BL$1570,"&lt;="&amp;BL1107),"")</f>
        <v/>
      </c>
      <c r="AH1107" s="65">
        <f>IF(AG1107="",0,MAX(0,MIN(1,(IF(BR1107="L1",Parameter!$K$5,Parameter!$K$6+Parameter!$K$7)-(AG1107-AC1107))/AC1107)))</f>
        <v/>
      </c>
      <c r="AI1107" s="55">
        <f>IF(LEFT(Cockpit!$I$5,1)="A",G1107,IF(BT1107=1,BU1107,IF(LEFT(Cockpit!$I$5,1)="B",AM1107,MAX(AM1107,G1107))))</f>
        <v/>
      </c>
      <c r="AJ1107" s="55">
        <f>IF(BO1107=1,0,ROUNDUP(AI1107/BN1107,0))</f>
        <v/>
      </c>
      <c r="AK1107" s="64">
        <f>IF(BO1107=1,IF(AI1107&lt;=0,0,BP1107*MAX(1,IF(G1107&gt;0,AI1107/G1107,1))),AJ1107*Q1107)</f>
        <v/>
      </c>
      <c r="AL1107" s="55">
        <f>AI1107*F1107</f>
        <v/>
      </c>
      <c r="AM1107" s="55">
        <f>ROUNDUP(MAX(I1107/IF(BS1107&gt;0,BS1107,MAX(0.1,N(Cockpit!$I$6))),BV1107)/BN1107,0)*BN1107</f>
        <v/>
      </c>
      <c r="AN1107" s="56">
        <f>IF(AK1107&gt;0,I1107/AK1107,-1)</f>
        <v/>
      </c>
      <c r="AO1107" s="56">
        <f>IF(AND(OR(BR1107="L1",BR1107="L23"),AK1107&gt;0),SUMIFS($AK$7:$AK$1570,$BR$7:$BR$1570,BR1107,$AN$7:$AN$1570,"&gt;"&amp;AN1107)+SUMIFS($AK$7:$AK$1570,$BR$7:$BR$1570,BR1107,$AN$7:$AN$1570,AN1107,$BL$7:$BL$1570,"&lt;="&amp;BL1107),"")</f>
        <v/>
      </c>
      <c r="AP1107" s="65">
        <f>IF(AO1107="",0,MAX(0,MIN(1,(IF(BR1107="L1",Parameter!$K$5,Parameter!$K$6+Parameter!$K$7)-(AO1107-AK1107))/AK1107)))</f>
        <v/>
      </c>
      <c r="AQ1107" s="55">
        <f>IF(LEFT(Cockpit!$O$5,1)="A",G1107,IF(BT1107=1,BU1107,IF(LEFT(Cockpit!$O$5,1)="B",AU1107,MAX(AU1107,G1107))))</f>
        <v/>
      </c>
      <c r="AR1107" s="55">
        <f>IF(BO1107=1,0,ROUNDUP(AQ1107/BN1107,0))</f>
        <v/>
      </c>
      <c r="AS1107" s="64">
        <f>IF(BO1107=1,IF(AQ1107&lt;=0,0,BP1107*MAX(1,IF(G1107&gt;0,AQ1107/G1107,1))),AR1107*Q1107)</f>
        <v/>
      </c>
      <c r="AT1107" s="55">
        <f>AQ1107*F1107</f>
        <v/>
      </c>
      <c r="AU1107" s="55">
        <f>ROUNDUP(MAX(I1107/IF(BS1107&gt;0,BS1107,MAX(0.1,N(Cockpit!$O$6))),BV1107)/BN1107,0)*BN1107</f>
        <v/>
      </c>
      <c r="AV1107" s="56">
        <f>IF(AS1107&gt;0,I1107/AS1107,-1)</f>
        <v/>
      </c>
      <c r="AW1107" s="56">
        <f>IF(AND(OR(BR1107="L1",BR1107="L23"),AS1107&gt;0),SUMIFS($AS$7:$AS$1570,$BR$7:$BR$1570,BR1107,$AV$7:$AV$1570,"&gt;"&amp;AV1107)+SUMIFS($AS$7:$AS$1570,$BR$7:$BR$1570,BR1107,$AV$7:$AV$1570,AV1107,$BL$7:$BL$1570,"&lt;="&amp;BL1107),"")</f>
        <v/>
      </c>
      <c r="AX1107" s="65">
        <f>IF(AW1107="",0,MAX(0,MIN(1,(IF(BR1107="L1",Parameter!$K$5,Parameter!$K$6+Parameter!$K$7)-(AW1107-AS1107))/AS1107)))</f>
        <v/>
      </c>
      <c r="AY1107" s="53">
        <f>IF(AC1107&lt;=0,"",IF(BR1107="Aussen","Aussenlager",IF(BR1107="-","Nicht im Lift",IF(AH1107&gt;=1,"Lift",IF(AH1107&lt;=0,"Aussenlager","teilweise")))))</f>
        <v/>
      </c>
      <c r="AZ1107" s="53">
        <f>IF(AK1107&lt;=0,"",IF(BR1107="Aussen","Aussenlager",IF(BR1107="-","Nicht im Lift",IF(AP1107&gt;=1,"Lift",IF(AP1107&lt;=0,"Aussenlager","teilweise")))))</f>
        <v/>
      </c>
      <c r="BA1107" s="53">
        <f>IF(AS1107&lt;=0,"",IF(BR1107="Aussen","Aussenlager",IF(BR1107="-","Nicht im Lift",IF(AX1107&gt;=1,"Lift",IF(AX1107&lt;=0,"Aussenlager","teilweise")))))</f>
        <v/>
      </c>
      <c r="BB1107" s="53">
        <f>IF(A1107="","",IF(BK1107=1,"Neu; ","")&amp;IF(AND(BK1107=0,BF1107&lt;0),"negativer Bestand (Export "&amp;BF1107&amp;"); ","")&amp;IF(I1107&lt;=0,"Kein Verbrauch; ","")&amp;IF(BO1107=1,"Lose – Fläche geschätzt; ","")&amp;IF(G1107&gt;AM1107,"Überbestand "&amp;ROUND(G1107-AM1107,0)&amp;" Stk / CHF "&amp;ROUND((G1107-AM1107)*F1107,0)&amp;"; ","")&amp;IF(AND(BT1107=1,BU1107&lt;BV1107),"MAX &lt; MB+LG; ","")&amp;IF(AND(BZ1107&gt;0,BY1107*10&gt;BZ1107),"zu hoch für Tablar; ","")&amp;IF(AND(BK1107=0,OR(BT1107=1,V1107&lt;&gt;"",S1107&lt;&gt;"",T1107&lt;&gt;"",W1107&lt;&gt;"")),"manuell übersteuert; ","")&amp;IF(AND(BO1107=0,Q1107=0),"Gebinde unbekannt; ","")&amp;IF(AND(BO1107=0,N(T1107)&lt;=0,N(P1107)&lt;=0),"Menge pro Gebinde fehlt (Ist = 1 Gebinde); ","")&amp;BJ1107)</f>
        <v/>
      </c>
      <c r="BC1107" s="53" t="n"/>
      <c r="BD1107" s="53" t="n"/>
      <c r="BE1107" s="61" t="n"/>
      <c r="BF1107" s="55" t="n">
        <v>-1</v>
      </c>
      <c r="BG1107" s="55" t="n">
        <v>7</v>
      </c>
      <c r="BH1107" s="54" t="n">
        <v>-225.71</v>
      </c>
      <c r="BI1107" s="55" t="n">
        <v>1</v>
      </c>
      <c r="BJ1107" s="53" t="inlineStr">
        <is>
          <t>Überbestand</t>
        </is>
      </c>
      <c r="BK1107" s="58" t="n">
        <v>0</v>
      </c>
      <c r="BL1107" s="58" t="n">
        <v>1107</v>
      </c>
      <c r="BM1107" s="53">
        <f>IF(S1107&lt;&gt;"",UPPER(TRIM(S1107)),IF(O1107="","LOSE",O1107))</f>
        <v/>
      </c>
      <c r="BN1107" s="55">
        <f>IF(BM1107="LOSE",1,IF(N(T1107)&gt;0,T1107,IF(N(P1107)&gt;0,P1107,MAX(1,G1107))))</f>
        <v/>
      </c>
      <c r="BO1107" s="58">
        <f>IF(BM1107="LOSE",1,0)</f>
        <v/>
      </c>
      <c r="BP1107" s="64">
        <f>IF(BO1107=0,0,IF(N(R1107)&gt;0,R1107,IFERROR(VLOOKUP(D1107,Parameter!$A$35:$C$64,3,0)+0,0)))</f>
        <v/>
      </c>
      <c r="BQ1107" s="53">
        <f>IF(V1107&lt;&gt;"",V1107,U1107)</f>
        <v/>
      </c>
      <c r="BR1107" s="53">
        <f>IF(BQ1107=1,"L1",IF(OR(BQ1107=2,BQ1107=3),"L23",IF(BQ1107="Aussen","Aussen","-")))</f>
        <v/>
      </c>
      <c r="BS1107" s="66">
        <f>IF(N(W1107)&gt;0,W1107,0)</f>
        <v/>
      </c>
      <c r="BT1107" s="58">
        <f>IF(ISNUMBER(Z1107),1,0)</f>
        <v/>
      </c>
      <c r="BU1107" s="55">
        <f>N(Z1107)</f>
        <v/>
      </c>
      <c r="BV1107" s="55">
        <f>N(L1107)+N(M1107)</f>
        <v/>
      </c>
      <c r="BW1107" s="55">
        <f>ROUNDUP(G1107/BN1107,0)</f>
        <v/>
      </c>
      <c r="BX1107" s="55">
        <f>ROUNDUP(BU1107/BN1107,0)</f>
        <v/>
      </c>
      <c r="BY1107" s="58">
        <f>IF(BO1107=1,0,IFERROR(VLOOKUP(BM1107,'Gebinde-Kategorie'!$A$5:$G$45,5,0)+0,0))</f>
        <v/>
      </c>
      <c r="BZ1107" s="58">
        <f>IFERROR(IF(OR(BQ1107=1,BQ1107=2,BQ1107=3),N(INDEX(Parameter!$I$5:$I$7,BQ1107)),0),0)</f>
        <v/>
      </c>
    </row>
    <row r="1108">
      <c r="A1108" s="53" t="inlineStr">
        <is>
          <t>100359</t>
        </is>
      </c>
      <c r="B1108" s="53" t="inlineStr">
        <is>
          <t>Signalhorn / Blitzleuchte</t>
        </is>
      </c>
      <c r="C1108" s="53" t="inlineStr">
        <is>
          <t>F</t>
        </is>
      </c>
      <c r="D1108" s="53" t="inlineStr">
        <is>
          <t>PAL</t>
        </is>
      </c>
      <c r="E1108" s="53" t="inlineStr">
        <is>
          <t>C</t>
        </is>
      </c>
      <c r="F1108" s="54" t="n">
        <v>225.73</v>
      </c>
      <c r="G1108" s="55">
        <f>MAX(0,IF(Parameter!$B$20="Jahresanfang 2025 + Export",BG1108+BF1108,BF1108))</f>
        <v/>
      </c>
      <c r="H1108" s="55">
        <f>G1108*F1108</f>
        <v/>
      </c>
      <c r="I1108" s="55">
        <f>BI1108*Parameter!$B$18</f>
        <v/>
      </c>
      <c r="J1108" s="56" t="n">
        <v>14.5</v>
      </c>
      <c r="K1108" s="57" t="n">
        <v>0.06896551724137931</v>
      </c>
      <c r="L1108" s="55" t="n">
        <v>0</v>
      </c>
      <c r="M1108" s="55" t="n">
        <v>1</v>
      </c>
      <c r="N1108" s="58" t="n">
        <v>21</v>
      </c>
      <c r="O1108" s="53" t="inlineStr">
        <is>
          <t>S71</t>
        </is>
      </c>
      <c r="P1108" s="55" t="n">
        <v>24</v>
      </c>
      <c r="Q1108" s="59">
        <f>IF(BO1108=1,0,IFERROR(VLOOKUP(BM1108,'Gebinde-Kategorie'!$A$5:$G$45,6,0)+0,0))</f>
        <v/>
      </c>
      <c r="R1108" s="60" t="n"/>
      <c r="S1108" s="61" t="n"/>
      <c r="T1108" s="61" t="n"/>
      <c r="U1108" s="53">
        <f>IF(A1108="","",IF(IFERROR(VLOOKUP(D1108,Parameter!$A$35:$C$64,2,0),"Nein")="2+3",IF(ISNUMBER(SEARCH("grosser Artikel",BJ1108)),2,IFERROR(VLOOKUP(BM1108,Parameter!$F$35:$G$64,2,0),2)),IF(OR(IFERROR(VLOOKUP(D1108,Parameter!$A$35:$C$64,2,0),"Nein")="Nein",IFERROR(VLOOKUP(D1108,Parameter!$A$35:$C$64,2,0),"Nein")=""),"-",VLOOKUP(D1108,Parameter!$A$35:$C$64,2,0))))</f>
        <v/>
      </c>
      <c r="V1108" s="61" t="n"/>
      <c r="W1108" s="62" t="n"/>
      <c r="X1108" s="55">
        <f>AM1108</f>
        <v/>
      </c>
      <c r="Y1108" s="55">
        <f>MAX(AM1108,G1108)</f>
        <v/>
      </c>
      <c r="Z1108" s="63" t="n"/>
      <c r="AA1108" s="55">
        <f>IF(LEFT(Cockpit!$C$5,1)="A",G1108,IF(BT1108=1,BU1108,IF(LEFT(Cockpit!$C$5,1)="B",AE1108,MAX(AE1108,G1108))))</f>
        <v/>
      </c>
      <c r="AB1108" s="55">
        <f>IF(BO1108=1,0,ROUNDUP(AA1108/BN1108,0))</f>
        <v/>
      </c>
      <c r="AC1108" s="64">
        <f>IF(BO1108=1,IF(AA1108&lt;=0,0,BP1108*MAX(1,IF(G1108&gt;0,AA1108/G1108,1))),AB1108*Q1108)</f>
        <v/>
      </c>
      <c r="AD1108" s="55">
        <f>AA1108*F1108</f>
        <v/>
      </c>
      <c r="AE1108" s="55">
        <f>ROUNDUP(MAX(I1108/IF(BS1108&gt;0,BS1108,MAX(0.1,N(Cockpit!$C$6))),BV1108)/BN1108,0)*BN1108</f>
        <v/>
      </c>
      <c r="AF1108" s="56">
        <f>IF(AC1108&gt;0,I1108/AC1108,-1)</f>
        <v/>
      </c>
      <c r="AG1108" s="56">
        <f>IF(AND(OR(BR1108="L1",BR1108="L23"),AC1108&gt;0),SUMIFS($AC$7:$AC$1570,$BR$7:$BR$1570,BR1108,$AF$7:$AF$1570,"&gt;"&amp;AF1108)+SUMIFS($AC$7:$AC$1570,$BR$7:$BR$1570,BR1108,$AF$7:$AF$1570,AF1108,$BL$7:$BL$1570,"&lt;="&amp;BL1108),"")</f>
        <v/>
      </c>
      <c r="AH1108" s="65">
        <f>IF(AG1108="",0,MAX(0,MIN(1,(IF(BR1108="L1",Parameter!$K$5,Parameter!$K$6+Parameter!$K$7)-(AG1108-AC1108))/AC1108)))</f>
        <v/>
      </c>
      <c r="AI1108" s="55">
        <f>IF(LEFT(Cockpit!$I$5,1)="A",G1108,IF(BT1108=1,BU1108,IF(LEFT(Cockpit!$I$5,1)="B",AM1108,MAX(AM1108,G1108))))</f>
        <v/>
      </c>
      <c r="AJ1108" s="55">
        <f>IF(BO1108=1,0,ROUNDUP(AI1108/BN1108,0))</f>
        <v/>
      </c>
      <c r="AK1108" s="64">
        <f>IF(BO1108=1,IF(AI1108&lt;=0,0,BP1108*MAX(1,IF(G1108&gt;0,AI1108/G1108,1))),AJ1108*Q1108)</f>
        <v/>
      </c>
      <c r="AL1108" s="55">
        <f>AI1108*F1108</f>
        <v/>
      </c>
      <c r="AM1108" s="55">
        <f>ROUNDUP(MAX(I1108/IF(BS1108&gt;0,BS1108,MAX(0.1,N(Cockpit!$I$6))),BV1108)/BN1108,0)*BN1108</f>
        <v/>
      </c>
      <c r="AN1108" s="56">
        <f>IF(AK1108&gt;0,I1108/AK1108,-1)</f>
        <v/>
      </c>
      <c r="AO1108" s="56">
        <f>IF(AND(OR(BR1108="L1",BR1108="L23"),AK1108&gt;0),SUMIFS($AK$7:$AK$1570,$BR$7:$BR$1570,BR1108,$AN$7:$AN$1570,"&gt;"&amp;AN1108)+SUMIFS($AK$7:$AK$1570,$BR$7:$BR$1570,BR1108,$AN$7:$AN$1570,AN1108,$BL$7:$BL$1570,"&lt;="&amp;BL1108),"")</f>
        <v/>
      </c>
      <c r="AP1108" s="65">
        <f>IF(AO1108="",0,MAX(0,MIN(1,(IF(BR1108="L1",Parameter!$K$5,Parameter!$K$6+Parameter!$K$7)-(AO1108-AK1108))/AK1108)))</f>
        <v/>
      </c>
      <c r="AQ1108" s="55">
        <f>IF(LEFT(Cockpit!$O$5,1)="A",G1108,IF(BT1108=1,BU1108,IF(LEFT(Cockpit!$O$5,1)="B",AU1108,MAX(AU1108,G1108))))</f>
        <v/>
      </c>
      <c r="AR1108" s="55">
        <f>IF(BO1108=1,0,ROUNDUP(AQ1108/BN1108,0))</f>
        <v/>
      </c>
      <c r="AS1108" s="64">
        <f>IF(BO1108=1,IF(AQ1108&lt;=0,0,BP1108*MAX(1,IF(G1108&gt;0,AQ1108/G1108,1))),AR1108*Q1108)</f>
        <v/>
      </c>
      <c r="AT1108" s="55">
        <f>AQ1108*F1108</f>
        <v/>
      </c>
      <c r="AU1108" s="55">
        <f>ROUNDUP(MAX(I1108/IF(BS1108&gt;0,BS1108,MAX(0.1,N(Cockpit!$O$6))),BV1108)/BN1108,0)*BN1108</f>
        <v/>
      </c>
      <c r="AV1108" s="56">
        <f>IF(AS1108&gt;0,I1108/AS1108,-1)</f>
        <v/>
      </c>
      <c r="AW1108" s="56">
        <f>IF(AND(OR(BR1108="L1",BR1108="L23"),AS1108&gt;0),SUMIFS($AS$7:$AS$1570,$BR$7:$BR$1570,BR1108,$AV$7:$AV$1570,"&gt;"&amp;AV1108)+SUMIFS($AS$7:$AS$1570,$BR$7:$BR$1570,BR1108,$AV$7:$AV$1570,AV1108,$BL$7:$BL$1570,"&lt;="&amp;BL1108),"")</f>
        <v/>
      </c>
      <c r="AX1108" s="65">
        <f>IF(AW1108="",0,MAX(0,MIN(1,(IF(BR1108="L1",Parameter!$K$5,Parameter!$K$6+Parameter!$K$7)-(AW1108-AS1108))/AS1108)))</f>
        <v/>
      </c>
      <c r="AY1108" s="53">
        <f>IF(AC1108&lt;=0,"",IF(BR1108="Aussen","Aussenlager",IF(BR1108="-","Nicht im Lift",IF(AH1108&gt;=1,"Lift",IF(AH1108&lt;=0,"Aussenlager","teilweise")))))</f>
        <v/>
      </c>
      <c r="AZ1108" s="53">
        <f>IF(AK1108&lt;=0,"",IF(BR1108="Aussen","Aussenlager",IF(BR1108="-","Nicht im Lift",IF(AP1108&gt;=1,"Lift",IF(AP1108&lt;=0,"Aussenlager","teilweise")))))</f>
        <v/>
      </c>
      <c r="BA1108" s="53">
        <f>IF(AS1108&lt;=0,"",IF(BR1108="Aussen","Aussenlager",IF(BR1108="-","Nicht im Lift",IF(AX1108&gt;=1,"Lift",IF(AX1108&lt;=0,"Aussenlager","teilweise")))))</f>
        <v/>
      </c>
      <c r="BB1108" s="53">
        <f>IF(A1108="","",IF(BK1108=1,"Neu; ","")&amp;IF(AND(BK1108=0,BF1108&lt;0),"negativer Bestand (Export "&amp;BF1108&amp;"); ","")&amp;IF(I1108&lt;=0,"Kein Verbrauch; ","")&amp;IF(BO1108=1,"Lose – Fläche geschätzt; ","")&amp;IF(G1108&gt;AM1108,"Überbestand "&amp;ROUND(G1108-AM1108,0)&amp;" Stk / CHF "&amp;ROUND((G1108-AM1108)*F1108,0)&amp;"; ","")&amp;IF(AND(BT1108=1,BU1108&lt;BV1108),"MAX &lt; MB+LG; ","")&amp;IF(AND(BZ1108&gt;0,BY1108*10&gt;BZ1108),"zu hoch für Tablar; ","")&amp;IF(AND(BK1108=0,OR(BT1108=1,V1108&lt;&gt;"",S1108&lt;&gt;"",T1108&lt;&gt;"",W1108&lt;&gt;"")),"manuell übersteuert; ","")&amp;IF(AND(BO1108=0,Q1108=0),"Gebinde unbekannt; ","")&amp;IF(AND(BO1108=0,N(T1108)&lt;=0,N(P1108)&lt;=0),"Menge pro Gebinde fehlt (Ist = 1 Gebinde); ","")&amp;BJ1108)</f>
        <v/>
      </c>
      <c r="BC1108" s="53" t="n"/>
      <c r="BD1108" s="53" t="n"/>
      <c r="BE1108" s="61" t="n"/>
      <c r="BF1108" s="55" t="n">
        <v>-1</v>
      </c>
      <c r="BG1108" s="55" t="n">
        <v>15</v>
      </c>
      <c r="BH1108" s="54" t="n">
        <v>-225.73</v>
      </c>
      <c r="BI1108" s="55" t="n">
        <v>1</v>
      </c>
      <c r="BJ1108" s="53" t="inlineStr">
        <is>
          <t>nicht im KTL vorhanden</t>
        </is>
      </c>
      <c r="BK1108" s="58" t="n">
        <v>0</v>
      </c>
      <c r="BL1108" s="58" t="n">
        <v>1108</v>
      </c>
      <c r="BM1108" s="53">
        <f>IF(S1108&lt;&gt;"",UPPER(TRIM(S1108)),IF(O1108="","LOSE",O1108))</f>
        <v/>
      </c>
      <c r="BN1108" s="55">
        <f>IF(BM1108="LOSE",1,IF(N(T1108)&gt;0,T1108,IF(N(P1108)&gt;0,P1108,MAX(1,G1108))))</f>
        <v/>
      </c>
      <c r="BO1108" s="58">
        <f>IF(BM1108="LOSE",1,0)</f>
        <v/>
      </c>
      <c r="BP1108" s="64">
        <f>IF(BO1108=0,0,IF(N(R1108)&gt;0,R1108,IFERROR(VLOOKUP(D1108,Parameter!$A$35:$C$64,3,0)+0,0)))</f>
        <v/>
      </c>
      <c r="BQ1108" s="53">
        <f>IF(V1108&lt;&gt;"",V1108,U1108)</f>
        <v/>
      </c>
      <c r="BR1108" s="53">
        <f>IF(BQ1108=1,"L1",IF(OR(BQ1108=2,BQ1108=3),"L23",IF(BQ1108="Aussen","Aussen","-")))</f>
        <v/>
      </c>
      <c r="BS1108" s="66">
        <f>IF(N(W1108)&gt;0,W1108,0)</f>
        <v/>
      </c>
      <c r="BT1108" s="58">
        <f>IF(ISNUMBER(Z1108),1,0)</f>
        <v/>
      </c>
      <c r="BU1108" s="55">
        <f>N(Z1108)</f>
        <v/>
      </c>
      <c r="BV1108" s="55">
        <f>N(L1108)+N(M1108)</f>
        <v/>
      </c>
      <c r="BW1108" s="55">
        <f>ROUNDUP(G1108/BN1108,0)</f>
        <v/>
      </c>
      <c r="BX1108" s="55">
        <f>ROUNDUP(BU1108/BN1108,0)</f>
        <v/>
      </c>
      <c r="BY1108" s="58">
        <f>IF(BO1108=1,0,IFERROR(VLOOKUP(BM1108,'Gebinde-Kategorie'!$A$5:$G$45,5,0)+0,0))</f>
        <v/>
      </c>
      <c r="BZ1108" s="58">
        <f>IFERROR(IF(OR(BQ1108=1,BQ1108=2,BQ1108=3),N(INDEX(Parameter!$I$5:$I$7,BQ1108)),0),0)</f>
        <v/>
      </c>
    </row>
    <row r="1109">
      <c r="A1109" s="53" t="inlineStr">
        <is>
          <t>109755</t>
        </is>
      </c>
      <c r="B1109" s="53" t="inlineStr">
        <is>
          <t>Kolben SPGr16</t>
        </is>
      </c>
      <c r="C1109" s="53" t="inlineStr">
        <is>
          <t>F</t>
        </is>
      </c>
      <c r="D1109" s="53" t="inlineStr">
        <is>
          <t>PAL</t>
        </is>
      </c>
      <c r="E1109" s="53" t="inlineStr">
        <is>
          <t>C</t>
        </is>
      </c>
      <c r="F1109" s="54" t="n">
        <v>256.99</v>
      </c>
      <c r="G1109" s="55">
        <f>MAX(0,IF(Parameter!$B$20="Jahresanfang 2025 + Export",BG1109+BF1109,BF1109))</f>
        <v/>
      </c>
      <c r="H1109" s="55">
        <f>G1109*F1109</f>
        <v/>
      </c>
      <c r="I1109" s="55">
        <f>BI1109*Parameter!$B$18</f>
        <v/>
      </c>
      <c r="J1109" s="56" t="n">
        <v>6</v>
      </c>
      <c r="K1109" s="57" t="n">
        <v>0.5</v>
      </c>
      <c r="L1109" s="55" t="n">
        <v>0</v>
      </c>
      <c r="M1109" s="55" t="n">
        <v>5</v>
      </c>
      <c r="N1109" s="58" t="n">
        <v>103</v>
      </c>
      <c r="O1109" s="53" t="inlineStr">
        <is>
          <t>S52</t>
        </is>
      </c>
      <c r="P1109" s="55" t="n">
        <v>4</v>
      </c>
      <c r="Q1109" s="59">
        <f>IF(BO1109=1,0,IFERROR(VLOOKUP(BM1109,'Gebinde-Kategorie'!$A$5:$G$45,6,0)+0,0))</f>
        <v/>
      </c>
      <c r="R1109" s="60" t="n"/>
      <c r="S1109" s="61" t="n"/>
      <c r="T1109" s="61" t="n"/>
      <c r="U1109" s="53">
        <f>IF(A1109="","",IF(IFERROR(VLOOKUP(D1109,Parameter!$A$35:$C$64,2,0),"Nein")="2+3",IF(ISNUMBER(SEARCH("grosser Artikel",BJ1109)),2,IFERROR(VLOOKUP(BM1109,Parameter!$F$35:$G$64,2,0),2)),IF(OR(IFERROR(VLOOKUP(D1109,Parameter!$A$35:$C$64,2,0),"Nein")="Nein",IFERROR(VLOOKUP(D1109,Parameter!$A$35:$C$64,2,0),"Nein")=""),"-",VLOOKUP(D1109,Parameter!$A$35:$C$64,2,0))))</f>
        <v/>
      </c>
      <c r="V1109" s="61" t="n"/>
      <c r="W1109" s="62" t="n"/>
      <c r="X1109" s="55">
        <f>AM1109</f>
        <v/>
      </c>
      <c r="Y1109" s="55">
        <f>MAX(AM1109,G1109)</f>
        <v/>
      </c>
      <c r="Z1109" s="63" t="n"/>
      <c r="AA1109" s="55">
        <f>IF(LEFT(Cockpit!$C$5,1)="A",G1109,IF(BT1109=1,BU1109,IF(LEFT(Cockpit!$C$5,1)="B",AE1109,MAX(AE1109,G1109))))</f>
        <v/>
      </c>
      <c r="AB1109" s="55">
        <f>IF(BO1109=1,0,ROUNDUP(AA1109/BN1109,0))</f>
        <v/>
      </c>
      <c r="AC1109" s="64">
        <f>IF(BO1109=1,IF(AA1109&lt;=0,0,BP1109*MAX(1,IF(G1109&gt;0,AA1109/G1109,1))),AB1109*Q1109)</f>
        <v/>
      </c>
      <c r="AD1109" s="55">
        <f>AA1109*F1109</f>
        <v/>
      </c>
      <c r="AE1109" s="55">
        <f>ROUNDUP(MAX(I1109/IF(BS1109&gt;0,BS1109,MAX(0.1,N(Cockpit!$C$6))),BV1109)/BN1109,0)*BN1109</f>
        <v/>
      </c>
      <c r="AF1109" s="56">
        <f>IF(AC1109&gt;0,I1109/AC1109,-1)</f>
        <v/>
      </c>
      <c r="AG1109" s="56">
        <f>IF(AND(OR(BR1109="L1",BR1109="L23"),AC1109&gt;0),SUMIFS($AC$7:$AC$1570,$BR$7:$BR$1570,BR1109,$AF$7:$AF$1570,"&gt;"&amp;AF1109)+SUMIFS($AC$7:$AC$1570,$BR$7:$BR$1570,BR1109,$AF$7:$AF$1570,AF1109,$BL$7:$BL$1570,"&lt;="&amp;BL1109),"")</f>
        <v/>
      </c>
      <c r="AH1109" s="65">
        <f>IF(AG1109="",0,MAX(0,MIN(1,(IF(BR1109="L1",Parameter!$K$5,Parameter!$K$6+Parameter!$K$7)-(AG1109-AC1109))/AC1109)))</f>
        <v/>
      </c>
      <c r="AI1109" s="55">
        <f>IF(LEFT(Cockpit!$I$5,1)="A",G1109,IF(BT1109=1,BU1109,IF(LEFT(Cockpit!$I$5,1)="B",AM1109,MAX(AM1109,G1109))))</f>
        <v/>
      </c>
      <c r="AJ1109" s="55">
        <f>IF(BO1109=1,0,ROUNDUP(AI1109/BN1109,0))</f>
        <v/>
      </c>
      <c r="AK1109" s="64">
        <f>IF(BO1109=1,IF(AI1109&lt;=0,0,BP1109*MAX(1,IF(G1109&gt;0,AI1109/G1109,1))),AJ1109*Q1109)</f>
        <v/>
      </c>
      <c r="AL1109" s="55">
        <f>AI1109*F1109</f>
        <v/>
      </c>
      <c r="AM1109" s="55">
        <f>ROUNDUP(MAX(I1109/IF(BS1109&gt;0,BS1109,MAX(0.1,N(Cockpit!$I$6))),BV1109)/BN1109,0)*BN1109</f>
        <v/>
      </c>
      <c r="AN1109" s="56">
        <f>IF(AK1109&gt;0,I1109/AK1109,-1)</f>
        <v/>
      </c>
      <c r="AO1109" s="56">
        <f>IF(AND(OR(BR1109="L1",BR1109="L23"),AK1109&gt;0),SUMIFS($AK$7:$AK$1570,$BR$7:$BR$1570,BR1109,$AN$7:$AN$1570,"&gt;"&amp;AN1109)+SUMIFS($AK$7:$AK$1570,$BR$7:$BR$1570,BR1109,$AN$7:$AN$1570,AN1109,$BL$7:$BL$1570,"&lt;="&amp;BL1109),"")</f>
        <v/>
      </c>
      <c r="AP1109" s="65">
        <f>IF(AO1109="",0,MAX(0,MIN(1,(IF(BR1109="L1",Parameter!$K$5,Parameter!$K$6+Parameter!$K$7)-(AO1109-AK1109))/AK1109)))</f>
        <v/>
      </c>
      <c r="AQ1109" s="55">
        <f>IF(LEFT(Cockpit!$O$5,1)="A",G1109,IF(BT1109=1,BU1109,IF(LEFT(Cockpit!$O$5,1)="B",AU1109,MAX(AU1109,G1109))))</f>
        <v/>
      </c>
      <c r="AR1109" s="55">
        <f>IF(BO1109=1,0,ROUNDUP(AQ1109/BN1109,0))</f>
        <v/>
      </c>
      <c r="AS1109" s="64">
        <f>IF(BO1109=1,IF(AQ1109&lt;=0,0,BP1109*MAX(1,IF(G1109&gt;0,AQ1109/G1109,1))),AR1109*Q1109)</f>
        <v/>
      </c>
      <c r="AT1109" s="55">
        <f>AQ1109*F1109</f>
        <v/>
      </c>
      <c r="AU1109" s="55">
        <f>ROUNDUP(MAX(I1109/IF(BS1109&gt;0,BS1109,MAX(0.1,N(Cockpit!$O$6))),BV1109)/BN1109,0)*BN1109</f>
        <v/>
      </c>
      <c r="AV1109" s="56">
        <f>IF(AS1109&gt;0,I1109/AS1109,-1)</f>
        <v/>
      </c>
      <c r="AW1109" s="56">
        <f>IF(AND(OR(BR1109="L1",BR1109="L23"),AS1109&gt;0),SUMIFS($AS$7:$AS$1570,$BR$7:$BR$1570,BR1109,$AV$7:$AV$1570,"&gt;"&amp;AV1109)+SUMIFS($AS$7:$AS$1570,$BR$7:$BR$1570,BR1109,$AV$7:$AV$1570,AV1109,$BL$7:$BL$1570,"&lt;="&amp;BL1109),"")</f>
        <v/>
      </c>
      <c r="AX1109" s="65">
        <f>IF(AW1109="",0,MAX(0,MIN(1,(IF(BR1109="L1",Parameter!$K$5,Parameter!$K$6+Parameter!$K$7)-(AW1109-AS1109))/AS1109)))</f>
        <v/>
      </c>
      <c r="AY1109" s="53">
        <f>IF(AC1109&lt;=0,"",IF(BR1109="Aussen","Aussenlager",IF(BR1109="-","Nicht im Lift",IF(AH1109&gt;=1,"Lift",IF(AH1109&lt;=0,"Aussenlager","teilweise")))))</f>
        <v/>
      </c>
      <c r="AZ1109" s="53">
        <f>IF(AK1109&lt;=0,"",IF(BR1109="Aussen","Aussenlager",IF(BR1109="-","Nicht im Lift",IF(AP1109&gt;=1,"Lift",IF(AP1109&lt;=0,"Aussenlager","teilweise")))))</f>
        <v/>
      </c>
      <c r="BA1109" s="53">
        <f>IF(AS1109&lt;=0,"",IF(BR1109="Aussen","Aussenlager",IF(BR1109="-","Nicht im Lift",IF(AX1109&gt;=1,"Lift",IF(AX1109&lt;=0,"Aussenlager","teilweise")))))</f>
        <v/>
      </c>
      <c r="BB1109" s="53">
        <f>IF(A1109="","",IF(BK1109=1,"Neu; ","")&amp;IF(AND(BK1109=0,BF1109&lt;0),"negativer Bestand (Export "&amp;BF1109&amp;"); ","")&amp;IF(I1109&lt;=0,"Kein Verbrauch; ","")&amp;IF(BO1109=1,"Lose – Fläche geschätzt; ","")&amp;IF(G1109&gt;AM1109,"Überbestand "&amp;ROUND(G1109-AM1109,0)&amp;" Stk / CHF "&amp;ROUND((G1109-AM1109)*F1109,0)&amp;"; ","")&amp;IF(AND(BT1109=1,BU1109&lt;BV1109),"MAX &lt; MB+LG; ","")&amp;IF(AND(BZ1109&gt;0,BY1109*10&gt;BZ1109),"zu hoch für Tablar; ","")&amp;IF(AND(BK1109=0,OR(BT1109=1,V1109&lt;&gt;"",S1109&lt;&gt;"",T1109&lt;&gt;"",W1109&lt;&gt;"")),"manuell übersteuert; ","")&amp;IF(AND(BO1109=0,Q1109=0),"Gebinde unbekannt; ","")&amp;IF(AND(BO1109=0,N(T1109)&lt;=0,N(P1109)&lt;=0),"Menge pro Gebinde fehlt (Ist = 1 Gebinde); ","")&amp;BJ1109)</f>
        <v/>
      </c>
      <c r="BC1109" s="53" t="n"/>
      <c r="BD1109" s="53" t="n"/>
      <c r="BE1109" s="61" t="n"/>
      <c r="BF1109" s="55" t="n">
        <v>-1</v>
      </c>
      <c r="BG1109" s="55" t="n">
        <v>1</v>
      </c>
      <c r="BH1109" s="54" t="n">
        <v>-227.9999999999991</v>
      </c>
      <c r="BI1109" s="55" t="n">
        <v>3</v>
      </c>
      <c r="BJ1109" s="53" t="inlineStr"/>
      <c r="BK1109" s="58" t="n">
        <v>0</v>
      </c>
      <c r="BL1109" s="58" t="n">
        <v>1109</v>
      </c>
      <c r="BM1109" s="53">
        <f>IF(S1109&lt;&gt;"",UPPER(TRIM(S1109)),IF(O1109="","LOSE",O1109))</f>
        <v/>
      </c>
      <c r="BN1109" s="55">
        <f>IF(BM1109="LOSE",1,IF(N(T1109)&gt;0,T1109,IF(N(P1109)&gt;0,P1109,MAX(1,G1109))))</f>
        <v/>
      </c>
      <c r="BO1109" s="58">
        <f>IF(BM1109="LOSE",1,0)</f>
        <v/>
      </c>
      <c r="BP1109" s="64">
        <f>IF(BO1109=0,0,IF(N(R1109)&gt;0,R1109,IFERROR(VLOOKUP(D1109,Parameter!$A$35:$C$64,3,0)+0,0)))</f>
        <v/>
      </c>
      <c r="BQ1109" s="53">
        <f>IF(V1109&lt;&gt;"",V1109,U1109)</f>
        <v/>
      </c>
      <c r="BR1109" s="53">
        <f>IF(BQ1109=1,"L1",IF(OR(BQ1109=2,BQ1109=3),"L23",IF(BQ1109="Aussen","Aussen","-")))</f>
        <v/>
      </c>
      <c r="BS1109" s="66">
        <f>IF(N(W1109)&gt;0,W1109,0)</f>
        <v/>
      </c>
      <c r="BT1109" s="58">
        <f>IF(ISNUMBER(Z1109),1,0)</f>
        <v/>
      </c>
      <c r="BU1109" s="55">
        <f>N(Z1109)</f>
        <v/>
      </c>
      <c r="BV1109" s="55">
        <f>N(L1109)+N(M1109)</f>
        <v/>
      </c>
      <c r="BW1109" s="55">
        <f>ROUNDUP(G1109/BN1109,0)</f>
        <v/>
      </c>
      <c r="BX1109" s="55">
        <f>ROUNDUP(BU1109/BN1109,0)</f>
        <v/>
      </c>
      <c r="BY1109" s="58">
        <f>IF(BO1109=1,0,IFERROR(VLOOKUP(BM1109,'Gebinde-Kategorie'!$A$5:$G$45,5,0)+0,0))</f>
        <v/>
      </c>
      <c r="BZ1109" s="58">
        <f>IFERROR(IF(OR(BQ1109=1,BQ1109=2,BQ1109=3),N(INDEX(Parameter!$I$5:$I$7,BQ1109)),0),0)</f>
        <v/>
      </c>
    </row>
    <row r="1110">
      <c r="A1110" s="53" t="inlineStr">
        <is>
          <t>005659</t>
        </is>
      </c>
      <c r="B1110" s="53" t="inlineStr">
        <is>
          <t>Swibox LED Leuchte T5</t>
        </is>
      </c>
      <c r="C1110" s="53" t="inlineStr">
        <is>
          <t>F</t>
        </is>
      </c>
      <c r="D1110" s="53" t="inlineStr">
        <is>
          <t>KTL</t>
        </is>
      </c>
      <c r="E1110" s="53" t="inlineStr">
        <is>
          <t>C</t>
        </is>
      </c>
      <c r="F1110" s="54" t="n">
        <v>45.6</v>
      </c>
      <c r="G1110" s="55">
        <f>MAX(0,IF(Parameter!$B$20="Jahresanfang 2025 + Export",BG1110+BF1110,BF1110))</f>
        <v/>
      </c>
      <c r="H1110" s="55">
        <f>G1110*F1110</f>
        <v/>
      </c>
      <c r="I1110" s="55">
        <f>BI1110*Parameter!$B$18</f>
        <v/>
      </c>
      <c r="J1110" s="56" t="n">
        <v>2.5</v>
      </c>
      <c r="K1110" s="57" t="n">
        <v>0</v>
      </c>
      <c r="L1110" s="55" t="n">
        <v>0</v>
      </c>
      <c r="M1110" s="55" t="n">
        <v>1</v>
      </c>
      <c r="N1110" s="58" t="n">
        <v>21</v>
      </c>
      <c r="O1110" s="53" t="inlineStr">
        <is>
          <t>LOSE</t>
        </is>
      </c>
      <c r="P1110" s="55" t="n"/>
      <c r="Q1110" s="59">
        <f>IF(BO1110=1,0,IFERROR(VLOOKUP(BM1110,'Gebinde-Kategorie'!$A$5:$G$45,6,0)+0,0))</f>
        <v/>
      </c>
      <c r="R1110" s="60" t="n"/>
      <c r="S1110" s="61" t="n"/>
      <c r="T1110" s="61" t="n"/>
      <c r="U1110" s="53">
        <f>IF(A1110="","",IF(IFERROR(VLOOKUP(D1110,Parameter!$A$35:$C$64,2,0),"Nein")="2+3",IF(ISNUMBER(SEARCH("grosser Artikel",BJ1110)),2,IFERROR(VLOOKUP(BM1110,Parameter!$F$35:$G$64,2,0),2)),IF(OR(IFERROR(VLOOKUP(D1110,Parameter!$A$35:$C$64,2,0),"Nein")="Nein",IFERROR(VLOOKUP(D1110,Parameter!$A$35:$C$64,2,0),"Nein")=""),"-",VLOOKUP(D1110,Parameter!$A$35:$C$64,2,0))))</f>
        <v/>
      </c>
      <c r="V1110" s="61" t="n"/>
      <c r="W1110" s="62" t="n"/>
      <c r="X1110" s="55">
        <f>AM1110</f>
        <v/>
      </c>
      <c r="Y1110" s="55">
        <f>MAX(AM1110,G1110)</f>
        <v/>
      </c>
      <c r="Z1110" s="63" t="n"/>
      <c r="AA1110" s="55">
        <f>IF(LEFT(Cockpit!$C$5,1)="A",G1110,IF(BT1110=1,BU1110,IF(LEFT(Cockpit!$C$5,1)="B",AE1110,MAX(AE1110,G1110))))</f>
        <v/>
      </c>
      <c r="AB1110" s="55">
        <f>IF(BO1110=1,0,ROUNDUP(AA1110/BN1110,0))</f>
        <v/>
      </c>
      <c r="AC1110" s="64">
        <f>IF(BO1110=1,IF(AA1110&lt;=0,0,BP1110*MAX(1,IF(G1110&gt;0,AA1110/G1110,1))),AB1110*Q1110)</f>
        <v/>
      </c>
      <c r="AD1110" s="55">
        <f>AA1110*F1110</f>
        <v/>
      </c>
      <c r="AE1110" s="55">
        <f>ROUNDUP(MAX(I1110/IF(BS1110&gt;0,BS1110,MAX(0.1,N(Cockpit!$C$6))),BV1110)/BN1110,0)*BN1110</f>
        <v/>
      </c>
      <c r="AF1110" s="56">
        <f>IF(AC1110&gt;0,I1110/AC1110,-1)</f>
        <v/>
      </c>
      <c r="AG1110" s="56">
        <f>IF(AND(OR(BR1110="L1",BR1110="L23"),AC1110&gt;0),SUMIFS($AC$7:$AC$1570,$BR$7:$BR$1570,BR1110,$AF$7:$AF$1570,"&gt;"&amp;AF1110)+SUMIFS($AC$7:$AC$1570,$BR$7:$BR$1570,BR1110,$AF$7:$AF$1570,AF1110,$BL$7:$BL$1570,"&lt;="&amp;BL1110),"")</f>
        <v/>
      </c>
      <c r="AH1110" s="65">
        <f>IF(AG1110="",0,MAX(0,MIN(1,(IF(BR1110="L1",Parameter!$K$5,Parameter!$K$6+Parameter!$K$7)-(AG1110-AC1110))/AC1110)))</f>
        <v/>
      </c>
      <c r="AI1110" s="55">
        <f>IF(LEFT(Cockpit!$I$5,1)="A",G1110,IF(BT1110=1,BU1110,IF(LEFT(Cockpit!$I$5,1)="B",AM1110,MAX(AM1110,G1110))))</f>
        <v/>
      </c>
      <c r="AJ1110" s="55">
        <f>IF(BO1110=1,0,ROUNDUP(AI1110/BN1110,0))</f>
        <v/>
      </c>
      <c r="AK1110" s="64">
        <f>IF(BO1110=1,IF(AI1110&lt;=0,0,BP1110*MAX(1,IF(G1110&gt;0,AI1110/G1110,1))),AJ1110*Q1110)</f>
        <v/>
      </c>
      <c r="AL1110" s="55">
        <f>AI1110*F1110</f>
        <v/>
      </c>
      <c r="AM1110" s="55">
        <f>ROUNDUP(MAX(I1110/IF(BS1110&gt;0,BS1110,MAX(0.1,N(Cockpit!$I$6))),BV1110)/BN1110,0)*BN1110</f>
        <v/>
      </c>
      <c r="AN1110" s="56">
        <f>IF(AK1110&gt;0,I1110/AK1110,-1)</f>
        <v/>
      </c>
      <c r="AO1110" s="56">
        <f>IF(AND(OR(BR1110="L1",BR1110="L23"),AK1110&gt;0),SUMIFS($AK$7:$AK$1570,$BR$7:$BR$1570,BR1110,$AN$7:$AN$1570,"&gt;"&amp;AN1110)+SUMIFS($AK$7:$AK$1570,$BR$7:$BR$1570,BR1110,$AN$7:$AN$1570,AN1110,$BL$7:$BL$1570,"&lt;="&amp;BL1110),"")</f>
        <v/>
      </c>
      <c r="AP1110" s="65">
        <f>IF(AO1110="",0,MAX(0,MIN(1,(IF(BR1110="L1",Parameter!$K$5,Parameter!$K$6+Parameter!$K$7)-(AO1110-AK1110))/AK1110)))</f>
        <v/>
      </c>
      <c r="AQ1110" s="55">
        <f>IF(LEFT(Cockpit!$O$5,1)="A",G1110,IF(BT1110=1,BU1110,IF(LEFT(Cockpit!$O$5,1)="B",AU1110,MAX(AU1110,G1110))))</f>
        <v/>
      </c>
      <c r="AR1110" s="55">
        <f>IF(BO1110=1,0,ROUNDUP(AQ1110/BN1110,0))</f>
        <v/>
      </c>
      <c r="AS1110" s="64">
        <f>IF(BO1110=1,IF(AQ1110&lt;=0,0,BP1110*MAX(1,IF(G1110&gt;0,AQ1110/G1110,1))),AR1110*Q1110)</f>
        <v/>
      </c>
      <c r="AT1110" s="55">
        <f>AQ1110*F1110</f>
        <v/>
      </c>
      <c r="AU1110" s="55">
        <f>ROUNDUP(MAX(I1110/IF(BS1110&gt;0,BS1110,MAX(0.1,N(Cockpit!$O$6))),BV1110)/BN1110,0)*BN1110</f>
        <v/>
      </c>
      <c r="AV1110" s="56">
        <f>IF(AS1110&gt;0,I1110/AS1110,-1)</f>
        <v/>
      </c>
      <c r="AW1110" s="56">
        <f>IF(AND(OR(BR1110="L1",BR1110="L23"),AS1110&gt;0),SUMIFS($AS$7:$AS$1570,$BR$7:$BR$1570,BR1110,$AV$7:$AV$1570,"&gt;"&amp;AV1110)+SUMIFS($AS$7:$AS$1570,$BR$7:$BR$1570,BR1110,$AV$7:$AV$1570,AV1110,$BL$7:$BL$1570,"&lt;="&amp;BL1110),"")</f>
        <v/>
      </c>
      <c r="AX1110" s="65">
        <f>IF(AW1110="",0,MAX(0,MIN(1,(IF(BR1110="L1",Parameter!$K$5,Parameter!$K$6+Parameter!$K$7)-(AW1110-AS1110))/AS1110)))</f>
        <v/>
      </c>
      <c r="AY1110" s="53">
        <f>IF(AC1110&lt;=0,"",IF(BR1110="Aussen","Aussenlager",IF(BR1110="-","Nicht im Lift",IF(AH1110&gt;=1,"Lift",IF(AH1110&lt;=0,"Aussenlager","teilweise")))))</f>
        <v/>
      </c>
      <c r="AZ1110" s="53">
        <f>IF(AK1110&lt;=0,"",IF(BR1110="Aussen","Aussenlager",IF(BR1110="-","Nicht im Lift",IF(AP1110&gt;=1,"Lift",IF(AP1110&lt;=0,"Aussenlager","teilweise")))))</f>
        <v/>
      </c>
      <c r="BA1110" s="53">
        <f>IF(AS1110&lt;=0,"",IF(BR1110="Aussen","Aussenlager",IF(BR1110="-","Nicht im Lift",IF(AX1110&gt;=1,"Lift",IF(AX1110&lt;=0,"Aussenlager","teilweise")))))</f>
        <v/>
      </c>
      <c r="BB1110" s="53">
        <f>IF(A1110="","",IF(BK1110=1,"Neu; ","")&amp;IF(AND(BK1110=0,BF1110&lt;0),"negativer Bestand (Export "&amp;BF1110&amp;"); ","")&amp;IF(I1110&lt;=0,"Kein Verbrauch; ","")&amp;IF(BO1110=1,"Lose – Fläche geschätzt; ","")&amp;IF(G1110&gt;AM1110,"Überbestand "&amp;ROUND(G1110-AM1110,0)&amp;" Stk / CHF "&amp;ROUND((G1110-AM1110)*F1110,0)&amp;"; ","")&amp;IF(AND(BT1110=1,BU1110&lt;BV1110),"MAX &lt; MB+LG; ","")&amp;IF(AND(BZ1110&gt;0,BY1110*10&gt;BZ1110),"zu hoch für Tablar; ","")&amp;IF(AND(BK1110=0,OR(BT1110=1,V1110&lt;&gt;"",S1110&lt;&gt;"",T1110&lt;&gt;"",W1110&lt;&gt;"")),"manuell übersteuert; ","")&amp;IF(AND(BO1110=0,Q1110=0),"Gebinde unbekannt; ","")&amp;IF(AND(BO1110=0,N(T1110)&lt;=0,N(P1110)&lt;=0),"Menge pro Gebinde fehlt (Ist = 1 Gebinde); ","")&amp;BJ1110)</f>
        <v/>
      </c>
      <c r="BC1110" s="53" t="n"/>
      <c r="BD1110" s="53" t="n"/>
      <c r="BE1110" s="61" t="n"/>
      <c r="BF1110" s="55" t="n">
        <v>-5</v>
      </c>
      <c r="BG1110" s="55" t="n">
        <v>5</v>
      </c>
      <c r="BH1110" s="54" t="n">
        <v>-228</v>
      </c>
      <c r="BI1110" s="55" t="n">
        <v>0</v>
      </c>
      <c r="BJ1110" s="53" t="inlineStr"/>
      <c r="BK1110" s="58" t="n">
        <v>0</v>
      </c>
      <c r="BL1110" s="58" t="n">
        <v>1110</v>
      </c>
      <c r="BM1110" s="53">
        <f>IF(S1110&lt;&gt;"",UPPER(TRIM(S1110)),IF(O1110="","LOSE",O1110))</f>
        <v/>
      </c>
      <c r="BN1110" s="55">
        <f>IF(BM1110="LOSE",1,IF(N(T1110)&gt;0,T1110,IF(N(P1110)&gt;0,P1110,MAX(1,G1110))))</f>
        <v/>
      </c>
      <c r="BO1110" s="58">
        <f>IF(BM1110="LOSE",1,0)</f>
        <v/>
      </c>
      <c r="BP1110" s="64">
        <f>IF(BO1110=0,0,IF(N(R1110)&gt;0,R1110,IFERROR(VLOOKUP(D1110,Parameter!$A$35:$C$64,3,0)+0,0)))</f>
        <v/>
      </c>
      <c r="BQ1110" s="53">
        <f>IF(V1110&lt;&gt;"",V1110,U1110)</f>
        <v/>
      </c>
      <c r="BR1110" s="53">
        <f>IF(BQ1110=1,"L1",IF(OR(BQ1110=2,BQ1110=3),"L23",IF(BQ1110="Aussen","Aussen","-")))</f>
        <v/>
      </c>
      <c r="BS1110" s="66">
        <f>IF(N(W1110)&gt;0,W1110,0)</f>
        <v/>
      </c>
      <c r="BT1110" s="58">
        <f>IF(ISNUMBER(Z1110),1,0)</f>
        <v/>
      </c>
      <c r="BU1110" s="55">
        <f>N(Z1110)</f>
        <v/>
      </c>
      <c r="BV1110" s="55">
        <f>N(L1110)+N(M1110)</f>
        <v/>
      </c>
      <c r="BW1110" s="55">
        <f>ROUNDUP(G1110/BN1110,0)</f>
        <v/>
      </c>
      <c r="BX1110" s="55">
        <f>ROUNDUP(BU1110/BN1110,0)</f>
        <v/>
      </c>
      <c r="BY1110" s="58">
        <f>IF(BO1110=1,0,IFERROR(VLOOKUP(BM1110,'Gebinde-Kategorie'!$A$5:$G$45,5,0)+0,0))</f>
        <v/>
      </c>
      <c r="BZ1110" s="58">
        <f>IFERROR(IF(OR(BQ1110=1,BQ1110=2,BQ1110=3),N(INDEX(Parameter!$I$5:$I$7,BQ1110)),0),0)</f>
        <v/>
      </c>
    </row>
    <row r="1111">
      <c r="A1111" s="53" t="inlineStr">
        <is>
          <t>109181</t>
        </is>
      </c>
      <c r="B1111" s="53" t="inlineStr">
        <is>
          <t>Adapter Bündelanschluss Brenngas</t>
        </is>
      </c>
      <c r="C1111" s="53" t="inlineStr">
        <is>
          <t>F</t>
        </is>
      </c>
      <c r="D1111" s="53" t="inlineStr">
        <is>
          <t>KTL</t>
        </is>
      </c>
      <c r="E1111" s="53" t="inlineStr">
        <is>
          <t>C</t>
        </is>
      </c>
      <c r="F1111" s="54" t="n">
        <v>114.73</v>
      </c>
      <c r="G1111" s="55">
        <f>MAX(0,IF(Parameter!$B$20="Jahresanfang 2025 + Export",BG1111+BF1111,BF1111))</f>
        <v/>
      </c>
      <c r="H1111" s="55">
        <f>G1111*F1111</f>
        <v/>
      </c>
      <c r="I1111" s="55">
        <f>BI1111*Parameter!$B$18</f>
        <v/>
      </c>
      <c r="J1111" s="56" t="n">
        <v>5.5</v>
      </c>
      <c r="K1111" s="57" t="n">
        <v>0.1818181818181818</v>
      </c>
      <c r="L1111" s="55" t="n">
        <v>0</v>
      </c>
      <c r="M1111" s="55" t="n">
        <v>1</v>
      </c>
      <c r="N1111" s="58" t="n">
        <v>35</v>
      </c>
      <c r="O1111" s="53" t="inlineStr">
        <is>
          <t>S22</t>
        </is>
      </c>
      <c r="P1111" s="55" t="n">
        <v>5</v>
      </c>
      <c r="Q1111" s="59">
        <f>IF(BO1111=1,0,IFERROR(VLOOKUP(BM1111,'Gebinde-Kategorie'!$A$5:$G$45,6,0)+0,0))</f>
        <v/>
      </c>
      <c r="R1111" s="60" t="n"/>
      <c r="S1111" s="61" t="n"/>
      <c r="T1111" s="61" t="n"/>
      <c r="U1111" s="53">
        <f>IF(A1111="","",IF(IFERROR(VLOOKUP(D1111,Parameter!$A$35:$C$64,2,0),"Nein")="2+3",IF(ISNUMBER(SEARCH("grosser Artikel",BJ1111)),2,IFERROR(VLOOKUP(BM1111,Parameter!$F$35:$G$64,2,0),2)),IF(OR(IFERROR(VLOOKUP(D1111,Parameter!$A$35:$C$64,2,0),"Nein")="Nein",IFERROR(VLOOKUP(D1111,Parameter!$A$35:$C$64,2,0),"Nein")=""),"-",VLOOKUP(D1111,Parameter!$A$35:$C$64,2,0))))</f>
        <v/>
      </c>
      <c r="V1111" s="61" t="n"/>
      <c r="W1111" s="62" t="n"/>
      <c r="X1111" s="55">
        <f>AM1111</f>
        <v/>
      </c>
      <c r="Y1111" s="55">
        <f>MAX(AM1111,G1111)</f>
        <v/>
      </c>
      <c r="Z1111" s="63" t="n"/>
      <c r="AA1111" s="55">
        <f>IF(LEFT(Cockpit!$C$5,1)="A",G1111,IF(BT1111=1,BU1111,IF(LEFT(Cockpit!$C$5,1)="B",AE1111,MAX(AE1111,G1111))))</f>
        <v/>
      </c>
      <c r="AB1111" s="55">
        <f>IF(BO1111=1,0,ROUNDUP(AA1111/BN1111,0))</f>
        <v/>
      </c>
      <c r="AC1111" s="64">
        <f>IF(BO1111=1,IF(AA1111&lt;=0,0,BP1111*MAX(1,IF(G1111&gt;0,AA1111/G1111,1))),AB1111*Q1111)</f>
        <v/>
      </c>
      <c r="AD1111" s="55">
        <f>AA1111*F1111</f>
        <v/>
      </c>
      <c r="AE1111" s="55">
        <f>ROUNDUP(MAX(I1111/IF(BS1111&gt;0,BS1111,MAX(0.1,N(Cockpit!$C$6))),BV1111)/BN1111,0)*BN1111</f>
        <v/>
      </c>
      <c r="AF1111" s="56">
        <f>IF(AC1111&gt;0,I1111/AC1111,-1)</f>
        <v/>
      </c>
      <c r="AG1111" s="56">
        <f>IF(AND(OR(BR1111="L1",BR1111="L23"),AC1111&gt;0),SUMIFS($AC$7:$AC$1570,$BR$7:$BR$1570,BR1111,$AF$7:$AF$1570,"&gt;"&amp;AF1111)+SUMIFS($AC$7:$AC$1570,$BR$7:$BR$1570,BR1111,$AF$7:$AF$1570,AF1111,$BL$7:$BL$1570,"&lt;="&amp;BL1111),"")</f>
        <v/>
      </c>
      <c r="AH1111" s="65">
        <f>IF(AG1111="",0,MAX(0,MIN(1,(IF(BR1111="L1",Parameter!$K$5,Parameter!$K$6+Parameter!$K$7)-(AG1111-AC1111))/AC1111)))</f>
        <v/>
      </c>
      <c r="AI1111" s="55">
        <f>IF(LEFT(Cockpit!$I$5,1)="A",G1111,IF(BT1111=1,BU1111,IF(LEFT(Cockpit!$I$5,1)="B",AM1111,MAX(AM1111,G1111))))</f>
        <v/>
      </c>
      <c r="AJ1111" s="55">
        <f>IF(BO1111=1,0,ROUNDUP(AI1111/BN1111,0))</f>
        <v/>
      </c>
      <c r="AK1111" s="64">
        <f>IF(BO1111=1,IF(AI1111&lt;=0,0,BP1111*MAX(1,IF(G1111&gt;0,AI1111/G1111,1))),AJ1111*Q1111)</f>
        <v/>
      </c>
      <c r="AL1111" s="55">
        <f>AI1111*F1111</f>
        <v/>
      </c>
      <c r="AM1111" s="55">
        <f>ROUNDUP(MAX(I1111/IF(BS1111&gt;0,BS1111,MAX(0.1,N(Cockpit!$I$6))),BV1111)/BN1111,0)*BN1111</f>
        <v/>
      </c>
      <c r="AN1111" s="56">
        <f>IF(AK1111&gt;0,I1111/AK1111,-1)</f>
        <v/>
      </c>
      <c r="AO1111" s="56">
        <f>IF(AND(OR(BR1111="L1",BR1111="L23"),AK1111&gt;0),SUMIFS($AK$7:$AK$1570,$BR$7:$BR$1570,BR1111,$AN$7:$AN$1570,"&gt;"&amp;AN1111)+SUMIFS($AK$7:$AK$1570,$BR$7:$BR$1570,BR1111,$AN$7:$AN$1570,AN1111,$BL$7:$BL$1570,"&lt;="&amp;BL1111),"")</f>
        <v/>
      </c>
      <c r="AP1111" s="65">
        <f>IF(AO1111="",0,MAX(0,MIN(1,(IF(BR1111="L1",Parameter!$K$5,Parameter!$K$6+Parameter!$K$7)-(AO1111-AK1111))/AK1111)))</f>
        <v/>
      </c>
      <c r="AQ1111" s="55">
        <f>IF(LEFT(Cockpit!$O$5,1)="A",G1111,IF(BT1111=1,BU1111,IF(LEFT(Cockpit!$O$5,1)="B",AU1111,MAX(AU1111,G1111))))</f>
        <v/>
      </c>
      <c r="AR1111" s="55">
        <f>IF(BO1111=1,0,ROUNDUP(AQ1111/BN1111,0))</f>
        <v/>
      </c>
      <c r="AS1111" s="64">
        <f>IF(BO1111=1,IF(AQ1111&lt;=0,0,BP1111*MAX(1,IF(G1111&gt;0,AQ1111/G1111,1))),AR1111*Q1111)</f>
        <v/>
      </c>
      <c r="AT1111" s="55">
        <f>AQ1111*F1111</f>
        <v/>
      </c>
      <c r="AU1111" s="55">
        <f>ROUNDUP(MAX(I1111/IF(BS1111&gt;0,BS1111,MAX(0.1,N(Cockpit!$O$6))),BV1111)/BN1111,0)*BN1111</f>
        <v/>
      </c>
      <c r="AV1111" s="56">
        <f>IF(AS1111&gt;0,I1111/AS1111,-1)</f>
        <v/>
      </c>
      <c r="AW1111" s="56">
        <f>IF(AND(OR(BR1111="L1",BR1111="L23"),AS1111&gt;0),SUMIFS($AS$7:$AS$1570,$BR$7:$BR$1570,BR1111,$AV$7:$AV$1570,"&gt;"&amp;AV1111)+SUMIFS($AS$7:$AS$1570,$BR$7:$BR$1570,BR1111,$AV$7:$AV$1570,AV1111,$BL$7:$BL$1570,"&lt;="&amp;BL1111),"")</f>
        <v/>
      </c>
      <c r="AX1111" s="65">
        <f>IF(AW1111="",0,MAX(0,MIN(1,(IF(BR1111="L1",Parameter!$K$5,Parameter!$K$6+Parameter!$K$7)-(AW1111-AS1111))/AS1111)))</f>
        <v/>
      </c>
      <c r="AY1111" s="53">
        <f>IF(AC1111&lt;=0,"",IF(BR1111="Aussen","Aussenlager",IF(BR1111="-","Nicht im Lift",IF(AH1111&gt;=1,"Lift",IF(AH1111&lt;=0,"Aussenlager","teilweise")))))</f>
        <v/>
      </c>
      <c r="AZ1111" s="53">
        <f>IF(AK1111&lt;=0,"",IF(BR1111="Aussen","Aussenlager",IF(BR1111="-","Nicht im Lift",IF(AP1111&gt;=1,"Lift",IF(AP1111&lt;=0,"Aussenlager","teilweise")))))</f>
        <v/>
      </c>
      <c r="BA1111" s="53">
        <f>IF(AS1111&lt;=0,"",IF(BR1111="Aussen","Aussenlager",IF(BR1111="-","Nicht im Lift",IF(AX1111&gt;=1,"Lift",IF(AX1111&lt;=0,"Aussenlager","teilweise")))))</f>
        <v/>
      </c>
      <c r="BB1111" s="53">
        <f>IF(A1111="","",IF(BK1111=1,"Neu; ","")&amp;IF(AND(BK1111=0,BF1111&lt;0),"negativer Bestand (Export "&amp;BF1111&amp;"); ","")&amp;IF(I1111&lt;=0,"Kein Verbrauch; ","")&amp;IF(BO1111=1,"Lose – Fläche geschätzt; ","")&amp;IF(G1111&gt;AM1111,"Überbestand "&amp;ROUND(G1111-AM1111,0)&amp;" Stk / CHF "&amp;ROUND((G1111-AM1111)*F1111,0)&amp;"; ","")&amp;IF(AND(BT1111=1,BU1111&lt;BV1111),"MAX &lt; MB+LG; ","")&amp;IF(AND(BZ1111&gt;0,BY1111*10&gt;BZ1111),"zu hoch für Tablar; ","")&amp;IF(AND(BK1111=0,OR(BT1111=1,V1111&lt;&gt;"",S1111&lt;&gt;"",T1111&lt;&gt;"",W1111&lt;&gt;"")),"manuell übersteuert; ","")&amp;IF(AND(BO1111=0,Q1111=0),"Gebinde unbekannt; ","")&amp;IF(AND(BO1111=0,N(T1111)&lt;=0,N(P1111)&lt;=0),"Menge pro Gebinde fehlt (Ist = 1 Gebinde); ","")&amp;BJ1111)</f>
        <v/>
      </c>
      <c r="BC1111" s="53" t="n"/>
      <c r="BD1111" s="53" t="n"/>
      <c r="BE1111" s="61" t="n"/>
      <c r="BF1111" s="55" t="n">
        <v>-2</v>
      </c>
      <c r="BG1111" s="55" t="n">
        <v>6</v>
      </c>
      <c r="BH1111" s="54" t="n">
        <v>-229.46</v>
      </c>
      <c r="BI1111" s="55" t="n">
        <v>1</v>
      </c>
      <c r="BJ1111" s="53" t="inlineStr"/>
      <c r="BK1111" s="58" t="n">
        <v>0</v>
      </c>
      <c r="BL1111" s="58" t="n">
        <v>1111</v>
      </c>
      <c r="BM1111" s="53">
        <f>IF(S1111&lt;&gt;"",UPPER(TRIM(S1111)),IF(O1111="","LOSE",O1111))</f>
        <v/>
      </c>
      <c r="BN1111" s="55">
        <f>IF(BM1111="LOSE",1,IF(N(T1111)&gt;0,T1111,IF(N(P1111)&gt;0,P1111,MAX(1,G1111))))</f>
        <v/>
      </c>
      <c r="BO1111" s="58">
        <f>IF(BM1111="LOSE",1,0)</f>
        <v/>
      </c>
      <c r="BP1111" s="64">
        <f>IF(BO1111=0,0,IF(N(R1111)&gt;0,R1111,IFERROR(VLOOKUP(D1111,Parameter!$A$35:$C$64,3,0)+0,0)))</f>
        <v/>
      </c>
      <c r="BQ1111" s="53">
        <f>IF(V1111&lt;&gt;"",V1111,U1111)</f>
        <v/>
      </c>
      <c r="BR1111" s="53">
        <f>IF(BQ1111=1,"L1",IF(OR(BQ1111=2,BQ1111=3),"L23",IF(BQ1111="Aussen","Aussen","-")))</f>
        <v/>
      </c>
      <c r="BS1111" s="66">
        <f>IF(N(W1111)&gt;0,W1111,0)</f>
        <v/>
      </c>
      <c r="BT1111" s="58">
        <f>IF(ISNUMBER(Z1111),1,0)</f>
        <v/>
      </c>
      <c r="BU1111" s="55">
        <f>N(Z1111)</f>
        <v/>
      </c>
      <c r="BV1111" s="55">
        <f>N(L1111)+N(M1111)</f>
        <v/>
      </c>
      <c r="BW1111" s="55">
        <f>ROUNDUP(G1111/BN1111,0)</f>
        <v/>
      </c>
      <c r="BX1111" s="55">
        <f>ROUNDUP(BU1111/BN1111,0)</f>
        <v/>
      </c>
      <c r="BY1111" s="58">
        <f>IF(BO1111=1,0,IFERROR(VLOOKUP(BM1111,'Gebinde-Kategorie'!$A$5:$G$45,5,0)+0,0))</f>
        <v/>
      </c>
      <c r="BZ1111" s="58">
        <f>IFERROR(IF(OR(BQ1111=1,BQ1111=2,BQ1111=3),N(INDEX(Parameter!$I$5:$I$7,BQ1111)),0),0)</f>
        <v/>
      </c>
    </row>
    <row r="1112">
      <c r="A1112" s="53" t="inlineStr">
        <is>
          <t>109363</t>
        </is>
      </c>
      <c r="B1112" s="53" t="inlineStr">
        <is>
          <t>Rohrstück</t>
        </is>
      </c>
      <c r="C1112" s="53" t="inlineStr">
        <is>
          <t>F</t>
        </is>
      </c>
      <c r="D1112" s="53" t="inlineStr">
        <is>
          <t>KTL</t>
        </is>
      </c>
      <c r="E1112" s="53" t="inlineStr">
        <is>
          <t>C</t>
        </is>
      </c>
      <c r="F1112" s="54" t="n">
        <v>21.01</v>
      </c>
      <c r="G1112" s="55">
        <f>MAX(0,IF(Parameter!$B$20="Jahresanfang 2025 + Export",BG1112+BF1112,BF1112))</f>
        <v/>
      </c>
      <c r="H1112" s="55">
        <f>G1112*F1112</f>
        <v/>
      </c>
      <c r="I1112" s="55">
        <f>BI1112*Parameter!$B$18</f>
        <v/>
      </c>
      <c r="J1112" s="56" t="n">
        <v>25</v>
      </c>
      <c r="K1112" s="57" t="n">
        <v>0.24</v>
      </c>
      <c r="L1112" s="55" t="n">
        <v>0</v>
      </c>
      <c r="M1112" s="55" t="n">
        <v>5</v>
      </c>
      <c r="N1112" s="58" t="n">
        <v>14</v>
      </c>
      <c r="O1112" s="53" t="inlineStr">
        <is>
          <t>S32</t>
        </is>
      </c>
      <c r="P1112" s="55" t="n">
        <v>20</v>
      </c>
      <c r="Q1112" s="59">
        <f>IF(BO1112=1,0,IFERROR(VLOOKUP(BM1112,'Gebinde-Kategorie'!$A$5:$G$45,6,0)+0,0))</f>
        <v/>
      </c>
      <c r="R1112" s="60" t="n"/>
      <c r="S1112" s="61" t="n"/>
      <c r="T1112" s="61" t="n"/>
      <c r="U1112" s="53">
        <f>IF(A1112="","",IF(IFERROR(VLOOKUP(D1112,Parameter!$A$35:$C$64,2,0),"Nein")="2+3",IF(ISNUMBER(SEARCH("grosser Artikel",BJ1112)),2,IFERROR(VLOOKUP(BM1112,Parameter!$F$35:$G$64,2,0),2)),IF(OR(IFERROR(VLOOKUP(D1112,Parameter!$A$35:$C$64,2,0),"Nein")="Nein",IFERROR(VLOOKUP(D1112,Parameter!$A$35:$C$64,2,0),"Nein")=""),"-",VLOOKUP(D1112,Parameter!$A$35:$C$64,2,0))))</f>
        <v/>
      </c>
      <c r="V1112" s="61" t="n"/>
      <c r="W1112" s="62" t="n"/>
      <c r="X1112" s="55">
        <f>AM1112</f>
        <v/>
      </c>
      <c r="Y1112" s="55">
        <f>MAX(AM1112,G1112)</f>
        <v/>
      </c>
      <c r="Z1112" s="63" t="n"/>
      <c r="AA1112" s="55">
        <f>IF(LEFT(Cockpit!$C$5,1)="A",G1112,IF(BT1112=1,BU1112,IF(LEFT(Cockpit!$C$5,1)="B",AE1112,MAX(AE1112,G1112))))</f>
        <v/>
      </c>
      <c r="AB1112" s="55">
        <f>IF(BO1112=1,0,ROUNDUP(AA1112/BN1112,0))</f>
        <v/>
      </c>
      <c r="AC1112" s="64">
        <f>IF(BO1112=1,IF(AA1112&lt;=0,0,BP1112*MAX(1,IF(G1112&gt;0,AA1112/G1112,1))),AB1112*Q1112)</f>
        <v/>
      </c>
      <c r="AD1112" s="55">
        <f>AA1112*F1112</f>
        <v/>
      </c>
      <c r="AE1112" s="55">
        <f>ROUNDUP(MAX(I1112/IF(BS1112&gt;0,BS1112,MAX(0.1,N(Cockpit!$C$6))),BV1112)/BN1112,0)*BN1112</f>
        <v/>
      </c>
      <c r="AF1112" s="56">
        <f>IF(AC1112&gt;0,I1112/AC1112,-1)</f>
        <v/>
      </c>
      <c r="AG1112" s="56">
        <f>IF(AND(OR(BR1112="L1",BR1112="L23"),AC1112&gt;0),SUMIFS($AC$7:$AC$1570,$BR$7:$BR$1570,BR1112,$AF$7:$AF$1570,"&gt;"&amp;AF1112)+SUMIFS($AC$7:$AC$1570,$BR$7:$BR$1570,BR1112,$AF$7:$AF$1570,AF1112,$BL$7:$BL$1570,"&lt;="&amp;BL1112),"")</f>
        <v/>
      </c>
      <c r="AH1112" s="65">
        <f>IF(AG1112="",0,MAX(0,MIN(1,(IF(BR1112="L1",Parameter!$K$5,Parameter!$K$6+Parameter!$K$7)-(AG1112-AC1112))/AC1112)))</f>
        <v/>
      </c>
      <c r="AI1112" s="55">
        <f>IF(LEFT(Cockpit!$I$5,1)="A",G1112,IF(BT1112=1,BU1112,IF(LEFT(Cockpit!$I$5,1)="B",AM1112,MAX(AM1112,G1112))))</f>
        <v/>
      </c>
      <c r="AJ1112" s="55">
        <f>IF(BO1112=1,0,ROUNDUP(AI1112/BN1112,0))</f>
        <v/>
      </c>
      <c r="AK1112" s="64">
        <f>IF(BO1112=1,IF(AI1112&lt;=0,0,BP1112*MAX(1,IF(G1112&gt;0,AI1112/G1112,1))),AJ1112*Q1112)</f>
        <v/>
      </c>
      <c r="AL1112" s="55">
        <f>AI1112*F1112</f>
        <v/>
      </c>
      <c r="AM1112" s="55">
        <f>ROUNDUP(MAX(I1112/IF(BS1112&gt;0,BS1112,MAX(0.1,N(Cockpit!$I$6))),BV1112)/BN1112,0)*BN1112</f>
        <v/>
      </c>
      <c r="AN1112" s="56">
        <f>IF(AK1112&gt;0,I1112/AK1112,-1)</f>
        <v/>
      </c>
      <c r="AO1112" s="56">
        <f>IF(AND(OR(BR1112="L1",BR1112="L23"),AK1112&gt;0),SUMIFS($AK$7:$AK$1570,$BR$7:$BR$1570,BR1112,$AN$7:$AN$1570,"&gt;"&amp;AN1112)+SUMIFS($AK$7:$AK$1570,$BR$7:$BR$1570,BR1112,$AN$7:$AN$1570,AN1112,$BL$7:$BL$1570,"&lt;="&amp;BL1112),"")</f>
        <v/>
      </c>
      <c r="AP1112" s="65">
        <f>IF(AO1112="",0,MAX(0,MIN(1,(IF(BR1112="L1",Parameter!$K$5,Parameter!$K$6+Parameter!$K$7)-(AO1112-AK1112))/AK1112)))</f>
        <v/>
      </c>
      <c r="AQ1112" s="55">
        <f>IF(LEFT(Cockpit!$O$5,1)="A",G1112,IF(BT1112=1,BU1112,IF(LEFT(Cockpit!$O$5,1)="B",AU1112,MAX(AU1112,G1112))))</f>
        <v/>
      </c>
      <c r="AR1112" s="55">
        <f>IF(BO1112=1,0,ROUNDUP(AQ1112/BN1112,0))</f>
        <v/>
      </c>
      <c r="AS1112" s="64">
        <f>IF(BO1112=1,IF(AQ1112&lt;=0,0,BP1112*MAX(1,IF(G1112&gt;0,AQ1112/G1112,1))),AR1112*Q1112)</f>
        <v/>
      </c>
      <c r="AT1112" s="55">
        <f>AQ1112*F1112</f>
        <v/>
      </c>
      <c r="AU1112" s="55">
        <f>ROUNDUP(MAX(I1112/IF(BS1112&gt;0,BS1112,MAX(0.1,N(Cockpit!$O$6))),BV1112)/BN1112,0)*BN1112</f>
        <v/>
      </c>
      <c r="AV1112" s="56">
        <f>IF(AS1112&gt;0,I1112/AS1112,-1)</f>
        <v/>
      </c>
      <c r="AW1112" s="56">
        <f>IF(AND(OR(BR1112="L1",BR1112="L23"),AS1112&gt;0),SUMIFS($AS$7:$AS$1570,$BR$7:$BR$1570,BR1112,$AV$7:$AV$1570,"&gt;"&amp;AV1112)+SUMIFS($AS$7:$AS$1570,$BR$7:$BR$1570,BR1112,$AV$7:$AV$1570,AV1112,$BL$7:$BL$1570,"&lt;="&amp;BL1112),"")</f>
        <v/>
      </c>
      <c r="AX1112" s="65">
        <f>IF(AW1112="",0,MAX(0,MIN(1,(IF(BR1112="L1",Parameter!$K$5,Parameter!$K$6+Parameter!$K$7)-(AW1112-AS1112))/AS1112)))</f>
        <v/>
      </c>
      <c r="AY1112" s="53">
        <f>IF(AC1112&lt;=0,"",IF(BR1112="Aussen","Aussenlager",IF(BR1112="-","Nicht im Lift",IF(AH1112&gt;=1,"Lift",IF(AH1112&lt;=0,"Aussenlager","teilweise")))))</f>
        <v/>
      </c>
      <c r="AZ1112" s="53">
        <f>IF(AK1112&lt;=0,"",IF(BR1112="Aussen","Aussenlager",IF(BR1112="-","Nicht im Lift",IF(AP1112&gt;=1,"Lift",IF(AP1112&lt;=0,"Aussenlager","teilweise")))))</f>
        <v/>
      </c>
      <c r="BA1112" s="53">
        <f>IF(AS1112&lt;=0,"",IF(BR1112="Aussen","Aussenlager",IF(BR1112="-","Nicht im Lift",IF(AX1112&gt;=1,"Lift",IF(AX1112&lt;=0,"Aussenlager","teilweise")))))</f>
        <v/>
      </c>
      <c r="BB1112" s="53">
        <f>IF(A1112="","",IF(BK1112=1,"Neu; ","")&amp;IF(AND(BK1112=0,BF1112&lt;0),"negativer Bestand (Export "&amp;BF1112&amp;"); ","")&amp;IF(I1112&lt;=0,"Kein Verbrauch; ","")&amp;IF(BO1112=1,"Lose – Fläche geschätzt; ","")&amp;IF(G1112&gt;AM1112,"Überbestand "&amp;ROUND(G1112-AM1112,0)&amp;" Stk / CHF "&amp;ROUND((G1112-AM1112)*F1112,0)&amp;"; ","")&amp;IF(AND(BT1112=1,BU1112&lt;BV1112),"MAX &lt; MB+LG; ","")&amp;IF(AND(BZ1112&gt;0,BY1112*10&gt;BZ1112),"zu hoch für Tablar; ","")&amp;IF(AND(BK1112=0,OR(BT1112=1,V1112&lt;&gt;"",S1112&lt;&gt;"",T1112&lt;&gt;"",W1112&lt;&gt;"")),"manuell übersteuert; ","")&amp;IF(AND(BO1112=0,Q1112=0),"Gebinde unbekannt; ","")&amp;IF(AND(BO1112=0,N(T1112)&lt;=0,N(P1112)&lt;=0),"Menge pro Gebinde fehlt (Ist = 1 Gebinde); ","")&amp;BJ1112)</f>
        <v/>
      </c>
      <c r="BC1112" s="53" t="n"/>
      <c r="BD1112" s="53" t="n"/>
      <c r="BE1112" s="61" t="n"/>
      <c r="BF1112" s="55" t="n">
        <v>-11</v>
      </c>
      <c r="BG1112" s="55" t="n">
        <v>28</v>
      </c>
      <c r="BH1112" s="54" t="n">
        <v>-231.11</v>
      </c>
      <c r="BI1112" s="55" t="n">
        <v>6</v>
      </c>
      <c r="BJ1112" s="53" t="inlineStr"/>
      <c r="BK1112" s="58" t="n">
        <v>0</v>
      </c>
      <c r="BL1112" s="58" t="n">
        <v>1112</v>
      </c>
      <c r="BM1112" s="53">
        <f>IF(S1112&lt;&gt;"",UPPER(TRIM(S1112)),IF(O1112="","LOSE",O1112))</f>
        <v/>
      </c>
      <c r="BN1112" s="55">
        <f>IF(BM1112="LOSE",1,IF(N(T1112)&gt;0,T1112,IF(N(P1112)&gt;0,P1112,MAX(1,G1112))))</f>
        <v/>
      </c>
      <c r="BO1112" s="58">
        <f>IF(BM1112="LOSE",1,0)</f>
        <v/>
      </c>
      <c r="BP1112" s="64">
        <f>IF(BO1112=0,0,IF(N(R1112)&gt;0,R1112,IFERROR(VLOOKUP(D1112,Parameter!$A$35:$C$64,3,0)+0,0)))</f>
        <v/>
      </c>
      <c r="BQ1112" s="53">
        <f>IF(V1112&lt;&gt;"",V1112,U1112)</f>
        <v/>
      </c>
      <c r="BR1112" s="53">
        <f>IF(BQ1112=1,"L1",IF(OR(BQ1112=2,BQ1112=3),"L23",IF(BQ1112="Aussen","Aussen","-")))</f>
        <v/>
      </c>
      <c r="BS1112" s="66">
        <f>IF(N(W1112)&gt;0,W1112,0)</f>
        <v/>
      </c>
      <c r="BT1112" s="58">
        <f>IF(ISNUMBER(Z1112),1,0)</f>
        <v/>
      </c>
      <c r="BU1112" s="55">
        <f>N(Z1112)</f>
        <v/>
      </c>
      <c r="BV1112" s="55">
        <f>N(L1112)+N(M1112)</f>
        <v/>
      </c>
      <c r="BW1112" s="55">
        <f>ROUNDUP(G1112/BN1112,0)</f>
        <v/>
      </c>
      <c r="BX1112" s="55">
        <f>ROUNDUP(BU1112/BN1112,0)</f>
        <v/>
      </c>
      <c r="BY1112" s="58">
        <f>IF(BO1112=1,0,IFERROR(VLOOKUP(BM1112,'Gebinde-Kategorie'!$A$5:$G$45,5,0)+0,0))</f>
        <v/>
      </c>
      <c r="BZ1112" s="58">
        <f>IFERROR(IF(OR(BQ1112=1,BQ1112=2,BQ1112=3),N(INDEX(Parameter!$I$5:$I$7,BQ1112)),0),0)</f>
        <v/>
      </c>
    </row>
    <row r="1113">
      <c r="A1113" s="53" t="inlineStr">
        <is>
          <t>100401</t>
        </is>
      </c>
      <c r="B1113" s="53" t="inlineStr">
        <is>
          <t>Blende</t>
        </is>
      </c>
      <c r="C1113" s="53" t="inlineStr">
        <is>
          <t>F</t>
        </is>
      </c>
      <c r="D1113" s="53" t="inlineStr">
        <is>
          <t>KTL</t>
        </is>
      </c>
      <c r="E1113" s="53" t="inlineStr">
        <is>
          <t>C</t>
        </is>
      </c>
      <c r="F1113" s="54" t="n">
        <v>21.05</v>
      </c>
      <c r="G1113" s="55">
        <f>MAX(0,IF(Parameter!$B$20="Jahresanfang 2025 + Export",BG1113+BF1113,BF1113))</f>
        <v/>
      </c>
      <c r="H1113" s="55">
        <f>G1113*F1113</f>
        <v/>
      </c>
      <c r="I1113" s="55">
        <f>BI1113*Parameter!$B$18</f>
        <v/>
      </c>
      <c r="J1113" s="56" t="n">
        <v>76</v>
      </c>
      <c r="K1113" s="57" t="n">
        <v>0.03947368421052631</v>
      </c>
      <c r="L1113" s="55" t="n">
        <v>0</v>
      </c>
      <c r="M1113" s="55" t="n">
        <v>5</v>
      </c>
      <c r="N1113" s="58" t="n">
        <v>35</v>
      </c>
      <c r="O1113" s="53" t="inlineStr">
        <is>
          <t>S21</t>
        </is>
      </c>
      <c r="P1113" s="55" t="n">
        <v>100</v>
      </c>
      <c r="Q1113" s="59">
        <f>IF(BO1113=1,0,IFERROR(VLOOKUP(BM1113,'Gebinde-Kategorie'!$A$5:$G$45,6,0)+0,0))</f>
        <v/>
      </c>
      <c r="R1113" s="60" t="n"/>
      <c r="S1113" s="61" t="n"/>
      <c r="T1113" s="61" t="n"/>
      <c r="U1113" s="53">
        <f>IF(A1113="","",IF(IFERROR(VLOOKUP(D1113,Parameter!$A$35:$C$64,2,0),"Nein")="2+3",IF(ISNUMBER(SEARCH("grosser Artikel",BJ1113)),2,IFERROR(VLOOKUP(BM1113,Parameter!$F$35:$G$64,2,0),2)),IF(OR(IFERROR(VLOOKUP(D1113,Parameter!$A$35:$C$64,2,0),"Nein")="Nein",IFERROR(VLOOKUP(D1113,Parameter!$A$35:$C$64,2,0),"Nein")=""),"-",VLOOKUP(D1113,Parameter!$A$35:$C$64,2,0))))</f>
        <v/>
      </c>
      <c r="V1113" s="61" t="n"/>
      <c r="W1113" s="62" t="n"/>
      <c r="X1113" s="55">
        <f>AM1113</f>
        <v/>
      </c>
      <c r="Y1113" s="55">
        <f>MAX(AM1113,G1113)</f>
        <v/>
      </c>
      <c r="Z1113" s="63" t="n"/>
      <c r="AA1113" s="55">
        <f>IF(LEFT(Cockpit!$C$5,1)="A",G1113,IF(BT1113=1,BU1113,IF(LEFT(Cockpit!$C$5,1)="B",AE1113,MAX(AE1113,G1113))))</f>
        <v/>
      </c>
      <c r="AB1113" s="55">
        <f>IF(BO1113=1,0,ROUNDUP(AA1113/BN1113,0))</f>
        <v/>
      </c>
      <c r="AC1113" s="64">
        <f>IF(BO1113=1,IF(AA1113&lt;=0,0,BP1113*MAX(1,IF(G1113&gt;0,AA1113/G1113,1))),AB1113*Q1113)</f>
        <v/>
      </c>
      <c r="AD1113" s="55">
        <f>AA1113*F1113</f>
        <v/>
      </c>
      <c r="AE1113" s="55">
        <f>ROUNDUP(MAX(I1113/IF(BS1113&gt;0,BS1113,MAX(0.1,N(Cockpit!$C$6))),BV1113)/BN1113,0)*BN1113</f>
        <v/>
      </c>
      <c r="AF1113" s="56">
        <f>IF(AC1113&gt;0,I1113/AC1113,-1)</f>
        <v/>
      </c>
      <c r="AG1113" s="56">
        <f>IF(AND(OR(BR1113="L1",BR1113="L23"),AC1113&gt;0),SUMIFS($AC$7:$AC$1570,$BR$7:$BR$1570,BR1113,$AF$7:$AF$1570,"&gt;"&amp;AF1113)+SUMIFS($AC$7:$AC$1570,$BR$7:$BR$1570,BR1113,$AF$7:$AF$1570,AF1113,$BL$7:$BL$1570,"&lt;="&amp;BL1113),"")</f>
        <v/>
      </c>
      <c r="AH1113" s="65">
        <f>IF(AG1113="",0,MAX(0,MIN(1,(IF(BR1113="L1",Parameter!$K$5,Parameter!$K$6+Parameter!$K$7)-(AG1113-AC1113))/AC1113)))</f>
        <v/>
      </c>
      <c r="AI1113" s="55">
        <f>IF(LEFT(Cockpit!$I$5,1)="A",G1113,IF(BT1113=1,BU1113,IF(LEFT(Cockpit!$I$5,1)="B",AM1113,MAX(AM1113,G1113))))</f>
        <v/>
      </c>
      <c r="AJ1113" s="55">
        <f>IF(BO1113=1,0,ROUNDUP(AI1113/BN1113,0))</f>
        <v/>
      </c>
      <c r="AK1113" s="64">
        <f>IF(BO1113=1,IF(AI1113&lt;=0,0,BP1113*MAX(1,IF(G1113&gt;0,AI1113/G1113,1))),AJ1113*Q1113)</f>
        <v/>
      </c>
      <c r="AL1113" s="55">
        <f>AI1113*F1113</f>
        <v/>
      </c>
      <c r="AM1113" s="55">
        <f>ROUNDUP(MAX(I1113/IF(BS1113&gt;0,BS1113,MAX(0.1,N(Cockpit!$I$6))),BV1113)/BN1113,0)*BN1113</f>
        <v/>
      </c>
      <c r="AN1113" s="56">
        <f>IF(AK1113&gt;0,I1113/AK1113,-1)</f>
        <v/>
      </c>
      <c r="AO1113" s="56">
        <f>IF(AND(OR(BR1113="L1",BR1113="L23"),AK1113&gt;0),SUMIFS($AK$7:$AK$1570,$BR$7:$BR$1570,BR1113,$AN$7:$AN$1570,"&gt;"&amp;AN1113)+SUMIFS($AK$7:$AK$1570,$BR$7:$BR$1570,BR1113,$AN$7:$AN$1570,AN1113,$BL$7:$BL$1570,"&lt;="&amp;BL1113),"")</f>
        <v/>
      </c>
      <c r="AP1113" s="65">
        <f>IF(AO1113="",0,MAX(0,MIN(1,(IF(BR1113="L1",Parameter!$K$5,Parameter!$K$6+Parameter!$K$7)-(AO1113-AK1113))/AK1113)))</f>
        <v/>
      </c>
      <c r="AQ1113" s="55">
        <f>IF(LEFT(Cockpit!$O$5,1)="A",G1113,IF(BT1113=1,BU1113,IF(LEFT(Cockpit!$O$5,1)="B",AU1113,MAX(AU1113,G1113))))</f>
        <v/>
      </c>
      <c r="AR1113" s="55">
        <f>IF(BO1113=1,0,ROUNDUP(AQ1113/BN1113,0))</f>
        <v/>
      </c>
      <c r="AS1113" s="64">
        <f>IF(BO1113=1,IF(AQ1113&lt;=0,0,BP1113*MAX(1,IF(G1113&gt;0,AQ1113/G1113,1))),AR1113*Q1113)</f>
        <v/>
      </c>
      <c r="AT1113" s="55">
        <f>AQ1113*F1113</f>
        <v/>
      </c>
      <c r="AU1113" s="55">
        <f>ROUNDUP(MAX(I1113/IF(BS1113&gt;0,BS1113,MAX(0.1,N(Cockpit!$O$6))),BV1113)/BN1113,0)*BN1113</f>
        <v/>
      </c>
      <c r="AV1113" s="56">
        <f>IF(AS1113&gt;0,I1113/AS1113,-1)</f>
        <v/>
      </c>
      <c r="AW1113" s="56">
        <f>IF(AND(OR(BR1113="L1",BR1113="L23"),AS1113&gt;0),SUMIFS($AS$7:$AS$1570,$BR$7:$BR$1570,BR1113,$AV$7:$AV$1570,"&gt;"&amp;AV1113)+SUMIFS($AS$7:$AS$1570,$BR$7:$BR$1570,BR1113,$AV$7:$AV$1570,AV1113,$BL$7:$BL$1570,"&lt;="&amp;BL1113),"")</f>
        <v/>
      </c>
      <c r="AX1113" s="65">
        <f>IF(AW1113="",0,MAX(0,MIN(1,(IF(BR1113="L1",Parameter!$K$5,Parameter!$K$6+Parameter!$K$7)-(AW1113-AS1113))/AS1113)))</f>
        <v/>
      </c>
      <c r="AY1113" s="53">
        <f>IF(AC1113&lt;=0,"",IF(BR1113="Aussen","Aussenlager",IF(BR1113="-","Nicht im Lift",IF(AH1113&gt;=1,"Lift",IF(AH1113&lt;=0,"Aussenlager","teilweise")))))</f>
        <v/>
      </c>
      <c r="AZ1113" s="53">
        <f>IF(AK1113&lt;=0,"",IF(BR1113="Aussen","Aussenlager",IF(BR1113="-","Nicht im Lift",IF(AP1113&gt;=1,"Lift",IF(AP1113&lt;=0,"Aussenlager","teilweise")))))</f>
        <v/>
      </c>
      <c r="BA1113" s="53">
        <f>IF(AS1113&lt;=0,"",IF(BR1113="Aussen","Aussenlager",IF(BR1113="-","Nicht im Lift",IF(AX1113&gt;=1,"Lift",IF(AX1113&lt;=0,"Aussenlager","teilweise")))))</f>
        <v/>
      </c>
      <c r="BB1113" s="53">
        <f>IF(A1113="","",IF(BK1113=1,"Neu; ","")&amp;IF(AND(BK1113=0,BF1113&lt;0),"negativer Bestand (Export "&amp;BF1113&amp;"); ","")&amp;IF(I1113&lt;=0,"Kein Verbrauch; ","")&amp;IF(BO1113=1,"Lose – Fläche geschätzt; ","")&amp;IF(G1113&gt;AM1113,"Überbestand "&amp;ROUND(G1113-AM1113,0)&amp;" Stk / CHF "&amp;ROUND((G1113-AM1113)*F1113,0)&amp;"; ","")&amp;IF(AND(BT1113=1,BU1113&lt;BV1113),"MAX &lt; MB+LG; ","")&amp;IF(AND(BZ1113&gt;0,BY1113*10&gt;BZ1113),"zu hoch für Tablar; ","")&amp;IF(AND(BK1113=0,OR(BT1113=1,V1113&lt;&gt;"",S1113&lt;&gt;"",T1113&lt;&gt;"",W1113&lt;&gt;"")),"manuell übersteuert; ","")&amp;IF(AND(BO1113=0,Q1113=0),"Gebinde unbekannt; ","")&amp;IF(AND(BO1113=0,N(T1113)&lt;=0,N(P1113)&lt;=0),"Menge pro Gebinde fehlt (Ist = 1 Gebinde); ","")&amp;BJ1113)</f>
        <v/>
      </c>
      <c r="BC1113" s="53" t="n"/>
      <c r="BD1113" s="53" t="n"/>
      <c r="BE1113" s="61" t="n"/>
      <c r="BF1113" s="55" t="n">
        <v>-11</v>
      </c>
      <c r="BG1113" s="55" t="n">
        <v>78</v>
      </c>
      <c r="BH1113" s="54" t="n">
        <v>-231.55</v>
      </c>
      <c r="BI1113" s="55" t="n">
        <v>3</v>
      </c>
      <c r="BJ1113" s="53" t="inlineStr">
        <is>
          <t>Überbestand</t>
        </is>
      </c>
      <c r="BK1113" s="58" t="n">
        <v>0</v>
      </c>
      <c r="BL1113" s="58" t="n">
        <v>1113</v>
      </c>
      <c r="BM1113" s="53">
        <f>IF(S1113&lt;&gt;"",UPPER(TRIM(S1113)),IF(O1113="","LOSE",O1113))</f>
        <v/>
      </c>
      <c r="BN1113" s="55">
        <f>IF(BM1113="LOSE",1,IF(N(T1113)&gt;0,T1113,IF(N(P1113)&gt;0,P1113,MAX(1,G1113))))</f>
        <v/>
      </c>
      <c r="BO1113" s="58">
        <f>IF(BM1113="LOSE",1,0)</f>
        <v/>
      </c>
      <c r="BP1113" s="64">
        <f>IF(BO1113=0,0,IF(N(R1113)&gt;0,R1113,IFERROR(VLOOKUP(D1113,Parameter!$A$35:$C$64,3,0)+0,0)))</f>
        <v/>
      </c>
      <c r="BQ1113" s="53">
        <f>IF(V1113&lt;&gt;"",V1113,U1113)</f>
        <v/>
      </c>
      <c r="BR1113" s="53">
        <f>IF(BQ1113=1,"L1",IF(OR(BQ1113=2,BQ1113=3),"L23",IF(BQ1113="Aussen","Aussen","-")))</f>
        <v/>
      </c>
      <c r="BS1113" s="66">
        <f>IF(N(W1113)&gt;0,W1113,0)</f>
        <v/>
      </c>
      <c r="BT1113" s="58">
        <f>IF(ISNUMBER(Z1113),1,0)</f>
        <v/>
      </c>
      <c r="BU1113" s="55">
        <f>N(Z1113)</f>
        <v/>
      </c>
      <c r="BV1113" s="55">
        <f>N(L1113)+N(M1113)</f>
        <v/>
      </c>
      <c r="BW1113" s="55">
        <f>ROUNDUP(G1113/BN1113,0)</f>
        <v/>
      </c>
      <c r="BX1113" s="55">
        <f>ROUNDUP(BU1113/BN1113,0)</f>
        <v/>
      </c>
      <c r="BY1113" s="58">
        <f>IF(BO1113=1,0,IFERROR(VLOOKUP(BM1113,'Gebinde-Kategorie'!$A$5:$G$45,5,0)+0,0))</f>
        <v/>
      </c>
      <c r="BZ1113" s="58">
        <f>IFERROR(IF(OR(BQ1113=1,BQ1113=2,BQ1113=3),N(INDEX(Parameter!$I$5:$I$7,BQ1113)),0),0)</f>
        <v/>
      </c>
    </row>
    <row r="1114">
      <c r="A1114" s="53" t="inlineStr">
        <is>
          <t>001166</t>
        </is>
      </c>
      <c r="B1114" s="53" t="inlineStr">
        <is>
          <t>Presszange "crimp"</t>
        </is>
      </c>
      <c r="C1114" s="53" t="inlineStr">
        <is>
          <t>F</t>
        </is>
      </c>
      <c r="D1114" s="53" t="inlineStr">
        <is>
          <t>KTL</t>
        </is>
      </c>
      <c r="E1114" s="53" t="inlineStr">
        <is>
          <t>C</t>
        </is>
      </c>
      <c r="F1114" s="54" t="n">
        <v>116.54</v>
      </c>
      <c r="G1114" s="55">
        <f>MAX(0,IF(Parameter!$B$20="Jahresanfang 2025 + Export",BG1114+BF1114,BF1114))</f>
        <v/>
      </c>
      <c r="H1114" s="55">
        <f>G1114*F1114</f>
        <v/>
      </c>
      <c r="I1114" s="55">
        <f>BI1114*Parameter!$B$18</f>
        <v/>
      </c>
      <c r="J1114" s="56" t="n">
        <v>10</v>
      </c>
      <c r="K1114" s="57" t="n">
        <v>0</v>
      </c>
      <c r="L1114" s="55" t="n">
        <v>0</v>
      </c>
      <c r="M1114" s="55" t="n">
        <v>1</v>
      </c>
      <c r="N1114" s="58" t="n">
        <v>28</v>
      </c>
      <c r="O1114" s="53" t="inlineStr">
        <is>
          <t>S51</t>
        </is>
      </c>
      <c r="P1114" s="55" t="n">
        <v>8</v>
      </c>
      <c r="Q1114" s="59">
        <f>IF(BO1114=1,0,IFERROR(VLOOKUP(BM1114,'Gebinde-Kategorie'!$A$5:$G$45,6,0)+0,0))</f>
        <v/>
      </c>
      <c r="R1114" s="60" t="n"/>
      <c r="S1114" s="61" t="n"/>
      <c r="T1114" s="61" t="n"/>
      <c r="U1114" s="53">
        <f>IF(A1114="","",IF(IFERROR(VLOOKUP(D1114,Parameter!$A$35:$C$64,2,0),"Nein")="2+3",IF(ISNUMBER(SEARCH("grosser Artikel",BJ1114)),2,IFERROR(VLOOKUP(BM1114,Parameter!$F$35:$G$64,2,0),2)),IF(OR(IFERROR(VLOOKUP(D1114,Parameter!$A$35:$C$64,2,0),"Nein")="Nein",IFERROR(VLOOKUP(D1114,Parameter!$A$35:$C$64,2,0),"Nein")=""),"-",VLOOKUP(D1114,Parameter!$A$35:$C$64,2,0))))</f>
        <v/>
      </c>
      <c r="V1114" s="61" t="n"/>
      <c r="W1114" s="62" t="n"/>
      <c r="X1114" s="55">
        <f>AM1114</f>
        <v/>
      </c>
      <c r="Y1114" s="55">
        <f>MAX(AM1114,G1114)</f>
        <v/>
      </c>
      <c r="Z1114" s="63" t="n"/>
      <c r="AA1114" s="55">
        <f>IF(LEFT(Cockpit!$C$5,1)="A",G1114,IF(BT1114=1,BU1114,IF(LEFT(Cockpit!$C$5,1)="B",AE1114,MAX(AE1114,G1114))))</f>
        <v/>
      </c>
      <c r="AB1114" s="55">
        <f>IF(BO1114=1,0,ROUNDUP(AA1114/BN1114,0))</f>
        <v/>
      </c>
      <c r="AC1114" s="64">
        <f>IF(BO1114=1,IF(AA1114&lt;=0,0,BP1114*MAX(1,IF(G1114&gt;0,AA1114/G1114,1))),AB1114*Q1114)</f>
        <v/>
      </c>
      <c r="AD1114" s="55">
        <f>AA1114*F1114</f>
        <v/>
      </c>
      <c r="AE1114" s="55">
        <f>ROUNDUP(MAX(I1114/IF(BS1114&gt;0,BS1114,MAX(0.1,N(Cockpit!$C$6))),BV1114)/BN1114,0)*BN1114</f>
        <v/>
      </c>
      <c r="AF1114" s="56">
        <f>IF(AC1114&gt;0,I1114/AC1114,-1)</f>
        <v/>
      </c>
      <c r="AG1114" s="56">
        <f>IF(AND(OR(BR1114="L1",BR1114="L23"),AC1114&gt;0),SUMIFS($AC$7:$AC$1570,$BR$7:$BR$1570,BR1114,$AF$7:$AF$1570,"&gt;"&amp;AF1114)+SUMIFS($AC$7:$AC$1570,$BR$7:$BR$1570,BR1114,$AF$7:$AF$1570,AF1114,$BL$7:$BL$1570,"&lt;="&amp;BL1114),"")</f>
        <v/>
      </c>
      <c r="AH1114" s="65">
        <f>IF(AG1114="",0,MAX(0,MIN(1,(IF(BR1114="L1",Parameter!$K$5,Parameter!$K$6+Parameter!$K$7)-(AG1114-AC1114))/AC1114)))</f>
        <v/>
      </c>
      <c r="AI1114" s="55">
        <f>IF(LEFT(Cockpit!$I$5,1)="A",G1114,IF(BT1114=1,BU1114,IF(LEFT(Cockpit!$I$5,1)="B",AM1114,MAX(AM1114,G1114))))</f>
        <v/>
      </c>
      <c r="AJ1114" s="55">
        <f>IF(BO1114=1,0,ROUNDUP(AI1114/BN1114,0))</f>
        <v/>
      </c>
      <c r="AK1114" s="64">
        <f>IF(BO1114=1,IF(AI1114&lt;=0,0,BP1114*MAX(1,IF(G1114&gt;0,AI1114/G1114,1))),AJ1114*Q1114)</f>
        <v/>
      </c>
      <c r="AL1114" s="55">
        <f>AI1114*F1114</f>
        <v/>
      </c>
      <c r="AM1114" s="55">
        <f>ROUNDUP(MAX(I1114/IF(BS1114&gt;0,BS1114,MAX(0.1,N(Cockpit!$I$6))),BV1114)/BN1114,0)*BN1114</f>
        <v/>
      </c>
      <c r="AN1114" s="56">
        <f>IF(AK1114&gt;0,I1114/AK1114,-1)</f>
        <v/>
      </c>
      <c r="AO1114" s="56">
        <f>IF(AND(OR(BR1114="L1",BR1114="L23"),AK1114&gt;0),SUMIFS($AK$7:$AK$1570,$BR$7:$BR$1570,BR1114,$AN$7:$AN$1570,"&gt;"&amp;AN1114)+SUMIFS($AK$7:$AK$1570,$BR$7:$BR$1570,BR1114,$AN$7:$AN$1570,AN1114,$BL$7:$BL$1570,"&lt;="&amp;BL1114),"")</f>
        <v/>
      </c>
      <c r="AP1114" s="65">
        <f>IF(AO1114="",0,MAX(0,MIN(1,(IF(BR1114="L1",Parameter!$K$5,Parameter!$K$6+Parameter!$K$7)-(AO1114-AK1114))/AK1114)))</f>
        <v/>
      </c>
      <c r="AQ1114" s="55">
        <f>IF(LEFT(Cockpit!$O$5,1)="A",G1114,IF(BT1114=1,BU1114,IF(LEFT(Cockpit!$O$5,1)="B",AU1114,MAX(AU1114,G1114))))</f>
        <v/>
      </c>
      <c r="AR1114" s="55">
        <f>IF(BO1114=1,0,ROUNDUP(AQ1114/BN1114,0))</f>
        <v/>
      </c>
      <c r="AS1114" s="64">
        <f>IF(BO1114=1,IF(AQ1114&lt;=0,0,BP1114*MAX(1,IF(G1114&gt;0,AQ1114/G1114,1))),AR1114*Q1114)</f>
        <v/>
      </c>
      <c r="AT1114" s="55">
        <f>AQ1114*F1114</f>
        <v/>
      </c>
      <c r="AU1114" s="55">
        <f>ROUNDUP(MAX(I1114/IF(BS1114&gt;0,BS1114,MAX(0.1,N(Cockpit!$O$6))),BV1114)/BN1114,0)*BN1114</f>
        <v/>
      </c>
      <c r="AV1114" s="56">
        <f>IF(AS1114&gt;0,I1114/AS1114,-1)</f>
        <v/>
      </c>
      <c r="AW1114" s="56">
        <f>IF(AND(OR(BR1114="L1",BR1114="L23"),AS1114&gt;0),SUMIFS($AS$7:$AS$1570,$BR$7:$BR$1570,BR1114,$AV$7:$AV$1570,"&gt;"&amp;AV1114)+SUMIFS($AS$7:$AS$1570,$BR$7:$BR$1570,BR1114,$AV$7:$AV$1570,AV1114,$BL$7:$BL$1570,"&lt;="&amp;BL1114),"")</f>
        <v/>
      </c>
      <c r="AX1114" s="65">
        <f>IF(AW1114="",0,MAX(0,MIN(1,(IF(BR1114="L1",Parameter!$K$5,Parameter!$K$6+Parameter!$K$7)-(AW1114-AS1114))/AS1114)))</f>
        <v/>
      </c>
      <c r="AY1114" s="53">
        <f>IF(AC1114&lt;=0,"",IF(BR1114="Aussen","Aussenlager",IF(BR1114="-","Nicht im Lift",IF(AH1114&gt;=1,"Lift",IF(AH1114&lt;=0,"Aussenlager","teilweise")))))</f>
        <v/>
      </c>
      <c r="AZ1114" s="53">
        <f>IF(AK1114&lt;=0,"",IF(BR1114="Aussen","Aussenlager",IF(BR1114="-","Nicht im Lift",IF(AP1114&gt;=1,"Lift",IF(AP1114&lt;=0,"Aussenlager","teilweise")))))</f>
        <v/>
      </c>
      <c r="BA1114" s="53">
        <f>IF(AS1114&lt;=0,"",IF(BR1114="Aussen","Aussenlager",IF(BR1114="-","Nicht im Lift",IF(AX1114&gt;=1,"Lift",IF(AX1114&lt;=0,"Aussenlager","teilweise")))))</f>
        <v/>
      </c>
      <c r="BB1114" s="53">
        <f>IF(A1114="","",IF(BK1114=1,"Neu; ","")&amp;IF(AND(BK1114=0,BF1114&lt;0),"negativer Bestand (Export "&amp;BF1114&amp;"); ","")&amp;IF(I1114&lt;=0,"Kein Verbrauch; ","")&amp;IF(BO1114=1,"Lose – Fläche geschätzt; ","")&amp;IF(G1114&gt;AM1114,"Überbestand "&amp;ROUND(G1114-AM1114,0)&amp;" Stk / CHF "&amp;ROUND((G1114-AM1114)*F1114,0)&amp;"; ","")&amp;IF(AND(BT1114=1,BU1114&lt;BV1114),"MAX &lt; MB+LG; ","")&amp;IF(AND(BZ1114&gt;0,BY1114*10&gt;BZ1114),"zu hoch für Tablar; ","")&amp;IF(AND(BK1114=0,OR(BT1114=1,V1114&lt;&gt;"",S1114&lt;&gt;"",T1114&lt;&gt;"",W1114&lt;&gt;"")),"manuell übersteuert; ","")&amp;IF(AND(BO1114=0,Q1114=0),"Gebinde unbekannt; ","")&amp;IF(AND(BO1114=0,N(T1114)&lt;=0,N(P1114)&lt;=0),"Menge pro Gebinde fehlt (Ist = 1 Gebinde); ","")&amp;BJ1114)</f>
        <v/>
      </c>
      <c r="BC1114" s="53" t="n"/>
      <c r="BD1114" s="53" t="n"/>
      <c r="BE1114" s="61" t="n"/>
      <c r="BF1114" s="55" t="n">
        <v>-2</v>
      </c>
      <c r="BG1114" s="55" t="n">
        <v>10</v>
      </c>
      <c r="BH1114" s="54" t="n">
        <v>-233.08</v>
      </c>
      <c r="BI1114" s="55" t="n">
        <v>0</v>
      </c>
      <c r="BJ1114" s="53" t="inlineStr">
        <is>
          <t>Verb.Lager</t>
        </is>
      </c>
      <c r="BK1114" s="58" t="n">
        <v>0</v>
      </c>
      <c r="BL1114" s="58" t="n">
        <v>1114</v>
      </c>
      <c r="BM1114" s="53">
        <f>IF(S1114&lt;&gt;"",UPPER(TRIM(S1114)),IF(O1114="","LOSE",O1114))</f>
        <v/>
      </c>
      <c r="BN1114" s="55">
        <f>IF(BM1114="LOSE",1,IF(N(T1114)&gt;0,T1114,IF(N(P1114)&gt;0,P1114,MAX(1,G1114))))</f>
        <v/>
      </c>
      <c r="BO1114" s="58">
        <f>IF(BM1114="LOSE",1,0)</f>
        <v/>
      </c>
      <c r="BP1114" s="64">
        <f>IF(BO1114=0,0,IF(N(R1114)&gt;0,R1114,IFERROR(VLOOKUP(D1114,Parameter!$A$35:$C$64,3,0)+0,0)))</f>
        <v/>
      </c>
      <c r="BQ1114" s="53">
        <f>IF(V1114&lt;&gt;"",V1114,U1114)</f>
        <v/>
      </c>
      <c r="BR1114" s="53">
        <f>IF(BQ1114=1,"L1",IF(OR(BQ1114=2,BQ1114=3),"L23",IF(BQ1114="Aussen","Aussen","-")))</f>
        <v/>
      </c>
      <c r="BS1114" s="66">
        <f>IF(N(W1114)&gt;0,W1114,0)</f>
        <v/>
      </c>
      <c r="BT1114" s="58">
        <f>IF(ISNUMBER(Z1114),1,0)</f>
        <v/>
      </c>
      <c r="BU1114" s="55">
        <f>N(Z1114)</f>
        <v/>
      </c>
      <c r="BV1114" s="55">
        <f>N(L1114)+N(M1114)</f>
        <v/>
      </c>
      <c r="BW1114" s="55">
        <f>ROUNDUP(G1114/BN1114,0)</f>
        <v/>
      </c>
      <c r="BX1114" s="55">
        <f>ROUNDUP(BU1114/BN1114,0)</f>
        <v/>
      </c>
      <c r="BY1114" s="58">
        <f>IF(BO1114=1,0,IFERROR(VLOOKUP(BM1114,'Gebinde-Kategorie'!$A$5:$G$45,5,0)+0,0))</f>
        <v/>
      </c>
      <c r="BZ1114" s="58">
        <f>IFERROR(IF(OR(BQ1114=1,BQ1114=2,BQ1114=3),N(INDEX(Parameter!$I$5:$I$7,BQ1114)),0),0)</f>
        <v/>
      </c>
    </row>
    <row r="1115">
      <c r="A1115" s="53" t="inlineStr">
        <is>
          <t>005424</t>
        </is>
      </c>
      <c r="B1115" s="53" t="inlineStr">
        <is>
          <t>Rohrstück gerade</t>
        </is>
      </c>
      <c r="C1115" s="53" t="inlineStr">
        <is>
          <t>F</t>
        </is>
      </c>
      <c r="D1115" s="53" t="inlineStr">
        <is>
          <t>PAL</t>
        </is>
      </c>
      <c r="E1115" s="53" t="inlineStr">
        <is>
          <t>C</t>
        </is>
      </c>
      <c r="F1115" s="54" t="n">
        <v>12.3</v>
      </c>
      <c r="G1115" s="55">
        <f>MAX(0,IF(Parameter!$B$20="Jahresanfang 2025 + Export",BG1115+BF1115,BF1115))</f>
        <v/>
      </c>
      <c r="H1115" s="55">
        <f>G1115*F1115</f>
        <v/>
      </c>
      <c r="I1115" s="55">
        <f>BI1115*Parameter!$B$18</f>
        <v/>
      </c>
      <c r="J1115" s="56" t="n">
        <v>9.5</v>
      </c>
      <c r="K1115" s="57" t="n">
        <v>0</v>
      </c>
      <c r="L1115" s="55" t="n">
        <v>0</v>
      </c>
      <c r="M1115" s="55" t="n">
        <v>1</v>
      </c>
      <c r="N1115" s="58" t="n">
        <v>42</v>
      </c>
      <c r="O1115" s="53" t="inlineStr">
        <is>
          <t>LOSE</t>
        </is>
      </c>
      <c r="P1115" s="55" t="n"/>
      <c r="Q1115" s="59">
        <f>IF(BO1115=1,0,IFERROR(VLOOKUP(BM1115,'Gebinde-Kategorie'!$A$5:$G$45,6,0)+0,0))</f>
        <v/>
      </c>
      <c r="R1115" s="60" t="n"/>
      <c r="S1115" s="61" t="n"/>
      <c r="T1115" s="61" t="n"/>
      <c r="U1115" s="53">
        <f>IF(A1115="","",IF(IFERROR(VLOOKUP(D1115,Parameter!$A$35:$C$64,2,0),"Nein")="2+3",IF(ISNUMBER(SEARCH("grosser Artikel",BJ1115)),2,IFERROR(VLOOKUP(BM1115,Parameter!$F$35:$G$64,2,0),2)),IF(OR(IFERROR(VLOOKUP(D1115,Parameter!$A$35:$C$64,2,0),"Nein")="Nein",IFERROR(VLOOKUP(D1115,Parameter!$A$35:$C$64,2,0),"Nein")=""),"-",VLOOKUP(D1115,Parameter!$A$35:$C$64,2,0))))</f>
        <v/>
      </c>
      <c r="V1115" s="61" t="n"/>
      <c r="W1115" s="62" t="n"/>
      <c r="X1115" s="55">
        <f>AM1115</f>
        <v/>
      </c>
      <c r="Y1115" s="55">
        <f>MAX(AM1115,G1115)</f>
        <v/>
      </c>
      <c r="Z1115" s="63" t="n"/>
      <c r="AA1115" s="55">
        <f>IF(LEFT(Cockpit!$C$5,1)="A",G1115,IF(BT1115=1,BU1115,IF(LEFT(Cockpit!$C$5,1)="B",AE1115,MAX(AE1115,G1115))))</f>
        <v/>
      </c>
      <c r="AB1115" s="55">
        <f>IF(BO1115=1,0,ROUNDUP(AA1115/BN1115,0))</f>
        <v/>
      </c>
      <c r="AC1115" s="64">
        <f>IF(BO1115=1,IF(AA1115&lt;=0,0,BP1115*MAX(1,IF(G1115&gt;0,AA1115/G1115,1))),AB1115*Q1115)</f>
        <v/>
      </c>
      <c r="AD1115" s="55">
        <f>AA1115*F1115</f>
        <v/>
      </c>
      <c r="AE1115" s="55">
        <f>ROUNDUP(MAX(I1115/IF(BS1115&gt;0,BS1115,MAX(0.1,N(Cockpit!$C$6))),BV1115)/BN1115,0)*BN1115</f>
        <v/>
      </c>
      <c r="AF1115" s="56">
        <f>IF(AC1115&gt;0,I1115/AC1115,-1)</f>
        <v/>
      </c>
      <c r="AG1115" s="56">
        <f>IF(AND(OR(BR1115="L1",BR1115="L23"),AC1115&gt;0),SUMIFS($AC$7:$AC$1570,$BR$7:$BR$1570,BR1115,$AF$7:$AF$1570,"&gt;"&amp;AF1115)+SUMIFS($AC$7:$AC$1570,$BR$7:$BR$1570,BR1115,$AF$7:$AF$1570,AF1115,$BL$7:$BL$1570,"&lt;="&amp;BL1115),"")</f>
        <v/>
      </c>
      <c r="AH1115" s="65">
        <f>IF(AG1115="",0,MAX(0,MIN(1,(IF(BR1115="L1",Parameter!$K$5,Parameter!$K$6+Parameter!$K$7)-(AG1115-AC1115))/AC1115)))</f>
        <v/>
      </c>
      <c r="AI1115" s="55">
        <f>IF(LEFT(Cockpit!$I$5,1)="A",G1115,IF(BT1115=1,BU1115,IF(LEFT(Cockpit!$I$5,1)="B",AM1115,MAX(AM1115,G1115))))</f>
        <v/>
      </c>
      <c r="AJ1115" s="55">
        <f>IF(BO1115=1,0,ROUNDUP(AI1115/BN1115,0))</f>
        <v/>
      </c>
      <c r="AK1115" s="64">
        <f>IF(BO1115=1,IF(AI1115&lt;=0,0,BP1115*MAX(1,IF(G1115&gt;0,AI1115/G1115,1))),AJ1115*Q1115)</f>
        <v/>
      </c>
      <c r="AL1115" s="55">
        <f>AI1115*F1115</f>
        <v/>
      </c>
      <c r="AM1115" s="55">
        <f>ROUNDUP(MAX(I1115/IF(BS1115&gt;0,BS1115,MAX(0.1,N(Cockpit!$I$6))),BV1115)/BN1115,0)*BN1115</f>
        <v/>
      </c>
      <c r="AN1115" s="56">
        <f>IF(AK1115&gt;0,I1115/AK1115,-1)</f>
        <v/>
      </c>
      <c r="AO1115" s="56">
        <f>IF(AND(OR(BR1115="L1",BR1115="L23"),AK1115&gt;0),SUMIFS($AK$7:$AK$1570,$BR$7:$BR$1570,BR1115,$AN$7:$AN$1570,"&gt;"&amp;AN1115)+SUMIFS($AK$7:$AK$1570,$BR$7:$BR$1570,BR1115,$AN$7:$AN$1570,AN1115,$BL$7:$BL$1570,"&lt;="&amp;BL1115),"")</f>
        <v/>
      </c>
      <c r="AP1115" s="65">
        <f>IF(AO1115="",0,MAX(0,MIN(1,(IF(BR1115="L1",Parameter!$K$5,Parameter!$K$6+Parameter!$K$7)-(AO1115-AK1115))/AK1115)))</f>
        <v/>
      </c>
      <c r="AQ1115" s="55">
        <f>IF(LEFT(Cockpit!$O$5,1)="A",G1115,IF(BT1115=1,BU1115,IF(LEFT(Cockpit!$O$5,1)="B",AU1115,MAX(AU1115,G1115))))</f>
        <v/>
      </c>
      <c r="AR1115" s="55">
        <f>IF(BO1115=1,0,ROUNDUP(AQ1115/BN1115,0))</f>
        <v/>
      </c>
      <c r="AS1115" s="64">
        <f>IF(BO1115=1,IF(AQ1115&lt;=0,0,BP1115*MAX(1,IF(G1115&gt;0,AQ1115/G1115,1))),AR1115*Q1115)</f>
        <v/>
      </c>
      <c r="AT1115" s="55">
        <f>AQ1115*F1115</f>
        <v/>
      </c>
      <c r="AU1115" s="55">
        <f>ROUNDUP(MAX(I1115/IF(BS1115&gt;0,BS1115,MAX(0.1,N(Cockpit!$O$6))),BV1115)/BN1115,0)*BN1115</f>
        <v/>
      </c>
      <c r="AV1115" s="56">
        <f>IF(AS1115&gt;0,I1115/AS1115,-1)</f>
        <v/>
      </c>
      <c r="AW1115" s="56">
        <f>IF(AND(OR(BR1115="L1",BR1115="L23"),AS1115&gt;0),SUMIFS($AS$7:$AS$1570,$BR$7:$BR$1570,BR1115,$AV$7:$AV$1570,"&gt;"&amp;AV1115)+SUMIFS($AS$7:$AS$1570,$BR$7:$BR$1570,BR1115,$AV$7:$AV$1570,AV1115,$BL$7:$BL$1570,"&lt;="&amp;BL1115),"")</f>
        <v/>
      </c>
      <c r="AX1115" s="65">
        <f>IF(AW1115="",0,MAX(0,MIN(1,(IF(BR1115="L1",Parameter!$K$5,Parameter!$K$6+Parameter!$K$7)-(AW1115-AS1115))/AS1115)))</f>
        <v/>
      </c>
      <c r="AY1115" s="53">
        <f>IF(AC1115&lt;=0,"",IF(BR1115="Aussen","Aussenlager",IF(BR1115="-","Nicht im Lift",IF(AH1115&gt;=1,"Lift",IF(AH1115&lt;=0,"Aussenlager","teilweise")))))</f>
        <v/>
      </c>
      <c r="AZ1115" s="53">
        <f>IF(AK1115&lt;=0,"",IF(BR1115="Aussen","Aussenlager",IF(BR1115="-","Nicht im Lift",IF(AP1115&gt;=1,"Lift",IF(AP1115&lt;=0,"Aussenlager","teilweise")))))</f>
        <v/>
      </c>
      <c r="BA1115" s="53">
        <f>IF(AS1115&lt;=0,"",IF(BR1115="Aussen","Aussenlager",IF(BR1115="-","Nicht im Lift",IF(AX1115&gt;=1,"Lift",IF(AX1115&lt;=0,"Aussenlager","teilweise")))))</f>
        <v/>
      </c>
      <c r="BB1115" s="53">
        <f>IF(A1115="","",IF(BK1115=1,"Neu; ","")&amp;IF(AND(BK1115=0,BF1115&lt;0),"negativer Bestand (Export "&amp;BF1115&amp;"); ","")&amp;IF(I1115&lt;=0,"Kein Verbrauch; ","")&amp;IF(BO1115=1,"Lose – Fläche geschätzt; ","")&amp;IF(G1115&gt;AM1115,"Überbestand "&amp;ROUND(G1115-AM1115,0)&amp;" Stk / CHF "&amp;ROUND((G1115-AM1115)*F1115,0)&amp;"; ","")&amp;IF(AND(BT1115=1,BU1115&lt;BV1115),"MAX &lt; MB+LG; ","")&amp;IF(AND(BZ1115&gt;0,BY1115*10&gt;BZ1115),"zu hoch für Tablar; ","")&amp;IF(AND(BK1115=0,OR(BT1115=1,V1115&lt;&gt;"",S1115&lt;&gt;"",T1115&lt;&gt;"",W1115&lt;&gt;"")),"manuell übersteuert; ","")&amp;IF(AND(BO1115=0,Q1115=0),"Gebinde unbekannt; ","")&amp;IF(AND(BO1115=0,N(T1115)&lt;=0,N(P1115)&lt;=0),"Menge pro Gebinde fehlt (Ist = 1 Gebinde); ","")&amp;BJ1115)</f>
        <v/>
      </c>
      <c r="BC1115" s="53" t="n"/>
      <c r="BD1115" s="53" t="n"/>
      <c r="BE1115" s="61" t="n"/>
      <c r="BF1115" s="55" t="n">
        <v>-19</v>
      </c>
      <c r="BG1115" s="55" t="n">
        <v>19</v>
      </c>
      <c r="BH1115" s="54" t="n">
        <v>-233.7</v>
      </c>
      <c r="BI1115" s="55" t="n">
        <v>0</v>
      </c>
      <c r="BJ1115" s="53" t="inlineStr"/>
      <c r="BK1115" s="58" t="n">
        <v>0</v>
      </c>
      <c r="BL1115" s="58" t="n">
        <v>1115</v>
      </c>
      <c r="BM1115" s="53">
        <f>IF(S1115&lt;&gt;"",UPPER(TRIM(S1115)),IF(O1115="","LOSE",O1115))</f>
        <v/>
      </c>
      <c r="BN1115" s="55">
        <f>IF(BM1115="LOSE",1,IF(N(T1115)&gt;0,T1115,IF(N(P1115)&gt;0,P1115,MAX(1,G1115))))</f>
        <v/>
      </c>
      <c r="BO1115" s="58">
        <f>IF(BM1115="LOSE",1,0)</f>
        <v/>
      </c>
      <c r="BP1115" s="64">
        <f>IF(BO1115=0,0,IF(N(R1115)&gt;0,R1115,IFERROR(VLOOKUP(D1115,Parameter!$A$35:$C$64,3,0)+0,0)))</f>
        <v/>
      </c>
      <c r="BQ1115" s="53">
        <f>IF(V1115&lt;&gt;"",V1115,U1115)</f>
        <v/>
      </c>
      <c r="BR1115" s="53">
        <f>IF(BQ1115=1,"L1",IF(OR(BQ1115=2,BQ1115=3),"L23",IF(BQ1115="Aussen","Aussen","-")))</f>
        <v/>
      </c>
      <c r="BS1115" s="66">
        <f>IF(N(W1115)&gt;0,W1115,0)</f>
        <v/>
      </c>
      <c r="BT1115" s="58">
        <f>IF(ISNUMBER(Z1115),1,0)</f>
        <v/>
      </c>
      <c r="BU1115" s="55">
        <f>N(Z1115)</f>
        <v/>
      </c>
      <c r="BV1115" s="55">
        <f>N(L1115)+N(M1115)</f>
        <v/>
      </c>
      <c r="BW1115" s="55">
        <f>ROUNDUP(G1115/BN1115,0)</f>
        <v/>
      </c>
      <c r="BX1115" s="55">
        <f>ROUNDUP(BU1115/BN1115,0)</f>
        <v/>
      </c>
      <c r="BY1115" s="58">
        <f>IF(BO1115=1,0,IFERROR(VLOOKUP(BM1115,'Gebinde-Kategorie'!$A$5:$G$45,5,0)+0,0))</f>
        <v/>
      </c>
      <c r="BZ1115" s="58">
        <f>IFERROR(IF(OR(BQ1115=1,BQ1115=2,BQ1115=3),N(INDEX(Parameter!$I$5:$I$7,BQ1115)),0),0)</f>
        <v/>
      </c>
    </row>
    <row r="1116">
      <c r="A1116" s="53" t="inlineStr">
        <is>
          <t>001122</t>
        </is>
      </c>
      <c r="B1116" s="53" t="inlineStr">
        <is>
          <t>Tauschrahmen SBB</t>
        </is>
      </c>
      <c r="C1116" s="53" t="inlineStr">
        <is>
          <t>F</t>
        </is>
      </c>
      <c r="D1116" s="53" t="inlineStr">
        <is>
          <t>PAL</t>
        </is>
      </c>
      <c r="E1116" s="53" t="inlineStr">
        <is>
          <t>C</t>
        </is>
      </c>
      <c r="F1116" s="54" t="n">
        <v>46.91</v>
      </c>
      <c r="G1116" s="55">
        <f>MAX(0,IF(Parameter!$B$20="Jahresanfang 2025 + Export",BG1116+BF1116,BF1116))</f>
        <v/>
      </c>
      <c r="H1116" s="55">
        <f>G1116*F1116</f>
        <v/>
      </c>
      <c r="I1116" s="55">
        <f>BI1116*Parameter!$B$18</f>
        <v/>
      </c>
      <c r="J1116" s="56" t="n">
        <v>40.5</v>
      </c>
      <c r="K1116" s="57" t="n">
        <v>0.09876543209876543</v>
      </c>
      <c r="L1116" s="55" t="n">
        <v>0</v>
      </c>
      <c r="M1116" s="55" t="n">
        <v>5</v>
      </c>
      <c r="N1116" s="58" t="n">
        <v>21</v>
      </c>
      <c r="O1116" s="53" t="inlineStr">
        <is>
          <t>LOSE</t>
        </is>
      </c>
      <c r="P1116" s="55" t="n"/>
      <c r="Q1116" s="59">
        <f>IF(BO1116=1,0,IFERROR(VLOOKUP(BM1116,'Gebinde-Kategorie'!$A$5:$G$45,6,0)+0,0))</f>
        <v/>
      </c>
      <c r="R1116" s="60" t="n"/>
      <c r="S1116" s="61" t="n"/>
      <c r="T1116" s="61" t="n"/>
      <c r="U1116" s="53">
        <f>IF(A1116="","",IF(IFERROR(VLOOKUP(D1116,Parameter!$A$35:$C$64,2,0),"Nein")="2+3",IF(ISNUMBER(SEARCH("grosser Artikel",BJ1116)),2,IFERROR(VLOOKUP(BM1116,Parameter!$F$35:$G$64,2,0),2)),IF(OR(IFERROR(VLOOKUP(D1116,Parameter!$A$35:$C$64,2,0),"Nein")="Nein",IFERROR(VLOOKUP(D1116,Parameter!$A$35:$C$64,2,0),"Nein")=""),"-",VLOOKUP(D1116,Parameter!$A$35:$C$64,2,0))))</f>
        <v/>
      </c>
      <c r="V1116" s="61" t="n"/>
      <c r="W1116" s="62" t="n"/>
      <c r="X1116" s="55">
        <f>AM1116</f>
        <v/>
      </c>
      <c r="Y1116" s="55">
        <f>MAX(AM1116,G1116)</f>
        <v/>
      </c>
      <c r="Z1116" s="63" t="n"/>
      <c r="AA1116" s="55">
        <f>IF(LEFT(Cockpit!$C$5,1)="A",G1116,IF(BT1116=1,BU1116,IF(LEFT(Cockpit!$C$5,1)="B",AE1116,MAX(AE1116,G1116))))</f>
        <v/>
      </c>
      <c r="AB1116" s="55">
        <f>IF(BO1116=1,0,ROUNDUP(AA1116/BN1116,0))</f>
        <v/>
      </c>
      <c r="AC1116" s="64">
        <f>IF(BO1116=1,IF(AA1116&lt;=0,0,BP1116*MAX(1,IF(G1116&gt;0,AA1116/G1116,1))),AB1116*Q1116)</f>
        <v/>
      </c>
      <c r="AD1116" s="55">
        <f>AA1116*F1116</f>
        <v/>
      </c>
      <c r="AE1116" s="55">
        <f>ROUNDUP(MAX(I1116/IF(BS1116&gt;0,BS1116,MAX(0.1,N(Cockpit!$C$6))),BV1116)/BN1116,0)*BN1116</f>
        <v/>
      </c>
      <c r="AF1116" s="56">
        <f>IF(AC1116&gt;0,I1116/AC1116,-1)</f>
        <v/>
      </c>
      <c r="AG1116" s="56">
        <f>IF(AND(OR(BR1116="L1",BR1116="L23"),AC1116&gt;0),SUMIFS($AC$7:$AC$1570,$BR$7:$BR$1570,BR1116,$AF$7:$AF$1570,"&gt;"&amp;AF1116)+SUMIFS($AC$7:$AC$1570,$BR$7:$BR$1570,BR1116,$AF$7:$AF$1570,AF1116,$BL$7:$BL$1570,"&lt;="&amp;BL1116),"")</f>
        <v/>
      </c>
      <c r="AH1116" s="65">
        <f>IF(AG1116="",0,MAX(0,MIN(1,(IF(BR1116="L1",Parameter!$K$5,Parameter!$K$6+Parameter!$K$7)-(AG1116-AC1116))/AC1116)))</f>
        <v/>
      </c>
      <c r="AI1116" s="55">
        <f>IF(LEFT(Cockpit!$I$5,1)="A",G1116,IF(BT1116=1,BU1116,IF(LEFT(Cockpit!$I$5,1)="B",AM1116,MAX(AM1116,G1116))))</f>
        <v/>
      </c>
      <c r="AJ1116" s="55">
        <f>IF(BO1116=1,0,ROUNDUP(AI1116/BN1116,0))</f>
        <v/>
      </c>
      <c r="AK1116" s="64">
        <f>IF(BO1116=1,IF(AI1116&lt;=0,0,BP1116*MAX(1,IF(G1116&gt;0,AI1116/G1116,1))),AJ1116*Q1116)</f>
        <v/>
      </c>
      <c r="AL1116" s="55">
        <f>AI1116*F1116</f>
        <v/>
      </c>
      <c r="AM1116" s="55">
        <f>ROUNDUP(MAX(I1116/IF(BS1116&gt;0,BS1116,MAX(0.1,N(Cockpit!$I$6))),BV1116)/BN1116,0)*BN1116</f>
        <v/>
      </c>
      <c r="AN1116" s="56">
        <f>IF(AK1116&gt;0,I1116/AK1116,-1)</f>
        <v/>
      </c>
      <c r="AO1116" s="56">
        <f>IF(AND(OR(BR1116="L1",BR1116="L23"),AK1116&gt;0),SUMIFS($AK$7:$AK$1570,$BR$7:$BR$1570,BR1116,$AN$7:$AN$1570,"&gt;"&amp;AN1116)+SUMIFS($AK$7:$AK$1570,$BR$7:$BR$1570,BR1116,$AN$7:$AN$1570,AN1116,$BL$7:$BL$1570,"&lt;="&amp;BL1116),"")</f>
        <v/>
      </c>
      <c r="AP1116" s="65">
        <f>IF(AO1116="",0,MAX(0,MIN(1,(IF(BR1116="L1",Parameter!$K$5,Parameter!$K$6+Parameter!$K$7)-(AO1116-AK1116))/AK1116)))</f>
        <v/>
      </c>
      <c r="AQ1116" s="55">
        <f>IF(LEFT(Cockpit!$O$5,1)="A",G1116,IF(BT1116=1,BU1116,IF(LEFT(Cockpit!$O$5,1)="B",AU1116,MAX(AU1116,G1116))))</f>
        <v/>
      </c>
      <c r="AR1116" s="55">
        <f>IF(BO1116=1,0,ROUNDUP(AQ1116/BN1116,0))</f>
        <v/>
      </c>
      <c r="AS1116" s="64">
        <f>IF(BO1116=1,IF(AQ1116&lt;=0,0,BP1116*MAX(1,IF(G1116&gt;0,AQ1116/G1116,1))),AR1116*Q1116)</f>
        <v/>
      </c>
      <c r="AT1116" s="55">
        <f>AQ1116*F1116</f>
        <v/>
      </c>
      <c r="AU1116" s="55">
        <f>ROUNDUP(MAX(I1116/IF(BS1116&gt;0,BS1116,MAX(0.1,N(Cockpit!$O$6))),BV1116)/BN1116,0)*BN1116</f>
        <v/>
      </c>
      <c r="AV1116" s="56">
        <f>IF(AS1116&gt;0,I1116/AS1116,-1)</f>
        <v/>
      </c>
      <c r="AW1116" s="56">
        <f>IF(AND(OR(BR1116="L1",BR1116="L23"),AS1116&gt;0),SUMIFS($AS$7:$AS$1570,$BR$7:$BR$1570,BR1116,$AV$7:$AV$1570,"&gt;"&amp;AV1116)+SUMIFS($AS$7:$AS$1570,$BR$7:$BR$1570,BR1116,$AV$7:$AV$1570,AV1116,$BL$7:$BL$1570,"&lt;="&amp;BL1116),"")</f>
        <v/>
      </c>
      <c r="AX1116" s="65">
        <f>IF(AW1116="",0,MAX(0,MIN(1,(IF(BR1116="L1",Parameter!$K$5,Parameter!$K$6+Parameter!$K$7)-(AW1116-AS1116))/AS1116)))</f>
        <v/>
      </c>
      <c r="AY1116" s="53">
        <f>IF(AC1116&lt;=0,"",IF(BR1116="Aussen","Aussenlager",IF(BR1116="-","Nicht im Lift",IF(AH1116&gt;=1,"Lift",IF(AH1116&lt;=0,"Aussenlager","teilweise")))))</f>
        <v/>
      </c>
      <c r="AZ1116" s="53">
        <f>IF(AK1116&lt;=0,"",IF(BR1116="Aussen","Aussenlager",IF(BR1116="-","Nicht im Lift",IF(AP1116&gt;=1,"Lift",IF(AP1116&lt;=0,"Aussenlager","teilweise")))))</f>
        <v/>
      </c>
      <c r="BA1116" s="53">
        <f>IF(AS1116&lt;=0,"",IF(BR1116="Aussen","Aussenlager",IF(BR1116="-","Nicht im Lift",IF(AX1116&gt;=1,"Lift",IF(AX1116&lt;=0,"Aussenlager","teilweise")))))</f>
        <v/>
      </c>
      <c r="BB1116" s="53">
        <f>IF(A1116="","",IF(BK1116=1,"Neu; ","")&amp;IF(AND(BK1116=0,BF1116&lt;0),"negativer Bestand (Export "&amp;BF1116&amp;"); ","")&amp;IF(I1116&lt;=0,"Kein Verbrauch; ","")&amp;IF(BO1116=1,"Lose – Fläche geschätzt; ","")&amp;IF(G1116&gt;AM1116,"Überbestand "&amp;ROUND(G1116-AM1116,0)&amp;" Stk / CHF "&amp;ROUND((G1116-AM1116)*F1116,0)&amp;"; ","")&amp;IF(AND(BT1116=1,BU1116&lt;BV1116),"MAX &lt; MB+LG; ","")&amp;IF(AND(BZ1116&gt;0,BY1116*10&gt;BZ1116),"zu hoch für Tablar; ","")&amp;IF(AND(BK1116=0,OR(BT1116=1,V1116&lt;&gt;"",S1116&lt;&gt;"",T1116&lt;&gt;"",W1116&lt;&gt;"")),"manuell übersteuert; ","")&amp;IF(AND(BO1116=0,Q1116=0),"Gebinde unbekannt; ","")&amp;IF(AND(BO1116=0,N(T1116)&lt;=0,N(P1116)&lt;=0),"Menge pro Gebinde fehlt (Ist = 1 Gebinde); ","")&amp;BJ1116)</f>
        <v/>
      </c>
      <c r="BC1116" s="53" t="n"/>
      <c r="BD1116" s="53" t="n"/>
      <c r="BE1116" s="61" t="n"/>
      <c r="BF1116" s="55" t="n">
        <v>-5</v>
      </c>
      <c r="BG1116" s="55" t="n">
        <v>43</v>
      </c>
      <c r="BH1116" s="54" t="n">
        <v>-234.5500000000001</v>
      </c>
      <c r="BI1116" s="55" t="n">
        <v>4</v>
      </c>
      <c r="BJ1116" s="53" t="inlineStr"/>
      <c r="BK1116" s="58" t="n">
        <v>0</v>
      </c>
      <c r="BL1116" s="58" t="n">
        <v>1116</v>
      </c>
      <c r="BM1116" s="53">
        <f>IF(S1116&lt;&gt;"",UPPER(TRIM(S1116)),IF(O1116="","LOSE",O1116))</f>
        <v/>
      </c>
      <c r="BN1116" s="55">
        <f>IF(BM1116="LOSE",1,IF(N(T1116)&gt;0,T1116,IF(N(P1116)&gt;0,P1116,MAX(1,G1116))))</f>
        <v/>
      </c>
      <c r="BO1116" s="58">
        <f>IF(BM1116="LOSE",1,0)</f>
        <v/>
      </c>
      <c r="BP1116" s="64">
        <f>IF(BO1116=0,0,IF(N(R1116)&gt;0,R1116,IFERROR(VLOOKUP(D1116,Parameter!$A$35:$C$64,3,0)+0,0)))</f>
        <v/>
      </c>
      <c r="BQ1116" s="53">
        <f>IF(V1116&lt;&gt;"",V1116,U1116)</f>
        <v/>
      </c>
      <c r="BR1116" s="53">
        <f>IF(BQ1116=1,"L1",IF(OR(BQ1116=2,BQ1116=3),"L23",IF(BQ1116="Aussen","Aussen","-")))</f>
        <v/>
      </c>
      <c r="BS1116" s="66">
        <f>IF(N(W1116)&gt;0,W1116,0)</f>
        <v/>
      </c>
      <c r="BT1116" s="58">
        <f>IF(ISNUMBER(Z1116),1,0)</f>
        <v/>
      </c>
      <c r="BU1116" s="55">
        <f>N(Z1116)</f>
        <v/>
      </c>
      <c r="BV1116" s="55">
        <f>N(L1116)+N(M1116)</f>
        <v/>
      </c>
      <c r="BW1116" s="55">
        <f>ROUNDUP(G1116/BN1116,0)</f>
        <v/>
      </c>
      <c r="BX1116" s="55">
        <f>ROUNDUP(BU1116/BN1116,0)</f>
        <v/>
      </c>
      <c r="BY1116" s="58">
        <f>IF(BO1116=1,0,IFERROR(VLOOKUP(BM1116,'Gebinde-Kategorie'!$A$5:$G$45,5,0)+0,0))</f>
        <v/>
      </c>
      <c r="BZ1116" s="58">
        <f>IFERROR(IF(OR(BQ1116=1,BQ1116=2,BQ1116=3),N(INDEX(Parameter!$I$5:$I$7,BQ1116)),0),0)</f>
        <v/>
      </c>
    </row>
    <row r="1117">
      <c r="A1117" s="53" t="inlineStr">
        <is>
          <t>001052</t>
        </is>
      </c>
      <c r="B1117" s="53" t="inlineStr">
        <is>
          <t>Faltrahmen</t>
        </is>
      </c>
      <c r="C1117" s="53" t="inlineStr">
        <is>
          <t>F</t>
        </is>
      </c>
      <c r="D1117" s="53" t="inlineStr">
        <is>
          <t>PAL</t>
        </is>
      </c>
      <c r="E1117" s="53" t="inlineStr">
        <is>
          <t>C</t>
        </is>
      </c>
      <c r="F1117" s="54" t="n">
        <v>11.8</v>
      </c>
      <c r="G1117" s="55">
        <f>MAX(0,IF(Parameter!$B$20="Jahresanfang 2025 + Export",BG1117+BF1117,BF1117))</f>
        <v/>
      </c>
      <c r="H1117" s="55">
        <f>G1117*F1117</f>
        <v/>
      </c>
      <c r="I1117" s="55">
        <f>BI1117*Parameter!$B$18</f>
        <v/>
      </c>
      <c r="J1117" s="56" t="n">
        <v>15.5</v>
      </c>
      <c r="K1117" s="57" t="n">
        <v>9.096774193548388</v>
      </c>
      <c r="L1117" s="55" t="n">
        <v>10</v>
      </c>
      <c r="M1117" s="55" t="n">
        <v>15</v>
      </c>
      <c r="N1117" s="58" t="n">
        <v>21</v>
      </c>
      <c r="O1117" s="53" t="inlineStr">
        <is>
          <t>LOSE</t>
        </is>
      </c>
      <c r="P1117" s="55" t="n"/>
      <c r="Q1117" s="59">
        <f>IF(BO1117=1,0,IFERROR(VLOOKUP(BM1117,'Gebinde-Kategorie'!$A$5:$G$45,6,0)+0,0))</f>
        <v/>
      </c>
      <c r="R1117" s="60" t="n"/>
      <c r="S1117" s="61" t="n"/>
      <c r="T1117" s="61" t="n"/>
      <c r="U1117" s="53">
        <f>IF(A1117="","",IF(IFERROR(VLOOKUP(D1117,Parameter!$A$35:$C$64,2,0),"Nein")="2+3",IF(ISNUMBER(SEARCH("grosser Artikel",BJ1117)),2,IFERROR(VLOOKUP(BM1117,Parameter!$F$35:$G$64,2,0),2)),IF(OR(IFERROR(VLOOKUP(D1117,Parameter!$A$35:$C$64,2,0),"Nein")="Nein",IFERROR(VLOOKUP(D1117,Parameter!$A$35:$C$64,2,0),"Nein")=""),"-",VLOOKUP(D1117,Parameter!$A$35:$C$64,2,0))))</f>
        <v/>
      </c>
      <c r="V1117" s="61" t="n"/>
      <c r="W1117" s="62" t="n"/>
      <c r="X1117" s="55">
        <f>AM1117</f>
        <v/>
      </c>
      <c r="Y1117" s="55">
        <f>MAX(AM1117,G1117)</f>
        <v/>
      </c>
      <c r="Z1117" s="63" t="n"/>
      <c r="AA1117" s="55">
        <f>IF(LEFT(Cockpit!$C$5,1)="A",G1117,IF(BT1117=1,BU1117,IF(LEFT(Cockpit!$C$5,1)="B",AE1117,MAX(AE1117,G1117))))</f>
        <v/>
      </c>
      <c r="AB1117" s="55">
        <f>IF(BO1117=1,0,ROUNDUP(AA1117/BN1117,0))</f>
        <v/>
      </c>
      <c r="AC1117" s="64">
        <f>IF(BO1117=1,IF(AA1117&lt;=0,0,BP1117*MAX(1,IF(G1117&gt;0,AA1117/G1117,1))),AB1117*Q1117)</f>
        <v/>
      </c>
      <c r="AD1117" s="55">
        <f>AA1117*F1117</f>
        <v/>
      </c>
      <c r="AE1117" s="55">
        <f>ROUNDUP(MAX(I1117/IF(BS1117&gt;0,BS1117,MAX(0.1,N(Cockpit!$C$6))),BV1117)/BN1117,0)*BN1117</f>
        <v/>
      </c>
      <c r="AF1117" s="56">
        <f>IF(AC1117&gt;0,I1117/AC1117,-1)</f>
        <v/>
      </c>
      <c r="AG1117" s="56">
        <f>IF(AND(OR(BR1117="L1",BR1117="L23"),AC1117&gt;0),SUMIFS($AC$7:$AC$1570,$BR$7:$BR$1570,BR1117,$AF$7:$AF$1570,"&gt;"&amp;AF1117)+SUMIFS($AC$7:$AC$1570,$BR$7:$BR$1570,BR1117,$AF$7:$AF$1570,AF1117,$BL$7:$BL$1570,"&lt;="&amp;BL1117),"")</f>
        <v/>
      </c>
      <c r="AH1117" s="65">
        <f>IF(AG1117="",0,MAX(0,MIN(1,(IF(BR1117="L1",Parameter!$K$5,Parameter!$K$6+Parameter!$K$7)-(AG1117-AC1117))/AC1117)))</f>
        <v/>
      </c>
      <c r="AI1117" s="55">
        <f>IF(LEFT(Cockpit!$I$5,1)="A",G1117,IF(BT1117=1,BU1117,IF(LEFT(Cockpit!$I$5,1)="B",AM1117,MAX(AM1117,G1117))))</f>
        <v/>
      </c>
      <c r="AJ1117" s="55">
        <f>IF(BO1117=1,0,ROUNDUP(AI1117/BN1117,0))</f>
        <v/>
      </c>
      <c r="AK1117" s="64">
        <f>IF(BO1117=1,IF(AI1117&lt;=0,0,BP1117*MAX(1,IF(G1117&gt;0,AI1117/G1117,1))),AJ1117*Q1117)</f>
        <v/>
      </c>
      <c r="AL1117" s="55">
        <f>AI1117*F1117</f>
        <v/>
      </c>
      <c r="AM1117" s="55">
        <f>ROUNDUP(MAX(I1117/IF(BS1117&gt;0,BS1117,MAX(0.1,N(Cockpit!$I$6))),BV1117)/BN1117,0)*BN1117</f>
        <v/>
      </c>
      <c r="AN1117" s="56">
        <f>IF(AK1117&gt;0,I1117/AK1117,-1)</f>
        <v/>
      </c>
      <c r="AO1117" s="56">
        <f>IF(AND(OR(BR1117="L1",BR1117="L23"),AK1117&gt;0),SUMIFS($AK$7:$AK$1570,$BR$7:$BR$1570,BR1117,$AN$7:$AN$1570,"&gt;"&amp;AN1117)+SUMIFS($AK$7:$AK$1570,$BR$7:$BR$1570,BR1117,$AN$7:$AN$1570,AN1117,$BL$7:$BL$1570,"&lt;="&amp;BL1117),"")</f>
        <v/>
      </c>
      <c r="AP1117" s="65">
        <f>IF(AO1117="",0,MAX(0,MIN(1,(IF(BR1117="L1",Parameter!$K$5,Parameter!$K$6+Parameter!$K$7)-(AO1117-AK1117))/AK1117)))</f>
        <v/>
      </c>
      <c r="AQ1117" s="55">
        <f>IF(LEFT(Cockpit!$O$5,1)="A",G1117,IF(BT1117=1,BU1117,IF(LEFT(Cockpit!$O$5,1)="B",AU1117,MAX(AU1117,G1117))))</f>
        <v/>
      </c>
      <c r="AR1117" s="55">
        <f>IF(BO1117=1,0,ROUNDUP(AQ1117/BN1117,0))</f>
        <v/>
      </c>
      <c r="AS1117" s="64">
        <f>IF(BO1117=1,IF(AQ1117&lt;=0,0,BP1117*MAX(1,IF(G1117&gt;0,AQ1117/G1117,1))),AR1117*Q1117)</f>
        <v/>
      </c>
      <c r="AT1117" s="55">
        <f>AQ1117*F1117</f>
        <v/>
      </c>
      <c r="AU1117" s="55">
        <f>ROUNDUP(MAX(I1117/IF(BS1117&gt;0,BS1117,MAX(0.1,N(Cockpit!$O$6))),BV1117)/BN1117,0)*BN1117</f>
        <v/>
      </c>
      <c r="AV1117" s="56">
        <f>IF(AS1117&gt;0,I1117/AS1117,-1)</f>
        <v/>
      </c>
      <c r="AW1117" s="56">
        <f>IF(AND(OR(BR1117="L1",BR1117="L23"),AS1117&gt;0),SUMIFS($AS$7:$AS$1570,$BR$7:$BR$1570,BR1117,$AV$7:$AV$1570,"&gt;"&amp;AV1117)+SUMIFS($AS$7:$AS$1570,$BR$7:$BR$1570,BR1117,$AV$7:$AV$1570,AV1117,$BL$7:$BL$1570,"&lt;="&amp;BL1117),"")</f>
        <v/>
      </c>
      <c r="AX1117" s="65">
        <f>IF(AW1117="",0,MAX(0,MIN(1,(IF(BR1117="L1",Parameter!$K$5,Parameter!$K$6+Parameter!$K$7)-(AW1117-AS1117))/AS1117)))</f>
        <v/>
      </c>
      <c r="AY1117" s="53">
        <f>IF(AC1117&lt;=0,"",IF(BR1117="Aussen","Aussenlager",IF(BR1117="-","Nicht im Lift",IF(AH1117&gt;=1,"Lift",IF(AH1117&lt;=0,"Aussenlager","teilweise")))))</f>
        <v/>
      </c>
      <c r="AZ1117" s="53">
        <f>IF(AK1117&lt;=0,"",IF(BR1117="Aussen","Aussenlager",IF(BR1117="-","Nicht im Lift",IF(AP1117&gt;=1,"Lift",IF(AP1117&lt;=0,"Aussenlager","teilweise")))))</f>
        <v/>
      </c>
      <c r="BA1117" s="53">
        <f>IF(AS1117&lt;=0,"",IF(BR1117="Aussen","Aussenlager",IF(BR1117="-","Nicht im Lift",IF(AX1117&gt;=1,"Lift",IF(AX1117&lt;=0,"Aussenlager","teilweise")))))</f>
        <v/>
      </c>
      <c r="BB1117" s="53">
        <f>IF(A1117="","",IF(BK1117=1,"Neu; ","")&amp;IF(AND(BK1117=0,BF1117&lt;0),"negativer Bestand (Export "&amp;BF1117&amp;"); ","")&amp;IF(I1117&lt;=0,"Kein Verbrauch; ","")&amp;IF(BO1117=1,"Lose – Fläche geschätzt; ","")&amp;IF(G1117&gt;AM1117,"Überbestand "&amp;ROUND(G1117-AM1117,0)&amp;" Stk / CHF "&amp;ROUND((G1117-AM1117)*F1117,0)&amp;"; ","")&amp;IF(AND(BT1117=1,BU1117&lt;BV1117),"MAX &lt; MB+LG; ","")&amp;IF(AND(BZ1117&gt;0,BY1117*10&gt;BZ1117),"zu hoch für Tablar; ","")&amp;IF(AND(BK1117=0,OR(BT1117=1,V1117&lt;&gt;"",S1117&lt;&gt;"",T1117&lt;&gt;"",W1117&lt;&gt;"")),"manuell übersteuert; ","")&amp;IF(AND(BO1117=0,Q1117=0),"Gebinde unbekannt; ","")&amp;IF(AND(BO1117=0,N(T1117)&lt;=0,N(P1117)&lt;=0),"Menge pro Gebinde fehlt (Ist = 1 Gebinde); ","")&amp;BJ1117)</f>
        <v/>
      </c>
      <c r="BC1117" s="53" t="n"/>
      <c r="BD1117" s="53" t="n"/>
      <c r="BE1117" s="61" t="n"/>
      <c r="BF1117" s="55" t="n">
        <v>-22</v>
      </c>
      <c r="BG1117" s="55" t="n">
        <v>25</v>
      </c>
      <c r="BH1117" s="54" t="n">
        <v>-235.35</v>
      </c>
      <c r="BI1117" s="55" t="n">
        <v>141</v>
      </c>
      <c r="BJ1117" s="53" t="inlineStr"/>
      <c r="BK1117" s="58" t="n">
        <v>0</v>
      </c>
      <c r="BL1117" s="58" t="n">
        <v>1117</v>
      </c>
      <c r="BM1117" s="53">
        <f>IF(S1117&lt;&gt;"",UPPER(TRIM(S1117)),IF(O1117="","LOSE",O1117))</f>
        <v/>
      </c>
      <c r="BN1117" s="55">
        <f>IF(BM1117="LOSE",1,IF(N(T1117)&gt;0,T1117,IF(N(P1117)&gt;0,P1117,MAX(1,G1117))))</f>
        <v/>
      </c>
      <c r="BO1117" s="58">
        <f>IF(BM1117="LOSE",1,0)</f>
        <v/>
      </c>
      <c r="BP1117" s="64">
        <f>IF(BO1117=0,0,IF(N(R1117)&gt;0,R1117,IFERROR(VLOOKUP(D1117,Parameter!$A$35:$C$64,3,0)+0,0)))</f>
        <v/>
      </c>
      <c r="BQ1117" s="53">
        <f>IF(V1117&lt;&gt;"",V1117,U1117)</f>
        <v/>
      </c>
      <c r="BR1117" s="53">
        <f>IF(BQ1117=1,"L1",IF(OR(BQ1117=2,BQ1117=3),"L23",IF(BQ1117="Aussen","Aussen","-")))</f>
        <v/>
      </c>
      <c r="BS1117" s="66">
        <f>IF(N(W1117)&gt;0,W1117,0)</f>
        <v/>
      </c>
      <c r="BT1117" s="58">
        <f>IF(ISNUMBER(Z1117),1,0)</f>
        <v/>
      </c>
      <c r="BU1117" s="55">
        <f>N(Z1117)</f>
        <v/>
      </c>
      <c r="BV1117" s="55">
        <f>N(L1117)+N(M1117)</f>
        <v/>
      </c>
      <c r="BW1117" s="55">
        <f>ROUNDUP(G1117/BN1117,0)</f>
        <v/>
      </c>
      <c r="BX1117" s="55">
        <f>ROUNDUP(BU1117/BN1117,0)</f>
        <v/>
      </c>
      <c r="BY1117" s="58">
        <f>IF(BO1117=1,0,IFERROR(VLOOKUP(BM1117,'Gebinde-Kategorie'!$A$5:$G$45,5,0)+0,0))</f>
        <v/>
      </c>
      <c r="BZ1117" s="58">
        <f>IFERROR(IF(OR(BQ1117=1,BQ1117=2,BQ1117=3),N(INDEX(Parameter!$I$5:$I$7,BQ1117)),0),0)</f>
        <v/>
      </c>
    </row>
    <row r="1118">
      <c r="A1118" s="53" t="inlineStr">
        <is>
          <t>101589</t>
        </is>
      </c>
      <c r="B1118" s="53" t="inlineStr">
        <is>
          <t>Halter für 3 Kettenaufhänger</t>
        </is>
      </c>
      <c r="C1118" s="53" t="inlineStr">
        <is>
          <t>F</t>
        </is>
      </c>
      <c r="D1118" s="53" t="inlineStr">
        <is>
          <t>KTL</t>
        </is>
      </c>
      <c r="E1118" s="53" t="inlineStr">
        <is>
          <t>C</t>
        </is>
      </c>
      <c r="F1118" s="54" t="n">
        <v>237.52</v>
      </c>
      <c r="G1118" s="55">
        <f>MAX(0,IF(Parameter!$B$20="Jahresanfang 2025 + Export",BG1118+BF1118,BF1118))</f>
        <v/>
      </c>
      <c r="H1118" s="55">
        <f>G1118*F1118</f>
        <v/>
      </c>
      <c r="I1118" s="55">
        <f>BI1118*Parameter!$B$18</f>
        <v/>
      </c>
      <c r="J1118" s="56" t="n">
        <v>6.5</v>
      </c>
      <c r="K1118" s="57" t="n">
        <v>0.1538461538461539</v>
      </c>
      <c r="L1118" s="55" t="n">
        <v>0</v>
      </c>
      <c r="M1118" s="55" t="n">
        <v>1</v>
      </c>
      <c r="N1118" s="58" t="n">
        <v>28</v>
      </c>
      <c r="O1118" s="53" t="inlineStr">
        <is>
          <t>S33</t>
        </is>
      </c>
      <c r="P1118" s="55" t="n">
        <v>7</v>
      </c>
      <c r="Q1118" s="59">
        <f>IF(BO1118=1,0,IFERROR(VLOOKUP(BM1118,'Gebinde-Kategorie'!$A$5:$G$45,6,0)+0,0))</f>
        <v/>
      </c>
      <c r="R1118" s="60" t="n"/>
      <c r="S1118" s="61" t="n"/>
      <c r="T1118" s="61" t="n"/>
      <c r="U1118" s="53">
        <f>IF(A1118="","",IF(IFERROR(VLOOKUP(D1118,Parameter!$A$35:$C$64,2,0),"Nein")="2+3",IF(ISNUMBER(SEARCH("grosser Artikel",BJ1118)),2,IFERROR(VLOOKUP(BM1118,Parameter!$F$35:$G$64,2,0),2)),IF(OR(IFERROR(VLOOKUP(D1118,Parameter!$A$35:$C$64,2,0),"Nein")="Nein",IFERROR(VLOOKUP(D1118,Parameter!$A$35:$C$64,2,0),"Nein")=""),"-",VLOOKUP(D1118,Parameter!$A$35:$C$64,2,0))))</f>
        <v/>
      </c>
      <c r="V1118" s="61" t="n"/>
      <c r="W1118" s="62" t="n"/>
      <c r="X1118" s="55">
        <f>AM1118</f>
        <v/>
      </c>
      <c r="Y1118" s="55">
        <f>MAX(AM1118,G1118)</f>
        <v/>
      </c>
      <c r="Z1118" s="63" t="n"/>
      <c r="AA1118" s="55">
        <f>IF(LEFT(Cockpit!$C$5,1)="A",G1118,IF(BT1118=1,BU1118,IF(LEFT(Cockpit!$C$5,1)="B",AE1118,MAX(AE1118,G1118))))</f>
        <v/>
      </c>
      <c r="AB1118" s="55">
        <f>IF(BO1118=1,0,ROUNDUP(AA1118/BN1118,0))</f>
        <v/>
      </c>
      <c r="AC1118" s="64">
        <f>IF(BO1118=1,IF(AA1118&lt;=0,0,BP1118*MAX(1,IF(G1118&gt;0,AA1118/G1118,1))),AB1118*Q1118)</f>
        <v/>
      </c>
      <c r="AD1118" s="55">
        <f>AA1118*F1118</f>
        <v/>
      </c>
      <c r="AE1118" s="55">
        <f>ROUNDUP(MAX(I1118/IF(BS1118&gt;0,BS1118,MAX(0.1,N(Cockpit!$C$6))),BV1118)/BN1118,0)*BN1118</f>
        <v/>
      </c>
      <c r="AF1118" s="56">
        <f>IF(AC1118&gt;0,I1118/AC1118,-1)</f>
        <v/>
      </c>
      <c r="AG1118" s="56">
        <f>IF(AND(OR(BR1118="L1",BR1118="L23"),AC1118&gt;0),SUMIFS($AC$7:$AC$1570,$BR$7:$BR$1570,BR1118,$AF$7:$AF$1570,"&gt;"&amp;AF1118)+SUMIFS($AC$7:$AC$1570,$BR$7:$BR$1570,BR1118,$AF$7:$AF$1570,AF1118,$BL$7:$BL$1570,"&lt;="&amp;BL1118),"")</f>
        <v/>
      </c>
      <c r="AH1118" s="65">
        <f>IF(AG1118="",0,MAX(0,MIN(1,(IF(BR1118="L1",Parameter!$K$5,Parameter!$K$6+Parameter!$K$7)-(AG1118-AC1118))/AC1118)))</f>
        <v/>
      </c>
      <c r="AI1118" s="55">
        <f>IF(LEFT(Cockpit!$I$5,1)="A",G1118,IF(BT1118=1,BU1118,IF(LEFT(Cockpit!$I$5,1)="B",AM1118,MAX(AM1118,G1118))))</f>
        <v/>
      </c>
      <c r="AJ1118" s="55">
        <f>IF(BO1118=1,0,ROUNDUP(AI1118/BN1118,0))</f>
        <v/>
      </c>
      <c r="AK1118" s="64">
        <f>IF(BO1118=1,IF(AI1118&lt;=0,0,BP1118*MAX(1,IF(G1118&gt;0,AI1118/G1118,1))),AJ1118*Q1118)</f>
        <v/>
      </c>
      <c r="AL1118" s="55">
        <f>AI1118*F1118</f>
        <v/>
      </c>
      <c r="AM1118" s="55">
        <f>ROUNDUP(MAX(I1118/IF(BS1118&gt;0,BS1118,MAX(0.1,N(Cockpit!$I$6))),BV1118)/BN1118,0)*BN1118</f>
        <v/>
      </c>
      <c r="AN1118" s="56">
        <f>IF(AK1118&gt;0,I1118/AK1118,-1)</f>
        <v/>
      </c>
      <c r="AO1118" s="56">
        <f>IF(AND(OR(BR1118="L1",BR1118="L23"),AK1118&gt;0),SUMIFS($AK$7:$AK$1570,$BR$7:$BR$1570,BR1118,$AN$7:$AN$1570,"&gt;"&amp;AN1118)+SUMIFS($AK$7:$AK$1570,$BR$7:$BR$1570,BR1118,$AN$7:$AN$1570,AN1118,$BL$7:$BL$1570,"&lt;="&amp;BL1118),"")</f>
        <v/>
      </c>
      <c r="AP1118" s="65">
        <f>IF(AO1118="",0,MAX(0,MIN(1,(IF(BR1118="L1",Parameter!$K$5,Parameter!$K$6+Parameter!$K$7)-(AO1118-AK1118))/AK1118)))</f>
        <v/>
      </c>
      <c r="AQ1118" s="55">
        <f>IF(LEFT(Cockpit!$O$5,1)="A",G1118,IF(BT1118=1,BU1118,IF(LEFT(Cockpit!$O$5,1)="B",AU1118,MAX(AU1118,G1118))))</f>
        <v/>
      </c>
      <c r="AR1118" s="55">
        <f>IF(BO1118=1,0,ROUNDUP(AQ1118/BN1118,0))</f>
        <v/>
      </c>
      <c r="AS1118" s="64">
        <f>IF(BO1118=1,IF(AQ1118&lt;=0,0,BP1118*MAX(1,IF(G1118&gt;0,AQ1118/G1118,1))),AR1118*Q1118)</f>
        <v/>
      </c>
      <c r="AT1118" s="55">
        <f>AQ1118*F1118</f>
        <v/>
      </c>
      <c r="AU1118" s="55">
        <f>ROUNDUP(MAX(I1118/IF(BS1118&gt;0,BS1118,MAX(0.1,N(Cockpit!$O$6))),BV1118)/BN1118,0)*BN1118</f>
        <v/>
      </c>
      <c r="AV1118" s="56">
        <f>IF(AS1118&gt;0,I1118/AS1118,-1)</f>
        <v/>
      </c>
      <c r="AW1118" s="56">
        <f>IF(AND(OR(BR1118="L1",BR1118="L23"),AS1118&gt;0),SUMIFS($AS$7:$AS$1570,$BR$7:$BR$1570,BR1118,$AV$7:$AV$1570,"&gt;"&amp;AV1118)+SUMIFS($AS$7:$AS$1570,$BR$7:$BR$1570,BR1118,$AV$7:$AV$1570,AV1118,$BL$7:$BL$1570,"&lt;="&amp;BL1118),"")</f>
        <v/>
      </c>
      <c r="AX1118" s="65">
        <f>IF(AW1118="",0,MAX(0,MIN(1,(IF(BR1118="L1",Parameter!$K$5,Parameter!$K$6+Parameter!$K$7)-(AW1118-AS1118))/AS1118)))</f>
        <v/>
      </c>
      <c r="AY1118" s="53">
        <f>IF(AC1118&lt;=0,"",IF(BR1118="Aussen","Aussenlager",IF(BR1118="-","Nicht im Lift",IF(AH1118&gt;=1,"Lift",IF(AH1118&lt;=0,"Aussenlager","teilweise")))))</f>
        <v/>
      </c>
      <c r="AZ1118" s="53">
        <f>IF(AK1118&lt;=0,"",IF(BR1118="Aussen","Aussenlager",IF(BR1118="-","Nicht im Lift",IF(AP1118&gt;=1,"Lift",IF(AP1118&lt;=0,"Aussenlager","teilweise")))))</f>
        <v/>
      </c>
      <c r="BA1118" s="53">
        <f>IF(AS1118&lt;=0,"",IF(BR1118="Aussen","Aussenlager",IF(BR1118="-","Nicht im Lift",IF(AX1118&gt;=1,"Lift",IF(AX1118&lt;=0,"Aussenlager","teilweise")))))</f>
        <v/>
      </c>
      <c r="BB1118" s="53">
        <f>IF(A1118="","",IF(BK1118=1,"Neu; ","")&amp;IF(AND(BK1118=0,BF1118&lt;0),"negativer Bestand (Export "&amp;BF1118&amp;"); ","")&amp;IF(I1118&lt;=0,"Kein Verbrauch; ","")&amp;IF(BO1118=1,"Lose – Fläche geschätzt; ","")&amp;IF(G1118&gt;AM1118,"Überbestand "&amp;ROUND(G1118-AM1118,0)&amp;" Stk / CHF "&amp;ROUND((G1118-AM1118)*F1118,0)&amp;"; ","")&amp;IF(AND(BT1118=1,BU1118&lt;BV1118),"MAX &lt; MB+LG; ","")&amp;IF(AND(BZ1118&gt;0,BY1118*10&gt;BZ1118),"zu hoch für Tablar; ","")&amp;IF(AND(BK1118=0,OR(BT1118=1,V1118&lt;&gt;"",S1118&lt;&gt;"",T1118&lt;&gt;"",W1118&lt;&gt;"")),"manuell übersteuert; ","")&amp;IF(AND(BO1118=0,Q1118=0),"Gebinde unbekannt; ","")&amp;IF(AND(BO1118=0,N(T1118)&lt;=0,N(P1118)&lt;=0),"Menge pro Gebinde fehlt (Ist = 1 Gebinde); ","")&amp;BJ1118)</f>
        <v/>
      </c>
      <c r="BC1118" s="53" t="n"/>
      <c r="BD1118" s="53" t="n"/>
      <c r="BE1118" s="61" t="n"/>
      <c r="BF1118" s="55" t="n">
        <v>-1</v>
      </c>
      <c r="BG1118" s="55" t="n">
        <v>7</v>
      </c>
      <c r="BH1118" s="54" t="n">
        <v>-237.52</v>
      </c>
      <c r="BI1118" s="55" t="n">
        <v>1</v>
      </c>
      <c r="BJ1118" s="53" t="inlineStr">
        <is>
          <t>Überbestand</t>
        </is>
      </c>
      <c r="BK1118" s="58" t="n">
        <v>0</v>
      </c>
      <c r="BL1118" s="58" t="n">
        <v>1118</v>
      </c>
      <c r="BM1118" s="53">
        <f>IF(S1118&lt;&gt;"",UPPER(TRIM(S1118)),IF(O1118="","LOSE",O1118))</f>
        <v/>
      </c>
      <c r="BN1118" s="55">
        <f>IF(BM1118="LOSE",1,IF(N(T1118)&gt;0,T1118,IF(N(P1118)&gt;0,P1118,MAX(1,G1118))))</f>
        <v/>
      </c>
      <c r="BO1118" s="58">
        <f>IF(BM1118="LOSE",1,0)</f>
        <v/>
      </c>
      <c r="BP1118" s="64">
        <f>IF(BO1118=0,0,IF(N(R1118)&gt;0,R1118,IFERROR(VLOOKUP(D1118,Parameter!$A$35:$C$64,3,0)+0,0)))</f>
        <v/>
      </c>
      <c r="BQ1118" s="53">
        <f>IF(V1118&lt;&gt;"",V1118,U1118)</f>
        <v/>
      </c>
      <c r="BR1118" s="53">
        <f>IF(BQ1118=1,"L1",IF(OR(BQ1118=2,BQ1118=3),"L23",IF(BQ1118="Aussen","Aussen","-")))</f>
        <v/>
      </c>
      <c r="BS1118" s="66">
        <f>IF(N(W1118)&gt;0,W1118,0)</f>
        <v/>
      </c>
      <c r="BT1118" s="58">
        <f>IF(ISNUMBER(Z1118),1,0)</f>
        <v/>
      </c>
      <c r="BU1118" s="55">
        <f>N(Z1118)</f>
        <v/>
      </c>
      <c r="BV1118" s="55">
        <f>N(L1118)+N(M1118)</f>
        <v/>
      </c>
      <c r="BW1118" s="55">
        <f>ROUNDUP(G1118/BN1118,0)</f>
        <v/>
      </c>
      <c r="BX1118" s="55">
        <f>ROUNDUP(BU1118/BN1118,0)</f>
        <v/>
      </c>
      <c r="BY1118" s="58">
        <f>IF(BO1118=1,0,IFERROR(VLOOKUP(BM1118,'Gebinde-Kategorie'!$A$5:$G$45,5,0)+0,0))</f>
        <v/>
      </c>
      <c r="BZ1118" s="58">
        <f>IFERROR(IF(OR(BQ1118=1,BQ1118=2,BQ1118=3),N(INDEX(Parameter!$I$5:$I$7,BQ1118)),0),0)</f>
        <v/>
      </c>
    </row>
    <row r="1119">
      <c r="A1119" s="53" t="inlineStr">
        <is>
          <t>105957</t>
        </is>
      </c>
      <c r="B1119" s="53" t="inlineStr">
        <is>
          <t>Nadelventil</t>
        </is>
      </c>
      <c r="C1119" s="53" t="inlineStr">
        <is>
          <t>F</t>
        </is>
      </c>
      <c r="D1119" s="53" t="inlineStr">
        <is>
          <t>KTL</t>
        </is>
      </c>
      <c r="E1119" s="53" t="inlineStr">
        <is>
          <t>C</t>
        </is>
      </c>
      <c r="F1119" s="54" t="n">
        <v>71.63</v>
      </c>
      <c r="G1119" s="55">
        <f>MAX(0,IF(Parameter!$B$20="Jahresanfang 2025 + Export",BG1119+BF1119,BF1119))</f>
        <v/>
      </c>
      <c r="H1119" s="55">
        <f>G1119*F1119</f>
        <v/>
      </c>
      <c r="I1119" s="55">
        <f>BI1119*Parameter!$B$18</f>
        <v/>
      </c>
      <c r="J1119" s="56" t="n">
        <v>7.5</v>
      </c>
      <c r="K1119" s="57" t="n">
        <v>1.733333333333333</v>
      </c>
      <c r="L1119" s="55" t="n">
        <v>0</v>
      </c>
      <c r="M1119" s="55" t="n">
        <v>15</v>
      </c>
      <c r="N1119" s="58" t="n">
        <v>14</v>
      </c>
      <c r="O1119" s="53" t="inlineStr">
        <is>
          <t>S51</t>
        </is>
      </c>
      <c r="P1119" s="55" t="n">
        <v>37</v>
      </c>
      <c r="Q1119" s="59">
        <f>IF(BO1119=1,0,IFERROR(VLOOKUP(BM1119,'Gebinde-Kategorie'!$A$5:$G$45,6,0)+0,0))</f>
        <v/>
      </c>
      <c r="R1119" s="60" t="n"/>
      <c r="S1119" s="61" t="n"/>
      <c r="T1119" s="61" t="n"/>
      <c r="U1119" s="53">
        <f>IF(A1119="","",IF(IFERROR(VLOOKUP(D1119,Parameter!$A$35:$C$64,2,0),"Nein")="2+3",IF(ISNUMBER(SEARCH("grosser Artikel",BJ1119)),2,IFERROR(VLOOKUP(BM1119,Parameter!$F$35:$G$64,2,0),2)),IF(OR(IFERROR(VLOOKUP(D1119,Parameter!$A$35:$C$64,2,0),"Nein")="Nein",IFERROR(VLOOKUP(D1119,Parameter!$A$35:$C$64,2,0),"Nein")=""),"-",VLOOKUP(D1119,Parameter!$A$35:$C$64,2,0))))</f>
        <v/>
      </c>
      <c r="V1119" s="61" t="n"/>
      <c r="W1119" s="62" t="n"/>
      <c r="X1119" s="55">
        <f>AM1119</f>
        <v/>
      </c>
      <c r="Y1119" s="55">
        <f>MAX(AM1119,G1119)</f>
        <v/>
      </c>
      <c r="Z1119" s="63" t="n"/>
      <c r="AA1119" s="55">
        <f>IF(LEFT(Cockpit!$C$5,1)="A",G1119,IF(BT1119=1,BU1119,IF(LEFT(Cockpit!$C$5,1)="B",AE1119,MAX(AE1119,G1119))))</f>
        <v/>
      </c>
      <c r="AB1119" s="55">
        <f>IF(BO1119=1,0,ROUNDUP(AA1119/BN1119,0))</f>
        <v/>
      </c>
      <c r="AC1119" s="64">
        <f>IF(BO1119=1,IF(AA1119&lt;=0,0,BP1119*MAX(1,IF(G1119&gt;0,AA1119/G1119,1))),AB1119*Q1119)</f>
        <v/>
      </c>
      <c r="AD1119" s="55">
        <f>AA1119*F1119</f>
        <v/>
      </c>
      <c r="AE1119" s="55">
        <f>ROUNDUP(MAX(I1119/IF(BS1119&gt;0,BS1119,MAX(0.1,N(Cockpit!$C$6))),BV1119)/BN1119,0)*BN1119</f>
        <v/>
      </c>
      <c r="AF1119" s="56">
        <f>IF(AC1119&gt;0,I1119/AC1119,-1)</f>
        <v/>
      </c>
      <c r="AG1119" s="56">
        <f>IF(AND(OR(BR1119="L1",BR1119="L23"),AC1119&gt;0),SUMIFS($AC$7:$AC$1570,$BR$7:$BR$1570,BR1119,$AF$7:$AF$1570,"&gt;"&amp;AF1119)+SUMIFS($AC$7:$AC$1570,$BR$7:$BR$1570,BR1119,$AF$7:$AF$1570,AF1119,$BL$7:$BL$1570,"&lt;="&amp;BL1119),"")</f>
        <v/>
      </c>
      <c r="AH1119" s="65">
        <f>IF(AG1119="",0,MAX(0,MIN(1,(IF(BR1119="L1",Parameter!$K$5,Parameter!$K$6+Parameter!$K$7)-(AG1119-AC1119))/AC1119)))</f>
        <v/>
      </c>
      <c r="AI1119" s="55">
        <f>IF(LEFT(Cockpit!$I$5,1)="A",G1119,IF(BT1119=1,BU1119,IF(LEFT(Cockpit!$I$5,1)="B",AM1119,MAX(AM1119,G1119))))</f>
        <v/>
      </c>
      <c r="AJ1119" s="55">
        <f>IF(BO1119=1,0,ROUNDUP(AI1119/BN1119,0))</f>
        <v/>
      </c>
      <c r="AK1119" s="64">
        <f>IF(BO1119=1,IF(AI1119&lt;=0,0,BP1119*MAX(1,IF(G1119&gt;0,AI1119/G1119,1))),AJ1119*Q1119)</f>
        <v/>
      </c>
      <c r="AL1119" s="55">
        <f>AI1119*F1119</f>
        <v/>
      </c>
      <c r="AM1119" s="55">
        <f>ROUNDUP(MAX(I1119/IF(BS1119&gt;0,BS1119,MAX(0.1,N(Cockpit!$I$6))),BV1119)/BN1119,0)*BN1119</f>
        <v/>
      </c>
      <c r="AN1119" s="56">
        <f>IF(AK1119&gt;0,I1119/AK1119,-1)</f>
        <v/>
      </c>
      <c r="AO1119" s="56">
        <f>IF(AND(OR(BR1119="L1",BR1119="L23"),AK1119&gt;0),SUMIFS($AK$7:$AK$1570,$BR$7:$BR$1570,BR1119,$AN$7:$AN$1570,"&gt;"&amp;AN1119)+SUMIFS($AK$7:$AK$1570,$BR$7:$BR$1570,BR1119,$AN$7:$AN$1570,AN1119,$BL$7:$BL$1570,"&lt;="&amp;BL1119),"")</f>
        <v/>
      </c>
      <c r="AP1119" s="65">
        <f>IF(AO1119="",0,MAX(0,MIN(1,(IF(BR1119="L1",Parameter!$K$5,Parameter!$K$6+Parameter!$K$7)-(AO1119-AK1119))/AK1119)))</f>
        <v/>
      </c>
      <c r="AQ1119" s="55">
        <f>IF(LEFT(Cockpit!$O$5,1)="A",G1119,IF(BT1119=1,BU1119,IF(LEFT(Cockpit!$O$5,1)="B",AU1119,MAX(AU1119,G1119))))</f>
        <v/>
      </c>
      <c r="AR1119" s="55">
        <f>IF(BO1119=1,0,ROUNDUP(AQ1119/BN1119,0))</f>
        <v/>
      </c>
      <c r="AS1119" s="64">
        <f>IF(BO1119=1,IF(AQ1119&lt;=0,0,BP1119*MAX(1,IF(G1119&gt;0,AQ1119/G1119,1))),AR1119*Q1119)</f>
        <v/>
      </c>
      <c r="AT1119" s="55">
        <f>AQ1119*F1119</f>
        <v/>
      </c>
      <c r="AU1119" s="55">
        <f>ROUNDUP(MAX(I1119/IF(BS1119&gt;0,BS1119,MAX(0.1,N(Cockpit!$O$6))),BV1119)/BN1119,0)*BN1119</f>
        <v/>
      </c>
      <c r="AV1119" s="56">
        <f>IF(AS1119&gt;0,I1119/AS1119,-1)</f>
        <v/>
      </c>
      <c r="AW1119" s="56">
        <f>IF(AND(OR(BR1119="L1",BR1119="L23"),AS1119&gt;0),SUMIFS($AS$7:$AS$1570,$BR$7:$BR$1570,BR1119,$AV$7:$AV$1570,"&gt;"&amp;AV1119)+SUMIFS($AS$7:$AS$1570,$BR$7:$BR$1570,BR1119,$AV$7:$AV$1570,AV1119,$BL$7:$BL$1570,"&lt;="&amp;BL1119),"")</f>
        <v/>
      </c>
      <c r="AX1119" s="65">
        <f>IF(AW1119="",0,MAX(0,MIN(1,(IF(BR1119="L1",Parameter!$K$5,Parameter!$K$6+Parameter!$K$7)-(AW1119-AS1119))/AS1119)))</f>
        <v/>
      </c>
      <c r="AY1119" s="53">
        <f>IF(AC1119&lt;=0,"",IF(BR1119="Aussen","Aussenlager",IF(BR1119="-","Nicht im Lift",IF(AH1119&gt;=1,"Lift",IF(AH1119&lt;=0,"Aussenlager","teilweise")))))</f>
        <v/>
      </c>
      <c r="AZ1119" s="53">
        <f>IF(AK1119&lt;=0,"",IF(BR1119="Aussen","Aussenlager",IF(BR1119="-","Nicht im Lift",IF(AP1119&gt;=1,"Lift",IF(AP1119&lt;=0,"Aussenlager","teilweise")))))</f>
        <v/>
      </c>
      <c r="BA1119" s="53">
        <f>IF(AS1119&lt;=0,"",IF(BR1119="Aussen","Aussenlager",IF(BR1119="-","Nicht im Lift",IF(AX1119&gt;=1,"Lift",IF(AX1119&lt;=0,"Aussenlager","teilweise")))))</f>
        <v/>
      </c>
      <c r="BB1119" s="53">
        <f>IF(A1119="","",IF(BK1119=1,"Neu; ","")&amp;IF(AND(BK1119=0,BF1119&lt;0),"negativer Bestand (Export "&amp;BF1119&amp;"); ","")&amp;IF(I1119&lt;=0,"Kein Verbrauch; ","")&amp;IF(BO1119=1,"Lose – Fläche geschätzt; ","")&amp;IF(G1119&gt;AM1119,"Überbestand "&amp;ROUND(G1119-AM1119,0)&amp;" Stk / CHF "&amp;ROUND((G1119-AM1119)*F1119,0)&amp;"; ","")&amp;IF(AND(BT1119=1,BU1119&lt;BV1119),"MAX &lt; MB+LG; ","")&amp;IF(AND(BZ1119&gt;0,BY1119*10&gt;BZ1119),"zu hoch für Tablar; ","")&amp;IF(AND(BK1119=0,OR(BT1119=1,V1119&lt;&gt;"",S1119&lt;&gt;"",T1119&lt;&gt;"",W1119&lt;&gt;"")),"manuell übersteuert; ","")&amp;IF(AND(BO1119=0,Q1119=0),"Gebinde unbekannt; ","")&amp;IF(AND(BO1119=0,N(T1119)&lt;=0,N(P1119)&lt;=0),"Menge pro Gebinde fehlt (Ist = 1 Gebinde); ","")&amp;BJ1119)</f>
        <v/>
      </c>
      <c r="BC1119" s="53" t="n"/>
      <c r="BD1119" s="53" t="n"/>
      <c r="BE1119" s="61" t="n"/>
      <c r="BF1119" s="55" t="n">
        <v>-4</v>
      </c>
      <c r="BG1119" s="55" t="n">
        <v>9</v>
      </c>
      <c r="BH1119" s="54" t="n">
        <v>-239.45</v>
      </c>
      <c r="BI1119" s="55" t="n">
        <v>13</v>
      </c>
      <c r="BJ1119" s="53" t="inlineStr">
        <is>
          <t>Überbestand</t>
        </is>
      </c>
      <c r="BK1119" s="58" t="n">
        <v>0</v>
      </c>
      <c r="BL1119" s="58" t="n">
        <v>1119</v>
      </c>
      <c r="BM1119" s="53">
        <f>IF(S1119&lt;&gt;"",UPPER(TRIM(S1119)),IF(O1119="","LOSE",O1119))</f>
        <v/>
      </c>
      <c r="BN1119" s="55">
        <f>IF(BM1119="LOSE",1,IF(N(T1119)&gt;0,T1119,IF(N(P1119)&gt;0,P1119,MAX(1,G1119))))</f>
        <v/>
      </c>
      <c r="BO1119" s="58">
        <f>IF(BM1119="LOSE",1,0)</f>
        <v/>
      </c>
      <c r="BP1119" s="64">
        <f>IF(BO1119=0,0,IF(N(R1119)&gt;0,R1119,IFERROR(VLOOKUP(D1119,Parameter!$A$35:$C$64,3,0)+0,0)))</f>
        <v/>
      </c>
      <c r="BQ1119" s="53">
        <f>IF(V1119&lt;&gt;"",V1119,U1119)</f>
        <v/>
      </c>
      <c r="BR1119" s="53">
        <f>IF(BQ1119=1,"L1",IF(OR(BQ1119=2,BQ1119=3),"L23",IF(BQ1119="Aussen","Aussen","-")))</f>
        <v/>
      </c>
      <c r="BS1119" s="66">
        <f>IF(N(W1119)&gt;0,W1119,0)</f>
        <v/>
      </c>
      <c r="BT1119" s="58">
        <f>IF(ISNUMBER(Z1119),1,0)</f>
        <v/>
      </c>
      <c r="BU1119" s="55">
        <f>N(Z1119)</f>
        <v/>
      </c>
      <c r="BV1119" s="55">
        <f>N(L1119)+N(M1119)</f>
        <v/>
      </c>
      <c r="BW1119" s="55">
        <f>ROUNDUP(G1119/BN1119,0)</f>
        <v/>
      </c>
      <c r="BX1119" s="55">
        <f>ROUNDUP(BU1119/BN1119,0)</f>
        <v/>
      </c>
      <c r="BY1119" s="58">
        <f>IF(BO1119=1,0,IFERROR(VLOOKUP(BM1119,'Gebinde-Kategorie'!$A$5:$G$45,5,0)+0,0))</f>
        <v/>
      </c>
      <c r="BZ1119" s="58">
        <f>IFERROR(IF(OR(BQ1119=1,BQ1119=2,BQ1119=3),N(INDEX(Parameter!$I$5:$I$7,BQ1119)),0),0)</f>
        <v/>
      </c>
    </row>
    <row r="1120">
      <c r="A1120" s="53" t="inlineStr">
        <is>
          <t>108862</t>
        </is>
      </c>
      <c r="B1120" s="53" t="inlineStr">
        <is>
          <t>Nachrüst Litzenset 2. SLM</t>
        </is>
      </c>
      <c r="C1120" s="53" t="inlineStr">
        <is>
          <t>F</t>
        </is>
      </c>
      <c r="D1120" s="53" t="inlineStr">
        <is>
          <t>KTL</t>
        </is>
      </c>
      <c r="E1120" s="53" t="inlineStr">
        <is>
          <t>C</t>
        </is>
      </c>
      <c r="F1120" s="54" t="n">
        <v>58.79</v>
      </c>
      <c r="G1120" s="55">
        <f>MAX(0,IF(Parameter!$B$20="Jahresanfang 2025 + Export",BG1120+BF1120,BF1120))</f>
        <v/>
      </c>
      <c r="H1120" s="55">
        <f>G1120*F1120</f>
        <v/>
      </c>
      <c r="I1120" s="55">
        <f>BI1120*Parameter!$B$18</f>
        <v/>
      </c>
      <c r="J1120" s="56" t="n">
        <v>10.5</v>
      </c>
      <c r="K1120" s="57" t="n">
        <v>0.6666666666666666</v>
      </c>
      <c r="L1120" s="55" t="n">
        <v>0</v>
      </c>
      <c r="M1120" s="55" t="n">
        <v>5</v>
      </c>
      <c r="N1120" s="58" t="n">
        <v>28</v>
      </c>
      <c r="O1120" s="53" t="inlineStr">
        <is>
          <t>S52</t>
        </is>
      </c>
      <c r="P1120" s="55" t="n">
        <v>18</v>
      </c>
      <c r="Q1120" s="59">
        <f>IF(BO1120=1,0,IFERROR(VLOOKUP(BM1120,'Gebinde-Kategorie'!$A$5:$G$45,6,0)+0,0))</f>
        <v/>
      </c>
      <c r="R1120" s="60" t="n"/>
      <c r="S1120" s="61" t="n"/>
      <c r="T1120" s="61" t="n"/>
      <c r="U1120" s="53">
        <f>IF(A1120="","",IF(IFERROR(VLOOKUP(D1120,Parameter!$A$35:$C$64,2,0),"Nein")="2+3",IF(ISNUMBER(SEARCH("grosser Artikel",BJ1120)),2,IFERROR(VLOOKUP(BM1120,Parameter!$F$35:$G$64,2,0),2)),IF(OR(IFERROR(VLOOKUP(D1120,Parameter!$A$35:$C$64,2,0),"Nein")="Nein",IFERROR(VLOOKUP(D1120,Parameter!$A$35:$C$64,2,0),"Nein")=""),"-",VLOOKUP(D1120,Parameter!$A$35:$C$64,2,0))))</f>
        <v/>
      </c>
      <c r="V1120" s="61" t="n"/>
      <c r="W1120" s="62" t="n"/>
      <c r="X1120" s="55">
        <f>AM1120</f>
        <v/>
      </c>
      <c r="Y1120" s="55">
        <f>MAX(AM1120,G1120)</f>
        <v/>
      </c>
      <c r="Z1120" s="63" t="n"/>
      <c r="AA1120" s="55">
        <f>IF(LEFT(Cockpit!$C$5,1)="A",G1120,IF(BT1120=1,BU1120,IF(LEFT(Cockpit!$C$5,1)="B",AE1120,MAX(AE1120,G1120))))</f>
        <v/>
      </c>
      <c r="AB1120" s="55">
        <f>IF(BO1120=1,0,ROUNDUP(AA1120/BN1120,0))</f>
        <v/>
      </c>
      <c r="AC1120" s="64">
        <f>IF(BO1120=1,IF(AA1120&lt;=0,0,BP1120*MAX(1,IF(G1120&gt;0,AA1120/G1120,1))),AB1120*Q1120)</f>
        <v/>
      </c>
      <c r="AD1120" s="55">
        <f>AA1120*F1120</f>
        <v/>
      </c>
      <c r="AE1120" s="55">
        <f>ROUNDUP(MAX(I1120/IF(BS1120&gt;0,BS1120,MAX(0.1,N(Cockpit!$C$6))),BV1120)/BN1120,0)*BN1120</f>
        <v/>
      </c>
      <c r="AF1120" s="56">
        <f>IF(AC1120&gt;0,I1120/AC1120,-1)</f>
        <v/>
      </c>
      <c r="AG1120" s="56">
        <f>IF(AND(OR(BR1120="L1",BR1120="L23"),AC1120&gt;0),SUMIFS($AC$7:$AC$1570,$BR$7:$BR$1570,BR1120,$AF$7:$AF$1570,"&gt;"&amp;AF1120)+SUMIFS($AC$7:$AC$1570,$BR$7:$BR$1570,BR1120,$AF$7:$AF$1570,AF1120,$BL$7:$BL$1570,"&lt;="&amp;BL1120),"")</f>
        <v/>
      </c>
      <c r="AH1120" s="65">
        <f>IF(AG1120="",0,MAX(0,MIN(1,(IF(BR1120="L1",Parameter!$K$5,Parameter!$K$6+Parameter!$K$7)-(AG1120-AC1120))/AC1120)))</f>
        <v/>
      </c>
      <c r="AI1120" s="55">
        <f>IF(LEFT(Cockpit!$I$5,1)="A",G1120,IF(BT1120=1,BU1120,IF(LEFT(Cockpit!$I$5,1)="B",AM1120,MAX(AM1120,G1120))))</f>
        <v/>
      </c>
      <c r="AJ1120" s="55">
        <f>IF(BO1120=1,0,ROUNDUP(AI1120/BN1120,0))</f>
        <v/>
      </c>
      <c r="AK1120" s="64">
        <f>IF(BO1120=1,IF(AI1120&lt;=0,0,BP1120*MAX(1,IF(G1120&gt;0,AI1120/G1120,1))),AJ1120*Q1120)</f>
        <v/>
      </c>
      <c r="AL1120" s="55">
        <f>AI1120*F1120</f>
        <v/>
      </c>
      <c r="AM1120" s="55">
        <f>ROUNDUP(MAX(I1120/IF(BS1120&gt;0,BS1120,MAX(0.1,N(Cockpit!$I$6))),BV1120)/BN1120,0)*BN1120</f>
        <v/>
      </c>
      <c r="AN1120" s="56">
        <f>IF(AK1120&gt;0,I1120/AK1120,-1)</f>
        <v/>
      </c>
      <c r="AO1120" s="56">
        <f>IF(AND(OR(BR1120="L1",BR1120="L23"),AK1120&gt;0),SUMIFS($AK$7:$AK$1570,$BR$7:$BR$1570,BR1120,$AN$7:$AN$1570,"&gt;"&amp;AN1120)+SUMIFS($AK$7:$AK$1570,$BR$7:$BR$1570,BR1120,$AN$7:$AN$1570,AN1120,$BL$7:$BL$1570,"&lt;="&amp;BL1120),"")</f>
        <v/>
      </c>
      <c r="AP1120" s="65">
        <f>IF(AO1120="",0,MAX(0,MIN(1,(IF(BR1120="L1",Parameter!$K$5,Parameter!$K$6+Parameter!$K$7)-(AO1120-AK1120))/AK1120)))</f>
        <v/>
      </c>
      <c r="AQ1120" s="55">
        <f>IF(LEFT(Cockpit!$O$5,1)="A",G1120,IF(BT1120=1,BU1120,IF(LEFT(Cockpit!$O$5,1)="B",AU1120,MAX(AU1120,G1120))))</f>
        <v/>
      </c>
      <c r="AR1120" s="55">
        <f>IF(BO1120=1,0,ROUNDUP(AQ1120/BN1120,0))</f>
        <v/>
      </c>
      <c r="AS1120" s="64">
        <f>IF(BO1120=1,IF(AQ1120&lt;=0,0,BP1120*MAX(1,IF(G1120&gt;0,AQ1120/G1120,1))),AR1120*Q1120)</f>
        <v/>
      </c>
      <c r="AT1120" s="55">
        <f>AQ1120*F1120</f>
        <v/>
      </c>
      <c r="AU1120" s="55">
        <f>ROUNDUP(MAX(I1120/IF(BS1120&gt;0,BS1120,MAX(0.1,N(Cockpit!$O$6))),BV1120)/BN1120,0)*BN1120</f>
        <v/>
      </c>
      <c r="AV1120" s="56">
        <f>IF(AS1120&gt;0,I1120/AS1120,-1)</f>
        <v/>
      </c>
      <c r="AW1120" s="56">
        <f>IF(AND(OR(BR1120="L1",BR1120="L23"),AS1120&gt;0),SUMIFS($AS$7:$AS$1570,$BR$7:$BR$1570,BR1120,$AV$7:$AV$1570,"&gt;"&amp;AV1120)+SUMIFS($AS$7:$AS$1570,$BR$7:$BR$1570,BR1120,$AV$7:$AV$1570,AV1120,$BL$7:$BL$1570,"&lt;="&amp;BL1120),"")</f>
        <v/>
      </c>
      <c r="AX1120" s="65">
        <f>IF(AW1120="",0,MAX(0,MIN(1,(IF(BR1120="L1",Parameter!$K$5,Parameter!$K$6+Parameter!$K$7)-(AW1120-AS1120))/AS1120)))</f>
        <v/>
      </c>
      <c r="AY1120" s="53">
        <f>IF(AC1120&lt;=0,"",IF(BR1120="Aussen","Aussenlager",IF(BR1120="-","Nicht im Lift",IF(AH1120&gt;=1,"Lift",IF(AH1120&lt;=0,"Aussenlager","teilweise")))))</f>
        <v/>
      </c>
      <c r="AZ1120" s="53">
        <f>IF(AK1120&lt;=0,"",IF(BR1120="Aussen","Aussenlager",IF(BR1120="-","Nicht im Lift",IF(AP1120&gt;=1,"Lift",IF(AP1120&lt;=0,"Aussenlager","teilweise")))))</f>
        <v/>
      </c>
      <c r="BA1120" s="53">
        <f>IF(AS1120&lt;=0,"",IF(BR1120="Aussen","Aussenlager",IF(BR1120="-","Nicht im Lift",IF(AX1120&gt;=1,"Lift",IF(AX1120&lt;=0,"Aussenlager","teilweise")))))</f>
        <v/>
      </c>
      <c r="BB1120" s="53">
        <f>IF(A1120="","",IF(BK1120=1,"Neu; ","")&amp;IF(AND(BK1120=0,BF1120&lt;0),"negativer Bestand (Export "&amp;BF1120&amp;"); ","")&amp;IF(I1120&lt;=0,"Kein Verbrauch; ","")&amp;IF(BO1120=1,"Lose – Fläche geschätzt; ","")&amp;IF(G1120&gt;AM1120,"Überbestand "&amp;ROUND(G1120-AM1120,0)&amp;" Stk / CHF "&amp;ROUND((G1120-AM1120)*F1120,0)&amp;"; ","")&amp;IF(AND(BT1120=1,BU1120&lt;BV1120),"MAX &lt; MB+LG; ","")&amp;IF(AND(BZ1120&gt;0,BY1120*10&gt;BZ1120),"zu hoch für Tablar; ","")&amp;IF(AND(BK1120=0,OR(BT1120=1,V1120&lt;&gt;"",S1120&lt;&gt;"",T1120&lt;&gt;"",W1120&lt;&gt;"")),"manuell übersteuert; ","")&amp;IF(AND(BO1120=0,Q1120=0),"Gebinde unbekannt; ","")&amp;IF(AND(BO1120=0,N(T1120)&lt;=0,N(P1120)&lt;=0),"Menge pro Gebinde fehlt (Ist = 1 Gebinde); ","")&amp;BJ1120)</f>
        <v/>
      </c>
      <c r="BC1120" s="53" t="n"/>
      <c r="BD1120" s="53" t="n"/>
      <c r="BE1120" s="61" t="n"/>
      <c r="BF1120" s="55" t="n">
        <v>-4</v>
      </c>
      <c r="BG1120" s="55" t="n">
        <v>10</v>
      </c>
      <c r="BH1120" s="54" t="n">
        <v>-241.06</v>
      </c>
      <c r="BI1120" s="55" t="n">
        <v>7</v>
      </c>
      <c r="BJ1120" s="53" t="inlineStr">
        <is>
          <t>Neu</t>
        </is>
      </c>
      <c r="BK1120" s="58" t="n">
        <v>0</v>
      </c>
      <c r="BL1120" s="58" t="n">
        <v>1120</v>
      </c>
      <c r="BM1120" s="53">
        <f>IF(S1120&lt;&gt;"",UPPER(TRIM(S1120)),IF(O1120="","LOSE",O1120))</f>
        <v/>
      </c>
      <c r="BN1120" s="55">
        <f>IF(BM1120="LOSE",1,IF(N(T1120)&gt;0,T1120,IF(N(P1120)&gt;0,P1120,MAX(1,G1120))))</f>
        <v/>
      </c>
      <c r="BO1120" s="58">
        <f>IF(BM1120="LOSE",1,0)</f>
        <v/>
      </c>
      <c r="BP1120" s="64">
        <f>IF(BO1120=0,0,IF(N(R1120)&gt;0,R1120,IFERROR(VLOOKUP(D1120,Parameter!$A$35:$C$64,3,0)+0,0)))</f>
        <v/>
      </c>
      <c r="BQ1120" s="53">
        <f>IF(V1120&lt;&gt;"",V1120,U1120)</f>
        <v/>
      </c>
      <c r="BR1120" s="53">
        <f>IF(BQ1120=1,"L1",IF(OR(BQ1120=2,BQ1120=3),"L23",IF(BQ1120="Aussen","Aussen","-")))</f>
        <v/>
      </c>
      <c r="BS1120" s="66">
        <f>IF(N(W1120)&gt;0,W1120,0)</f>
        <v/>
      </c>
      <c r="BT1120" s="58">
        <f>IF(ISNUMBER(Z1120),1,0)</f>
        <v/>
      </c>
      <c r="BU1120" s="55">
        <f>N(Z1120)</f>
        <v/>
      </c>
      <c r="BV1120" s="55">
        <f>N(L1120)+N(M1120)</f>
        <v/>
      </c>
      <c r="BW1120" s="55">
        <f>ROUNDUP(G1120/BN1120,0)</f>
        <v/>
      </c>
      <c r="BX1120" s="55">
        <f>ROUNDUP(BU1120/BN1120,0)</f>
        <v/>
      </c>
      <c r="BY1120" s="58">
        <f>IF(BO1120=1,0,IFERROR(VLOOKUP(BM1120,'Gebinde-Kategorie'!$A$5:$G$45,5,0)+0,0))</f>
        <v/>
      </c>
      <c r="BZ1120" s="58">
        <f>IFERROR(IF(OR(BQ1120=1,BQ1120=2,BQ1120=3),N(INDEX(Parameter!$I$5:$I$7,BQ1120)),0),0)</f>
        <v/>
      </c>
    </row>
    <row r="1121">
      <c r="A1121" s="53" t="inlineStr">
        <is>
          <t>105858</t>
        </is>
      </c>
      <c r="B1121" s="53" t="inlineStr">
        <is>
          <t>Zylinderschraube mit Innensechskant</t>
        </is>
      </c>
      <c r="C1121" s="53" t="inlineStr">
        <is>
          <t>F</t>
        </is>
      </c>
      <c r="D1121" s="53" t="inlineStr">
        <is>
          <t>PAL</t>
        </is>
      </c>
      <c r="E1121" s="53" t="inlineStr">
        <is>
          <t>C</t>
        </is>
      </c>
      <c r="F1121" s="54" t="n">
        <v>0.32</v>
      </c>
      <c r="G1121" s="55">
        <f>MAX(0,IF(Parameter!$B$20="Jahresanfang 2025 + Export",BG1121+BF1121,BF1121))</f>
        <v/>
      </c>
      <c r="H1121" s="55">
        <f>G1121*F1121</f>
        <v/>
      </c>
      <c r="I1121" s="55">
        <f>BI1121*Parameter!$B$18</f>
        <v/>
      </c>
      <c r="J1121" s="56" t="n">
        <v>2367</v>
      </c>
      <c r="K1121" s="57" t="n">
        <v>1.593155893536122</v>
      </c>
      <c r="L1121" s="55" t="n">
        <v>219</v>
      </c>
      <c r="M1121" s="55" t="n">
        <v>500</v>
      </c>
      <c r="N1121" s="58" t="n">
        <v>21</v>
      </c>
      <c r="O1121" s="53" t="inlineStr">
        <is>
          <t>S71</t>
        </is>
      </c>
      <c r="P1121" s="55" t="n">
        <v>1000</v>
      </c>
      <c r="Q1121" s="59">
        <f>IF(BO1121=1,0,IFERROR(VLOOKUP(BM1121,'Gebinde-Kategorie'!$A$5:$G$45,6,0)+0,0))</f>
        <v/>
      </c>
      <c r="R1121" s="60" t="n"/>
      <c r="S1121" s="61" t="n"/>
      <c r="T1121" s="61" t="n"/>
      <c r="U1121" s="53">
        <f>IF(A1121="","",IF(IFERROR(VLOOKUP(D1121,Parameter!$A$35:$C$64,2,0),"Nein")="2+3",IF(ISNUMBER(SEARCH("grosser Artikel",BJ1121)),2,IFERROR(VLOOKUP(BM1121,Parameter!$F$35:$G$64,2,0),2)),IF(OR(IFERROR(VLOOKUP(D1121,Parameter!$A$35:$C$64,2,0),"Nein")="Nein",IFERROR(VLOOKUP(D1121,Parameter!$A$35:$C$64,2,0),"Nein")=""),"-",VLOOKUP(D1121,Parameter!$A$35:$C$64,2,0))))</f>
        <v/>
      </c>
      <c r="V1121" s="61" t="n"/>
      <c r="W1121" s="62" t="n"/>
      <c r="X1121" s="55">
        <f>AM1121</f>
        <v/>
      </c>
      <c r="Y1121" s="55">
        <f>MAX(AM1121,G1121)</f>
        <v/>
      </c>
      <c r="Z1121" s="63" t="n"/>
      <c r="AA1121" s="55">
        <f>IF(LEFT(Cockpit!$C$5,1)="A",G1121,IF(BT1121=1,BU1121,IF(LEFT(Cockpit!$C$5,1)="B",AE1121,MAX(AE1121,G1121))))</f>
        <v/>
      </c>
      <c r="AB1121" s="55">
        <f>IF(BO1121=1,0,ROUNDUP(AA1121/BN1121,0))</f>
        <v/>
      </c>
      <c r="AC1121" s="64">
        <f>IF(BO1121=1,IF(AA1121&lt;=0,0,BP1121*MAX(1,IF(G1121&gt;0,AA1121/G1121,1))),AB1121*Q1121)</f>
        <v/>
      </c>
      <c r="AD1121" s="55">
        <f>AA1121*F1121</f>
        <v/>
      </c>
      <c r="AE1121" s="55">
        <f>ROUNDUP(MAX(I1121/IF(BS1121&gt;0,BS1121,MAX(0.1,N(Cockpit!$C$6))),BV1121)/BN1121,0)*BN1121</f>
        <v/>
      </c>
      <c r="AF1121" s="56">
        <f>IF(AC1121&gt;0,I1121/AC1121,-1)</f>
        <v/>
      </c>
      <c r="AG1121" s="56">
        <f>IF(AND(OR(BR1121="L1",BR1121="L23"),AC1121&gt;0),SUMIFS($AC$7:$AC$1570,$BR$7:$BR$1570,BR1121,$AF$7:$AF$1570,"&gt;"&amp;AF1121)+SUMIFS($AC$7:$AC$1570,$BR$7:$BR$1570,BR1121,$AF$7:$AF$1570,AF1121,$BL$7:$BL$1570,"&lt;="&amp;BL1121),"")</f>
        <v/>
      </c>
      <c r="AH1121" s="65">
        <f>IF(AG1121="",0,MAX(0,MIN(1,(IF(BR1121="L1",Parameter!$K$5,Parameter!$K$6+Parameter!$K$7)-(AG1121-AC1121))/AC1121)))</f>
        <v/>
      </c>
      <c r="AI1121" s="55">
        <f>IF(LEFT(Cockpit!$I$5,1)="A",G1121,IF(BT1121=1,BU1121,IF(LEFT(Cockpit!$I$5,1)="B",AM1121,MAX(AM1121,G1121))))</f>
        <v/>
      </c>
      <c r="AJ1121" s="55">
        <f>IF(BO1121=1,0,ROUNDUP(AI1121/BN1121,0))</f>
        <v/>
      </c>
      <c r="AK1121" s="64">
        <f>IF(BO1121=1,IF(AI1121&lt;=0,0,BP1121*MAX(1,IF(G1121&gt;0,AI1121/G1121,1))),AJ1121*Q1121)</f>
        <v/>
      </c>
      <c r="AL1121" s="55">
        <f>AI1121*F1121</f>
        <v/>
      </c>
      <c r="AM1121" s="55">
        <f>ROUNDUP(MAX(I1121/IF(BS1121&gt;0,BS1121,MAX(0.1,N(Cockpit!$I$6))),BV1121)/BN1121,0)*BN1121</f>
        <v/>
      </c>
      <c r="AN1121" s="56">
        <f>IF(AK1121&gt;0,I1121/AK1121,-1)</f>
        <v/>
      </c>
      <c r="AO1121" s="56">
        <f>IF(AND(OR(BR1121="L1",BR1121="L23"),AK1121&gt;0),SUMIFS($AK$7:$AK$1570,$BR$7:$BR$1570,BR1121,$AN$7:$AN$1570,"&gt;"&amp;AN1121)+SUMIFS($AK$7:$AK$1570,$BR$7:$BR$1570,BR1121,$AN$7:$AN$1570,AN1121,$BL$7:$BL$1570,"&lt;="&amp;BL1121),"")</f>
        <v/>
      </c>
      <c r="AP1121" s="65">
        <f>IF(AO1121="",0,MAX(0,MIN(1,(IF(BR1121="L1",Parameter!$K$5,Parameter!$K$6+Parameter!$K$7)-(AO1121-AK1121))/AK1121)))</f>
        <v/>
      </c>
      <c r="AQ1121" s="55">
        <f>IF(LEFT(Cockpit!$O$5,1)="A",G1121,IF(BT1121=1,BU1121,IF(LEFT(Cockpit!$O$5,1)="B",AU1121,MAX(AU1121,G1121))))</f>
        <v/>
      </c>
      <c r="AR1121" s="55">
        <f>IF(BO1121=1,0,ROUNDUP(AQ1121/BN1121,0))</f>
        <v/>
      </c>
      <c r="AS1121" s="64">
        <f>IF(BO1121=1,IF(AQ1121&lt;=0,0,BP1121*MAX(1,IF(G1121&gt;0,AQ1121/G1121,1))),AR1121*Q1121)</f>
        <v/>
      </c>
      <c r="AT1121" s="55">
        <f>AQ1121*F1121</f>
        <v/>
      </c>
      <c r="AU1121" s="55">
        <f>ROUNDUP(MAX(I1121/IF(BS1121&gt;0,BS1121,MAX(0.1,N(Cockpit!$O$6))),BV1121)/BN1121,0)*BN1121</f>
        <v/>
      </c>
      <c r="AV1121" s="56">
        <f>IF(AS1121&gt;0,I1121/AS1121,-1)</f>
        <v/>
      </c>
      <c r="AW1121" s="56">
        <f>IF(AND(OR(BR1121="L1",BR1121="L23"),AS1121&gt;0),SUMIFS($AS$7:$AS$1570,$BR$7:$BR$1570,BR1121,$AV$7:$AV$1570,"&gt;"&amp;AV1121)+SUMIFS($AS$7:$AS$1570,$BR$7:$BR$1570,BR1121,$AV$7:$AV$1570,AV1121,$BL$7:$BL$1570,"&lt;="&amp;BL1121),"")</f>
        <v/>
      </c>
      <c r="AX1121" s="65">
        <f>IF(AW1121="",0,MAX(0,MIN(1,(IF(BR1121="L1",Parameter!$K$5,Parameter!$K$6+Parameter!$K$7)-(AW1121-AS1121))/AS1121)))</f>
        <v/>
      </c>
      <c r="AY1121" s="53">
        <f>IF(AC1121&lt;=0,"",IF(BR1121="Aussen","Aussenlager",IF(BR1121="-","Nicht im Lift",IF(AH1121&gt;=1,"Lift",IF(AH1121&lt;=0,"Aussenlager","teilweise")))))</f>
        <v/>
      </c>
      <c r="AZ1121" s="53">
        <f>IF(AK1121&lt;=0,"",IF(BR1121="Aussen","Aussenlager",IF(BR1121="-","Nicht im Lift",IF(AP1121&gt;=1,"Lift",IF(AP1121&lt;=0,"Aussenlager","teilweise")))))</f>
        <v/>
      </c>
      <c r="BA1121" s="53">
        <f>IF(AS1121&lt;=0,"",IF(BR1121="Aussen","Aussenlager",IF(BR1121="-","Nicht im Lift",IF(AX1121&gt;=1,"Lift",IF(AX1121&lt;=0,"Aussenlager","teilweise")))))</f>
        <v/>
      </c>
      <c r="BB1121" s="53">
        <f>IF(A1121="","",IF(BK1121=1,"Neu; ","")&amp;IF(AND(BK1121=0,BF1121&lt;0),"negativer Bestand (Export "&amp;BF1121&amp;"); ","")&amp;IF(I1121&lt;=0,"Kein Verbrauch; ","")&amp;IF(BO1121=1,"Lose – Fläche geschätzt; ","")&amp;IF(G1121&gt;AM1121,"Überbestand "&amp;ROUND(G1121-AM1121,0)&amp;" Stk / CHF "&amp;ROUND((G1121-AM1121)*F1121,0)&amp;"; ","")&amp;IF(AND(BT1121=1,BU1121&lt;BV1121),"MAX &lt; MB+LG; ","")&amp;IF(AND(BZ1121&gt;0,BY1121*10&gt;BZ1121),"zu hoch für Tablar; ","")&amp;IF(AND(BK1121=0,OR(BT1121=1,V1121&lt;&gt;"",S1121&lt;&gt;"",T1121&lt;&gt;"",W1121&lt;&gt;"")),"manuell übersteuert; ","")&amp;IF(AND(BO1121=0,Q1121=0),"Gebinde unbekannt; ","")&amp;IF(AND(BO1121=0,N(T1121)&lt;=0,N(P1121)&lt;=0),"Menge pro Gebinde fehlt (Ist = 1 Gebinde); ","")&amp;BJ1121)</f>
        <v/>
      </c>
      <c r="BC1121" s="53" t="n"/>
      <c r="BD1121" s="53" t="n"/>
      <c r="BE1121" s="61" t="n"/>
      <c r="BF1121" s="55" t="n">
        <v>-809</v>
      </c>
      <c r="BG1121" s="55" t="n">
        <v>1793</v>
      </c>
      <c r="BH1121" s="54" t="n">
        <v>-241.2000000000002</v>
      </c>
      <c r="BI1121" s="55" t="n">
        <v>3771</v>
      </c>
      <c r="BJ1121" s="53" t="inlineStr"/>
      <c r="BK1121" s="58" t="n">
        <v>0</v>
      </c>
      <c r="BL1121" s="58" t="n">
        <v>1121</v>
      </c>
      <c r="BM1121" s="53">
        <f>IF(S1121&lt;&gt;"",UPPER(TRIM(S1121)),IF(O1121="","LOSE",O1121))</f>
        <v/>
      </c>
      <c r="BN1121" s="55">
        <f>IF(BM1121="LOSE",1,IF(N(T1121)&gt;0,T1121,IF(N(P1121)&gt;0,P1121,MAX(1,G1121))))</f>
        <v/>
      </c>
      <c r="BO1121" s="58">
        <f>IF(BM1121="LOSE",1,0)</f>
        <v/>
      </c>
      <c r="BP1121" s="64">
        <f>IF(BO1121=0,0,IF(N(R1121)&gt;0,R1121,IFERROR(VLOOKUP(D1121,Parameter!$A$35:$C$64,3,0)+0,0)))</f>
        <v/>
      </c>
      <c r="BQ1121" s="53">
        <f>IF(V1121&lt;&gt;"",V1121,U1121)</f>
        <v/>
      </c>
      <c r="BR1121" s="53">
        <f>IF(BQ1121=1,"L1",IF(OR(BQ1121=2,BQ1121=3),"L23",IF(BQ1121="Aussen","Aussen","-")))</f>
        <v/>
      </c>
      <c r="BS1121" s="66">
        <f>IF(N(W1121)&gt;0,W1121,0)</f>
        <v/>
      </c>
      <c r="BT1121" s="58">
        <f>IF(ISNUMBER(Z1121),1,0)</f>
        <v/>
      </c>
      <c r="BU1121" s="55">
        <f>N(Z1121)</f>
        <v/>
      </c>
      <c r="BV1121" s="55">
        <f>N(L1121)+N(M1121)</f>
        <v/>
      </c>
      <c r="BW1121" s="55">
        <f>ROUNDUP(G1121/BN1121,0)</f>
        <v/>
      </c>
      <c r="BX1121" s="55">
        <f>ROUNDUP(BU1121/BN1121,0)</f>
        <v/>
      </c>
      <c r="BY1121" s="58">
        <f>IF(BO1121=1,0,IFERROR(VLOOKUP(BM1121,'Gebinde-Kategorie'!$A$5:$G$45,5,0)+0,0))</f>
        <v/>
      </c>
      <c r="BZ1121" s="58">
        <f>IFERROR(IF(OR(BQ1121=1,BQ1121=2,BQ1121=3),N(INDEX(Parameter!$I$5:$I$7,BQ1121)),0),0)</f>
        <v/>
      </c>
    </row>
    <row r="1122">
      <c r="A1122" s="53" t="inlineStr">
        <is>
          <t>103476</t>
        </is>
      </c>
      <c r="B1122" s="53" t="inlineStr">
        <is>
          <t>Montagehilfe</t>
        </is>
      </c>
      <c r="C1122" s="53" t="inlineStr">
        <is>
          <t>F</t>
        </is>
      </c>
      <c r="D1122" s="53" t="inlineStr">
        <is>
          <t>KTL</t>
        </is>
      </c>
      <c r="E1122" s="53" t="inlineStr">
        <is>
          <t>C</t>
        </is>
      </c>
      <c r="F1122" s="54" t="n">
        <v>20.38</v>
      </c>
      <c r="G1122" s="55">
        <f>MAX(0,IF(Parameter!$B$20="Jahresanfang 2025 + Export",BG1122+BF1122,BF1122))</f>
        <v/>
      </c>
      <c r="H1122" s="55">
        <f>G1122*F1122</f>
        <v/>
      </c>
      <c r="I1122" s="55">
        <f>BI1122*Parameter!$B$18</f>
        <v/>
      </c>
      <c r="J1122" s="56" t="n">
        <v>82</v>
      </c>
      <c r="K1122" s="57" t="n">
        <v>0.0975609756097561</v>
      </c>
      <c r="L1122" s="55" t="n">
        <v>0</v>
      </c>
      <c r="M1122" s="55" t="n">
        <v>10</v>
      </c>
      <c r="N1122" s="58" t="n">
        <v>28</v>
      </c>
      <c r="O1122" s="53" t="inlineStr">
        <is>
          <t>S41</t>
        </is>
      </c>
      <c r="P1122" s="55" t="n">
        <v>94</v>
      </c>
      <c r="Q1122" s="59">
        <f>IF(BO1122=1,0,IFERROR(VLOOKUP(BM1122,'Gebinde-Kategorie'!$A$5:$G$45,6,0)+0,0))</f>
        <v/>
      </c>
      <c r="R1122" s="60" t="n"/>
      <c r="S1122" s="61" t="n"/>
      <c r="T1122" s="61" t="n"/>
      <c r="U1122" s="53">
        <f>IF(A1122="","",IF(IFERROR(VLOOKUP(D1122,Parameter!$A$35:$C$64,2,0),"Nein")="2+3",IF(ISNUMBER(SEARCH("grosser Artikel",BJ1122)),2,IFERROR(VLOOKUP(BM1122,Parameter!$F$35:$G$64,2,0),2)),IF(OR(IFERROR(VLOOKUP(D1122,Parameter!$A$35:$C$64,2,0),"Nein")="Nein",IFERROR(VLOOKUP(D1122,Parameter!$A$35:$C$64,2,0),"Nein")=""),"-",VLOOKUP(D1122,Parameter!$A$35:$C$64,2,0))))</f>
        <v/>
      </c>
      <c r="V1122" s="61" t="n"/>
      <c r="W1122" s="62" t="n"/>
      <c r="X1122" s="55">
        <f>AM1122</f>
        <v/>
      </c>
      <c r="Y1122" s="55">
        <f>MAX(AM1122,G1122)</f>
        <v/>
      </c>
      <c r="Z1122" s="63" t="n"/>
      <c r="AA1122" s="55">
        <f>IF(LEFT(Cockpit!$C$5,1)="A",G1122,IF(BT1122=1,BU1122,IF(LEFT(Cockpit!$C$5,1)="B",AE1122,MAX(AE1122,G1122))))</f>
        <v/>
      </c>
      <c r="AB1122" s="55">
        <f>IF(BO1122=1,0,ROUNDUP(AA1122/BN1122,0))</f>
        <v/>
      </c>
      <c r="AC1122" s="64">
        <f>IF(BO1122=1,IF(AA1122&lt;=0,0,BP1122*MAX(1,IF(G1122&gt;0,AA1122/G1122,1))),AB1122*Q1122)</f>
        <v/>
      </c>
      <c r="AD1122" s="55">
        <f>AA1122*F1122</f>
        <v/>
      </c>
      <c r="AE1122" s="55">
        <f>ROUNDUP(MAX(I1122/IF(BS1122&gt;0,BS1122,MAX(0.1,N(Cockpit!$C$6))),BV1122)/BN1122,0)*BN1122</f>
        <v/>
      </c>
      <c r="AF1122" s="56">
        <f>IF(AC1122&gt;0,I1122/AC1122,-1)</f>
        <v/>
      </c>
      <c r="AG1122" s="56">
        <f>IF(AND(OR(BR1122="L1",BR1122="L23"),AC1122&gt;0),SUMIFS($AC$7:$AC$1570,$BR$7:$BR$1570,BR1122,$AF$7:$AF$1570,"&gt;"&amp;AF1122)+SUMIFS($AC$7:$AC$1570,$BR$7:$BR$1570,BR1122,$AF$7:$AF$1570,AF1122,$BL$7:$BL$1570,"&lt;="&amp;BL1122),"")</f>
        <v/>
      </c>
      <c r="AH1122" s="65">
        <f>IF(AG1122="",0,MAX(0,MIN(1,(IF(BR1122="L1",Parameter!$K$5,Parameter!$K$6+Parameter!$K$7)-(AG1122-AC1122))/AC1122)))</f>
        <v/>
      </c>
      <c r="AI1122" s="55">
        <f>IF(LEFT(Cockpit!$I$5,1)="A",G1122,IF(BT1122=1,BU1122,IF(LEFT(Cockpit!$I$5,1)="B",AM1122,MAX(AM1122,G1122))))</f>
        <v/>
      </c>
      <c r="AJ1122" s="55">
        <f>IF(BO1122=1,0,ROUNDUP(AI1122/BN1122,0))</f>
        <v/>
      </c>
      <c r="AK1122" s="64">
        <f>IF(BO1122=1,IF(AI1122&lt;=0,0,BP1122*MAX(1,IF(G1122&gt;0,AI1122/G1122,1))),AJ1122*Q1122)</f>
        <v/>
      </c>
      <c r="AL1122" s="55">
        <f>AI1122*F1122</f>
        <v/>
      </c>
      <c r="AM1122" s="55">
        <f>ROUNDUP(MAX(I1122/IF(BS1122&gt;0,BS1122,MAX(0.1,N(Cockpit!$I$6))),BV1122)/BN1122,0)*BN1122</f>
        <v/>
      </c>
      <c r="AN1122" s="56">
        <f>IF(AK1122&gt;0,I1122/AK1122,-1)</f>
        <v/>
      </c>
      <c r="AO1122" s="56">
        <f>IF(AND(OR(BR1122="L1",BR1122="L23"),AK1122&gt;0),SUMIFS($AK$7:$AK$1570,$BR$7:$BR$1570,BR1122,$AN$7:$AN$1570,"&gt;"&amp;AN1122)+SUMIFS($AK$7:$AK$1570,$BR$7:$BR$1570,BR1122,$AN$7:$AN$1570,AN1122,$BL$7:$BL$1570,"&lt;="&amp;BL1122),"")</f>
        <v/>
      </c>
      <c r="AP1122" s="65">
        <f>IF(AO1122="",0,MAX(0,MIN(1,(IF(BR1122="L1",Parameter!$K$5,Parameter!$K$6+Parameter!$K$7)-(AO1122-AK1122))/AK1122)))</f>
        <v/>
      </c>
      <c r="AQ1122" s="55">
        <f>IF(LEFT(Cockpit!$O$5,1)="A",G1122,IF(BT1122=1,BU1122,IF(LEFT(Cockpit!$O$5,1)="B",AU1122,MAX(AU1122,G1122))))</f>
        <v/>
      </c>
      <c r="AR1122" s="55">
        <f>IF(BO1122=1,0,ROUNDUP(AQ1122/BN1122,0))</f>
        <v/>
      </c>
      <c r="AS1122" s="64">
        <f>IF(BO1122=1,IF(AQ1122&lt;=0,0,BP1122*MAX(1,IF(G1122&gt;0,AQ1122/G1122,1))),AR1122*Q1122)</f>
        <v/>
      </c>
      <c r="AT1122" s="55">
        <f>AQ1122*F1122</f>
        <v/>
      </c>
      <c r="AU1122" s="55">
        <f>ROUNDUP(MAX(I1122/IF(BS1122&gt;0,BS1122,MAX(0.1,N(Cockpit!$O$6))),BV1122)/BN1122,0)*BN1122</f>
        <v/>
      </c>
      <c r="AV1122" s="56">
        <f>IF(AS1122&gt;0,I1122/AS1122,-1)</f>
        <v/>
      </c>
      <c r="AW1122" s="56">
        <f>IF(AND(OR(BR1122="L1",BR1122="L23"),AS1122&gt;0),SUMIFS($AS$7:$AS$1570,$BR$7:$BR$1570,BR1122,$AV$7:$AV$1570,"&gt;"&amp;AV1122)+SUMIFS($AS$7:$AS$1570,$BR$7:$BR$1570,BR1122,$AV$7:$AV$1570,AV1122,$BL$7:$BL$1570,"&lt;="&amp;BL1122),"")</f>
        <v/>
      </c>
      <c r="AX1122" s="65">
        <f>IF(AW1122="",0,MAX(0,MIN(1,(IF(BR1122="L1",Parameter!$K$5,Parameter!$K$6+Parameter!$K$7)-(AW1122-AS1122))/AS1122)))</f>
        <v/>
      </c>
      <c r="AY1122" s="53">
        <f>IF(AC1122&lt;=0,"",IF(BR1122="Aussen","Aussenlager",IF(BR1122="-","Nicht im Lift",IF(AH1122&gt;=1,"Lift",IF(AH1122&lt;=0,"Aussenlager","teilweise")))))</f>
        <v/>
      </c>
      <c r="AZ1122" s="53">
        <f>IF(AK1122&lt;=0,"",IF(BR1122="Aussen","Aussenlager",IF(BR1122="-","Nicht im Lift",IF(AP1122&gt;=1,"Lift",IF(AP1122&lt;=0,"Aussenlager","teilweise")))))</f>
        <v/>
      </c>
      <c r="BA1122" s="53">
        <f>IF(AS1122&lt;=0,"",IF(BR1122="Aussen","Aussenlager",IF(BR1122="-","Nicht im Lift",IF(AX1122&gt;=1,"Lift",IF(AX1122&lt;=0,"Aussenlager","teilweise")))))</f>
        <v/>
      </c>
      <c r="BB1122" s="53">
        <f>IF(A1122="","",IF(BK1122=1,"Neu; ","")&amp;IF(AND(BK1122=0,BF1122&lt;0),"negativer Bestand (Export "&amp;BF1122&amp;"); ","")&amp;IF(I1122&lt;=0,"Kein Verbrauch; ","")&amp;IF(BO1122=1,"Lose – Fläche geschätzt; ","")&amp;IF(G1122&gt;AM1122,"Überbestand "&amp;ROUND(G1122-AM1122,0)&amp;" Stk / CHF "&amp;ROUND((G1122-AM1122)*F1122,0)&amp;"; ","")&amp;IF(AND(BT1122=1,BU1122&lt;BV1122),"MAX &lt; MB+LG; ","")&amp;IF(AND(BZ1122&gt;0,BY1122*10&gt;BZ1122),"zu hoch für Tablar; ","")&amp;IF(AND(BK1122=0,OR(BT1122=1,V1122&lt;&gt;"",S1122&lt;&gt;"",T1122&lt;&gt;"",W1122&lt;&gt;"")),"manuell übersteuert; ","")&amp;IF(AND(BO1122=0,Q1122=0),"Gebinde unbekannt; ","")&amp;IF(AND(BO1122=0,N(T1122)&lt;=0,N(P1122)&lt;=0),"Menge pro Gebinde fehlt (Ist = 1 Gebinde); ","")&amp;BJ1122)</f>
        <v/>
      </c>
      <c r="BC1122" s="53" t="n"/>
      <c r="BD1122" s="53" t="n"/>
      <c r="BE1122" s="61" t="n"/>
      <c r="BF1122" s="55" t="n">
        <v>-12</v>
      </c>
      <c r="BG1122" s="55" t="n">
        <v>86</v>
      </c>
      <c r="BH1122" s="54" t="n">
        <v>-244.56</v>
      </c>
      <c r="BI1122" s="55" t="n">
        <v>8</v>
      </c>
      <c r="BJ1122" s="53" t="inlineStr"/>
      <c r="BK1122" s="58" t="n">
        <v>0</v>
      </c>
      <c r="BL1122" s="58" t="n">
        <v>1122</v>
      </c>
      <c r="BM1122" s="53">
        <f>IF(S1122&lt;&gt;"",UPPER(TRIM(S1122)),IF(O1122="","LOSE",O1122))</f>
        <v/>
      </c>
      <c r="BN1122" s="55">
        <f>IF(BM1122="LOSE",1,IF(N(T1122)&gt;0,T1122,IF(N(P1122)&gt;0,P1122,MAX(1,G1122))))</f>
        <v/>
      </c>
      <c r="BO1122" s="58">
        <f>IF(BM1122="LOSE",1,0)</f>
        <v/>
      </c>
      <c r="BP1122" s="64">
        <f>IF(BO1122=0,0,IF(N(R1122)&gt;0,R1122,IFERROR(VLOOKUP(D1122,Parameter!$A$35:$C$64,3,0)+0,0)))</f>
        <v/>
      </c>
      <c r="BQ1122" s="53">
        <f>IF(V1122&lt;&gt;"",V1122,U1122)</f>
        <v/>
      </c>
      <c r="BR1122" s="53">
        <f>IF(BQ1122=1,"L1",IF(OR(BQ1122=2,BQ1122=3),"L23",IF(BQ1122="Aussen","Aussen","-")))</f>
        <v/>
      </c>
      <c r="BS1122" s="66">
        <f>IF(N(W1122)&gt;0,W1122,0)</f>
        <v/>
      </c>
      <c r="BT1122" s="58">
        <f>IF(ISNUMBER(Z1122),1,0)</f>
        <v/>
      </c>
      <c r="BU1122" s="55">
        <f>N(Z1122)</f>
        <v/>
      </c>
      <c r="BV1122" s="55">
        <f>N(L1122)+N(M1122)</f>
        <v/>
      </c>
      <c r="BW1122" s="55">
        <f>ROUNDUP(G1122/BN1122,0)</f>
        <v/>
      </c>
      <c r="BX1122" s="55">
        <f>ROUNDUP(BU1122/BN1122,0)</f>
        <v/>
      </c>
      <c r="BY1122" s="58">
        <f>IF(BO1122=1,0,IFERROR(VLOOKUP(BM1122,'Gebinde-Kategorie'!$A$5:$G$45,5,0)+0,0))</f>
        <v/>
      </c>
      <c r="BZ1122" s="58">
        <f>IFERROR(IF(OR(BQ1122=1,BQ1122=2,BQ1122=3),N(INDEX(Parameter!$I$5:$I$7,BQ1122)),0),0)</f>
        <v/>
      </c>
    </row>
    <row r="1123">
      <c r="A1123" s="53" t="inlineStr">
        <is>
          <t>005703</t>
        </is>
      </c>
      <c r="B1123" s="53" t="inlineStr">
        <is>
          <t>Lasttrennschalter</t>
        </is>
      </c>
      <c r="C1123" s="53" t="inlineStr">
        <is>
          <t>F</t>
        </is>
      </c>
      <c r="D1123" s="53" t="inlineStr">
        <is>
          <t>KTL</t>
        </is>
      </c>
      <c r="E1123" s="53" t="inlineStr">
        <is>
          <t>C</t>
        </is>
      </c>
      <c r="F1123" s="54" t="n">
        <v>35.15</v>
      </c>
      <c r="G1123" s="55">
        <f>MAX(0,IF(Parameter!$B$20="Jahresanfang 2025 + Export",BG1123+BF1123,BF1123))</f>
        <v/>
      </c>
      <c r="H1123" s="55">
        <f>G1123*F1123</f>
        <v/>
      </c>
      <c r="I1123" s="55">
        <f>BI1123*Parameter!$B$18</f>
        <v/>
      </c>
      <c r="J1123" s="56" t="n">
        <v>150</v>
      </c>
      <c r="K1123" s="57" t="n">
        <v>0.02</v>
      </c>
      <c r="L1123" s="55" t="n">
        <v>0</v>
      </c>
      <c r="M1123" s="55" t="n">
        <v>5</v>
      </c>
      <c r="N1123" s="58" t="n">
        <v>28</v>
      </c>
      <c r="O1123" s="53" t="inlineStr">
        <is>
          <t>S52</t>
        </is>
      </c>
      <c r="P1123" s="55" t="n">
        <v>30</v>
      </c>
      <c r="Q1123" s="59">
        <f>IF(BO1123=1,0,IFERROR(VLOOKUP(BM1123,'Gebinde-Kategorie'!$A$5:$G$45,6,0)+0,0))</f>
        <v/>
      </c>
      <c r="R1123" s="60" t="n"/>
      <c r="S1123" s="61" t="n"/>
      <c r="T1123" s="61" t="n"/>
      <c r="U1123" s="53">
        <f>IF(A1123="","",IF(IFERROR(VLOOKUP(D1123,Parameter!$A$35:$C$64,2,0),"Nein")="2+3",IF(ISNUMBER(SEARCH("grosser Artikel",BJ1123)),2,IFERROR(VLOOKUP(BM1123,Parameter!$F$35:$G$64,2,0),2)),IF(OR(IFERROR(VLOOKUP(D1123,Parameter!$A$35:$C$64,2,0),"Nein")="Nein",IFERROR(VLOOKUP(D1123,Parameter!$A$35:$C$64,2,0),"Nein")=""),"-",VLOOKUP(D1123,Parameter!$A$35:$C$64,2,0))))</f>
        <v/>
      </c>
      <c r="V1123" s="61" t="n"/>
      <c r="W1123" s="62" t="n"/>
      <c r="X1123" s="55">
        <f>AM1123</f>
        <v/>
      </c>
      <c r="Y1123" s="55">
        <f>MAX(AM1123,G1123)</f>
        <v/>
      </c>
      <c r="Z1123" s="63" t="n"/>
      <c r="AA1123" s="55">
        <f>IF(LEFT(Cockpit!$C$5,1)="A",G1123,IF(BT1123=1,BU1123,IF(LEFT(Cockpit!$C$5,1)="B",AE1123,MAX(AE1123,G1123))))</f>
        <v/>
      </c>
      <c r="AB1123" s="55">
        <f>IF(BO1123=1,0,ROUNDUP(AA1123/BN1123,0))</f>
        <v/>
      </c>
      <c r="AC1123" s="64">
        <f>IF(BO1123=1,IF(AA1123&lt;=0,0,BP1123*MAX(1,IF(G1123&gt;0,AA1123/G1123,1))),AB1123*Q1123)</f>
        <v/>
      </c>
      <c r="AD1123" s="55">
        <f>AA1123*F1123</f>
        <v/>
      </c>
      <c r="AE1123" s="55">
        <f>ROUNDUP(MAX(I1123/IF(BS1123&gt;0,BS1123,MAX(0.1,N(Cockpit!$C$6))),BV1123)/BN1123,0)*BN1123</f>
        <v/>
      </c>
      <c r="AF1123" s="56">
        <f>IF(AC1123&gt;0,I1123/AC1123,-1)</f>
        <v/>
      </c>
      <c r="AG1123" s="56">
        <f>IF(AND(OR(BR1123="L1",BR1123="L23"),AC1123&gt;0),SUMIFS($AC$7:$AC$1570,$BR$7:$BR$1570,BR1123,$AF$7:$AF$1570,"&gt;"&amp;AF1123)+SUMIFS($AC$7:$AC$1570,$BR$7:$BR$1570,BR1123,$AF$7:$AF$1570,AF1123,$BL$7:$BL$1570,"&lt;="&amp;BL1123),"")</f>
        <v/>
      </c>
      <c r="AH1123" s="65">
        <f>IF(AG1123="",0,MAX(0,MIN(1,(IF(BR1123="L1",Parameter!$K$5,Parameter!$K$6+Parameter!$K$7)-(AG1123-AC1123))/AC1123)))</f>
        <v/>
      </c>
      <c r="AI1123" s="55">
        <f>IF(LEFT(Cockpit!$I$5,1)="A",G1123,IF(BT1123=1,BU1123,IF(LEFT(Cockpit!$I$5,1)="B",AM1123,MAX(AM1123,G1123))))</f>
        <v/>
      </c>
      <c r="AJ1123" s="55">
        <f>IF(BO1123=1,0,ROUNDUP(AI1123/BN1123,0))</f>
        <v/>
      </c>
      <c r="AK1123" s="64">
        <f>IF(BO1123=1,IF(AI1123&lt;=0,0,BP1123*MAX(1,IF(G1123&gt;0,AI1123/G1123,1))),AJ1123*Q1123)</f>
        <v/>
      </c>
      <c r="AL1123" s="55">
        <f>AI1123*F1123</f>
        <v/>
      </c>
      <c r="AM1123" s="55">
        <f>ROUNDUP(MAX(I1123/IF(BS1123&gt;0,BS1123,MAX(0.1,N(Cockpit!$I$6))),BV1123)/BN1123,0)*BN1123</f>
        <v/>
      </c>
      <c r="AN1123" s="56">
        <f>IF(AK1123&gt;0,I1123/AK1123,-1)</f>
        <v/>
      </c>
      <c r="AO1123" s="56">
        <f>IF(AND(OR(BR1123="L1",BR1123="L23"),AK1123&gt;0),SUMIFS($AK$7:$AK$1570,$BR$7:$BR$1570,BR1123,$AN$7:$AN$1570,"&gt;"&amp;AN1123)+SUMIFS($AK$7:$AK$1570,$BR$7:$BR$1570,BR1123,$AN$7:$AN$1570,AN1123,$BL$7:$BL$1570,"&lt;="&amp;BL1123),"")</f>
        <v/>
      </c>
      <c r="AP1123" s="65">
        <f>IF(AO1123="",0,MAX(0,MIN(1,(IF(BR1123="L1",Parameter!$K$5,Parameter!$K$6+Parameter!$K$7)-(AO1123-AK1123))/AK1123)))</f>
        <v/>
      </c>
      <c r="AQ1123" s="55">
        <f>IF(LEFT(Cockpit!$O$5,1)="A",G1123,IF(BT1123=1,BU1123,IF(LEFT(Cockpit!$O$5,1)="B",AU1123,MAX(AU1123,G1123))))</f>
        <v/>
      </c>
      <c r="AR1123" s="55">
        <f>IF(BO1123=1,0,ROUNDUP(AQ1123/BN1123,0))</f>
        <v/>
      </c>
      <c r="AS1123" s="64">
        <f>IF(BO1123=1,IF(AQ1123&lt;=0,0,BP1123*MAX(1,IF(G1123&gt;0,AQ1123/G1123,1))),AR1123*Q1123)</f>
        <v/>
      </c>
      <c r="AT1123" s="55">
        <f>AQ1123*F1123</f>
        <v/>
      </c>
      <c r="AU1123" s="55">
        <f>ROUNDUP(MAX(I1123/IF(BS1123&gt;0,BS1123,MAX(0.1,N(Cockpit!$O$6))),BV1123)/BN1123,0)*BN1123</f>
        <v/>
      </c>
      <c r="AV1123" s="56">
        <f>IF(AS1123&gt;0,I1123/AS1123,-1)</f>
        <v/>
      </c>
      <c r="AW1123" s="56">
        <f>IF(AND(OR(BR1123="L1",BR1123="L23"),AS1123&gt;0),SUMIFS($AS$7:$AS$1570,$BR$7:$BR$1570,BR1123,$AV$7:$AV$1570,"&gt;"&amp;AV1123)+SUMIFS($AS$7:$AS$1570,$BR$7:$BR$1570,BR1123,$AV$7:$AV$1570,AV1123,$BL$7:$BL$1570,"&lt;="&amp;BL1123),"")</f>
        <v/>
      </c>
      <c r="AX1123" s="65">
        <f>IF(AW1123="",0,MAX(0,MIN(1,(IF(BR1123="L1",Parameter!$K$5,Parameter!$K$6+Parameter!$K$7)-(AW1123-AS1123))/AS1123)))</f>
        <v/>
      </c>
      <c r="AY1123" s="53">
        <f>IF(AC1123&lt;=0,"",IF(BR1123="Aussen","Aussenlager",IF(BR1123="-","Nicht im Lift",IF(AH1123&gt;=1,"Lift",IF(AH1123&lt;=0,"Aussenlager","teilweise")))))</f>
        <v/>
      </c>
      <c r="AZ1123" s="53">
        <f>IF(AK1123&lt;=0,"",IF(BR1123="Aussen","Aussenlager",IF(BR1123="-","Nicht im Lift",IF(AP1123&gt;=1,"Lift",IF(AP1123&lt;=0,"Aussenlager","teilweise")))))</f>
        <v/>
      </c>
      <c r="BA1123" s="53">
        <f>IF(AS1123&lt;=0,"",IF(BR1123="Aussen","Aussenlager",IF(BR1123="-","Nicht im Lift",IF(AX1123&gt;=1,"Lift",IF(AX1123&lt;=0,"Aussenlager","teilweise")))))</f>
        <v/>
      </c>
      <c r="BB1123" s="53">
        <f>IF(A1123="","",IF(BK1123=1,"Neu; ","")&amp;IF(AND(BK1123=0,BF1123&lt;0),"negativer Bestand (Export "&amp;BF1123&amp;"); ","")&amp;IF(I1123&lt;=0,"Kein Verbrauch; ","")&amp;IF(BO1123=1,"Lose – Fläche geschätzt; ","")&amp;IF(G1123&gt;AM1123,"Überbestand "&amp;ROUND(G1123-AM1123,0)&amp;" Stk / CHF "&amp;ROUND((G1123-AM1123)*F1123,0)&amp;"; ","")&amp;IF(AND(BT1123=1,BU1123&lt;BV1123),"MAX &lt; MB+LG; ","")&amp;IF(AND(BZ1123&gt;0,BY1123*10&gt;BZ1123),"zu hoch für Tablar; ","")&amp;IF(AND(BK1123=0,OR(BT1123=1,V1123&lt;&gt;"",S1123&lt;&gt;"",T1123&lt;&gt;"",W1123&lt;&gt;"")),"manuell übersteuert; ","")&amp;IF(AND(BO1123=0,Q1123=0),"Gebinde unbekannt; ","")&amp;IF(AND(BO1123=0,N(T1123)&lt;=0,N(P1123)&lt;=0),"Menge pro Gebinde fehlt (Ist = 1 Gebinde); ","")&amp;BJ1123)</f>
        <v/>
      </c>
      <c r="BC1123" s="53" t="n"/>
      <c r="BD1123" s="53" t="n"/>
      <c r="BE1123" s="61" t="n"/>
      <c r="BF1123" s="55" t="n">
        <v>-7</v>
      </c>
      <c r="BG1123" s="55" t="n">
        <v>152</v>
      </c>
      <c r="BH1123" s="54" t="n">
        <v>-246.05</v>
      </c>
      <c r="BI1123" s="55" t="n">
        <v>3</v>
      </c>
      <c r="BJ1123" s="53" t="inlineStr">
        <is>
          <t>Überbestand</t>
        </is>
      </c>
      <c r="BK1123" s="58" t="n">
        <v>0</v>
      </c>
      <c r="BL1123" s="58" t="n">
        <v>1123</v>
      </c>
      <c r="BM1123" s="53">
        <f>IF(S1123&lt;&gt;"",UPPER(TRIM(S1123)),IF(O1123="","LOSE",O1123))</f>
        <v/>
      </c>
      <c r="BN1123" s="55">
        <f>IF(BM1123="LOSE",1,IF(N(T1123)&gt;0,T1123,IF(N(P1123)&gt;0,P1123,MAX(1,G1123))))</f>
        <v/>
      </c>
      <c r="BO1123" s="58">
        <f>IF(BM1123="LOSE",1,0)</f>
        <v/>
      </c>
      <c r="BP1123" s="64">
        <f>IF(BO1123=0,0,IF(N(R1123)&gt;0,R1123,IFERROR(VLOOKUP(D1123,Parameter!$A$35:$C$64,3,0)+0,0)))</f>
        <v/>
      </c>
      <c r="BQ1123" s="53">
        <f>IF(V1123&lt;&gt;"",V1123,U1123)</f>
        <v/>
      </c>
      <c r="BR1123" s="53">
        <f>IF(BQ1123=1,"L1",IF(OR(BQ1123=2,BQ1123=3),"L23",IF(BQ1123="Aussen","Aussen","-")))</f>
        <v/>
      </c>
      <c r="BS1123" s="66">
        <f>IF(N(W1123)&gt;0,W1123,0)</f>
        <v/>
      </c>
      <c r="BT1123" s="58">
        <f>IF(ISNUMBER(Z1123),1,0)</f>
        <v/>
      </c>
      <c r="BU1123" s="55">
        <f>N(Z1123)</f>
        <v/>
      </c>
      <c r="BV1123" s="55">
        <f>N(L1123)+N(M1123)</f>
        <v/>
      </c>
      <c r="BW1123" s="55">
        <f>ROUNDUP(G1123/BN1123,0)</f>
        <v/>
      </c>
      <c r="BX1123" s="55">
        <f>ROUNDUP(BU1123/BN1123,0)</f>
        <v/>
      </c>
      <c r="BY1123" s="58">
        <f>IF(BO1123=1,0,IFERROR(VLOOKUP(BM1123,'Gebinde-Kategorie'!$A$5:$G$45,5,0)+0,0))</f>
        <v/>
      </c>
      <c r="BZ1123" s="58">
        <f>IFERROR(IF(OR(BQ1123=1,BQ1123=2,BQ1123=3),N(INDEX(Parameter!$I$5:$I$7,BQ1123)),0),0)</f>
        <v/>
      </c>
    </row>
    <row r="1124">
      <c r="A1124" s="53" t="inlineStr">
        <is>
          <t>106901</t>
        </is>
      </c>
      <c r="B1124" s="53" t="inlineStr">
        <is>
          <t>LED Blitzlichtelement</t>
        </is>
      </c>
      <c r="C1124" s="53" t="inlineStr">
        <is>
          <t>F</t>
        </is>
      </c>
      <c r="D1124" s="53" t="inlineStr">
        <is>
          <t>KTL</t>
        </is>
      </c>
      <c r="E1124" s="53" t="inlineStr">
        <is>
          <t>C</t>
        </is>
      </c>
      <c r="F1124" s="54" t="n">
        <v>90.31999999999999</v>
      </c>
      <c r="G1124" s="55">
        <f>MAX(0,IF(Parameter!$B$20="Jahresanfang 2025 + Export",BG1124+BF1124,BF1124))</f>
        <v/>
      </c>
      <c r="H1124" s="55">
        <f>G1124*F1124</f>
        <v/>
      </c>
      <c r="I1124" s="55">
        <f>BI1124*Parameter!$B$18</f>
        <v/>
      </c>
      <c r="J1124" s="56" t="n">
        <v>30.5</v>
      </c>
      <c r="K1124" s="57" t="n">
        <v>1.901639344262295</v>
      </c>
      <c r="L1124" s="55" t="n">
        <v>5</v>
      </c>
      <c r="M1124" s="55" t="n">
        <v>40</v>
      </c>
      <c r="N1124" s="58" t="n">
        <v>28</v>
      </c>
      <c r="O1124" s="53" t="inlineStr">
        <is>
          <t>S52</t>
        </is>
      </c>
      <c r="P1124" s="55" t="n">
        <v>30</v>
      </c>
      <c r="Q1124" s="59">
        <f>IF(BO1124=1,0,IFERROR(VLOOKUP(BM1124,'Gebinde-Kategorie'!$A$5:$G$45,6,0)+0,0))</f>
        <v/>
      </c>
      <c r="R1124" s="60" t="n"/>
      <c r="S1124" s="61" t="n"/>
      <c r="T1124" s="61" t="n"/>
      <c r="U1124" s="53">
        <f>IF(A1124="","",IF(IFERROR(VLOOKUP(D1124,Parameter!$A$35:$C$64,2,0),"Nein")="2+3",IF(ISNUMBER(SEARCH("grosser Artikel",BJ1124)),2,IFERROR(VLOOKUP(BM1124,Parameter!$F$35:$G$64,2,0),2)),IF(OR(IFERROR(VLOOKUP(D1124,Parameter!$A$35:$C$64,2,0),"Nein")="Nein",IFERROR(VLOOKUP(D1124,Parameter!$A$35:$C$64,2,0),"Nein")=""),"-",VLOOKUP(D1124,Parameter!$A$35:$C$64,2,0))))</f>
        <v/>
      </c>
      <c r="V1124" s="61" t="n"/>
      <c r="W1124" s="62" t="n"/>
      <c r="X1124" s="55">
        <f>AM1124</f>
        <v/>
      </c>
      <c r="Y1124" s="55">
        <f>MAX(AM1124,G1124)</f>
        <v/>
      </c>
      <c r="Z1124" s="63" t="n"/>
      <c r="AA1124" s="55">
        <f>IF(LEFT(Cockpit!$C$5,1)="A",G1124,IF(BT1124=1,BU1124,IF(LEFT(Cockpit!$C$5,1)="B",AE1124,MAX(AE1124,G1124))))</f>
        <v/>
      </c>
      <c r="AB1124" s="55">
        <f>IF(BO1124=1,0,ROUNDUP(AA1124/BN1124,0))</f>
        <v/>
      </c>
      <c r="AC1124" s="64">
        <f>IF(BO1124=1,IF(AA1124&lt;=0,0,BP1124*MAX(1,IF(G1124&gt;0,AA1124/G1124,1))),AB1124*Q1124)</f>
        <v/>
      </c>
      <c r="AD1124" s="55">
        <f>AA1124*F1124</f>
        <v/>
      </c>
      <c r="AE1124" s="55">
        <f>ROUNDUP(MAX(I1124/IF(BS1124&gt;0,BS1124,MAX(0.1,N(Cockpit!$C$6))),BV1124)/BN1124,0)*BN1124</f>
        <v/>
      </c>
      <c r="AF1124" s="56">
        <f>IF(AC1124&gt;0,I1124/AC1124,-1)</f>
        <v/>
      </c>
      <c r="AG1124" s="56">
        <f>IF(AND(OR(BR1124="L1",BR1124="L23"),AC1124&gt;0),SUMIFS($AC$7:$AC$1570,$BR$7:$BR$1570,BR1124,$AF$7:$AF$1570,"&gt;"&amp;AF1124)+SUMIFS($AC$7:$AC$1570,$BR$7:$BR$1570,BR1124,$AF$7:$AF$1570,AF1124,$BL$7:$BL$1570,"&lt;="&amp;BL1124),"")</f>
        <v/>
      </c>
      <c r="AH1124" s="65">
        <f>IF(AG1124="",0,MAX(0,MIN(1,(IF(BR1124="L1",Parameter!$K$5,Parameter!$K$6+Parameter!$K$7)-(AG1124-AC1124))/AC1124)))</f>
        <v/>
      </c>
      <c r="AI1124" s="55">
        <f>IF(LEFT(Cockpit!$I$5,1)="A",G1124,IF(BT1124=1,BU1124,IF(LEFT(Cockpit!$I$5,1)="B",AM1124,MAX(AM1124,G1124))))</f>
        <v/>
      </c>
      <c r="AJ1124" s="55">
        <f>IF(BO1124=1,0,ROUNDUP(AI1124/BN1124,0))</f>
        <v/>
      </c>
      <c r="AK1124" s="64">
        <f>IF(BO1124=1,IF(AI1124&lt;=0,0,BP1124*MAX(1,IF(G1124&gt;0,AI1124/G1124,1))),AJ1124*Q1124)</f>
        <v/>
      </c>
      <c r="AL1124" s="55">
        <f>AI1124*F1124</f>
        <v/>
      </c>
      <c r="AM1124" s="55">
        <f>ROUNDUP(MAX(I1124/IF(BS1124&gt;0,BS1124,MAX(0.1,N(Cockpit!$I$6))),BV1124)/BN1124,0)*BN1124</f>
        <v/>
      </c>
      <c r="AN1124" s="56">
        <f>IF(AK1124&gt;0,I1124/AK1124,-1)</f>
        <v/>
      </c>
      <c r="AO1124" s="56">
        <f>IF(AND(OR(BR1124="L1",BR1124="L23"),AK1124&gt;0),SUMIFS($AK$7:$AK$1570,$BR$7:$BR$1570,BR1124,$AN$7:$AN$1570,"&gt;"&amp;AN1124)+SUMIFS($AK$7:$AK$1570,$BR$7:$BR$1570,BR1124,$AN$7:$AN$1570,AN1124,$BL$7:$BL$1570,"&lt;="&amp;BL1124),"")</f>
        <v/>
      </c>
      <c r="AP1124" s="65">
        <f>IF(AO1124="",0,MAX(0,MIN(1,(IF(BR1124="L1",Parameter!$K$5,Parameter!$K$6+Parameter!$K$7)-(AO1124-AK1124))/AK1124)))</f>
        <v/>
      </c>
      <c r="AQ1124" s="55">
        <f>IF(LEFT(Cockpit!$O$5,1)="A",G1124,IF(BT1124=1,BU1124,IF(LEFT(Cockpit!$O$5,1)="B",AU1124,MAX(AU1124,G1124))))</f>
        <v/>
      </c>
      <c r="AR1124" s="55">
        <f>IF(BO1124=1,0,ROUNDUP(AQ1124/BN1124,0))</f>
        <v/>
      </c>
      <c r="AS1124" s="64">
        <f>IF(BO1124=1,IF(AQ1124&lt;=0,0,BP1124*MAX(1,IF(G1124&gt;0,AQ1124/G1124,1))),AR1124*Q1124)</f>
        <v/>
      </c>
      <c r="AT1124" s="55">
        <f>AQ1124*F1124</f>
        <v/>
      </c>
      <c r="AU1124" s="55">
        <f>ROUNDUP(MAX(I1124/IF(BS1124&gt;0,BS1124,MAX(0.1,N(Cockpit!$O$6))),BV1124)/BN1124,0)*BN1124</f>
        <v/>
      </c>
      <c r="AV1124" s="56">
        <f>IF(AS1124&gt;0,I1124/AS1124,-1)</f>
        <v/>
      </c>
      <c r="AW1124" s="56">
        <f>IF(AND(OR(BR1124="L1",BR1124="L23"),AS1124&gt;0),SUMIFS($AS$7:$AS$1570,$BR$7:$BR$1570,BR1124,$AV$7:$AV$1570,"&gt;"&amp;AV1124)+SUMIFS($AS$7:$AS$1570,$BR$7:$BR$1570,BR1124,$AV$7:$AV$1570,AV1124,$BL$7:$BL$1570,"&lt;="&amp;BL1124),"")</f>
        <v/>
      </c>
      <c r="AX1124" s="65">
        <f>IF(AW1124="",0,MAX(0,MIN(1,(IF(BR1124="L1",Parameter!$K$5,Parameter!$K$6+Parameter!$K$7)-(AW1124-AS1124))/AS1124)))</f>
        <v/>
      </c>
      <c r="AY1124" s="53">
        <f>IF(AC1124&lt;=0,"",IF(BR1124="Aussen","Aussenlager",IF(BR1124="-","Nicht im Lift",IF(AH1124&gt;=1,"Lift",IF(AH1124&lt;=0,"Aussenlager","teilweise")))))</f>
        <v/>
      </c>
      <c r="AZ1124" s="53">
        <f>IF(AK1124&lt;=0,"",IF(BR1124="Aussen","Aussenlager",IF(BR1124="-","Nicht im Lift",IF(AP1124&gt;=1,"Lift",IF(AP1124&lt;=0,"Aussenlager","teilweise")))))</f>
        <v/>
      </c>
      <c r="BA1124" s="53">
        <f>IF(AS1124&lt;=0,"",IF(BR1124="Aussen","Aussenlager",IF(BR1124="-","Nicht im Lift",IF(AX1124&gt;=1,"Lift",IF(AX1124&lt;=0,"Aussenlager","teilweise")))))</f>
        <v/>
      </c>
      <c r="BB1124" s="53">
        <f>IF(A1124="","",IF(BK1124=1,"Neu; ","")&amp;IF(AND(BK1124=0,BF1124&lt;0),"negativer Bestand (Export "&amp;BF1124&amp;"); ","")&amp;IF(I1124&lt;=0,"Kein Verbrauch; ","")&amp;IF(BO1124=1,"Lose – Fläche geschätzt; ","")&amp;IF(G1124&gt;AM1124,"Überbestand "&amp;ROUND(G1124-AM1124,0)&amp;" Stk / CHF "&amp;ROUND((G1124-AM1124)*F1124,0)&amp;"; ","")&amp;IF(AND(BT1124=1,BU1124&lt;BV1124),"MAX &lt; MB+LG; ","")&amp;IF(AND(BZ1124&gt;0,BY1124*10&gt;BZ1124),"zu hoch für Tablar; ","")&amp;IF(AND(BK1124=0,OR(BT1124=1,V1124&lt;&gt;"",S1124&lt;&gt;"",T1124&lt;&gt;"",W1124&lt;&gt;"")),"manuell übersteuert; ","")&amp;IF(AND(BO1124=0,Q1124=0),"Gebinde unbekannt; ","")&amp;IF(AND(BO1124=0,N(T1124)&lt;=0,N(P1124)&lt;=0),"Menge pro Gebinde fehlt (Ist = 1 Gebinde); ","")&amp;BJ1124)</f>
        <v/>
      </c>
      <c r="BC1124" s="53" t="n"/>
      <c r="BD1124" s="53" t="n"/>
      <c r="BE1124" s="61" t="n"/>
      <c r="BF1124" s="55" t="n">
        <v>-2</v>
      </c>
      <c r="BG1124" s="55" t="n">
        <v>38</v>
      </c>
      <c r="BH1124" s="54" t="n">
        <v>-246.3800000000033</v>
      </c>
      <c r="BI1124" s="55" t="n">
        <v>58</v>
      </c>
      <c r="BJ1124" s="53" t="inlineStr"/>
      <c r="BK1124" s="58" t="n">
        <v>0</v>
      </c>
      <c r="BL1124" s="58" t="n">
        <v>1124</v>
      </c>
      <c r="BM1124" s="53">
        <f>IF(S1124&lt;&gt;"",UPPER(TRIM(S1124)),IF(O1124="","LOSE",O1124))</f>
        <v/>
      </c>
      <c r="BN1124" s="55">
        <f>IF(BM1124="LOSE",1,IF(N(T1124)&gt;0,T1124,IF(N(P1124)&gt;0,P1124,MAX(1,G1124))))</f>
        <v/>
      </c>
      <c r="BO1124" s="58">
        <f>IF(BM1124="LOSE",1,0)</f>
        <v/>
      </c>
      <c r="BP1124" s="64">
        <f>IF(BO1124=0,0,IF(N(R1124)&gt;0,R1124,IFERROR(VLOOKUP(D1124,Parameter!$A$35:$C$64,3,0)+0,0)))</f>
        <v/>
      </c>
      <c r="BQ1124" s="53">
        <f>IF(V1124&lt;&gt;"",V1124,U1124)</f>
        <v/>
      </c>
      <c r="BR1124" s="53">
        <f>IF(BQ1124=1,"L1",IF(OR(BQ1124=2,BQ1124=3),"L23",IF(BQ1124="Aussen","Aussen","-")))</f>
        <v/>
      </c>
      <c r="BS1124" s="66">
        <f>IF(N(W1124)&gt;0,W1124,0)</f>
        <v/>
      </c>
      <c r="BT1124" s="58">
        <f>IF(ISNUMBER(Z1124),1,0)</f>
        <v/>
      </c>
      <c r="BU1124" s="55">
        <f>N(Z1124)</f>
        <v/>
      </c>
      <c r="BV1124" s="55">
        <f>N(L1124)+N(M1124)</f>
        <v/>
      </c>
      <c r="BW1124" s="55">
        <f>ROUNDUP(G1124/BN1124,0)</f>
        <v/>
      </c>
      <c r="BX1124" s="55">
        <f>ROUNDUP(BU1124/BN1124,0)</f>
        <v/>
      </c>
      <c r="BY1124" s="58">
        <f>IF(BO1124=1,0,IFERROR(VLOOKUP(BM1124,'Gebinde-Kategorie'!$A$5:$G$45,5,0)+0,0))</f>
        <v/>
      </c>
      <c r="BZ1124" s="58">
        <f>IFERROR(IF(OR(BQ1124=1,BQ1124=2,BQ1124=3),N(INDEX(Parameter!$I$5:$I$7,BQ1124)),0),0)</f>
        <v/>
      </c>
    </row>
    <row r="1125">
      <c r="A1125" s="53" t="inlineStr">
        <is>
          <t>109616</t>
        </is>
      </c>
      <c r="B1125" s="53" t="inlineStr">
        <is>
          <t>Adapter Bündelanschluss Druckluft</t>
        </is>
      </c>
      <c r="C1125" s="53" t="inlineStr">
        <is>
          <t>F</t>
        </is>
      </c>
      <c r="D1125" s="53" t="inlineStr">
        <is>
          <t>KTL</t>
        </is>
      </c>
      <c r="E1125" s="53" t="inlineStr">
        <is>
          <t>C</t>
        </is>
      </c>
      <c r="F1125" s="54" t="n">
        <v>123.42</v>
      </c>
      <c r="G1125" s="55">
        <f>MAX(0,IF(Parameter!$B$20="Jahresanfang 2025 + Export",BG1125+BF1125,BF1125))</f>
        <v/>
      </c>
      <c r="H1125" s="55">
        <f>G1125*F1125</f>
        <v/>
      </c>
      <c r="I1125" s="55">
        <f>BI1125*Parameter!$B$18</f>
        <v/>
      </c>
      <c r="J1125" s="56" t="n">
        <v>3</v>
      </c>
      <c r="K1125" s="57" t="n">
        <v>0.6666666666666666</v>
      </c>
      <c r="L1125" s="55" t="n">
        <v>0</v>
      </c>
      <c r="M1125" s="55" t="n">
        <v>1</v>
      </c>
      <c r="N1125" s="58" t="n">
        <v>28</v>
      </c>
      <c r="O1125" s="53" t="inlineStr">
        <is>
          <t>S32</t>
        </is>
      </c>
      <c r="P1125" s="55" t="n">
        <v>5</v>
      </c>
      <c r="Q1125" s="59">
        <f>IF(BO1125=1,0,IFERROR(VLOOKUP(BM1125,'Gebinde-Kategorie'!$A$5:$G$45,6,0)+0,0))</f>
        <v/>
      </c>
      <c r="R1125" s="60" t="n"/>
      <c r="S1125" s="61" t="n"/>
      <c r="T1125" s="61" t="n"/>
      <c r="U1125" s="53">
        <f>IF(A1125="","",IF(IFERROR(VLOOKUP(D1125,Parameter!$A$35:$C$64,2,0),"Nein")="2+3",IF(ISNUMBER(SEARCH("grosser Artikel",BJ1125)),2,IFERROR(VLOOKUP(BM1125,Parameter!$F$35:$G$64,2,0),2)),IF(OR(IFERROR(VLOOKUP(D1125,Parameter!$A$35:$C$64,2,0),"Nein")="Nein",IFERROR(VLOOKUP(D1125,Parameter!$A$35:$C$64,2,0),"Nein")=""),"-",VLOOKUP(D1125,Parameter!$A$35:$C$64,2,0))))</f>
        <v/>
      </c>
      <c r="V1125" s="61" t="n"/>
      <c r="W1125" s="62" t="n"/>
      <c r="X1125" s="55">
        <f>AM1125</f>
        <v/>
      </c>
      <c r="Y1125" s="55">
        <f>MAX(AM1125,G1125)</f>
        <v/>
      </c>
      <c r="Z1125" s="63" t="n"/>
      <c r="AA1125" s="55">
        <f>IF(LEFT(Cockpit!$C$5,1)="A",G1125,IF(BT1125=1,BU1125,IF(LEFT(Cockpit!$C$5,1)="B",AE1125,MAX(AE1125,G1125))))</f>
        <v/>
      </c>
      <c r="AB1125" s="55">
        <f>IF(BO1125=1,0,ROUNDUP(AA1125/BN1125,0))</f>
        <v/>
      </c>
      <c r="AC1125" s="64">
        <f>IF(BO1125=1,IF(AA1125&lt;=0,0,BP1125*MAX(1,IF(G1125&gt;0,AA1125/G1125,1))),AB1125*Q1125)</f>
        <v/>
      </c>
      <c r="AD1125" s="55">
        <f>AA1125*F1125</f>
        <v/>
      </c>
      <c r="AE1125" s="55">
        <f>ROUNDUP(MAX(I1125/IF(BS1125&gt;0,BS1125,MAX(0.1,N(Cockpit!$C$6))),BV1125)/BN1125,0)*BN1125</f>
        <v/>
      </c>
      <c r="AF1125" s="56">
        <f>IF(AC1125&gt;0,I1125/AC1125,-1)</f>
        <v/>
      </c>
      <c r="AG1125" s="56">
        <f>IF(AND(OR(BR1125="L1",BR1125="L23"),AC1125&gt;0),SUMIFS($AC$7:$AC$1570,$BR$7:$BR$1570,BR1125,$AF$7:$AF$1570,"&gt;"&amp;AF1125)+SUMIFS($AC$7:$AC$1570,$BR$7:$BR$1570,BR1125,$AF$7:$AF$1570,AF1125,$BL$7:$BL$1570,"&lt;="&amp;BL1125),"")</f>
        <v/>
      </c>
      <c r="AH1125" s="65">
        <f>IF(AG1125="",0,MAX(0,MIN(1,(IF(BR1125="L1",Parameter!$K$5,Parameter!$K$6+Parameter!$K$7)-(AG1125-AC1125))/AC1125)))</f>
        <v/>
      </c>
      <c r="AI1125" s="55">
        <f>IF(LEFT(Cockpit!$I$5,1)="A",G1125,IF(BT1125=1,BU1125,IF(LEFT(Cockpit!$I$5,1)="B",AM1125,MAX(AM1125,G1125))))</f>
        <v/>
      </c>
      <c r="AJ1125" s="55">
        <f>IF(BO1125=1,0,ROUNDUP(AI1125/BN1125,0))</f>
        <v/>
      </c>
      <c r="AK1125" s="64">
        <f>IF(BO1125=1,IF(AI1125&lt;=0,0,BP1125*MAX(1,IF(G1125&gt;0,AI1125/G1125,1))),AJ1125*Q1125)</f>
        <v/>
      </c>
      <c r="AL1125" s="55">
        <f>AI1125*F1125</f>
        <v/>
      </c>
      <c r="AM1125" s="55">
        <f>ROUNDUP(MAX(I1125/IF(BS1125&gt;0,BS1125,MAX(0.1,N(Cockpit!$I$6))),BV1125)/BN1125,0)*BN1125</f>
        <v/>
      </c>
      <c r="AN1125" s="56">
        <f>IF(AK1125&gt;0,I1125/AK1125,-1)</f>
        <v/>
      </c>
      <c r="AO1125" s="56">
        <f>IF(AND(OR(BR1125="L1",BR1125="L23"),AK1125&gt;0),SUMIFS($AK$7:$AK$1570,$BR$7:$BR$1570,BR1125,$AN$7:$AN$1570,"&gt;"&amp;AN1125)+SUMIFS($AK$7:$AK$1570,$BR$7:$BR$1570,BR1125,$AN$7:$AN$1570,AN1125,$BL$7:$BL$1570,"&lt;="&amp;BL1125),"")</f>
        <v/>
      </c>
      <c r="AP1125" s="65">
        <f>IF(AO1125="",0,MAX(0,MIN(1,(IF(BR1125="L1",Parameter!$K$5,Parameter!$K$6+Parameter!$K$7)-(AO1125-AK1125))/AK1125)))</f>
        <v/>
      </c>
      <c r="AQ1125" s="55">
        <f>IF(LEFT(Cockpit!$O$5,1)="A",G1125,IF(BT1125=1,BU1125,IF(LEFT(Cockpit!$O$5,1)="B",AU1125,MAX(AU1125,G1125))))</f>
        <v/>
      </c>
      <c r="AR1125" s="55">
        <f>IF(BO1125=1,0,ROUNDUP(AQ1125/BN1125,0))</f>
        <v/>
      </c>
      <c r="AS1125" s="64">
        <f>IF(BO1125=1,IF(AQ1125&lt;=0,0,BP1125*MAX(1,IF(G1125&gt;0,AQ1125/G1125,1))),AR1125*Q1125)</f>
        <v/>
      </c>
      <c r="AT1125" s="55">
        <f>AQ1125*F1125</f>
        <v/>
      </c>
      <c r="AU1125" s="55">
        <f>ROUNDUP(MAX(I1125/IF(BS1125&gt;0,BS1125,MAX(0.1,N(Cockpit!$O$6))),BV1125)/BN1125,0)*BN1125</f>
        <v/>
      </c>
      <c r="AV1125" s="56">
        <f>IF(AS1125&gt;0,I1125/AS1125,-1)</f>
        <v/>
      </c>
      <c r="AW1125" s="56">
        <f>IF(AND(OR(BR1125="L1",BR1125="L23"),AS1125&gt;0),SUMIFS($AS$7:$AS$1570,$BR$7:$BR$1570,BR1125,$AV$7:$AV$1570,"&gt;"&amp;AV1125)+SUMIFS($AS$7:$AS$1570,$BR$7:$BR$1570,BR1125,$AV$7:$AV$1570,AV1125,$BL$7:$BL$1570,"&lt;="&amp;BL1125),"")</f>
        <v/>
      </c>
      <c r="AX1125" s="65">
        <f>IF(AW1125="",0,MAX(0,MIN(1,(IF(BR1125="L1",Parameter!$K$5,Parameter!$K$6+Parameter!$K$7)-(AW1125-AS1125))/AS1125)))</f>
        <v/>
      </c>
      <c r="AY1125" s="53">
        <f>IF(AC1125&lt;=0,"",IF(BR1125="Aussen","Aussenlager",IF(BR1125="-","Nicht im Lift",IF(AH1125&gt;=1,"Lift",IF(AH1125&lt;=0,"Aussenlager","teilweise")))))</f>
        <v/>
      </c>
      <c r="AZ1125" s="53">
        <f>IF(AK1125&lt;=0,"",IF(BR1125="Aussen","Aussenlager",IF(BR1125="-","Nicht im Lift",IF(AP1125&gt;=1,"Lift",IF(AP1125&lt;=0,"Aussenlager","teilweise")))))</f>
        <v/>
      </c>
      <c r="BA1125" s="53">
        <f>IF(AS1125&lt;=0,"",IF(BR1125="Aussen","Aussenlager",IF(BR1125="-","Nicht im Lift",IF(AX1125&gt;=1,"Lift",IF(AX1125&lt;=0,"Aussenlager","teilweise")))))</f>
        <v/>
      </c>
      <c r="BB1125" s="53">
        <f>IF(A1125="","",IF(BK1125=1,"Neu; ","")&amp;IF(AND(BK1125=0,BF1125&lt;0),"negativer Bestand (Export "&amp;BF1125&amp;"); ","")&amp;IF(I1125&lt;=0,"Kein Verbrauch; ","")&amp;IF(BO1125=1,"Lose – Fläche geschätzt; ","")&amp;IF(G1125&gt;AM1125,"Überbestand "&amp;ROUND(G1125-AM1125,0)&amp;" Stk / CHF "&amp;ROUND((G1125-AM1125)*F1125,0)&amp;"; ","")&amp;IF(AND(BT1125=1,BU1125&lt;BV1125),"MAX &lt; MB+LG; ","")&amp;IF(AND(BZ1125&gt;0,BY1125*10&gt;BZ1125),"zu hoch für Tablar; ","")&amp;IF(AND(BK1125=0,OR(BT1125=1,V1125&lt;&gt;"",S1125&lt;&gt;"",T1125&lt;&gt;"",W1125&lt;&gt;"")),"manuell übersteuert; ","")&amp;IF(AND(BO1125=0,Q1125=0),"Gebinde unbekannt; ","")&amp;IF(AND(BO1125=0,N(T1125)&lt;=0,N(P1125)&lt;=0),"Menge pro Gebinde fehlt (Ist = 1 Gebinde); ","")&amp;BJ1125)</f>
        <v/>
      </c>
      <c r="BC1125" s="53" t="n"/>
      <c r="BD1125" s="53" t="n"/>
      <c r="BE1125" s="61" t="n"/>
      <c r="BF1125" s="55" t="n">
        <v>-2</v>
      </c>
      <c r="BG1125" s="55" t="n">
        <v>4</v>
      </c>
      <c r="BH1125" s="54" t="n">
        <v>-246.84</v>
      </c>
      <c r="BI1125" s="55" t="n">
        <v>2</v>
      </c>
      <c r="BJ1125" s="53" t="inlineStr"/>
      <c r="BK1125" s="58" t="n">
        <v>0</v>
      </c>
      <c r="BL1125" s="58" t="n">
        <v>1125</v>
      </c>
      <c r="BM1125" s="53">
        <f>IF(S1125&lt;&gt;"",UPPER(TRIM(S1125)),IF(O1125="","LOSE",O1125))</f>
        <v/>
      </c>
      <c r="BN1125" s="55">
        <f>IF(BM1125="LOSE",1,IF(N(T1125)&gt;0,T1125,IF(N(P1125)&gt;0,P1125,MAX(1,G1125))))</f>
        <v/>
      </c>
      <c r="BO1125" s="58">
        <f>IF(BM1125="LOSE",1,0)</f>
        <v/>
      </c>
      <c r="BP1125" s="64">
        <f>IF(BO1125=0,0,IF(N(R1125)&gt;0,R1125,IFERROR(VLOOKUP(D1125,Parameter!$A$35:$C$64,3,0)+0,0)))</f>
        <v/>
      </c>
      <c r="BQ1125" s="53">
        <f>IF(V1125&lt;&gt;"",V1125,U1125)</f>
        <v/>
      </c>
      <c r="BR1125" s="53">
        <f>IF(BQ1125=1,"L1",IF(OR(BQ1125=2,BQ1125=3),"L23",IF(BQ1125="Aussen","Aussen","-")))</f>
        <v/>
      </c>
      <c r="BS1125" s="66">
        <f>IF(N(W1125)&gt;0,W1125,0)</f>
        <v/>
      </c>
      <c r="BT1125" s="58">
        <f>IF(ISNUMBER(Z1125),1,0)</f>
        <v/>
      </c>
      <c r="BU1125" s="55">
        <f>N(Z1125)</f>
        <v/>
      </c>
      <c r="BV1125" s="55">
        <f>N(L1125)+N(M1125)</f>
        <v/>
      </c>
      <c r="BW1125" s="55">
        <f>ROUNDUP(G1125/BN1125,0)</f>
        <v/>
      </c>
      <c r="BX1125" s="55">
        <f>ROUNDUP(BU1125/BN1125,0)</f>
        <v/>
      </c>
      <c r="BY1125" s="58">
        <f>IF(BO1125=1,0,IFERROR(VLOOKUP(BM1125,'Gebinde-Kategorie'!$A$5:$G$45,5,0)+0,0))</f>
        <v/>
      </c>
      <c r="BZ1125" s="58">
        <f>IFERROR(IF(OR(BQ1125=1,BQ1125=2,BQ1125=3),N(INDEX(Parameter!$I$5:$I$7,BQ1125)),0),0)</f>
        <v/>
      </c>
    </row>
    <row r="1126">
      <c r="A1126" s="53" t="inlineStr">
        <is>
          <t>005405</t>
        </is>
      </c>
      <c r="B1126" s="53" t="inlineStr">
        <is>
          <t>Rohrleitung für Drucktransmitter</t>
        </is>
      </c>
      <c r="C1126" s="53" t="inlineStr">
        <is>
          <t>F</t>
        </is>
      </c>
      <c r="D1126" s="53" t="inlineStr">
        <is>
          <t>KTL</t>
        </is>
      </c>
      <c r="E1126" s="53" t="inlineStr">
        <is>
          <t>C</t>
        </is>
      </c>
      <c r="F1126" s="54" t="n">
        <v>82.88</v>
      </c>
      <c r="G1126" s="55">
        <f>MAX(0,IF(Parameter!$B$20="Jahresanfang 2025 + Export",BG1126+BF1126,BF1126))</f>
        <v/>
      </c>
      <c r="H1126" s="55">
        <f>G1126*F1126</f>
        <v/>
      </c>
      <c r="I1126" s="55">
        <f>BI1126*Parameter!$B$18</f>
        <v/>
      </c>
      <c r="J1126" s="56" t="n">
        <v>17</v>
      </c>
      <c r="K1126" s="57" t="n">
        <v>0</v>
      </c>
      <c r="L1126" s="55" t="n">
        <v>0</v>
      </c>
      <c r="M1126" s="55" t="n">
        <v>1</v>
      </c>
      <c r="N1126" s="58" t="n">
        <v>28</v>
      </c>
      <c r="O1126" s="53" t="inlineStr">
        <is>
          <t>S32</t>
        </is>
      </c>
      <c r="P1126" s="55" t="n">
        <v>18</v>
      </c>
      <c r="Q1126" s="59">
        <f>IF(BO1126=1,0,IFERROR(VLOOKUP(BM1126,'Gebinde-Kategorie'!$A$5:$G$45,6,0)+0,0))</f>
        <v/>
      </c>
      <c r="R1126" s="60" t="n"/>
      <c r="S1126" s="61" t="n"/>
      <c r="T1126" s="61" t="n"/>
      <c r="U1126" s="53">
        <f>IF(A1126="","",IF(IFERROR(VLOOKUP(D1126,Parameter!$A$35:$C$64,2,0),"Nein")="2+3",IF(ISNUMBER(SEARCH("grosser Artikel",BJ1126)),2,IFERROR(VLOOKUP(BM1126,Parameter!$F$35:$G$64,2,0),2)),IF(OR(IFERROR(VLOOKUP(D1126,Parameter!$A$35:$C$64,2,0),"Nein")="Nein",IFERROR(VLOOKUP(D1126,Parameter!$A$35:$C$64,2,0),"Nein")=""),"-",VLOOKUP(D1126,Parameter!$A$35:$C$64,2,0))))</f>
        <v/>
      </c>
      <c r="V1126" s="61" t="n"/>
      <c r="W1126" s="62" t="n"/>
      <c r="X1126" s="55">
        <f>AM1126</f>
        <v/>
      </c>
      <c r="Y1126" s="55">
        <f>MAX(AM1126,G1126)</f>
        <v/>
      </c>
      <c r="Z1126" s="63" t="n"/>
      <c r="AA1126" s="55">
        <f>IF(LEFT(Cockpit!$C$5,1)="A",G1126,IF(BT1126=1,BU1126,IF(LEFT(Cockpit!$C$5,1)="B",AE1126,MAX(AE1126,G1126))))</f>
        <v/>
      </c>
      <c r="AB1126" s="55">
        <f>IF(BO1126=1,0,ROUNDUP(AA1126/BN1126,0))</f>
        <v/>
      </c>
      <c r="AC1126" s="64">
        <f>IF(BO1126=1,IF(AA1126&lt;=0,0,BP1126*MAX(1,IF(G1126&gt;0,AA1126/G1126,1))),AB1126*Q1126)</f>
        <v/>
      </c>
      <c r="AD1126" s="55">
        <f>AA1126*F1126</f>
        <v/>
      </c>
      <c r="AE1126" s="55">
        <f>ROUNDUP(MAX(I1126/IF(BS1126&gt;0,BS1126,MAX(0.1,N(Cockpit!$C$6))),BV1126)/BN1126,0)*BN1126</f>
        <v/>
      </c>
      <c r="AF1126" s="56">
        <f>IF(AC1126&gt;0,I1126/AC1126,-1)</f>
        <v/>
      </c>
      <c r="AG1126" s="56">
        <f>IF(AND(OR(BR1126="L1",BR1126="L23"),AC1126&gt;0),SUMIFS($AC$7:$AC$1570,$BR$7:$BR$1570,BR1126,$AF$7:$AF$1570,"&gt;"&amp;AF1126)+SUMIFS($AC$7:$AC$1570,$BR$7:$BR$1570,BR1126,$AF$7:$AF$1570,AF1126,$BL$7:$BL$1570,"&lt;="&amp;BL1126),"")</f>
        <v/>
      </c>
      <c r="AH1126" s="65">
        <f>IF(AG1126="",0,MAX(0,MIN(1,(IF(BR1126="L1",Parameter!$K$5,Parameter!$K$6+Parameter!$K$7)-(AG1126-AC1126))/AC1126)))</f>
        <v/>
      </c>
      <c r="AI1126" s="55">
        <f>IF(LEFT(Cockpit!$I$5,1)="A",G1126,IF(BT1126=1,BU1126,IF(LEFT(Cockpit!$I$5,1)="B",AM1126,MAX(AM1126,G1126))))</f>
        <v/>
      </c>
      <c r="AJ1126" s="55">
        <f>IF(BO1126=1,0,ROUNDUP(AI1126/BN1126,0))</f>
        <v/>
      </c>
      <c r="AK1126" s="64">
        <f>IF(BO1126=1,IF(AI1126&lt;=0,0,BP1126*MAX(1,IF(G1126&gt;0,AI1126/G1126,1))),AJ1126*Q1126)</f>
        <v/>
      </c>
      <c r="AL1126" s="55">
        <f>AI1126*F1126</f>
        <v/>
      </c>
      <c r="AM1126" s="55">
        <f>ROUNDUP(MAX(I1126/IF(BS1126&gt;0,BS1126,MAX(0.1,N(Cockpit!$I$6))),BV1126)/BN1126,0)*BN1126</f>
        <v/>
      </c>
      <c r="AN1126" s="56">
        <f>IF(AK1126&gt;0,I1126/AK1126,-1)</f>
        <v/>
      </c>
      <c r="AO1126" s="56">
        <f>IF(AND(OR(BR1126="L1",BR1126="L23"),AK1126&gt;0),SUMIFS($AK$7:$AK$1570,$BR$7:$BR$1570,BR1126,$AN$7:$AN$1570,"&gt;"&amp;AN1126)+SUMIFS($AK$7:$AK$1570,$BR$7:$BR$1570,BR1126,$AN$7:$AN$1570,AN1126,$BL$7:$BL$1570,"&lt;="&amp;BL1126),"")</f>
        <v/>
      </c>
      <c r="AP1126" s="65">
        <f>IF(AO1126="",0,MAX(0,MIN(1,(IF(BR1126="L1",Parameter!$K$5,Parameter!$K$6+Parameter!$K$7)-(AO1126-AK1126))/AK1126)))</f>
        <v/>
      </c>
      <c r="AQ1126" s="55">
        <f>IF(LEFT(Cockpit!$O$5,1)="A",G1126,IF(BT1126=1,BU1126,IF(LEFT(Cockpit!$O$5,1)="B",AU1126,MAX(AU1126,G1126))))</f>
        <v/>
      </c>
      <c r="AR1126" s="55">
        <f>IF(BO1126=1,0,ROUNDUP(AQ1126/BN1126,0))</f>
        <v/>
      </c>
      <c r="AS1126" s="64">
        <f>IF(BO1126=1,IF(AQ1126&lt;=0,0,BP1126*MAX(1,IF(G1126&gt;0,AQ1126/G1126,1))),AR1126*Q1126)</f>
        <v/>
      </c>
      <c r="AT1126" s="55">
        <f>AQ1126*F1126</f>
        <v/>
      </c>
      <c r="AU1126" s="55">
        <f>ROUNDUP(MAX(I1126/IF(BS1126&gt;0,BS1126,MAX(0.1,N(Cockpit!$O$6))),BV1126)/BN1126,0)*BN1126</f>
        <v/>
      </c>
      <c r="AV1126" s="56">
        <f>IF(AS1126&gt;0,I1126/AS1126,-1)</f>
        <v/>
      </c>
      <c r="AW1126" s="56">
        <f>IF(AND(OR(BR1126="L1",BR1126="L23"),AS1126&gt;0),SUMIFS($AS$7:$AS$1570,$BR$7:$BR$1570,BR1126,$AV$7:$AV$1570,"&gt;"&amp;AV1126)+SUMIFS($AS$7:$AS$1570,$BR$7:$BR$1570,BR1126,$AV$7:$AV$1570,AV1126,$BL$7:$BL$1570,"&lt;="&amp;BL1126),"")</f>
        <v/>
      </c>
      <c r="AX1126" s="65">
        <f>IF(AW1126="",0,MAX(0,MIN(1,(IF(BR1126="L1",Parameter!$K$5,Parameter!$K$6+Parameter!$K$7)-(AW1126-AS1126))/AS1126)))</f>
        <v/>
      </c>
      <c r="AY1126" s="53">
        <f>IF(AC1126&lt;=0,"",IF(BR1126="Aussen","Aussenlager",IF(BR1126="-","Nicht im Lift",IF(AH1126&gt;=1,"Lift",IF(AH1126&lt;=0,"Aussenlager","teilweise")))))</f>
        <v/>
      </c>
      <c r="AZ1126" s="53">
        <f>IF(AK1126&lt;=0,"",IF(BR1126="Aussen","Aussenlager",IF(BR1126="-","Nicht im Lift",IF(AP1126&gt;=1,"Lift",IF(AP1126&lt;=0,"Aussenlager","teilweise")))))</f>
        <v/>
      </c>
      <c r="BA1126" s="53">
        <f>IF(AS1126&lt;=0,"",IF(BR1126="Aussen","Aussenlager",IF(BR1126="-","Nicht im Lift",IF(AX1126&gt;=1,"Lift",IF(AX1126&lt;=0,"Aussenlager","teilweise")))))</f>
        <v/>
      </c>
      <c r="BB1126" s="53">
        <f>IF(A1126="","",IF(BK1126=1,"Neu; ","")&amp;IF(AND(BK1126=0,BF1126&lt;0),"negativer Bestand (Export "&amp;BF1126&amp;"); ","")&amp;IF(I1126&lt;=0,"Kein Verbrauch; ","")&amp;IF(BO1126=1,"Lose – Fläche geschätzt; ","")&amp;IF(G1126&gt;AM1126,"Überbestand "&amp;ROUND(G1126-AM1126,0)&amp;" Stk / CHF "&amp;ROUND((G1126-AM1126)*F1126,0)&amp;"; ","")&amp;IF(AND(BT1126=1,BU1126&lt;BV1126),"MAX &lt; MB+LG; ","")&amp;IF(AND(BZ1126&gt;0,BY1126*10&gt;BZ1126),"zu hoch für Tablar; ","")&amp;IF(AND(BK1126=0,OR(BT1126=1,V1126&lt;&gt;"",S1126&lt;&gt;"",T1126&lt;&gt;"",W1126&lt;&gt;"")),"manuell übersteuert; ","")&amp;IF(AND(BO1126=0,Q1126=0),"Gebinde unbekannt; ","")&amp;IF(AND(BO1126=0,N(T1126)&lt;=0,N(P1126)&lt;=0),"Menge pro Gebinde fehlt (Ist = 1 Gebinde); ","")&amp;BJ1126)</f>
        <v/>
      </c>
      <c r="BC1126" s="53" t="n"/>
      <c r="BD1126" s="53" t="n"/>
      <c r="BE1126" s="61" t="n"/>
      <c r="BF1126" s="55" t="n">
        <v>-3</v>
      </c>
      <c r="BG1126" s="55" t="n">
        <v>17</v>
      </c>
      <c r="BH1126" s="54" t="n">
        <v>-248.64</v>
      </c>
      <c r="BI1126" s="55" t="n">
        <v>0</v>
      </c>
      <c r="BJ1126" s="53" t="inlineStr"/>
      <c r="BK1126" s="58" t="n">
        <v>0</v>
      </c>
      <c r="BL1126" s="58" t="n">
        <v>1126</v>
      </c>
      <c r="BM1126" s="53">
        <f>IF(S1126&lt;&gt;"",UPPER(TRIM(S1126)),IF(O1126="","LOSE",O1126))</f>
        <v/>
      </c>
      <c r="BN1126" s="55">
        <f>IF(BM1126="LOSE",1,IF(N(T1126)&gt;0,T1126,IF(N(P1126)&gt;0,P1126,MAX(1,G1126))))</f>
        <v/>
      </c>
      <c r="BO1126" s="58">
        <f>IF(BM1126="LOSE",1,0)</f>
        <v/>
      </c>
      <c r="BP1126" s="64">
        <f>IF(BO1126=0,0,IF(N(R1126)&gt;0,R1126,IFERROR(VLOOKUP(D1126,Parameter!$A$35:$C$64,3,0)+0,0)))</f>
        <v/>
      </c>
      <c r="BQ1126" s="53">
        <f>IF(V1126&lt;&gt;"",V1126,U1126)</f>
        <v/>
      </c>
      <c r="BR1126" s="53">
        <f>IF(BQ1126=1,"L1",IF(OR(BQ1126=2,BQ1126=3),"L23",IF(BQ1126="Aussen","Aussen","-")))</f>
        <v/>
      </c>
      <c r="BS1126" s="66">
        <f>IF(N(W1126)&gt;0,W1126,0)</f>
        <v/>
      </c>
      <c r="BT1126" s="58">
        <f>IF(ISNUMBER(Z1126),1,0)</f>
        <v/>
      </c>
      <c r="BU1126" s="55">
        <f>N(Z1126)</f>
        <v/>
      </c>
      <c r="BV1126" s="55">
        <f>N(L1126)+N(M1126)</f>
        <v/>
      </c>
      <c r="BW1126" s="55">
        <f>ROUNDUP(G1126/BN1126,0)</f>
        <v/>
      </c>
      <c r="BX1126" s="55">
        <f>ROUNDUP(BU1126/BN1126,0)</f>
        <v/>
      </c>
      <c r="BY1126" s="58">
        <f>IF(BO1126=1,0,IFERROR(VLOOKUP(BM1126,'Gebinde-Kategorie'!$A$5:$G$45,5,0)+0,0))</f>
        <v/>
      </c>
      <c r="BZ1126" s="58">
        <f>IFERROR(IF(OR(BQ1126=1,BQ1126=2,BQ1126=3),N(INDEX(Parameter!$I$5:$I$7,BQ1126)),0),0)</f>
        <v/>
      </c>
    </row>
    <row r="1127">
      <c r="A1127" s="53" t="inlineStr">
        <is>
          <t>109176</t>
        </is>
      </c>
      <c r="B1127" s="53" t="inlineStr">
        <is>
          <t>Adapter Bündelanschluss Druckluft</t>
        </is>
      </c>
      <c r="C1127" s="53" t="inlineStr">
        <is>
          <t>F</t>
        </is>
      </c>
      <c r="D1127" s="53" t="inlineStr">
        <is>
          <t>KTL</t>
        </is>
      </c>
      <c r="E1127" s="53" t="inlineStr">
        <is>
          <t>C</t>
        </is>
      </c>
      <c r="F1127" s="54" t="n">
        <v>64.13</v>
      </c>
      <c r="G1127" s="55">
        <f>MAX(0,IF(Parameter!$B$20="Jahresanfang 2025 + Export",BG1127+BF1127,BF1127))</f>
        <v/>
      </c>
      <c r="H1127" s="55">
        <f>G1127*F1127</f>
        <v/>
      </c>
      <c r="I1127" s="55">
        <f>BI1127*Parameter!$B$18</f>
        <v/>
      </c>
      <c r="J1127" s="56" t="n">
        <v>11.5</v>
      </c>
      <c r="K1127" s="57" t="n">
        <v>0.6086956521739131</v>
      </c>
      <c r="L1127" s="55" t="n">
        <v>0</v>
      </c>
      <c r="M1127" s="55" t="n">
        <v>5</v>
      </c>
      <c r="N1127" s="58" t="n">
        <v>35</v>
      </c>
      <c r="O1127" s="53" t="inlineStr">
        <is>
          <t>S32</t>
        </is>
      </c>
      <c r="P1127" s="55" t="n">
        <v>12</v>
      </c>
      <c r="Q1127" s="59">
        <f>IF(BO1127=1,0,IFERROR(VLOOKUP(BM1127,'Gebinde-Kategorie'!$A$5:$G$45,6,0)+0,0))</f>
        <v/>
      </c>
      <c r="R1127" s="60" t="n"/>
      <c r="S1127" s="61" t="n"/>
      <c r="T1127" s="61" t="n"/>
      <c r="U1127" s="53">
        <f>IF(A1127="","",IF(IFERROR(VLOOKUP(D1127,Parameter!$A$35:$C$64,2,0),"Nein")="2+3",IF(ISNUMBER(SEARCH("grosser Artikel",BJ1127)),2,IFERROR(VLOOKUP(BM1127,Parameter!$F$35:$G$64,2,0),2)),IF(OR(IFERROR(VLOOKUP(D1127,Parameter!$A$35:$C$64,2,0),"Nein")="Nein",IFERROR(VLOOKUP(D1127,Parameter!$A$35:$C$64,2,0),"Nein")=""),"-",VLOOKUP(D1127,Parameter!$A$35:$C$64,2,0))))</f>
        <v/>
      </c>
      <c r="V1127" s="61" t="n"/>
      <c r="W1127" s="62" t="n"/>
      <c r="X1127" s="55">
        <f>AM1127</f>
        <v/>
      </c>
      <c r="Y1127" s="55">
        <f>MAX(AM1127,G1127)</f>
        <v/>
      </c>
      <c r="Z1127" s="63" t="n"/>
      <c r="AA1127" s="55">
        <f>IF(LEFT(Cockpit!$C$5,1)="A",G1127,IF(BT1127=1,BU1127,IF(LEFT(Cockpit!$C$5,1)="B",AE1127,MAX(AE1127,G1127))))</f>
        <v/>
      </c>
      <c r="AB1127" s="55">
        <f>IF(BO1127=1,0,ROUNDUP(AA1127/BN1127,0))</f>
        <v/>
      </c>
      <c r="AC1127" s="64">
        <f>IF(BO1127=1,IF(AA1127&lt;=0,0,BP1127*MAX(1,IF(G1127&gt;0,AA1127/G1127,1))),AB1127*Q1127)</f>
        <v/>
      </c>
      <c r="AD1127" s="55">
        <f>AA1127*F1127</f>
        <v/>
      </c>
      <c r="AE1127" s="55">
        <f>ROUNDUP(MAX(I1127/IF(BS1127&gt;0,BS1127,MAX(0.1,N(Cockpit!$C$6))),BV1127)/BN1127,0)*BN1127</f>
        <v/>
      </c>
      <c r="AF1127" s="56">
        <f>IF(AC1127&gt;0,I1127/AC1127,-1)</f>
        <v/>
      </c>
      <c r="AG1127" s="56">
        <f>IF(AND(OR(BR1127="L1",BR1127="L23"),AC1127&gt;0),SUMIFS($AC$7:$AC$1570,$BR$7:$BR$1570,BR1127,$AF$7:$AF$1570,"&gt;"&amp;AF1127)+SUMIFS($AC$7:$AC$1570,$BR$7:$BR$1570,BR1127,$AF$7:$AF$1570,AF1127,$BL$7:$BL$1570,"&lt;="&amp;BL1127),"")</f>
        <v/>
      </c>
      <c r="AH1127" s="65">
        <f>IF(AG1127="",0,MAX(0,MIN(1,(IF(BR1127="L1",Parameter!$K$5,Parameter!$K$6+Parameter!$K$7)-(AG1127-AC1127))/AC1127)))</f>
        <v/>
      </c>
      <c r="AI1127" s="55">
        <f>IF(LEFT(Cockpit!$I$5,1)="A",G1127,IF(BT1127=1,BU1127,IF(LEFT(Cockpit!$I$5,1)="B",AM1127,MAX(AM1127,G1127))))</f>
        <v/>
      </c>
      <c r="AJ1127" s="55">
        <f>IF(BO1127=1,0,ROUNDUP(AI1127/BN1127,0))</f>
        <v/>
      </c>
      <c r="AK1127" s="64">
        <f>IF(BO1127=1,IF(AI1127&lt;=0,0,BP1127*MAX(1,IF(G1127&gt;0,AI1127/G1127,1))),AJ1127*Q1127)</f>
        <v/>
      </c>
      <c r="AL1127" s="55">
        <f>AI1127*F1127</f>
        <v/>
      </c>
      <c r="AM1127" s="55">
        <f>ROUNDUP(MAX(I1127/IF(BS1127&gt;0,BS1127,MAX(0.1,N(Cockpit!$I$6))),BV1127)/BN1127,0)*BN1127</f>
        <v/>
      </c>
      <c r="AN1127" s="56">
        <f>IF(AK1127&gt;0,I1127/AK1127,-1)</f>
        <v/>
      </c>
      <c r="AO1127" s="56">
        <f>IF(AND(OR(BR1127="L1",BR1127="L23"),AK1127&gt;0),SUMIFS($AK$7:$AK$1570,$BR$7:$BR$1570,BR1127,$AN$7:$AN$1570,"&gt;"&amp;AN1127)+SUMIFS($AK$7:$AK$1570,$BR$7:$BR$1570,BR1127,$AN$7:$AN$1570,AN1127,$BL$7:$BL$1570,"&lt;="&amp;BL1127),"")</f>
        <v/>
      </c>
      <c r="AP1127" s="65">
        <f>IF(AO1127="",0,MAX(0,MIN(1,(IF(BR1127="L1",Parameter!$K$5,Parameter!$K$6+Parameter!$K$7)-(AO1127-AK1127))/AK1127)))</f>
        <v/>
      </c>
      <c r="AQ1127" s="55">
        <f>IF(LEFT(Cockpit!$O$5,1)="A",G1127,IF(BT1127=1,BU1127,IF(LEFT(Cockpit!$O$5,1)="B",AU1127,MAX(AU1127,G1127))))</f>
        <v/>
      </c>
      <c r="AR1127" s="55">
        <f>IF(BO1127=1,0,ROUNDUP(AQ1127/BN1127,0))</f>
        <v/>
      </c>
      <c r="AS1127" s="64">
        <f>IF(BO1127=1,IF(AQ1127&lt;=0,0,BP1127*MAX(1,IF(G1127&gt;0,AQ1127/G1127,1))),AR1127*Q1127)</f>
        <v/>
      </c>
      <c r="AT1127" s="55">
        <f>AQ1127*F1127</f>
        <v/>
      </c>
      <c r="AU1127" s="55">
        <f>ROUNDUP(MAX(I1127/IF(BS1127&gt;0,BS1127,MAX(0.1,N(Cockpit!$O$6))),BV1127)/BN1127,0)*BN1127</f>
        <v/>
      </c>
      <c r="AV1127" s="56">
        <f>IF(AS1127&gt;0,I1127/AS1127,-1)</f>
        <v/>
      </c>
      <c r="AW1127" s="56">
        <f>IF(AND(OR(BR1127="L1",BR1127="L23"),AS1127&gt;0),SUMIFS($AS$7:$AS$1570,$BR$7:$BR$1570,BR1127,$AV$7:$AV$1570,"&gt;"&amp;AV1127)+SUMIFS($AS$7:$AS$1570,$BR$7:$BR$1570,BR1127,$AV$7:$AV$1570,AV1127,$BL$7:$BL$1570,"&lt;="&amp;BL1127),"")</f>
        <v/>
      </c>
      <c r="AX1127" s="65">
        <f>IF(AW1127="",0,MAX(0,MIN(1,(IF(BR1127="L1",Parameter!$K$5,Parameter!$K$6+Parameter!$K$7)-(AW1127-AS1127))/AS1127)))</f>
        <v/>
      </c>
      <c r="AY1127" s="53">
        <f>IF(AC1127&lt;=0,"",IF(BR1127="Aussen","Aussenlager",IF(BR1127="-","Nicht im Lift",IF(AH1127&gt;=1,"Lift",IF(AH1127&lt;=0,"Aussenlager","teilweise")))))</f>
        <v/>
      </c>
      <c r="AZ1127" s="53">
        <f>IF(AK1127&lt;=0,"",IF(BR1127="Aussen","Aussenlager",IF(BR1127="-","Nicht im Lift",IF(AP1127&gt;=1,"Lift",IF(AP1127&lt;=0,"Aussenlager","teilweise")))))</f>
        <v/>
      </c>
      <c r="BA1127" s="53">
        <f>IF(AS1127&lt;=0,"",IF(BR1127="Aussen","Aussenlager",IF(BR1127="-","Nicht im Lift",IF(AX1127&gt;=1,"Lift",IF(AX1127&lt;=0,"Aussenlager","teilweise")))))</f>
        <v/>
      </c>
      <c r="BB1127" s="53">
        <f>IF(A1127="","",IF(BK1127=1,"Neu; ","")&amp;IF(AND(BK1127=0,BF1127&lt;0),"negativer Bestand (Export "&amp;BF1127&amp;"); ","")&amp;IF(I1127&lt;=0,"Kein Verbrauch; ","")&amp;IF(BO1127=1,"Lose – Fläche geschätzt; ","")&amp;IF(G1127&gt;AM1127,"Überbestand "&amp;ROUND(G1127-AM1127,0)&amp;" Stk / CHF "&amp;ROUND((G1127-AM1127)*F1127,0)&amp;"; ","")&amp;IF(AND(BT1127=1,BU1127&lt;BV1127),"MAX &lt; MB+LG; ","")&amp;IF(AND(BZ1127&gt;0,BY1127*10&gt;BZ1127),"zu hoch für Tablar; ","")&amp;IF(AND(BK1127=0,OR(BT1127=1,V1127&lt;&gt;"",S1127&lt;&gt;"",T1127&lt;&gt;"",W1127&lt;&gt;"")),"manuell übersteuert; ","")&amp;IF(AND(BO1127=0,Q1127=0),"Gebinde unbekannt; ","")&amp;IF(AND(BO1127=0,N(T1127)&lt;=0,N(P1127)&lt;=0),"Menge pro Gebinde fehlt (Ist = 1 Gebinde); ","")&amp;BJ1127)</f>
        <v/>
      </c>
      <c r="BC1127" s="53" t="n"/>
      <c r="BD1127" s="53" t="n"/>
      <c r="BE1127" s="61" t="n"/>
      <c r="BF1127" s="55" t="n">
        <v>-4</v>
      </c>
      <c r="BG1127" s="55" t="n">
        <v>10</v>
      </c>
      <c r="BH1127" s="54" t="n">
        <v>-249.8200000000001</v>
      </c>
      <c r="BI1127" s="55" t="n">
        <v>7</v>
      </c>
      <c r="BJ1127" s="53" t="inlineStr"/>
      <c r="BK1127" s="58" t="n">
        <v>0</v>
      </c>
      <c r="BL1127" s="58" t="n">
        <v>1127</v>
      </c>
      <c r="BM1127" s="53">
        <f>IF(S1127&lt;&gt;"",UPPER(TRIM(S1127)),IF(O1127="","LOSE",O1127))</f>
        <v/>
      </c>
      <c r="BN1127" s="55">
        <f>IF(BM1127="LOSE",1,IF(N(T1127)&gt;0,T1127,IF(N(P1127)&gt;0,P1127,MAX(1,G1127))))</f>
        <v/>
      </c>
      <c r="BO1127" s="58">
        <f>IF(BM1127="LOSE",1,0)</f>
        <v/>
      </c>
      <c r="BP1127" s="64">
        <f>IF(BO1127=0,0,IF(N(R1127)&gt;0,R1127,IFERROR(VLOOKUP(D1127,Parameter!$A$35:$C$64,3,0)+0,0)))</f>
        <v/>
      </c>
      <c r="BQ1127" s="53">
        <f>IF(V1127&lt;&gt;"",V1127,U1127)</f>
        <v/>
      </c>
      <c r="BR1127" s="53">
        <f>IF(BQ1127=1,"L1",IF(OR(BQ1127=2,BQ1127=3),"L23",IF(BQ1127="Aussen","Aussen","-")))</f>
        <v/>
      </c>
      <c r="BS1127" s="66">
        <f>IF(N(W1127)&gt;0,W1127,0)</f>
        <v/>
      </c>
      <c r="BT1127" s="58">
        <f>IF(ISNUMBER(Z1127),1,0)</f>
        <v/>
      </c>
      <c r="BU1127" s="55">
        <f>N(Z1127)</f>
        <v/>
      </c>
      <c r="BV1127" s="55">
        <f>N(L1127)+N(M1127)</f>
        <v/>
      </c>
      <c r="BW1127" s="55">
        <f>ROUNDUP(G1127/BN1127,0)</f>
        <v/>
      </c>
      <c r="BX1127" s="55">
        <f>ROUNDUP(BU1127/BN1127,0)</f>
        <v/>
      </c>
      <c r="BY1127" s="58">
        <f>IF(BO1127=1,0,IFERROR(VLOOKUP(BM1127,'Gebinde-Kategorie'!$A$5:$G$45,5,0)+0,0))</f>
        <v/>
      </c>
      <c r="BZ1127" s="58">
        <f>IFERROR(IF(OR(BQ1127=1,BQ1127=2,BQ1127=3),N(INDEX(Parameter!$I$5:$I$7,BQ1127)),0),0)</f>
        <v/>
      </c>
    </row>
    <row r="1128">
      <c r="A1128" s="53" t="inlineStr">
        <is>
          <t>100336</t>
        </is>
      </c>
      <c r="B1128" s="53" t="inlineStr">
        <is>
          <t>Drucktransmitter</t>
        </is>
      </c>
      <c r="C1128" s="53" t="inlineStr">
        <is>
          <t>F</t>
        </is>
      </c>
      <c r="D1128" s="53" t="inlineStr">
        <is>
          <t>KTL</t>
        </is>
      </c>
      <c r="E1128" s="53" t="inlineStr">
        <is>
          <t>C</t>
        </is>
      </c>
      <c r="F1128" s="54" t="n">
        <v>63.5</v>
      </c>
      <c r="G1128" s="55">
        <f>MAX(0,IF(Parameter!$B$20="Jahresanfang 2025 + Export",BG1128+BF1128,BF1128))</f>
        <v/>
      </c>
      <c r="H1128" s="55">
        <f>G1128*F1128</f>
        <v/>
      </c>
      <c r="I1128" s="55">
        <f>BI1128*Parameter!$B$18</f>
        <v/>
      </c>
      <c r="J1128" s="56" t="n">
        <v>46</v>
      </c>
      <c r="K1128" s="57" t="n">
        <v>0</v>
      </c>
      <c r="L1128" s="55" t="n">
        <v>0</v>
      </c>
      <c r="M1128" s="55" t="n">
        <v>1</v>
      </c>
      <c r="N1128" s="58" t="n">
        <v>70</v>
      </c>
      <c r="O1128" s="53" t="inlineStr">
        <is>
          <t>S52</t>
        </is>
      </c>
      <c r="P1128" s="55" t="n">
        <v>45</v>
      </c>
      <c r="Q1128" s="59">
        <f>IF(BO1128=1,0,IFERROR(VLOOKUP(BM1128,'Gebinde-Kategorie'!$A$5:$G$45,6,0)+0,0))</f>
        <v/>
      </c>
      <c r="R1128" s="60" t="n"/>
      <c r="S1128" s="61" t="n"/>
      <c r="T1128" s="61" t="n"/>
      <c r="U1128" s="53">
        <f>IF(A1128="","",IF(IFERROR(VLOOKUP(D1128,Parameter!$A$35:$C$64,2,0),"Nein")="2+3",IF(ISNUMBER(SEARCH("grosser Artikel",BJ1128)),2,IFERROR(VLOOKUP(BM1128,Parameter!$F$35:$G$64,2,0),2)),IF(OR(IFERROR(VLOOKUP(D1128,Parameter!$A$35:$C$64,2,0),"Nein")="Nein",IFERROR(VLOOKUP(D1128,Parameter!$A$35:$C$64,2,0),"Nein")=""),"-",VLOOKUP(D1128,Parameter!$A$35:$C$64,2,0))))</f>
        <v/>
      </c>
      <c r="V1128" s="61" t="n"/>
      <c r="W1128" s="62" t="n"/>
      <c r="X1128" s="55">
        <f>AM1128</f>
        <v/>
      </c>
      <c r="Y1128" s="55">
        <f>MAX(AM1128,G1128)</f>
        <v/>
      </c>
      <c r="Z1128" s="63" t="n"/>
      <c r="AA1128" s="55">
        <f>IF(LEFT(Cockpit!$C$5,1)="A",G1128,IF(BT1128=1,BU1128,IF(LEFT(Cockpit!$C$5,1)="B",AE1128,MAX(AE1128,G1128))))</f>
        <v/>
      </c>
      <c r="AB1128" s="55">
        <f>IF(BO1128=1,0,ROUNDUP(AA1128/BN1128,0))</f>
        <v/>
      </c>
      <c r="AC1128" s="64">
        <f>IF(BO1128=1,IF(AA1128&lt;=0,0,BP1128*MAX(1,IF(G1128&gt;0,AA1128/G1128,1))),AB1128*Q1128)</f>
        <v/>
      </c>
      <c r="AD1128" s="55">
        <f>AA1128*F1128</f>
        <v/>
      </c>
      <c r="AE1128" s="55">
        <f>ROUNDUP(MAX(I1128/IF(BS1128&gt;0,BS1128,MAX(0.1,N(Cockpit!$C$6))),BV1128)/BN1128,0)*BN1128</f>
        <v/>
      </c>
      <c r="AF1128" s="56">
        <f>IF(AC1128&gt;0,I1128/AC1128,-1)</f>
        <v/>
      </c>
      <c r="AG1128" s="56">
        <f>IF(AND(OR(BR1128="L1",BR1128="L23"),AC1128&gt;0),SUMIFS($AC$7:$AC$1570,$BR$7:$BR$1570,BR1128,$AF$7:$AF$1570,"&gt;"&amp;AF1128)+SUMIFS($AC$7:$AC$1570,$BR$7:$BR$1570,BR1128,$AF$7:$AF$1570,AF1128,$BL$7:$BL$1570,"&lt;="&amp;BL1128),"")</f>
        <v/>
      </c>
      <c r="AH1128" s="65">
        <f>IF(AG1128="",0,MAX(0,MIN(1,(IF(BR1128="L1",Parameter!$K$5,Parameter!$K$6+Parameter!$K$7)-(AG1128-AC1128))/AC1128)))</f>
        <v/>
      </c>
      <c r="AI1128" s="55">
        <f>IF(LEFT(Cockpit!$I$5,1)="A",G1128,IF(BT1128=1,BU1128,IF(LEFT(Cockpit!$I$5,1)="B",AM1128,MAX(AM1128,G1128))))</f>
        <v/>
      </c>
      <c r="AJ1128" s="55">
        <f>IF(BO1128=1,0,ROUNDUP(AI1128/BN1128,0))</f>
        <v/>
      </c>
      <c r="AK1128" s="64">
        <f>IF(BO1128=1,IF(AI1128&lt;=0,0,BP1128*MAX(1,IF(G1128&gt;0,AI1128/G1128,1))),AJ1128*Q1128)</f>
        <v/>
      </c>
      <c r="AL1128" s="55">
        <f>AI1128*F1128</f>
        <v/>
      </c>
      <c r="AM1128" s="55">
        <f>ROUNDUP(MAX(I1128/IF(BS1128&gt;0,BS1128,MAX(0.1,N(Cockpit!$I$6))),BV1128)/BN1128,0)*BN1128</f>
        <v/>
      </c>
      <c r="AN1128" s="56">
        <f>IF(AK1128&gt;0,I1128/AK1128,-1)</f>
        <v/>
      </c>
      <c r="AO1128" s="56">
        <f>IF(AND(OR(BR1128="L1",BR1128="L23"),AK1128&gt;0),SUMIFS($AK$7:$AK$1570,$BR$7:$BR$1570,BR1128,$AN$7:$AN$1570,"&gt;"&amp;AN1128)+SUMIFS($AK$7:$AK$1570,$BR$7:$BR$1570,BR1128,$AN$7:$AN$1570,AN1128,$BL$7:$BL$1570,"&lt;="&amp;BL1128),"")</f>
        <v/>
      </c>
      <c r="AP1128" s="65">
        <f>IF(AO1128="",0,MAX(0,MIN(1,(IF(BR1128="L1",Parameter!$K$5,Parameter!$K$6+Parameter!$K$7)-(AO1128-AK1128))/AK1128)))</f>
        <v/>
      </c>
      <c r="AQ1128" s="55">
        <f>IF(LEFT(Cockpit!$O$5,1)="A",G1128,IF(BT1128=1,BU1128,IF(LEFT(Cockpit!$O$5,1)="B",AU1128,MAX(AU1128,G1128))))</f>
        <v/>
      </c>
      <c r="AR1128" s="55">
        <f>IF(BO1128=1,0,ROUNDUP(AQ1128/BN1128,0))</f>
        <v/>
      </c>
      <c r="AS1128" s="64">
        <f>IF(BO1128=1,IF(AQ1128&lt;=0,0,BP1128*MAX(1,IF(G1128&gt;0,AQ1128/G1128,1))),AR1128*Q1128)</f>
        <v/>
      </c>
      <c r="AT1128" s="55">
        <f>AQ1128*F1128</f>
        <v/>
      </c>
      <c r="AU1128" s="55">
        <f>ROUNDUP(MAX(I1128/IF(BS1128&gt;0,BS1128,MAX(0.1,N(Cockpit!$O$6))),BV1128)/BN1128,0)*BN1128</f>
        <v/>
      </c>
      <c r="AV1128" s="56">
        <f>IF(AS1128&gt;0,I1128/AS1128,-1)</f>
        <v/>
      </c>
      <c r="AW1128" s="56">
        <f>IF(AND(OR(BR1128="L1",BR1128="L23"),AS1128&gt;0),SUMIFS($AS$7:$AS$1570,$BR$7:$BR$1570,BR1128,$AV$7:$AV$1570,"&gt;"&amp;AV1128)+SUMIFS($AS$7:$AS$1570,$BR$7:$BR$1570,BR1128,$AV$7:$AV$1570,AV1128,$BL$7:$BL$1570,"&lt;="&amp;BL1128),"")</f>
        <v/>
      </c>
      <c r="AX1128" s="65">
        <f>IF(AW1128="",0,MAX(0,MIN(1,(IF(BR1128="L1",Parameter!$K$5,Parameter!$K$6+Parameter!$K$7)-(AW1128-AS1128))/AS1128)))</f>
        <v/>
      </c>
      <c r="AY1128" s="53">
        <f>IF(AC1128&lt;=0,"",IF(BR1128="Aussen","Aussenlager",IF(BR1128="-","Nicht im Lift",IF(AH1128&gt;=1,"Lift",IF(AH1128&lt;=0,"Aussenlager","teilweise")))))</f>
        <v/>
      </c>
      <c r="AZ1128" s="53">
        <f>IF(AK1128&lt;=0,"",IF(BR1128="Aussen","Aussenlager",IF(BR1128="-","Nicht im Lift",IF(AP1128&gt;=1,"Lift",IF(AP1128&lt;=0,"Aussenlager","teilweise")))))</f>
        <v/>
      </c>
      <c r="BA1128" s="53">
        <f>IF(AS1128&lt;=0,"",IF(BR1128="Aussen","Aussenlager",IF(BR1128="-","Nicht im Lift",IF(AX1128&gt;=1,"Lift",IF(AX1128&lt;=0,"Aussenlager","teilweise")))))</f>
        <v/>
      </c>
      <c r="BB1128" s="53">
        <f>IF(A1128="","",IF(BK1128=1,"Neu; ","")&amp;IF(AND(BK1128=0,BF1128&lt;0),"negativer Bestand (Export "&amp;BF1128&amp;"); ","")&amp;IF(I1128&lt;=0,"Kein Verbrauch; ","")&amp;IF(BO1128=1,"Lose – Fläche geschätzt; ","")&amp;IF(G1128&gt;AM1128,"Überbestand "&amp;ROUND(G1128-AM1128,0)&amp;" Stk / CHF "&amp;ROUND((G1128-AM1128)*F1128,0)&amp;"; ","")&amp;IF(AND(BT1128=1,BU1128&lt;BV1128),"MAX &lt; MB+LG; ","")&amp;IF(AND(BZ1128&gt;0,BY1128*10&gt;BZ1128),"zu hoch für Tablar; ","")&amp;IF(AND(BK1128=0,OR(BT1128=1,V1128&lt;&gt;"",S1128&lt;&gt;"",T1128&lt;&gt;"",W1128&lt;&gt;"")),"manuell übersteuert; ","")&amp;IF(AND(BO1128=0,Q1128=0),"Gebinde unbekannt; ","")&amp;IF(AND(BO1128=0,N(T1128)&lt;=0,N(P1128)&lt;=0),"Menge pro Gebinde fehlt (Ist = 1 Gebinde); ","")&amp;BJ1128)</f>
        <v/>
      </c>
      <c r="BC1128" s="53" t="n"/>
      <c r="BD1128" s="53" t="n"/>
      <c r="BE1128" s="61" t="n"/>
      <c r="BF1128" s="55" t="n">
        <v>-4</v>
      </c>
      <c r="BG1128" s="55" t="n">
        <v>46</v>
      </c>
      <c r="BH1128" s="54" t="n">
        <v>-254</v>
      </c>
      <c r="BI1128" s="55" t="n">
        <v>0</v>
      </c>
      <c r="BJ1128" s="53" t="inlineStr"/>
      <c r="BK1128" s="58" t="n">
        <v>0</v>
      </c>
      <c r="BL1128" s="58" t="n">
        <v>1128</v>
      </c>
      <c r="BM1128" s="53">
        <f>IF(S1128&lt;&gt;"",UPPER(TRIM(S1128)),IF(O1128="","LOSE",O1128))</f>
        <v/>
      </c>
      <c r="BN1128" s="55">
        <f>IF(BM1128="LOSE",1,IF(N(T1128)&gt;0,T1128,IF(N(P1128)&gt;0,P1128,MAX(1,G1128))))</f>
        <v/>
      </c>
      <c r="BO1128" s="58">
        <f>IF(BM1128="LOSE",1,0)</f>
        <v/>
      </c>
      <c r="BP1128" s="64">
        <f>IF(BO1128=0,0,IF(N(R1128)&gt;0,R1128,IFERROR(VLOOKUP(D1128,Parameter!$A$35:$C$64,3,0)+0,0)))</f>
        <v/>
      </c>
      <c r="BQ1128" s="53">
        <f>IF(V1128&lt;&gt;"",V1128,U1128)</f>
        <v/>
      </c>
      <c r="BR1128" s="53">
        <f>IF(BQ1128=1,"L1",IF(OR(BQ1128=2,BQ1128=3),"L23",IF(BQ1128="Aussen","Aussen","-")))</f>
        <v/>
      </c>
      <c r="BS1128" s="66">
        <f>IF(N(W1128)&gt;0,W1128,0)</f>
        <v/>
      </c>
      <c r="BT1128" s="58">
        <f>IF(ISNUMBER(Z1128),1,0)</f>
        <v/>
      </c>
      <c r="BU1128" s="55">
        <f>N(Z1128)</f>
        <v/>
      </c>
      <c r="BV1128" s="55">
        <f>N(L1128)+N(M1128)</f>
        <v/>
      </c>
      <c r="BW1128" s="55">
        <f>ROUNDUP(G1128/BN1128,0)</f>
        <v/>
      </c>
      <c r="BX1128" s="55">
        <f>ROUNDUP(BU1128/BN1128,0)</f>
        <v/>
      </c>
      <c r="BY1128" s="58">
        <f>IF(BO1128=1,0,IFERROR(VLOOKUP(BM1128,'Gebinde-Kategorie'!$A$5:$G$45,5,0)+0,0))</f>
        <v/>
      </c>
      <c r="BZ1128" s="58">
        <f>IFERROR(IF(OR(BQ1128=1,BQ1128=2,BQ1128=3),N(INDEX(Parameter!$I$5:$I$7,BQ1128)),0),0)</f>
        <v/>
      </c>
    </row>
    <row r="1129">
      <c r="A1129" s="53" t="inlineStr">
        <is>
          <t>109762</t>
        </is>
      </c>
      <c r="B1129" s="53" t="inlineStr">
        <is>
          <t>Koaleszenz-Filerelement</t>
        </is>
      </c>
      <c r="C1129" s="53" t="inlineStr">
        <is>
          <t>G</t>
        </is>
      </c>
      <c r="D1129" s="53" t="inlineStr">
        <is>
          <t>KTL</t>
        </is>
      </c>
      <c r="E1129" s="53" t="inlineStr">
        <is>
          <t>C</t>
        </is>
      </c>
      <c r="F1129" s="54" t="n">
        <v>14.14</v>
      </c>
      <c r="G1129" s="55">
        <f>MAX(0,IF(Parameter!$B$20="Jahresanfang 2025 + Export",BG1129+BF1129,BF1129))</f>
        <v/>
      </c>
      <c r="H1129" s="55">
        <f>G1129*F1129</f>
        <v/>
      </c>
      <c r="I1129" s="55">
        <f>BI1129*Parameter!$B$18</f>
        <v/>
      </c>
      <c r="J1129" s="56" t="n">
        <v>18</v>
      </c>
      <c r="K1129" s="57" t="n">
        <v>1</v>
      </c>
      <c r="L1129" s="55" t="n">
        <v>2</v>
      </c>
      <c r="M1129" s="55" t="n">
        <v>20</v>
      </c>
      <c r="N1129" s="58" t="n">
        <v>56</v>
      </c>
      <c r="O1129" s="53" t="inlineStr">
        <is>
          <t>LOSE</t>
        </is>
      </c>
      <c r="P1129" s="55" t="n"/>
      <c r="Q1129" s="59">
        <f>IF(BO1129=1,0,IFERROR(VLOOKUP(BM1129,'Gebinde-Kategorie'!$A$5:$G$45,6,0)+0,0))</f>
        <v/>
      </c>
      <c r="R1129" s="60" t="n"/>
      <c r="S1129" s="61" t="n"/>
      <c r="T1129" s="61" t="n"/>
      <c r="U1129" s="53">
        <f>IF(A1129="","",IF(IFERROR(VLOOKUP(D1129,Parameter!$A$35:$C$64,2,0),"Nein")="2+3",IF(ISNUMBER(SEARCH("grosser Artikel",BJ1129)),2,IFERROR(VLOOKUP(BM1129,Parameter!$F$35:$G$64,2,0),2)),IF(OR(IFERROR(VLOOKUP(D1129,Parameter!$A$35:$C$64,2,0),"Nein")="Nein",IFERROR(VLOOKUP(D1129,Parameter!$A$35:$C$64,2,0),"Nein")=""),"-",VLOOKUP(D1129,Parameter!$A$35:$C$64,2,0))))</f>
        <v/>
      </c>
      <c r="V1129" s="61" t="n"/>
      <c r="W1129" s="62" t="n"/>
      <c r="X1129" s="55">
        <f>AM1129</f>
        <v/>
      </c>
      <c r="Y1129" s="55">
        <f>MAX(AM1129,G1129)</f>
        <v/>
      </c>
      <c r="Z1129" s="63" t="n"/>
      <c r="AA1129" s="55">
        <f>IF(LEFT(Cockpit!$C$5,1)="A",G1129,IF(BT1129=1,BU1129,IF(LEFT(Cockpit!$C$5,1)="B",AE1129,MAX(AE1129,G1129))))</f>
        <v/>
      </c>
      <c r="AB1129" s="55">
        <f>IF(BO1129=1,0,ROUNDUP(AA1129/BN1129,0))</f>
        <v/>
      </c>
      <c r="AC1129" s="64">
        <f>IF(BO1129=1,IF(AA1129&lt;=0,0,BP1129*MAX(1,IF(G1129&gt;0,AA1129/G1129,1))),AB1129*Q1129)</f>
        <v/>
      </c>
      <c r="AD1129" s="55">
        <f>AA1129*F1129</f>
        <v/>
      </c>
      <c r="AE1129" s="55">
        <f>ROUNDUP(MAX(I1129/IF(BS1129&gt;0,BS1129,MAX(0.1,N(Cockpit!$C$6))),BV1129)/BN1129,0)*BN1129</f>
        <v/>
      </c>
      <c r="AF1129" s="56">
        <f>IF(AC1129&gt;0,I1129/AC1129,-1)</f>
        <v/>
      </c>
      <c r="AG1129" s="56">
        <f>IF(AND(OR(BR1129="L1",BR1129="L23"),AC1129&gt;0),SUMIFS($AC$7:$AC$1570,$BR$7:$BR$1570,BR1129,$AF$7:$AF$1570,"&gt;"&amp;AF1129)+SUMIFS($AC$7:$AC$1570,$BR$7:$BR$1570,BR1129,$AF$7:$AF$1570,AF1129,$BL$7:$BL$1570,"&lt;="&amp;BL1129),"")</f>
        <v/>
      </c>
      <c r="AH1129" s="65">
        <f>IF(AG1129="",0,MAX(0,MIN(1,(IF(BR1129="L1",Parameter!$K$5,Parameter!$K$6+Parameter!$K$7)-(AG1129-AC1129))/AC1129)))</f>
        <v/>
      </c>
      <c r="AI1129" s="55">
        <f>IF(LEFT(Cockpit!$I$5,1)="A",G1129,IF(BT1129=1,BU1129,IF(LEFT(Cockpit!$I$5,1)="B",AM1129,MAX(AM1129,G1129))))</f>
        <v/>
      </c>
      <c r="AJ1129" s="55">
        <f>IF(BO1129=1,0,ROUNDUP(AI1129/BN1129,0))</f>
        <v/>
      </c>
      <c r="AK1129" s="64">
        <f>IF(BO1129=1,IF(AI1129&lt;=0,0,BP1129*MAX(1,IF(G1129&gt;0,AI1129/G1129,1))),AJ1129*Q1129)</f>
        <v/>
      </c>
      <c r="AL1129" s="55">
        <f>AI1129*F1129</f>
        <v/>
      </c>
      <c r="AM1129" s="55">
        <f>ROUNDUP(MAX(I1129/IF(BS1129&gt;0,BS1129,MAX(0.1,N(Cockpit!$I$6))),BV1129)/BN1129,0)*BN1129</f>
        <v/>
      </c>
      <c r="AN1129" s="56">
        <f>IF(AK1129&gt;0,I1129/AK1129,-1)</f>
        <v/>
      </c>
      <c r="AO1129" s="56">
        <f>IF(AND(OR(BR1129="L1",BR1129="L23"),AK1129&gt;0),SUMIFS($AK$7:$AK$1570,$BR$7:$BR$1570,BR1129,$AN$7:$AN$1570,"&gt;"&amp;AN1129)+SUMIFS($AK$7:$AK$1570,$BR$7:$BR$1570,BR1129,$AN$7:$AN$1570,AN1129,$BL$7:$BL$1570,"&lt;="&amp;BL1129),"")</f>
        <v/>
      </c>
      <c r="AP1129" s="65">
        <f>IF(AO1129="",0,MAX(0,MIN(1,(IF(BR1129="L1",Parameter!$K$5,Parameter!$K$6+Parameter!$K$7)-(AO1129-AK1129))/AK1129)))</f>
        <v/>
      </c>
      <c r="AQ1129" s="55">
        <f>IF(LEFT(Cockpit!$O$5,1)="A",G1129,IF(BT1129=1,BU1129,IF(LEFT(Cockpit!$O$5,1)="B",AU1129,MAX(AU1129,G1129))))</f>
        <v/>
      </c>
      <c r="AR1129" s="55">
        <f>IF(BO1129=1,0,ROUNDUP(AQ1129/BN1129,0))</f>
        <v/>
      </c>
      <c r="AS1129" s="64">
        <f>IF(BO1129=1,IF(AQ1129&lt;=0,0,BP1129*MAX(1,IF(G1129&gt;0,AQ1129/G1129,1))),AR1129*Q1129)</f>
        <v/>
      </c>
      <c r="AT1129" s="55">
        <f>AQ1129*F1129</f>
        <v/>
      </c>
      <c r="AU1129" s="55">
        <f>ROUNDUP(MAX(I1129/IF(BS1129&gt;0,BS1129,MAX(0.1,N(Cockpit!$O$6))),BV1129)/BN1129,0)*BN1129</f>
        <v/>
      </c>
      <c r="AV1129" s="56">
        <f>IF(AS1129&gt;0,I1129/AS1129,-1)</f>
        <v/>
      </c>
      <c r="AW1129" s="56">
        <f>IF(AND(OR(BR1129="L1",BR1129="L23"),AS1129&gt;0),SUMIFS($AS$7:$AS$1570,$BR$7:$BR$1570,BR1129,$AV$7:$AV$1570,"&gt;"&amp;AV1129)+SUMIFS($AS$7:$AS$1570,$BR$7:$BR$1570,BR1129,$AV$7:$AV$1570,AV1129,$BL$7:$BL$1570,"&lt;="&amp;BL1129),"")</f>
        <v/>
      </c>
      <c r="AX1129" s="65">
        <f>IF(AW1129="",0,MAX(0,MIN(1,(IF(BR1129="L1",Parameter!$K$5,Parameter!$K$6+Parameter!$K$7)-(AW1129-AS1129))/AS1129)))</f>
        <v/>
      </c>
      <c r="AY1129" s="53">
        <f>IF(AC1129&lt;=0,"",IF(BR1129="Aussen","Aussenlager",IF(BR1129="-","Nicht im Lift",IF(AH1129&gt;=1,"Lift",IF(AH1129&lt;=0,"Aussenlager","teilweise")))))</f>
        <v/>
      </c>
      <c r="AZ1129" s="53">
        <f>IF(AK1129&lt;=0,"",IF(BR1129="Aussen","Aussenlager",IF(BR1129="-","Nicht im Lift",IF(AP1129&gt;=1,"Lift",IF(AP1129&lt;=0,"Aussenlager","teilweise")))))</f>
        <v/>
      </c>
      <c r="BA1129" s="53">
        <f>IF(AS1129&lt;=0,"",IF(BR1129="Aussen","Aussenlager",IF(BR1129="-","Nicht im Lift",IF(AX1129&gt;=1,"Lift",IF(AX1129&lt;=0,"Aussenlager","teilweise")))))</f>
        <v/>
      </c>
      <c r="BB1129" s="53">
        <f>IF(A1129="","",IF(BK1129=1,"Neu; ","")&amp;IF(AND(BK1129=0,BF1129&lt;0),"negativer Bestand (Export "&amp;BF1129&amp;"); ","")&amp;IF(I1129&lt;=0,"Kein Verbrauch; ","")&amp;IF(BO1129=1,"Lose – Fläche geschätzt; ","")&amp;IF(G1129&gt;AM1129,"Überbestand "&amp;ROUND(G1129-AM1129,0)&amp;" Stk / CHF "&amp;ROUND((G1129-AM1129)*F1129,0)&amp;"; ","")&amp;IF(AND(BT1129=1,BU1129&lt;BV1129),"MAX &lt; MB+LG; ","")&amp;IF(AND(BZ1129&gt;0,BY1129*10&gt;BZ1129),"zu hoch für Tablar; ","")&amp;IF(AND(BK1129=0,OR(BT1129=1,V1129&lt;&gt;"",S1129&lt;&gt;"",T1129&lt;&gt;"",W1129&lt;&gt;"")),"manuell übersteuert; ","")&amp;IF(AND(BO1129=0,Q1129=0),"Gebinde unbekannt; ","")&amp;IF(AND(BO1129=0,N(T1129)&lt;=0,N(P1129)&lt;=0),"Menge pro Gebinde fehlt (Ist = 1 Gebinde); ","")&amp;BJ1129)</f>
        <v/>
      </c>
      <c r="BC1129" s="53" t="n"/>
      <c r="BD1129" s="53" t="n"/>
      <c r="BE1129" s="61" t="n"/>
      <c r="BF1129" s="55" t="n">
        <v>-18</v>
      </c>
      <c r="BG1129" s="55" t="n">
        <v>36</v>
      </c>
      <c r="BH1129" s="54" t="n">
        <v>-254.52</v>
      </c>
      <c r="BI1129" s="55" t="n">
        <v>18</v>
      </c>
      <c r="BJ1129" s="53" t="inlineStr"/>
      <c r="BK1129" s="58" t="n">
        <v>0</v>
      </c>
      <c r="BL1129" s="58" t="n">
        <v>1129</v>
      </c>
      <c r="BM1129" s="53">
        <f>IF(S1129&lt;&gt;"",UPPER(TRIM(S1129)),IF(O1129="","LOSE",O1129))</f>
        <v/>
      </c>
      <c r="BN1129" s="55">
        <f>IF(BM1129="LOSE",1,IF(N(T1129)&gt;0,T1129,IF(N(P1129)&gt;0,P1129,MAX(1,G1129))))</f>
        <v/>
      </c>
      <c r="BO1129" s="58">
        <f>IF(BM1129="LOSE",1,0)</f>
        <v/>
      </c>
      <c r="BP1129" s="64">
        <f>IF(BO1129=0,0,IF(N(R1129)&gt;0,R1129,IFERROR(VLOOKUP(D1129,Parameter!$A$35:$C$64,3,0)+0,0)))</f>
        <v/>
      </c>
      <c r="BQ1129" s="53">
        <f>IF(V1129&lt;&gt;"",V1129,U1129)</f>
        <v/>
      </c>
      <c r="BR1129" s="53">
        <f>IF(BQ1129=1,"L1",IF(OR(BQ1129=2,BQ1129=3),"L23",IF(BQ1129="Aussen","Aussen","-")))</f>
        <v/>
      </c>
      <c r="BS1129" s="66">
        <f>IF(N(W1129)&gt;0,W1129,0)</f>
        <v/>
      </c>
      <c r="BT1129" s="58">
        <f>IF(ISNUMBER(Z1129),1,0)</f>
        <v/>
      </c>
      <c r="BU1129" s="55">
        <f>N(Z1129)</f>
        <v/>
      </c>
      <c r="BV1129" s="55">
        <f>N(L1129)+N(M1129)</f>
        <v/>
      </c>
      <c r="BW1129" s="55">
        <f>ROUNDUP(G1129/BN1129,0)</f>
        <v/>
      </c>
      <c r="BX1129" s="55">
        <f>ROUNDUP(BU1129/BN1129,0)</f>
        <v/>
      </c>
      <c r="BY1129" s="58">
        <f>IF(BO1129=1,0,IFERROR(VLOOKUP(BM1129,'Gebinde-Kategorie'!$A$5:$G$45,5,0)+0,0))</f>
        <v/>
      </c>
      <c r="BZ1129" s="58">
        <f>IFERROR(IF(OR(BQ1129=1,BQ1129=2,BQ1129=3),N(INDEX(Parameter!$I$5:$I$7,BQ1129)),0),0)</f>
        <v/>
      </c>
    </row>
    <row r="1130">
      <c r="A1130" s="53" t="inlineStr">
        <is>
          <t>109516</t>
        </is>
      </c>
      <c r="B1130" s="53" t="inlineStr">
        <is>
          <t>Kreuz Verschraubung</t>
        </is>
      </c>
      <c r="C1130" s="53" t="inlineStr">
        <is>
          <t>G</t>
        </is>
      </c>
      <c r="D1130" s="53" t="inlineStr">
        <is>
          <t>KTL</t>
        </is>
      </c>
      <c r="E1130" s="53" t="inlineStr">
        <is>
          <t>C</t>
        </is>
      </c>
      <c r="F1130" s="54" t="n">
        <v>31.9</v>
      </c>
      <c r="G1130" s="55">
        <f>MAX(0,IF(Parameter!$B$20="Jahresanfang 2025 + Export",BG1130+BF1130,BF1130))</f>
        <v/>
      </c>
      <c r="H1130" s="55">
        <f>G1130*F1130</f>
        <v/>
      </c>
      <c r="I1130" s="55">
        <f>BI1130*Parameter!$B$18</f>
        <v/>
      </c>
      <c r="J1130" s="56" t="n">
        <v>8</v>
      </c>
      <c r="K1130" s="57" t="n">
        <v>1</v>
      </c>
      <c r="L1130" s="55" t="n">
        <v>0</v>
      </c>
      <c r="M1130" s="55" t="n">
        <v>10</v>
      </c>
      <c r="N1130" s="58" t="n">
        <v>21</v>
      </c>
      <c r="O1130" s="53" t="inlineStr">
        <is>
          <t>LOSE</t>
        </is>
      </c>
      <c r="P1130" s="55" t="n"/>
      <c r="Q1130" s="59">
        <f>IF(BO1130=1,0,IFERROR(VLOOKUP(BM1130,'Gebinde-Kategorie'!$A$5:$G$45,6,0)+0,0))</f>
        <v/>
      </c>
      <c r="R1130" s="60" t="n"/>
      <c r="S1130" s="61" t="n"/>
      <c r="T1130" s="61" t="n"/>
      <c r="U1130" s="53">
        <f>IF(A1130="","",IF(IFERROR(VLOOKUP(D1130,Parameter!$A$35:$C$64,2,0),"Nein")="2+3",IF(ISNUMBER(SEARCH("grosser Artikel",BJ1130)),2,IFERROR(VLOOKUP(BM1130,Parameter!$F$35:$G$64,2,0),2)),IF(OR(IFERROR(VLOOKUP(D1130,Parameter!$A$35:$C$64,2,0),"Nein")="Nein",IFERROR(VLOOKUP(D1130,Parameter!$A$35:$C$64,2,0),"Nein")=""),"-",VLOOKUP(D1130,Parameter!$A$35:$C$64,2,0))))</f>
        <v/>
      </c>
      <c r="V1130" s="61" t="n"/>
      <c r="W1130" s="62" t="n"/>
      <c r="X1130" s="55">
        <f>AM1130</f>
        <v/>
      </c>
      <c r="Y1130" s="55">
        <f>MAX(AM1130,G1130)</f>
        <v/>
      </c>
      <c r="Z1130" s="63" t="n"/>
      <c r="AA1130" s="55">
        <f>IF(LEFT(Cockpit!$C$5,1)="A",G1130,IF(BT1130=1,BU1130,IF(LEFT(Cockpit!$C$5,1)="B",AE1130,MAX(AE1130,G1130))))</f>
        <v/>
      </c>
      <c r="AB1130" s="55">
        <f>IF(BO1130=1,0,ROUNDUP(AA1130/BN1130,0))</f>
        <v/>
      </c>
      <c r="AC1130" s="64">
        <f>IF(BO1130=1,IF(AA1130&lt;=0,0,BP1130*MAX(1,IF(G1130&gt;0,AA1130/G1130,1))),AB1130*Q1130)</f>
        <v/>
      </c>
      <c r="AD1130" s="55">
        <f>AA1130*F1130</f>
        <v/>
      </c>
      <c r="AE1130" s="55">
        <f>ROUNDUP(MAX(I1130/IF(BS1130&gt;0,BS1130,MAX(0.1,N(Cockpit!$C$6))),BV1130)/BN1130,0)*BN1130</f>
        <v/>
      </c>
      <c r="AF1130" s="56">
        <f>IF(AC1130&gt;0,I1130/AC1130,-1)</f>
        <v/>
      </c>
      <c r="AG1130" s="56">
        <f>IF(AND(OR(BR1130="L1",BR1130="L23"),AC1130&gt;0),SUMIFS($AC$7:$AC$1570,$BR$7:$BR$1570,BR1130,$AF$7:$AF$1570,"&gt;"&amp;AF1130)+SUMIFS($AC$7:$AC$1570,$BR$7:$BR$1570,BR1130,$AF$7:$AF$1570,AF1130,$BL$7:$BL$1570,"&lt;="&amp;BL1130),"")</f>
        <v/>
      </c>
      <c r="AH1130" s="65">
        <f>IF(AG1130="",0,MAX(0,MIN(1,(IF(BR1130="L1",Parameter!$K$5,Parameter!$K$6+Parameter!$K$7)-(AG1130-AC1130))/AC1130)))</f>
        <v/>
      </c>
      <c r="AI1130" s="55">
        <f>IF(LEFT(Cockpit!$I$5,1)="A",G1130,IF(BT1130=1,BU1130,IF(LEFT(Cockpit!$I$5,1)="B",AM1130,MAX(AM1130,G1130))))</f>
        <v/>
      </c>
      <c r="AJ1130" s="55">
        <f>IF(BO1130=1,0,ROUNDUP(AI1130/BN1130,0))</f>
        <v/>
      </c>
      <c r="AK1130" s="64">
        <f>IF(BO1130=1,IF(AI1130&lt;=0,0,BP1130*MAX(1,IF(G1130&gt;0,AI1130/G1130,1))),AJ1130*Q1130)</f>
        <v/>
      </c>
      <c r="AL1130" s="55">
        <f>AI1130*F1130</f>
        <v/>
      </c>
      <c r="AM1130" s="55">
        <f>ROUNDUP(MAX(I1130/IF(BS1130&gt;0,BS1130,MAX(0.1,N(Cockpit!$I$6))),BV1130)/BN1130,0)*BN1130</f>
        <v/>
      </c>
      <c r="AN1130" s="56">
        <f>IF(AK1130&gt;0,I1130/AK1130,-1)</f>
        <v/>
      </c>
      <c r="AO1130" s="56">
        <f>IF(AND(OR(BR1130="L1",BR1130="L23"),AK1130&gt;0),SUMIFS($AK$7:$AK$1570,$BR$7:$BR$1570,BR1130,$AN$7:$AN$1570,"&gt;"&amp;AN1130)+SUMIFS($AK$7:$AK$1570,$BR$7:$BR$1570,BR1130,$AN$7:$AN$1570,AN1130,$BL$7:$BL$1570,"&lt;="&amp;BL1130),"")</f>
        <v/>
      </c>
      <c r="AP1130" s="65">
        <f>IF(AO1130="",0,MAX(0,MIN(1,(IF(BR1130="L1",Parameter!$K$5,Parameter!$K$6+Parameter!$K$7)-(AO1130-AK1130))/AK1130)))</f>
        <v/>
      </c>
      <c r="AQ1130" s="55">
        <f>IF(LEFT(Cockpit!$O$5,1)="A",G1130,IF(BT1130=1,BU1130,IF(LEFT(Cockpit!$O$5,1)="B",AU1130,MAX(AU1130,G1130))))</f>
        <v/>
      </c>
      <c r="AR1130" s="55">
        <f>IF(BO1130=1,0,ROUNDUP(AQ1130/BN1130,0))</f>
        <v/>
      </c>
      <c r="AS1130" s="64">
        <f>IF(BO1130=1,IF(AQ1130&lt;=0,0,BP1130*MAX(1,IF(G1130&gt;0,AQ1130/G1130,1))),AR1130*Q1130)</f>
        <v/>
      </c>
      <c r="AT1130" s="55">
        <f>AQ1130*F1130</f>
        <v/>
      </c>
      <c r="AU1130" s="55">
        <f>ROUNDUP(MAX(I1130/IF(BS1130&gt;0,BS1130,MAX(0.1,N(Cockpit!$O$6))),BV1130)/BN1130,0)*BN1130</f>
        <v/>
      </c>
      <c r="AV1130" s="56">
        <f>IF(AS1130&gt;0,I1130/AS1130,-1)</f>
        <v/>
      </c>
      <c r="AW1130" s="56">
        <f>IF(AND(OR(BR1130="L1",BR1130="L23"),AS1130&gt;0),SUMIFS($AS$7:$AS$1570,$BR$7:$BR$1570,BR1130,$AV$7:$AV$1570,"&gt;"&amp;AV1130)+SUMIFS($AS$7:$AS$1570,$BR$7:$BR$1570,BR1130,$AV$7:$AV$1570,AV1130,$BL$7:$BL$1570,"&lt;="&amp;BL1130),"")</f>
        <v/>
      </c>
      <c r="AX1130" s="65">
        <f>IF(AW1130="",0,MAX(0,MIN(1,(IF(BR1130="L1",Parameter!$K$5,Parameter!$K$6+Parameter!$K$7)-(AW1130-AS1130))/AS1130)))</f>
        <v/>
      </c>
      <c r="AY1130" s="53">
        <f>IF(AC1130&lt;=0,"",IF(BR1130="Aussen","Aussenlager",IF(BR1130="-","Nicht im Lift",IF(AH1130&gt;=1,"Lift",IF(AH1130&lt;=0,"Aussenlager","teilweise")))))</f>
        <v/>
      </c>
      <c r="AZ1130" s="53">
        <f>IF(AK1130&lt;=0,"",IF(BR1130="Aussen","Aussenlager",IF(BR1130="-","Nicht im Lift",IF(AP1130&gt;=1,"Lift",IF(AP1130&lt;=0,"Aussenlager","teilweise")))))</f>
        <v/>
      </c>
      <c r="BA1130" s="53">
        <f>IF(AS1130&lt;=0,"",IF(BR1130="Aussen","Aussenlager",IF(BR1130="-","Nicht im Lift",IF(AX1130&gt;=1,"Lift",IF(AX1130&lt;=0,"Aussenlager","teilweise")))))</f>
        <v/>
      </c>
      <c r="BB1130" s="53">
        <f>IF(A1130="","",IF(BK1130=1,"Neu; ","")&amp;IF(AND(BK1130=0,BF1130&lt;0),"negativer Bestand (Export "&amp;BF1130&amp;"); ","")&amp;IF(I1130&lt;=0,"Kein Verbrauch; ","")&amp;IF(BO1130=1,"Lose – Fläche geschätzt; ","")&amp;IF(G1130&gt;AM1130,"Überbestand "&amp;ROUND(G1130-AM1130,0)&amp;" Stk / CHF "&amp;ROUND((G1130-AM1130)*F1130,0)&amp;"; ","")&amp;IF(AND(BT1130=1,BU1130&lt;BV1130),"MAX &lt; MB+LG; ","")&amp;IF(AND(BZ1130&gt;0,BY1130*10&gt;BZ1130),"zu hoch für Tablar; ","")&amp;IF(AND(BK1130=0,OR(BT1130=1,V1130&lt;&gt;"",S1130&lt;&gt;"",T1130&lt;&gt;"",W1130&lt;&gt;"")),"manuell übersteuert; ","")&amp;IF(AND(BO1130=0,Q1130=0),"Gebinde unbekannt; ","")&amp;IF(AND(BO1130=0,N(T1130)&lt;=0,N(P1130)&lt;=0),"Menge pro Gebinde fehlt (Ist = 1 Gebinde); ","")&amp;BJ1130)</f>
        <v/>
      </c>
      <c r="BC1130" s="53" t="n"/>
      <c r="BD1130" s="53" t="n"/>
      <c r="BE1130" s="61" t="n"/>
      <c r="BF1130" s="55" t="n">
        <v>-8</v>
      </c>
      <c r="BG1130" s="55" t="n">
        <v>16</v>
      </c>
      <c r="BH1130" s="54" t="n">
        <v>-255.2</v>
      </c>
      <c r="BI1130" s="55" t="n">
        <v>8</v>
      </c>
      <c r="BJ1130" s="53" t="inlineStr"/>
      <c r="BK1130" s="58" t="n">
        <v>0</v>
      </c>
      <c r="BL1130" s="58" t="n">
        <v>1130</v>
      </c>
      <c r="BM1130" s="53">
        <f>IF(S1130&lt;&gt;"",UPPER(TRIM(S1130)),IF(O1130="","LOSE",O1130))</f>
        <v/>
      </c>
      <c r="BN1130" s="55">
        <f>IF(BM1130="LOSE",1,IF(N(T1130)&gt;0,T1130,IF(N(P1130)&gt;0,P1130,MAX(1,G1130))))</f>
        <v/>
      </c>
      <c r="BO1130" s="58">
        <f>IF(BM1130="LOSE",1,0)</f>
        <v/>
      </c>
      <c r="BP1130" s="64">
        <f>IF(BO1130=0,0,IF(N(R1130)&gt;0,R1130,IFERROR(VLOOKUP(D1130,Parameter!$A$35:$C$64,3,0)+0,0)))</f>
        <v/>
      </c>
      <c r="BQ1130" s="53">
        <f>IF(V1130&lt;&gt;"",V1130,U1130)</f>
        <v/>
      </c>
      <c r="BR1130" s="53">
        <f>IF(BQ1130=1,"L1",IF(OR(BQ1130=2,BQ1130=3),"L23",IF(BQ1130="Aussen","Aussen","-")))</f>
        <v/>
      </c>
      <c r="BS1130" s="66">
        <f>IF(N(W1130)&gt;0,W1130,0)</f>
        <v/>
      </c>
      <c r="BT1130" s="58">
        <f>IF(ISNUMBER(Z1130),1,0)</f>
        <v/>
      </c>
      <c r="BU1130" s="55">
        <f>N(Z1130)</f>
        <v/>
      </c>
      <c r="BV1130" s="55">
        <f>N(L1130)+N(M1130)</f>
        <v/>
      </c>
      <c r="BW1130" s="55">
        <f>ROUNDUP(G1130/BN1130,0)</f>
        <v/>
      </c>
      <c r="BX1130" s="55">
        <f>ROUNDUP(BU1130/BN1130,0)</f>
        <v/>
      </c>
      <c r="BY1130" s="58">
        <f>IF(BO1130=1,0,IFERROR(VLOOKUP(BM1130,'Gebinde-Kategorie'!$A$5:$G$45,5,0)+0,0))</f>
        <v/>
      </c>
      <c r="BZ1130" s="58">
        <f>IFERROR(IF(OR(BQ1130=1,BQ1130=2,BQ1130=3),N(INDEX(Parameter!$I$5:$I$7,BQ1130)),0),0)</f>
        <v/>
      </c>
    </row>
    <row r="1131">
      <c r="A1131" s="53" t="inlineStr">
        <is>
          <t>110306</t>
        </is>
      </c>
      <c r="B1131" s="53" t="inlineStr">
        <is>
          <t>Federhänger</t>
        </is>
      </c>
      <c r="C1131" s="53" t="inlineStr">
        <is>
          <t>F</t>
        </is>
      </c>
      <c r="D1131" s="53" t="inlineStr">
        <is>
          <t>PAL</t>
        </is>
      </c>
      <c r="E1131" s="53" t="inlineStr">
        <is>
          <t>C</t>
        </is>
      </c>
      <c r="F1131" s="54" t="n">
        <v>257.72</v>
      </c>
      <c r="G1131" s="55">
        <f>MAX(0,IF(Parameter!$B$20="Jahresanfang 2025 + Export",BG1131+BF1131,BF1131))</f>
        <v/>
      </c>
      <c r="H1131" s="55">
        <f>G1131*F1131</f>
        <v/>
      </c>
      <c r="I1131" s="55">
        <f>BI1131*Parameter!$B$18</f>
        <v/>
      </c>
      <c r="J1131" s="56" t="n">
        <v>0.5</v>
      </c>
      <c r="K1131" s="57" t="n">
        <v>0</v>
      </c>
      <c r="L1131" s="55" t="n">
        <v>0</v>
      </c>
      <c r="M1131" s="55" t="n">
        <v>1</v>
      </c>
      <c r="N1131" s="58" t="n">
        <v>70</v>
      </c>
      <c r="O1131" s="53" t="inlineStr">
        <is>
          <t>LOSE</t>
        </is>
      </c>
      <c r="P1131" s="55" t="n"/>
      <c r="Q1131" s="59">
        <f>IF(BO1131=1,0,IFERROR(VLOOKUP(BM1131,'Gebinde-Kategorie'!$A$5:$G$45,6,0)+0,0))</f>
        <v/>
      </c>
      <c r="R1131" s="60" t="n"/>
      <c r="S1131" s="61" t="n"/>
      <c r="T1131" s="61" t="n"/>
      <c r="U1131" s="53">
        <f>IF(A1131="","",IF(IFERROR(VLOOKUP(D1131,Parameter!$A$35:$C$64,2,0),"Nein")="2+3",IF(ISNUMBER(SEARCH("grosser Artikel",BJ1131)),2,IFERROR(VLOOKUP(BM1131,Parameter!$F$35:$G$64,2,0),2)),IF(OR(IFERROR(VLOOKUP(D1131,Parameter!$A$35:$C$64,2,0),"Nein")="Nein",IFERROR(VLOOKUP(D1131,Parameter!$A$35:$C$64,2,0),"Nein")=""),"-",VLOOKUP(D1131,Parameter!$A$35:$C$64,2,0))))</f>
        <v/>
      </c>
      <c r="V1131" s="61" t="n"/>
      <c r="W1131" s="62" t="n"/>
      <c r="X1131" s="55">
        <f>AM1131</f>
        <v/>
      </c>
      <c r="Y1131" s="55">
        <f>MAX(AM1131,G1131)</f>
        <v/>
      </c>
      <c r="Z1131" s="63" t="n"/>
      <c r="AA1131" s="55">
        <f>IF(LEFT(Cockpit!$C$5,1)="A",G1131,IF(BT1131=1,BU1131,IF(LEFT(Cockpit!$C$5,1)="B",AE1131,MAX(AE1131,G1131))))</f>
        <v/>
      </c>
      <c r="AB1131" s="55">
        <f>IF(BO1131=1,0,ROUNDUP(AA1131/BN1131,0))</f>
        <v/>
      </c>
      <c r="AC1131" s="64">
        <f>IF(BO1131=1,IF(AA1131&lt;=0,0,BP1131*MAX(1,IF(G1131&gt;0,AA1131/G1131,1))),AB1131*Q1131)</f>
        <v/>
      </c>
      <c r="AD1131" s="55">
        <f>AA1131*F1131</f>
        <v/>
      </c>
      <c r="AE1131" s="55">
        <f>ROUNDUP(MAX(I1131/IF(BS1131&gt;0,BS1131,MAX(0.1,N(Cockpit!$C$6))),BV1131)/BN1131,0)*BN1131</f>
        <v/>
      </c>
      <c r="AF1131" s="56">
        <f>IF(AC1131&gt;0,I1131/AC1131,-1)</f>
        <v/>
      </c>
      <c r="AG1131" s="56">
        <f>IF(AND(OR(BR1131="L1",BR1131="L23"),AC1131&gt;0),SUMIFS($AC$7:$AC$1570,$BR$7:$BR$1570,BR1131,$AF$7:$AF$1570,"&gt;"&amp;AF1131)+SUMIFS($AC$7:$AC$1570,$BR$7:$BR$1570,BR1131,$AF$7:$AF$1570,AF1131,$BL$7:$BL$1570,"&lt;="&amp;BL1131),"")</f>
        <v/>
      </c>
      <c r="AH1131" s="65">
        <f>IF(AG1131="",0,MAX(0,MIN(1,(IF(BR1131="L1",Parameter!$K$5,Parameter!$K$6+Parameter!$K$7)-(AG1131-AC1131))/AC1131)))</f>
        <v/>
      </c>
      <c r="AI1131" s="55">
        <f>IF(LEFT(Cockpit!$I$5,1)="A",G1131,IF(BT1131=1,BU1131,IF(LEFT(Cockpit!$I$5,1)="B",AM1131,MAX(AM1131,G1131))))</f>
        <v/>
      </c>
      <c r="AJ1131" s="55">
        <f>IF(BO1131=1,0,ROUNDUP(AI1131/BN1131,0))</f>
        <v/>
      </c>
      <c r="AK1131" s="64">
        <f>IF(BO1131=1,IF(AI1131&lt;=0,0,BP1131*MAX(1,IF(G1131&gt;0,AI1131/G1131,1))),AJ1131*Q1131)</f>
        <v/>
      </c>
      <c r="AL1131" s="55">
        <f>AI1131*F1131</f>
        <v/>
      </c>
      <c r="AM1131" s="55">
        <f>ROUNDUP(MAX(I1131/IF(BS1131&gt;0,BS1131,MAX(0.1,N(Cockpit!$I$6))),BV1131)/BN1131,0)*BN1131</f>
        <v/>
      </c>
      <c r="AN1131" s="56">
        <f>IF(AK1131&gt;0,I1131/AK1131,-1)</f>
        <v/>
      </c>
      <c r="AO1131" s="56">
        <f>IF(AND(OR(BR1131="L1",BR1131="L23"),AK1131&gt;0),SUMIFS($AK$7:$AK$1570,$BR$7:$BR$1570,BR1131,$AN$7:$AN$1570,"&gt;"&amp;AN1131)+SUMIFS($AK$7:$AK$1570,$BR$7:$BR$1570,BR1131,$AN$7:$AN$1570,AN1131,$BL$7:$BL$1570,"&lt;="&amp;BL1131),"")</f>
        <v/>
      </c>
      <c r="AP1131" s="65">
        <f>IF(AO1131="",0,MAX(0,MIN(1,(IF(BR1131="L1",Parameter!$K$5,Parameter!$K$6+Parameter!$K$7)-(AO1131-AK1131))/AK1131)))</f>
        <v/>
      </c>
      <c r="AQ1131" s="55">
        <f>IF(LEFT(Cockpit!$O$5,1)="A",G1131,IF(BT1131=1,BU1131,IF(LEFT(Cockpit!$O$5,1)="B",AU1131,MAX(AU1131,G1131))))</f>
        <v/>
      </c>
      <c r="AR1131" s="55">
        <f>IF(BO1131=1,0,ROUNDUP(AQ1131/BN1131,0))</f>
        <v/>
      </c>
      <c r="AS1131" s="64">
        <f>IF(BO1131=1,IF(AQ1131&lt;=0,0,BP1131*MAX(1,IF(G1131&gt;0,AQ1131/G1131,1))),AR1131*Q1131)</f>
        <v/>
      </c>
      <c r="AT1131" s="55">
        <f>AQ1131*F1131</f>
        <v/>
      </c>
      <c r="AU1131" s="55">
        <f>ROUNDUP(MAX(I1131/IF(BS1131&gt;0,BS1131,MAX(0.1,N(Cockpit!$O$6))),BV1131)/BN1131,0)*BN1131</f>
        <v/>
      </c>
      <c r="AV1131" s="56">
        <f>IF(AS1131&gt;0,I1131/AS1131,-1)</f>
        <v/>
      </c>
      <c r="AW1131" s="56">
        <f>IF(AND(OR(BR1131="L1",BR1131="L23"),AS1131&gt;0),SUMIFS($AS$7:$AS$1570,$BR$7:$BR$1570,BR1131,$AV$7:$AV$1570,"&gt;"&amp;AV1131)+SUMIFS($AS$7:$AS$1570,$BR$7:$BR$1570,BR1131,$AV$7:$AV$1570,AV1131,$BL$7:$BL$1570,"&lt;="&amp;BL1131),"")</f>
        <v/>
      </c>
      <c r="AX1131" s="65">
        <f>IF(AW1131="",0,MAX(0,MIN(1,(IF(BR1131="L1",Parameter!$K$5,Parameter!$K$6+Parameter!$K$7)-(AW1131-AS1131))/AS1131)))</f>
        <v/>
      </c>
      <c r="AY1131" s="53">
        <f>IF(AC1131&lt;=0,"",IF(BR1131="Aussen","Aussenlager",IF(BR1131="-","Nicht im Lift",IF(AH1131&gt;=1,"Lift",IF(AH1131&lt;=0,"Aussenlager","teilweise")))))</f>
        <v/>
      </c>
      <c r="AZ1131" s="53">
        <f>IF(AK1131&lt;=0,"",IF(BR1131="Aussen","Aussenlager",IF(BR1131="-","Nicht im Lift",IF(AP1131&gt;=1,"Lift",IF(AP1131&lt;=0,"Aussenlager","teilweise")))))</f>
        <v/>
      </c>
      <c r="BA1131" s="53">
        <f>IF(AS1131&lt;=0,"",IF(BR1131="Aussen","Aussenlager",IF(BR1131="-","Nicht im Lift",IF(AX1131&gt;=1,"Lift",IF(AX1131&lt;=0,"Aussenlager","teilweise")))))</f>
        <v/>
      </c>
      <c r="BB1131" s="53">
        <f>IF(A1131="","",IF(BK1131=1,"Neu; ","")&amp;IF(AND(BK1131=0,BF1131&lt;0),"negativer Bestand (Export "&amp;BF1131&amp;"); ","")&amp;IF(I1131&lt;=0,"Kein Verbrauch; ","")&amp;IF(BO1131=1,"Lose – Fläche geschätzt; ","")&amp;IF(G1131&gt;AM1131,"Überbestand "&amp;ROUND(G1131-AM1131,0)&amp;" Stk / CHF "&amp;ROUND((G1131-AM1131)*F1131,0)&amp;"; ","")&amp;IF(AND(BT1131=1,BU1131&lt;BV1131),"MAX &lt; MB+LG; ","")&amp;IF(AND(BZ1131&gt;0,BY1131*10&gt;BZ1131),"zu hoch für Tablar; ","")&amp;IF(AND(BK1131=0,OR(BT1131=1,V1131&lt;&gt;"",S1131&lt;&gt;"",T1131&lt;&gt;"",W1131&lt;&gt;"")),"manuell übersteuert; ","")&amp;IF(AND(BO1131=0,Q1131=0),"Gebinde unbekannt; ","")&amp;IF(AND(BO1131=0,N(T1131)&lt;=0,N(P1131)&lt;=0),"Menge pro Gebinde fehlt (Ist = 1 Gebinde); ","")&amp;BJ1131)</f>
        <v/>
      </c>
      <c r="BC1131" s="53" t="n"/>
      <c r="BD1131" s="53" t="n"/>
      <c r="BE1131" s="61" t="n"/>
      <c r="BF1131" s="55" t="n">
        <v>-1</v>
      </c>
      <c r="BG1131" s="55" t="n">
        <v>1</v>
      </c>
      <c r="BH1131" s="54" t="n">
        <v>-257.72</v>
      </c>
      <c r="BI1131" s="55" t="n">
        <v>0</v>
      </c>
      <c r="BJ1131" s="53" t="inlineStr"/>
      <c r="BK1131" s="58" t="n">
        <v>0</v>
      </c>
      <c r="BL1131" s="58" t="n">
        <v>1131</v>
      </c>
      <c r="BM1131" s="53">
        <f>IF(S1131&lt;&gt;"",UPPER(TRIM(S1131)),IF(O1131="","LOSE",O1131))</f>
        <v/>
      </c>
      <c r="BN1131" s="55">
        <f>IF(BM1131="LOSE",1,IF(N(T1131)&gt;0,T1131,IF(N(P1131)&gt;0,P1131,MAX(1,G1131))))</f>
        <v/>
      </c>
      <c r="BO1131" s="58">
        <f>IF(BM1131="LOSE",1,0)</f>
        <v/>
      </c>
      <c r="BP1131" s="64">
        <f>IF(BO1131=0,0,IF(N(R1131)&gt;0,R1131,IFERROR(VLOOKUP(D1131,Parameter!$A$35:$C$64,3,0)+0,0)))</f>
        <v/>
      </c>
      <c r="BQ1131" s="53">
        <f>IF(V1131&lt;&gt;"",V1131,U1131)</f>
        <v/>
      </c>
      <c r="BR1131" s="53">
        <f>IF(BQ1131=1,"L1",IF(OR(BQ1131=2,BQ1131=3),"L23",IF(BQ1131="Aussen","Aussen","-")))</f>
        <v/>
      </c>
      <c r="BS1131" s="66">
        <f>IF(N(W1131)&gt;0,W1131,0)</f>
        <v/>
      </c>
      <c r="BT1131" s="58">
        <f>IF(ISNUMBER(Z1131),1,0)</f>
        <v/>
      </c>
      <c r="BU1131" s="55">
        <f>N(Z1131)</f>
        <v/>
      </c>
      <c r="BV1131" s="55">
        <f>N(L1131)+N(M1131)</f>
        <v/>
      </c>
      <c r="BW1131" s="55">
        <f>ROUNDUP(G1131/BN1131,0)</f>
        <v/>
      </c>
      <c r="BX1131" s="55">
        <f>ROUNDUP(BU1131/BN1131,0)</f>
        <v/>
      </c>
      <c r="BY1131" s="58">
        <f>IF(BO1131=1,0,IFERROR(VLOOKUP(BM1131,'Gebinde-Kategorie'!$A$5:$G$45,5,0)+0,0))</f>
        <v/>
      </c>
      <c r="BZ1131" s="58">
        <f>IFERROR(IF(OR(BQ1131=1,BQ1131=2,BQ1131=3),N(INDEX(Parameter!$I$5:$I$7,BQ1131)),0),0)</f>
        <v/>
      </c>
    </row>
    <row r="1132">
      <c r="A1132" s="53" t="inlineStr">
        <is>
          <t>101590</t>
        </is>
      </c>
      <c r="B1132" s="53" t="inlineStr">
        <is>
          <t>Platte für 3 Kettenaufhänger</t>
        </is>
      </c>
      <c r="C1132" s="53" t="inlineStr">
        <is>
          <t>F</t>
        </is>
      </c>
      <c r="D1132" s="53" t="inlineStr">
        <is>
          <t>KTL</t>
        </is>
      </c>
      <c r="E1132" s="53" t="inlineStr">
        <is>
          <t>C</t>
        </is>
      </c>
      <c r="F1132" s="54" t="n">
        <v>259.12</v>
      </c>
      <c r="G1132" s="55">
        <f>MAX(0,IF(Parameter!$B$20="Jahresanfang 2025 + Export",BG1132+BF1132,BF1132))</f>
        <v/>
      </c>
      <c r="H1132" s="55">
        <f>G1132*F1132</f>
        <v/>
      </c>
      <c r="I1132" s="55">
        <f>BI1132*Parameter!$B$18</f>
        <v/>
      </c>
      <c r="J1132" s="56" t="n">
        <v>6.5</v>
      </c>
      <c r="K1132" s="57" t="n">
        <v>0.1538461538461539</v>
      </c>
      <c r="L1132" s="55" t="n">
        <v>0</v>
      </c>
      <c r="M1132" s="55" t="n">
        <v>1</v>
      </c>
      <c r="N1132" s="58" t="n">
        <v>28</v>
      </c>
      <c r="O1132" s="53" t="inlineStr">
        <is>
          <t>S51</t>
        </is>
      </c>
      <c r="P1132" s="55" t="n">
        <v>7</v>
      </c>
      <c r="Q1132" s="59">
        <f>IF(BO1132=1,0,IFERROR(VLOOKUP(BM1132,'Gebinde-Kategorie'!$A$5:$G$45,6,0)+0,0))</f>
        <v/>
      </c>
      <c r="R1132" s="60" t="n"/>
      <c r="S1132" s="61" t="n"/>
      <c r="T1132" s="61" t="n"/>
      <c r="U1132" s="53">
        <f>IF(A1132="","",IF(IFERROR(VLOOKUP(D1132,Parameter!$A$35:$C$64,2,0),"Nein")="2+3",IF(ISNUMBER(SEARCH("grosser Artikel",BJ1132)),2,IFERROR(VLOOKUP(BM1132,Parameter!$F$35:$G$64,2,0),2)),IF(OR(IFERROR(VLOOKUP(D1132,Parameter!$A$35:$C$64,2,0),"Nein")="Nein",IFERROR(VLOOKUP(D1132,Parameter!$A$35:$C$64,2,0),"Nein")=""),"-",VLOOKUP(D1132,Parameter!$A$35:$C$64,2,0))))</f>
        <v/>
      </c>
      <c r="V1132" s="61" t="n"/>
      <c r="W1132" s="62" t="n"/>
      <c r="X1132" s="55">
        <f>AM1132</f>
        <v/>
      </c>
      <c r="Y1132" s="55">
        <f>MAX(AM1132,G1132)</f>
        <v/>
      </c>
      <c r="Z1132" s="63" t="n"/>
      <c r="AA1132" s="55">
        <f>IF(LEFT(Cockpit!$C$5,1)="A",G1132,IF(BT1132=1,BU1132,IF(LEFT(Cockpit!$C$5,1)="B",AE1132,MAX(AE1132,G1132))))</f>
        <v/>
      </c>
      <c r="AB1132" s="55">
        <f>IF(BO1132=1,0,ROUNDUP(AA1132/BN1132,0))</f>
        <v/>
      </c>
      <c r="AC1132" s="64">
        <f>IF(BO1132=1,IF(AA1132&lt;=0,0,BP1132*MAX(1,IF(G1132&gt;0,AA1132/G1132,1))),AB1132*Q1132)</f>
        <v/>
      </c>
      <c r="AD1132" s="55">
        <f>AA1132*F1132</f>
        <v/>
      </c>
      <c r="AE1132" s="55">
        <f>ROUNDUP(MAX(I1132/IF(BS1132&gt;0,BS1132,MAX(0.1,N(Cockpit!$C$6))),BV1132)/BN1132,0)*BN1132</f>
        <v/>
      </c>
      <c r="AF1132" s="56">
        <f>IF(AC1132&gt;0,I1132/AC1132,-1)</f>
        <v/>
      </c>
      <c r="AG1132" s="56">
        <f>IF(AND(OR(BR1132="L1",BR1132="L23"),AC1132&gt;0),SUMIFS($AC$7:$AC$1570,$BR$7:$BR$1570,BR1132,$AF$7:$AF$1570,"&gt;"&amp;AF1132)+SUMIFS($AC$7:$AC$1570,$BR$7:$BR$1570,BR1132,$AF$7:$AF$1570,AF1132,$BL$7:$BL$1570,"&lt;="&amp;BL1132),"")</f>
        <v/>
      </c>
      <c r="AH1132" s="65">
        <f>IF(AG1132="",0,MAX(0,MIN(1,(IF(BR1132="L1",Parameter!$K$5,Parameter!$K$6+Parameter!$K$7)-(AG1132-AC1132))/AC1132)))</f>
        <v/>
      </c>
      <c r="AI1132" s="55">
        <f>IF(LEFT(Cockpit!$I$5,1)="A",G1132,IF(BT1132=1,BU1132,IF(LEFT(Cockpit!$I$5,1)="B",AM1132,MAX(AM1132,G1132))))</f>
        <v/>
      </c>
      <c r="AJ1132" s="55">
        <f>IF(BO1132=1,0,ROUNDUP(AI1132/BN1132,0))</f>
        <v/>
      </c>
      <c r="AK1132" s="64">
        <f>IF(BO1132=1,IF(AI1132&lt;=0,0,BP1132*MAX(1,IF(G1132&gt;0,AI1132/G1132,1))),AJ1132*Q1132)</f>
        <v/>
      </c>
      <c r="AL1132" s="55">
        <f>AI1132*F1132</f>
        <v/>
      </c>
      <c r="AM1132" s="55">
        <f>ROUNDUP(MAX(I1132/IF(BS1132&gt;0,BS1132,MAX(0.1,N(Cockpit!$I$6))),BV1132)/BN1132,0)*BN1132</f>
        <v/>
      </c>
      <c r="AN1132" s="56">
        <f>IF(AK1132&gt;0,I1132/AK1132,-1)</f>
        <v/>
      </c>
      <c r="AO1132" s="56">
        <f>IF(AND(OR(BR1132="L1",BR1132="L23"),AK1132&gt;0),SUMIFS($AK$7:$AK$1570,$BR$7:$BR$1570,BR1132,$AN$7:$AN$1570,"&gt;"&amp;AN1132)+SUMIFS($AK$7:$AK$1570,$BR$7:$BR$1570,BR1132,$AN$7:$AN$1570,AN1132,$BL$7:$BL$1570,"&lt;="&amp;BL1132),"")</f>
        <v/>
      </c>
      <c r="AP1132" s="65">
        <f>IF(AO1132="",0,MAX(0,MIN(1,(IF(BR1132="L1",Parameter!$K$5,Parameter!$K$6+Parameter!$K$7)-(AO1132-AK1132))/AK1132)))</f>
        <v/>
      </c>
      <c r="AQ1132" s="55">
        <f>IF(LEFT(Cockpit!$O$5,1)="A",G1132,IF(BT1132=1,BU1132,IF(LEFT(Cockpit!$O$5,1)="B",AU1132,MAX(AU1132,G1132))))</f>
        <v/>
      </c>
      <c r="AR1132" s="55">
        <f>IF(BO1132=1,0,ROUNDUP(AQ1132/BN1132,0))</f>
        <v/>
      </c>
      <c r="AS1132" s="64">
        <f>IF(BO1132=1,IF(AQ1132&lt;=0,0,BP1132*MAX(1,IF(G1132&gt;0,AQ1132/G1132,1))),AR1132*Q1132)</f>
        <v/>
      </c>
      <c r="AT1132" s="55">
        <f>AQ1132*F1132</f>
        <v/>
      </c>
      <c r="AU1132" s="55">
        <f>ROUNDUP(MAX(I1132/IF(BS1132&gt;0,BS1132,MAX(0.1,N(Cockpit!$O$6))),BV1132)/BN1132,0)*BN1132</f>
        <v/>
      </c>
      <c r="AV1132" s="56">
        <f>IF(AS1132&gt;0,I1132/AS1132,-1)</f>
        <v/>
      </c>
      <c r="AW1132" s="56">
        <f>IF(AND(OR(BR1132="L1",BR1132="L23"),AS1132&gt;0),SUMIFS($AS$7:$AS$1570,$BR$7:$BR$1570,BR1132,$AV$7:$AV$1570,"&gt;"&amp;AV1132)+SUMIFS($AS$7:$AS$1570,$BR$7:$BR$1570,BR1132,$AV$7:$AV$1570,AV1132,$BL$7:$BL$1570,"&lt;="&amp;BL1132),"")</f>
        <v/>
      </c>
      <c r="AX1132" s="65">
        <f>IF(AW1132="",0,MAX(0,MIN(1,(IF(BR1132="L1",Parameter!$K$5,Parameter!$K$6+Parameter!$K$7)-(AW1132-AS1132))/AS1132)))</f>
        <v/>
      </c>
      <c r="AY1132" s="53">
        <f>IF(AC1132&lt;=0,"",IF(BR1132="Aussen","Aussenlager",IF(BR1132="-","Nicht im Lift",IF(AH1132&gt;=1,"Lift",IF(AH1132&lt;=0,"Aussenlager","teilweise")))))</f>
        <v/>
      </c>
      <c r="AZ1132" s="53">
        <f>IF(AK1132&lt;=0,"",IF(BR1132="Aussen","Aussenlager",IF(BR1132="-","Nicht im Lift",IF(AP1132&gt;=1,"Lift",IF(AP1132&lt;=0,"Aussenlager","teilweise")))))</f>
        <v/>
      </c>
      <c r="BA1132" s="53">
        <f>IF(AS1132&lt;=0,"",IF(BR1132="Aussen","Aussenlager",IF(BR1132="-","Nicht im Lift",IF(AX1132&gt;=1,"Lift",IF(AX1132&lt;=0,"Aussenlager","teilweise")))))</f>
        <v/>
      </c>
      <c r="BB1132" s="53">
        <f>IF(A1132="","",IF(BK1132=1,"Neu; ","")&amp;IF(AND(BK1132=0,BF1132&lt;0),"negativer Bestand (Export "&amp;BF1132&amp;"); ","")&amp;IF(I1132&lt;=0,"Kein Verbrauch; ","")&amp;IF(BO1132=1,"Lose – Fläche geschätzt; ","")&amp;IF(G1132&gt;AM1132,"Überbestand "&amp;ROUND(G1132-AM1132,0)&amp;" Stk / CHF "&amp;ROUND((G1132-AM1132)*F1132,0)&amp;"; ","")&amp;IF(AND(BT1132=1,BU1132&lt;BV1132),"MAX &lt; MB+LG; ","")&amp;IF(AND(BZ1132&gt;0,BY1132*10&gt;BZ1132),"zu hoch für Tablar; ","")&amp;IF(AND(BK1132=0,OR(BT1132=1,V1132&lt;&gt;"",S1132&lt;&gt;"",T1132&lt;&gt;"",W1132&lt;&gt;"")),"manuell übersteuert; ","")&amp;IF(AND(BO1132=0,Q1132=0),"Gebinde unbekannt; ","")&amp;IF(AND(BO1132=0,N(T1132)&lt;=0,N(P1132)&lt;=0),"Menge pro Gebinde fehlt (Ist = 1 Gebinde); ","")&amp;BJ1132)</f>
        <v/>
      </c>
      <c r="BC1132" s="53" t="n"/>
      <c r="BD1132" s="53" t="n"/>
      <c r="BE1132" s="61" t="n"/>
      <c r="BF1132" s="55" t="n">
        <v>-1</v>
      </c>
      <c r="BG1132" s="55" t="n">
        <v>7</v>
      </c>
      <c r="BH1132" s="54" t="n">
        <v>-259.12</v>
      </c>
      <c r="BI1132" s="55" t="n">
        <v>1</v>
      </c>
      <c r="BJ1132" s="53" t="inlineStr">
        <is>
          <t>Überbestand</t>
        </is>
      </c>
      <c r="BK1132" s="58" t="n">
        <v>0</v>
      </c>
      <c r="BL1132" s="58" t="n">
        <v>1132</v>
      </c>
      <c r="BM1132" s="53">
        <f>IF(S1132&lt;&gt;"",UPPER(TRIM(S1132)),IF(O1132="","LOSE",O1132))</f>
        <v/>
      </c>
      <c r="BN1132" s="55">
        <f>IF(BM1132="LOSE",1,IF(N(T1132)&gt;0,T1132,IF(N(P1132)&gt;0,P1132,MAX(1,G1132))))</f>
        <v/>
      </c>
      <c r="BO1132" s="58">
        <f>IF(BM1132="LOSE",1,0)</f>
        <v/>
      </c>
      <c r="BP1132" s="64">
        <f>IF(BO1132=0,0,IF(N(R1132)&gt;0,R1132,IFERROR(VLOOKUP(D1132,Parameter!$A$35:$C$64,3,0)+0,0)))</f>
        <v/>
      </c>
      <c r="BQ1132" s="53">
        <f>IF(V1132&lt;&gt;"",V1132,U1132)</f>
        <v/>
      </c>
      <c r="BR1132" s="53">
        <f>IF(BQ1132=1,"L1",IF(OR(BQ1132=2,BQ1132=3),"L23",IF(BQ1132="Aussen","Aussen","-")))</f>
        <v/>
      </c>
      <c r="BS1132" s="66">
        <f>IF(N(W1132)&gt;0,W1132,0)</f>
        <v/>
      </c>
      <c r="BT1132" s="58">
        <f>IF(ISNUMBER(Z1132),1,0)</f>
        <v/>
      </c>
      <c r="BU1132" s="55">
        <f>N(Z1132)</f>
        <v/>
      </c>
      <c r="BV1132" s="55">
        <f>N(L1132)+N(M1132)</f>
        <v/>
      </c>
      <c r="BW1132" s="55">
        <f>ROUNDUP(G1132/BN1132,0)</f>
        <v/>
      </c>
      <c r="BX1132" s="55">
        <f>ROUNDUP(BU1132/BN1132,0)</f>
        <v/>
      </c>
      <c r="BY1132" s="58">
        <f>IF(BO1132=1,0,IFERROR(VLOOKUP(BM1132,'Gebinde-Kategorie'!$A$5:$G$45,5,0)+0,0))</f>
        <v/>
      </c>
      <c r="BZ1132" s="58">
        <f>IFERROR(IF(OR(BQ1132=1,BQ1132=2,BQ1132=3),N(INDEX(Parameter!$I$5:$I$7,BQ1132)),0),0)</f>
        <v/>
      </c>
    </row>
    <row r="1133">
      <c r="A1133" s="53" t="inlineStr">
        <is>
          <t>108085</t>
        </is>
      </c>
      <c r="B1133" s="53" t="inlineStr">
        <is>
          <t>Innenbox SPGr16 SVC1 3/3</t>
        </is>
      </c>
      <c r="C1133" s="53" t="inlineStr">
        <is>
          <t>G</t>
        </is>
      </c>
      <c r="D1133" s="53" t="inlineStr">
        <is>
          <t>PAL</t>
        </is>
      </c>
      <c r="E1133" s="53" t="inlineStr">
        <is>
          <t>C</t>
        </is>
      </c>
      <c r="F1133" s="54" t="n">
        <v>65.06999999999999</v>
      </c>
      <c r="G1133" s="55">
        <f>MAX(0,IF(Parameter!$B$20="Jahresanfang 2025 + Export",BG1133+BF1133,BF1133))</f>
        <v/>
      </c>
      <c r="H1133" s="55">
        <f>G1133*F1133</f>
        <v/>
      </c>
      <c r="I1133" s="55">
        <f>BI1133*Parameter!$B$18</f>
        <v/>
      </c>
      <c r="J1133" s="56" t="n">
        <v>2</v>
      </c>
      <c r="K1133" s="57" t="n">
        <v>0</v>
      </c>
      <c r="L1133" s="55" t="n">
        <v>0</v>
      </c>
      <c r="M1133" s="55" t="n">
        <v>1</v>
      </c>
      <c r="N1133" s="58" t="n">
        <v>56</v>
      </c>
      <c r="O1133" s="53" t="inlineStr">
        <is>
          <t>LOSE</t>
        </is>
      </c>
      <c r="P1133" s="55" t="n"/>
      <c r="Q1133" s="59">
        <f>IF(BO1133=1,0,IFERROR(VLOOKUP(BM1133,'Gebinde-Kategorie'!$A$5:$G$45,6,0)+0,0))</f>
        <v/>
      </c>
      <c r="R1133" s="60" t="n"/>
      <c r="S1133" s="61" t="n"/>
      <c r="T1133" s="61" t="n"/>
      <c r="U1133" s="53">
        <f>IF(A1133="","",IF(IFERROR(VLOOKUP(D1133,Parameter!$A$35:$C$64,2,0),"Nein")="2+3",IF(ISNUMBER(SEARCH("grosser Artikel",BJ1133)),2,IFERROR(VLOOKUP(BM1133,Parameter!$F$35:$G$64,2,0),2)),IF(OR(IFERROR(VLOOKUP(D1133,Parameter!$A$35:$C$64,2,0),"Nein")="Nein",IFERROR(VLOOKUP(D1133,Parameter!$A$35:$C$64,2,0),"Nein")=""),"-",VLOOKUP(D1133,Parameter!$A$35:$C$64,2,0))))</f>
        <v/>
      </c>
      <c r="V1133" s="61" t="n"/>
      <c r="W1133" s="62" t="n"/>
      <c r="X1133" s="55">
        <f>AM1133</f>
        <v/>
      </c>
      <c r="Y1133" s="55">
        <f>MAX(AM1133,G1133)</f>
        <v/>
      </c>
      <c r="Z1133" s="63" t="n"/>
      <c r="AA1133" s="55">
        <f>IF(LEFT(Cockpit!$C$5,1)="A",G1133,IF(BT1133=1,BU1133,IF(LEFT(Cockpit!$C$5,1)="B",AE1133,MAX(AE1133,G1133))))</f>
        <v/>
      </c>
      <c r="AB1133" s="55">
        <f>IF(BO1133=1,0,ROUNDUP(AA1133/BN1133,0))</f>
        <v/>
      </c>
      <c r="AC1133" s="64">
        <f>IF(BO1133=1,IF(AA1133&lt;=0,0,BP1133*MAX(1,IF(G1133&gt;0,AA1133/G1133,1))),AB1133*Q1133)</f>
        <v/>
      </c>
      <c r="AD1133" s="55">
        <f>AA1133*F1133</f>
        <v/>
      </c>
      <c r="AE1133" s="55">
        <f>ROUNDUP(MAX(I1133/IF(BS1133&gt;0,BS1133,MAX(0.1,N(Cockpit!$C$6))),BV1133)/BN1133,0)*BN1133</f>
        <v/>
      </c>
      <c r="AF1133" s="56">
        <f>IF(AC1133&gt;0,I1133/AC1133,-1)</f>
        <v/>
      </c>
      <c r="AG1133" s="56">
        <f>IF(AND(OR(BR1133="L1",BR1133="L23"),AC1133&gt;0),SUMIFS($AC$7:$AC$1570,$BR$7:$BR$1570,BR1133,$AF$7:$AF$1570,"&gt;"&amp;AF1133)+SUMIFS($AC$7:$AC$1570,$BR$7:$BR$1570,BR1133,$AF$7:$AF$1570,AF1133,$BL$7:$BL$1570,"&lt;="&amp;BL1133),"")</f>
        <v/>
      </c>
      <c r="AH1133" s="65">
        <f>IF(AG1133="",0,MAX(0,MIN(1,(IF(BR1133="L1",Parameter!$K$5,Parameter!$K$6+Parameter!$K$7)-(AG1133-AC1133))/AC1133)))</f>
        <v/>
      </c>
      <c r="AI1133" s="55">
        <f>IF(LEFT(Cockpit!$I$5,1)="A",G1133,IF(BT1133=1,BU1133,IF(LEFT(Cockpit!$I$5,1)="B",AM1133,MAX(AM1133,G1133))))</f>
        <v/>
      </c>
      <c r="AJ1133" s="55">
        <f>IF(BO1133=1,0,ROUNDUP(AI1133/BN1133,0))</f>
        <v/>
      </c>
      <c r="AK1133" s="64">
        <f>IF(BO1133=1,IF(AI1133&lt;=0,0,BP1133*MAX(1,IF(G1133&gt;0,AI1133/G1133,1))),AJ1133*Q1133)</f>
        <v/>
      </c>
      <c r="AL1133" s="55">
        <f>AI1133*F1133</f>
        <v/>
      </c>
      <c r="AM1133" s="55">
        <f>ROUNDUP(MAX(I1133/IF(BS1133&gt;0,BS1133,MAX(0.1,N(Cockpit!$I$6))),BV1133)/BN1133,0)*BN1133</f>
        <v/>
      </c>
      <c r="AN1133" s="56">
        <f>IF(AK1133&gt;0,I1133/AK1133,-1)</f>
        <v/>
      </c>
      <c r="AO1133" s="56">
        <f>IF(AND(OR(BR1133="L1",BR1133="L23"),AK1133&gt;0),SUMIFS($AK$7:$AK$1570,$BR$7:$BR$1570,BR1133,$AN$7:$AN$1570,"&gt;"&amp;AN1133)+SUMIFS($AK$7:$AK$1570,$BR$7:$BR$1570,BR1133,$AN$7:$AN$1570,AN1133,$BL$7:$BL$1570,"&lt;="&amp;BL1133),"")</f>
        <v/>
      </c>
      <c r="AP1133" s="65">
        <f>IF(AO1133="",0,MAX(0,MIN(1,(IF(BR1133="L1",Parameter!$K$5,Parameter!$K$6+Parameter!$K$7)-(AO1133-AK1133))/AK1133)))</f>
        <v/>
      </c>
      <c r="AQ1133" s="55">
        <f>IF(LEFT(Cockpit!$O$5,1)="A",G1133,IF(BT1133=1,BU1133,IF(LEFT(Cockpit!$O$5,1)="B",AU1133,MAX(AU1133,G1133))))</f>
        <v/>
      </c>
      <c r="AR1133" s="55">
        <f>IF(BO1133=1,0,ROUNDUP(AQ1133/BN1133,0))</f>
        <v/>
      </c>
      <c r="AS1133" s="64">
        <f>IF(BO1133=1,IF(AQ1133&lt;=0,0,BP1133*MAX(1,IF(G1133&gt;0,AQ1133/G1133,1))),AR1133*Q1133)</f>
        <v/>
      </c>
      <c r="AT1133" s="55">
        <f>AQ1133*F1133</f>
        <v/>
      </c>
      <c r="AU1133" s="55">
        <f>ROUNDUP(MAX(I1133/IF(BS1133&gt;0,BS1133,MAX(0.1,N(Cockpit!$O$6))),BV1133)/BN1133,0)*BN1133</f>
        <v/>
      </c>
      <c r="AV1133" s="56">
        <f>IF(AS1133&gt;0,I1133/AS1133,-1)</f>
        <v/>
      </c>
      <c r="AW1133" s="56">
        <f>IF(AND(OR(BR1133="L1",BR1133="L23"),AS1133&gt;0),SUMIFS($AS$7:$AS$1570,$BR$7:$BR$1570,BR1133,$AV$7:$AV$1570,"&gt;"&amp;AV1133)+SUMIFS($AS$7:$AS$1570,$BR$7:$BR$1570,BR1133,$AV$7:$AV$1570,AV1133,$BL$7:$BL$1570,"&lt;="&amp;BL1133),"")</f>
        <v/>
      </c>
      <c r="AX1133" s="65">
        <f>IF(AW1133="",0,MAX(0,MIN(1,(IF(BR1133="L1",Parameter!$K$5,Parameter!$K$6+Parameter!$K$7)-(AW1133-AS1133))/AS1133)))</f>
        <v/>
      </c>
      <c r="AY1133" s="53">
        <f>IF(AC1133&lt;=0,"",IF(BR1133="Aussen","Aussenlager",IF(BR1133="-","Nicht im Lift",IF(AH1133&gt;=1,"Lift",IF(AH1133&lt;=0,"Aussenlager","teilweise")))))</f>
        <v/>
      </c>
      <c r="AZ1133" s="53">
        <f>IF(AK1133&lt;=0,"",IF(BR1133="Aussen","Aussenlager",IF(BR1133="-","Nicht im Lift",IF(AP1133&gt;=1,"Lift",IF(AP1133&lt;=0,"Aussenlager","teilweise")))))</f>
        <v/>
      </c>
      <c r="BA1133" s="53">
        <f>IF(AS1133&lt;=0,"",IF(BR1133="Aussen","Aussenlager",IF(BR1133="-","Nicht im Lift",IF(AX1133&gt;=1,"Lift",IF(AX1133&lt;=0,"Aussenlager","teilweise")))))</f>
        <v/>
      </c>
      <c r="BB1133" s="53">
        <f>IF(A1133="","",IF(BK1133=1,"Neu; ","")&amp;IF(AND(BK1133=0,BF1133&lt;0),"negativer Bestand (Export "&amp;BF1133&amp;"); ","")&amp;IF(I1133&lt;=0,"Kein Verbrauch; ","")&amp;IF(BO1133=1,"Lose – Fläche geschätzt; ","")&amp;IF(G1133&gt;AM1133,"Überbestand "&amp;ROUND(G1133-AM1133,0)&amp;" Stk / CHF "&amp;ROUND((G1133-AM1133)*F1133,0)&amp;"; ","")&amp;IF(AND(BT1133=1,BU1133&lt;BV1133),"MAX &lt; MB+LG; ","")&amp;IF(AND(BZ1133&gt;0,BY1133*10&gt;BZ1133),"zu hoch für Tablar; ","")&amp;IF(AND(BK1133=0,OR(BT1133=1,V1133&lt;&gt;"",S1133&lt;&gt;"",T1133&lt;&gt;"",W1133&lt;&gt;"")),"manuell übersteuert; ","")&amp;IF(AND(BO1133=0,Q1133=0),"Gebinde unbekannt; ","")&amp;IF(AND(BO1133=0,N(T1133)&lt;=0,N(P1133)&lt;=0),"Menge pro Gebinde fehlt (Ist = 1 Gebinde); ","")&amp;BJ1133)</f>
        <v/>
      </c>
      <c r="BC1133" s="53" t="n"/>
      <c r="BD1133" s="53" t="n"/>
      <c r="BE1133" s="61" t="n"/>
      <c r="BF1133" s="55" t="n">
        <v>-4</v>
      </c>
      <c r="BG1133" s="55" t="n">
        <v>4</v>
      </c>
      <c r="BH1133" s="54" t="n">
        <v>-260.28</v>
      </c>
      <c r="BI1133" s="55" t="n">
        <v>0</v>
      </c>
      <c r="BJ1133" s="53" t="inlineStr"/>
      <c r="BK1133" s="58" t="n">
        <v>0</v>
      </c>
      <c r="BL1133" s="58" t="n">
        <v>1133</v>
      </c>
      <c r="BM1133" s="53">
        <f>IF(S1133&lt;&gt;"",UPPER(TRIM(S1133)),IF(O1133="","LOSE",O1133))</f>
        <v/>
      </c>
      <c r="BN1133" s="55">
        <f>IF(BM1133="LOSE",1,IF(N(T1133)&gt;0,T1133,IF(N(P1133)&gt;0,P1133,MAX(1,G1133))))</f>
        <v/>
      </c>
      <c r="BO1133" s="58">
        <f>IF(BM1133="LOSE",1,0)</f>
        <v/>
      </c>
      <c r="BP1133" s="64">
        <f>IF(BO1133=0,0,IF(N(R1133)&gt;0,R1133,IFERROR(VLOOKUP(D1133,Parameter!$A$35:$C$64,3,0)+0,0)))</f>
        <v/>
      </c>
      <c r="BQ1133" s="53">
        <f>IF(V1133&lt;&gt;"",V1133,U1133)</f>
        <v/>
      </c>
      <c r="BR1133" s="53">
        <f>IF(BQ1133=1,"L1",IF(OR(BQ1133=2,BQ1133=3),"L23",IF(BQ1133="Aussen","Aussen","-")))</f>
        <v/>
      </c>
      <c r="BS1133" s="66">
        <f>IF(N(W1133)&gt;0,W1133,0)</f>
        <v/>
      </c>
      <c r="BT1133" s="58">
        <f>IF(ISNUMBER(Z1133),1,0)</f>
        <v/>
      </c>
      <c r="BU1133" s="55">
        <f>N(Z1133)</f>
        <v/>
      </c>
      <c r="BV1133" s="55">
        <f>N(L1133)+N(M1133)</f>
        <v/>
      </c>
      <c r="BW1133" s="55">
        <f>ROUNDUP(G1133/BN1133,0)</f>
        <v/>
      </c>
      <c r="BX1133" s="55">
        <f>ROUNDUP(BU1133/BN1133,0)</f>
        <v/>
      </c>
      <c r="BY1133" s="58">
        <f>IF(BO1133=1,0,IFERROR(VLOOKUP(BM1133,'Gebinde-Kategorie'!$A$5:$G$45,5,0)+0,0))</f>
        <v/>
      </c>
      <c r="BZ1133" s="58">
        <f>IFERROR(IF(OR(BQ1133=1,BQ1133=2,BQ1133=3),N(INDEX(Parameter!$I$5:$I$7,BQ1133)),0),0)</f>
        <v/>
      </c>
    </row>
    <row r="1134">
      <c r="A1134" s="53" t="inlineStr">
        <is>
          <t>107010</t>
        </is>
      </c>
      <c r="B1134" s="53" t="inlineStr">
        <is>
          <t>Einphasen-Sicherheitstrafo</t>
        </is>
      </c>
      <c r="C1134" s="53" t="inlineStr">
        <is>
          <t>F</t>
        </is>
      </c>
      <c r="D1134" s="53" t="inlineStr">
        <is>
          <t>KTL</t>
        </is>
      </c>
      <c r="E1134" s="53" t="inlineStr">
        <is>
          <t>C</t>
        </is>
      </c>
      <c r="F1134" s="54" t="n">
        <v>87.23</v>
      </c>
      <c r="G1134" s="55">
        <f>MAX(0,IF(Parameter!$B$20="Jahresanfang 2025 + Export",BG1134+BF1134,BF1134))</f>
        <v/>
      </c>
      <c r="H1134" s="55">
        <f>G1134*F1134</f>
        <v/>
      </c>
      <c r="I1134" s="55">
        <f>BI1134*Parameter!$B$18</f>
        <v/>
      </c>
      <c r="J1134" s="56" t="n">
        <v>31.5</v>
      </c>
      <c r="K1134" s="57" t="n">
        <v>0.06349206349206349</v>
      </c>
      <c r="L1134" s="55" t="n">
        <v>0</v>
      </c>
      <c r="M1134" s="55" t="n">
        <v>1</v>
      </c>
      <c r="N1134" s="58" t="n">
        <v>42</v>
      </c>
      <c r="O1134" s="53" t="inlineStr">
        <is>
          <t>S61</t>
        </is>
      </c>
      <c r="P1134" s="55" t="n">
        <v>8</v>
      </c>
      <c r="Q1134" s="59">
        <f>IF(BO1134=1,0,IFERROR(VLOOKUP(BM1134,'Gebinde-Kategorie'!$A$5:$G$45,6,0)+0,0))</f>
        <v/>
      </c>
      <c r="R1134" s="60" t="n"/>
      <c r="S1134" s="61" t="n"/>
      <c r="T1134" s="61" t="n"/>
      <c r="U1134" s="53">
        <f>IF(A1134="","",IF(IFERROR(VLOOKUP(D1134,Parameter!$A$35:$C$64,2,0),"Nein")="2+3",IF(ISNUMBER(SEARCH("grosser Artikel",BJ1134)),2,IFERROR(VLOOKUP(BM1134,Parameter!$F$35:$G$64,2,0),2)),IF(OR(IFERROR(VLOOKUP(D1134,Parameter!$A$35:$C$64,2,0),"Nein")="Nein",IFERROR(VLOOKUP(D1134,Parameter!$A$35:$C$64,2,0),"Nein")=""),"-",VLOOKUP(D1134,Parameter!$A$35:$C$64,2,0))))</f>
        <v/>
      </c>
      <c r="V1134" s="61" t="n"/>
      <c r="W1134" s="62" t="n"/>
      <c r="X1134" s="55">
        <f>AM1134</f>
        <v/>
      </c>
      <c r="Y1134" s="55">
        <f>MAX(AM1134,G1134)</f>
        <v/>
      </c>
      <c r="Z1134" s="63" t="n"/>
      <c r="AA1134" s="55">
        <f>IF(LEFT(Cockpit!$C$5,1)="A",G1134,IF(BT1134=1,BU1134,IF(LEFT(Cockpit!$C$5,1)="B",AE1134,MAX(AE1134,G1134))))</f>
        <v/>
      </c>
      <c r="AB1134" s="55">
        <f>IF(BO1134=1,0,ROUNDUP(AA1134/BN1134,0))</f>
        <v/>
      </c>
      <c r="AC1134" s="64">
        <f>IF(BO1134=1,IF(AA1134&lt;=0,0,BP1134*MAX(1,IF(G1134&gt;0,AA1134/G1134,1))),AB1134*Q1134)</f>
        <v/>
      </c>
      <c r="AD1134" s="55">
        <f>AA1134*F1134</f>
        <v/>
      </c>
      <c r="AE1134" s="55">
        <f>ROUNDUP(MAX(I1134/IF(BS1134&gt;0,BS1134,MAX(0.1,N(Cockpit!$C$6))),BV1134)/BN1134,0)*BN1134</f>
        <v/>
      </c>
      <c r="AF1134" s="56">
        <f>IF(AC1134&gt;0,I1134/AC1134,-1)</f>
        <v/>
      </c>
      <c r="AG1134" s="56">
        <f>IF(AND(OR(BR1134="L1",BR1134="L23"),AC1134&gt;0),SUMIFS($AC$7:$AC$1570,$BR$7:$BR$1570,BR1134,$AF$7:$AF$1570,"&gt;"&amp;AF1134)+SUMIFS($AC$7:$AC$1570,$BR$7:$BR$1570,BR1134,$AF$7:$AF$1570,AF1134,$BL$7:$BL$1570,"&lt;="&amp;BL1134),"")</f>
        <v/>
      </c>
      <c r="AH1134" s="65">
        <f>IF(AG1134="",0,MAX(0,MIN(1,(IF(BR1134="L1",Parameter!$K$5,Parameter!$K$6+Parameter!$K$7)-(AG1134-AC1134))/AC1134)))</f>
        <v/>
      </c>
      <c r="AI1134" s="55">
        <f>IF(LEFT(Cockpit!$I$5,1)="A",G1134,IF(BT1134=1,BU1134,IF(LEFT(Cockpit!$I$5,1)="B",AM1134,MAX(AM1134,G1134))))</f>
        <v/>
      </c>
      <c r="AJ1134" s="55">
        <f>IF(BO1134=1,0,ROUNDUP(AI1134/BN1134,0))</f>
        <v/>
      </c>
      <c r="AK1134" s="64">
        <f>IF(BO1134=1,IF(AI1134&lt;=0,0,BP1134*MAX(1,IF(G1134&gt;0,AI1134/G1134,1))),AJ1134*Q1134)</f>
        <v/>
      </c>
      <c r="AL1134" s="55">
        <f>AI1134*F1134</f>
        <v/>
      </c>
      <c r="AM1134" s="55">
        <f>ROUNDUP(MAX(I1134/IF(BS1134&gt;0,BS1134,MAX(0.1,N(Cockpit!$I$6))),BV1134)/BN1134,0)*BN1134</f>
        <v/>
      </c>
      <c r="AN1134" s="56">
        <f>IF(AK1134&gt;0,I1134/AK1134,-1)</f>
        <v/>
      </c>
      <c r="AO1134" s="56">
        <f>IF(AND(OR(BR1134="L1",BR1134="L23"),AK1134&gt;0),SUMIFS($AK$7:$AK$1570,$BR$7:$BR$1570,BR1134,$AN$7:$AN$1570,"&gt;"&amp;AN1134)+SUMIFS($AK$7:$AK$1570,$BR$7:$BR$1570,BR1134,$AN$7:$AN$1570,AN1134,$BL$7:$BL$1570,"&lt;="&amp;BL1134),"")</f>
        <v/>
      </c>
      <c r="AP1134" s="65">
        <f>IF(AO1134="",0,MAX(0,MIN(1,(IF(BR1134="L1",Parameter!$K$5,Parameter!$K$6+Parameter!$K$7)-(AO1134-AK1134))/AK1134)))</f>
        <v/>
      </c>
      <c r="AQ1134" s="55">
        <f>IF(LEFT(Cockpit!$O$5,1)="A",G1134,IF(BT1134=1,BU1134,IF(LEFT(Cockpit!$O$5,1)="B",AU1134,MAX(AU1134,G1134))))</f>
        <v/>
      </c>
      <c r="AR1134" s="55">
        <f>IF(BO1134=1,0,ROUNDUP(AQ1134/BN1134,0))</f>
        <v/>
      </c>
      <c r="AS1134" s="64">
        <f>IF(BO1134=1,IF(AQ1134&lt;=0,0,BP1134*MAX(1,IF(G1134&gt;0,AQ1134/G1134,1))),AR1134*Q1134)</f>
        <v/>
      </c>
      <c r="AT1134" s="55">
        <f>AQ1134*F1134</f>
        <v/>
      </c>
      <c r="AU1134" s="55">
        <f>ROUNDUP(MAX(I1134/IF(BS1134&gt;0,BS1134,MAX(0.1,N(Cockpit!$O$6))),BV1134)/BN1134,0)*BN1134</f>
        <v/>
      </c>
      <c r="AV1134" s="56">
        <f>IF(AS1134&gt;0,I1134/AS1134,-1)</f>
        <v/>
      </c>
      <c r="AW1134" s="56">
        <f>IF(AND(OR(BR1134="L1",BR1134="L23"),AS1134&gt;0),SUMIFS($AS$7:$AS$1570,$BR$7:$BR$1570,BR1134,$AV$7:$AV$1570,"&gt;"&amp;AV1134)+SUMIFS($AS$7:$AS$1570,$BR$7:$BR$1570,BR1134,$AV$7:$AV$1570,AV1134,$BL$7:$BL$1570,"&lt;="&amp;BL1134),"")</f>
        <v/>
      </c>
      <c r="AX1134" s="65">
        <f>IF(AW1134="",0,MAX(0,MIN(1,(IF(BR1134="L1",Parameter!$K$5,Parameter!$K$6+Parameter!$K$7)-(AW1134-AS1134))/AS1134)))</f>
        <v/>
      </c>
      <c r="AY1134" s="53">
        <f>IF(AC1134&lt;=0,"",IF(BR1134="Aussen","Aussenlager",IF(BR1134="-","Nicht im Lift",IF(AH1134&gt;=1,"Lift",IF(AH1134&lt;=0,"Aussenlager","teilweise")))))</f>
        <v/>
      </c>
      <c r="AZ1134" s="53">
        <f>IF(AK1134&lt;=0,"",IF(BR1134="Aussen","Aussenlager",IF(BR1134="-","Nicht im Lift",IF(AP1134&gt;=1,"Lift",IF(AP1134&lt;=0,"Aussenlager","teilweise")))))</f>
        <v/>
      </c>
      <c r="BA1134" s="53">
        <f>IF(AS1134&lt;=0,"",IF(BR1134="Aussen","Aussenlager",IF(BR1134="-","Nicht im Lift",IF(AX1134&gt;=1,"Lift",IF(AX1134&lt;=0,"Aussenlager","teilweise")))))</f>
        <v/>
      </c>
      <c r="BB1134" s="53">
        <f>IF(A1134="","",IF(BK1134=1,"Neu; ","")&amp;IF(AND(BK1134=0,BF1134&lt;0),"negativer Bestand (Export "&amp;BF1134&amp;"); ","")&amp;IF(I1134&lt;=0,"Kein Verbrauch; ","")&amp;IF(BO1134=1,"Lose – Fläche geschätzt; ","")&amp;IF(G1134&gt;AM1134,"Überbestand "&amp;ROUND(G1134-AM1134,0)&amp;" Stk / CHF "&amp;ROUND((G1134-AM1134)*F1134,0)&amp;"; ","")&amp;IF(AND(BT1134=1,BU1134&lt;BV1134),"MAX &lt; MB+LG; ","")&amp;IF(AND(BZ1134&gt;0,BY1134*10&gt;BZ1134),"zu hoch für Tablar; ","")&amp;IF(AND(BK1134=0,OR(BT1134=1,V1134&lt;&gt;"",S1134&lt;&gt;"",T1134&lt;&gt;"",W1134&lt;&gt;"")),"manuell übersteuert; ","")&amp;IF(AND(BO1134=0,Q1134=0),"Gebinde unbekannt; ","")&amp;IF(AND(BO1134=0,N(T1134)&lt;=0,N(P1134)&lt;=0),"Menge pro Gebinde fehlt (Ist = 1 Gebinde); ","")&amp;BJ1134)</f>
        <v/>
      </c>
      <c r="BC1134" s="53" t="n"/>
      <c r="BD1134" s="53" t="n"/>
      <c r="BE1134" s="61" t="n"/>
      <c r="BF1134" s="55" t="n">
        <v>-3</v>
      </c>
      <c r="BG1134" s="55" t="n">
        <v>33</v>
      </c>
      <c r="BH1134" s="54" t="n">
        <v>-261.69</v>
      </c>
      <c r="BI1134" s="55" t="n">
        <v>2</v>
      </c>
      <c r="BJ1134" s="53" t="inlineStr">
        <is>
          <t>Neu</t>
        </is>
      </c>
      <c r="BK1134" s="58" t="n">
        <v>0</v>
      </c>
      <c r="BL1134" s="58" t="n">
        <v>1134</v>
      </c>
      <c r="BM1134" s="53">
        <f>IF(S1134&lt;&gt;"",UPPER(TRIM(S1134)),IF(O1134="","LOSE",O1134))</f>
        <v/>
      </c>
      <c r="BN1134" s="55">
        <f>IF(BM1134="LOSE",1,IF(N(T1134)&gt;0,T1134,IF(N(P1134)&gt;0,P1134,MAX(1,G1134))))</f>
        <v/>
      </c>
      <c r="BO1134" s="58">
        <f>IF(BM1134="LOSE",1,0)</f>
        <v/>
      </c>
      <c r="BP1134" s="64">
        <f>IF(BO1134=0,0,IF(N(R1134)&gt;0,R1134,IFERROR(VLOOKUP(D1134,Parameter!$A$35:$C$64,3,0)+0,0)))</f>
        <v/>
      </c>
      <c r="BQ1134" s="53">
        <f>IF(V1134&lt;&gt;"",V1134,U1134)</f>
        <v/>
      </c>
      <c r="BR1134" s="53">
        <f>IF(BQ1134=1,"L1",IF(OR(BQ1134=2,BQ1134=3),"L23",IF(BQ1134="Aussen","Aussen","-")))</f>
        <v/>
      </c>
      <c r="BS1134" s="66">
        <f>IF(N(W1134)&gt;0,W1134,0)</f>
        <v/>
      </c>
      <c r="BT1134" s="58">
        <f>IF(ISNUMBER(Z1134),1,0)</f>
        <v/>
      </c>
      <c r="BU1134" s="55">
        <f>N(Z1134)</f>
        <v/>
      </c>
      <c r="BV1134" s="55">
        <f>N(L1134)+N(M1134)</f>
        <v/>
      </c>
      <c r="BW1134" s="55">
        <f>ROUNDUP(G1134/BN1134,0)</f>
        <v/>
      </c>
      <c r="BX1134" s="55">
        <f>ROUNDUP(BU1134/BN1134,0)</f>
        <v/>
      </c>
      <c r="BY1134" s="58">
        <f>IF(BO1134=1,0,IFERROR(VLOOKUP(BM1134,'Gebinde-Kategorie'!$A$5:$G$45,5,0)+0,0))</f>
        <v/>
      </c>
      <c r="BZ1134" s="58">
        <f>IFERROR(IF(OR(BQ1134=1,BQ1134=2,BQ1134=3),N(INDEX(Parameter!$I$5:$I$7,BQ1134)),0),0)</f>
        <v/>
      </c>
    </row>
    <row r="1135">
      <c r="A1135" s="53" t="inlineStr">
        <is>
          <t>106859</t>
        </is>
      </c>
      <c r="B1135" s="53" t="inlineStr">
        <is>
          <t>Joch</t>
        </is>
      </c>
      <c r="C1135" s="53" t="inlineStr">
        <is>
          <t>F</t>
        </is>
      </c>
      <c r="D1135" s="53" t="inlineStr">
        <is>
          <t>KTL</t>
        </is>
      </c>
      <c r="E1135" s="53" t="inlineStr">
        <is>
          <t>C</t>
        </is>
      </c>
      <c r="F1135" s="54" t="n">
        <v>20.24</v>
      </c>
      <c r="G1135" s="55">
        <f>MAX(0,IF(Parameter!$B$20="Jahresanfang 2025 + Export",BG1135+BF1135,BF1135))</f>
        <v/>
      </c>
      <c r="H1135" s="55">
        <f>G1135*F1135</f>
        <v/>
      </c>
      <c r="I1135" s="55">
        <f>BI1135*Parameter!$B$18</f>
        <v/>
      </c>
      <c r="J1135" s="56" t="n">
        <v>14</v>
      </c>
      <c r="K1135" s="57" t="n">
        <v>0.7142857142857143</v>
      </c>
      <c r="L1135" s="55" t="n">
        <v>0</v>
      </c>
      <c r="M1135" s="55" t="n">
        <v>10</v>
      </c>
      <c r="N1135" s="58" t="n">
        <v>28</v>
      </c>
      <c r="O1135" s="53" t="inlineStr">
        <is>
          <t>S33</t>
        </is>
      </c>
      <c r="P1135" s="55" t="n">
        <v>7</v>
      </c>
      <c r="Q1135" s="59">
        <f>IF(BO1135=1,0,IFERROR(VLOOKUP(BM1135,'Gebinde-Kategorie'!$A$5:$G$45,6,0)+0,0))</f>
        <v/>
      </c>
      <c r="R1135" s="60" t="n"/>
      <c r="S1135" s="61" t="n"/>
      <c r="T1135" s="61" t="n"/>
      <c r="U1135" s="53">
        <f>IF(A1135="","",IF(IFERROR(VLOOKUP(D1135,Parameter!$A$35:$C$64,2,0),"Nein")="2+3",IF(ISNUMBER(SEARCH("grosser Artikel",BJ1135)),2,IFERROR(VLOOKUP(BM1135,Parameter!$F$35:$G$64,2,0),2)),IF(OR(IFERROR(VLOOKUP(D1135,Parameter!$A$35:$C$64,2,0),"Nein")="Nein",IFERROR(VLOOKUP(D1135,Parameter!$A$35:$C$64,2,0),"Nein")=""),"-",VLOOKUP(D1135,Parameter!$A$35:$C$64,2,0))))</f>
        <v/>
      </c>
      <c r="V1135" s="61" t="n"/>
      <c r="W1135" s="62" t="n"/>
      <c r="X1135" s="55">
        <f>AM1135</f>
        <v/>
      </c>
      <c r="Y1135" s="55">
        <f>MAX(AM1135,G1135)</f>
        <v/>
      </c>
      <c r="Z1135" s="63" t="n"/>
      <c r="AA1135" s="55">
        <f>IF(LEFT(Cockpit!$C$5,1)="A",G1135,IF(BT1135=1,BU1135,IF(LEFT(Cockpit!$C$5,1)="B",AE1135,MAX(AE1135,G1135))))</f>
        <v/>
      </c>
      <c r="AB1135" s="55">
        <f>IF(BO1135=1,0,ROUNDUP(AA1135/BN1135,0))</f>
        <v/>
      </c>
      <c r="AC1135" s="64">
        <f>IF(BO1135=1,IF(AA1135&lt;=0,0,BP1135*MAX(1,IF(G1135&gt;0,AA1135/G1135,1))),AB1135*Q1135)</f>
        <v/>
      </c>
      <c r="AD1135" s="55">
        <f>AA1135*F1135</f>
        <v/>
      </c>
      <c r="AE1135" s="55">
        <f>ROUNDUP(MAX(I1135/IF(BS1135&gt;0,BS1135,MAX(0.1,N(Cockpit!$C$6))),BV1135)/BN1135,0)*BN1135</f>
        <v/>
      </c>
      <c r="AF1135" s="56">
        <f>IF(AC1135&gt;0,I1135/AC1135,-1)</f>
        <v/>
      </c>
      <c r="AG1135" s="56">
        <f>IF(AND(OR(BR1135="L1",BR1135="L23"),AC1135&gt;0),SUMIFS($AC$7:$AC$1570,$BR$7:$BR$1570,BR1135,$AF$7:$AF$1570,"&gt;"&amp;AF1135)+SUMIFS($AC$7:$AC$1570,$BR$7:$BR$1570,BR1135,$AF$7:$AF$1570,AF1135,$BL$7:$BL$1570,"&lt;="&amp;BL1135),"")</f>
        <v/>
      </c>
      <c r="AH1135" s="65">
        <f>IF(AG1135="",0,MAX(0,MIN(1,(IF(BR1135="L1",Parameter!$K$5,Parameter!$K$6+Parameter!$K$7)-(AG1135-AC1135))/AC1135)))</f>
        <v/>
      </c>
      <c r="AI1135" s="55">
        <f>IF(LEFT(Cockpit!$I$5,1)="A",G1135,IF(BT1135=1,BU1135,IF(LEFT(Cockpit!$I$5,1)="B",AM1135,MAX(AM1135,G1135))))</f>
        <v/>
      </c>
      <c r="AJ1135" s="55">
        <f>IF(BO1135=1,0,ROUNDUP(AI1135/BN1135,0))</f>
        <v/>
      </c>
      <c r="AK1135" s="64">
        <f>IF(BO1135=1,IF(AI1135&lt;=0,0,BP1135*MAX(1,IF(G1135&gt;0,AI1135/G1135,1))),AJ1135*Q1135)</f>
        <v/>
      </c>
      <c r="AL1135" s="55">
        <f>AI1135*F1135</f>
        <v/>
      </c>
      <c r="AM1135" s="55">
        <f>ROUNDUP(MAX(I1135/IF(BS1135&gt;0,BS1135,MAX(0.1,N(Cockpit!$I$6))),BV1135)/BN1135,0)*BN1135</f>
        <v/>
      </c>
      <c r="AN1135" s="56">
        <f>IF(AK1135&gt;0,I1135/AK1135,-1)</f>
        <v/>
      </c>
      <c r="AO1135" s="56">
        <f>IF(AND(OR(BR1135="L1",BR1135="L23"),AK1135&gt;0),SUMIFS($AK$7:$AK$1570,$BR$7:$BR$1570,BR1135,$AN$7:$AN$1570,"&gt;"&amp;AN1135)+SUMIFS($AK$7:$AK$1570,$BR$7:$BR$1570,BR1135,$AN$7:$AN$1570,AN1135,$BL$7:$BL$1570,"&lt;="&amp;BL1135),"")</f>
        <v/>
      </c>
      <c r="AP1135" s="65">
        <f>IF(AO1135="",0,MAX(0,MIN(1,(IF(BR1135="L1",Parameter!$K$5,Parameter!$K$6+Parameter!$K$7)-(AO1135-AK1135))/AK1135)))</f>
        <v/>
      </c>
      <c r="AQ1135" s="55">
        <f>IF(LEFT(Cockpit!$O$5,1)="A",G1135,IF(BT1135=1,BU1135,IF(LEFT(Cockpit!$O$5,1)="B",AU1135,MAX(AU1135,G1135))))</f>
        <v/>
      </c>
      <c r="AR1135" s="55">
        <f>IF(BO1135=1,0,ROUNDUP(AQ1135/BN1135,0))</f>
        <v/>
      </c>
      <c r="AS1135" s="64">
        <f>IF(BO1135=1,IF(AQ1135&lt;=0,0,BP1135*MAX(1,IF(G1135&gt;0,AQ1135/G1135,1))),AR1135*Q1135)</f>
        <v/>
      </c>
      <c r="AT1135" s="55">
        <f>AQ1135*F1135</f>
        <v/>
      </c>
      <c r="AU1135" s="55">
        <f>ROUNDUP(MAX(I1135/IF(BS1135&gt;0,BS1135,MAX(0.1,N(Cockpit!$O$6))),BV1135)/BN1135,0)*BN1135</f>
        <v/>
      </c>
      <c r="AV1135" s="56">
        <f>IF(AS1135&gt;0,I1135/AS1135,-1)</f>
        <v/>
      </c>
      <c r="AW1135" s="56">
        <f>IF(AND(OR(BR1135="L1",BR1135="L23"),AS1135&gt;0),SUMIFS($AS$7:$AS$1570,$BR$7:$BR$1570,BR1135,$AV$7:$AV$1570,"&gt;"&amp;AV1135)+SUMIFS($AS$7:$AS$1570,$BR$7:$BR$1570,BR1135,$AV$7:$AV$1570,AV1135,$BL$7:$BL$1570,"&lt;="&amp;BL1135),"")</f>
        <v/>
      </c>
      <c r="AX1135" s="65">
        <f>IF(AW1135="",0,MAX(0,MIN(1,(IF(BR1135="L1",Parameter!$K$5,Parameter!$K$6+Parameter!$K$7)-(AW1135-AS1135))/AS1135)))</f>
        <v/>
      </c>
      <c r="AY1135" s="53">
        <f>IF(AC1135&lt;=0,"",IF(BR1135="Aussen","Aussenlager",IF(BR1135="-","Nicht im Lift",IF(AH1135&gt;=1,"Lift",IF(AH1135&lt;=0,"Aussenlager","teilweise")))))</f>
        <v/>
      </c>
      <c r="AZ1135" s="53">
        <f>IF(AK1135&lt;=0,"",IF(BR1135="Aussen","Aussenlager",IF(BR1135="-","Nicht im Lift",IF(AP1135&gt;=1,"Lift",IF(AP1135&lt;=0,"Aussenlager","teilweise")))))</f>
        <v/>
      </c>
      <c r="BA1135" s="53">
        <f>IF(AS1135&lt;=0,"",IF(BR1135="Aussen","Aussenlager",IF(BR1135="-","Nicht im Lift",IF(AX1135&gt;=1,"Lift",IF(AX1135&lt;=0,"Aussenlager","teilweise")))))</f>
        <v/>
      </c>
      <c r="BB1135" s="53">
        <f>IF(A1135="","",IF(BK1135=1,"Neu; ","")&amp;IF(AND(BK1135=0,BF1135&lt;0),"negativer Bestand (Export "&amp;BF1135&amp;"); ","")&amp;IF(I1135&lt;=0,"Kein Verbrauch; ","")&amp;IF(BO1135=1,"Lose – Fläche geschätzt; ","")&amp;IF(G1135&gt;AM1135,"Überbestand "&amp;ROUND(G1135-AM1135,0)&amp;" Stk / CHF "&amp;ROUND((G1135-AM1135)*F1135,0)&amp;"; ","")&amp;IF(AND(BT1135=1,BU1135&lt;BV1135),"MAX &lt; MB+LG; ","")&amp;IF(AND(BZ1135&gt;0,BY1135*10&gt;BZ1135),"zu hoch für Tablar; ","")&amp;IF(AND(BK1135=0,OR(BT1135=1,V1135&lt;&gt;"",S1135&lt;&gt;"",T1135&lt;&gt;"",W1135&lt;&gt;"")),"manuell übersteuert; ","")&amp;IF(AND(BO1135=0,Q1135=0),"Gebinde unbekannt; ","")&amp;IF(AND(BO1135=0,N(T1135)&lt;=0,N(P1135)&lt;=0),"Menge pro Gebinde fehlt (Ist = 1 Gebinde); ","")&amp;BJ1135)</f>
        <v/>
      </c>
      <c r="BC1135" s="53" t="n"/>
      <c r="BD1135" s="53" t="n"/>
      <c r="BE1135" s="61" t="n"/>
      <c r="BF1135" s="55" t="n">
        <v>-13</v>
      </c>
      <c r="BG1135" s="55" t="n">
        <v>19</v>
      </c>
      <c r="BH1135" s="54" t="n">
        <v>-263.12</v>
      </c>
      <c r="BI1135" s="55" t="n">
        <v>10</v>
      </c>
      <c r="BJ1135" s="53" t="inlineStr"/>
      <c r="BK1135" s="58" t="n">
        <v>0</v>
      </c>
      <c r="BL1135" s="58" t="n">
        <v>1135</v>
      </c>
      <c r="BM1135" s="53">
        <f>IF(S1135&lt;&gt;"",UPPER(TRIM(S1135)),IF(O1135="","LOSE",O1135))</f>
        <v/>
      </c>
      <c r="BN1135" s="55">
        <f>IF(BM1135="LOSE",1,IF(N(T1135)&gt;0,T1135,IF(N(P1135)&gt;0,P1135,MAX(1,G1135))))</f>
        <v/>
      </c>
      <c r="BO1135" s="58">
        <f>IF(BM1135="LOSE",1,0)</f>
        <v/>
      </c>
      <c r="BP1135" s="64">
        <f>IF(BO1135=0,0,IF(N(R1135)&gt;0,R1135,IFERROR(VLOOKUP(D1135,Parameter!$A$35:$C$64,3,0)+0,0)))</f>
        <v/>
      </c>
      <c r="BQ1135" s="53">
        <f>IF(V1135&lt;&gt;"",V1135,U1135)</f>
        <v/>
      </c>
      <c r="BR1135" s="53">
        <f>IF(BQ1135=1,"L1",IF(OR(BQ1135=2,BQ1135=3),"L23",IF(BQ1135="Aussen","Aussen","-")))</f>
        <v/>
      </c>
      <c r="BS1135" s="66">
        <f>IF(N(W1135)&gt;0,W1135,0)</f>
        <v/>
      </c>
      <c r="BT1135" s="58">
        <f>IF(ISNUMBER(Z1135),1,0)</f>
        <v/>
      </c>
      <c r="BU1135" s="55">
        <f>N(Z1135)</f>
        <v/>
      </c>
      <c r="BV1135" s="55">
        <f>N(L1135)+N(M1135)</f>
        <v/>
      </c>
      <c r="BW1135" s="55">
        <f>ROUNDUP(G1135/BN1135,0)</f>
        <v/>
      </c>
      <c r="BX1135" s="55">
        <f>ROUNDUP(BU1135/BN1135,0)</f>
        <v/>
      </c>
      <c r="BY1135" s="58">
        <f>IF(BO1135=1,0,IFERROR(VLOOKUP(BM1135,'Gebinde-Kategorie'!$A$5:$G$45,5,0)+0,0))</f>
        <v/>
      </c>
      <c r="BZ1135" s="58">
        <f>IFERROR(IF(OR(BQ1135=1,BQ1135=2,BQ1135=3),N(INDEX(Parameter!$I$5:$I$7,BQ1135)),0),0)</f>
        <v/>
      </c>
    </row>
    <row r="1136">
      <c r="A1136" s="53" t="inlineStr">
        <is>
          <t>108610</t>
        </is>
      </c>
      <c r="B1136" s="53" t="inlineStr">
        <is>
          <t>Lasttrennschalter</t>
        </is>
      </c>
      <c r="C1136" s="53" t="inlineStr">
        <is>
          <t>F</t>
        </is>
      </c>
      <c r="D1136" s="53" t="inlineStr">
        <is>
          <t>KTL</t>
        </is>
      </c>
      <c r="E1136" s="53" t="inlineStr">
        <is>
          <t>C</t>
        </is>
      </c>
      <c r="F1136" s="54" t="n">
        <v>66.83</v>
      </c>
      <c r="G1136" s="55">
        <f>MAX(0,IF(Parameter!$B$20="Jahresanfang 2025 + Export",BG1136+BF1136,BF1136))</f>
        <v/>
      </c>
      <c r="H1136" s="55">
        <f>G1136*F1136</f>
        <v/>
      </c>
      <c r="I1136" s="55">
        <f>BI1136*Parameter!$B$18</f>
        <v/>
      </c>
      <c r="J1136" s="56" t="n">
        <v>8.5</v>
      </c>
      <c r="K1136" s="57" t="n">
        <v>0</v>
      </c>
      <c r="L1136" s="55" t="n">
        <v>0</v>
      </c>
      <c r="M1136" s="55" t="n">
        <v>1</v>
      </c>
      <c r="N1136" s="58" t="n">
        <v>28</v>
      </c>
      <c r="O1136" s="53" t="inlineStr">
        <is>
          <t>S51</t>
        </is>
      </c>
      <c r="P1136" s="55" t="n">
        <v>6</v>
      </c>
      <c r="Q1136" s="59">
        <f>IF(BO1136=1,0,IFERROR(VLOOKUP(BM1136,'Gebinde-Kategorie'!$A$5:$G$45,6,0)+0,0))</f>
        <v/>
      </c>
      <c r="R1136" s="60" t="n"/>
      <c r="S1136" s="61" t="n"/>
      <c r="T1136" s="61" t="n"/>
      <c r="U1136" s="53">
        <f>IF(A1136="","",IF(IFERROR(VLOOKUP(D1136,Parameter!$A$35:$C$64,2,0),"Nein")="2+3",IF(ISNUMBER(SEARCH("grosser Artikel",BJ1136)),2,IFERROR(VLOOKUP(BM1136,Parameter!$F$35:$G$64,2,0),2)),IF(OR(IFERROR(VLOOKUP(D1136,Parameter!$A$35:$C$64,2,0),"Nein")="Nein",IFERROR(VLOOKUP(D1136,Parameter!$A$35:$C$64,2,0),"Nein")=""),"-",VLOOKUP(D1136,Parameter!$A$35:$C$64,2,0))))</f>
        <v/>
      </c>
      <c r="V1136" s="61" t="n"/>
      <c r="W1136" s="62" t="n"/>
      <c r="X1136" s="55">
        <f>AM1136</f>
        <v/>
      </c>
      <c r="Y1136" s="55">
        <f>MAX(AM1136,G1136)</f>
        <v/>
      </c>
      <c r="Z1136" s="63" t="n"/>
      <c r="AA1136" s="55">
        <f>IF(LEFT(Cockpit!$C$5,1)="A",G1136,IF(BT1136=1,BU1136,IF(LEFT(Cockpit!$C$5,1)="B",AE1136,MAX(AE1136,G1136))))</f>
        <v/>
      </c>
      <c r="AB1136" s="55">
        <f>IF(BO1136=1,0,ROUNDUP(AA1136/BN1136,0))</f>
        <v/>
      </c>
      <c r="AC1136" s="64">
        <f>IF(BO1136=1,IF(AA1136&lt;=0,0,BP1136*MAX(1,IF(G1136&gt;0,AA1136/G1136,1))),AB1136*Q1136)</f>
        <v/>
      </c>
      <c r="AD1136" s="55">
        <f>AA1136*F1136</f>
        <v/>
      </c>
      <c r="AE1136" s="55">
        <f>ROUNDUP(MAX(I1136/IF(BS1136&gt;0,BS1136,MAX(0.1,N(Cockpit!$C$6))),BV1136)/BN1136,0)*BN1136</f>
        <v/>
      </c>
      <c r="AF1136" s="56">
        <f>IF(AC1136&gt;0,I1136/AC1136,-1)</f>
        <v/>
      </c>
      <c r="AG1136" s="56">
        <f>IF(AND(OR(BR1136="L1",BR1136="L23"),AC1136&gt;0),SUMIFS($AC$7:$AC$1570,$BR$7:$BR$1570,BR1136,$AF$7:$AF$1570,"&gt;"&amp;AF1136)+SUMIFS($AC$7:$AC$1570,$BR$7:$BR$1570,BR1136,$AF$7:$AF$1570,AF1136,$BL$7:$BL$1570,"&lt;="&amp;BL1136),"")</f>
        <v/>
      </c>
      <c r="AH1136" s="65">
        <f>IF(AG1136="",0,MAX(0,MIN(1,(IF(BR1136="L1",Parameter!$K$5,Parameter!$K$6+Parameter!$K$7)-(AG1136-AC1136))/AC1136)))</f>
        <v/>
      </c>
      <c r="AI1136" s="55">
        <f>IF(LEFT(Cockpit!$I$5,1)="A",G1136,IF(BT1136=1,BU1136,IF(LEFT(Cockpit!$I$5,1)="B",AM1136,MAX(AM1136,G1136))))</f>
        <v/>
      </c>
      <c r="AJ1136" s="55">
        <f>IF(BO1136=1,0,ROUNDUP(AI1136/BN1136,0))</f>
        <v/>
      </c>
      <c r="AK1136" s="64">
        <f>IF(BO1136=1,IF(AI1136&lt;=0,0,BP1136*MAX(1,IF(G1136&gt;0,AI1136/G1136,1))),AJ1136*Q1136)</f>
        <v/>
      </c>
      <c r="AL1136" s="55">
        <f>AI1136*F1136</f>
        <v/>
      </c>
      <c r="AM1136" s="55">
        <f>ROUNDUP(MAX(I1136/IF(BS1136&gt;0,BS1136,MAX(0.1,N(Cockpit!$I$6))),BV1136)/BN1136,0)*BN1136</f>
        <v/>
      </c>
      <c r="AN1136" s="56">
        <f>IF(AK1136&gt;0,I1136/AK1136,-1)</f>
        <v/>
      </c>
      <c r="AO1136" s="56">
        <f>IF(AND(OR(BR1136="L1",BR1136="L23"),AK1136&gt;0),SUMIFS($AK$7:$AK$1570,$BR$7:$BR$1570,BR1136,$AN$7:$AN$1570,"&gt;"&amp;AN1136)+SUMIFS($AK$7:$AK$1570,$BR$7:$BR$1570,BR1136,$AN$7:$AN$1570,AN1136,$BL$7:$BL$1570,"&lt;="&amp;BL1136),"")</f>
        <v/>
      </c>
      <c r="AP1136" s="65">
        <f>IF(AO1136="",0,MAX(0,MIN(1,(IF(BR1136="L1",Parameter!$K$5,Parameter!$K$6+Parameter!$K$7)-(AO1136-AK1136))/AK1136)))</f>
        <v/>
      </c>
      <c r="AQ1136" s="55">
        <f>IF(LEFT(Cockpit!$O$5,1)="A",G1136,IF(BT1136=1,BU1136,IF(LEFT(Cockpit!$O$5,1)="B",AU1136,MAX(AU1136,G1136))))</f>
        <v/>
      </c>
      <c r="AR1136" s="55">
        <f>IF(BO1136=1,0,ROUNDUP(AQ1136/BN1136,0))</f>
        <v/>
      </c>
      <c r="AS1136" s="64">
        <f>IF(BO1136=1,IF(AQ1136&lt;=0,0,BP1136*MAX(1,IF(G1136&gt;0,AQ1136/G1136,1))),AR1136*Q1136)</f>
        <v/>
      </c>
      <c r="AT1136" s="55">
        <f>AQ1136*F1136</f>
        <v/>
      </c>
      <c r="AU1136" s="55">
        <f>ROUNDUP(MAX(I1136/IF(BS1136&gt;0,BS1136,MAX(0.1,N(Cockpit!$O$6))),BV1136)/BN1136,0)*BN1136</f>
        <v/>
      </c>
      <c r="AV1136" s="56">
        <f>IF(AS1136&gt;0,I1136/AS1136,-1)</f>
        <v/>
      </c>
      <c r="AW1136" s="56">
        <f>IF(AND(OR(BR1136="L1",BR1136="L23"),AS1136&gt;0),SUMIFS($AS$7:$AS$1570,$BR$7:$BR$1570,BR1136,$AV$7:$AV$1570,"&gt;"&amp;AV1136)+SUMIFS($AS$7:$AS$1570,$BR$7:$BR$1570,BR1136,$AV$7:$AV$1570,AV1136,$BL$7:$BL$1570,"&lt;="&amp;BL1136),"")</f>
        <v/>
      </c>
      <c r="AX1136" s="65">
        <f>IF(AW1136="",0,MAX(0,MIN(1,(IF(BR1136="L1",Parameter!$K$5,Parameter!$K$6+Parameter!$K$7)-(AW1136-AS1136))/AS1136)))</f>
        <v/>
      </c>
      <c r="AY1136" s="53">
        <f>IF(AC1136&lt;=0,"",IF(BR1136="Aussen","Aussenlager",IF(BR1136="-","Nicht im Lift",IF(AH1136&gt;=1,"Lift",IF(AH1136&lt;=0,"Aussenlager","teilweise")))))</f>
        <v/>
      </c>
      <c r="AZ1136" s="53">
        <f>IF(AK1136&lt;=0,"",IF(BR1136="Aussen","Aussenlager",IF(BR1136="-","Nicht im Lift",IF(AP1136&gt;=1,"Lift",IF(AP1136&lt;=0,"Aussenlager","teilweise")))))</f>
        <v/>
      </c>
      <c r="BA1136" s="53">
        <f>IF(AS1136&lt;=0,"",IF(BR1136="Aussen","Aussenlager",IF(BR1136="-","Nicht im Lift",IF(AX1136&gt;=1,"Lift",IF(AX1136&lt;=0,"Aussenlager","teilweise")))))</f>
        <v/>
      </c>
      <c r="BB1136" s="53">
        <f>IF(A1136="","",IF(BK1136=1,"Neu; ","")&amp;IF(AND(BK1136=0,BF1136&lt;0),"negativer Bestand (Export "&amp;BF1136&amp;"); ","")&amp;IF(I1136&lt;=0,"Kein Verbrauch; ","")&amp;IF(BO1136=1,"Lose – Fläche geschätzt; ","")&amp;IF(G1136&gt;AM1136,"Überbestand "&amp;ROUND(G1136-AM1136,0)&amp;" Stk / CHF "&amp;ROUND((G1136-AM1136)*F1136,0)&amp;"; ","")&amp;IF(AND(BT1136=1,BU1136&lt;BV1136),"MAX &lt; MB+LG; ","")&amp;IF(AND(BZ1136&gt;0,BY1136*10&gt;BZ1136),"zu hoch für Tablar; ","")&amp;IF(AND(BK1136=0,OR(BT1136=1,V1136&lt;&gt;"",S1136&lt;&gt;"",T1136&lt;&gt;"",W1136&lt;&gt;"")),"manuell übersteuert; ","")&amp;IF(AND(BO1136=0,Q1136=0),"Gebinde unbekannt; ","")&amp;IF(AND(BO1136=0,N(T1136)&lt;=0,N(P1136)&lt;=0),"Menge pro Gebinde fehlt (Ist = 1 Gebinde); ","")&amp;BJ1136)</f>
        <v/>
      </c>
      <c r="BC1136" s="53" t="n"/>
      <c r="BD1136" s="53" t="n"/>
      <c r="BE1136" s="61" t="n"/>
      <c r="BF1136" s="55" t="n">
        <v>-4</v>
      </c>
      <c r="BG1136" s="55" t="n">
        <v>8</v>
      </c>
      <c r="BH1136" s="54" t="n">
        <v>-267.32</v>
      </c>
      <c r="BI1136" s="55" t="n">
        <v>0</v>
      </c>
      <c r="BJ1136" s="53" t="inlineStr"/>
      <c r="BK1136" s="58" t="n">
        <v>0</v>
      </c>
      <c r="BL1136" s="58" t="n">
        <v>1136</v>
      </c>
      <c r="BM1136" s="53">
        <f>IF(S1136&lt;&gt;"",UPPER(TRIM(S1136)),IF(O1136="","LOSE",O1136))</f>
        <v/>
      </c>
      <c r="BN1136" s="55">
        <f>IF(BM1136="LOSE",1,IF(N(T1136)&gt;0,T1136,IF(N(P1136)&gt;0,P1136,MAX(1,G1136))))</f>
        <v/>
      </c>
      <c r="BO1136" s="58">
        <f>IF(BM1136="LOSE",1,0)</f>
        <v/>
      </c>
      <c r="BP1136" s="64">
        <f>IF(BO1136=0,0,IF(N(R1136)&gt;0,R1136,IFERROR(VLOOKUP(D1136,Parameter!$A$35:$C$64,3,0)+0,0)))</f>
        <v/>
      </c>
      <c r="BQ1136" s="53">
        <f>IF(V1136&lt;&gt;"",V1136,U1136)</f>
        <v/>
      </c>
      <c r="BR1136" s="53">
        <f>IF(BQ1136=1,"L1",IF(OR(BQ1136=2,BQ1136=3),"L23",IF(BQ1136="Aussen","Aussen","-")))</f>
        <v/>
      </c>
      <c r="BS1136" s="66">
        <f>IF(N(W1136)&gt;0,W1136,0)</f>
        <v/>
      </c>
      <c r="BT1136" s="58">
        <f>IF(ISNUMBER(Z1136),1,0)</f>
        <v/>
      </c>
      <c r="BU1136" s="55">
        <f>N(Z1136)</f>
        <v/>
      </c>
      <c r="BV1136" s="55">
        <f>N(L1136)+N(M1136)</f>
        <v/>
      </c>
      <c r="BW1136" s="55">
        <f>ROUNDUP(G1136/BN1136,0)</f>
        <v/>
      </c>
      <c r="BX1136" s="55">
        <f>ROUNDUP(BU1136/BN1136,0)</f>
        <v/>
      </c>
      <c r="BY1136" s="58">
        <f>IF(BO1136=1,0,IFERROR(VLOOKUP(BM1136,'Gebinde-Kategorie'!$A$5:$G$45,5,0)+0,0))</f>
        <v/>
      </c>
      <c r="BZ1136" s="58">
        <f>IFERROR(IF(OR(BQ1136=1,BQ1136=2,BQ1136=3),N(INDEX(Parameter!$I$5:$I$7,BQ1136)),0),0)</f>
        <v/>
      </c>
    </row>
    <row r="1137">
      <c r="A1137" s="53" t="inlineStr">
        <is>
          <t>109648</t>
        </is>
      </c>
      <c r="B1137" s="53" t="inlineStr">
        <is>
          <t>Federhänger Spezial Vanetto</t>
        </is>
      </c>
      <c r="C1137" s="53" t="inlineStr">
        <is>
          <t>F</t>
        </is>
      </c>
      <c r="D1137" s="53" t="inlineStr">
        <is>
          <t>KTL</t>
        </is>
      </c>
      <c r="E1137" s="53" t="inlineStr">
        <is>
          <t>C</t>
        </is>
      </c>
      <c r="F1137" s="54" t="n">
        <v>275.65</v>
      </c>
      <c r="G1137" s="55">
        <f>MAX(0,IF(Parameter!$B$20="Jahresanfang 2025 + Export",BG1137+BF1137,BF1137))</f>
        <v/>
      </c>
      <c r="H1137" s="55">
        <f>G1137*F1137</f>
        <v/>
      </c>
      <c r="I1137" s="55">
        <f>BI1137*Parameter!$B$18</f>
        <v/>
      </c>
      <c r="J1137" s="56" t="n">
        <v>2</v>
      </c>
      <c r="K1137" s="57" t="n">
        <v>0</v>
      </c>
      <c r="L1137" s="55" t="n">
        <v>0</v>
      </c>
      <c r="M1137" s="55" t="n">
        <v>2</v>
      </c>
      <c r="N1137" s="58" t="n">
        <v>70</v>
      </c>
      <c r="O1137" s="53" t="inlineStr">
        <is>
          <t>S63</t>
        </is>
      </c>
      <c r="P1137" s="55" t="n">
        <v>2</v>
      </c>
      <c r="Q1137" s="59">
        <f>IF(BO1137=1,0,IFERROR(VLOOKUP(BM1137,'Gebinde-Kategorie'!$A$5:$G$45,6,0)+0,0))</f>
        <v/>
      </c>
      <c r="R1137" s="60" t="n"/>
      <c r="S1137" s="61" t="n"/>
      <c r="T1137" s="61" t="n"/>
      <c r="U1137" s="53">
        <f>IF(A1137="","",IF(IFERROR(VLOOKUP(D1137,Parameter!$A$35:$C$64,2,0),"Nein")="2+3",IF(ISNUMBER(SEARCH("grosser Artikel",BJ1137)),2,IFERROR(VLOOKUP(BM1137,Parameter!$F$35:$G$64,2,0),2)),IF(OR(IFERROR(VLOOKUP(D1137,Parameter!$A$35:$C$64,2,0),"Nein")="Nein",IFERROR(VLOOKUP(D1137,Parameter!$A$35:$C$64,2,0),"Nein")=""),"-",VLOOKUP(D1137,Parameter!$A$35:$C$64,2,0))))</f>
        <v/>
      </c>
      <c r="V1137" s="61" t="n"/>
      <c r="W1137" s="62" t="n"/>
      <c r="X1137" s="55">
        <f>AM1137</f>
        <v/>
      </c>
      <c r="Y1137" s="55">
        <f>MAX(AM1137,G1137)</f>
        <v/>
      </c>
      <c r="Z1137" s="63" t="n"/>
      <c r="AA1137" s="55">
        <f>IF(LEFT(Cockpit!$C$5,1)="A",G1137,IF(BT1137=1,BU1137,IF(LEFT(Cockpit!$C$5,1)="B",AE1137,MAX(AE1137,G1137))))</f>
        <v/>
      </c>
      <c r="AB1137" s="55">
        <f>IF(BO1137=1,0,ROUNDUP(AA1137/BN1137,0))</f>
        <v/>
      </c>
      <c r="AC1137" s="64">
        <f>IF(BO1137=1,IF(AA1137&lt;=0,0,BP1137*MAX(1,IF(G1137&gt;0,AA1137/G1137,1))),AB1137*Q1137)</f>
        <v/>
      </c>
      <c r="AD1137" s="55">
        <f>AA1137*F1137</f>
        <v/>
      </c>
      <c r="AE1137" s="55">
        <f>ROUNDUP(MAX(I1137/IF(BS1137&gt;0,BS1137,MAX(0.1,N(Cockpit!$C$6))),BV1137)/BN1137,0)*BN1137</f>
        <v/>
      </c>
      <c r="AF1137" s="56">
        <f>IF(AC1137&gt;0,I1137/AC1137,-1)</f>
        <v/>
      </c>
      <c r="AG1137" s="56">
        <f>IF(AND(OR(BR1137="L1",BR1137="L23"),AC1137&gt;0),SUMIFS($AC$7:$AC$1570,$BR$7:$BR$1570,BR1137,$AF$7:$AF$1570,"&gt;"&amp;AF1137)+SUMIFS($AC$7:$AC$1570,$BR$7:$BR$1570,BR1137,$AF$7:$AF$1570,AF1137,$BL$7:$BL$1570,"&lt;="&amp;BL1137),"")</f>
        <v/>
      </c>
      <c r="AH1137" s="65">
        <f>IF(AG1137="",0,MAX(0,MIN(1,(IF(BR1137="L1",Parameter!$K$5,Parameter!$K$6+Parameter!$K$7)-(AG1137-AC1137))/AC1137)))</f>
        <v/>
      </c>
      <c r="AI1137" s="55">
        <f>IF(LEFT(Cockpit!$I$5,1)="A",G1137,IF(BT1137=1,BU1137,IF(LEFT(Cockpit!$I$5,1)="B",AM1137,MAX(AM1137,G1137))))</f>
        <v/>
      </c>
      <c r="AJ1137" s="55">
        <f>IF(BO1137=1,0,ROUNDUP(AI1137/BN1137,0))</f>
        <v/>
      </c>
      <c r="AK1137" s="64">
        <f>IF(BO1137=1,IF(AI1137&lt;=0,0,BP1137*MAX(1,IF(G1137&gt;0,AI1137/G1137,1))),AJ1137*Q1137)</f>
        <v/>
      </c>
      <c r="AL1137" s="55">
        <f>AI1137*F1137</f>
        <v/>
      </c>
      <c r="AM1137" s="55">
        <f>ROUNDUP(MAX(I1137/IF(BS1137&gt;0,BS1137,MAX(0.1,N(Cockpit!$I$6))),BV1137)/BN1137,0)*BN1137</f>
        <v/>
      </c>
      <c r="AN1137" s="56">
        <f>IF(AK1137&gt;0,I1137/AK1137,-1)</f>
        <v/>
      </c>
      <c r="AO1137" s="56">
        <f>IF(AND(OR(BR1137="L1",BR1137="L23"),AK1137&gt;0),SUMIFS($AK$7:$AK$1570,$BR$7:$BR$1570,BR1137,$AN$7:$AN$1570,"&gt;"&amp;AN1137)+SUMIFS($AK$7:$AK$1570,$BR$7:$BR$1570,BR1137,$AN$7:$AN$1570,AN1137,$BL$7:$BL$1570,"&lt;="&amp;BL1137),"")</f>
        <v/>
      </c>
      <c r="AP1137" s="65">
        <f>IF(AO1137="",0,MAX(0,MIN(1,(IF(BR1137="L1",Parameter!$K$5,Parameter!$K$6+Parameter!$K$7)-(AO1137-AK1137))/AK1137)))</f>
        <v/>
      </c>
      <c r="AQ1137" s="55">
        <f>IF(LEFT(Cockpit!$O$5,1)="A",G1137,IF(BT1137=1,BU1137,IF(LEFT(Cockpit!$O$5,1)="B",AU1137,MAX(AU1137,G1137))))</f>
        <v/>
      </c>
      <c r="AR1137" s="55">
        <f>IF(BO1137=1,0,ROUNDUP(AQ1137/BN1137,0))</f>
        <v/>
      </c>
      <c r="AS1137" s="64">
        <f>IF(BO1137=1,IF(AQ1137&lt;=0,0,BP1137*MAX(1,IF(G1137&gt;0,AQ1137/G1137,1))),AR1137*Q1137)</f>
        <v/>
      </c>
      <c r="AT1137" s="55">
        <f>AQ1137*F1137</f>
        <v/>
      </c>
      <c r="AU1137" s="55">
        <f>ROUNDUP(MAX(I1137/IF(BS1137&gt;0,BS1137,MAX(0.1,N(Cockpit!$O$6))),BV1137)/BN1137,0)*BN1137</f>
        <v/>
      </c>
      <c r="AV1137" s="56">
        <f>IF(AS1137&gt;0,I1137/AS1137,-1)</f>
        <v/>
      </c>
      <c r="AW1137" s="56">
        <f>IF(AND(OR(BR1137="L1",BR1137="L23"),AS1137&gt;0),SUMIFS($AS$7:$AS$1570,$BR$7:$BR$1570,BR1137,$AV$7:$AV$1570,"&gt;"&amp;AV1137)+SUMIFS($AS$7:$AS$1570,$BR$7:$BR$1570,BR1137,$AV$7:$AV$1570,AV1137,$BL$7:$BL$1570,"&lt;="&amp;BL1137),"")</f>
        <v/>
      </c>
      <c r="AX1137" s="65">
        <f>IF(AW1137="",0,MAX(0,MIN(1,(IF(BR1137="L1",Parameter!$K$5,Parameter!$K$6+Parameter!$K$7)-(AW1137-AS1137))/AS1137)))</f>
        <v/>
      </c>
      <c r="AY1137" s="53">
        <f>IF(AC1137&lt;=0,"",IF(BR1137="Aussen","Aussenlager",IF(BR1137="-","Nicht im Lift",IF(AH1137&gt;=1,"Lift",IF(AH1137&lt;=0,"Aussenlager","teilweise")))))</f>
        <v/>
      </c>
      <c r="AZ1137" s="53">
        <f>IF(AK1137&lt;=0,"",IF(BR1137="Aussen","Aussenlager",IF(BR1137="-","Nicht im Lift",IF(AP1137&gt;=1,"Lift",IF(AP1137&lt;=0,"Aussenlager","teilweise")))))</f>
        <v/>
      </c>
      <c r="BA1137" s="53">
        <f>IF(AS1137&lt;=0,"",IF(BR1137="Aussen","Aussenlager",IF(BR1137="-","Nicht im Lift",IF(AX1137&gt;=1,"Lift",IF(AX1137&lt;=0,"Aussenlager","teilweise")))))</f>
        <v/>
      </c>
      <c r="BB1137" s="53">
        <f>IF(A1137="","",IF(BK1137=1,"Neu; ","")&amp;IF(AND(BK1137=0,BF1137&lt;0),"negativer Bestand (Export "&amp;BF1137&amp;"); ","")&amp;IF(I1137&lt;=0,"Kein Verbrauch; ","")&amp;IF(BO1137=1,"Lose – Fläche geschätzt; ","")&amp;IF(G1137&gt;AM1137,"Überbestand "&amp;ROUND(G1137-AM1137,0)&amp;" Stk / CHF "&amp;ROUND((G1137-AM1137)*F1137,0)&amp;"; ","")&amp;IF(AND(BT1137=1,BU1137&lt;BV1137),"MAX &lt; MB+LG; ","")&amp;IF(AND(BZ1137&gt;0,BY1137*10&gt;BZ1137),"zu hoch für Tablar; ","")&amp;IF(AND(BK1137=0,OR(BT1137=1,V1137&lt;&gt;"",S1137&lt;&gt;"",T1137&lt;&gt;"",W1137&lt;&gt;"")),"manuell übersteuert; ","")&amp;IF(AND(BO1137=0,Q1137=0),"Gebinde unbekannt; ","")&amp;IF(AND(BO1137=0,N(T1137)&lt;=0,N(P1137)&lt;=0),"Menge pro Gebinde fehlt (Ist = 1 Gebinde); ","")&amp;BJ1137)</f>
        <v/>
      </c>
      <c r="BC1137" s="53" t="n"/>
      <c r="BD1137" s="53" t="n"/>
      <c r="BE1137" s="61" t="n"/>
      <c r="BF1137" s="55" t="n">
        <v>-1</v>
      </c>
      <c r="BG1137" s="55" t="n">
        <v>2</v>
      </c>
      <c r="BH1137" s="54" t="n">
        <v>-275.65</v>
      </c>
      <c r="BI1137" s="55" t="n">
        <v>0</v>
      </c>
      <c r="BJ1137" s="53" t="inlineStr"/>
      <c r="BK1137" s="58" t="n">
        <v>0</v>
      </c>
      <c r="BL1137" s="58" t="n">
        <v>1137</v>
      </c>
      <c r="BM1137" s="53">
        <f>IF(S1137&lt;&gt;"",UPPER(TRIM(S1137)),IF(O1137="","LOSE",O1137))</f>
        <v/>
      </c>
      <c r="BN1137" s="55">
        <f>IF(BM1137="LOSE",1,IF(N(T1137)&gt;0,T1137,IF(N(P1137)&gt;0,P1137,MAX(1,G1137))))</f>
        <v/>
      </c>
      <c r="BO1137" s="58">
        <f>IF(BM1137="LOSE",1,0)</f>
        <v/>
      </c>
      <c r="BP1137" s="64">
        <f>IF(BO1137=0,0,IF(N(R1137)&gt;0,R1137,IFERROR(VLOOKUP(D1137,Parameter!$A$35:$C$64,3,0)+0,0)))</f>
        <v/>
      </c>
      <c r="BQ1137" s="53">
        <f>IF(V1137&lt;&gt;"",V1137,U1137)</f>
        <v/>
      </c>
      <c r="BR1137" s="53">
        <f>IF(BQ1137=1,"L1",IF(OR(BQ1137=2,BQ1137=3),"L23",IF(BQ1137="Aussen","Aussen","-")))</f>
        <v/>
      </c>
      <c r="BS1137" s="66">
        <f>IF(N(W1137)&gt;0,W1137,0)</f>
        <v/>
      </c>
      <c r="BT1137" s="58">
        <f>IF(ISNUMBER(Z1137),1,0)</f>
        <v/>
      </c>
      <c r="BU1137" s="55">
        <f>N(Z1137)</f>
        <v/>
      </c>
      <c r="BV1137" s="55">
        <f>N(L1137)+N(M1137)</f>
        <v/>
      </c>
      <c r="BW1137" s="55">
        <f>ROUNDUP(G1137/BN1137,0)</f>
        <v/>
      </c>
      <c r="BX1137" s="55">
        <f>ROUNDUP(BU1137/BN1137,0)</f>
        <v/>
      </c>
      <c r="BY1137" s="58">
        <f>IF(BO1137=1,0,IFERROR(VLOOKUP(BM1137,'Gebinde-Kategorie'!$A$5:$G$45,5,0)+0,0))</f>
        <v/>
      </c>
      <c r="BZ1137" s="58">
        <f>IFERROR(IF(OR(BQ1137=1,BQ1137=2,BQ1137=3),N(INDEX(Parameter!$I$5:$I$7,BQ1137)),0),0)</f>
        <v/>
      </c>
    </row>
    <row r="1138">
      <c r="A1138" s="53" t="inlineStr">
        <is>
          <t>109523</t>
        </is>
      </c>
      <c r="B1138" s="53" t="inlineStr">
        <is>
          <t>Rohr komplett</t>
        </is>
      </c>
      <c r="C1138" s="53" t="inlineStr">
        <is>
          <t>G</t>
        </is>
      </c>
      <c r="D1138" s="53" t="inlineStr">
        <is>
          <t>KTL</t>
        </is>
      </c>
      <c r="E1138" s="53" t="inlineStr">
        <is>
          <t>C</t>
        </is>
      </c>
      <c r="F1138" s="54" t="n">
        <v>34.5</v>
      </c>
      <c r="G1138" s="55">
        <f>MAX(0,IF(Parameter!$B$20="Jahresanfang 2025 + Export",BG1138+BF1138,BF1138))</f>
        <v/>
      </c>
      <c r="H1138" s="55">
        <f>G1138*F1138</f>
        <v/>
      </c>
      <c r="I1138" s="55">
        <f>BI1138*Parameter!$B$18</f>
        <v/>
      </c>
      <c r="J1138" s="56" t="n">
        <v>8</v>
      </c>
      <c r="K1138" s="57" t="n">
        <v>0</v>
      </c>
      <c r="L1138" s="55" t="n">
        <v>0</v>
      </c>
      <c r="M1138" s="55" t="n">
        <v>1</v>
      </c>
      <c r="N1138" s="58" t="n">
        <v>21</v>
      </c>
      <c r="O1138" s="53" t="inlineStr">
        <is>
          <t>LOSE</t>
        </is>
      </c>
      <c r="P1138" s="55" t="n"/>
      <c r="Q1138" s="59">
        <f>IF(BO1138=1,0,IFERROR(VLOOKUP(BM1138,'Gebinde-Kategorie'!$A$5:$G$45,6,0)+0,0))</f>
        <v/>
      </c>
      <c r="R1138" s="60" t="n"/>
      <c r="S1138" s="61" t="n"/>
      <c r="T1138" s="61" t="n"/>
      <c r="U1138" s="53">
        <f>IF(A1138="","",IF(IFERROR(VLOOKUP(D1138,Parameter!$A$35:$C$64,2,0),"Nein")="2+3",IF(ISNUMBER(SEARCH("grosser Artikel",BJ1138)),2,IFERROR(VLOOKUP(BM1138,Parameter!$F$35:$G$64,2,0),2)),IF(OR(IFERROR(VLOOKUP(D1138,Parameter!$A$35:$C$64,2,0),"Nein")="Nein",IFERROR(VLOOKUP(D1138,Parameter!$A$35:$C$64,2,0),"Nein")=""),"-",VLOOKUP(D1138,Parameter!$A$35:$C$64,2,0))))</f>
        <v/>
      </c>
      <c r="V1138" s="61" t="n"/>
      <c r="W1138" s="62" t="n"/>
      <c r="X1138" s="55">
        <f>AM1138</f>
        <v/>
      </c>
      <c r="Y1138" s="55">
        <f>MAX(AM1138,G1138)</f>
        <v/>
      </c>
      <c r="Z1138" s="63" t="n"/>
      <c r="AA1138" s="55">
        <f>IF(LEFT(Cockpit!$C$5,1)="A",G1138,IF(BT1138=1,BU1138,IF(LEFT(Cockpit!$C$5,1)="B",AE1138,MAX(AE1138,G1138))))</f>
        <v/>
      </c>
      <c r="AB1138" s="55">
        <f>IF(BO1138=1,0,ROUNDUP(AA1138/BN1138,0))</f>
        <v/>
      </c>
      <c r="AC1138" s="64">
        <f>IF(BO1138=1,IF(AA1138&lt;=0,0,BP1138*MAX(1,IF(G1138&gt;0,AA1138/G1138,1))),AB1138*Q1138)</f>
        <v/>
      </c>
      <c r="AD1138" s="55">
        <f>AA1138*F1138</f>
        <v/>
      </c>
      <c r="AE1138" s="55">
        <f>ROUNDUP(MAX(I1138/IF(BS1138&gt;0,BS1138,MAX(0.1,N(Cockpit!$C$6))),BV1138)/BN1138,0)*BN1138</f>
        <v/>
      </c>
      <c r="AF1138" s="56">
        <f>IF(AC1138&gt;0,I1138/AC1138,-1)</f>
        <v/>
      </c>
      <c r="AG1138" s="56">
        <f>IF(AND(OR(BR1138="L1",BR1138="L23"),AC1138&gt;0),SUMIFS($AC$7:$AC$1570,$BR$7:$BR$1570,BR1138,$AF$7:$AF$1570,"&gt;"&amp;AF1138)+SUMIFS($AC$7:$AC$1570,$BR$7:$BR$1570,BR1138,$AF$7:$AF$1570,AF1138,$BL$7:$BL$1570,"&lt;="&amp;BL1138),"")</f>
        <v/>
      </c>
      <c r="AH1138" s="65">
        <f>IF(AG1138="",0,MAX(0,MIN(1,(IF(BR1138="L1",Parameter!$K$5,Parameter!$K$6+Parameter!$K$7)-(AG1138-AC1138))/AC1138)))</f>
        <v/>
      </c>
      <c r="AI1138" s="55">
        <f>IF(LEFT(Cockpit!$I$5,1)="A",G1138,IF(BT1138=1,BU1138,IF(LEFT(Cockpit!$I$5,1)="B",AM1138,MAX(AM1138,G1138))))</f>
        <v/>
      </c>
      <c r="AJ1138" s="55">
        <f>IF(BO1138=1,0,ROUNDUP(AI1138/BN1138,0))</f>
        <v/>
      </c>
      <c r="AK1138" s="64">
        <f>IF(BO1138=1,IF(AI1138&lt;=0,0,BP1138*MAX(1,IF(G1138&gt;0,AI1138/G1138,1))),AJ1138*Q1138)</f>
        <v/>
      </c>
      <c r="AL1138" s="55">
        <f>AI1138*F1138</f>
        <v/>
      </c>
      <c r="AM1138" s="55">
        <f>ROUNDUP(MAX(I1138/IF(BS1138&gt;0,BS1138,MAX(0.1,N(Cockpit!$I$6))),BV1138)/BN1138,0)*BN1138</f>
        <v/>
      </c>
      <c r="AN1138" s="56">
        <f>IF(AK1138&gt;0,I1138/AK1138,-1)</f>
        <v/>
      </c>
      <c r="AO1138" s="56">
        <f>IF(AND(OR(BR1138="L1",BR1138="L23"),AK1138&gt;0),SUMIFS($AK$7:$AK$1570,$BR$7:$BR$1570,BR1138,$AN$7:$AN$1570,"&gt;"&amp;AN1138)+SUMIFS($AK$7:$AK$1570,$BR$7:$BR$1570,BR1138,$AN$7:$AN$1570,AN1138,$BL$7:$BL$1570,"&lt;="&amp;BL1138),"")</f>
        <v/>
      </c>
      <c r="AP1138" s="65">
        <f>IF(AO1138="",0,MAX(0,MIN(1,(IF(BR1138="L1",Parameter!$K$5,Parameter!$K$6+Parameter!$K$7)-(AO1138-AK1138))/AK1138)))</f>
        <v/>
      </c>
      <c r="AQ1138" s="55">
        <f>IF(LEFT(Cockpit!$O$5,1)="A",G1138,IF(BT1138=1,BU1138,IF(LEFT(Cockpit!$O$5,1)="B",AU1138,MAX(AU1138,G1138))))</f>
        <v/>
      </c>
      <c r="AR1138" s="55">
        <f>IF(BO1138=1,0,ROUNDUP(AQ1138/BN1138,0))</f>
        <v/>
      </c>
      <c r="AS1138" s="64">
        <f>IF(BO1138=1,IF(AQ1138&lt;=0,0,BP1138*MAX(1,IF(G1138&gt;0,AQ1138/G1138,1))),AR1138*Q1138)</f>
        <v/>
      </c>
      <c r="AT1138" s="55">
        <f>AQ1138*F1138</f>
        <v/>
      </c>
      <c r="AU1138" s="55">
        <f>ROUNDUP(MAX(I1138/IF(BS1138&gt;0,BS1138,MAX(0.1,N(Cockpit!$O$6))),BV1138)/BN1138,0)*BN1138</f>
        <v/>
      </c>
      <c r="AV1138" s="56">
        <f>IF(AS1138&gt;0,I1138/AS1138,-1)</f>
        <v/>
      </c>
      <c r="AW1138" s="56">
        <f>IF(AND(OR(BR1138="L1",BR1138="L23"),AS1138&gt;0),SUMIFS($AS$7:$AS$1570,$BR$7:$BR$1570,BR1138,$AV$7:$AV$1570,"&gt;"&amp;AV1138)+SUMIFS($AS$7:$AS$1570,$BR$7:$BR$1570,BR1138,$AV$7:$AV$1570,AV1138,$BL$7:$BL$1570,"&lt;="&amp;BL1138),"")</f>
        <v/>
      </c>
      <c r="AX1138" s="65">
        <f>IF(AW1138="",0,MAX(0,MIN(1,(IF(BR1138="L1",Parameter!$K$5,Parameter!$K$6+Parameter!$K$7)-(AW1138-AS1138))/AS1138)))</f>
        <v/>
      </c>
      <c r="AY1138" s="53">
        <f>IF(AC1138&lt;=0,"",IF(BR1138="Aussen","Aussenlager",IF(BR1138="-","Nicht im Lift",IF(AH1138&gt;=1,"Lift",IF(AH1138&lt;=0,"Aussenlager","teilweise")))))</f>
        <v/>
      </c>
      <c r="AZ1138" s="53">
        <f>IF(AK1138&lt;=0,"",IF(BR1138="Aussen","Aussenlager",IF(BR1138="-","Nicht im Lift",IF(AP1138&gt;=1,"Lift",IF(AP1138&lt;=0,"Aussenlager","teilweise")))))</f>
        <v/>
      </c>
      <c r="BA1138" s="53">
        <f>IF(AS1138&lt;=0,"",IF(BR1138="Aussen","Aussenlager",IF(BR1138="-","Nicht im Lift",IF(AX1138&gt;=1,"Lift",IF(AX1138&lt;=0,"Aussenlager","teilweise")))))</f>
        <v/>
      </c>
      <c r="BB1138" s="53">
        <f>IF(A1138="","",IF(BK1138=1,"Neu; ","")&amp;IF(AND(BK1138=0,BF1138&lt;0),"negativer Bestand (Export "&amp;BF1138&amp;"); ","")&amp;IF(I1138&lt;=0,"Kein Verbrauch; ","")&amp;IF(BO1138=1,"Lose – Fläche geschätzt; ","")&amp;IF(G1138&gt;AM1138,"Überbestand "&amp;ROUND(G1138-AM1138,0)&amp;" Stk / CHF "&amp;ROUND((G1138-AM1138)*F1138,0)&amp;"; ","")&amp;IF(AND(BT1138=1,BU1138&lt;BV1138),"MAX &lt; MB+LG; ","")&amp;IF(AND(BZ1138&gt;0,BY1138*10&gt;BZ1138),"zu hoch für Tablar; ","")&amp;IF(AND(BK1138=0,OR(BT1138=1,V1138&lt;&gt;"",S1138&lt;&gt;"",T1138&lt;&gt;"",W1138&lt;&gt;"")),"manuell übersteuert; ","")&amp;IF(AND(BO1138=0,Q1138=0),"Gebinde unbekannt; ","")&amp;IF(AND(BO1138=0,N(T1138)&lt;=0,N(P1138)&lt;=0),"Menge pro Gebinde fehlt (Ist = 1 Gebinde); ","")&amp;BJ1138)</f>
        <v/>
      </c>
      <c r="BC1138" s="53" t="n"/>
      <c r="BD1138" s="53" t="n"/>
      <c r="BE1138" s="61" t="n"/>
      <c r="BF1138" s="55" t="n">
        <v>-8</v>
      </c>
      <c r="BG1138" s="55" t="n">
        <v>16</v>
      </c>
      <c r="BH1138" s="54" t="n">
        <v>-276</v>
      </c>
      <c r="BI1138" s="55" t="n">
        <v>0</v>
      </c>
      <c r="BJ1138" s="53" t="inlineStr"/>
      <c r="BK1138" s="58" t="n">
        <v>0</v>
      </c>
      <c r="BL1138" s="58" t="n">
        <v>1138</v>
      </c>
      <c r="BM1138" s="53">
        <f>IF(S1138&lt;&gt;"",UPPER(TRIM(S1138)),IF(O1138="","LOSE",O1138))</f>
        <v/>
      </c>
      <c r="BN1138" s="55">
        <f>IF(BM1138="LOSE",1,IF(N(T1138)&gt;0,T1138,IF(N(P1138)&gt;0,P1138,MAX(1,G1138))))</f>
        <v/>
      </c>
      <c r="BO1138" s="58">
        <f>IF(BM1138="LOSE",1,0)</f>
        <v/>
      </c>
      <c r="BP1138" s="64">
        <f>IF(BO1138=0,0,IF(N(R1138)&gt;0,R1138,IFERROR(VLOOKUP(D1138,Parameter!$A$35:$C$64,3,0)+0,0)))</f>
        <v/>
      </c>
      <c r="BQ1138" s="53">
        <f>IF(V1138&lt;&gt;"",V1138,U1138)</f>
        <v/>
      </c>
      <c r="BR1138" s="53">
        <f>IF(BQ1138=1,"L1",IF(OR(BQ1138=2,BQ1138=3),"L23",IF(BQ1138="Aussen","Aussen","-")))</f>
        <v/>
      </c>
      <c r="BS1138" s="66">
        <f>IF(N(W1138)&gt;0,W1138,0)</f>
        <v/>
      </c>
      <c r="BT1138" s="58">
        <f>IF(ISNUMBER(Z1138),1,0)</f>
        <v/>
      </c>
      <c r="BU1138" s="55">
        <f>N(Z1138)</f>
        <v/>
      </c>
      <c r="BV1138" s="55">
        <f>N(L1138)+N(M1138)</f>
        <v/>
      </c>
      <c r="BW1138" s="55">
        <f>ROUNDUP(G1138/BN1138,0)</f>
        <v/>
      </c>
      <c r="BX1138" s="55">
        <f>ROUNDUP(BU1138/BN1138,0)</f>
        <v/>
      </c>
      <c r="BY1138" s="58">
        <f>IF(BO1138=1,0,IFERROR(VLOOKUP(BM1138,'Gebinde-Kategorie'!$A$5:$G$45,5,0)+0,0))</f>
        <v/>
      </c>
      <c r="BZ1138" s="58">
        <f>IFERROR(IF(OR(BQ1138=1,BQ1138=2,BQ1138=3),N(INDEX(Parameter!$I$5:$I$7,BQ1138)),0),0)</f>
        <v/>
      </c>
    </row>
    <row r="1139">
      <c r="A1139" s="53" t="inlineStr">
        <is>
          <t>005097</t>
        </is>
      </c>
      <c r="B1139" s="53" t="inlineStr">
        <is>
          <t>SPS Analog-Modul PT100</t>
        </is>
      </c>
      <c r="C1139" s="53" t="inlineStr">
        <is>
          <t>F</t>
        </is>
      </c>
      <c r="D1139" s="53" t="inlineStr">
        <is>
          <t>KTL</t>
        </is>
      </c>
      <c r="E1139" s="53" t="inlineStr">
        <is>
          <t>C</t>
        </is>
      </c>
      <c r="F1139" s="54" t="n">
        <v>279.01</v>
      </c>
      <c r="G1139" s="55">
        <f>MAX(0,IF(Parameter!$B$20="Jahresanfang 2025 + Export",BG1139+BF1139,BF1139))</f>
        <v/>
      </c>
      <c r="H1139" s="55">
        <f>G1139*F1139</f>
        <v/>
      </c>
      <c r="I1139" s="55">
        <f>BI1139*Parameter!$B$18</f>
        <v/>
      </c>
      <c r="J1139" s="56" t="n">
        <v>3.5</v>
      </c>
      <c r="K1139" s="57" t="n">
        <v>0.2857142857142857</v>
      </c>
      <c r="L1139" s="55" t="n">
        <v>0</v>
      </c>
      <c r="M1139" s="55" t="n">
        <v>1</v>
      </c>
      <c r="N1139" s="58" t="n">
        <v>14</v>
      </c>
      <c r="O1139" s="53" t="inlineStr">
        <is>
          <t>S41</t>
        </is>
      </c>
      <c r="P1139" s="55" t="n">
        <v>6</v>
      </c>
      <c r="Q1139" s="59">
        <f>IF(BO1139=1,0,IFERROR(VLOOKUP(BM1139,'Gebinde-Kategorie'!$A$5:$G$45,6,0)+0,0))</f>
        <v/>
      </c>
      <c r="R1139" s="60" t="n"/>
      <c r="S1139" s="61" t="n"/>
      <c r="T1139" s="61" t="n"/>
      <c r="U1139" s="53">
        <f>IF(A1139="","",IF(IFERROR(VLOOKUP(D1139,Parameter!$A$35:$C$64,2,0),"Nein")="2+3",IF(ISNUMBER(SEARCH("grosser Artikel",BJ1139)),2,IFERROR(VLOOKUP(BM1139,Parameter!$F$35:$G$64,2,0),2)),IF(OR(IFERROR(VLOOKUP(D1139,Parameter!$A$35:$C$64,2,0),"Nein")="Nein",IFERROR(VLOOKUP(D1139,Parameter!$A$35:$C$64,2,0),"Nein")=""),"-",VLOOKUP(D1139,Parameter!$A$35:$C$64,2,0))))</f>
        <v/>
      </c>
      <c r="V1139" s="61" t="n"/>
      <c r="W1139" s="62" t="n"/>
      <c r="X1139" s="55">
        <f>AM1139</f>
        <v/>
      </c>
      <c r="Y1139" s="55">
        <f>MAX(AM1139,G1139)</f>
        <v/>
      </c>
      <c r="Z1139" s="63" t="n"/>
      <c r="AA1139" s="55">
        <f>IF(LEFT(Cockpit!$C$5,1)="A",G1139,IF(BT1139=1,BU1139,IF(LEFT(Cockpit!$C$5,1)="B",AE1139,MAX(AE1139,G1139))))</f>
        <v/>
      </c>
      <c r="AB1139" s="55">
        <f>IF(BO1139=1,0,ROUNDUP(AA1139/BN1139,0))</f>
        <v/>
      </c>
      <c r="AC1139" s="64">
        <f>IF(BO1139=1,IF(AA1139&lt;=0,0,BP1139*MAX(1,IF(G1139&gt;0,AA1139/G1139,1))),AB1139*Q1139)</f>
        <v/>
      </c>
      <c r="AD1139" s="55">
        <f>AA1139*F1139</f>
        <v/>
      </c>
      <c r="AE1139" s="55">
        <f>ROUNDUP(MAX(I1139/IF(BS1139&gt;0,BS1139,MAX(0.1,N(Cockpit!$C$6))),BV1139)/BN1139,0)*BN1139</f>
        <v/>
      </c>
      <c r="AF1139" s="56">
        <f>IF(AC1139&gt;0,I1139/AC1139,-1)</f>
        <v/>
      </c>
      <c r="AG1139" s="56">
        <f>IF(AND(OR(BR1139="L1",BR1139="L23"),AC1139&gt;0),SUMIFS($AC$7:$AC$1570,$BR$7:$BR$1570,BR1139,$AF$7:$AF$1570,"&gt;"&amp;AF1139)+SUMIFS($AC$7:$AC$1570,$BR$7:$BR$1570,BR1139,$AF$7:$AF$1570,AF1139,$BL$7:$BL$1570,"&lt;="&amp;BL1139),"")</f>
        <v/>
      </c>
      <c r="AH1139" s="65">
        <f>IF(AG1139="",0,MAX(0,MIN(1,(IF(BR1139="L1",Parameter!$K$5,Parameter!$K$6+Parameter!$K$7)-(AG1139-AC1139))/AC1139)))</f>
        <v/>
      </c>
      <c r="AI1139" s="55">
        <f>IF(LEFT(Cockpit!$I$5,1)="A",G1139,IF(BT1139=1,BU1139,IF(LEFT(Cockpit!$I$5,1)="B",AM1139,MAX(AM1139,G1139))))</f>
        <v/>
      </c>
      <c r="AJ1139" s="55">
        <f>IF(BO1139=1,0,ROUNDUP(AI1139/BN1139,0))</f>
        <v/>
      </c>
      <c r="AK1139" s="64">
        <f>IF(BO1139=1,IF(AI1139&lt;=0,0,BP1139*MAX(1,IF(G1139&gt;0,AI1139/G1139,1))),AJ1139*Q1139)</f>
        <v/>
      </c>
      <c r="AL1139" s="55">
        <f>AI1139*F1139</f>
        <v/>
      </c>
      <c r="AM1139" s="55">
        <f>ROUNDUP(MAX(I1139/IF(BS1139&gt;0,BS1139,MAX(0.1,N(Cockpit!$I$6))),BV1139)/BN1139,0)*BN1139</f>
        <v/>
      </c>
      <c r="AN1139" s="56">
        <f>IF(AK1139&gt;0,I1139/AK1139,-1)</f>
        <v/>
      </c>
      <c r="AO1139" s="56">
        <f>IF(AND(OR(BR1139="L1",BR1139="L23"),AK1139&gt;0),SUMIFS($AK$7:$AK$1570,$BR$7:$BR$1570,BR1139,$AN$7:$AN$1570,"&gt;"&amp;AN1139)+SUMIFS($AK$7:$AK$1570,$BR$7:$BR$1570,BR1139,$AN$7:$AN$1570,AN1139,$BL$7:$BL$1570,"&lt;="&amp;BL1139),"")</f>
        <v/>
      </c>
      <c r="AP1139" s="65">
        <f>IF(AO1139="",0,MAX(0,MIN(1,(IF(BR1139="L1",Parameter!$K$5,Parameter!$K$6+Parameter!$K$7)-(AO1139-AK1139))/AK1139)))</f>
        <v/>
      </c>
      <c r="AQ1139" s="55">
        <f>IF(LEFT(Cockpit!$O$5,1)="A",G1139,IF(BT1139=1,BU1139,IF(LEFT(Cockpit!$O$5,1)="B",AU1139,MAX(AU1139,G1139))))</f>
        <v/>
      </c>
      <c r="AR1139" s="55">
        <f>IF(BO1139=1,0,ROUNDUP(AQ1139/BN1139,0))</f>
        <v/>
      </c>
      <c r="AS1139" s="64">
        <f>IF(BO1139=1,IF(AQ1139&lt;=0,0,BP1139*MAX(1,IF(G1139&gt;0,AQ1139/G1139,1))),AR1139*Q1139)</f>
        <v/>
      </c>
      <c r="AT1139" s="55">
        <f>AQ1139*F1139</f>
        <v/>
      </c>
      <c r="AU1139" s="55">
        <f>ROUNDUP(MAX(I1139/IF(BS1139&gt;0,BS1139,MAX(0.1,N(Cockpit!$O$6))),BV1139)/BN1139,0)*BN1139</f>
        <v/>
      </c>
      <c r="AV1139" s="56">
        <f>IF(AS1139&gt;0,I1139/AS1139,-1)</f>
        <v/>
      </c>
      <c r="AW1139" s="56">
        <f>IF(AND(OR(BR1139="L1",BR1139="L23"),AS1139&gt;0),SUMIFS($AS$7:$AS$1570,$BR$7:$BR$1570,BR1139,$AV$7:$AV$1570,"&gt;"&amp;AV1139)+SUMIFS($AS$7:$AS$1570,$BR$7:$BR$1570,BR1139,$AV$7:$AV$1570,AV1139,$BL$7:$BL$1570,"&lt;="&amp;BL1139),"")</f>
        <v/>
      </c>
      <c r="AX1139" s="65">
        <f>IF(AW1139="",0,MAX(0,MIN(1,(IF(BR1139="L1",Parameter!$K$5,Parameter!$K$6+Parameter!$K$7)-(AW1139-AS1139))/AS1139)))</f>
        <v/>
      </c>
      <c r="AY1139" s="53">
        <f>IF(AC1139&lt;=0,"",IF(BR1139="Aussen","Aussenlager",IF(BR1139="-","Nicht im Lift",IF(AH1139&gt;=1,"Lift",IF(AH1139&lt;=0,"Aussenlager","teilweise")))))</f>
        <v/>
      </c>
      <c r="AZ1139" s="53">
        <f>IF(AK1139&lt;=0,"",IF(BR1139="Aussen","Aussenlager",IF(BR1139="-","Nicht im Lift",IF(AP1139&gt;=1,"Lift",IF(AP1139&lt;=0,"Aussenlager","teilweise")))))</f>
        <v/>
      </c>
      <c r="BA1139" s="53">
        <f>IF(AS1139&lt;=0,"",IF(BR1139="Aussen","Aussenlager",IF(BR1139="-","Nicht im Lift",IF(AX1139&gt;=1,"Lift",IF(AX1139&lt;=0,"Aussenlager","teilweise")))))</f>
        <v/>
      </c>
      <c r="BB1139" s="53">
        <f>IF(A1139="","",IF(BK1139=1,"Neu; ","")&amp;IF(AND(BK1139=0,BF1139&lt;0),"negativer Bestand (Export "&amp;BF1139&amp;"); ","")&amp;IF(I1139&lt;=0,"Kein Verbrauch; ","")&amp;IF(BO1139=1,"Lose – Fläche geschätzt; ","")&amp;IF(G1139&gt;AM1139,"Überbestand "&amp;ROUND(G1139-AM1139,0)&amp;" Stk / CHF "&amp;ROUND((G1139-AM1139)*F1139,0)&amp;"; ","")&amp;IF(AND(BT1139=1,BU1139&lt;BV1139),"MAX &lt; MB+LG; ","")&amp;IF(AND(BZ1139&gt;0,BY1139*10&gt;BZ1139),"zu hoch für Tablar; ","")&amp;IF(AND(BK1139=0,OR(BT1139=1,V1139&lt;&gt;"",S1139&lt;&gt;"",T1139&lt;&gt;"",W1139&lt;&gt;"")),"manuell übersteuert; ","")&amp;IF(AND(BO1139=0,Q1139=0),"Gebinde unbekannt; ","")&amp;IF(AND(BO1139=0,N(T1139)&lt;=0,N(P1139)&lt;=0),"Menge pro Gebinde fehlt (Ist = 1 Gebinde); ","")&amp;BJ1139)</f>
        <v/>
      </c>
      <c r="BC1139" s="53" t="n"/>
      <c r="BD1139" s="53" t="n"/>
      <c r="BE1139" s="61" t="n"/>
      <c r="BF1139" s="55" t="n">
        <v>-1</v>
      </c>
      <c r="BG1139" s="55" t="n">
        <v>4</v>
      </c>
      <c r="BH1139" s="54" t="n">
        <v>-279.01</v>
      </c>
      <c r="BI1139" s="55" t="n">
        <v>1</v>
      </c>
      <c r="BJ1139" s="53" t="inlineStr"/>
      <c r="BK1139" s="58" t="n">
        <v>0</v>
      </c>
      <c r="BL1139" s="58" t="n">
        <v>1139</v>
      </c>
      <c r="BM1139" s="53">
        <f>IF(S1139&lt;&gt;"",UPPER(TRIM(S1139)),IF(O1139="","LOSE",O1139))</f>
        <v/>
      </c>
      <c r="BN1139" s="55">
        <f>IF(BM1139="LOSE",1,IF(N(T1139)&gt;0,T1139,IF(N(P1139)&gt;0,P1139,MAX(1,G1139))))</f>
        <v/>
      </c>
      <c r="BO1139" s="58">
        <f>IF(BM1139="LOSE",1,0)</f>
        <v/>
      </c>
      <c r="BP1139" s="64">
        <f>IF(BO1139=0,0,IF(N(R1139)&gt;0,R1139,IFERROR(VLOOKUP(D1139,Parameter!$A$35:$C$64,3,0)+0,0)))</f>
        <v/>
      </c>
      <c r="BQ1139" s="53">
        <f>IF(V1139&lt;&gt;"",V1139,U1139)</f>
        <v/>
      </c>
      <c r="BR1139" s="53">
        <f>IF(BQ1139=1,"L1",IF(OR(BQ1139=2,BQ1139=3),"L23",IF(BQ1139="Aussen","Aussen","-")))</f>
        <v/>
      </c>
      <c r="BS1139" s="66">
        <f>IF(N(W1139)&gt;0,W1139,0)</f>
        <v/>
      </c>
      <c r="BT1139" s="58">
        <f>IF(ISNUMBER(Z1139),1,0)</f>
        <v/>
      </c>
      <c r="BU1139" s="55">
        <f>N(Z1139)</f>
        <v/>
      </c>
      <c r="BV1139" s="55">
        <f>N(L1139)+N(M1139)</f>
        <v/>
      </c>
      <c r="BW1139" s="55">
        <f>ROUNDUP(G1139/BN1139,0)</f>
        <v/>
      </c>
      <c r="BX1139" s="55">
        <f>ROUNDUP(BU1139/BN1139,0)</f>
        <v/>
      </c>
      <c r="BY1139" s="58">
        <f>IF(BO1139=1,0,IFERROR(VLOOKUP(BM1139,'Gebinde-Kategorie'!$A$5:$G$45,5,0)+0,0))</f>
        <v/>
      </c>
      <c r="BZ1139" s="58">
        <f>IFERROR(IF(OR(BQ1139=1,BQ1139=2,BQ1139=3),N(INDEX(Parameter!$I$5:$I$7,BQ1139)),0),0)</f>
        <v/>
      </c>
    </row>
    <row r="1140">
      <c r="A1140" s="53" t="inlineStr">
        <is>
          <t>107248</t>
        </is>
      </c>
      <c r="B1140" s="53" t="inlineStr">
        <is>
          <t>Servicepaket AC260 Zwischenabscheider</t>
        </is>
      </c>
      <c r="C1140" s="53" t="inlineStr">
        <is>
          <t>F</t>
        </is>
      </c>
      <c r="D1140" s="53" t="inlineStr">
        <is>
          <t>KTL</t>
        </is>
      </c>
      <c r="E1140" s="53" t="inlineStr">
        <is>
          <t>C</t>
        </is>
      </c>
      <c r="F1140" s="54" t="n">
        <v>111.1</v>
      </c>
      <c r="G1140" s="55">
        <f>MAX(0,IF(Parameter!$B$20="Jahresanfang 2025 + Export",BG1140+BF1140,BF1140))</f>
        <v/>
      </c>
      <c r="H1140" s="55">
        <f>G1140*F1140</f>
        <v/>
      </c>
      <c r="I1140" s="55">
        <f>BI1140*Parameter!$B$18</f>
        <v/>
      </c>
      <c r="J1140" s="56" t="n">
        <v>3</v>
      </c>
      <c r="K1140" s="57" t="n">
        <v>0.6666666666666666</v>
      </c>
      <c r="L1140" s="55" t="n">
        <v>0</v>
      </c>
      <c r="M1140" s="55" t="n">
        <v>1</v>
      </c>
      <c r="N1140" s="58" t="n">
        <v>28</v>
      </c>
      <c r="O1140" s="53" t="inlineStr">
        <is>
          <t>S32</t>
        </is>
      </c>
      <c r="P1140" s="55" t="n">
        <v>3</v>
      </c>
      <c r="Q1140" s="59">
        <f>IF(BO1140=1,0,IFERROR(VLOOKUP(BM1140,'Gebinde-Kategorie'!$A$5:$G$45,6,0)+0,0))</f>
        <v/>
      </c>
      <c r="R1140" s="60" t="n"/>
      <c r="S1140" s="61" t="n"/>
      <c r="T1140" s="61" t="n"/>
      <c r="U1140" s="53">
        <f>IF(A1140="","",IF(IFERROR(VLOOKUP(D1140,Parameter!$A$35:$C$64,2,0),"Nein")="2+3",IF(ISNUMBER(SEARCH("grosser Artikel",BJ1140)),2,IFERROR(VLOOKUP(BM1140,Parameter!$F$35:$G$64,2,0),2)),IF(OR(IFERROR(VLOOKUP(D1140,Parameter!$A$35:$C$64,2,0),"Nein")="Nein",IFERROR(VLOOKUP(D1140,Parameter!$A$35:$C$64,2,0),"Nein")=""),"-",VLOOKUP(D1140,Parameter!$A$35:$C$64,2,0))))</f>
        <v/>
      </c>
      <c r="V1140" s="61" t="n"/>
      <c r="W1140" s="62" t="n"/>
      <c r="X1140" s="55">
        <f>AM1140</f>
        <v/>
      </c>
      <c r="Y1140" s="55">
        <f>MAX(AM1140,G1140)</f>
        <v/>
      </c>
      <c r="Z1140" s="63" t="n"/>
      <c r="AA1140" s="55">
        <f>IF(LEFT(Cockpit!$C$5,1)="A",G1140,IF(BT1140=1,BU1140,IF(LEFT(Cockpit!$C$5,1)="B",AE1140,MAX(AE1140,G1140))))</f>
        <v/>
      </c>
      <c r="AB1140" s="55">
        <f>IF(BO1140=1,0,ROUNDUP(AA1140/BN1140,0))</f>
        <v/>
      </c>
      <c r="AC1140" s="64">
        <f>IF(BO1140=1,IF(AA1140&lt;=0,0,BP1140*MAX(1,IF(G1140&gt;0,AA1140/G1140,1))),AB1140*Q1140)</f>
        <v/>
      </c>
      <c r="AD1140" s="55">
        <f>AA1140*F1140</f>
        <v/>
      </c>
      <c r="AE1140" s="55">
        <f>ROUNDUP(MAX(I1140/IF(BS1140&gt;0,BS1140,MAX(0.1,N(Cockpit!$C$6))),BV1140)/BN1140,0)*BN1140</f>
        <v/>
      </c>
      <c r="AF1140" s="56">
        <f>IF(AC1140&gt;0,I1140/AC1140,-1)</f>
        <v/>
      </c>
      <c r="AG1140" s="56">
        <f>IF(AND(OR(BR1140="L1",BR1140="L23"),AC1140&gt;0),SUMIFS($AC$7:$AC$1570,$BR$7:$BR$1570,BR1140,$AF$7:$AF$1570,"&gt;"&amp;AF1140)+SUMIFS($AC$7:$AC$1570,$BR$7:$BR$1570,BR1140,$AF$7:$AF$1570,AF1140,$BL$7:$BL$1570,"&lt;="&amp;BL1140),"")</f>
        <v/>
      </c>
      <c r="AH1140" s="65">
        <f>IF(AG1140="",0,MAX(0,MIN(1,(IF(BR1140="L1",Parameter!$K$5,Parameter!$K$6+Parameter!$K$7)-(AG1140-AC1140))/AC1140)))</f>
        <v/>
      </c>
      <c r="AI1140" s="55">
        <f>IF(LEFT(Cockpit!$I$5,1)="A",G1140,IF(BT1140=1,BU1140,IF(LEFT(Cockpit!$I$5,1)="B",AM1140,MAX(AM1140,G1140))))</f>
        <v/>
      </c>
      <c r="AJ1140" s="55">
        <f>IF(BO1140=1,0,ROUNDUP(AI1140/BN1140,0))</f>
        <v/>
      </c>
      <c r="AK1140" s="64">
        <f>IF(BO1140=1,IF(AI1140&lt;=0,0,BP1140*MAX(1,IF(G1140&gt;0,AI1140/G1140,1))),AJ1140*Q1140)</f>
        <v/>
      </c>
      <c r="AL1140" s="55">
        <f>AI1140*F1140</f>
        <v/>
      </c>
      <c r="AM1140" s="55">
        <f>ROUNDUP(MAX(I1140/IF(BS1140&gt;0,BS1140,MAX(0.1,N(Cockpit!$I$6))),BV1140)/BN1140,0)*BN1140</f>
        <v/>
      </c>
      <c r="AN1140" s="56">
        <f>IF(AK1140&gt;0,I1140/AK1140,-1)</f>
        <v/>
      </c>
      <c r="AO1140" s="56">
        <f>IF(AND(OR(BR1140="L1",BR1140="L23"),AK1140&gt;0),SUMIFS($AK$7:$AK$1570,$BR$7:$BR$1570,BR1140,$AN$7:$AN$1570,"&gt;"&amp;AN1140)+SUMIFS($AK$7:$AK$1570,$BR$7:$BR$1570,BR1140,$AN$7:$AN$1570,AN1140,$BL$7:$BL$1570,"&lt;="&amp;BL1140),"")</f>
        <v/>
      </c>
      <c r="AP1140" s="65">
        <f>IF(AO1140="",0,MAX(0,MIN(1,(IF(BR1140="L1",Parameter!$K$5,Parameter!$K$6+Parameter!$K$7)-(AO1140-AK1140))/AK1140)))</f>
        <v/>
      </c>
      <c r="AQ1140" s="55">
        <f>IF(LEFT(Cockpit!$O$5,1)="A",G1140,IF(BT1140=1,BU1140,IF(LEFT(Cockpit!$O$5,1)="B",AU1140,MAX(AU1140,G1140))))</f>
        <v/>
      </c>
      <c r="AR1140" s="55">
        <f>IF(BO1140=1,0,ROUNDUP(AQ1140/BN1140,0))</f>
        <v/>
      </c>
      <c r="AS1140" s="64">
        <f>IF(BO1140=1,IF(AQ1140&lt;=0,0,BP1140*MAX(1,IF(G1140&gt;0,AQ1140/G1140,1))),AR1140*Q1140)</f>
        <v/>
      </c>
      <c r="AT1140" s="55">
        <f>AQ1140*F1140</f>
        <v/>
      </c>
      <c r="AU1140" s="55">
        <f>ROUNDUP(MAX(I1140/IF(BS1140&gt;0,BS1140,MAX(0.1,N(Cockpit!$O$6))),BV1140)/BN1140,0)*BN1140</f>
        <v/>
      </c>
      <c r="AV1140" s="56">
        <f>IF(AS1140&gt;0,I1140/AS1140,-1)</f>
        <v/>
      </c>
      <c r="AW1140" s="56">
        <f>IF(AND(OR(BR1140="L1",BR1140="L23"),AS1140&gt;0),SUMIFS($AS$7:$AS$1570,$BR$7:$BR$1570,BR1140,$AV$7:$AV$1570,"&gt;"&amp;AV1140)+SUMIFS($AS$7:$AS$1570,$BR$7:$BR$1570,BR1140,$AV$7:$AV$1570,AV1140,$BL$7:$BL$1570,"&lt;="&amp;BL1140),"")</f>
        <v/>
      </c>
      <c r="AX1140" s="65">
        <f>IF(AW1140="",0,MAX(0,MIN(1,(IF(BR1140="L1",Parameter!$K$5,Parameter!$K$6+Parameter!$K$7)-(AW1140-AS1140))/AS1140)))</f>
        <v/>
      </c>
      <c r="AY1140" s="53">
        <f>IF(AC1140&lt;=0,"",IF(BR1140="Aussen","Aussenlager",IF(BR1140="-","Nicht im Lift",IF(AH1140&gt;=1,"Lift",IF(AH1140&lt;=0,"Aussenlager","teilweise")))))</f>
        <v/>
      </c>
      <c r="AZ1140" s="53">
        <f>IF(AK1140&lt;=0,"",IF(BR1140="Aussen","Aussenlager",IF(BR1140="-","Nicht im Lift",IF(AP1140&gt;=1,"Lift",IF(AP1140&lt;=0,"Aussenlager","teilweise")))))</f>
        <v/>
      </c>
      <c r="BA1140" s="53">
        <f>IF(AS1140&lt;=0,"",IF(BR1140="Aussen","Aussenlager",IF(BR1140="-","Nicht im Lift",IF(AX1140&gt;=1,"Lift",IF(AX1140&lt;=0,"Aussenlager","teilweise")))))</f>
        <v/>
      </c>
      <c r="BB1140" s="53">
        <f>IF(A1140="","",IF(BK1140=1,"Neu; ","")&amp;IF(AND(BK1140=0,BF1140&lt;0),"negativer Bestand (Export "&amp;BF1140&amp;"); ","")&amp;IF(I1140&lt;=0,"Kein Verbrauch; ","")&amp;IF(BO1140=1,"Lose – Fläche geschätzt; ","")&amp;IF(G1140&gt;AM1140,"Überbestand "&amp;ROUND(G1140-AM1140,0)&amp;" Stk / CHF "&amp;ROUND((G1140-AM1140)*F1140,0)&amp;"; ","")&amp;IF(AND(BT1140=1,BU1140&lt;BV1140),"MAX &lt; MB+LG; ","")&amp;IF(AND(BZ1140&gt;0,BY1140*10&gt;BZ1140),"zu hoch für Tablar; ","")&amp;IF(AND(BK1140=0,OR(BT1140=1,V1140&lt;&gt;"",S1140&lt;&gt;"",T1140&lt;&gt;"",W1140&lt;&gt;"")),"manuell übersteuert; ","")&amp;IF(AND(BO1140=0,Q1140=0),"Gebinde unbekannt; ","")&amp;IF(AND(BO1140=0,N(T1140)&lt;=0,N(P1140)&lt;=0),"Menge pro Gebinde fehlt (Ist = 1 Gebinde); ","")&amp;BJ1140)</f>
        <v/>
      </c>
      <c r="BC1140" s="53" t="n"/>
      <c r="BD1140" s="53" t="n"/>
      <c r="BE1140" s="61" t="n"/>
      <c r="BF1140" s="55" t="n">
        <v>-3</v>
      </c>
      <c r="BG1140" s="55" t="n">
        <v>4</v>
      </c>
      <c r="BH1140" s="54" t="n">
        <v>-286.62</v>
      </c>
      <c r="BI1140" s="55" t="n">
        <v>2</v>
      </c>
      <c r="BJ1140" s="53" t="inlineStr">
        <is>
          <t>Neu</t>
        </is>
      </c>
      <c r="BK1140" s="58" t="n">
        <v>0</v>
      </c>
      <c r="BL1140" s="58" t="n">
        <v>1140</v>
      </c>
      <c r="BM1140" s="53">
        <f>IF(S1140&lt;&gt;"",UPPER(TRIM(S1140)),IF(O1140="","LOSE",O1140))</f>
        <v/>
      </c>
      <c r="BN1140" s="55">
        <f>IF(BM1140="LOSE",1,IF(N(T1140)&gt;0,T1140,IF(N(P1140)&gt;0,P1140,MAX(1,G1140))))</f>
        <v/>
      </c>
      <c r="BO1140" s="58">
        <f>IF(BM1140="LOSE",1,0)</f>
        <v/>
      </c>
      <c r="BP1140" s="64">
        <f>IF(BO1140=0,0,IF(N(R1140)&gt;0,R1140,IFERROR(VLOOKUP(D1140,Parameter!$A$35:$C$64,3,0)+0,0)))</f>
        <v/>
      </c>
      <c r="BQ1140" s="53">
        <f>IF(V1140&lt;&gt;"",V1140,U1140)</f>
        <v/>
      </c>
      <c r="BR1140" s="53">
        <f>IF(BQ1140=1,"L1",IF(OR(BQ1140=2,BQ1140=3),"L23",IF(BQ1140="Aussen","Aussen","-")))</f>
        <v/>
      </c>
      <c r="BS1140" s="66">
        <f>IF(N(W1140)&gt;0,W1140,0)</f>
        <v/>
      </c>
      <c r="BT1140" s="58">
        <f>IF(ISNUMBER(Z1140),1,0)</f>
        <v/>
      </c>
      <c r="BU1140" s="55">
        <f>N(Z1140)</f>
        <v/>
      </c>
      <c r="BV1140" s="55">
        <f>N(L1140)+N(M1140)</f>
        <v/>
      </c>
      <c r="BW1140" s="55">
        <f>ROUNDUP(G1140/BN1140,0)</f>
        <v/>
      </c>
      <c r="BX1140" s="55">
        <f>ROUNDUP(BU1140/BN1140,0)</f>
        <v/>
      </c>
      <c r="BY1140" s="58">
        <f>IF(BO1140=1,0,IFERROR(VLOOKUP(BM1140,'Gebinde-Kategorie'!$A$5:$G$45,5,0)+0,0))</f>
        <v/>
      </c>
      <c r="BZ1140" s="58">
        <f>IFERROR(IF(OR(BQ1140=1,BQ1140=2,BQ1140=3),N(INDEX(Parameter!$I$5:$I$7,BQ1140)),0),0)</f>
        <v/>
      </c>
    </row>
    <row r="1141">
      <c r="A1141" s="53" t="inlineStr">
        <is>
          <t>109157</t>
        </is>
      </c>
      <c r="B1141" s="53" t="inlineStr">
        <is>
          <t>Sicherheitsventil 45 bar</t>
        </is>
      </c>
      <c r="C1141" s="53" t="inlineStr">
        <is>
          <t>F</t>
        </is>
      </c>
      <c r="D1141" s="53" t="inlineStr">
        <is>
          <t>KTL</t>
        </is>
      </c>
      <c r="E1141" s="53" t="inlineStr">
        <is>
          <t>C</t>
        </is>
      </c>
      <c r="F1141" s="54" t="n">
        <v>101.35</v>
      </c>
      <c r="G1141" s="55">
        <f>MAX(0,IF(Parameter!$B$20="Jahresanfang 2025 + Export",BG1141+BF1141,BF1141))</f>
        <v/>
      </c>
      <c r="H1141" s="55">
        <f>G1141*F1141</f>
        <v/>
      </c>
      <c r="I1141" s="55">
        <f>BI1141*Parameter!$B$18</f>
        <v/>
      </c>
      <c r="J1141" s="56" t="n">
        <v>3.5</v>
      </c>
      <c r="K1141" s="57" t="n">
        <v>1.714285714285714</v>
      </c>
      <c r="L1141" s="55" t="n">
        <v>0</v>
      </c>
      <c r="M1141" s="55" t="n">
        <v>5</v>
      </c>
      <c r="N1141" s="58" t="n">
        <v>35</v>
      </c>
      <c r="O1141" s="53" t="inlineStr">
        <is>
          <t>LOSE</t>
        </is>
      </c>
      <c r="P1141" s="55" t="n"/>
      <c r="Q1141" s="59">
        <f>IF(BO1141=1,0,IFERROR(VLOOKUP(BM1141,'Gebinde-Kategorie'!$A$5:$G$45,6,0)+0,0))</f>
        <v/>
      </c>
      <c r="R1141" s="60" t="n"/>
      <c r="S1141" s="61" t="n"/>
      <c r="T1141" s="61" t="n"/>
      <c r="U1141" s="53">
        <f>IF(A1141="","",IF(IFERROR(VLOOKUP(D1141,Parameter!$A$35:$C$64,2,0),"Nein")="2+3",IF(ISNUMBER(SEARCH("grosser Artikel",BJ1141)),2,IFERROR(VLOOKUP(BM1141,Parameter!$F$35:$G$64,2,0),2)),IF(OR(IFERROR(VLOOKUP(D1141,Parameter!$A$35:$C$64,2,0),"Nein")="Nein",IFERROR(VLOOKUP(D1141,Parameter!$A$35:$C$64,2,0),"Nein")=""),"-",VLOOKUP(D1141,Parameter!$A$35:$C$64,2,0))))</f>
        <v/>
      </c>
      <c r="V1141" s="61" t="n"/>
      <c r="W1141" s="62" t="n"/>
      <c r="X1141" s="55">
        <f>AM1141</f>
        <v/>
      </c>
      <c r="Y1141" s="55">
        <f>MAX(AM1141,G1141)</f>
        <v/>
      </c>
      <c r="Z1141" s="63" t="n"/>
      <c r="AA1141" s="55">
        <f>IF(LEFT(Cockpit!$C$5,1)="A",G1141,IF(BT1141=1,BU1141,IF(LEFT(Cockpit!$C$5,1)="B",AE1141,MAX(AE1141,G1141))))</f>
        <v/>
      </c>
      <c r="AB1141" s="55">
        <f>IF(BO1141=1,0,ROUNDUP(AA1141/BN1141,0))</f>
        <v/>
      </c>
      <c r="AC1141" s="64">
        <f>IF(BO1141=1,IF(AA1141&lt;=0,0,BP1141*MAX(1,IF(G1141&gt;0,AA1141/G1141,1))),AB1141*Q1141)</f>
        <v/>
      </c>
      <c r="AD1141" s="55">
        <f>AA1141*F1141</f>
        <v/>
      </c>
      <c r="AE1141" s="55">
        <f>ROUNDUP(MAX(I1141/IF(BS1141&gt;0,BS1141,MAX(0.1,N(Cockpit!$C$6))),BV1141)/BN1141,0)*BN1141</f>
        <v/>
      </c>
      <c r="AF1141" s="56">
        <f>IF(AC1141&gt;0,I1141/AC1141,-1)</f>
        <v/>
      </c>
      <c r="AG1141" s="56">
        <f>IF(AND(OR(BR1141="L1",BR1141="L23"),AC1141&gt;0),SUMIFS($AC$7:$AC$1570,$BR$7:$BR$1570,BR1141,$AF$7:$AF$1570,"&gt;"&amp;AF1141)+SUMIFS($AC$7:$AC$1570,$BR$7:$BR$1570,BR1141,$AF$7:$AF$1570,AF1141,$BL$7:$BL$1570,"&lt;="&amp;BL1141),"")</f>
        <v/>
      </c>
      <c r="AH1141" s="65">
        <f>IF(AG1141="",0,MAX(0,MIN(1,(IF(BR1141="L1",Parameter!$K$5,Parameter!$K$6+Parameter!$K$7)-(AG1141-AC1141))/AC1141)))</f>
        <v/>
      </c>
      <c r="AI1141" s="55">
        <f>IF(LEFT(Cockpit!$I$5,1)="A",G1141,IF(BT1141=1,BU1141,IF(LEFT(Cockpit!$I$5,1)="B",AM1141,MAX(AM1141,G1141))))</f>
        <v/>
      </c>
      <c r="AJ1141" s="55">
        <f>IF(BO1141=1,0,ROUNDUP(AI1141/BN1141,0))</f>
        <v/>
      </c>
      <c r="AK1141" s="64">
        <f>IF(BO1141=1,IF(AI1141&lt;=0,0,BP1141*MAX(1,IF(G1141&gt;0,AI1141/G1141,1))),AJ1141*Q1141)</f>
        <v/>
      </c>
      <c r="AL1141" s="55">
        <f>AI1141*F1141</f>
        <v/>
      </c>
      <c r="AM1141" s="55">
        <f>ROUNDUP(MAX(I1141/IF(BS1141&gt;0,BS1141,MAX(0.1,N(Cockpit!$I$6))),BV1141)/BN1141,0)*BN1141</f>
        <v/>
      </c>
      <c r="AN1141" s="56">
        <f>IF(AK1141&gt;0,I1141/AK1141,-1)</f>
        <v/>
      </c>
      <c r="AO1141" s="56">
        <f>IF(AND(OR(BR1141="L1",BR1141="L23"),AK1141&gt;0),SUMIFS($AK$7:$AK$1570,$BR$7:$BR$1570,BR1141,$AN$7:$AN$1570,"&gt;"&amp;AN1141)+SUMIFS($AK$7:$AK$1570,$BR$7:$BR$1570,BR1141,$AN$7:$AN$1570,AN1141,$BL$7:$BL$1570,"&lt;="&amp;BL1141),"")</f>
        <v/>
      </c>
      <c r="AP1141" s="65">
        <f>IF(AO1141="",0,MAX(0,MIN(1,(IF(BR1141="L1",Parameter!$K$5,Parameter!$K$6+Parameter!$K$7)-(AO1141-AK1141))/AK1141)))</f>
        <v/>
      </c>
      <c r="AQ1141" s="55">
        <f>IF(LEFT(Cockpit!$O$5,1)="A",G1141,IF(BT1141=1,BU1141,IF(LEFT(Cockpit!$O$5,1)="B",AU1141,MAX(AU1141,G1141))))</f>
        <v/>
      </c>
      <c r="AR1141" s="55">
        <f>IF(BO1141=1,0,ROUNDUP(AQ1141/BN1141,0))</f>
        <v/>
      </c>
      <c r="AS1141" s="64">
        <f>IF(BO1141=1,IF(AQ1141&lt;=0,0,BP1141*MAX(1,IF(G1141&gt;0,AQ1141/G1141,1))),AR1141*Q1141)</f>
        <v/>
      </c>
      <c r="AT1141" s="55">
        <f>AQ1141*F1141</f>
        <v/>
      </c>
      <c r="AU1141" s="55">
        <f>ROUNDUP(MAX(I1141/IF(BS1141&gt;0,BS1141,MAX(0.1,N(Cockpit!$O$6))),BV1141)/BN1141,0)*BN1141</f>
        <v/>
      </c>
      <c r="AV1141" s="56">
        <f>IF(AS1141&gt;0,I1141/AS1141,-1)</f>
        <v/>
      </c>
      <c r="AW1141" s="56">
        <f>IF(AND(OR(BR1141="L1",BR1141="L23"),AS1141&gt;0),SUMIFS($AS$7:$AS$1570,$BR$7:$BR$1570,BR1141,$AV$7:$AV$1570,"&gt;"&amp;AV1141)+SUMIFS($AS$7:$AS$1570,$BR$7:$BR$1570,BR1141,$AV$7:$AV$1570,AV1141,$BL$7:$BL$1570,"&lt;="&amp;BL1141),"")</f>
        <v/>
      </c>
      <c r="AX1141" s="65">
        <f>IF(AW1141="",0,MAX(0,MIN(1,(IF(BR1141="L1",Parameter!$K$5,Parameter!$K$6+Parameter!$K$7)-(AW1141-AS1141))/AS1141)))</f>
        <v/>
      </c>
      <c r="AY1141" s="53">
        <f>IF(AC1141&lt;=0,"",IF(BR1141="Aussen","Aussenlager",IF(BR1141="-","Nicht im Lift",IF(AH1141&gt;=1,"Lift",IF(AH1141&lt;=0,"Aussenlager","teilweise")))))</f>
        <v/>
      </c>
      <c r="AZ1141" s="53">
        <f>IF(AK1141&lt;=0,"",IF(BR1141="Aussen","Aussenlager",IF(BR1141="-","Nicht im Lift",IF(AP1141&gt;=1,"Lift",IF(AP1141&lt;=0,"Aussenlager","teilweise")))))</f>
        <v/>
      </c>
      <c r="BA1141" s="53">
        <f>IF(AS1141&lt;=0,"",IF(BR1141="Aussen","Aussenlager",IF(BR1141="-","Nicht im Lift",IF(AX1141&gt;=1,"Lift",IF(AX1141&lt;=0,"Aussenlager","teilweise")))))</f>
        <v/>
      </c>
      <c r="BB1141" s="53">
        <f>IF(A1141="","",IF(BK1141=1,"Neu; ","")&amp;IF(AND(BK1141=0,BF1141&lt;0),"negativer Bestand (Export "&amp;BF1141&amp;"); ","")&amp;IF(I1141&lt;=0,"Kein Verbrauch; ","")&amp;IF(BO1141=1,"Lose – Fläche geschätzt; ","")&amp;IF(G1141&gt;AM1141,"Überbestand "&amp;ROUND(G1141-AM1141,0)&amp;" Stk / CHF "&amp;ROUND((G1141-AM1141)*F1141,0)&amp;"; ","")&amp;IF(AND(BT1141=1,BU1141&lt;BV1141),"MAX &lt; MB+LG; ","")&amp;IF(AND(BZ1141&gt;0,BY1141*10&gt;BZ1141),"zu hoch für Tablar; ","")&amp;IF(AND(BK1141=0,OR(BT1141=1,V1141&lt;&gt;"",S1141&lt;&gt;"",T1141&lt;&gt;"",W1141&lt;&gt;"")),"manuell übersteuert; ","")&amp;IF(AND(BO1141=0,Q1141=0),"Gebinde unbekannt; ","")&amp;IF(AND(BO1141=0,N(T1141)&lt;=0,N(P1141)&lt;=0),"Menge pro Gebinde fehlt (Ist = 1 Gebinde); ","")&amp;BJ1141)</f>
        <v/>
      </c>
      <c r="BC1141" s="53" t="n"/>
      <c r="BD1141" s="53" t="n"/>
      <c r="BE1141" s="61" t="n"/>
      <c r="BF1141" s="55" t="n">
        <v>-3</v>
      </c>
      <c r="BG1141" s="55" t="n">
        <v>4</v>
      </c>
      <c r="BH1141" s="54" t="n">
        <v>-287.2099999999999</v>
      </c>
      <c r="BI1141" s="55" t="n">
        <v>6</v>
      </c>
      <c r="BJ1141" s="53" t="inlineStr"/>
      <c r="BK1141" s="58" t="n">
        <v>0</v>
      </c>
      <c r="BL1141" s="58" t="n">
        <v>1141</v>
      </c>
      <c r="BM1141" s="53">
        <f>IF(S1141&lt;&gt;"",UPPER(TRIM(S1141)),IF(O1141="","LOSE",O1141))</f>
        <v/>
      </c>
      <c r="BN1141" s="55">
        <f>IF(BM1141="LOSE",1,IF(N(T1141)&gt;0,T1141,IF(N(P1141)&gt;0,P1141,MAX(1,G1141))))</f>
        <v/>
      </c>
      <c r="BO1141" s="58">
        <f>IF(BM1141="LOSE",1,0)</f>
        <v/>
      </c>
      <c r="BP1141" s="64">
        <f>IF(BO1141=0,0,IF(N(R1141)&gt;0,R1141,IFERROR(VLOOKUP(D1141,Parameter!$A$35:$C$64,3,0)+0,0)))</f>
        <v/>
      </c>
      <c r="BQ1141" s="53">
        <f>IF(V1141&lt;&gt;"",V1141,U1141)</f>
        <v/>
      </c>
      <c r="BR1141" s="53">
        <f>IF(BQ1141=1,"L1",IF(OR(BQ1141=2,BQ1141=3),"L23",IF(BQ1141="Aussen","Aussen","-")))</f>
        <v/>
      </c>
      <c r="BS1141" s="66">
        <f>IF(N(W1141)&gt;0,W1141,0)</f>
        <v/>
      </c>
      <c r="BT1141" s="58">
        <f>IF(ISNUMBER(Z1141),1,0)</f>
        <v/>
      </c>
      <c r="BU1141" s="55">
        <f>N(Z1141)</f>
        <v/>
      </c>
      <c r="BV1141" s="55">
        <f>N(L1141)+N(M1141)</f>
        <v/>
      </c>
      <c r="BW1141" s="55">
        <f>ROUNDUP(G1141/BN1141,0)</f>
        <v/>
      </c>
      <c r="BX1141" s="55">
        <f>ROUNDUP(BU1141/BN1141,0)</f>
        <v/>
      </c>
      <c r="BY1141" s="58">
        <f>IF(BO1141=1,0,IFERROR(VLOOKUP(BM1141,'Gebinde-Kategorie'!$A$5:$G$45,5,0)+0,0))</f>
        <v/>
      </c>
      <c r="BZ1141" s="58">
        <f>IFERROR(IF(OR(BQ1141=1,BQ1141=2,BQ1141=3),N(INDEX(Parameter!$I$5:$I$7,BQ1141)),0),0)</f>
        <v/>
      </c>
    </row>
    <row r="1142">
      <c r="A1142" s="53" t="inlineStr">
        <is>
          <t>102855</t>
        </is>
      </c>
      <c r="B1142" s="53" t="inlineStr">
        <is>
          <t>Kronenmutter</t>
        </is>
      </c>
      <c r="C1142" s="53" t="inlineStr">
        <is>
          <t>F</t>
        </is>
      </c>
      <c r="D1142" s="53" t="inlineStr">
        <is>
          <t>KTL</t>
        </is>
      </c>
      <c r="E1142" s="53" t="inlineStr">
        <is>
          <t>C</t>
        </is>
      </c>
      <c r="F1142" s="54" t="n">
        <v>0.65</v>
      </c>
      <c r="G1142" s="55">
        <f>MAX(0,IF(Parameter!$B$20="Jahresanfang 2025 + Export",BG1142+BF1142,BF1142))</f>
        <v/>
      </c>
      <c r="H1142" s="55">
        <f>G1142*F1142</f>
        <v/>
      </c>
      <c r="I1142" s="55">
        <f>BI1142*Parameter!$B$18</f>
        <v/>
      </c>
      <c r="J1142" s="56" t="n">
        <v>564</v>
      </c>
      <c r="K1142" s="57" t="n">
        <v>1.054964539007092</v>
      </c>
      <c r="L1142" s="55" t="n">
        <v>34</v>
      </c>
      <c r="M1142" s="55" t="n">
        <v>600</v>
      </c>
      <c r="N1142" s="58" t="n">
        <v>21</v>
      </c>
      <c r="O1142" s="53" t="inlineStr">
        <is>
          <t>S52</t>
        </is>
      </c>
      <c r="P1142" s="55" t="n">
        <v>197</v>
      </c>
      <c r="Q1142" s="59">
        <f>IF(BO1142=1,0,IFERROR(VLOOKUP(BM1142,'Gebinde-Kategorie'!$A$5:$G$45,6,0)+0,0))</f>
        <v/>
      </c>
      <c r="R1142" s="60" t="n"/>
      <c r="S1142" s="61" t="n"/>
      <c r="T1142" s="61" t="n"/>
      <c r="U1142" s="53">
        <f>IF(A1142="","",IF(IFERROR(VLOOKUP(D1142,Parameter!$A$35:$C$64,2,0),"Nein")="2+3",IF(ISNUMBER(SEARCH("grosser Artikel",BJ1142)),2,IFERROR(VLOOKUP(BM1142,Parameter!$F$35:$G$64,2,0),2)),IF(OR(IFERROR(VLOOKUP(D1142,Parameter!$A$35:$C$64,2,0),"Nein")="Nein",IFERROR(VLOOKUP(D1142,Parameter!$A$35:$C$64,2,0),"Nein")=""),"-",VLOOKUP(D1142,Parameter!$A$35:$C$64,2,0))))</f>
        <v/>
      </c>
      <c r="V1142" s="61" t="n"/>
      <c r="W1142" s="62" t="n"/>
      <c r="X1142" s="55">
        <f>AM1142</f>
        <v/>
      </c>
      <c r="Y1142" s="55">
        <f>MAX(AM1142,G1142)</f>
        <v/>
      </c>
      <c r="Z1142" s="63" t="n"/>
      <c r="AA1142" s="55">
        <f>IF(LEFT(Cockpit!$C$5,1)="A",G1142,IF(BT1142=1,BU1142,IF(LEFT(Cockpit!$C$5,1)="B",AE1142,MAX(AE1142,G1142))))</f>
        <v/>
      </c>
      <c r="AB1142" s="55">
        <f>IF(BO1142=1,0,ROUNDUP(AA1142/BN1142,0))</f>
        <v/>
      </c>
      <c r="AC1142" s="64">
        <f>IF(BO1142=1,IF(AA1142&lt;=0,0,BP1142*MAX(1,IF(G1142&gt;0,AA1142/G1142,1))),AB1142*Q1142)</f>
        <v/>
      </c>
      <c r="AD1142" s="55">
        <f>AA1142*F1142</f>
        <v/>
      </c>
      <c r="AE1142" s="55">
        <f>ROUNDUP(MAX(I1142/IF(BS1142&gt;0,BS1142,MAX(0.1,N(Cockpit!$C$6))),BV1142)/BN1142,0)*BN1142</f>
        <v/>
      </c>
      <c r="AF1142" s="56">
        <f>IF(AC1142&gt;0,I1142/AC1142,-1)</f>
        <v/>
      </c>
      <c r="AG1142" s="56">
        <f>IF(AND(OR(BR1142="L1",BR1142="L23"),AC1142&gt;0),SUMIFS($AC$7:$AC$1570,$BR$7:$BR$1570,BR1142,$AF$7:$AF$1570,"&gt;"&amp;AF1142)+SUMIFS($AC$7:$AC$1570,$BR$7:$BR$1570,BR1142,$AF$7:$AF$1570,AF1142,$BL$7:$BL$1570,"&lt;="&amp;BL1142),"")</f>
        <v/>
      </c>
      <c r="AH1142" s="65">
        <f>IF(AG1142="",0,MAX(0,MIN(1,(IF(BR1142="L1",Parameter!$K$5,Parameter!$K$6+Parameter!$K$7)-(AG1142-AC1142))/AC1142)))</f>
        <v/>
      </c>
      <c r="AI1142" s="55">
        <f>IF(LEFT(Cockpit!$I$5,1)="A",G1142,IF(BT1142=1,BU1142,IF(LEFT(Cockpit!$I$5,1)="B",AM1142,MAX(AM1142,G1142))))</f>
        <v/>
      </c>
      <c r="AJ1142" s="55">
        <f>IF(BO1142=1,0,ROUNDUP(AI1142/BN1142,0))</f>
        <v/>
      </c>
      <c r="AK1142" s="64">
        <f>IF(BO1142=1,IF(AI1142&lt;=0,0,BP1142*MAX(1,IF(G1142&gt;0,AI1142/G1142,1))),AJ1142*Q1142)</f>
        <v/>
      </c>
      <c r="AL1142" s="55">
        <f>AI1142*F1142</f>
        <v/>
      </c>
      <c r="AM1142" s="55">
        <f>ROUNDUP(MAX(I1142/IF(BS1142&gt;0,BS1142,MAX(0.1,N(Cockpit!$I$6))),BV1142)/BN1142,0)*BN1142</f>
        <v/>
      </c>
      <c r="AN1142" s="56">
        <f>IF(AK1142&gt;0,I1142/AK1142,-1)</f>
        <v/>
      </c>
      <c r="AO1142" s="56">
        <f>IF(AND(OR(BR1142="L1",BR1142="L23"),AK1142&gt;0),SUMIFS($AK$7:$AK$1570,$BR$7:$BR$1570,BR1142,$AN$7:$AN$1570,"&gt;"&amp;AN1142)+SUMIFS($AK$7:$AK$1570,$BR$7:$BR$1570,BR1142,$AN$7:$AN$1570,AN1142,$BL$7:$BL$1570,"&lt;="&amp;BL1142),"")</f>
        <v/>
      </c>
      <c r="AP1142" s="65">
        <f>IF(AO1142="",0,MAX(0,MIN(1,(IF(BR1142="L1",Parameter!$K$5,Parameter!$K$6+Parameter!$K$7)-(AO1142-AK1142))/AK1142)))</f>
        <v/>
      </c>
      <c r="AQ1142" s="55">
        <f>IF(LEFT(Cockpit!$O$5,1)="A",G1142,IF(BT1142=1,BU1142,IF(LEFT(Cockpit!$O$5,1)="B",AU1142,MAX(AU1142,G1142))))</f>
        <v/>
      </c>
      <c r="AR1142" s="55">
        <f>IF(BO1142=1,0,ROUNDUP(AQ1142/BN1142,0))</f>
        <v/>
      </c>
      <c r="AS1142" s="64">
        <f>IF(BO1142=1,IF(AQ1142&lt;=0,0,BP1142*MAX(1,IF(G1142&gt;0,AQ1142/G1142,1))),AR1142*Q1142)</f>
        <v/>
      </c>
      <c r="AT1142" s="55">
        <f>AQ1142*F1142</f>
        <v/>
      </c>
      <c r="AU1142" s="55">
        <f>ROUNDUP(MAX(I1142/IF(BS1142&gt;0,BS1142,MAX(0.1,N(Cockpit!$O$6))),BV1142)/BN1142,0)*BN1142</f>
        <v/>
      </c>
      <c r="AV1142" s="56">
        <f>IF(AS1142&gt;0,I1142/AS1142,-1)</f>
        <v/>
      </c>
      <c r="AW1142" s="56">
        <f>IF(AND(OR(BR1142="L1",BR1142="L23"),AS1142&gt;0),SUMIFS($AS$7:$AS$1570,$BR$7:$BR$1570,BR1142,$AV$7:$AV$1570,"&gt;"&amp;AV1142)+SUMIFS($AS$7:$AS$1570,$BR$7:$BR$1570,BR1142,$AV$7:$AV$1570,AV1142,$BL$7:$BL$1570,"&lt;="&amp;BL1142),"")</f>
        <v/>
      </c>
      <c r="AX1142" s="65">
        <f>IF(AW1142="",0,MAX(0,MIN(1,(IF(BR1142="L1",Parameter!$K$5,Parameter!$K$6+Parameter!$K$7)-(AW1142-AS1142))/AS1142)))</f>
        <v/>
      </c>
      <c r="AY1142" s="53">
        <f>IF(AC1142&lt;=0,"",IF(BR1142="Aussen","Aussenlager",IF(BR1142="-","Nicht im Lift",IF(AH1142&gt;=1,"Lift",IF(AH1142&lt;=0,"Aussenlager","teilweise")))))</f>
        <v/>
      </c>
      <c r="AZ1142" s="53">
        <f>IF(AK1142&lt;=0,"",IF(BR1142="Aussen","Aussenlager",IF(BR1142="-","Nicht im Lift",IF(AP1142&gt;=1,"Lift",IF(AP1142&lt;=0,"Aussenlager","teilweise")))))</f>
        <v/>
      </c>
      <c r="BA1142" s="53">
        <f>IF(AS1142&lt;=0,"",IF(BR1142="Aussen","Aussenlager",IF(BR1142="-","Nicht im Lift",IF(AX1142&gt;=1,"Lift",IF(AX1142&lt;=0,"Aussenlager","teilweise")))))</f>
        <v/>
      </c>
      <c r="BB1142" s="53">
        <f>IF(A1142="","",IF(BK1142=1,"Neu; ","")&amp;IF(AND(BK1142=0,BF1142&lt;0),"negativer Bestand (Export "&amp;BF1142&amp;"); ","")&amp;IF(I1142&lt;=0,"Kein Verbrauch; ","")&amp;IF(BO1142=1,"Lose – Fläche geschätzt; ","")&amp;IF(G1142&gt;AM1142,"Überbestand "&amp;ROUND(G1142-AM1142,0)&amp;" Stk / CHF "&amp;ROUND((G1142-AM1142)*F1142,0)&amp;"; ","")&amp;IF(AND(BT1142=1,BU1142&lt;BV1142),"MAX &lt; MB+LG; ","")&amp;IF(AND(BZ1142&gt;0,BY1142*10&gt;BZ1142),"zu hoch für Tablar; ","")&amp;IF(AND(BK1142=0,OR(BT1142=1,V1142&lt;&gt;"",S1142&lt;&gt;"",T1142&lt;&gt;"",W1142&lt;&gt;"")),"manuell übersteuert; ","")&amp;IF(AND(BO1142=0,Q1142=0),"Gebinde unbekannt; ","")&amp;IF(AND(BO1142=0,N(T1142)&lt;=0,N(P1142)&lt;=0),"Menge pro Gebinde fehlt (Ist = 1 Gebinde); ","")&amp;BJ1142)</f>
        <v/>
      </c>
      <c r="BC1142" s="53" t="n"/>
      <c r="BD1142" s="53" t="n"/>
      <c r="BE1142" s="61" t="n"/>
      <c r="BF1142" s="55" t="n">
        <v>-453</v>
      </c>
      <c r="BG1142" s="55" t="n">
        <v>571</v>
      </c>
      <c r="BH1142" s="54" t="n">
        <v>-288.8199999999989</v>
      </c>
      <c r="BI1142" s="55" t="n">
        <v>595</v>
      </c>
      <c r="BJ1142" s="53" t="inlineStr"/>
      <c r="BK1142" s="58" t="n">
        <v>0</v>
      </c>
      <c r="BL1142" s="58" t="n">
        <v>1142</v>
      </c>
      <c r="BM1142" s="53">
        <f>IF(S1142&lt;&gt;"",UPPER(TRIM(S1142)),IF(O1142="","LOSE",O1142))</f>
        <v/>
      </c>
      <c r="BN1142" s="55">
        <f>IF(BM1142="LOSE",1,IF(N(T1142)&gt;0,T1142,IF(N(P1142)&gt;0,P1142,MAX(1,G1142))))</f>
        <v/>
      </c>
      <c r="BO1142" s="58">
        <f>IF(BM1142="LOSE",1,0)</f>
        <v/>
      </c>
      <c r="BP1142" s="64">
        <f>IF(BO1142=0,0,IF(N(R1142)&gt;0,R1142,IFERROR(VLOOKUP(D1142,Parameter!$A$35:$C$64,3,0)+0,0)))</f>
        <v/>
      </c>
      <c r="BQ1142" s="53">
        <f>IF(V1142&lt;&gt;"",V1142,U1142)</f>
        <v/>
      </c>
      <c r="BR1142" s="53">
        <f>IF(BQ1142=1,"L1",IF(OR(BQ1142=2,BQ1142=3),"L23",IF(BQ1142="Aussen","Aussen","-")))</f>
        <v/>
      </c>
      <c r="BS1142" s="66">
        <f>IF(N(W1142)&gt;0,W1142,0)</f>
        <v/>
      </c>
      <c r="BT1142" s="58">
        <f>IF(ISNUMBER(Z1142),1,0)</f>
        <v/>
      </c>
      <c r="BU1142" s="55">
        <f>N(Z1142)</f>
        <v/>
      </c>
      <c r="BV1142" s="55">
        <f>N(L1142)+N(M1142)</f>
        <v/>
      </c>
      <c r="BW1142" s="55">
        <f>ROUNDUP(G1142/BN1142,0)</f>
        <v/>
      </c>
      <c r="BX1142" s="55">
        <f>ROUNDUP(BU1142/BN1142,0)</f>
        <v/>
      </c>
      <c r="BY1142" s="58">
        <f>IF(BO1142=1,0,IFERROR(VLOOKUP(BM1142,'Gebinde-Kategorie'!$A$5:$G$45,5,0)+0,0))</f>
        <v/>
      </c>
      <c r="BZ1142" s="58">
        <f>IFERROR(IF(OR(BQ1142=1,BQ1142=2,BQ1142=3),N(INDEX(Parameter!$I$5:$I$7,BQ1142)),0),0)</f>
        <v/>
      </c>
    </row>
    <row r="1143">
      <c r="A1143" s="53" t="inlineStr">
        <is>
          <t>104216</t>
        </is>
      </c>
      <c r="B1143" s="53" t="inlineStr">
        <is>
          <t>Transfermagnetventil Spule CH4</t>
        </is>
      </c>
      <c r="C1143" s="53" t="inlineStr">
        <is>
          <t>F</t>
        </is>
      </c>
      <c r="D1143" s="53" t="inlineStr">
        <is>
          <t>PAL</t>
        </is>
      </c>
      <c r="E1143" s="53" t="inlineStr">
        <is>
          <t>C</t>
        </is>
      </c>
      <c r="F1143" s="54" t="n">
        <v>288.93</v>
      </c>
      <c r="G1143" s="55">
        <f>MAX(0,IF(Parameter!$B$20="Jahresanfang 2025 + Export",BG1143+BF1143,BF1143))</f>
        <v/>
      </c>
      <c r="H1143" s="55">
        <f>G1143*F1143</f>
        <v/>
      </c>
      <c r="I1143" s="55">
        <f>BI1143*Parameter!$B$18</f>
        <v/>
      </c>
      <c r="J1143" s="56" t="n">
        <v>13.5</v>
      </c>
      <c r="K1143" s="57" t="n">
        <v>0</v>
      </c>
      <c r="L1143" s="55" t="n">
        <v>0</v>
      </c>
      <c r="M1143" s="55" t="n">
        <v>1</v>
      </c>
      <c r="N1143" s="58" t="n">
        <v>84</v>
      </c>
      <c r="O1143" s="53" t="inlineStr">
        <is>
          <t>S71</t>
        </is>
      </c>
      <c r="P1143" s="55" t="n">
        <v>15</v>
      </c>
      <c r="Q1143" s="59">
        <f>IF(BO1143=1,0,IFERROR(VLOOKUP(BM1143,'Gebinde-Kategorie'!$A$5:$G$45,6,0)+0,0))</f>
        <v/>
      </c>
      <c r="R1143" s="60" t="n"/>
      <c r="S1143" s="61" t="n"/>
      <c r="T1143" s="61" t="n"/>
      <c r="U1143" s="53">
        <f>IF(A1143="","",IF(IFERROR(VLOOKUP(D1143,Parameter!$A$35:$C$64,2,0),"Nein")="2+3",IF(ISNUMBER(SEARCH("grosser Artikel",BJ1143)),2,IFERROR(VLOOKUP(BM1143,Parameter!$F$35:$G$64,2,0),2)),IF(OR(IFERROR(VLOOKUP(D1143,Parameter!$A$35:$C$64,2,0),"Nein")="Nein",IFERROR(VLOOKUP(D1143,Parameter!$A$35:$C$64,2,0),"Nein")=""),"-",VLOOKUP(D1143,Parameter!$A$35:$C$64,2,0))))</f>
        <v/>
      </c>
      <c r="V1143" s="61" t="n"/>
      <c r="W1143" s="62" t="n"/>
      <c r="X1143" s="55">
        <f>AM1143</f>
        <v/>
      </c>
      <c r="Y1143" s="55">
        <f>MAX(AM1143,G1143)</f>
        <v/>
      </c>
      <c r="Z1143" s="63" t="n"/>
      <c r="AA1143" s="55">
        <f>IF(LEFT(Cockpit!$C$5,1)="A",G1143,IF(BT1143=1,BU1143,IF(LEFT(Cockpit!$C$5,1)="B",AE1143,MAX(AE1143,G1143))))</f>
        <v/>
      </c>
      <c r="AB1143" s="55">
        <f>IF(BO1143=1,0,ROUNDUP(AA1143/BN1143,0))</f>
        <v/>
      </c>
      <c r="AC1143" s="64">
        <f>IF(BO1143=1,IF(AA1143&lt;=0,0,BP1143*MAX(1,IF(G1143&gt;0,AA1143/G1143,1))),AB1143*Q1143)</f>
        <v/>
      </c>
      <c r="AD1143" s="55">
        <f>AA1143*F1143</f>
        <v/>
      </c>
      <c r="AE1143" s="55">
        <f>ROUNDUP(MAX(I1143/IF(BS1143&gt;0,BS1143,MAX(0.1,N(Cockpit!$C$6))),BV1143)/BN1143,0)*BN1143</f>
        <v/>
      </c>
      <c r="AF1143" s="56">
        <f>IF(AC1143&gt;0,I1143/AC1143,-1)</f>
        <v/>
      </c>
      <c r="AG1143" s="56">
        <f>IF(AND(OR(BR1143="L1",BR1143="L23"),AC1143&gt;0),SUMIFS($AC$7:$AC$1570,$BR$7:$BR$1570,BR1143,$AF$7:$AF$1570,"&gt;"&amp;AF1143)+SUMIFS($AC$7:$AC$1570,$BR$7:$BR$1570,BR1143,$AF$7:$AF$1570,AF1143,$BL$7:$BL$1570,"&lt;="&amp;BL1143),"")</f>
        <v/>
      </c>
      <c r="AH1143" s="65">
        <f>IF(AG1143="",0,MAX(0,MIN(1,(IF(BR1143="L1",Parameter!$K$5,Parameter!$K$6+Parameter!$K$7)-(AG1143-AC1143))/AC1143)))</f>
        <v/>
      </c>
      <c r="AI1143" s="55">
        <f>IF(LEFT(Cockpit!$I$5,1)="A",G1143,IF(BT1143=1,BU1143,IF(LEFT(Cockpit!$I$5,1)="B",AM1143,MAX(AM1143,G1143))))</f>
        <v/>
      </c>
      <c r="AJ1143" s="55">
        <f>IF(BO1143=1,0,ROUNDUP(AI1143/BN1143,0))</f>
        <v/>
      </c>
      <c r="AK1143" s="64">
        <f>IF(BO1143=1,IF(AI1143&lt;=0,0,BP1143*MAX(1,IF(G1143&gt;0,AI1143/G1143,1))),AJ1143*Q1143)</f>
        <v/>
      </c>
      <c r="AL1143" s="55">
        <f>AI1143*F1143</f>
        <v/>
      </c>
      <c r="AM1143" s="55">
        <f>ROUNDUP(MAX(I1143/IF(BS1143&gt;0,BS1143,MAX(0.1,N(Cockpit!$I$6))),BV1143)/BN1143,0)*BN1143</f>
        <v/>
      </c>
      <c r="AN1143" s="56">
        <f>IF(AK1143&gt;0,I1143/AK1143,-1)</f>
        <v/>
      </c>
      <c r="AO1143" s="56">
        <f>IF(AND(OR(BR1143="L1",BR1143="L23"),AK1143&gt;0),SUMIFS($AK$7:$AK$1570,$BR$7:$BR$1570,BR1143,$AN$7:$AN$1570,"&gt;"&amp;AN1143)+SUMIFS($AK$7:$AK$1570,$BR$7:$BR$1570,BR1143,$AN$7:$AN$1570,AN1143,$BL$7:$BL$1570,"&lt;="&amp;BL1143),"")</f>
        <v/>
      </c>
      <c r="AP1143" s="65">
        <f>IF(AO1143="",0,MAX(0,MIN(1,(IF(BR1143="L1",Parameter!$K$5,Parameter!$K$6+Parameter!$K$7)-(AO1143-AK1143))/AK1143)))</f>
        <v/>
      </c>
      <c r="AQ1143" s="55">
        <f>IF(LEFT(Cockpit!$O$5,1)="A",G1143,IF(BT1143=1,BU1143,IF(LEFT(Cockpit!$O$5,1)="B",AU1143,MAX(AU1143,G1143))))</f>
        <v/>
      </c>
      <c r="AR1143" s="55">
        <f>IF(BO1143=1,0,ROUNDUP(AQ1143/BN1143,0))</f>
        <v/>
      </c>
      <c r="AS1143" s="64">
        <f>IF(BO1143=1,IF(AQ1143&lt;=0,0,BP1143*MAX(1,IF(G1143&gt;0,AQ1143/G1143,1))),AR1143*Q1143)</f>
        <v/>
      </c>
      <c r="AT1143" s="55">
        <f>AQ1143*F1143</f>
        <v/>
      </c>
      <c r="AU1143" s="55">
        <f>ROUNDUP(MAX(I1143/IF(BS1143&gt;0,BS1143,MAX(0.1,N(Cockpit!$O$6))),BV1143)/BN1143,0)*BN1143</f>
        <v/>
      </c>
      <c r="AV1143" s="56">
        <f>IF(AS1143&gt;0,I1143/AS1143,-1)</f>
        <v/>
      </c>
      <c r="AW1143" s="56">
        <f>IF(AND(OR(BR1143="L1",BR1143="L23"),AS1143&gt;0),SUMIFS($AS$7:$AS$1570,$BR$7:$BR$1570,BR1143,$AV$7:$AV$1570,"&gt;"&amp;AV1143)+SUMIFS($AS$7:$AS$1570,$BR$7:$BR$1570,BR1143,$AV$7:$AV$1570,AV1143,$BL$7:$BL$1570,"&lt;="&amp;BL1143),"")</f>
        <v/>
      </c>
      <c r="AX1143" s="65">
        <f>IF(AW1143="",0,MAX(0,MIN(1,(IF(BR1143="L1",Parameter!$K$5,Parameter!$K$6+Parameter!$K$7)-(AW1143-AS1143))/AS1143)))</f>
        <v/>
      </c>
      <c r="AY1143" s="53">
        <f>IF(AC1143&lt;=0,"",IF(BR1143="Aussen","Aussenlager",IF(BR1143="-","Nicht im Lift",IF(AH1143&gt;=1,"Lift",IF(AH1143&lt;=0,"Aussenlager","teilweise")))))</f>
        <v/>
      </c>
      <c r="AZ1143" s="53">
        <f>IF(AK1143&lt;=0,"",IF(BR1143="Aussen","Aussenlager",IF(BR1143="-","Nicht im Lift",IF(AP1143&gt;=1,"Lift",IF(AP1143&lt;=0,"Aussenlager","teilweise")))))</f>
        <v/>
      </c>
      <c r="BA1143" s="53">
        <f>IF(AS1143&lt;=0,"",IF(BR1143="Aussen","Aussenlager",IF(BR1143="-","Nicht im Lift",IF(AX1143&gt;=1,"Lift",IF(AX1143&lt;=0,"Aussenlager","teilweise")))))</f>
        <v/>
      </c>
      <c r="BB1143" s="53">
        <f>IF(A1143="","",IF(BK1143=1,"Neu; ","")&amp;IF(AND(BK1143=0,BF1143&lt;0),"negativer Bestand (Export "&amp;BF1143&amp;"); ","")&amp;IF(I1143&lt;=0,"Kein Verbrauch; ","")&amp;IF(BO1143=1,"Lose – Fläche geschätzt; ","")&amp;IF(G1143&gt;AM1143,"Überbestand "&amp;ROUND(G1143-AM1143,0)&amp;" Stk / CHF "&amp;ROUND((G1143-AM1143)*F1143,0)&amp;"; ","")&amp;IF(AND(BT1143=1,BU1143&lt;BV1143),"MAX &lt; MB+LG; ","")&amp;IF(AND(BZ1143&gt;0,BY1143*10&gt;BZ1143),"zu hoch für Tablar; ","")&amp;IF(AND(BK1143=0,OR(BT1143=1,V1143&lt;&gt;"",S1143&lt;&gt;"",T1143&lt;&gt;"",W1143&lt;&gt;"")),"manuell übersteuert; ","")&amp;IF(AND(BO1143=0,Q1143=0),"Gebinde unbekannt; ","")&amp;IF(AND(BO1143=0,N(T1143)&lt;=0,N(P1143)&lt;=0),"Menge pro Gebinde fehlt (Ist = 1 Gebinde); ","")&amp;BJ1143)</f>
        <v/>
      </c>
      <c r="BC1143" s="53" t="n"/>
      <c r="BD1143" s="53" t="n"/>
      <c r="BE1143" s="61" t="n"/>
      <c r="BF1143" s="55" t="n">
        <v>-1</v>
      </c>
      <c r="BG1143" s="55" t="n">
        <v>14</v>
      </c>
      <c r="BH1143" s="54" t="n">
        <v>-288.93</v>
      </c>
      <c r="BI1143" s="55" t="n">
        <v>0</v>
      </c>
      <c r="BJ1143" s="53" t="inlineStr">
        <is>
          <t>Überbestand</t>
        </is>
      </c>
      <c r="BK1143" s="58" t="n">
        <v>0</v>
      </c>
      <c r="BL1143" s="58" t="n">
        <v>1143</v>
      </c>
      <c r="BM1143" s="53">
        <f>IF(S1143&lt;&gt;"",UPPER(TRIM(S1143)),IF(O1143="","LOSE",O1143))</f>
        <v/>
      </c>
      <c r="BN1143" s="55">
        <f>IF(BM1143="LOSE",1,IF(N(T1143)&gt;0,T1143,IF(N(P1143)&gt;0,P1143,MAX(1,G1143))))</f>
        <v/>
      </c>
      <c r="BO1143" s="58">
        <f>IF(BM1143="LOSE",1,0)</f>
        <v/>
      </c>
      <c r="BP1143" s="64">
        <f>IF(BO1143=0,0,IF(N(R1143)&gt;0,R1143,IFERROR(VLOOKUP(D1143,Parameter!$A$35:$C$64,3,0)+0,0)))</f>
        <v/>
      </c>
      <c r="BQ1143" s="53">
        <f>IF(V1143&lt;&gt;"",V1143,U1143)</f>
        <v/>
      </c>
      <c r="BR1143" s="53">
        <f>IF(BQ1143=1,"L1",IF(OR(BQ1143=2,BQ1143=3),"L23",IF(BQ1143="Aussen","Aussen","-")))</f>
        <v/>
      </c>
      <c r="BS1143" s="66">
        <f>IF(N(W1143)&gt;0,W1143,0)</f>
        <v/>
      </c>
      <c r="BT1143" s="58">
        <f>IF(ISNUMBER(Z1143),1,0)</f>
        <v/>
      </c>
      <c r="BU1143" s="55">
        <f>N(Z1143)</f>
        <v/>
      </c>
      <c r="BV1143" s="55">
        <f>N(L1143)+N(M1143)</f>
        <v/>
      </c>
      <c r="BW1143" s="55">
        <f>ROUNDUP(G1143/BN1143,0)</f>
        <v/>
      </c>
      <c r="BX1143" s="55">
        <f>ROUNDUP(BU1143/BN1143,0)</f>
        <v/>
      </c>
      <c r="BY1143" s="58">
        <f>IF(BO1143=1,0,IFERROR(VLOOKUP(BM1143,'Gebinde-Kategorie'!$A$5:$G$45,5,0)+0,0))</f>
        <v/>
      </c>
      <c r="BZ1143" s="58">
        <f>IFERROR(IF(OR(BQ1143=1,BQ1143=2,BQ1143=3),N(INDEX(Parameter!$I$5:$I$7,BQ1143)),0),0)</f>
        <v/>
      </c>
    </row>
    <row r="1144">
      <c r="A1144" s="53" t="inlineStr">
        <is>
          <t>108037</t>
        </is>
      </c>
      <c r="B1144" s="53" t="inlineStr">
        <is>
          <t>Kontakteinsatzmodul 12 polig</t>
        </is>
      </c>
      <c r="C1144" s="53" t="inlineStr">
        <is>
          <t>F</t>
        </is>
      </c>
      <c r="D1144" s="53" t="inlineStr">
        <is>
          <t>KTL</t>
        </is>
      </c>
      <c r="E1144" s="53" t="inlineStr">
        <is>
          <t>C</t>
        </is>
      </c>
      <c r="F1144" s="54" t="n">
        <v>11.3</v>
      </c>
      <c r="G1144" s="55">
        <f>MAX(0,IF(Parameter!$B$20="Jahresanfang 2025 + Export",BG1144+BF1144,BF1144))</f>
        <v/>
      </c>
      <c r="H1144" s="55">
        <f>G1144*F1144</f>
        <v/>
      </c>
      <c r="I1144" s="55">
        <f>BI1144*Parameter!$B$18</f>
        <v/>
      </c>
      <c r="J1144" s="56" t="n">
        <v>136.5</v>
      </c>
      <c r="K1144" s="57" t="n">
        <v>0.08791208791208792</v>
      </c>
      <c r="L1144" s="55" t="n">
        <v>1</v>
      </c>
      <c r="M1144" s="55" t="n">
        <v>20</v>
      </c>
      <c r="N1144" s="58" t="n">
        <v>28</v>
      </c>
      <c r="O1144" s="53" t="inlineStr">
        <is>
          <t>S52</t>
        </is>
      </c>
      <c r="P1144" s="55" t="n">
        <v>41</v>
      </c>
      <c r="Q1144" s="59">
        <f>IF(BO1144=1,0,IFERROR(VLOOKUP(BM1144,'Gebinde-Kategorie'!$A$5:$G$45,6,0)+0,0))</f>
        <v/>
      </c>
      <c r="R1144" s="60" t="n"/>
      <c r="S1144" s="61" t="n"/>
      <c r="T1144" s="61" t="n"/>
      <c r="U1144" s="53">
        <f>IF(A1144="","",IF(IFERROR(VLOOKUP(D1144,Parameter!$A$35:$C$64,2,0),"Nein")="2+3",IF(ISNUMBER(SEARCH("grosser Artikel",BJ1144)),2,IFERROR(VLOOKUP(BM1144,Parameter!$F$35:$G$64,2,0),2)),IF(OR(IFERROR(VLOOKUP(D1144,Parameter!$A$35:$C$64,2,0),"Nein")="Nein",IFERROR(VLOOKUP(D1144,Parameter!$A$35:$C$64,2,0),"Nein")=""),"-",VLOOKUP(D1144,Parameter!$A$35:$C$64,2,0))))</f>
        <v/>
      </c>
      <c r="V1144" s="61" t="n"/>
      <c r="W1144" s="62" t="n"/>
      <c r="X1144" s="55">
        <f>AM1144</f>
        <v/>
      </c>
      <c r="Y1144" s="55">
        <f>MAX(AM1144,G1144)</f>
        <v/>
      </c>
      <c r="Z1144" s="63" t="n"/>
      <c r="AA1144" s="55">
        <f>IF(LEFT(Cockpit!$C$5,1)="A",G1144,IF(BT1144=1,BU1144,IF(LEFT(Cockpit!$C$5,1)="B",AE1144,MAX(AE1144,G1144))))</f>
        <v/>
      </c>
      <c r="AB1144" s="55">
        <f>IF(BO1144=1,0,ROUNDUP(AA1144/BN1144,0))</f>
        <v/>
      </c>
      <c r="AC1144" s="64">
        <f>IF(BO1144=1,IF(AA1144&lt;=0,0,BP1144*MAX(1,IF(G1144&gt;0,AA1144/G1144,1))),AB1144*Q1144)</f>
        <v/>
      </c>
      <c r="AD1144" s="55">
        <f>AA1144*F1144</f>
        <v/>
      </c>
      <c r="AE1144" s="55">
        <f>ROUNDUP(MAX(I1144/IF(BS1144&gt;0,BS1144,MAX(0.1,N(Cockpit!$C$6))),BV1144)/BN1144,0)*BN1144</f>
        <v/>
      </c>
      <c r="AF1144" s="56">
        <f>IF(AC1144&gt;0,I1144/AC1144,-1)</f>
        <v/>
      </c>
      <c r="AG1144" s="56">
        <f>IF(AND(OR(BR1144="L1",BR1144="L23"),AC1144&gt;0),SUMIFS($AC$7:$AC$1570,$BR$7:$BR$1570,BR1144,$AF$7:$AF$1570,"&gt;"&amp;AF1144)+SUMIFS($AC$7:$AC$1570,$BR$7:$BR$1570,BR1144,$AF$7:$AF$1570,AF1144,$BL$7:$BL$1570,"&lt;="&amp;BL1144),"")</f>
        <v/>
      </c>
      <c r="AH1144" s="65">
        <f>IF(AG1144="",0,MAX(0,MIN(1,(IF(BR1144="L1",Parameter!$K$5,Parameter!$K$6+Parameter!$K$7)-(AG1144-AC1144))/AC1144)))</f>
        <v/>
      </c>
      <c r="AI1144" s="55">
        <f>IF(LEFT(Cockpit!$I$5,1)="A",G1144,IF(BT1144=1,BU1144,IF(LEFT(Cockpit!$I$5,1)="B",AM1144,MAX(AM1144,G1144))))</f>
        <v/>
      </c>
      <c r="AJ1144" s="55">
        <f>IF(BO1144=1,0,ROUNDUP(AI1144/BN1144,0))</f>
        <v/>
      </c>
      <c r="AK1144" s="64">
        <f>IF(BO1144=1,IF(AI1144&lt;=0,0,BP1144*MAX(1,IF(G1144&gt;0,AI1144/G1144,1))),AJ1144*Q1144)</f>
        <v/>
      </c>
      <c r="AL1144" s="55">
        <f>AI1144*F1144</f>
        <v/>
      </c>
      <c r="AM1144" s="55">
        <f>ROUNDUP(MAX(I1144/IF(BS1144&gt;0,BS1144,MAX(0.1,N(Cockpit!$I$6))),BV1144)/BN1144,0)*BN1144</f>
        <v/>
      </c>
      <c r="AN1144" s="56">
        <f>IF(AK1144&gt;0,I1144/AK1144,-1)</f>
        <v/>
      </c>
      <c r="AO1144" s="56">
        <f>IF(AND(OR(BR1144="L1",BR1144="L23"),AK1144&gt;0),SUMIFS($AK$7:$AK$1570,$BR$7:$BR$1570,BR1144,$AN$7:$AN$1570,"&gt;"&amp;AN1144)+SUMIFS($AK$7:$AK$1570,$BR$7:$BR$1570,BR1144,$AN$7:$AN$1570,AN1144,$BL$7:$BL$1570,"&lt;="&amp;BL1144),"")</f>
        <v/>
      </c>
      <c r="AP1144" s="65">
        <f>IF(AO1144="",0,MAX(0,MIN(1,(IF(BR1144="L1",Parameter!$K$5,Parameter!$K$6+Parameter!$K$7)-(AO1144-AK1144))/AK1144)))</f>
        <v/>
      </c>
      <c r="AQ1144" s="55">
        <f>IF(LEFT(Cockpit!$O$5,1)="A",G1144,IF(BT1144=1,BU1144,IF(LEFT(Cockpit!$O$5,1)="B",AU1144,MAX(AU1144,G1144))))</f>
        <v/>
      </c>
      <c r="AR1144" s="55">
        <f>IF(BO1144=1,0,ROUNDUP(AQ1144/BN1144,0))</f>
        <v/>
      </c>
      <c r="AS1144" s="64">
        <f>IF(BO1144=1,IF(AQ1144&lt;=0,0,BP1144*MAX(1,IF(G1144&gt;0,AQ1144/G1144,1))),AR1144*Q1144)</f>
        <v/>
      </c>
      <c r="AT1144" s="55">
        <f>AQ1144*F1144</f>
        <v/>
      </c>
      <c r="AU1144" s="55">
        <f>ROUNDUP(MAX(I1144/IF(BS1144&gt;0,BS1144,MAX(0.1,N(Cockpit!$O$6))),BV1144)/BN1144,0)*BN1144</f>
        <v/>
      </c>
      <c r="AV1144" s="56">
        <f>IF(AS1144&gt;0,I1144/AS1144,-1)</f>
        <v/>
      </c>
      <c r="AW1144" s="56">
        <f>IF(AND(OR(BR1144="L1",BR1144="L23"),AS1144&gt;0),SUMIFS($AS$7:$AS$1570,$BR$7:$BR$1570,BR1144,$AV$7:$AV$1570,"&gt;"&amp;AV1144)+SUMIFS($AS$7:$AS$1570,$BR$7:$BR$1570,BR1144,$AV$7:$AV$1570,AV1144,$BL$7:$BL$1570,"&lt;="&amp;BL1144),"")</f>
        <v/>
      </c>
      <c r="AX1144" s="65">
        <f>IF(AW1144="",0,MAX(0,MIN(1,(IF(BR1144="L1",Parameter!$K$5,Parameter!$K$6+Parameter!$K$7)-(AW1144-AS1144))/AS1144)))</f>
        <v/>
      </c>
      <c r="AY1144" s="53">
        <f>IF(AC1144&lt;=0,"",IF(BR1144="Aussen","Aussenlager",IF(BR1144="-","Nicht im Lift",IF(AH1144&gt;=1,"Lift",IF(AH1144&lt;=0,"Aussenlager","teilweise")))))</f>
        <v/>
      </c>
      <c r="AZ1144" s="53">
        <f>IF(AK1144&lt;=0,"",IF(BR1144="Aussen","Aussenlager",IF(BR1144="-","Nicht im Lift",IF(AP1144&gt;=1,"Lift",IF(AP1144&lt;=0,"Aussenlager","teilweise")))))</f>
        <v/>
      </c>
      <c r="BA1144" s="53">
        <f>IF(AS1144&lt;=0,"",IF(BR1144="Aussen","Aussenlager",IF(BR1144="-","Nicht im Lift",IF(AX1144&gt;=1,"Lift",IF(AX1144&lt;=0,"Aussenlager","teilweise")))))</f>
        <v/>
      </c>
      <c r="BB1144" s="53">
        <f>IF(A1144="","",IF(BK1144=1,"Neu; ","")&amp;IF(AND(BK1144=0,BF1144&lt;0),"negativer Bestand (Export "&amp;BF1144&amp;"); ","")&amp;IF(I1144&lt;=0,"Kein Verbrauch; ","")&amp;IF(BO1144=1,"Lose – Fläche geschätzt; ","")&amp;IF(G1144&gt;AM1144,"Überbestand "&amp;ROUND(G1144-AM1144,0)&amp;" Stk / CHF "&amp;ROUND((G1144-AM1144)*F1144,0)&amp;"; ","")&amp;IF(AND(BT1144=1,BU1144&lt;BV1144),"MAX &lt; MB+LG; ","")&amp;IF(AND(BZ1144&gt;0,BY1144*10&gt;BZ1144),"zu hoch für Tablar; ","")&amp;IF(AND(BK1144=0,OR(BT1144=1,V1144&lt;&gt;"",S1144&lt;&gt;"",T1144&lt;&gt;"",W1144&lt;&gt;"")),"manuell übersteuert; ","")&amp;IF(AND(BO1144=0,Q1144=0),"Gebinde unbekannt; ","")&amp;IF(AND(BO1144=0,N(T1144)&lt;=0,N(P1144)&lt;=0),"Menge pro Gebinde fehlt (Ist = 1 Gebinde); ","")&amp;BJ1144)</f>
        <v/>
      </c>
      <c r="BC1144" s="53" t="n"/>
      <c r="BD1144" s="53" t="n"/>
      <c r="BE1144" s="61" t="n"/>
      <c r="BF1144" s="55" t="n">
        <v>-26</v>
      </c>
      <c r="BG1144" s="55" t="n">
        <v>145</v>
      </c>
      <c r="BH1144" s="54" t="n">
        <v>-293.8</v>
      </c>
      <c r="BI1144" s="55" t="n">
        <v>12</v>
      </c>
      <c r="BJ1144" s="53" t="inlineStr"/>
      <c r="BK1144" s="58" t="n">
        <v>0</v>
      </c>
      <c r="BL1144" s="58" t="n">
        <v>1144</v>
      </c>
      <c r="BM1144" s="53">
        <f>IF(S1144&lt;&gt;"",UPPER(TRIM(S1144)),IF(O1144="","LOSE",O1144))</f>
        <v/>
      </c>
      <c r="BN1144" s="55">
        <f>IF(BM1144="LOSE",1,IF(N(T1144)&gt;0,T1144,IF(N(P1144)&gt;0,P1144,MAX(1,G1144))))</f>
        <v/>
      </c>
      <c r="BO1144" s="58">
        <f>IF(BM1144="LOSE",1,0)</f>
        <v/>
      </c>
      <c r="BP1144" s="64">
        <f>IF(BO1144=0,0,IF(N(R1144)&gt;0,R1144,IFERROR(VLOOKUP(D1144,Parameter!$A$35:$C$64,3,0)+0,0)))</f>
        <v/>
      </c>
      <c r="BQ1144" s="53">
        <f>IF(V1144&lt;&gt;"",V1144,U1144)</f>
        <v/>
      </c>
      <c r="BR1144" s="53">
        <f>IF(BQ1144=1,"L1",IF(OR(BQ1144=2,BQ1144=3),"L23",IF(BQ1144="Aussen","Aussen","-")))</f>
        <v/>
      </c>
      <c r="BS1144" s="66">
        <f>IF(N(W1144)&gt;0,W1144,0)</f>
        <v/>
      </c>
      <c r="BT1144" s="58">
        <f>IF(ISNUMBER(Z1144),1,0)</f>
        <v/>
      </c>
      <c r="BU1144" s="55">
        <f>N(Z1144)</f>
        <v/>
      </c>
      <c r="BV1144" s="55">
        <f>N(L1144)+N(M1144)</f>
        <v/>
      </c>
      <c r="BW1144" s="55">
        <f>ROUNDUP(G1144/BN1144,0)</f>
        <v/>
      </c>
      <c r="BX1144" s="55">
        <f>ROUNDUP(BU1144/BN1144,0)</f>
        <v/>
      </c>
      <c r="BY1144" s="58">
        <f>IF(BO1144=1,0,IFERROR(VLOOKUP(BM1144,'Gebinde-Kategorie'!$A$5:$G$45,5,0)+0,0))</f>
        <v/>
      </c>
      <c r="BZ1144" s="58">
        <f>IFERROR(IF(OR(BQ1144=1,BQ1144=2,BQ1144=3),N(INDEX(Parameter!$I$5:$I$7,BQ1144)),0),0)</f>
        <v/>
      </c>
    </row>
    <row r="1145">
      <c r="A1145" s="53" t="inlineStr">
        <is>
          <t>107252</t>
        </is>
      </c>
      <c r="B1145" s="53" t="inlineStr">
        <is>
          <t>Transfermagnetventil Spule CH4</t>
        </is>
      </c>
      <c r="C1145" s="53" t="inlineStr">
        <is>
          <t>F</t>
        </is>
      </c>
      <c r="D1145" s="53" t="inlineStr">
        <is>
          <t>PAL</t>
        </is>
      </c>
      <c r="E1145" s="53" t="inlineStr">
        <is>
          <t>C</t>
        </is>
      </c>
      <c r="F1145" s="54" t="n">
        <v>296</v>
      </c>
      <c r="G1145" s="55">
        <f>MAX(0,IF(Parameter!$B$20="Jahresanfang 2025 + Export",BG1145+BF1145,BF1145))</f>
        <v/>
      </c>
      <c r="H1145" s="55">
        <f>G1145*F1145</f>
        <v/>
      </c>
      <c r="I1145" s="55">
        <f>BI1145*Parameter!$B$18</f>
        <v/>
      </c>
      <c r="J1145" s="56" t="n">
        <v>6</v>
      </c>
      <c r="K1145" s="57" t="n">
        <v>0</v>
      </c>
      <c r="L1145" s="55" t="n">
        <v>0</v>
      </c>
      <c r="M1145" s="55" t="n">
        <v>1</v>
      </c>
      <c r="N1145" s="58" t="n">
        <v>44</v>
      </c>
      <c r="O1145" s="53" t="inlineStr">
        <is>
          <t>S71</t>
        </is>
      </c>
      <c r="P1145" s="55" t="n">
        <v>15</v>
      </c>
      <c r="Q1145" s="59">
        <f>IF(BO1145=1,0,IFERROR(VLOOKUP(BM1145,'Gebinde-Kategorie'!$A$5:$G$45,6,0)+0,0))</f>
        <v/>
      </c>
      <c r="R1145" s="60" t="n"/>
      <c r="S1145" s="61" t="n"/>
      <c r="T1145" s="61" t="n"/>
      <c r="U1145" s="53">
        <f>IF(A1145="","",IF(IFERROR(VLOOKUP(D1145,Parameter!$A$35:$C$64,2,0),"Nein")="2+3",IF(ISNUMBER(SEARCH("grosser Artikel",BJ1145)),2,IFERROR(VLOOKUP(BM1145,Parameter!$F$35:$G$64,2,0),2)),IF(OR(IFERROR(VLOOKUP(D1145,Parameter!$A$35:$C$64,2,0),"Nein")="Nein",IFERROR(VLOOKUP(D1145,Parameter!$A$35:$C$64,2,0),"Nein")=""),"-",VLOOKUP(D1145,Parameter!$A$35:$C$64,2,0))))</f>
        <v/>
      </c>
      <c r="V1145" s="61" t="n"/>
      <c r="W1145" s="62" t="n"/>
      <c r="X1145" s="55">
        <f>AM1145</f>
        <v/>
      </c>
      <c r="Y1145" s="55">
        <f>MAX(AM1145,G1145)</f>
        <v/>
      </c>
      <c r="Z1145" s="63" t="n"/>
      <c r="AA1145" s="55">
        <f>IF(LEFT(Cockpit!$C$5,1)="A",G1145,IF(BT1145=1,BU1145,IF(LEFT(Cockpit!$C$5,1)="B",AE1145,MAX(AE1145,G1145))))</f>
        <v/>
      </c>
      <c r="AB1145" s="55">
        <f>IF(BO1145=1,0,ROUNDUP(AA1145/BN1145,0))</f>
        <v/>
      </c>
      <c r="AC1145" s="64">
        <f>IF(BO1145=1,IF(AA1145&lt;=0,0,BP1145*MAX(1,IF(G1145&gt;0,AA1145/G1145,1))),AB1145*Q1145)</f>
        <v/>
      </c>
      <c r="AD1145" s="55">
        <f>AA1145*F1145</f>
        <v/>
      </c>
      <c r="AE1145" s="55">
        <f>ROUNDUP(MAX(I1145/IF(BS1145&gt;0,BS1145,MAX(0.1,N(Cockpit!$C$6))),BV1145)/BN1145,0)*BN1145</f>
        <v/>
      </c>
      <c r="AF1145" s="56">
        <f>IF(AC1145&gt;0,I1145/AC1145,-1)</f>
        <v/>
      </c>
      <c r="AG1145" s="56">
        <f>IF(AND(OR(BR1145="L1",BR1145="L23"),AC1145&gt;0),SUMIFS($AC$7:$AC$1570,$BR$7:$BR$1570,BR1145,$AF$7:$AF$1570,"&gt;"&amp;AF1145)+SUMIFS($AC$7:$AC$1570,$BR$7:$BR$1570,BR1145,$AF$7:$AF$1570,AF1145,$BL$7:$BL$1570,"&lt;="&amp;BL1145),"")</f>
        <v/>
      </c>
      <c r="AH1145" s="65">
        <f>IF(AG1145="",0,MAX(0,MIN(1,(IF(BR1145="L1",Parameter!$K$5,Parameter!$K$6+Parameter!$K$7)-(AG1145-AC1145))/AC1145)))</f>
        <v/>
      </c>
      <c r="AI1145" s="55">
        <f>IF(LEFT(Cockpit!$I$5,1)="A",G1145,IF(BT1145=1,BU1145,IF(LEFT(Cockpit!$I$5,1)="B",AM1145,MAX(AM1145,G1145))))</f>
        <v/>
      </c>
      <c r="AJ1145" s="55">
        <f>IF(BO1145=1,0,ROUNDUP(AI1145/BN1145,0))</f>
        <v/>
      </c>
      <c r="AK1145" s="64">
        <f>IF(BO1145=1,IF(AI1145&lt;=0,0,BP1145*MAX(1,IF(G1145&gt;0,AI1145/G1145,1))),AJ1145*Q1145)</f>
        <v/>
      </c>
      <c r="AL1145" s="55">
        <f>AI1145*F1145</f>
        <v/>
      </c>
      <c r="AM1145" s="55">
        <f>ROUNDUP(MAX(I1145/IF(BS1145&gt;0,BS1145,MAX(0.1,N(Cockpit!$I$6))),BV1145)/BN1145,0)*BN1145</f>
        <v/>
      </c>
      <c r="AN1145" s="56">
        <f>IF(AK1145&gt;0,I1145/AK1145,-1)</f>
        <v/>
      </c>
      <c r="AO1145" s="56">
        <f>IF(AND(OR(BR1145="L1",BR1145="L23"),AK1145&gt;0),SUMIFS($AK$7:$AK$1570,$BR$7:$BR$1570,BR1145,$AN$7:$AN$1570,"&gt;"&amp;AN1145)+SUMIFS($AK$7:$AK$1570,$BR$7:$BR$1570,BR1145,$AN$7:$AN$1570,AN1145,$BL$7:$BL$1570,"&lt;="&amp;BL1145),"")</f>
        <v/>
      </c>
      <c r="AP1145" s="65">
        <f>IF(AO1145="",0,MAX(0,MIN(1,(IF(BR1145="L1",Parameter!$K$5,Parameter!$K$6+Parameter!$K$7)-(AO1145-AK1145))/AK1145)))</f>
        <v/>
      </c>
      <c r="AQ1145" s="55">
        <f>IF(LEFT(Cockpit!$O$5,1)="A",G1145,IF(BT1145=1,BU1145,IF(LEFT(Cockpit!$O$5,1)="B",AU1145,MAX(AU1145,G1145))))</f>
        <v/>
      </c>
      <c r="AR1145" s="55">
        <f>IF(BO1145=1,0,ROUNDUP(AQ1145/BN1145,0))</f>
        <v/>
      </c>
      <c r="AS1145" s="64">
        <f>IF(BO1145=1,IF(AQ1145&lt;=0,0,BP1145*MAX(1,IF(G1145&gt;0,AQ1145/G1145,1))),AR1145*Q1145)</f>
        <v/>
      </c>
      <c r="AT1145" s="55">
        <f>AQ1145*F1145</f>
        <v/>
      </c>
      <c r="AU1145" s="55">
        <f>ROUNDUP(MAX(I1145/IF(BS1145&gt;0,BS1145,MAX(0.1,N(Cockpit!$O$6))),BV1145)/BN1145,0)*BN1145</f>
        <v/>
      </c>
      <c r="AV1145" s="56">
        <f>IF(AS1145&gt;0,I1145/AS1145,-1)</f>
        <v/>
      </c>
      <c r="AW1145" s="56">
        <f>IF(AND(OR(BR1145="L1",BR1145="L23"),AS1145&gt;0),SUMIFS($AS$7:$AS$1570,$BR$7:$BR$1570,BR1145,$AV$7:$AV$1570,"&gt;"&amp;AV1145)+SUMIFS($AS$7:$AS$1570,$BR$7:$BR$1570,BR1145,$AV$7:$AV$1570,AV1145,$BL$7:$BL$1570,"&lt;="&amp;BL1145),"")</f>
        <v/>
      </c>
      <c r="AX1145" s="65">
        <f>IF(AW1145="",0,MAX(0,MIN(1,(IF(BR1145="L1",Parameter!$K$5,Parameter!$K$6+Parameter!$K$7)-(AW1145-AS1145))/AS1145)))</f>
        <v/>
      </c>
      <c r="AY1145" s="53">
        <f>IF(AC1145&lt;=0,"",IF(BR1145="Aussen","Aussenlager",IF(BR1145="-","Nicht im Lift",IF(AH1145&gt;=1,"Lift",IF(AH1145&lt;=0,"Aussenlager","teilweise")))))</f>
        <v/>
      </c>
      <c r="AZ1145" s="53">
        <f>IF(AK1145&lt;=0,"",IF(BR1145="Aussen","Aussenlager",IF(BR1145="-","Nicht im Lift",IF(AP1145&gt;=1,"Lift",IF(AP1145&lt;=0,"Aussenlager","teilweise")))))</f>
        <v/>
      </c>
      <c r="BA1145" s="53">
        <f>IF(AS1145&lt;=0,"",IF(BR1145="Aussen","Aussenlager",IF(BR1145="-","Nicht im Lift",IF(AX1145&gt;=1,"Lift",IF(AX1145&lt;=0,"Aussenlager","teilweise")))))</f>
        <v/>
      </c>
      <c r="BB1145" s="53">
        <f>IF(A1145="","",IF(BK1145=1,"Neu; ","")&amp;IF(AND(BK1145=0,BF1145&lt;0),"negativer Bestand (Export "&amp;BF1145&amp;"); ","")&amp;IF(I1145&lt;=0,"Kein Verbrauch; ","")&amp;IF(BO1145=1,"Lose – Fläche geschätzt; ","")&amp;IF(G1145&gt;AM1145,"Überbestand "&amp;ROUND(G1145-AM1145,0)&amp;" Stk / CHF "&amp;ROUND((G1145-AM1145)*F1145,0)&amp;"; ","")&amp;IF(AND(BT1145=1,BU1145&lt;BV1145),"MAX &lt; MB+LG; ","")&amp;IF(AND(BZ1145&gt;0,BY1145*10&gt;BZ1145),"zu hoch für Tablar; ","")&amp;IF(AND(BK1145=0,OR(BT1145=1,V1145&lt;&gt;"",S1145&lt;&gt;"",T1145&lt;&gt;"",W1145&lt;&gt;"")),"manuell übersteuert; ","")&amp;IF(AND(BO1145=0,Q1145=0),"Gebinde unbekannt; ","")&amp;IF(AND(BO1145=0,N(T1145)&lt;=0,N(P1145)&lt;=0),"Menge pro Gebinde fehlt (Ist = 1 Gebinde); ","")&amp;BJ1145)</f>
        <v/>
      </c>
      <c r="BC1145" s="53" t="n"/>
      <c r="BD1145" s="53" t="n"/>
      <c r="BE1145" s="61" t="n"/>
      <c r="BF1145" s="55" t="n">
        <v>-1</v>
      </c>
      <c r="BG1145" s="55" t="n">
        <v>6</v>
      </c>
      <c r="BH1145" s="54" t="n">
        <v>-296</v>
      </c>
      <c r="BI1145" s="55" t="n">
        <v>0</v>
      </c>
      <c r="BJ1145" s="53" t="inlineStr">
        <is>
          <t>Neu; grosser Artikel &amp; nicht im KTL</t>
        </is>
      </c>
      <c r="BK1145" s="58" t="n">
        <v>0</v>
      </c>
      <c r="BL1145" s="58" t="n">
        <v>1145</v>
      </c>
      <c r="BM1145" s="53">
        <f>IF(S1145&lt;&gt;"",UPPER(TRIM(S1145)),IF(O1145="","LOSE",O1145))</f>
        <v/>
      </c>
      <c r="BN1145" s="55">
        <f>IF(BM1145="LOSE",1,IF(N(T1145)&gt;0,T1145,IF(N(P1145)&gt;0,P1145,MAX(1,G1145))))</f>
        <v/>
      </c>
      <c r="BO1145" s="58">
        <f>IF(BM1145="LOSE",1,0)</f>
        <v/>
      </c>
      <c r="BP1145" s="64">
        <f>IF(BO1145=0,0,IF(N(R1145)&gt;0,R1145,IFERROR(VLOOKUP(D1145,Parameter!$A$35:$C$64,3,0)+0,0)))</f>
        <v/>
      </c>
      <c r="BQ1145" s="53">
        <f>IF(V1145&lt;&gt;"",V1145,U1145)</f>
        <v/>
      </c>
      <c r="BR1145" s="53">
        <f>IF(BQ1145=1,"L1",IF(OR(BQ1145=2,BQ1145=3),"L23",IF(BQ1145="Aussen","Aussen","-")))</f>
        <v/>
      </c>
      <c r="BS1145" s="66">
        <f>IF(N(W1145)&gt;0,W1145,0)</f>
        <v/>
      </c>
      <c r="BT1145" s="58">
        <f>IF(ISNUMBER(Z1145),1,0)</f>
        <v/>
      </c>
      <c r="BU1145" s="55">
        <f>N(Z1145)</f>
        <v/>
      </c>
      <c r="BV1145" s="55">
        <f>N(L1145)+N(M1145)</f>
        <v/>
      </c>
      <c r="BW1145" s="55">
        <f>ROUNDUP(G1145/BN1145,0)</f>
        <v/>
      </c>
      <c r="BX1145" s="55">
        <f>ROUNDUP(BU1145/BN1145,0)</f>
        <v/>
      </c>
      <c r="BY1145" s="58">
        <f>IF(BO1145=1,0,IFERROR(VLOOKUP(BM1145,'Gebinde-Kategorie'!$A$5:$G$45,5,0)+0,0))</f>
        <v/>
      </c>
      <c r="BZ1145" s="58">
        <f>IFERROR(IF(OR(BQ1145=1,BQ1145=2,BQ1145=3),N(INDEX(Parameter!$I$5:$I$7,BQ1145)),0),0)</f>
        <v/>
      </c>
    </row>
    <row r="1146">
      <c r="A1146" s="53" t="inlineStr">
        <is>
          <t>107254</t>
        </is>
      </c>
      <c r="B1146" s="53" t="inlineStr">
        <is>
          <t>Transfermagnetventil Spule O2</t>
        </is>
      </c>
      <c r="C1146" s="53" t="inlineStr">
        <is>
          <t>F</t>
        </is>
      </c>
      <c r="D1146" s="53" t="inlineStr">
        <is>
          <t>PAL</t>
        </is>
      </c>
      <c r="E1146" s="53" t="inlineStr">
        <is>
          <t>C</t>
        </is>
      </c>
      <c r="F1146" s="54" t="n">
        <v>296</v>
      </c>
      <c r="G1146" s="55">
        <f>MAX(0,IF(Parameter!$B$20="Jahresanfang 2025 + Export",BG1146+BF1146,BF1146))</f>
        <v/>
      </c>
      <c r="H1146" s="55">
        <f>G1146*F1146</f>
        <v/>
      </c>
      <c r="I1146" s="55">
        <f>BI1146*Parameter!$B$18</f>
        <v/>
      </c>
      <c r="J1146" s="56" t="n">
        <v>6</v>
      </c>
      <c r="K1146" s="57" t="n">
        <v>0</v>
      </c>
      <c r="L1146" s="55" t="n">
        <v>0</v>
      </c>
      <c r="M1146" s="55" t="n">
        <v>1</v>
      </c>
      <c r="N1146" s="58" t="n">
        <v>44</v>
      </c>
      <c r="O1146" s="53" t="inlineStr">
        <is>
          <t>S71</t>
        </is>
      </c>
      <c r="P1146" s="55" t="n">
        <v>15</v>
      </c>
      <c r="Q1146" s="59">
        <f>IF(BO1146=1,0,IFERROR(VLOOKUP(BM1146,'Gebinde-Kategorie'!$A$5:$G$45,6,0)+0,0))</f>
        <v/>
      </c>
      <c r="R1146" s="60" t="n"/>
      <c r="S1146" s="61" t="n"/>
      <c r="T1146" s="61" t="n"/>
      <c r="U1146" s="53">
        <f>IF(A1146="","",IF(IFERROR(VLOOKUP(D1146,Parameter!$A$35:$C$64,2,0),"Nein")="2+3",IF(ISNUMBER(SEARCH("grosser Artikel",BJ1146)),2,IFERROR(VLOOKUP(BM1146,Parameter!$F$35:$G$64,2,0),2)),IF(OR(IFERROR(VLOOKUP(D1146,Parameter!$A$35:$C$64,2,0),"Nein")="Nein",IFERROR(VLOOKUP(D1146,Parameter!$A$35:$C$64,2,0),"Nein")=""),"-",VLOOKUP(D1146,Parameter!$A$35:$C$64,2,0))))</f>
        <v/>
      </c>
      <c r="V1146" s="61" t="n"/>
      <c r="W1146" s="62" t="n"/>
      <c r="X1146" s="55">
        <f>AM1146</f>
        <v/>
      </c>
      <c r="Y1146" s="55">
        <f>MAX(AM1146,G1146)</f>
        <v/>
      </c>
      <c r="Z1146" s="63" t="n"/>
      <c r="AA1146" s="55">
        <f>IF(LEFT(Cockpit!$C$5,1)="A",G1146,IF(BT1146=1,BU1146,IF(LEFT(Cockpit!$C$5,1)="B",AE1146,MAX(AE1146,G1146))))</f>
        <v/>
      </c>
      <c r="AB1146" s="55">
        <f>IF(BO1146=1,0,ROUNDUP(AA1146/BN1146,0))</f>
        <v/>
      </c>
      <c r="AC1146" s="64">
        <f>IF(BO1146=1,IF(AA1146&lt;=0,0,BP1146*MAX(1,IF(G1146&gt;0,AA1146/G1146,1))),AB1146*Q1146)</f>
        <v/>
      </c>
      <c r="AD1146" s="55">
        <f>AA1146*F1146</f>
        <v/>
      </c>
      <c r="AE1146" s="55">
        <f>ROUNDUP(MAX(I1146/IF(BS1146&gt;0,BS1146,MAX(0.1,N(Cockpit!$C$6))),BV1146)/BN1146,0)*BN1146</f>
        <v/>
      </c>
      <c r="AF1146" s="56">
        <f>IF(AC1146&gt;0,I1146/AC1146,-1)</f>
        <v/>
      </c>
      <c r="AG1146" s="56">
        <f>IF(AND(OR(BR1146="L1",BR1146="L23"),AC1146&gt;0),SUMIFS($AC$7:$AC$1570,$BR$7:$BR$1570,BR1146,$AF$7:$AF$1570,"&gt;"&amp;AF1146)+SUMIFS($AC$7:$AC$1570,$BR$7:$BR$1570,BR1146,$AF$7:$AF$1570,AF1146,$BL$7:$BL$1570,"&lt;="&amp;BL1146),"")</f>
        <v/>
      </c>
      <c r="AH1146" s="65">
        <f>IF(AG1146="",0,MAX(0,MIN(1,(IF(BR1146="L1",Parameter!$K$5,Parameter!$K$6+Parameter!$K$7)-(AG1146-AC1146))/AC1146)))</f>
        <v/>
      </c>
      <c r="AI1146" s="55">
        <f>IF(LEFT(Cockpit!$I$5,1)="A",G1146,IF(BT1146=1,BU1146,IF(LEFT(Cockpit!$I$5,1)="B",AM1146,MAX(AM1146,G1146))))</f>
        <v/>
      </c>
      <c r="AJ1146" s="55">
        <f>IF(BO1146=1,0,ROUNDUP(AI1146/BN1146,0))</f>
        <v/>
      </c>
      <c r="AK1146" s="64">
        <f>IF(BO1146=1,IF(AI1146&lt;=0,0,BP1146*MAX(1,IF(G1146&gt;0,AI1146/G1146,1))),AJ1146*Q1146)</f>
        <v/>
      </c>
      <c r="AL1146" s="55">
        <f>AI1146*F1146</f>
        <v/>
      </c>
      <c r="AM1146" s="55">
        <f>ROUNDUP(MAX(I1146/IF(BS1146&gt;0,BS1146,MAX(0.1,N(Cockpit!$I$6))),BV1146)/BN1146,0)*BN1146</f>
        <v/>
      </c>
      <c r="AN1146" s="56">
        <f>IF(AK1146&gt;0,I1146/AK1146,-1)</f>
        <v/>
      </c>
      <c r="AO1146" s="56">
        <f>IF(AND(OR(BR1146="L1",BR1146="L23"),AK1146&gt;0),SUMIFS($AK$7:$AK$1570,$BR$7:$BR$1570,BR1146,$AN$7:$AN$1570,"&gt;"&amp;AN1146)+SUMIFS($AK$7:$AK$1570,$BR$7:$BR$1570,BR1146,$AN$7:$AN$1570,AN1146,$BL$7:$BL$1570,"&lt;="&amp;BL1146),"")</f>
        <v/>
      </c>
      <c r="AP1146" s="65">
        <f>IF(AO1146="",0,MAX(0,MIN(1,(IF(BR1146="L1",Parameter!$K$5,Parameter!$K$6+Parameter!$K$7)-(AO1146-AK1146))/AK1146)))</f>
        <v/>
      </c>
      <c r="AQ1146" s="55">
        <f>IF(LEFT(Cockpit!$O$5,1)="A",G1146,IF(BT1146=1,BU1146,IF(LEFT(Cockpit!$O$5,1)="B",AU1146,MAX(AU1146,G1146))))</f>
        <v/>
      </c>
      <c r="AR1146" s="55">
        <f>IF(BO1146=1,0,ROUNDUP(AQ1146/BN1146,0))</f>
        <v/>
      </c>
      <c r="AS1146" s="64">
        <f>IF(BO1146=1,IF(AQ1146&lt;=0,0,BP1146*MAX(1,IF(G1146&gt;0,AQ1146/G1146,1))),AR1146*Q1146)</f>
        <v/>
      </c>
      <c r="AT1146" s="55">
        <f>AQ1146*F1146</f>
        <v/>
      </c>
      <c r="AU1146" s="55">
        <f>ROUNDUP(MAX(I1146/IF(BS1146&gt;0,BS1146,MAX(0.1,N(Cockpit!$O$6))),BV1146)/BN1146,0)*BN1146</f>
        <v/>
      </c>
      <c r="AV1146" s="56">
        <f>IF(AS1146&gt;0,I1146/AS1146,-1)</f>
        <v/>
      </c>
      <c r="AW1146" s="56">
        <f>IF(AND(OR(BR1146="L1",BR1146="L23"),AS1146&gt;0),SUMIFS($AS$7:$AS$1570,$BR$7:$BR$1570,BR1146,$AV$7:$AV$1570,"&gt;"&amp;AV1146)+SUMIFS($AS$7:$AS$1570,$BR$7:$BR$1570,BR1146,$AV$7:$AV$1570,AV1146,$BL$7:$BL$1570,"&lt;="&amp;BL1146),"")</f>
        <v/>
      </c>
      <c r="AX1146" s="65">
        <f>IF(AW1146="",0,MAX(0,MIN(1,(IF(BR1146="L1",Parameter!$K$5,Parameter!$K$6+Parameter!$K$7)-(AW1146-AS1146))/AS1146)))</f>
        <v/>
      </c>
      <c r="AY1146" s="53">
        <f>IF(AC1146&lt;=0,"",IF(BR1146="Aussen","Aussenlager",IF(BR1146="-","Nicht im Lift",IF(AH1146&gt;=1,"Lift",IF(AH1146&lt;=0,"Aussenlager","teilweise")))))</f>
        <v/>
      </c>
      <c r="AZ1146" s="53">
        <f>IF(AK1146&lt;=0,"",IF(BR1146="Aussen","Aussenlager",IF(BR1146="-","Nicht im Lift",IF(AP1146&gt;=1,"Lift",IF(AP1146&lt;=0,"Aussenlager","teilweise")))))</f>
        <v/>
      </c>
      <c r="BA1146" s="53">
        <f>IF(AS1146&lt;=0,"",IF(BR1146="Aussen","Aussenlager",IF(BR1146="-","Nicht im Lift",IF(AX1146&gt;=1,"Lift",IF(AX1146&lt;=0,"Aussenlager","teilweise")))))</f>
        <v/>
      </c>
      <c r="BB1146" s="53">
        <f>IF(A1146="","",IF(BK1146=1,"Neu; ","")&amp;IF(AND(BK1146=0,BF1146&lt;0),"negativer Bestand (Export "&amp;BF1146&amp;"); ","")&amp;IF(I1146&lt;=0,"Kein Verbrauch; ","")&amp;IF(BO1146=1,"Lose – Fläche geschätzt; ","")&amp;IF(G1146&gt;AM1146,"Überbestand "&amp;ROUND(G1146-AM1146,0)&amp;" Stk / CHF "&amp;ROUND((G1146-AM1146)*F1146,0)&amp;"; ","")&amp;IF(AND(BT1146=1,BU1146&lt;BV1146),"MAX &lt; MB+LG; ","")&amp;IF(AND(BZ1146&gt;0,BY1146*10&gt;BZ1146),"zu hoch für Tablar; ","")&amp;IF(AND(BK1146=0,OR(BT1146=1,V1146&lt;&gt;"",S1146&lt;&gt;"",T1146&lt;&gt;"",W1146&lt;&gt;"")),"manuell übersteuert; ","")&amp;IF(AND(BO1146=0,Q1146=0),"Gebinde unbekannt; ","")&amp;IF(AND(BO1146=0,N(T1146)&lt;=0,N(P1146)&lt;=0),"Menge pro Gebinde fehlt (Ist = 1 Gebinde); ","")&amp;BJ1146)</f>
        <v/>
      </c>
      <c r="BC1146" s="53" t="n"/>
      <c r="BD1146" s="53" t="n"/>
      <c r="BE1146" s="61" t="n"/>
      <c r="BF1146" s="55" t="n">
        <v>-1</v>
      </c>
      <c r="BG1146" s="55" t="n">
        <v>6</v>
      </c>
      <c r="BH1146" s="54" t="n">
        <v>-296</v>
      </c>
      <c r="BI1146" s="55" t="n">
        <v>0</v>
      </c>
      <c r="BJ1146" s="53" t="inlineStr">
        <is>
          <t>Neu; grosser Artikel &amp; nicht im KTL</t>
        </is>
      </c>
      <c r="BK1146" s="58" t="n">
        <v>0</v>
      </c>
      <c r="BL1146" s="58" t="n">
        <v>1146</v>
      </c>
      <c r="BM1146" s="53">
        <f>IF(S1146&lt;&gt;"",UPPER(TRIM(S1146)),IF(O1146="","LOSE",O1146))</f>
        <v/>
      </c>
      <c r="BN1146" s="55">
        <f>IF(BM1146="LOSE",1,IF(N(T1146)&gt;0,T1146,IF(N(P1146)&gt;0,P1146,MAX(1,G1146))))</f>
        <v/>
      </c>
      <c r="BO1146" s="58">
        <f>IF(BM1146="LOSE",1,0)</f>
        <v/>
      </c>
      <c r="BP1146" s="64">
        <f>IF(BO1146=0,0,IF(N(R1146)&gt;0,R1146,IFERROR(VLOOKUP(D1146,Parameter!$A$35:$C$64,3,0)+0,0)))</f>
        <v/>
      </c>
      <c r="BQ1146" s="53">
        <f>IF(V1146&lt;&gt;"",V1146,U1146)</f>
        <v/>
      </c>
      <c r="BR1146" s="53">
        <f>IF(BQ1146=1,"L1",IF(OR(BQ1146=2,BQ1146=3),"L23",IF(BQ1146="Aussen","Aussen","-")))</f>
        <v/>
      </c>
      <c r="BS1146" s="66">
        <f>IF(N(W1146)&gt;0,W1146,0)</f>
        <v/>
      </c>
      <c r="BT1146" s="58">
        <f>IF(ISNUMBER(Z1146),1,0)</f>
        <v/>
      </c>
      <c r="BU1146" s="55">
        <f>N(Z1146)</f>
        <v/>
      </c>
      <c r="BV1146" s="55">
        <f>N(L1146)+N(M1146)</f>
        <v/>
      </c>
      <c r="BW1146" s="55">
        <f>ROUNDUP(G1146/BN1146,0)</f>
        <v/>
      </c>
      <c r="BX1146" s="55">
        <f>ROUNDUP(BU1146/BN1146,0)</f>
        <v/>
      </c>
      <c r="BY1146" s="58">
        <f>IF(BO1146=1,0,IFERROR(VLOOKUP(BM1146,'Gebinde-Kategorie'!$A$5:$G$45,5,0)+0,0))</f>
        <v/>
      </c>
      <c r="BZ1146" s="58">
        <f>IFERROR(IF(OR(BQ1146=1,BQ1146=2,BQ1146=3),N(INDEX(Parameter!$I$5:$I$7,BQ1146)),0),0)</f>
        <v/>
      </c>
    </row>
    <row r="1147">
      <c r="A1147" s="53" t="inlineStr">
        <is>
          <t>109756</t>
        </is>
      </c>
      <c r="B1147" s="53" t="inlineStr">
        <is>
          <t>Druckleitungsgehäuse SPGr</t>
        </is>
      </c>
      <c r="C1147" s="53" t="inlineStr">
        <is>
          <t>F</t>
        </is>
      </c>
      <c r="D1147" s="53" t="inlineStr">
        <is>
          <t>PAL</t>
        </is>
      </c>
      <c r="E1147" s="53" t="inlineStr">
        <is>
          <t>C</t>
        </is>
      </c>
      <c r="F1147" s="54" t="n">
        <v>66.38</v>
      </c>
      <c r="G1147" s="55">
        <f>MAX(0,IF(Parameter!$B$20="Jahresanfang 2025 + Export",BG1147+BF1147,BF1147))</f>
        <v/>
      </c>
      <c r="H1147" s="55">
        <f>G1147*F1147</f>
        <v/>
      </c>
      <c r="I1147" s="55">
        <f>BI1147*Parameter!$B$18</f>
        <v/>
      </c>
      <c r="J1147" s="56" t="n">
        <v>6</v>
      </c>
      <c r="K1147" s="57" t="n">
        <v>4.833333333333333</v>
      </c>
      <c r="L1147" s="55" t="n">
        <v>7</v>
      </c>
      <c r="M1147" s="55" t="n">
        <v>30</v>
      </c>
      <c r="N1147" s="58" t="n">
        <v>90</v>
      </c>
      <c r="O1147" s="53" t="inlineStr">
        <is>
          <t>S61</t>
        </is>
      </c>
      <c r="P1147" s="55" t="n">
        <v>20</v>
      </c>
      <c r="Q1147" s="59">
        <f>IF(BO1147=1,0,IFERROR(VLOOKUP(BM1147,'Gebinde-Kategorie'!$A$5:$G$45,6,0)+0,0))</f>
        <v/>
      </c>
      <c r="R1147" s="60" t="n"/>
      <c r="S1147" s="61" t="n"/>
      <c r="T1147" s="61" t="n"/>
      <c r="U1147" s="53">
        <f>IF(A1147="","",IF(IFERROR(VLOOKUP(D1147,Parameter!$A$35:$C$64,2,0),"Nein")="2+3",IF(ISNUMBER(SEARCH("grosser Artikel",BJ1147)),2,IFERROR(VLOOKUP(BM1147,Parameter!$F$35:$G$64,2,0),2)),IF(OR(IFERROR(VLOOKUP(D1147,Parameter!$A$35:$C$64,2,0),"Nein")="Nein",IFERROR(VLOOKUP(D1147,Parameter!$A$35:$C$64,2,0),"Nein")=""),"-",VLOOKUP(D1147,Parameter!$A$35:$C$64,2,0))))</f>
        <v/>
      </c>
      <c r="V1147" s="61" t="n"/>
      <c r="W1147" s="62" t="n"/>
      <c r="X1147" s="55">
        <f>AM1147</f>
        <v/>
      </c>
      <c r="Y1147" s="55">
        <f>MAX(AM1147,G1147)</f>
        <v/>
      </c>
      <c r="Z1147" s="63" t="n"/>
      <c r="AA1147" s="55">
        <f>IF(LEFT(Cockpit!$C$5,1)="A",G1147,IF(BT1147=1,BU1147,IF(LEFT(Cockpit!$C$5,1)="B",AE1147,MAX(AE1147,G1147))))</f>
        <v/>
      </c>
      <c r="AB1147" s="55">
        <f>IF(BO1147=1,0,ROUNDUP(AA1147/BN1147,0))</f>
        <v/>
      </c>
      <c r="AC1147" s="64">
        <f>IF(BO1147=1,IF(AA1147&lt;=0,0,BP1147*MAX(1,IF(G1147&gt;0,AA1147/G1147,1))),AB1147*Q1147)</f>
        <v/>
      </c>
      <c r="AD1147" s="55">
        <f>AA1147*F1147</f>
        <v/>
      </c>
      <c r="AE1147" s="55">
        <f>ROUNDUP(MAX(I1147/IF(BS1147&gt;0,BS1147,MAX(0.1,N(Cockpit!$C$6))),BV1147)/BN1147,0)*BN1147</f>
        <v/>
      </c>
      <c r="AF1147" s="56">
        <f>IF(AC1147&gt;0,I1147/AC1147,-1)</f>
        <v/>
      </c>
      <c r="AG1147" s="56">
        <f>IF(AND(OR(BR1147="L1",BR1147="L23"),AC1147&gt;0),SUMIFS($AC$7:$AC$1570,$BR$7:$BR$1570,BR1147,$AF$7:$AF$1570,"&gt;"&amp;AF1147)+SUMIFS($AC$7:$AC$1570,$BR$7:$BR$1570,BR1147,$AF$7:$AF$1570,AF1147,$BL$7:$BL$1570,"&lt;="&amp;BL1147),"")</f>
        <v/>
      </c>
      <c r="AH1147" s="65">
        <f>IF(AG1147="",0,MAX(0,MIN(1,(IF(BR1147="L1",Parameter!$K$5,Parameter!$K$6+Parameter!$K$7)-(AG1147-AC1147))/AC1147)))</f>
        <v/>
      </c>
      <c r="AI1147" s="55">
        <f>IF(LEFT(Cockpit!$I$5,1)="A",G1147,IF(BT1147=1,BU1147,IF(LEFT(Cockpit!$I$5,1)="B",AM1147,MAX(AM1147,G1147))))</f>
        <v/>
      </c>
      <c r="AJ1147" s="55">
        <f>IF(BO1147=1,0,ROUNDUP(AI1147/BN1147,0))</f>
        <v/>
      </c>
      <c r="AK1147" s="64">
        <f>IF(BO1147=1,IF(AI1147&lt;=0,0,BP1147*MAX(1,IF(G1147&gt;0,AI1147/G1147,1))),AJ1147*Q1147)</f>
        <v/>
      </c>
      <c r="AL1147" s="55">
        <f>AI1147*F1147</f>
        <v/>
      </c>
      <c r="AM1147" s="55">
        <f>ROUNDUP(MAX(I1147/IF(BS1147&gt;0,BS1147,MAX(0.1,N(Cockpit!$I$6))),BV1147)/BN1147,0)*BN1147</f>
        <v/>
      </c>
      <c r="AN1147" s="56">
        <f>IF(AK1147&gt;0,I1147/AK1147,-1)</f>
        <v/>
      </c>
      <c r="AO1147" s="56">
        <f>IF(AND(OR(BR1147="L1",BR1147="L23"),AK1147&gt;0),SUMIFS($AK$7:$AK$1570,$BR$7:$BR$1570,BR1147,$AN$7:$AN$1570,"&gt;"&amp;AN1147)+SUMIFS($AK$7:$AK$1570,$BR$7:$BR$1570,BR1147,$AN$7:$AN$1570,AN1147,$BL$7:$BL$1570,"&lt;="&amp;BL1147),"")</f>
        <v/>
      </c>
      <c r="AP1147" s="65">
        <f>IF(AO1147="",0,MAX(0,MIN(1,(IF(BR1147="L1",Parameter!$K$5,Parameter!$K$6+Parameter!$K$7)-(AO1147-AK1147))/AK1147)))</f>
        <v/>
      </c>
      <c r="AQ1147" s="55">
        <f>IF(LEFT(Cockpit!$O$5,1)="A",G1147,IF(BT1147=1,BU1147,IF(LEFT(Cockpit!$O$5,1)="B",AU1147,MAX(AU1147,G1147))))</f>
        <v/>
      </c>
      <c r="AR1147" s="55">
        <f>IF(BO1147=1,0,ROUNDUP(AQ1147/BN1147,0))</f>
        <v/>
      </c>
      <c r="AS1147" s="64">
        <f>IF(BO1147=1,IF(AQ1147&lt;=0,0,BP1147*MAX(1,IF(G1147&gt;0,AQ1147/G1147,1))),AR1147*Q1147)</f>
        <v/>
      </c>
      <c r="AT1147" s="55">
        <f>AQ1147*F1147</f>
        <v/>
      </c>
      <c r="AU1147" s="55">
        <f>ROUNDUP(MAX(I1147/IF(BS1147&gt;0,BS1147,MAX(0.1,N(Cockpit!$O$6))),BV1147)/BN1147,0)*BN1147</f>
        <v/>
      </c>
      <c r="AV1147" s="56">
        <f>IF(AS1147&gt;0,I1147/AS1147,-1)</f>
        <v/>
      </c>
      <c r="AW1147" s="56">
        <f>IF(AND(OR(BR1147="L1",BR1147="L23"),AS1147&gt;0),SUMIFS($AS$7:$AS$1570,$BR$7:$BR$1570,BR1147,$AV$7:$AV$1570,"&gt;"&amp;AV1147)+SUMIFS($AS$7:$AS$1570,$BR$7:$BR$1570,BR1147,$AV$7:$AV$1570,AV1147,$BL$7:$BL$1570,"&lt;="&amp;BL1147),"")</f>
        <v/>
      </c>
      <c r="AX1147" s="65">
        <f>IF(AW1147="",0,MAX(0,MIN(1,(IF(BR1147="L1",Parameter!$K$5,Parameter!$K$6+Parameter!$K$7)-(AW1147-AS1147))/AS1147)))</f>
        <v/>
      </c>
      <c r="AY1147" s="53">
        <f>IF(AC1147&lt;=0,"",IF(BR1147="Aussen","Aussenlager",IF(BR1147="-","Nicht im Lift",IF(AH1147&gt;=1,"Lift",IF(AH1147&lt;=0,"Aussenlager","teilweise")))))</f>
        <v/>
      </c>
      <c r="AZ1147" s="53">
        <f>IF(AK1147&lt;=0,"",IF(BR1147="Aussen","Aussenlager",IF(BR1147="-","Nicht im Lift",IF(AP1147&gt;=1,"Lift",IF(AP1147&lt;=0,"Aussenlager","teilweise")))))</f>
        <v/>
      </c>
      <c r="BA1147" s="53">
        <f>IF(AS1147&lt;=0,"",IF(BR1147="Aussen","Aussenlager",IF(BR1147="-","Nicht im Lift",IF(AX1147&gt;=1,"Lift",IF(AX1147&lt;=0,"Aussenlager","teilweise")))))</f>
        <v/>
      </c>
      <c r="BB1147" s="53">
        <f>IF(A1147="","",IF(BK1147=1,"Neu; ","")&amp;IF(AND(BK1147=0,BF1147&lt;0),"negativer Bestand (Export "&amp;BF1147&amp;"); ","")&amp;IF(I1147&lt;=0,"Kein Verbrauch; ","")&amp;IF(BO1147=1,"Lose – Fläche geschätzt; ","")&amp;IF(G1147&gt;AM1147,"Überbestand "&amp;ROUND(G1147-AM1147,0)&amp;" Stk / CHF "&amp;ROUND((G1147-AM1147)*F1147,0)&amp;"; ","")&amp;IF(AND(BT1147=1,BU1147&lt;BV1147),"MAX &lt; MB+LG; ","")&amp;IF(AND(BZ1147&gt;0,BY1147*10&gt;BZ1147),"zu hoch für Tablar; ","")&amp;IF(AND(BK1147=0,OR(BT1147=1,V1147&lt;&gt;"",S1147&lt;&gt;"",T1147&lt;&gt;"",W1147&lt;&gt;"")),"manuell übersteuert; ","")&amp;IF(AND(BO1147=0,Q1147=0),"Gebinde unbekannt; ","")&amp;IF(AND(BO1147=0,N(T1147)&lt;=0,N(P1147)&lt;=0),"Menge pro Gebinde fehlt (Ist = 1 Gebinde); ","")&amp;BJ1147)</f>
        <v/>
      </c>
      <c r="BC1147" s="53" t="n"/>
      <c r="BD1147" s="53" t="n"/>
      <c r="BE1147" s="61" t="n"/>
      <c r="BF1147" s="55" t="n">
        <v>-1</v>
      </c>
      <c r="BG1147" s="55" t="n">
        <v>10</v>
      </c>
      <c r="BH1147" s="54" t="n">
        <v>-299.2799999999995</v>
      </c>
      <c r="BI1147" s="55" t="n">
        <v>29</v>
      </c>
      <c r="BJ1147" s="53" t="inlineStr"/>
      <c r="BK1147" s="58" t="n">
        <v>0</v>
      </c>
      <c r="BL1147" s="58" t="n">
        <v>1147</v>
      </c>
      <c r="BM1147" s="53">
        <f>IF(S1147&lt;&gt;"",UPPER(TRIM(S1147)),IF(O1147="","LOSE",O1147))</f>
        <v/>
      </c>
      <c r="BN1147" s="55">
        <f>IF(BM1147="LOSE",1,IF(N(T1147)&gt;0,T1147,IF(N(P1147)&gt;0,P1147,MAX(1,G1147))))</f>
        <v/>
      </c>
      <c r="BO1147" s="58">
        <f>IF(BM1147="LOSE",1,0)</f>
        <v/>
      </c>
      <c r="BP1147" s="64">
        <f>IF(BO1147=0,0,IF(N(R1147)&gt;0,R1147,IFERROR(VLOOKUP(D1147,Parameter!$A$35:$C$64,3,0)+0,0)))</f>
        <v/>
      </c>
      <c r="BQ1147" s="53">
        <f>IF(V1147&lt;&gt;"",V1147,U1147)</f>
        <v/>
      </c>
      <c r="BR1147" s="53">
        <f>IF(BQ1147=1,"L1",IF(OR(BQ1147=2,BQ1147=3),"L23",IF(BQ1147="Aussen","Aussen","-")))</f>
        <v/>
      </c>
      <c r="BS1147" s="66">
        <f>IF(N(W1147)&gt;0,W1147,0)</f>
        <v/>
      </c>
      <c r="BT1147" s="58">
        <f>IF(ISNUMBER(Z1147),1,0)</f>
        <v/>
      </c>
      <c r="BU1147" s="55">
        <f>N(Z1147)</f>
        <v/>
      </c>
      <c r="BV1147" s="55">
        <f>N(L1147)+N(M1147)</f>
        <v/>
      </c>
      <c r="BW1147" s="55">
        <f>ROUNDUP(G1147/BN1147,0)</f>
        <v/>
      </c>
      <c r="BX1147" s="55">
        <f>ROUNDUP(BU1147/BN1147,0)</f>
        <v/>
      </c>
      <c r="BY1147" s="58">
        <f>IF(BO1147=1,0,IFERROR(VLOOKUP(BM1147,'Gebinde-Kategorie'!$A$5:$G$45,5,0)+0,0))</f>
        <v/>
      </c>
      <c r="BZ1147" s="58">
        <f>IFERROR(IF(OR(BQ1147=1,BQ1147=2,BQ1147=3),N(INDEX(Parameter!$I$5:$I$7,BQ1147)),0),0)</f>
        <v/>
      </c>
    </row>
    <row r="1148">
      <c r="A1148" s="53" t="inlineStr">
        <is>
          <t>109859</t>
        </is>
      </c>
      <c r="B1148" s="53" t="inlineStr">
        <is>
          <t>HMI T50mobile USB-Adapter</t>
        </is>
      </c>
      <c r="C1148" s="53" t="inlineStr">
        <is>
          <t>F</t>
        </is>
      </c>
      <c r="D1148" s="53" t="inlineStr">
        <is>
          <t>KTL</t>
        </is>
      </c>
      <c r="E1148" s="53" t="inlineStr">
        <is>
          <t>C</t>
        </is>
      </c>
      <c r="F1148" s="54" t="n">
        <v>151.25</v>
      </c>
      <c r="G1148" s="55">
        <f>MAX(0,IF(Parameter!$B$20="Jahresanfang 2025 + Export",BG1148+BF1148,BF1148))</f>
        <v/>
      </c>
      <c r="H1148" s="55">
        <f>G1148*F1148</f>
        <v/>
      </c>
      <c r="I1148" s="55">
        <f>BI1148*Parameter!$B$18</f>
        <v/>
      </c>
      <c r="J1148" s="56" t="n">
        <v>1</v>
      </c>
      <c r="K1148" s="57" t="n">
        <v>0</v>
      </c>
      <c r="L1148" s="55" t="n">
        <v>0</v>
      </c>
      <c r="M1148" s="55" t="n">
        <v>1</v>
      </c>
      <c r="N1148" s="58" t="n">
        <v>42</v>
      </c>
      <c r="O1148" s="53" t="inlineStr">
        <is>
          <t>LOSE</t>
        </is>
      </c>
      <c r="P1148" s="55" t="n"/>
      <c r="Q1148" s="59">
        <f>IF(BO1148=1,0,IFERROR(VLOOKUP(BM1148,'Gebinde-Kategorie'!$A$5:$G$45,6,0)+0,0))</f>
        <v/>
      </c>
      <c r="R1148" s="60" t="n"/>
      <c r="S1148" s="61" t="n"/>
      <c r="T1148" s="61" t="n"/>
      <c r="U1148" s="53">
        <f>IF(A1148="","",IF(IFERROR(VLOOKUP(D1148,Parameter!$A$35:$C$64,2,0),"Nein")="2+3",IF(ISNUMBER(SEARCH("grosser Artikel",BJ1148)),2,IFERROR(VLOOKUP(BM1148,Parameter!$F$35:$G$64,2,0),2)),IF(OR(IFERROR(VLOOKUP(D1148,Parameter!$A$35:$C$64,2,0),"Nein")="Nein",IFERROR(VLOOKUP(D1148,Parameter!$A$35:$C$64,2,0),"Nein")=""),"-",VLOOKUP(D1148,Parameter!$A$35:$C$64,2,0))))</f>
        <v/>
      </c>
      <c r="V1148" s="61" t="n"/>
      <c r="W1148" s="62" t="n"/>
      <c r="X1148" s="55">
        <f>AM1148</f>
        <v/>
      </c>
      <c r="Y1148" s="55">
        <f>MAX(AM1148,G1148)</f>
        <v/>
      </c>
      <c r="Z1148" s="63" t="n"/>
      <c r="AA1148" s="55">
        <f>IF(LEFT(Cockpit!$C$5,1)="A",G1148,IF(BT1148=1,BU1148,IF(LEFT(Cockpit!$C$5,1)="B",AE1148,MAX(AE1148,G1148))))</f>
        <v/>
      </c>
      <c r="AB1148" s="55">
        <f>IF(BO1148=1,0,ROUNDUP(AA1148/BN1148,0))</f>
        <v/>
      </c>
      <c r="AC1148" s="64">
        <f>IF(BO1148=1,IF(AA1148&lt;=0,0,BP1148*MAX(1,IF(G1148&gt;0,AA1148/G1148,1))),AB1148*Q1148)</f>
        <v/>
      </c>
      <c r="AD1148" s="55">
        <f>AA1148*F1148</f>
        <v/>
      </c>
      <c r="AE1148" s="55">
        <f>ROUNDUP(MAX(I1148/IF(BS1148&gt;0,BS1148,MAX(0.1,N(Cockpit!$C$6))),BV1148)/BN1148,0)*BN1148</f>
        <v/>
      </c>
      <c r="AF1148" s="56">
        <f>IF(AC1148&gt;0,I1148/AC1148,-1)</f>
        <v/>
      </c>
      <c r="AG1148" s="56">
        <f>IF(AND(OR(BR1148="L1",BR1148="L23"),AC1148&gt;0),SUMIFS($AC$7:$AC$1570,$BR$7:$BR$1570,BR1148,$AF$7:$AF$1570,"&gt;"&amp;AF1148)+SUMIFS($AC$7:$AC$1570,$BR$7:$BR$1570,BR1148,$AF$7:$AF$1570,AF1148,$BL$7:$BL$1570,"&lt;="&amp;BL1148),"")</f>
        <v/>
      </c>
      <c r="AH1148" s="65">
        <f>IF(AG1148="",0,MAX(0,MIN(1,(IF(BR1148="L1",Parameter!$K$5,Parameter!$K$6+Parameter!$K$7)-(AG1148-AC1148))/AC1148)))</f>
        <v/>
      </c>
      <c r="AI1148" s="55">
        <f>IF(LEFT(Cockpit!$I$5,1)="A",G1148,IF(BT1148=1,BU1148,IF(LEFT(Cockpit!$I$5,1)="B",AM1148,MAX(AM1148,G1148))))</f>
        <v/>
      </c>
      <c r="AJ1148" s="55">
        <f>IF(BO1148=1,0,ROUNDUP(AI1148/BN1148,0))</f>
        <v/>
      </c>
      <c r="AK1148" s="64">
        <f>IF(BO1148=1,IF(AI1148&lt;=0,0,BP1148*MAX(1,IF(G1148&gt;0,AI1148/G1148,1))),AJ1148*Q1148)</f>
        <v/>
      </c>
      <c r="AL1148" s="55">
        <f>AI1148*F1148</f>
        <v/>
      </c>
      <c r="AM1148" s="55">
        <f>ROUNDUP(MAX(I1148/IF(BS1148&gt;0,BS1148,MAX(0.1,N(Cockpit!$I$6))),BV1148)/BN1148,0)*BN1148</f>
        <v/>
      </c>
      <c r="AN1148" s="56">
        <f>IF(AK1148&gt;0,I1148/AK1148,-1)</f>
        <v/>
      </c>
      <c r="AO1148" s="56">
        <f>IF(AND(OR(BR1148="L1",BR1148="L23"),AK1148&gt;0),SUMIFS($AK$7:$AK$1570,$BR$7:$BR$1570,BR1148,$AN$7:$AN$1570,"&gt;"&amp;AN1148)+SUMIFS($AK$7:$AK$1570,$BR$7:$BR$1570,BR1148,$AN$7:$AN$1570,AN1148,$BL$7:$BL$1570,"&lt;="&amp;BL1148),"")</f>
        <v/>
      </c>
      <c r="AP1148" s="65">
        <f>IF(AO1148="",0,MAX(0,MIN(1,(IF(BR1148="L1",Parameter!$K$5,Parameter!$K$6+Parameter!$K$7)-(AO1148-AK1148))/AK1148)))</f>
        <v/>
      </c>
      <c r="AQ1148" s="55">
        <f>IF(LEFT(Cockpit!$O$5,1)="A",G1148,IF(BT1148=1,BU1148,IF(LEFT(Cockpit!$O$5,1)="B",AU1148,MAX(AU1148,G1148))))</f>
        <v/>
      </c>
      <c r="AR1148" s="55">
        <f>IF(BO1148=1,0,ROUNDUP(AQ1148/BN1148,0))</f>
        <v/>
      </c>
      <c r="AS1148" s="64">
        <f>IF(BO1148=1,IF(AQ1148&lt;=0,0,BP1148*MAX(1,IF(G1148&gt;0,AQ1148/G1148,1))),AR1148*Q1148)</f>
        <v/>
      </c>
      <c r="AT1148" s="55">
        <f>AQ1148*F1148</f>
        <v/>
      </c>
      <c r="AU1148" s="55">
        <f>ROUNDUP(MAX(I1148/IF(BS1148&gt;0,BS1148,MAX(0.1,N(Cockpit!$O$6))),BV1148)/BN1148,0)*BN1148</f>
        <v/>
      </c>
      <c r="AV1148" s="56">
        <f>IF(AS1148&gt;0,I1148/AS1148,-1)</f>
        <v/>
      </c>
      <c r="AW1148" s="56">
        <f>IF(AND(OR(BR1148="L1",BR1148="L23"),AS1148&gt;0),SUMIFS($AS$7:$AS$1570,$BR$7:$BR$1570,BR1148,$AV$7:$AV$1570,"&gt;"&amp;AV1148)+SUMIFS($AS$7:$AS$1570,$BR$7:$BR$1570,BR1148,$AV$7:$AV$1570,AV1148,$BL$7:$BL$1570,"&lt;="&amp;BL1148),"")</f>
        <v/>
      </c>
      <c r="AX1148" s="65">
        <f>IF(AW1148="",0,MAX(0,MIN(1,(IF(BR1148="L1",Parameter!$K$5,Parameter!$K$6+Parameter!$K$7)-(AW1148-AS1148))/AS1148)))</f>
        <v/>
      </c>
      <c r="AY1148" s="53">
        <f>IF(AC1148&lt;=0,"",IF(BR1148="Aussen","Aussenlager",IF(BR1148="-","Nicht im Lift",IF(AH1148&gt;=1,"Lift",IF(AH1148&lt;=0,"Aussenlager","teilweise")))))</f>
        <v/>
      </c>
      <c r="AZ1148" s="53">
        <f>IF(AK1148&lt;=0,"",IF(BR1148="Aussen","Aussenlager",IF(BR1148="-","Nicht im Lift",IF(AP1148&gt;=1,"Lift",IF(AP1148&lt;=0,"Aussenlager","teilweise")))))</f>
        <v/>
      </c>
      <c r="BA1148" s="53">
        <f>IF(AS1148&lt;=0,"",IF(BR1148="Aussen","Aussenlager",IF(BR1148="-","Nicht im Lift",IF(AX1148&gt;=1,"Lift",IF(AX1148&lt;=0,"Aussenlager","teilweise")))))</f>
        <v/>
      </c>
      <c r="BB1148" s="53">
        <f>IF(A1148="","",IF(BK1148=1,"Neu; ","")&amp;IF(AND(BK1148=0,BF1148&lt;0),"negativer Bestand (Export "&amp;BF1148&amp;"); ","")&amp;IF(I1148&lt;=0,"Kein Verbrauch; ","")&amp;IF(BO1148=1,"Lose – Fläche geschätzt; ","")&amp;IF(G1148&gt;AM1148,"Überbestand "&amp;ROUND(G1148-AM1148,0)&amp;" Stk / CHF "&amp;ROUND((G1148-AM1148)*F1148,0)&amp;"; ","")&amp;IF(AND(BT1148=1,BU1148&lt;BV1148),"MAX &lt; MB+LG; ","")&amp;IF(AND(BZ1148&gt;0,BY1148*10&gt;BZ1148),"zu hoch für Tablar; ","")&amp;IF(AND(BK1148=0,OR(BT1148=1,V1148&lt;&gt;"",S1148&lt;&gt;"",T1148&lt;&gt;"",W1148&lt;&gt;"")),"manuell übersteuert; ","")&amp;IF(AND(BO1148=0,Q1148=0),"Gebinde unbekannt; ","")&amp;IF(AND(BO1148=0,N(T1148)&lt;=0,N(P1148)&lt;=0),"Menge pro Gebinde fehlt (Ist = 1 Gebinde); ","")&amp;BJ1148)</f>
        <v/>
      </c>
      <c r="BC1148" s="53" t="n"/>
      <c r="BD1148" s="53" t="n"/>
      <c r="BE1148" s="61" t="n"/>
      <c r="BF1148" s="55" t="n">
        <v>-2</v>
      </c>
      <c r="BG1148" s="55" t="n">
        <v>2</v>
      </c>
      <c r="BH1148" s="54" t="n">
        <v>-302.5</v>
      </c>
      <c r="BI1148" s="55" t="n">
        <v>0</v>
      </c>
      <c r="BJ1148" s="53" t="inlineStr"/>
      <c r="BK1148" s="58" t="n">
        <v>0</v>
      </c>
      <c r="BL1148" s="58" t="n">
        <v>1148</v>
      </c>
      <c r="BM1148" s="53">
        <f>IF(S1148&lt;&gt;"",UPPER(TRIM(S1148)),IF(O1148="","LOSE",O1148))</f>
        <v/>
      </c>
      <c r="BN1148" s="55">
        <f>IF(BM1148="LOSE",1,IF(N(T1148)&gt;0,T1148,IF(N(P1148)&gt;0,P1148,MAX(1,G1148))))</f>
        <v/>
      </c>
      <c r="BO1148" s="58">
        <f>IF(BM1148="LOSE",1,0)</f>
        <v/>
      </c>
      <c r="BP1148" s="64">
        <f>IF(BO1148=0,0,IF(N(R1148)&gt;0,R1148,IFERROR(VLOOKUP(D1148,Parameter!$A$35:$C$64,3,0)+0,0)))</f>
        <v/>
      </c>
      <c r="BQ1148" s="53">
        <f>IF(V1148&lt;&gt;"",V1148,U1148)</f>
        <v/>
      </c>
      <c r="BR1148" s="53">
        <f>IF(BQ1148=1,"L1",IF(OR(BQ1148=2,BQ1148=3),"L23",IF(BQ1148="Aussen","Aussen","-")))</f>
        <v/>
      </c>
      <c r="BS1148" s="66">
        <f>IF(N(W1148)&gt;0,W1148,0)</f>
        <v/>
      </c>
      <c r="BT1148" s="58">
        <f>IF(ISNUMBER(Z1148),1,0)</f>
        <v/>
      </c>
      <c r="BU1148" s="55">
        <f>N(Z1148)</f>
        <v/>
      </c>
      <c r="BV1148" s="55">
        <f>N(L1148)+N(M1148)</f>
        <v/>
      </c>
      <c r="BW1148" s="55">
        <f>ROUNDUP(G1148/BN1148,0)</f>
        <v/>
      </c>
      <c r="BX1148" s="55">
        <f>ROUNDUP(BU1148/BN1148,0)</f>
        <v/>
      </c>
      <c r="BY1148" s="58">
        <f>IF(BO1148=1,0,IFERROR(VLOOKUP(BM1148,'Gebinde-Kategorie'!$A$5:$G$45,5,0)+0,0))</f>
        <v/>
      </c>
      <c r="BZ1148" s="58">
        <f>IFERROR(IF(OR(BQ1148=1,BQ1148=2,BQ1148=3),N(INDEX(Parameter!$I$5:$I$7,BQ1148)),0),0)</f>
        <v/>
      </c>
    </row>
    <row r="1149">
      <c r="A1149" s="53" t="inlineStr">
        <is>
          <t>109161</t>
        </is>
      </c>
      <c r="B1149" s="53" t="inlineStr">
        <is>
          <t>Gasfilter</t>
        </is>
      </c>
      <c r="C1149" s="53" t="inlineStr">
        <is>
          <t>F</t>
        </is>
      </c>
      <c r="D1149" s="53" t="inlineStr">
        <is>
          <t>KTL</t>
        </is>
      </c>
      <c r="E1149" s="53" t="inlineStr">
        <is>
          <t>C</t>
        </is>
      </c>
      <c r="F1149" s="54" t="n">
        <v>151.82</v>
      </c>
      <c r="G1149" s="55">
        <f>MAX(0,IF(Parameter!$B$20="Jahresanfang 2025 + Export",BG1149+BF1149,BF1149))</f>
        <v/>
      </c>
      <c r="H1149" s="55">
        <f>G1149*F1149</f>
        <v/>
      </c>
      <c r="I1149" s="55">
        <f>BI1149*Parameter!$B$18</f>
        <v/>
      </c>
      <c r="J1149" s="56" t="n">
        <v>3</v>
      </c>
      <c r="K1149" s="57" t="n">
        <v>0.6666666666666666</v>
      </c>
      <c r="L1149" s="55" t="n">
        <v>0</v>
      </c>
      <c r="M1149" s="55" t="n">
        <v>1</v>
      </c>
      <c r="N1149" s="58" t="n">
        <v>35</v>
      </c>
      <c r="O1149" s="53" t="inlineStr">
        <is>
          <t>LOSE</t>
        </is>
      </c>
      <c r="P1149" s="55" t="n"/>
      <c r="Q1149" s="59">
        <f>IF(BO1149=1,0,IFERROR(VLOOKUP(BM1149,'Gebinde-Kategorie'!$A$5:$G$45,6,0)+0,0))</f>
        <v/>
      </c>
      <c r="R1149" s="60" t="n"/>
      <c r="S1149" s="61" t="n"/>
      <c r="T1149" s="61" t="n"/>
      <c r="U1149" s="53">
        <f>IF(A1149="","",IF(IFERROR(VLOOKUP(D1149,Parameter!$A$35:$C$64,2,0),"Nein")="2+3",IF(ISNUMBER(SEARCH("grosser Artikel",BJ1149)),2,IFERROR(VLOOKUP(BM1149,Parameter!$F$35:$G$64,2,0),2)),IF(OR(IFERROR(VLOOKUP(D1149,Parameter!$A$35:$C$64,2,0),"Nein")="Nein",IFERROR(VLOOKUP(D1149,Parameter!$A$35:$C$64,2,0),"Nein")=""),"-",VLOOKUP(D1149,Parameter!$A$35:$C$64,2,0))))</f>
        <v/>
      </c>
      <c r="V1149" s="61" t="n"/>
      <c r="W1149" s="62" t="n"/>
      <c r="X1149" s="55">
        <f>AM1149</f>
        <v/>
      </c>
      <c r="Y1149" s="55">
        <f>MAX(AM1149,G1149)</f>
        <v/>
      </c>
      <c r="Z1149" s="63" t="n"/>
      <c r="AA1149" s="55">
        <f>IF(LEFT(Cockpit!$C$5,1)="A",G1149,IF(BT1149=1,BU1149,IF(LEFT(Cockpit!$C$5,1)="B",AE1149,MAX(AE1149,G1149))))</f>
        <v/>
      </c>
      <c r="AB1149" s="55">
        <f>IF(BO1149=1,0,ROUNDUP(AA1149/BN1149,0))</f>
        <v/>
      </c>
      <c r="AC1149" s="64">
        <f>IF(BO1149=1,IF(AA1149&lt;=0,0,BP1149*MAX(1,IF(G1149&gt;0,AA1149/G1149,1))),AB1149*Q1149)</f>
        <v/>
      </c>
      <c r="AD1149" s="55">
        <f>AA1149*F1149</f>
        <v/>
      </c>
      <c r="AE1149" s="55">
        <f>ROUNDUP(MAX(I1149/IF(BS1149&gt;0,BS1149,MAX(0.1,N(Cockpit!$C$6))),BV1149)/BN1149,0)*BN1149</f>
        <v/>
      </c>
      <c r="AF1149" s="56">
        <f>IF(AC1149&gt;0,I1149/AC1149,-1)</f>
        <v/>
      </c>
      <c r="AG1149" s="56">
        <f>IF(AND(OR(BR1149="L1",BR1149="L23"),AC1149&gt;0),SUMIFS($AC$7:$AC$1570,$BR$7:$BR$1570,BR1149,$AF$7:$AF$1570,"&gt;"&amp;AF1149)+SUMIFS($AC$7:$AC$1570,$BR$7:$BR$1570,BR1149,$AF$7:$AF$1570,AF1149,$BL$7:$BL$1570,"&lt;="&amp;BL1149),"")</f>
        <v/>
      </c>
      <c r="AH1149" s="65">
        <f>IF(AG1149="",0,MAX(0,MIN(1,(IF(BR1149="L1",Parameter!$K$5,Parameter!$K$6+Parameter!$K$7)-(AG1149-AC1149))/AC1149)))</f>
        <v/>
      </c>
      <c r="AI1149" s="55">
        <f>IF(LEFT(Cockpit!$I$5,1)="A",G1149,IF(BT1149=1,BU1149,IF(LEFT(Cockpit!$I$5,1)="B",AM1149,MAX(AM1149,G1149))))</f>
        <v/>
      </c>
      <c r="AJ1149" s="55">
        <f>IF(BO1149=1,0,ROUNDUP(AI1149/BN1149,0))</f>
        <v/>
      </c>
      <c r="AK1149" s="64">
        <f>IF(BO1149=1,IF(AI1149&lt;=0,0,BP1149*MAX(1,IF(G1149&gt;0,AI1149/G1149,1))),AJ1149*Q1149)</f>
        <v/>
      </c>
      <c r="AL1149" s="55">
        <f>AI1149*F1149</f>
        <v/>
      </c>
      <c r="AM1149" s="55">
        <f>ROUNDUP(MAX(I1149/IF(BS1149&gt;0,BS1149,MAX(0.1,N(Cockpit!$I$6))),BV1149)/BN1149,0)*BN1149</f>
        <v/>
      </c>
      <c r="AN1149" s="56">
        <f>IF(AK1149&gt;0,I1149/AK1149,-1)</f>
        <v/>
      </c>
      <c r="AO1149" s="56">
        <f>IF(AND(OR(BR1149="L1",BR1149="L23"),AK1149&gt;0),SUMIFS($AK$7:$AK$1570,$BR$7:$BR$1570,BR1149,$AN$7:$AN$1570,"&gt;"&amp;AN1149)+SUMIFS($AK$7:$AK$1570,$BR$7:$BR$1570,BR1149,$AN$7:$AN$1570,AN1149,$BL$7:$BL$1570,"&lt;="&amp;BL1149),"")</f>
        <v/>
      </c>
      <c r="AP1149" s="65">
        <f>IF(AO1149="",0,MAX(0,MIN(1,(IF(BR1149="L1",Parameter!$K$5,Parameter!$K$6+Parameter!$K$7)-(AO1149-AK1149))/AK1149)))</f>
        <v/>
      </c>
      <c r="AQ1149" s="55">
        <f>IF(LEFT(Cockpit!$O$5,1)="A",G1149,IF(BT1149=1,BU1149,IF(LEFT(Cockpit!$O$5,1)="B",AU1149,MAX(AU1149,G1149))))</f>
        <v/>
      </c>
      <c r="AR1149" s="55">
        <f>IF(BO1149=1,0,ROUNDUP(AQ1149/BN1149,0))</f>
        <v/>
      </c>
      <c r="AS1149" s="64">
        <f>IF(BO1149=1,IF(AQ1149&lt;=0,0,BP1149*MAX(1,IF(G1149&gt;0,AQ1149/G1149,1))),AR1149*Q1149)</f>
        <v/>
      </c>
      <c r="AT1149" s="55">
        <f>AQ1149*F1149</f>
        <v/>
      </c>
      <c r="AU1149" s="55">
        <f>ROUNDUP(MAX(I1149/IF(BS1149&gt;0,BS1149,MAX(0.1,N(Cockpit!$O$6))),BV1149)/BN1149,0)*BN1149</f>
        <v/>
      </c>
      <c r="AV1149" s="56">
        <f>IF(AS1149&gt;0,I1149/AS1149,-1)</f>
        <v/>
      </c>
      <c r="AW1149" s="56">
        <f>IF(AND(OR(BR1149="L1",BR1149="L23"),AS1149&gt;0),SUMIFS($AS$7:$AS$1570,$BR$7:$BR$1570,BR1149,$AV$7:$AV$1570,"&gt;"&amp;AV1149)+SUMIFS($AS$7:$AS$1570,$BR$7:$BR$1570,BR1149,$AV$7:$AV$1570,AV1149,$BL$7:$BL$1570,"&lt;="&amp;BL1149),"")</f>
        <v/>
      </c>
      <c r="AX1149" s="65">
        <f>IF(AW1149="",0,MAX(0,MIN(1,(IF(BR1149="L1",Parameter!$K$5,Parameter!$K$6+Parameter!$K$7)-(AW1149-AS1149))/AS1149)))</f>
        <v/>
      </c>
      <c r="AY1149" s="53">
        <f>IF(AC1149&lt;=0,"",IF(BR1149="Aussen","Aussenlager",IF(BR1149="-","Nicht im Lift",IF(AH1149&gt;=1,"Lift",IF(AH1149&lt;=0,"Aussenlager","teilweise")))))</f>
        <v/>
      </c>
      <c r="AZ1149" s="53">
        <f>IF(AK1149&lt;=0,"",IF(BR1149="Aussen","Aussenlager",IF(BR1149="-","Nicht im Lift",IF(AP1149&gt;=1,"Lift",IF(AP1149&lt;=0,"Aussenlager","teilweise")))))</f>
        <v/>
      </c>
      <c r="BA1149" s="53">
        <f>IF(AS1149&lt;=0,"",IF(BR1149="Aussen","Aussenlager",IF(BR1149="-","Nicht im Lift",IF(AX1149&gt;=1,"Lift",IF(AX1149&lt;=0,"Aussenlager","teilweise")))))</f>
        <v/>
      </c>
      <c r="BB1149" s="53">
        <f>IF(A1149="","",IF(BK1149=1,"Neu; ","")&amp;IF(AND(BK1149=0,BF1149&lt;0),"negativer Bestand (Export "&amp;BF1149&amp;"); ","")&amp;IF(I1149&lt;=0,"Kein Verbrauch; ","")&amp;IF(BO1149=1,"Lose – Fläche geschätzt; ","")&amp;IF(G1149&gt;AM1149,"Überbestand "&amp;ROUND(G1149-AM1149,0)&amp;" Stk / CHF "&amp;ROUND((G1149-AM1149)*F1149,0)&amp;"; ","")&amp;IF(AND(BT1149=1,BU1149&lt;BV1149),"MAX &lt; MB+LG; ","")&amp;IF(AND(BZ1149&gt;0,BY1149*10&gt;BZ1149),"zu hoch für Tablar; ","")&amp;IF(AND(BK1149=0,OR(BT1149=1,V1149&lt;&gt;"",S1149&lt;&gt;"",T1149&lt;&gt;"",W1149&lt;&gt;"")),"manuell übersteuert; ","")&amp;IF(AND(BO1149=0,Q1149=0),"Gebinde unbekannt; ","")&amp;IF(AND(BO1149=0,N(T1149)&lt;=0,N(P1149)&lt;=0),"Menge pro Gebinde fehlt (Ist = 1 Gebinde); ","")&amp;BJ1149)</f>
        <v/>
      </c>
      <c r="BC1149" s="53" t="n"/>
      <c r="BD1149" s="53" t="n"/>
      <c r="BE1149" s="61" t="n"/>
      <c r="BF1149" s="55" t="n">
        <v>-2</v>
      </c>
      <c r="BG1149" s="55" t="n">
        <v>4</v>
      </c>
      <c r="BH1149" s="54" t="n">
        <v>-303.64</v>
      </c>
      <c r="BI1149" s="55" t="n">
        <v>2</v>
      </c>
      <c r="BJ1149" s="53" t="inlineStr"/>
      <c r="BK1149" s="58" t="n">
        <v>0</v>
      </c>
      <c r="BL1149" s="58" t="n">
        <v>1149</v>
      </c>
      <c r="BM1149" s="53">
        <f>IF(S1149&lt;&gt;"",UPPER(TRIM(S1149)),IF(O1149="","LOSE",O1149))</f>
        <v/>
      </c>
      <c r="BN1149" s="55">
        <f>IF(BM1149="LOSE",1,IF(N(T1149)&gt;0,T1149,IF(N(P1149)&gt;0,P1149,MAX(1,G1149))))</f>
        <v/>
      </c>
      <c r="BO1149" s="58">
        <f>IF(BM1149="LOSE",1,0)</f>
        <v/>
      </c>
      <c r="BP1149" s="64">
        <f>IF(BO1149=0,0,IF(N(R1149)&gt;0,R1149,IFERROR(VLOOKUP(D1149,Parameter!$A$35:$C$64,3,0)+0,0)))</f>
        <v/>
      </c>
      <c r="BQ1149" s="53">
        <f>IF(V1149&lt;&gt;"",V1149,U1149)</f>
        <v/>
      </c>
      <c r="BR1149" s="53">
        <f>IF(BQ1149=1,"L1",IF(OR(BQ1149=2,BQ1149=3),"L23",IF(BQ1149="Aussen","Aussen","-")))</f>
        <v/>
      </c>
      <c r="BS1149" s="66">
        <f>IF(N(W1149)&gt;0,W1149,0)</f>
        <v/>
      </c>
      <c r="BT1149" s="58">
        <f>IF(ISNUMBER(Z1149),1,0)</f>
        <v/>
      </c>
      <c r="BU1149" s="55">
        <f>N(Z1149)</f>
        <v/>
      </c>
      <c r="BV1149" s="55">
        <f>N(L1149)+N(M1149)</f>
        <v/>
      </c>
      <c r="BW1149" s="55">
        <f>ROUNDUP(G1149/BN1149,0)</f>
        <v/>
      </c>
      <c r="BX1149" s="55">
        <f>ROUNDUP(BU1149/BN1149,0)</f>
        <v/>
      </c>
      <c r="BY1149" s="58">
        <f>IF(BO1149=1,0,IFERROR(VLOOKUP(BM1149,'Gebinde-Kategorie'!$A$5:$G$45,5,0)+0,0))</f>
        <v/>
      </c>
      <c r="BZ1149" s="58">
        <f>IFERROR(IF(OR(BQ1149=1,BQ1149=2,BQ1149=3),N(INDEX(Parameter!$I$5:$I$7,BQ1149)),0),0)</f>
        <v/>
      </c>
    </row>
    <row r="1150">
      <c r="A1150" s="53" t="inlineStr">
        <is>
          <t>107224</t>
        </is>
      </c>
      <c r="B1150" s="53" t="inlineStr">
        <is>
          <t>Montagehilfe</t>
        </is>
      </c>
      <c r="C1150" s="53" t="inlineStr">
        <is>
          <t>F</t>
        </is>
      </c>
      <c r="D1150" s="53" t="inlineStr">
        <is>
          <t>KTL</t>
        </is>
      </c>
      <c r="E1150" s="53" t="inlineStr">
        <is>
          <t>C</t>
        </is>
      </c>
      <c r="F1150" s="54" t="n">
        <v>29.34</v>
      </c>
      <c r="G1150" s="55">
        <f>MAX(0,IF(Parameter!$B$20="Jahresanfang 2025 + Export",BG1150+BF1150,BF1150))</f>
        <v/>
      </c>
      <c r="H1150" s="55">
        <f>G1150*F1150</f>
        <v/>
      </c>
      <c r="I1150" s="55">
        <f>BI1150*Parameter!$B$18</f>
        <v/>
      </c>
      <c r="J1150" s="56" t="n">
        <v>15</v>
      </c>
      <c r="K1150" s="57" t="n">
        <v>1.333333333333333</v>
      </c>
      <c r="L1150" s="55" t="n">
        <v>2</v>
      </c>
      <c r="M1150" s="55" t="n">
        <v>20</v>
      </c>
      <c r="N1150" s="58" t="n">
        <v>42</v>
      </c>
      <c r="O1150" s="53" t="inlineStr">
        <is>
          <t>S33</t>
        </is>
      </c>
      <c r="P1150" s="55" t="n">
        <v>26</v>
      </c>
      <c r="Q1150" s="59">
        <f>IF(BO1150=1,0,IFERROR(VLOOKUP(BM1150,'Gebinde-Kategorie'!$A$5:$G$45,6,0)+0,0))</f>
        <v/>
      </c>
      <c r="R1150" s="60" t="n"/>
      <c r="S1150" s="61" t="n"/>
      <c r="T1150" s="61" t="n"/>
      <c r="U1150" s="53">
        <f>IF(A1150="","",IF(IFERROR(VLOOKUP(D1150,Parameter!$A$35:$C$64,2,0),"Nein")="2+3",IF(ISNUMBER(SEARCH("grosser Artikel",BJ1150)),2,IFERROR(VLOOKUP(BM1150,Parameter!$F$35:$G$64,2,0),2)),IF(OR(IFERROR(VLOOKUP(D1150,Parameter!$A$35:$C$64,2,0),"Nein")="Nein",IFERROR(VLOOKUP(D1150,Parameter!$A$35:$C$64,2,0),"Nein")=""),"-",VLOOKUP(D1150,Parameter!$A$35:$C$64,2,0))))</f>
        <v/>
      </c>
      <c r="V1150" s="61" t="n"/>
      <c r="W1150" s="62" t="n"/>
      <c r="X1150" s="55">
        <f>AM1150</f>
        <v/>
      </c>
      <c r="Y1150" s="55">
        <f>MAX(AM1150,G1150)</f>
        <v/>
      </c>
      <c r="Z1150" s="63" t="n"/>
      <c r="AA1150" s="55">
        <f>IF(LEFT(Cockpit!$C$5,1)="A",G1150,IF(BT1150=1,BU1150,IF(LEFT(Cockpit!$C$5,1)="B",AE1150,MAX(AE1150,G1150))))</f>
        <v/>
      </c>
      <c r="AB1150" s="55">
        <f>IF(BO1150=1,0,ROUNDUP(AA1150/BN1150,0))</f>
        <v/>
      </c>
      <c r="AC1150" s="64">
        <f>IF(BO1150=1,IF(AA1150&lt;=0,0,BP1150*MAX(1,IF(G1150&gt;0,AA1150/G1150,1))),AB1150*Q1150)</f>
        <v/>
      </c>
      <c r="AD1150" s="55">
        <f>AA1150*F1150</f>
        <v/>
      </c>
      <c r="AE1150" s="55">
        <f>ROUNDUP(MAX(I1150/IF(BS1150&gt;0,BS1150,MAX(0.1,N(Cockpit!$C$6))),BV1150)/BN1150,0)*BN1150</f>
        <v/>
      </c>
      <c r="AF1150" s="56">
        <f>IF(AC1150&gt;0,I1150/AC1150,-1)</f>
        <v/>
      </c>
      <c r="AG1150" s="56">
        <f>IF(AND(OR(BR1150="L1",BR1150="L23"),AC1150&gt;0),SUMIFS($AC$7:$AC$1570,$BR$7:$BR$1570,BR1150,$AF$7:$AF$1570,"&gt;"&amp;AF1150)+SUMIFS($AC$7:$AC$1570,$BR$7:$BR$1570,BR1150,$AF$7:$AF$1570,AF1150,$BL$7:$BL$1570,"&lt;="&amp;BL1150),"")</f>
        <v/>
      </c>
      <c r="AH1150" s="65">
        <f>IF(AG1150="",0,MAX(0,MIN(1,(IF(BR1150="L1",Parameter!$K$5,Parameter!$K$6+Parameter!$K$7)-(AG1150-AC1150))/AC1150)))</f>
        <v/>
      </c>
      <c r="AI1150" s="55">
        <f>IF(LEFT(Cockpit!$I$5,1)="A",G1150,IF(BT1150=1,BU1150,IF(LEFT(Cockpit!$I$5,1)="B",AM1150,MAX(AM1150,G1150))))</f>
        <v/>
      </c>
      <c r="AJ1150" s="55">
        <f>IF(BO1150=1,0,ROUNDUP(AI1150/BN1150,0))</f>
        <v/>
      </c>
      <c r="AK1150" s="64">
        <f>IF(BO1150=1,IF(AI1150&lt;=0,0,BP1150*MAX(1,IF(G1150&gt;0,AI1150/G1150,1))),AJ1150*Q1150)</f>
        <v/>
      </c>
      <c r="AL1150" s="55">
        <f>AI1150*F1150</f>
        <v/>
      </c>
      <c r="AM1150" s="55">
        <f>ROUNDUP(MAX(I1150/IF(BS1150&gt;0,BS1150,MAX(0.1,N(Cockpit!$I$6))),BV1150)/BN1150,0)*BN1150</f>
        <v/>
      </c>
      <c r="AN1150" s="56">
        <f>IF(AK1150&gt;0,I1150/AK1150,-1)</f>
        <v/>
      </c>
      <c r="AO1150" s="56">
        <f>IF(AND(OR(BR1150="L1",BR1150="L23"),AK1150&gt;0),SUMIFS($AK$7:$AK$1570,$BR$7:$BR$1570,BR1150,$AN$7:$AN$1570,"&gt;"&amp;AN1150)+SUMIFS($AK$7:$AK$1570,$BR$7:$BR$1570,BR1150,$AN$7:$AN$1570,AN1150,$BL$7:$BL$1570,"&lt;="&amp;BL1150),"")</f>
        <v/>
      </c>
      <c r="AP1150" s="65">
        <f>IF(AO1150="",0,MAX(0,MIN(1,(IF(BR1150="L1",Parameter!$K$5,Parameter!$K$6+Parameter!$K$7)-(AO1150-AK1150))/AK1150)))</f>
        <v/>
      </c>
      <c r="AQ1150" s="55">
        <f>IF(LEFT(Cockpit!$O$5,1)="A",G1150,IF(BT1150=1,BU1150,IF(LEFT(Cockpit!$O$5,1)="B",AU1150,MAX(AU1150,G1150))))</f>
        <v/>
      </c>
      <c r="AR1150" s="55">
        <f>IF(BO1150=1,0,ROUNDUP(AQ1150/BN1150,0))</f>
        <v/>
      </c>
      <c r="AS1150" s="64">
        <f>IF(BO1150=1,IF(AQ1150&lt;=0,0,BP1150*MAX(1,IF(G1150&gt;0,AQ1150/G1150,1))),AR1150*Q1150)</f>
        <v/>
      </c>
      <c r="AT1150" s="55">
        <f>AQ1150*F1150</f>
        <v/>
      </c>
      <c r="AU1150" s="55">
        <f>ROUNDUP(MAX(I1150/IF(BS1150&gt;0,BS1150,MAX(0.1,N(Cockpit!$O$6))),BV1150)/BN1150,0)*BN1150</f>
        <v/>
      </c>
      <c r="AV1150" s="56">
        <f>IF(AS1150&gt;0,I1150/AS1150,-1)</f>
        <v/>
      </c>
      <c r="AW1150" s="56">
        <f>IF(AND(OR(BR1150="L1",BR1150="L23"),AS1150&gt;0),SUMIFS($AS$7:$AS$1570,$BR$7:$BR$1570,BR1150,$AV$7:$AV$1570,"&gt;"&amp;AV1150)+SUMIFS($AS$7:$AS$1570,$BR$7:$BR$1570,BR1150,$AV$7:$AV$1570,AV1150,$BL$7:$BL$1570,"&lt;="&amp;BL1150),"")</f>
        <v/>
      </c>
      <c r="AX1150" s="65">
        <f>IF(AW1150="",0,MAX(0,MIN(1,(IF(BR1150="L1",Parameter!$K$5,Parameter!$K$6+Parameter!$K$7)-(AW1150-AS1150))/AS1150)))</f>
        <v/>
      </c>
      <c r="AY1150" s="53">
        <f>IF(AC1150&lt;=0,"",IF(BR1150="Aussen","Aussenlager",IF(BR1150="-","Nicht im Lift",IF(AH1150&gt;=1,"Lift",IF(AH1150&lt;=0,"Aussenlager","teilweise")))))</f>
        <v/>
      </c>
      <c r="AZ1150" s="53">
        <f>IF(AK1150&lt;=0,"",IF(BR1150="Aussen","Aussenlager",IF(BR1150="-","Nicht im Lift",IF(AP1150&gt;=1,"Lift",IF(AP1150&lt;=0,"Aussenlager","teilweise")))))</f>
        <v/>
      </c>
      <c r="BA1150" s="53">
        <f>IF(AS1150&lt;=0,"",IF(BR1150="Aussen","Aussenlager",IF(BR1150="-","Nicht im Lift",IF(AX1150&gt;=1,"Lift",IF(AX1150&lt;=0,"Aussenlager","teilweise")))))</f>
        <v/>
      </c>
      <c r="BB1150" s="53">
        <f>IF(A1150="","",IF(BK1150=1,"Neu; ","")&amp;IF(AND(BK1150=0,BF1150&lt;0),"negativer Bestand (Export "&amp;BF1150&amp;"); ","")&amp;IF(I1150&lt;=0,"Kein Verbrauch; ","")&amp;IF(BO1150=1,"Lose – Fläche geschätzt; ","")&amp;IF(G1150&gt;AM1150,"Überbestand "&amp;ROUND(G1150-AM1150,0)&amp;" Stk / CHF "&amp;ROUND((G1150-AM1150)*F1150,0)&amp;"; ","")&amp;IF(AND(BT1150=1,BU1150&lt;BV1150),"MAX &lt; MB+LG; ","")&amp;IF(AND(BZ1150&gt;0,BY1150*10&gt;BZ1150),"zu hoch für Tablar; ","")&amp;IF(AND(BK1150=0,OR(BT1150=1,V1150&lt;&gt;"",S1150&lt;&gt;"",T1150&lt;&gt;"",W1150&lt;&gt;"")),"manuell übersteuert; ","")&amp;IF(AND(BO1150=0,Q1150=0),"Gebinde unbekannt; ","")&amp;IF(AND(BO1150=0,N(T1150)&lt;=0,N(P1150)&lt;=0),"Menge pro Gebinde fehlt (Ist = 1 Gebinde); ","")&amp;BJ1150)</f>
        <v/>
      </c>
      <c r="BC1150" s="53" t="n"/>
      <c r="BD1150" s="53" t="n"/>
      <c r="BE1150" s="61" t="n"/>
      <c r="BF1150" s="55" t="n">
        <v>-6</v>
      </c>
      <c r="BG1150" s="55" t="n">
        <v>15</v>
      </c>
      <c r="BH1150" s="54" t="n">
        <v>-309.54</v>
      </c>
      <c r="BI1150" s="55" t="n">
        <v>20</v>
      </c>
      <c r="BJ1150" s="53" t="inlineStr"/>
      <c r="BK1150" s="58" t="n">
        <v>0</v>
      </c>
      <c r="BL1150" s="58" t="n">
        <v>1150</v>
      </c>
      <c r="BM1150" s="53">
        <f>IF(S1150&lt;&gt;"",UPPER(TRIM(S1150)),IF(O1150="","LOSE",O1150))</f>
        <v/>
      </c>
      <c r="BN1150" s="55">
        <f>IF(BM1150="LOSE",1,IF(N(T1150)&gt;0,T1150,IF(N(P1150)&gt;0,P1150,MAX(1,G1150))))</f>
        <v/>
      </c>
      <c r="BO1150" s="58">
        <f>IF(BM1150="LOSE",1,0)</f>
        <v/>
      </c>
      <c r="BP1150" s="64">
        <f>IF(BO1150=0,0,IF(N(R1150)&gt;0,R1150,IFERROR(VLOOKUP(D1150,Parameter!$A$35:$C$64,3,0)+0,0)))</f>
        <v/>
      </c>
      <c r="BQ1150" s="53">
        <f>IF(V1150&lt;&gt;"",V1150,U1150)</f>
        <v/>
      </c>
      <c r="BR1150" s="53">
        <f>IF(BQ1150=1,"L1",IF(OR(BQ1150=2,BQ1150=3),"L23",IF(BQ1150="Aussen","Aussen","-")))</f>
        <v/>
      </c>
      <c r="BS1150" s="66">
        <f>IF(N(W1150)&gt;0,W1150,0)</f>
        <v/>
      </c>
      <c r="BT1150" s="58">
        <f>IF(ISNUMBER(Z1150),1,0)</f>
        <v/>
      </c>
      <c r="BU1150" s="55">
        <f>N(Z1150)</f>
        <v/>
      </c>
      <c r="BV1150" s="55">
        <f>N(L1150)+N(M1150)</f>
        <v/>
      </c>
      <c r="BW1150" s="55">
        <f>ROUNDUP(G1150/BN1150,0)</f>
        <v/>
      </c>
      <c r="BX1150" s="55">
        <f>ROUNDUP(BU1150/BN1150,0)</f>
        <v/>
      </c>
      <c r="BY1150" s="58">
        <f>IF(BO1150=1,0,IFERROR(VLOOKUP(BM1150,'Gebinde-Kategorie'!$A$5:$G$45,5,0)+0,0))</f>
        <v/>
      </c>
      <c r="BZ1150" s="58">
        <f>IFERROR(IF(OR(BQ1150=1,BQ1150=2,BQ1150=3),N(INDEX(Parameter!$I$5:$I$7,BQ1150)),0),0)</f>
        <v/>
      </c>
    </row>
    <row r="1151">
      <c r="A1151" s="53" t="inlineStr">
        <is>
          <t>107250</t>
        </is>
      </c>
      <c r="B1151" s="53" t="inlineStr">
        <is>
          <t>Servicepaket AC260 Druckhalteventil</t>
        </is>
      </c>
      <c r="C1151" s="53" t="inlineStr">
        <is>
          <t>F</t>
        </is>
      </c>
      <c r="D1151" s="53" t="inlineStr">
        <is>
          <t>KTL</t>
        </is>
      </c>
      <c r="E1151" s="53" t="inlineStr">
        <is>
          <t>C</t>
        </is>
      </c>
      <c r="F1151" s="54" t="n">
        <v>130.65</v>
      </c>
      <c r="G1151" s="55">
        <f>MAX(0,IF(Parameter!$B$20="Jahresanfang 2025 + Export",BG1151+BF1151,BF1151))</f>
        <v/>
      </c>
      <c r="H1151" s="55">
        <f>G1151*F1151</f>
        <v/>
      </c>
      <c r="I1151" s="55">
        <f>BI1151*Parameter!$B$18</f>
        <v/>
      </c>
      <c r="J1151" s="56" t="n">
        <v>3</v>
      </c>
      <c r="K1151" s="57" t="n">
        <v>0.6666666666666666</v>
      </c>
      <c r="L1151" s="55" t="n">
        <v>0</v>
      </c>
      <c r="M1151" s="55" t="n">
        <v>1</v>
      </c>
      <c r="N1151" s="58" t="n">
        <v>28</v>
      </c>
      <c r="O1151" s="53" t="inlineStr">
        <is>
          <t>S32</t>
        </is>
      </c>
      <c r="P1151" s="55" t="n">
        <v>3</v>
      </c>
      <c r="Q1151" s="59">
        <f>IF(BO1151=1,0,IFERROR(VLOOKUP(BM1151,'Gebinde-Kategorie'!$A$5:$G$45,6,0)+0,0))</f>
        <v/>
      </c>
      <c r="R1151" s="60" t="n"/>
      <c r="S1151" s="61" t="n"/>
      <c r="T1151" s="61" t="n"/>
      <c r="U1151" s="53">
        <f>IF(A1151="","",IF(IFERROR(VLOOKUP(D1151,Parameter!$A$35:$C$64,2,0),"Nein")="2+3",IF(ISNUMBER(SEARCH("grosser Artikel",BJ1151)),2,IFERROR(VLOOKUP(BM1151,Parameter!$F$35:$G$64,2,0),2)),IF(OR(IFERROR(VLOOKUP(D1151,Parameter!$A$35:$C$64,2,0),"Nein")="Nein",IFERROR(VLOOKUP(D1151,Parameter!$A$35:$C$64,2,0),"Nein")=""),"-",VLOOKUP(D1151,Parameter!$A$35:$C$64,2,0))))</f>
        <v/>
      </c>
      <c r="V1151" s="61" t="n"/>
      <c r="W1151" s="62" t="n"/>
      <c r="X1151" s="55">
        <f>AM1151</f>
        <v/>
      </c>
      <c r="Y1151" s="55">
        <f>MAX(AM1151,G1151)</f>
        <v/>
      </c>
      <c r="Z1151" s="63" t="n"/>
      <c r="AA1151" s="55">
        <f>IF(LEFT(Cockpit!$C$5,1)="A",G1151,IF(BT1151=1,BU1151,IF(LEFT(Cockpit!$C$5,1)="B",AE1151,MAX(AE1151,G1151))))</f>
        <v/>
      </c>
      <c r="AB1151" s="55">
        <f>IF(BO1151=1,0,ROUNDUP(AA1151/BN1151,0))</f>
        <v/>
      </c>
      <c r="AC1151" s="64">
        <f>IF(BO1151=1,IF(AA1151&lt;=0,0,BP1151*MAX(1,IF(G1151&gt;0,AA1151/G1151,1))),AB1151*Q1151)</f>
        <v/>
      </c>
      <c r="AD1151" s="55">
        <f>AA1151*F1151</f>
        <v/>
      </c>
      <c r="AE1151" s="55">
        <f>ROUNDUP(MAX(I1151/IF(BS1151&gt;0,BS1151,MAX(0.1,N(Cockpit!$C$6))),BV1151)/BN1151,0)*BN1151</f>
        <v/>
      </c>
      <c r="AF1151" s="56">
        <f>IF(AC1151&gt;0,I1151/AC1151,-1)</f>
        <v/>
      </c>
      <c r="AG1151" s="56">
        <f>IF(AND(OR(BR1151="L1",BR1151="L23"),AC1151&gt;0),SUMIFS($AC$7:$AC$1570,$BR$7:$BR$1570,BR1151,$AF$7:$AF$1570,"&gt;"&amp;AF1151)+SUMIFS($AC$7:$AC$1570,$BR$7:$BR$1570,BR1151,$AF$7:$AF$1570,AF1151,$BL$7:$BL$1570,"&lt;="&amp;BL1151),"")</f>
        <v/>
      </c>
      <c r="AH1151" s="65">
        <f>IF(AG1151="",0,MAX(0,MIN(1,(IF(BR1151="L1",Parameter!$K$5,Parameter!$K$6+Parameter!$K$7)-(AG1151-AC1151))/AC1151)))</f>
        <v/>
      </c>
      <c r="AI1151" s="55">
        <f>IF(LEFT(Cockpit!$I$5,1)="A",G1151,IF(BT1151=1,BU1151,IF(LEFT(Cockpit!$I$5,1)="B",AM1151,MAX(AM1151,G1151))))</f>
        <v/>
      </c>
      <c r="AJ1151" s="55">
        <f>IF(BO1151=1,0,ROUNDUP(AI1151/BN1151,0))</f>
        <v/>
      </c>
      <c r="AK1151" s="64">
        <f>IF(BO1151=1,IF(AI1151&lt;=0,0,BP1151*MAX(1,IF(G1151&gt;0,AI1151/G1151,1))),AJ1151*Q1151)</f>
        <v/>
      </c>
      <c r="AL1151" s="55">
        <f>AI1151*F1151</f>
        <v/>
      </c>
      <c r="AM1151" s="55">
        <f>ROUNDUP(MAX(I1151/IF(BS1151&gt;0,BS1151,MAX(0.1,N(Cockpit!$I$6))),BV1151)/BN1151,0)*BN1151</f>
        <v/>
      </c>
      <c r="AN1151" s="56">
        <f>IF(AK1151&gt;0,I1151/AK1151,-1)</f>
        <v/>
      </c>
      <c r="AO1151" s="56">
        <f>IF(AND(OR(BR1151="L1",BR1151="L23"),AK1151&gt;0),SUMIFS($AK$7:$AK$1570,$BR$7:$BR$1570,BR1151,$AN$7:$AN$1570,"&gt;"&amp;AN1151)+SUMIFS($AK$7:$AK$1570,$BR$7:$BR$1570,BR1151,$AN$7:$AN$1570,AN1151,$BL$7:$BL$1570,"&lt;="&amp;BL1151),"")</f>
        <v/>
      </c>
      <c r="AP1151" s="65">
        <f>IF(AO1151="",0,MAX(0,MIN(1,(IF(BR1151="L1",Parameter!$K$5,Parameter!$K$6+Parameter!$K$7)-(AO1151-AK1151))/AK1151)))</f>
        <v/>
      </c>
      <c r="AQ1151" s="55">
        <f>IF(LEFT(Cockpit!$O$5,1)="A",G1151,IF(BT1151=1,BU1151,IF(LEFT(Cockpit!$O$5,1)="B",AU1151,MAX(AU1151,G1151))))</f>
        <v/>
      </c>
      <c r="AR1151" s="55">
        <f>IF(BO1151=1,0,ROUNDUP(AQ1151/BN1151,0))</f>
        <v/>
      </c>
      <c r="AS1151" s="64">
        <f>IF(BO1151=1,IF(AQ1151&lt;=0,0,BP1151*MAX(1,IF(G1151&gt;0,AQ1151/G1151,1))),AR1151*Q1151)</f>
        <v/>
      </c>
      <c r="AT1151" s="55">
        <f>AQ1151*F1151</f>
        <v/>
      </c>
      <c r="AU1151" s="55">
        <f>ROUNDUP(MAX(I1151/IF(BS1151&gt;0,BS1151,MAX(0.1,N(Cockpit!$O$6))),BV1151)/BN1151,0)*BN1151</f>
        <v/>
      </c>
      <c r="AV1151" s="56">
        <f>IF(AS1151&gt;0,I1151/AS1151,-1)</f>
        <v/>
      </c>
      <c r="AW1151" s="56">
        <f>IF(AND(OR(BR1151="L1",BR1151="L23"),AS1151&gt;0),SUMIFS($AS$7:$AS$1570,$BR$7:$BR$1570,BR1151,$AV$7:$AV$1570,"&gt;"&amp;AV1151)+SUMIFS($AS$7:$AS$1570,$BR$7:$BR$1570,BR1151,$AV$7:$AV$1570,AV1151,$BL$7:$BL$1570,"&lt;="&amp;BL1151),"")</f>
        <v/>
      </c>
      <c r="AX1151" s="65">
        <f>IF(AW1151="",0,MAX(0,MIN(1,(IF(BR1151="L1",Parameter!$K$5,Parameter!$K$6+Parameter!$K$7)-(AW1151-AS1151))/AS1151)))</f>
        <v/>
      </c>
      <c r="AY1151" s="53">
        <f>IF(AC1151&lt;=0,"",IF(BR1151="Aussen","Aussenlager",IF(BR1151="-","Nicht im Lift",IF(AH1151&gt;=1,"Lift",IF(AH1151&lt;=0,"Aussenlager","teilweise")))))</f>
        <v/>
      </c>
      <c r="AZ1151" s="53">
        <f>IF(AK1151&lt;=0,"",IF(BR1151="Aussen","Aussenlager",IF(BR1151="-","Nicht im Lift",IF(AP1151&gt;=1,"Lift",IF(AP1151&lt;=0,"Aussenlager","teilweise")))))</f>
        <v/>
      </c>
      <c r="BA1151" s="53">
        <f>IF(AS1151&lt;=0,"",IF(BR1151="Aussen","Aussenlager",IF(BR1151="-","Nicht im Lift",IF(AX1151&gt;=1,"Lift",IF(AX1151&lt;=0,"Aussenlager","teilweise")))))</f>
        <v/>
      </c>
      <c r="BB1151" s="53">
        <f>IF(A1151="","",IF(BK1151=1,"Neu; ","")&amp;IF(AND(BK1151=0,BF1151&lt;0),"negativer Bestand (Export "&amp;BF1151&amp;"); ","")&amp;IF(I1151&lt;=0,"Kein Verbrauch; ","")&amp;IF(BO1151=1,"Lose – Fläche geschätzt; ","")&amp;IF(G1151&gt;AM1151,"Überbestand "&amp;ROUND(G1151-AM1151,0)&amp;" Stk / CHF "&amp;ROUND((G1151-AM1151)*F1151,0)&amp;"; ","")&amp;IF(AND(BT1151=1,BU1151&lt;BV1151),"MAX &lt; MB+LG; ","")&amp;IF(AND(BZ1151&gt;0,BY1151*10&gt;BZ1151),"zu hoch für Tablar; ","")&amp;IF(AND(BK1151=0,OR(BT1151=1,V1151&lt;&gt;"",S1151&lt;&gt;"",T1151&lt;&gt;"",W1151&lt;&gt;"")),"manuell übersteuert; ","")&amp;IF(AND(BO1151=0,Q1151=0),"Gebinde unbekannt; ","")&amp;IF(AND(BO1151=0,N(T1151)&lt;=0,N(P1151)&lt;=0),"Menge pro Gebinde fehlt (Ist = 1 Gebinde); ","")&amp;BJ1151)</f>
        <v/>
      </c>
      <c r="BC1151" s="53" t="n"/>
      <c r="BD1151" s="53" t="n"/>
      <c r="BE1151" s="61" t="n"/>
      <c r="BF1151" s="55" t="n">
        <v>-3</v>
      </c>
      <c r="BG1151" s="55" t="n">
        <v>4</v>
      </c>
      <c r="BH1151" s="54" t="n">
        <v>-310.0300000000001</v>
      </c>
      <c r="BI1151" s="55" t="n">
        <v>2</v>
      </c>
      <c r="BJ1151" s="53" t="inlineStr">
        <is>
          <t>Neu; grosser Artikel &amp; nicht im KTL</t>
        </is>
      </c>
      <c r="BK1151" s="58" t="n">
        <v>0</v>
      </c>
      <c r="BL1151" s="58" t="n">
        <v>1151</v>
      </c>
      <c r="BM1151" s="53">
        <f>IF(S1151&lt;&gt;"",UPPER(TRIM(S1151)),IF(O1151="","LOSE",O1151))</f>
        <v/>
      </c>
      <c r="BN1151" s="55">
        <f>IF(BM1151="LOSE",1,IF(N(T1151)&gt;0,T1151,IF(N(P1151)&gt;0,P1151,MAX(1,G1151))))</f>
        <v/>
      </c>
      <c r="BO1151" s="58">
        <f>IF(BM1151="LOSE",1,0)</f>
        <v/>
      </c>
      <c r="BP1151" s="64">
        <f>IF(BO1151=0,0,IF(N(R1151)&gt;0,R1151,IFERROR(VLOOKUP(D1151,Parameter!$A$35:$C$64,3,0)+0,0)))</f>
        <v/>
      </c>
      <c r="BQ1151" s="53">
        <f>IF(V1151&lt;&gt;"",V1151,U1151)</f>
        <v/>
      </c>
      <c r="BR1151" s="53">
        <f>IF(BQ1151=1,"L1",IF(OR(BQ1151=2,BQ1151=3),"L23",IF(BQ1151="Aussen","Aussen","-")))</f>
        <v/>
      </c>
      <c r="BS1151" s="66">
        <f>IF(N(W1151)&gt;0,W1151,0)</f>
        <v/>
      </c>
      <c r="BT1151" s="58">
        <f>IF(ISNUMBER(Z1151),1,0)</f>
        <v/>
      </c>
      <c r="BU1151" s="55">
        <f>N(Z1151)</f>
        <v/>
      </c>
      <c r="BV1151" s="55">
        <f>N(L1151)+N(M1151)</f>
        <v/>
      </c>
      <c r="BW1151" s="55">
        <f>ROUNDUP(G1151/BN1151,0)</f>
        <v/>
      </c>
      <c r="BX1151" s="55">
        <f>ROUNDUP(BU1151/BN1151,0)</f>
        <v/>
      </c>
      <c r="BY1151" s="58">
        <f>IF(BO1151=1,0,IFERROR(VLOOKUP(BM1151,'Gebinde-Kategorie'!$A$5:$G$45,5,0)+0,0))</f>
        <v/>
      </c>
      <c r="BZ1151" s="58">
        <f>IFERROR(IF(OR(BQ1151=1,BQ1151=2,BQ1151=3),N(INDEX(Parameter!$I$5:$I$7,BQ1151)),0),0)</f>
        <v/>
      </c>
    </row>
    <row r="1152">
      <c r="A1152" s="53" t="inlineStr">
        <is>
          <t>107240</t>
        </is>
      </c>
      <c r="B1152" s="53" t="inlineStr">
        <is>
          <t>Abdeckung</t>
        </is>
      </c>
      <c r="C1152" s="53" t="inlineStr">
        <is>
          <t>F</t>
        </is>
      </c>
      <c r="D1152" s="53" t="inlineStr">
        <is>
          <t>KTL</t>
        </is>
      </c>
      <c r="E1152" s="53" t="inlineStr">
        <is>
          <t>C</t>
        </is>
      </c>
      <c r="F1152" s="54" t="n">
        <v>25.19</v>
      </c>
      <c r="G1152" s="55">
        <f>MAX(0,IF(Parameter!$B$20="Jahresanfang 2025 + Export",BG1152+BF1152,BF1152))</f>
        <v/>
      </c>
      <c r="H1152" s="55">
        <f>G1152*F1152</f>
        <v/>
      </c>
      <c r="I1152" s="55">
        <f>BI1152*Parameter!$B$18</f>
        <v/>
      </c>
      <c r="J1152" s="56" t="n">
        <v>12</v>
      </c>
      <c r="K1152" s="57" t="n">
        <v>0.8333333333333334</v>
      </c>
      <c r="L1152" s="55" t="n">
        <v>0</v>
      </c>
      <c r="M1152" s="55" t="n">
        <v>10</v>
      </c>
      <c r="N1152" s="58" t="n">
        <v>28</v>
      </c>
      <c r="O1152" s="53" t="inlineStr">
        <is>
          <t>S52</t>
        </is>
      </c>
      <c r="P1152" s="55" t="n">
        <v>34</v>
      </c>
      <c r="Q1152" s="59">
        <f>IF(BO1152=1,0,IFERROR(VLOOKUP(BM1152,'Gebinde-Kategorie'!$A$5:$G$45,6,0)+0,0))</f>
        <v/>
      </c>
      <c r="R1152" s="60" t="n"/>
      <c r="S1152" s="61" t="n"/>
      <c r="T1152" s="61" t="n"/>
      <c r="U1152" s="53">
        <f>IF(A1152="","",IF(IFERROR(VLOOKUP(D1152,Parameter!$A$35:$C$64,2,0),"Nein")="2+3",IF(ISNUMBER(SEARCH("grosser Artikel",BJ1152)),2,IFERROR(VLOOKUP(BM1152,Parameter!$F$35:$G$64,2,0),2)),IF(OR(IFERROR(VLOOKUP(D1152,Parameter!$A$35:$C$64,2,0),"Nein")="Nein",IFERROR(VLOOKUP(D1152,Parameter!$A$35:$C$64,2,0),"Nein")=""),"-",VLOOKUP(D1152,Parameter!$A$35:$C$64,2,0))))</f>
        <v/>
      </c>
      <c r="V1152" s="61" t="n"/>
      <c r="W1152" s="62" t="n"/>
      <c r="X1152" s="55">
        <f>AM1152</f>
        <v/>
      </c>
      <c r="Y1152" s="55">
        <f>MAX(AM1152,G1152)</f>
        <v/>
      </c>
      <c r="Z1152" s="63" t="n"/>
      <c r="AA1152" s="55">
        <f>IF(LEFT(Cockpit!$C$5,1)="A",G1152,IF(BT1152=1,BU1152,IF(LEFT(Cockpit!$C$5,1)="B",AE1152,MAX(AE1152,G1152))))</f>
        <v/>
      </c>
      <c r="AB1152" s="55">
        <f>IF(BO1152=1,0,ROUNDUP(AA1152/BN1152,0))</f>
        <v/>
      </c>
      <c r="AC1152" s="64">
        <f>IF(BO1152=1,IF(AA1152&lt;=0,0,BP1152*MAX(1,IF(G1152&gt;0,AA1152/G1152,1))),AB1152*Q1152)</f>
        <v/>
      </c>
      <c r="AD1152" s="55">
        <f>AA1152*F1152</f>
        <v/>
      </c>
      <c r="AE1152" s="55">
        <f>ROUNDUP(MAX(I1152/IF(BS1152&gt;0,BS1152,MAX(0.1,N(Cockpit!$C$6))),BV1152)/BN1152,0)*BN1152</f>
        <v/>
      </c>
      <c r="AF1152" s="56">
        <f>IF(AC1152&gt;0,I1152/AC1152,-1)</f>
        <v/>
      </c>
      <c r="AG1152" s="56">
        <f>IF(AND(OR(BR1152="L1",BR1152="L23"),AC1152&gt;0),SUMIFS($AC$7:$AC$1570,$BR$7:$BR$1570,BR1152,$AF$7:$AF$1570,"&gt;"&amp;AF1152)+SUMIFS($AC$7:$AC$1570,$BR$7:$BR$1570,BR1152,$AF$7:$AF$1570,AF1152,$BL$7:$BL$1570,"&lt;="&amp;BL1152),"")</f>
        <v/>
      </c>
      <c r="AH1152" s="65">
        <f>IF(AG1152="",0,MAX(0,MIN(1,(IF(BR1152="L1",Parameter!$K$5,Parameter!$K$6+Parameter!$K$7)-(AG1152-AC1152))/AC1152)))</f>
        <v/>
      </c>
      <c r="AI1152" s="55">
        <f>IF(LEFT(Cockpit!$I$5,1)="A",G1152,IF(BT1152=1,BU1152,IF(LEFT(Cockpit!$I$5,1)="B",AM1152,MAX(AM1152,G1152))))</f>
        <v/>
      </c>
      <c r="AJ1152" s="55">
        <f>IF(BO1152=1,0,ROUNDUP(AI1152/BN1152,0))</f>
        <v/>
      </c>
      <c r="AK1152" s="64">
        <f>IF(BO1152=1,IF(AI1152&lt;=0,0,BP1152*MAX(1,IF(G1152&gt;0,AI1152/G1152,1))),AJ1152*Q1152)</f>
        <v/>
      </c>
      <c r="AL1152" s="55">
        <f>AI1152*F1152</f>
        <v/>
      </c>
      <c r="AM1152" s="55">
        <f>ROUNDUP(MAX(I1152/IF(BS1152&gt;0,BS1152,MAX(0.1,N(Cockpit!$I$6))),BV1152)/BN1152,0)*BN1152</f>
        <v/>
      </c>
      <c r="AN1152" s="56">
        <f>IF(AK1152&gt;0,I1152/AK1152,-1)</f>
        <v/>
      </c>
      <c r="AO1152" s="56">
        <f>IF(AND(OR(BR1152="L1",BR1152="L23"),AK1152&gt;0),SUMIFS($AK$7:$AK$1570,$BR$7:$BR$1570,BR1152,$AN$7:$AN$1570,"&gt;"&amp;AN1152)+SUMIFS($AK$7:$AK$1570,$BR$7:$BR$1570,BR1152,$AN$7:$AN$1570,AN1152,$BL$7:$BL$1570,"&lt;="&amp;BL1152),"")</f>
        <v/>
      </c>
      <c r="AP1152" s="65">
        <f>IF(AO1152="",0,MAX(0,MIN(1,(IF(BR1152="L1",Parameter!$K$5,Parameter!$K$6+Parameter!$K$7)-(AO1152-AK1152))/AK1152)))</f>
        <v/>
      </c>
      <c r="AQ1152" s="55">
        <f>IF(LEFT(Cockpit!$O$5,1)="A",G1152,IF(BT1152=1,BU1152,IF(LEFT(Cockpit!$O$5,1)="B",AU1152,MAX(AU1152,G1152))))</f>
        <v/>
      </c>
      <c r="AR1152" s="55">
        <f>IF(BO1152=1,0,ROUNDUP(AQ1152/BN1152,0))</f>
        <v/>
      </c>
      <c r="AS1152" s="64">
        <f>IF(BO1152=1,IF(AQ1152&lt;=0,0,BP1152*MAX(1,IF(G1152&gt;0,AQ1152/G1152,1))),AR1152*Q1152)</f>
        <v/>
      </c>
      <c r="AT1152" s="55">
        <f>AQ1152*F1152</f>
        <v/>
      </c>
      <c r="AU1152" s="55">
        <f>ROUNDUP(MAX(I1152/IF(BS1152&gt;0,BS1152,MAX(0.1,N(Cockpit!$O$6))),BV1152)/BN1152,0)*BN1152</f>
        <v/>
      </c>
      <c r="AV1152" s="56">
        <f>IF(AS1152&gt;0,I1152/AS1152,-1)</f>
        <v/>
      </c>
      <c r="AW1152" s="56">
        <f>IF(AND(OR(BR1152="L1",BR1152="L23"),AS1152&gt;0),SUMIFS($AS$7:$AS$1570,$BR$7:$BR$1570,BR1152,$AV$7:$AV$1570,"&gt;"&amp;AV1152)+SUMIFS($AS$7:$AS$1570,$BR$7:$BR$1570,BR1152,$AV$7:$AV$1570,AV1152,$BL$7:$BL$1570,"&lt;="&amp;BL1152),"")</f>
        <v/>
      </c>
      <c r="AX1152" s="65">
        <f>IF(AW1152="",0,MAX(0,MIN(1,(IF(BR1152="L1",Parameter!$K$5,Parameter!$K$6+Parameter!$K$7)-(AW1152-AS1152))/AS1152)))</f>
        <v/>
      </c>
      <c r="AY1152" s="53">
        <f>IF(AC1152&lt;=0,"",IF(BR1152="Aussen","Aussenlager",IF(BR1152="-","Nicht im Lift",IF(AH1152&gt;=1,"Lift",IF(AH1152&lt;=0,"Aussenlager","teilweise")))))</f>
        <v/>
      </c>
      <c r="AZ1152" s="53">
        <f>IF(AK1152&lt;=0,"",IF(BR1152="Aussen","Aussenlager",IF(BR1152="-","Nicht im Lift",IF(AP1152&gt;=1,"Lift",IF(AP1152&lt;=0,"Aussenlager","teilweise")))))</f>
        <v/>
      </c>
      <c r="BA1152" s="53">
        <f>IF(AS1152&lt;=0,"",IF(BR1152="Aussen","Aussenlager",IF(BR1152="-","Nicht im Lift",IF(AX1152&gt;=1,"Lift",IF(AX1152&lt;=0,"Aussenlager","teilweise")))))</f>
        <v/>
      </c>
      <c r="BB1152" s="53">
        <f>IF(A1152="","",IF(BK1152=1,"Neu; ","")&amp;IF(AND(BK1152=0,BF1152&lt;0),"negativer Bestand (Export "&amp;BF1152&amp;"); ","")&amp;IF(I1152&lt;=0,"Kein Verbrauch; ","")&amp;IF(BO1152=1,"Lose – Fläche geschätzt; ","")&amp;IF(G1152&gt;AM1152,"Überbestand "&amp;ROUND(G1152-AM1152,0)&amp;" Stk / CHF "&amp;ROUND((G1152-AM1152)*F1152,0)&amp;"; ","")&amp;IF(AND(BT1152=1,BU1152&lt;BV1152),"MAX &lt; MB+LG; ","")&amp;IF(AND(BZ1152&gt;0,BY1152*10&gt;BZ1152),"zu hoch für Tablar; ","")&amp;IF(AND(BK1152=0,OR(BT1152=1,V1152&lt;&gt;"",S1152&lt;&gt;"",T1152&lt;&gt;"",W1152&lt;&gt;"")),"manuell übersteuert; ","")&amp;IF(AND(BO1152=0,Q1152=0),"Gebinde unbekannt; ","")&amp;IF(AND(BO1152=0,N(T1152)&lt;=0,N(P1152)&lt;=0),"Menge pro Gebinde fehlt (Ist = 1 Gebinde); ","")&amp;BJ1152)</f>
        <v/>
      </c>
      <c r="BC1152" s="53" t="n"/>
      <c r="BD1152" s="53" t="n"/>
      <c r="BE1152" s="61" t="n"/>
      <c r="BF1152" s="55" t="n">
        <v>-10</v>
      </c>
      <c r="BG1152" s="55" t="n">
        <v>16</v>
      </c>
      <c r="BH1152" s="54" t="n">
        <v>-310.46</v>
      </c>
      <c r="BI1152" s="55" t="n">
        <v>10</v>
      </c>
      <c r="BJ1152" s="53" t="inlineStr">
        <is>
          <t>Neu</t>
        </is>
      </c>
      <c r="BK1152" s="58" t="n">
        <v>0</v>
      </c>
      <c r="BL1152" s="58" t="n">
        <v>1152</v>
      </c>
      <c r="BM1152" s="53">
        <f>IF(S1152&lt;&gt;"",UPPER(TRIM(S1152)),IF(O1152="","LOSE",O1152))</f>
        <v/>
      </c>
      <c r="BN1152" s="55">
        <f>IF(BM1152="LOSE",1,IF(N(T1152)&gt;0,T1152,IF(N(P1152)&gt;0,P1152,MAX(1,G1152))))</f>
        <v/>
      </c>
      <c r="BO1152" s="58">
        <f>IF(BM1152="LOSE",1,0)</f>
        <v/>
      </c>
      <c r="BP1152" s="64">
        <f>IF(BO1152=0,0,IF(N(R1152)&gt;0,R1152,IFERROR(VLOOKUP(D1152,Parameter!$A$35:$C$64,3,0)+0,0)))</f>
        <v/>
      </c>
      <c r="BQ1152" s="53">
        <f>IF(V1152&lt;&gt;"",V1152,U1152)</f>
        <v/>
      </c>
      <c r="BR1152" s="53">
        <f>IF(BQ1152=1,"L1",IF(OR(BQ1152=2,BQ1152=3),"L23",IF(BQ1152="Aussen","Aussen","-")))</f>
        <v/>
      </c>
      <c r="BS1152" s="66">
        <f>IF(N(W1152)&gt;0,W1152,0)</f>
        <v/>
      </c>
      <c r="BT1152" s="58">
        <f>IF(ISNUMBER(Z1152),1,0)</f>
        <v/>
      </c>
      <c r="BU1152" s="55">
        <f>N(Z1152)</f>
        <v/>
      </c>
      <c r="BV1152" s="55">
        <f>N(L1152)+N(M1152)</f>
        <v/>
      </c>
      <c r="BW1152" s="55">
        <f>ROUNDUP(G1152/BN1152,0)</f>
        <v/>
      </c>
      <c r="BX1152" s="55">
        <f>ROUNDUP(BU1152/BN1152,0)</f>
        <v/>
      </c>
      <c r="BY1152" s="58">
        <f>IF(BO1152=1,0,IFERROR(VLOOKUP(BM1152,'Gebinde-Kategorie'!$A$5:$G$45,5,0)+0,0))</f>
        <v/>
      </c>
      <c r="BZ1152" s="58">
        <f>IFERROR(IF(OR(BQ1152=1,BQ1152=2,BQ1152=3),N(INDEX(Parameter!$I$5:$I$7,BQ1152)),0),0)</f>
        <v/>
      </c>
    </row>
    <row r="1153">
      <c r="A1153" s="53" t="inlineStr">
        <is>
          <t>108647</t>
        </is>
      </c>
      <c r="B1153" s="53" t="inlineStr">
        <is>
          <t>Temperatursensor LKE</t>
        </is>
      </c>
      <c r="C1153" s="53" t="inlineStr">
        <is>
          <t>F</t>
        </is>
      </c>
      <c r="D1153" s="53" t="inlineStr">
        <is>
          <t>KTL</t>
        </is>
      </c>
      <c r="E1153" s="53" t="inlineStr">
        <is>
          <t>C</t>
        </is>
      </c>
      <c r="F1153" s="54" t="n">
        <v>62.19</v>
      </c>
      <c r="G1153" s="55">
        <f>MAX(0,IF(Parameter!$B$20="Jahresanfang 2025 + Export",BG1153+BF1153,BF1153))</f>
        <v/>
      </c>
      <c r="H1153" s="55">
        <f>G1153*F1153</f>
        <v/>
      </c>
      <c r="I1153" s="55">
        <f>BI1153*Parameter!$B$18</f>
        <v/>
      </c>
      <c r="J1153" s="56" t="n">
        <v>9</v>
      </c>
      <c r="K1153" s="57" t="n">
        <v>0.2222222222222222</v>
      </c>
      <c r="L1153" s="55" t="n">
        <v>0</v>
      </c>
      <c r="M1153" s="55" t="n">
        <v>1</v>
      </c>
      <c r="N1153" s="58" t="n">
        <v>21</v>
      </c>
      <c r="O1153" s="53" t="inlineStr">
        <is>
          <t>S33</t>
        </is>
      </c>
      <c r="P1153" s="55" t="n">
        <v>8</v>
      </c>
      <c r="Q1153" s="59">
        <f>IF(BO1153=1,0,IFERROR(VLOOKUP(BM1153,'Gebinde-Kategorie'!$A$5:$G$45,6,0)+0,0))</f>
        <v/>
      </c>
      <c r="R1153" s="60" t="n"/>
      <c r="S1153" s="61" t="n"/>
      <c r="T1153" s="61" t="n"/>
      <c r="U1153" s="53">
        <f>IF(A1153="","",IF(IFERROR(VLOOKUP(D1153,Parameter!$A$35:$C$64,2,0),"Nein")="2+3",IF(ISNUMBER(SEARCH("grosser Artikel",BJ1153)),2,IFERROR(VLOOKUP(BM1153,Parameter!$F$35:$G$64,2,0),2)),IF(OR(IFERROR(VLOOKUP(D1153,Parameter!$A$35:$C$64,2,0),"Nein")="Nein",IFERROR(VLOOKUP(D1153,Parameter!$A$35:$C$64,2,0),"Nein")=""),"-",VLOOKUP(D1153,Parameter!$A$35:$C$64,2,0))))</f>
        <v/>
      </c>
      <c r="V1153" s="61" t="n"/>
      <c r="W1153" s="62" t="n"/>
      <c r="X1153" s="55">
        <f>AM1153</f>
        <v/>
      </c>
      <c r="Y1153" s="55">
        <f>MAX(AM1153,G1153)</f>
        <v/>
      </c>
      <c r="Z1153" s="63" t="n"/>
      <c r="AA1153" s="55">
        <f>IF(LEFT(Cockpit!$C$5,1)="A",G1153,IF(BT1153=1,BU1153,IF(LEFT(Cockpit!$C$5,1)="B",AE1153,MAX(AE1153,G1153))))</f>
        <v/>
      </c>
      <c r="AB1153" s="55">
        <f>IF(BO1153=1,0,ROUNDUP(AA1153/BN1153,0))</f>
        <v/>
      </c>
      <c r="AC1153" s="64">
        <f>IF(BO1153=1,IF(AA1153&lt;=0,0,BP1153*MAX(1,IF(G1153&gt;0,AA1153/G1153,1))),AB1153*Q1153)</f>
        <v/>
      </c>
      <c r="AD1153" s="55">
        <f>AA1153*F1153</f>
        <v/>
      </c>
      <c r="AE1153" s="55">
        <f>ROUNDUP(MAX(I1153/IF(BS1153&gt;0,BS1153,MAX(0.1,N(Cockpit!$C$6))),BV1153)/BN1153,0)*BN1153</f>
        <v/>
      </c>
      <c r="AF1153" s="56">
        <f>IF(AC1153&gt;0,I1153/AC1153,-1)</f>
        <v/>
      </c>
      <c r="AG1153" s="56">
        <f>IF(AND(OR(BR1153="L1",BR1153="L23"),AC1153&gt;0),SUMIFS($AC$7:$AC$1570,$BR$7:$BR$1570,BR1153,$AF$7:$AF$1570,"&gt;"&amp;AF1153)+SUMIFS($AC$7:$AC$1570,$BR$7:$BR$1570,BR1153,$AF$7:$AF$1570,AF1153,$BL$7:$BL$1570,"&lt;="&amp;BL1153),"")</f>
        <v/>
      </c>
      <c r="AH1153" s="65">
        <f>IF(AG1153="",0,MAX(0,MIN(1,(IF(BR1153="L1",Parameter!$K$5,Parameter!$K$6+Parameter!$K$7)-(AG1153-AC1153))/AC1153)))</f>
        <v/>
      </c>
      <c r="AI1153" s="55">
        <f>IF(LEFT(Cockpit!$I$5,1)="A",G1153,IF(BT1153=1,BU1153,IF(LEFT(Cockpit!$I$5,1)="B",AM1153,MAX(AM1153,G1153))))</f>
        <v/>
      </c>
      <c r="AJ1153" s="55">
        <f>IF(BO1153=1,0,ROUNDUP(AI1153/BN1153,0))</f>
        <v/>
      </c>
      <c r="AK1153" s="64">
        <f>IF(BO1153=1,IF(AI1153&lt;=0,0,BP1153*MAX(1,IF(G1153&gt;0,AI1153/G1153,1))),AJ1153*Q1153)</f>
        <v/>
      </c>
      <c r="AL1153" s="55">
        <f>AI1153*F1153</f>
        <v/>
      </c>
      <c r="AM1153" s="55">
        <f>ROUNDUP(MAX(I1153/IF(BS1153&gt;0,BS1153,MAX(0.1,N(Cockpit!$I$6))),BV1153)/BN1153,0)*BN1153</f>
        <v/>
      </c>
      <c r="AN1153" s="56">
        <f>IF(AK1153&gt;0,I1153/AK1153,-1)</f>
        <v/>
      </c>
      <c r="AO1153" s="56">
        <f>IF(AND(OR(BR1153="L1",BR1153="L23"),AK1153&gt;0),SUMIFS($AK$7:$AK$1570,$BR$7:$BR$1570,BR1153,$AN$7:$AN$1570,"&gt;"&amp;AN1153)+SUMIFS($AK$7:$AK$1570,$BR$7:$BR$1570,BR1153,$AN$7:$AN$1570,AN1153,$BL$7:$BL$1570,"&lt;="&amp;BL1153),"")</f>
        <v/>
      </c>
      <c r="AP1153" s="65">
        <f>IF(AO1153="",0,MAX(0,MIN(1,(IF(BR1153="L1",Parameter!$K$5,Parameter!$K$6+Parameter!$K$7)-(AO1153-AK1153))/AK1153)))</f>
        <v/>
      </c>
      <c r="AQ1153" s="55">
        <f>IF(LEFT(Cockpit!$O$5,1)="A",G1153,IF(BT1153=1,BU1153,IF(LEFT(Cockpit!$O$5,1)="B",AU1153,MAX(AU1153,G1153))))</f>
        <v/>
      </c>
      <c r="AR1153" s="55">
        <f>IF(BO1153=1,0,ROUNDUP(AQ1153/BN1153,0))</f>
        <v/>
      </c>
      <c r="AS1153" s="64">
        <f>IF(BO1153=1,IF(AQ1153&lt;=0,0,BP1153*MAX(1,IF(G1153&gt;0,AQ1153/G1153,1))),AR1153*Q1153)</f>
        <v/>
      </c>
      <c r="AT1153" s="55">
        <f>AQ1153*F1153</f>
        <v/>
      </c>
      <c r="AU1153" s="55">
        <f>ROUNDUP(MAX(I1153/IF(BS1153&gt;0,BS1153,MAX(0.1,N(Cockpit!$O$6))),BV1153)/BN1153,0)*BN1153</f>
        <v/>
      </c>
      <c r="AV1153" s="56">
        <f>IF(AS1153&gt;0,I1153/AS1153,-1)</f>
        <v/>
      </c>
      <c r="AW1153" s="56">
        <f>IF(AND(OR(BR1153="L1",BR1153="L23"),AS1153&gt;0),SUMIFS($AS$7:$AS$1570,$BR$7:$BR$1570,BR1153,$AV$7:$AV$1570,"&gt;"&amp;AV1153)+SUMIFS($AS$7:$AS$1570,$BR$7:$BR$1570,BR1153,$AV$7:$AV$1570,AV1153,$BL$7:$BL$1570,"&lt;="&amp;BL1153),"")</f>
        <v/>
      </c>
      <c r="AX1153" s="65">
        <f>IF(AW1153="",0,MAX(0,MIN(1,(IF(BR1153="L1",Parameter!$K$5,Parameter!$K$6+Parameter!$K$7)-(AW1153-AS1153))/AS1153)))</f>
        <v/>
      </c>
      <c r="AY1153" s="53">
        <f>IF(AC1153&lt;=0,"",IF(BR1153="Aussen","Aussenlager",IF(BR1153="-","Nicht im Lift",IF(AH1153&gt;=1,"Lift",IF(AH1153&lt;=0,"Aussenlager","teilweise")))))</f>
        <v/>
      </c>
      <c r="AZ1153" s="53">
        <f>IF(AK1153&lt;=0,"",IF(BR1153="Aussen","Aussenlager",IF(BR1153="-","Nicht im Lift",IF(AP1153&gt;=1,"Lift",IF(AP1153&lt;=0,"Aussenlager","teilweise")))))</f>
        <v/>
      </c>
      <c r="BA1153" s="53">
        <f>IF(AS1153&lt;=0,"",IF(BR1153="Aussen","Aussenlager",IF(BR1153="-","Nicht im Lift",IF(AX1153&gt;=1,"Lift",IF(AX1153&lt;=0,"Aussenlager","teilweise")))))</f>
        <v/>
      </c>
      <c r="BB1153" s="53">
        <f>IF(A1153="","",IF(BK1153=1,"Neu; ","")&amp;IF(AND(BK1153=0,BF1153&lt;0),"negativer Bestand (Export "&amp;BF1153&amp;"); ","")&amp;IF(I1153&lt;=0,"Kein Verbrauch; ","")&amp;IF(BO1153=1,"Lose – Fläche geschätzt; ","")&amp;IF(G1153&gt;AM1153,"Überbestand "&amp;ROUND(G1153-AM1153,0)&amp;" Stk / CHF "&amp;ROUND((G1153-AM1153)*F1153,0)&amp;"; ","")&amp;IF(AND(BT1153=1,BU1153&lt;BV1153),"MAX &lt; MB+LG; ","")&amp;IF(AND(BZ1153&gt;0,BY1153*10&gt;BZ1153),"zu hoch für Tablar; ","")&amp;IF(AND(BK1153=0,OR(BT1153=1,V1153&lt;&gt;"",S1153&lt;&gt;"",T1153&lt;&gt;"",W1153&lt;&gt;"")),"manuell übersteuert; ","")&amp;IF(AND(BO1153=0,Q1153=0),"Gebinde unbekannt; ","")&amp;IF(AND(BO1153=0,N(T1153)&lt;=0,N(P1153)&lt;=0),"Menge pro Gebinde fehlt (Ist = 1 Gebinde); ","")&amp;BJ1153)</f>
        <v/>
      </c>
      <c r="BC1153" s="53" t="n"/>
      <c r="BD1153" s="53" t="n"/>
      <c r="BE1153" s="61" t="n"/>
      <c r="BF1153" s="55" t="n">
        <v>-5</v>
      </c>
      <c r="BG1153" s="55" t="n">
        <v>10</v>
      </c>
      <c r="BH1153" s="54" t="n">
        <v>-310.95</v>
      </c>
      <c r="BI1153" s="55" t="n">
        <v>2</v>
      </c>
      <c r="BJ1153" s="53" t="inlineStr">
        <is>
          <t>Neu</t>
        </is>
      </c>
      <c r="BK1153" s="58" t="n">
        <v>0</v>
      </c>
      <c r="BL1153" s="58" t="n">
        <v>1153</v>
      </c>
      <c r="BM1153" s="53">
        <f>IF(S1153&lt;&gt;"",UPPER(TRIM(S1153)),IF(O1153="","LOSE",O1153))</f>
        <v/>
      </c>
      <c r="BN1153" s="55">
        <f>IF(BM1153="LOSE",1,IF(N(T1153)&gt;0,T1153,IF(N(P1153)&gt;0,P1153,MAX(1,G1153))))</f>
        <v/>
      </c>
      <c r="BO1153" s="58">
        <f>IF(BM1153="LOSE",1,0)</f>
        <v/>
      </c>
      <c r="BP1153" s="64">
        <f>IF(BO1153=0,0,IF(N(R1153)&gt;0,R1153,IFERROR(VLOOKUP(D1153,Parameter!$A$35:$C$64,3,0)+0,0)))</f>
        <v/>
      </c>
      <c r="BQ1153" s="53">
        <f>IF(V1153&lt;&gt;"",V1153,U1153)</f>
        <v/>
      </c>
      <c r="BR1153" s="53">
        <f>IF(BQ1153=1,"L1",IF(OR(BQ1153=2,BQ1153=3),"L23",IF(BQ1153="Aussen","Aussen","-")))</f>
        <v/>
      </c>
      <c r="BS1153" s="66">
        <f>IF(N(W1153)&gt;0,W1153,0)</f>
        <v/>
      </c>
      <c r="BT1153" s="58">
        <f>IF(ISNUMBER(Z1153),1,0)</f>
        <v/>
      </c>
      <c r="BU1153" s="55">
        <f>N(Z1153)</f>
        <v/>
      </c>
      <c r="BV1153" s="55">
        <f>N(L1153)+N(M1153)</f>
        <v/>
      </c>
      <c r="BW1153" s="55">
        <f>ROUNDUP(G1153/BN1153,0)</f>
        <v/>
      </c>
      <c r="BX1153" s="55">
        <f>ROUNDUP(BU1153/BN1153,0)</f>
        <v/>
      </c>
      <c r="BY1153" s="58">
        <f>IF(BO1153=1,0,IFERROR(VLOOKUP(BM1153,'Gebinde-Kategorie'!$A$5:$G$45,5,0)+0,0))</f>
        <v/>
      </c>
      <c r="BZ1153" s="58">
        <f>IFERROR(IF(OR(BQ1153=1,BQ1153=2,BQ1153=3),N(INDEX(Parameter!$I$5:$I$7,BQ1153)),0),0)</f>
        <v/>
      </c>
    </row>
    <row r="1154">
      <c r="A1154" s="53" t="inlineStr">
        <is>
          <t>005355</t>
        </is>
      </c>
      <c r="B1154" s="53" t="inlineStr">
        <is>
          <t>Brauchgasventil</t>
        </is>
      </c>
      <c r="C1154" s="53" t="inlineStr">
        <is>
          <t>F</t>
        </is>
      </c>
      <c r="D1154" s="53" t="inlineStr">
        <is>
          <t>KTL</t>
        </is>
      </c>
      <c r="E1154" s="53" t="inlineStr">
        <is>
          <t>C</t>
        </is>
      </c>
      <c r="F1154" s="54" t="n">
        <v>166.8</v>
      </c>
      <c r="G1154" s="55">
        <f>MAX(0,IF(Parameter!$B$20="Jahresanfang 2025 + Export",BG1154+BF1154,BF1154))</f>
        <v/>
      </c>
      <c r="H1154" s="55">
        <f>G1154*F1154</f>
        <v/>
      </c>
      <c r="I1154" s="55">
        <f>BI1154*Parameter!$B$18</f>
        <v/>
      </c>
      <c r="J1154" s="56" t="n">
        <v>3</v>
      </c>
      <c r="K1154" s="57" t="n">
        <v>1</v>
      </c>
      <c r="L1154" s="55" t="n">
        <v>0</v>
      </c>
      <c r="M1154" s="55" t="n">
        <v>5</v>
      </c>
      <c r="N1154" s="58" t="n">
        <v>28</v>
      </c>
      <c r="O1154" s="53" t="inlineStr">
        <is>
          <t>S32</t>
        </is>
      </c>
      <c r="P1154" s="55" t="n">
        <v>5</v>
      </c>
      <c r="Q1154" s="59">
        <f>IF(BO1154=1,0,IFERROR(VLOOKUP(BM1154,'Gebinde-Kategorie'!$A$5:$G$45,6,0)+0,0))</f>
        <v/>
      </c>
      <c r="R1154" s="60" t="n"/>
      <c r="S1154" s="61" t="n"/>
      <c r="T1154" s="61" t="n"/>
      <c r="U1154" s="53">
        <f>IF(A1154="","",IF(IFERROR(VLOOKUP(D1154,Parameter!$A$35:$C$64,2,0),"Nein")="2+3",IF(ISNUMBER(SEARCH("grosser Artikel",BJ1154)),2,IFERROR(VLOOKUP(BM1154,Parameter!$F$35:$G$64,2,0),2)),IF(OR(IFERROR(VLOOKUP(D1154,Parameter!$A$35:$C$64,2,0),"Nein")="Nein",IFERROR(VLOOKUP(D1154,Parameter!$A$35:$C$64,2,0),"Nein")=""),"-",VLOOKUP(D1154,Parameter!$A$35:$C$64,2,0))))</f>
        <v/>
      </c>
      <c r="V1154" s="61" t="n"/>
      <c r="W1154" s="62" t="n"/>
      <c r="X1154" s="55">
        <f>AM1154</f>
        <v/>
      </c>
      <c r="Y1154" s="55">
        <f>MAX(AM1154,G1154)</f>
        <v/>
      </c>
      <c r="Z1154" s="63" t="n"/>
      <c r="AA1154" s="55">
        <f>IF(LEFT(Cockpit!$C$5,1)="A",G1154,IF(BT1154=1,BU1154,IF(LEFT(Cockpit!$C$5,1)="B",AE1154,MAX(AE1154,G1154))))</f>
        <v/>
      </c>
      <c r="AB1154" s="55">
        <f>IF(BO1154=1,0,ROUNDUP(AA1154/BN1154,0))</f>
        <v/>
      </c>
      <c r="AC1154" s="64">
        <f>IF(BO1154=1,IF(AA1154&lt;=0,0,BP1154*MAX(1,IF(G1154&gt;0,AA1154/G1154,1))),AB1154*Q1154)</f>
        <v/>
      </c>
      <c r="AD1154" s="55">
        <f>AA1154*F1154</f>
        <v/>
      </c>
      <c r="AE1154" s="55">
        <f>ROUNDUP(MAX(I1154/IF(BS1154&gt;0,BS1154,MAX(0.1,N(Cockpit!$C$6))),BV1154)/BN1154,0)*BN1154</f>
        <v/>
      </c>
      <c r="AF1154" s="56">
        <f>IF(AC1154&gt;0,I1154/AC1154,-1)</f>
        <v/>
      </c>
      <c r="AG1154" s="56">
        <f>IF(AND(OR(BR1154="L1",BR1154="L23"),AC1154&gt;0),SUMIFS($AC$7:$AC$1570,$BR$7:$BR$1570,BR1154,$AF$7:$AF$1570,"&gt;"&amp;AF1154)+SUMIFS($AC$7:$AC$1570,$BR$7:$BR$1570,BR1154,$AF$7:$AF$1570,AF1154,$BL$7:$BL$1570,"&lt;="&amp;BL1154),"")</f>
        <v/>
      </c>
      <c r="AH1154" s="65">
        <f>IF(AG1154="",0,MAX(0,MIN(1,(IF(BR1154="L1",Parameter!$K$5,Parameter!$K$6+Parameter!$K$7)-(AG1154-AC1154))/AC1154)))</f>
        <v/>
      </c>
      <c r="AI1154" s="55">
        <f>IF(LEFT(Cockpit!$I$5,1)="A",G1154,IF(BT1154=1,BU1154,IF(LEFT(Cockpit!$I$5,1)="B",AM1154,MAX(AM1154,G1154))))</f>
        <v/>
      </c>
      <c r="AJ1154" s="55">
        <f>IF(BO1154=1,0,ROUNDUP(AI1154/BN1154,0))</f>
        <v/>
      </c>
      <c r="AK1154" s="64">
        <f>IF(BO1154=1,IF(AI1154&lt;=0,0,BP1154*MAX(1,IF(G1154&gt;0,AI1154/G1154,1))),AJ1154*Q1154)</f>
        <v/>
      </c>
      <c r="AL1154" s="55">
        <f>AI1154*F1154</f>
        <v/>
      </c>
      <c r="AM1154" s="55">
        <f>ROUNDUP(MAX(I1154/IF(BS1154&gt;0,BS1154,MAX(0.1,N(Cockpit!$I$6))),BV1154)/BN1154,0)*BN1154</f>
        <v/>
      </c>
      <c r="AN1154" s="56">
        <f>IF(AK1154&gt;0,I1154/AK1154,-1)</f>
        <v/>
      </c>
      <c r="AO1154" s="56">
        <f>IF(AND(OR(BR1154="L1",BR1154="L23"),AK1154&gt;0),SUMIFS($AK$7:$AK$1570,$BR$7:$BR$1570,BR1154,$AN$7:$AN$1570,"&gt;"&amp;AN1154)+SUMIFS($AK$7:$AK$1570,$BR$7:$BR$1570,BR1154,$AN$7:$AN$1570,AN1154,$BL$7:$BL$1570,"&lt;="&amp;BL1154),"")</f>
        <v/>
      </c>
      <c r="AP1154" s="65">
        <f>IF(AO1154="",0,MAX(0,MIN(1,(IF(BR1154="L1",Parameter!$K$5,Parameter!$K$6+Parameter!$K$7)-(AO1154-AK1154))/AK1154)))</f>
        <v/>
      </c>
      <c r="AQ1154" s="55">
        <f>IF(LEFT(Cockpit!$O$5,1)="A",G1154,IF(BT1154=1,BU1154,IF(LEFT(Cockpit!$O$5,1)="B",AU1154,MAX(AU1154,G1154))))</f>
        <v/>
      </c>
      <c r="AR1154" s="55">
        <f>IF(BO1154=1,0,ROUNDUP(AQ1154/BN1154,0))</f>
        <v/>
      </c>
      <c r="AS1154" s="64">
        <f>IF(BO1154=1,IF(AQ1154&lt;=0,0,BP1154*MAX(1,IF(G1154&gt;0,AQ1154/G1154,1))),AR1154*Q1154)</f>
        <v/>
      </c>
      <c r="AT1154" s="55">
        <f>AQ1154*F1154</f>
        <v/>
      </c>
      <c r="AU1154" s="55">
        <f>ROUNDUP(MAX(I1154/IF(BS1154&gt;0,BS1154,MAX(0.1,N(Cockpit!$O$6))),BV1154)/BN1154,0)*BN1154</f>
        <v/>
      </c>
      <c r="AV1154" s="56">
        <f>IF(AS1154&gt;0,I1154/AS1154,-1)</f>
        <v/>
      </c>
      <c r="AW1154" s="56">
        <f>IF(AND(OR(BR1154="L1",BR1154="L23"),AS1154&gt;0),SUMIFS($AS$7:$AS$1570,$BR$7:$BR$1570,BR1154,$AV$7:$AV$1570,"&gt;"&amp;AV1154)+SUMIFS($AS$7:$AS$1570,$BR$7:$BR$1570,BR1154,$AV$7:$AV$1570,AV1154,$BL$7:$BL$1570,"&lt;="&amp;BL1154),"")</f>
        <v/>
      </c>
      <c r="AX1154" s="65">
        <f>IF(AW1154="",0,MAX(0,MIN(1,(IF(BR1154="L1",Parameter!$K$5,Parameter!$K$6+Parameter!$K$7)-(AW1154-AS1154))/AS1154)))</f>
        <v/>
      </c>
      <c r="AY1154" s="53">
        <f>IF(AC1154&lt;=0,"",IF(BR1154="Aussen","Aussenlager",IF(BR1154="-","Nicht im Lift",IF(AH1154&gt;=1,"Lift",IF(AH1154&lt;=0,"Aussenlager","teilweise")))))</f>
        <v/>
      </c>
      <c r="AZ1154" s="53">
        <f>IF(AK1154&lt;=0,"",IF(BR1154="Aussen","Aussenlager",IF(BR1154="-","Nicht im Lift",IF(AP1154&gt;=1,"Lift",IF(AP1154&lt;=0,"Aussenlager","teilweise")))))</f>
        <v/>
      </c>
      <c r="BA1154" s="53">
        <f>IF(AS1154&lt;=0,"",IF(BR1154="Aussen","Aussenlager",IF(BR1154="-","Nicht im Lift",IF(AX1154&gt;=1,"Lift",IF(AX1154&lt;=0,"Aussenlager","teilweise")))))</f>
        <v/>
      </c>
      <c r="BB1154" s="53">
        <f>IF(A1154="","",IF(BK1154=1,"Neu; ","")&amp;IF(AND(BK1154=0,BF1154&lt;0),"negativer Bestand (Export "&amp;BF1154&amp;"); ","")&amp;IF(I1154&lt;=0,"Kein Verbrauch; ","")&amp;IF(BO1154=1,"Lose – Fläche geschätzt; ","")&amp;IF(G1154&gt;AM1154,"Überbestand "&amp;ROUND(G1154-AM1154,0)&amp;" Stk / CHF "&amp;ROUND((G1154-AM1154)*F1154,0)&amp;"; ","")&amp;IF(AND(BT1154=1,BU1154&lt;BV1154),"MAX &lt; MB+LG; ","")&amp;IF(AND(BZ1154&gt;0,BY1154*10&gt;BZ1154),"zu hoch für Tablar; ","")&amp;IF(AND(BK1154=0,OR(BT1154=1,V1154&lt;&gt;"",S1154&lt;&gt;"",T1154&lt;&gt;"",W1154&lt;&gt;"")),"manuell übersteuert; ","")&amp;IF(AND(BO1154=0,Q1154=0),"Gebinde unbekannt; ","")&amp;IF(AND(BO1154=0,N(T1154)&lt;=0,N(P1154)&lt;=0),"Menge pro Gebinde fehlt (Ist = 1 Gebinde); ","")&amp;BJ1154)</f>
        <v/>
      </c>
      <c r="BC1154" s="53" t="n"/>
      <c r="BD1154" s="53" t="n"/>
      <c r="BE1154" s="61" t="n"/>
      <c r="BF1154" s="55" t="n">
        <v>-2</v>
      </c>
      <c r="BG1154" s="55" t="n">
        <v>4</v>
      </c>
      <c r="BH1154" s="54" t="n">
        <v>-314.4</v>
      </c>
      <c r="BI1154" s="55" t="n">
        <v>3</v>
      </c>
      <c r="BJ1154" s="53" t="inlineStr">
        <is>
          <t>Überbestand</t>
        </is>
      </c>
      <c r="BK1154" s="58" t="n">
        <v>0</v>
      </c>
      <c r="BL1154" s="58" t="n">
        <v>1154</v>
      </c>
      <c r="BM1154" s="53">
        <f>IF(S1154&lt;&gt;"",UPPER(TRIM(S1154)),IF(O1154="","LOSE",O1154))</f>
        <v/>
      </c>
      <c r="BN1154" s="55">
        <f>IF(BM1154="LOSE",1,IF(N(T1154)&gt;0,T1154,IF(N(P1154)&gt;0,P1154,MAX(1,G1154))))</f>
        <v/>
      </c>
      <c r="BO1154" s="58">
        <f>IF(BM1154="LOSE",1,0)</f>
        <v/>
      </c>
      <c r="BP1154" s="64">
        <f>IF(BO1154=0,0,IF(N(R1154)&gt;0,R1154,IFERROR(VLOOKUP(D1154,Parameter!$A$35:$C$64,3,0)+0,0)))</f>
        <v/>
      </c>
      <c r="BQ1154" s="53">
        <f>IF(V1154&lt;&gt;"",V1154,U1154)</f>
        <v/>
      </c>
      <c r="BR1154" s="53">
        <f>IF(BQ1154=1,"L1",IF(OR(BQ1154=2,BQ1154=3),"L23",IF(BQ1154="Aussen","Aussen","-")))</f>
        <v/>
      </c>
      <c r="BS1154" s="66">
        <f>IF(N(W1154)&gt;0,W1154,0)</f>
        <v/>
      </c>
      <c r="BT1154" s="58">
        <f>IF(ISNUMBER(Z1154),1,0)</f>
        <v/>
      </c>
      <c r="BU1154" s="55">
        <f>N(Z1154)</f>
        <v/>
      </c>
      <c r="BV1154" s="55">
        <f>N(L1154)+N(M1154)</f>
        <v/>
      </c>
      <c r="BW1154" s="55">
        <f>ROUNDUP(G1154/BN1154,0)</f>
        <v/>
      </c>
      <c r="BX1154" s="55">
        <f>ROUNDUP(BU1154/BN1154,0)</f>
        <v/>
      </c>
      <c r="BY1154" s="58">
        <f>IF(BO1154=1,0,IFERROR(VLOOKUP(BM1154,'Gebinde-Kategorie'!$A$5:$G$45,5,0)+0,0))</f>
        <v/>
      </c>
      <c r="BZ1154" s="58">
        <f>IFERROR(IF(OR(BQ1154=1,BQ1154=2,BQ1154=3),N(INDEX(Parameter!$I$5:$I$7,BQ1154)),0),0)</f>
        <v/>
      </c>
    </row>
    <row r="1155">
      <c r="A1155" s="53" t="inlineStr">
        <is>
          <t>104305</t>
        </is>
      </c>
      <c r="B1155" s="53" t="inlineStr">
        <is>
          <t>Bügelschloss</t>
        </is>
      </c>
      <c r="C1155" s="53" t="inlineStr">
        <is>
          <t>F</t>
        </is>
      </c>
      <c r="D1155" s="53" t="inlineStr">
        <is>
          <t>KTL</t>
        </is>
      </c>
      <c r="E1155" s="53" t="inlineStr">
        <is>
          <t>C</t>
        </is>
      </c>
      <c r="F1155" s="54" t="n">
        <v>28.61</v>
      </c>
      <c r="G1155" s="55">
        <f>MAX(0,IF(Parameter!$B$20="Jahresanfang 2025 + Export",BG1155+BF1155,BF1155))</f>
        <v/>
      </c>
      <c r="H1155" s="55">
        <f>G1155*F1155</f>
        <v/>
      </c>
      <c r="I1155" s="55">
        <f>BI1155*Parameter!$B$18</f>
        <v/>
      </c>
      <c r="J1155" s="56" t="n">
        <v>36.5</v>
      </c>
      <c r="K1155" s="57" t="n">
        <v>0</v>
      </c>
      <c r="L1155" s="55" t="n">
        <v>0</v>
      </c>
      <c r="M1155" s="55" t="n">
        <v>1</v>
      </c>
      <c r="N1155" s="58" t="n">
        <v>42</v>
      </c>
      <c r="O1155" s="53" t="inlineStr">
        <is>
          <t>S41</t>
        </is>
      </c>
      <c r="P1155" s="55" t="n">
        <v>52</v>
      </c>
      <c r="Q1155" s="59">
        <f>IF(BO1155=1,0,IFERROR(VLOOKUP(BM1155,'Gebinde-Kategorie'!$A$5:$G$45,6,0)+0,0))</f>
        <v/>
      </c>
      <c r="R1155" s="60" t="n"/>
      <c r="S1155" s="61" t="n"/>
      <c r="T1155" s="61" t="n"/>
      <c r="U1155" s="53">
        <f>IF(A1155="","",IF(IFERROR(VLOOKUP(D1155,Parameter!$A$35:$C$64,2,0),"Nein")="2+3",IF(ISNUMBER(SEARCH("grosser Artikel",BJ1155)),2,IFERROR(VLOOKUP(BM1155,Parameter!$F$35:$G$64,2,0),2)),IF(OR(IFERROR(VLOOKUP(D1155,Parameter!$A$35:$C$64,2,0),"Nein")="Nein",IFERROR(VLOOKUP(D1155,Parameter!$A$35:$C$64,2,0),"Nein")=""),"-",VLOOKUP(D1155,Parameter!$A$35:$C$64,2,0))))</f>
        <v/>
      </c>
      <c r="V1155" s="61" t="n"/>
      <c r="W1155" s="62" t="n"/>
      <c r="X1155" s="55">
        <f>AM1155</f>
        <v/>
      </c>
      <c r="Y1155" s="55">
        <f>MAX(AM1155,G1155)</f>
        <v/>
      </c>
      <c r="Z1155" s="63" t="n"/>
      <c r="AA1155" s="55">
        <f>IF(LEFT(Cockpit!$C$5,1)="A",G1155,IF(BT1155=1,BU1155,IF(LEFT(Cockpit!$C$5,1)="B",AE1155,MAX(AE1155,G1155))))</f>
        <v/>
      </c>
      <c r="AB1155" s="55">
        <f>IF(BO1155=1,0,ROUNDUP(AA1155/BN1155,0))</f>
        <v/>
      </c>
      <c r="AC1155" s="64">
        <f>IF(BO1155=1,IF(AA1155&lt;=0,0,BP1155*MAX(1,IF(G1155&gt;0,AA1155/G1155,1))),AB1155*Q1155)</f>
        <v/>
      </c>
      <c r="AD1155" s="55">
        <f>AA1155*F1155</f>
        <v/>
      </c>
      <c r="AE1155" s="55">
        <f>ROUNDUP(MAX(I1155/IF(BS1155&gt;0,BS1155,MAX(0.1,N(Cockpit!$C$6))),BV1155)/BN1155,0)*BN1155</f>
        <v/>
      </c>
      <c r="AF1155" s="56">
        <f>IF(AC1155&gt;0,I1155/AC1155,-1)</f>
        <v/>
      </c>
      <c r="AG1155" s="56">
        <f>IF(AND(OR(BR1155="L1",BR1155="L23"),AC1155&gt;0),SUMIFS($AC$7:$AC$1570,$BR$7:$BR$1570,BR1155,$AF$7:$AF$1570,"&gt;"&amp;AF1155)+SUMIFS($AC$7:$AC$1570,$BR$7:$BR$1570,BR1155,$AF$7:$AF$1570,AF1155,$BL$7:$BL$1570,"&lt;="&amp;BL1155),"")</f>
        <v/>
      </c>
      <c r="AH1155" s="65">
        <f>IF(AG1155="",0,MAX(0,MIN(1,(IF(BR1155="L1",Parameter!$K$5,Parameter!$K$6+Parameter!$K$7)-(AG1155-AC1155))/AC1155)))</f>
        <v/>
      </c>
      <c r="AI1155" s="55">
        <f>IF(LEFT(Cockpit!$I$5,1)="A",G1155,IF(BT1155=1,BU1155,IF(LEFT(Cockpit!$I$5,1)="B",AM1155,MAX(AM1155,G1155))))</f>
        <v/>
      </c>
      <c r="AJ1155" s="55">
        <f>IF(BO1155=1,0,ROUNDUP(AI1155/BN1155,0))</f>
        <v/>
      </c>
      <c r="AK1155" s="64">
        <f>IF(BO1155=1,IF(AI1155&lt;=0,0,BP1155*MAX(1,IF(G1155&gt;0,AI1155/G1155,1))),AJ1155*Q1155)</f>
        <v/>
      </c>
      <c r="AL1155" s="55">
        <f>AI1155*F1155</f>
        <v/>
      </c>
      <c r="AM1155" s="55">
        <f>ROUNDUP(MAX(I1155/IF(BS1155&gt;0,BS1155,MAX(0.1,N(Cockpit!$I$6))),BV1155)/BN1155,0)*BN1155</f>
        <v/>
      </c>
      <c r="AN1155" s="56">
        <f>IF(AK1155&gt;0,I1155/AK1155,-1)</f>
        <v/>
      </c>
      <c r="AO1155" s="56">
        <f>IF(AND(OR(BR1155="L1",BR1155="L23"),AK1155&gt;0),SUMIFS($AK$7:$AK$1570,$BR$7:$BR$1570,BR1155,$AN$7:$AN$1570,"&gt;"&amp;AN1155)+SUMIFS($AK$7:$AK$1570,$BR$7:$BR$1570,BR1155,$AN$7:$AN$1570,AN1155,$BL$7:$BL$1570,"&lt;="&amp;BL1155),"")</f>
        <v/>
      </c>
      <c r="AP1155" s="65">
        <f>IF(AO1155="",0,MAX(0,MIN(1,(IF(BR1155="L1",Parameter!$K$5,Parameter!$K$6+Parameter!$K$7)-(AO1155-AK1155))/AK1155)))</f>
        <v/>
      </c>
      <c r="AQ1155" s="55">
        <f>IF(LEFT(Cockpit!$O$5,1)="A",G1155,IF(BT1155=1,BU1155,IF(LEFT(Cockpit!$O$5,1)="B",AU1155,MAX(AU1155,G1155))))</f>
        <v/>
      </c>
      <c r="AR1155" s="55">
        <f>IF(BO1155=1,0,ROUNDUP(AQ1155/BN1155,0))</f>
        <v/>
      </c>
      <c r="AS1155" s="64">
        <f>IF(BO1155=1,IF(AQ1155&lt;=0,0,BP1155*MAX(1,IF(G1155&gt;0,AQ1155/G1155,1))),AR1155*Q1155)</f>
        <v/>
      </c>
      <c r="AT1155" s="55">
        <f>AQ1155*F1155</f>
        <v/>
      </c>
      <c r="AU1155" s="55">
        <f>ROUNDUP(MAX(I1155/IF(BS1155&gt;0,BS1155,MAX(0.1,N(Cockpit!$O$6))),BV1155)/BN1155,0)*BN1155</f>
        <v/>
      </c>
      <c r="AV1155" s="56">
        <f>IF(AS1155&gt;0,I1155/AS1155,-1)</f>
        <v/>
      </c>
      <c r="AW1155" s="56">
        <f>IF(AND(OR(BR1155="L1",BR1155="L23"),AS1155&gt;0),SUMIFS($AS$7:$AS$1570,$BR$7:$BR$1570,BR1155,$AV$7:$AV$1570,"&gt;"&amp;AV1155)+SUMIFS($AS$7:$AS$1570,$BR$7:$BR$1570,BR1155,$AV$7:$AV$1570,AV1155,$BL$7:$BL$1570,"&lt;="&amp;BL1155),"")</f>
        <v/>
      </c>
      <c r="AX1155" s="65">
        <f>IF(AW1155="",0,MAX(0,MIN(1,(IF(BR1155="L1",Parameter!$K$5,Parameter!$K$6+Parameter!$K$7)-(AW1155-AS1155))/AS1155)))</f>
        <v/>
      </c>
      <c r="AY1155" s="53">
        <f>IF(AC1155&lt;=0,"",IF(BR1155="Aussen","Aussenlager",IF(BR1155="-","Nicht im Lift",IF(AH1155&gt;=1,"Lift",IF(AH1155&lt;=0,"Aussenlager","teilweise")))))</f>
        <v/>
      </c>
      <c r="AZ1155" s="53">
        <f>IF(AK1155&lt;=0,"",IF(BR1155="Aussen","Aussenlager",IF(BR1155="-","Nicht im Lift",IF(AP1155&gt;=1,"Lift",IF(AP1155&lt;=0,"Aussenlager","teilweise")))))</f>
        <v/>
      </c>
      <c r="BA1155" s="53">
        <f>IF(AS1155&lt;=0,"",IF(BR1155="Aussen","Aussenlager",IF(BR1155="-","Nicht im Lift",IF(AX1155&gt;=1,"Lift",IF(AX1155&lt;=0,"Aussenlager","teilweise")))))</f>
        <v/>
      </c>
      <c r="BB1155" s="53">
        <f>IF(A1155="","",IF(BK1155=1,"Neu; ","")&amp;IF(AND(BK1155=0,BF1155&lt;0),"negativer Bestand (Export "&amp;BF1155&amp;"); ","")&amp;IF(I1155&lt;=0,"Kein Verbrauch; ","")&amp;IF(BO1155=1,"Lose – Fläche geschätzt; ","")&amp;IF(G1155&gt;AM1155,"Überbestand "&amp;ROUND(G1155-AM1155,0)&amp;" Stk / CHF "&amp;ROUND((G1155-AM1155)*F1155,0)&amp;"; ","")&amp;IF(AND(BT1155=1,BU1155&lt;BV1155),"MAX &lt; MB+LG; ","")&amp;IF(AND(BZ1155&gt;0,BY1155*10&gt;BZ1155),"zu hoch für Tablar; ","")&amp;IF(AND(BK1155=0,OR(BT1155=1,V1155&lt;&gt;"",S1155&lt;&gt;"",T1155&lt;&gt;"",W1155&lt;&gt;"")),"manuell übersteuert; ","")&amp;IF(AND(BO1155=0,Q1155=0),"Gebinde unbekannt; ","")&amp;IF(AND(BO1155=0,N(T1155)&lt;=0,N(P1155)&lt;=0),"Menge pro Gebinde fehlt (Ist = 1 Gebinde); ","")&amp;BJ1155)</f>
        <v/>
      </c>
      <c r="BC1155" s="53" t="n"/>
      <c r="BD1155" s="53" t="n"/>
      <c r="BE1155" s="61" t="n"/>
      <c r="BF1155" s="55" t="n">
        <v>-11</v>
      </c>
      <c r="BG1155" s="55" t="n">
        <v>42</v>
      </c>
      <c r="BH1155" s="54" t="n">
        <v>-314.71</v>
      </c>
      <c r="BI1155" s="55" t="n">
        <v>0</v>
      </c>
      <c r="BJ1155" s="53" t="inlineStr">
        <is>
          <t>Überbestand</t>
        </is>
      </c>
      <c r="BK1155" s="58" t="n">
        <v>0</v>
      </c>
      <c r="BL1155" s="58" t="n">
        <v>1155</v>
      </c>
      <c r="BM1155" s="53">
        <f>IF(S1155&lt;&gt;"",UPPER(TRIM(S1155)),IF(O1155="","LOSE",O1155))</f>
        <v/>
      </c>
      <c r="BN1155" s="55">
        <f>IF(BM1155="LOSE",1,IF(N(T1155)&gt;0,T1155,IF(N(P1155)&gt;0,P1155,MAX(1,G1155))))</f>
        <v/>
      </c>
      <c r="BO1155" s="58">
        <f>IF(BM1155="LOSE",1,0)</f>
        <v/>
      </c>
      <c r="BP1155" s="64">
        <f>IF(BO1155=0,0,IF(N(R1155)&gt;0,R1155,IFERROR(VLOOKUP(D1155,Parameter!$A$35:$C$64,3,0)+0,0)))</f>
        <v/>
      </c>
      <c r="BQ1155" s="53">
        <f>IF(V1155&lt;&gt;"",V1155,U1155)</f>
        <v/>
      </c>
      <c r="BR1155" s="53">
        <f>IF(BQ1155=1,"L1",IF(OR(BQ1155=2,BQ1155=3),"L23",IF(BQ1155="Aussen","Aussen","-")))</f>
        <v/>
      </c>
      <c r="BS1155" s="66">
        <f>IF(N(W1155)&gt;0,W1155,0)</f>
        <v/>
      </c>
      <c r="BT1155" s="58">
        <f>IF(ISNUMBER(Z1155),1,0)</f>
        <v/>
      </c>
      <c r="BU1155" s="55">
        <f>N(Z1155)</f>
        <v/>
      </c>
      <c r="BV1155" s="55">
        <f>N(L1155)+N(M1155)</f>
        <v/>
      </c>
      <c r="BW1155" s="55">
        <f>ROUNDUP(G1155/BN1155,0)</f>
        <v/>
      </c>
      <c r="BX1155" s="55">
        <f>ROUNDUP(BU1155/BN1155,0)</f>
        <v/>
      </c>
      <c r="BY1155" s="58">
        <f>IF(BO1155=1,0,IFERROR(VLOOKUP(BM1155,'Gebinde-Kategorie'!$A$5:$G$45,5,0)+0,0))</f>
        <v/>
      </c>
      <c r="BZ1155" s="58">
        <f>IFERROR(IF(OR(BQ1155=1,BQ1155=2,BQ1155=3),N(INDEX(Parameter!$I$5:$I$7,BQ1155)),0),0)</f>
        <v/>
      </c>
    </row>
    <row r="1156">
      <c r="A1156" s="53" t="inlineStr">
        <is>
          <t>109525</t>
        </is>
      </c>
      <c r="B1156" s="53" t="inlineStr">
        <is>
          <t>Rohr komplett</t>
        </is>
      </c>
      <c r="C1156" s="53" t="inlineStr">
        <is>
          <t>G</t>
        </is>
      </c>
      <c r="D1156" s="53" t="inlineStr">
        <is>
          <t>KTL</t>
        </is>
      </c>
      <c r="E1156" s="53" t="inlineStr">
        <is>
          <t>C</t>
        </is>
      </c>
      <c r="F1156" s="54" t="n">
        <v>45.5</v>
      </c>
      <c r="G1156" s="55">
        <f>MAX(0,IF(Parameter!$B$20="Jahresanfang 2025 + Export",BG1156+BF1156,BF1156))</f>
        <v/>
      </c>
      <c r="H1156" s="55">
        <f>G1156*F1156</f>
        <v/>
      </c>
      <c r="I1156" s="55">
        <f>BI1156*Parameter!$B$18</f>
        <v/>
      </c>
      <c r="J1156" s="56" t="n">
        <v>7</v>
      </c>
      <c r="K1156" s="57" t="n">
        <v>1</v>
      </c>
      <c r="L1156" s="55" t="n">
        <v>0</v>
      </c>
      <c r="M1156" s="55" t="n">
        <v>5</v>
      </c>
      <c r="N1156" s="58" t="n">
        <v>21</v>
      </c>
      <c r="O1156" s="53" t="inlineStr">
        <is>
          <t>LOSE</t>
        </is>
      </c>
      <c r="P1156" s="55" t="n"/>
      <c r="Q1156" s="59">
        <f>IF(BO1156=1,0,IFERROR(VLOOKUP(BM1156,'Gebinde-Kategorie'!$A$5:$G$45,6,0)+0,0))</f>
        <v/>
      </c>
      <c r="R1156" s="60" t="n"/>
      <c r="S1156" s="61" t="n"/>
      <c r="T1156" s="61" t="n"/>
      <c r="U1156" s="53">
        <f>IF(A1156="","",IF(IFERROR(VLOOKUP(D1156,Parameter!$A$35:$C$64,2,0),"Nein")="2+3",IF(ISNUMBER(SEARCH("grosser Artikel",BJ1156)),2,IFERROR(VLOOKUP(BM1156,Parameter!$F$35:$G$64,2,0),2)),IF(OR(IFERROR(VLOOKUP(D1156,Parameter!$A$35:$C$64,2,0),"Nein")="Nein",IFERROR(VLOOKUP(D1156,Parameter!$A$35:$C$64,2,0),"Nein")=""),"-",VLOOKUP(D1156,Parameter!$A$35:$C$64,2,0))))</f>
        <v/>
      </c>
      <c r="V1156" s="61" t="n"/>
      <c r="W1156" s="62" t="n"/>
      <c r="X1156" s="55">
        <f>AM1156</f>
        <v/>
      </c>
      <c r="Y1156" s="55">
        <f>MAX(AM1156,G1156)</f>
        <v/>
      </c>
      <c r="Z1156" s="63" t="n"/>
      <c r="AA1156" s="55">
        <f>IF(LEFT(Cockpit!$C$5,1)="A",G1156,IF(BT1156=1,BU1156,IF(LEFT(Cockpit!$C$5,1)="B",AE1156,MAX(AE1156,G1156))))</f>
        <v/>
      </c>
      <c r="AB1156" s="55">
        <f>IF(BO1156=1,0,ROUNDUP(AA1156/BN1156,0))</f>
        <v/>
      </c>
      <c r="AC1156" s="64">
        <f>IF(BO1156=1,IF(AA1156&lt;=0,0,BP1156*MAX(1,IF(G1156&gt;0,AA1156/G1156,1))),AB1156*Q1156)</f>
        <v/>
      </c>
      <c r="AD1156" s="55">
        <f>AA1156*F1156</f>
        <v/>
      </c>
      <c r="AE1156" s="55">
        <f>ROUNDUP(MAX(I1156/IF(BS1156&gt;0,BS1156,MAX(0.1,N(Cockpit!$C$6))),BV1156)/BN1156,0)*BN1156</f>
        <v/>
      </c>
      <c r="AF1156" s="56">
        <f>IF(AC1156&gt;0,I1156/AC1156,-1)</f>
        <v/>
      </c>
      <c r="AG1156" s="56">
        <f>IF(AND(OR(BR1156="L1",BR1156="L23"),AC1156&gt;0),SUMIFS($AC$7:$AC$1570,$BR$7:$BR$1570,BR1156,$AF$7:$AF$1570,"&gt;"&amp;AF1156)+SUMIFS($AC$7:$AC$1570,$BR$7:$BR$1570,BR1156,$AF$7:$AF$1570,AF1156,$BL$7:$BL$1570,"&lt;="&amp;BL1156),"")</f>
        <v/>
      </c>
      <c r="AH1156" s="65">
        <f>IF(AG1156="",0,MAX(0,MIN(1,(IF(BR1156="L1",Parameter!$K$5,Parameter!$K$6+Parameter!$K$7)-(AG1156-AC1156))/AC1156)))</f>
        <v/>
      </c>
      <c r="AI1156" s="55">
        <f>IF(LEFT(Cockpit!$I$5,1)="A",G1156,IF(BT1156=1,BU1156,IF(LEFT(Cockpit!$I$5,1)="B",AM1156,MAX(AM1156,G1156))))</f>
        <v/>
      </c>
      <c r="AJ1156" s="55">
        <f>IF(BO1156=1,0,ROUNDUP(AI1156/BN1156,0))</f>
        <v/>
      </c>
      <c r="AK1156" s="64">
        <f>IF(BO1156=1,IF(AI1156&lt;=0,0,BP1156*MAX(1,IF(G1156&gt;0,AI1156/G1156,1))),AJ1156*Q1156)</f>
        <v/>
      </c>
      <c r="AL1156" s="55">
        <f>AI1156*F1156</f>
        <v/>
      </c>
      <c r="AM1156" s="55">
        <f>ROUNDUP(MAX(I1156/IF(BS1156&gt;0,BS1156,MAX(0.1,N(Cockpit!$I$6))),BV1156)/BN1156,0)*BN1156</f>
        <v/>
      </c>
      <c r="AN1156" s="56">
        <f>IF(AK1156&gt;0,I1156/AK1156,-1)</f>
        <v/>
      </c>
      <c r="AO1156" s="56">
        <f>IF(AND(OR(BR1156="L1",BR1156="L23"),AK1156&gt;0),SUMIFS($AK$7:$AK$1570,$BR$7:$BR$1570,BR1156,$AN$7:$AN$1570,"&gt;"&amp;AN1156)+SUMIFS($AK$7:$AK$1570,$BR$7:$BR$1570,BR1156,$AN$7:$AN$1570,AN1156,$BL$7:$BL$1570,"&lt;="&amp;BL1156),"")</f>
        <v/>
      </c>
      <c r="AP1156" s="65">
        <f>IF(AO1156="",0,MAX(0,MIN(1,(IF(BR1156="L1",Parameter!$K$5,Parameter!$K$6+Parameter!$K$7)-(AO1156-AK1156))/AK1156)))</f>
        <v/>
      </c>
      <c r="AQ1156" s="55">
        <f>IF(LEFT(Cockpit!$O$5,1)="A",G1156,IF(BT1156=1,BU1156,IF(LEFT(Cockpit!$O$5,1)="B",AU1156,MAX(AU1156,G1156))))</f>
        <v/>
      </c>
      <c r="AR1156" s="55">
        <f>IF(BO1156=1,0,ROUNDUP(AQ1156/BN1156,0))</f>
        <v/>
      </c>
      <c r="AS1156" s="64">
        <f>IF(BO1156=1,IF(AQ1156&lt;=0,0,BP1156*MAX(1,IF(G1156&gt;0,AQ1156/G1156,1))),AR1156*Q1156)</f>
        <v/>
      </c>
      <c r="AT1156" s="55">
        <f>AQ1156*F1156</f>
        <v/>
      </c>
      <c r="AU1156" s="55">
        <f>ROUNDUP(MAX(I1156/IF(BS1156&gt;0,BS1156,MAX(0.1,N(Cockpit!$O$6))),BV1156)/BN1156,0)*BN1156</f>
        <v/>
      </c>
      <c r="AV1156" s="56">
        <f>IF(AS1156&gt;0,I1156/AS1156,-1)</f>
        <v/>
      </c>
      <c r="AW1156" s="56">
        <f>IF(AND(OR(BR1156="L1",BR1156="L23"),AS1156&gt;0),SUMIFS($AS$7:$AS$1570,$BR$7:$BR$1570,BR1156,$AV$7:$AV$1570,"&gt;"&amp;AV1156)+SUMIFS($AS$7:$AS$1570,$BR$7:$BR$1570,BR1156,$AV$7:$AV$1570,AV1156,$BL$7:$BL$1570,"&lt;="&amp;BL1156),"")</f>
        <v/>
      </c>
      <c r="AX1156" s="65">
        <f>IF(AW1156="",0,MAX(0,MIN(1,(IF(BR1156="L1",Parameter!$K$5,Parameter!$K$6+Parameter!$K$7)-(AW1156-AS1156))/AS1156)))</f>
        <v/>
      </c>
      <c r="AY1156" s="53">
        <f>IF(AC1156&lt;=0,"",IF(BR1156="Aussen","Aussenlager",IF(BR1156="-","Nicht im Lift",IF(AH1156&gt;=1,"Lift",IF(AH1156&lt;=0,"Aussenlager","teilweise")))))</f>
        <v/>
      </c>
      <c r="AZ1156" s="53">
        <f>IF(AK1156&lt;=0,"",IF(BR1156="Aussen","Aussenlager",IF(BR1156="-","Nicht im Lift",IF(AP1156&gt;=1,"Lift",IF(AP1156&lt;=0,"Aussenlager","teilweise")))))</f>
        <v/>
      </c>
      <c r="BA1156" s="53">
        <f>IF(AS1156&lt;=0,"",IF(BR1156="Aussen","Aussenlager",IF(BR1156="-","Nicht im Lift",IF(AX1156&gt;=1,"Lift",IF(AX1156&lt;=0,"Aussenlager","teilweise")))))</f>
        <v/>
      </c>
      <c r="BB1156" s="53">
        <f>IF(A1156="","",IF(BK1156=1,"Neu; ","")&amp;IF(AND(BK1156=0,BF1156&lt;0),"negativer Bestand (Export "&amp;BF1156&amp;"); ","")&amp;IF(I1156&lt;=0,"Kein Verbrauch; ","")&amp;IF(BO1156=1,"Lose – Fläche geschätzt; ","")&amp;IF(G1156&gt;AM1156,"Überbestand "&amp;ROUND(G1156-AM1156,0)&amp;" Stk / CHF "&amp;ROUND((G1156-AM1156)*F1156,0)&amp;"; ","")&amp;IF(AND(BT1156=1,BU1156&lt;BV1156),"MAX &lt; MB+LG; ","")&amp;IF(AND(BZ1156&gt;0,BY1156*10&gt;BZ1156),"zu hoch für Tablar; ","")&amp;IF(AND(BK1156=0,OR(BT1156=1,V1156&lt;&gt;"",S1156&lt;&gt;"",T1156&lt;&gt;"",W1156&lt;&gt;"")),"manuell übersteuert; ","")&amp;IF(AND(BO1156=0,Q1156=0),"Gebinde unbekannt; ","")&amp;IF(AND(BO1156=0,N(T1156)&lt;=0,N(P1156)&lt;=0),"Menge pro Gebinde fehlt (Ist = 1 Gebinde); ","")&amp;BJ1156)</f>
        <v/>
      </c>
      <c r="BC1156" s="53" t="n"/>
      <c r="BD1156" s="53" t="n"/>
      <c r="BE1156" s="61" t="n"/>
      <c r="BF1156" s="55" t="n">
        <v>-7</v>
      </c>
      <c r="BG1156" s="55" t="n">
        <v>14</v>
      </c>
      <c r="BH1156" s="54" t="n">
        <v>-318.5</v>
      </c>
      <c r="BI1156" s="55" t="n">
        <v>7</v>
      </c>
      <c r="BJ1156" s="53" t="inlineStr"/>
      <c r="BK1156" s="58" t="n">
        <v>0</v>
      </c>
      <c r="BL1156" s="58" t="n">
        <v>1156</v>
      </c>
      <c r="BM1156" s="53">
        <f>IF(S1156&lt;&gt;"",UPPER(TRIM(S1156)),IF(O1156="","LOSE",O1156))</f>
        <v/>
      </c>
      <c r="BN1156" s="55">
        <f>IF(BM1156="LOSE",1,IF(N(T1156)&gt;0,T1156,IF(N(P1156)&gt;0,P1156,MAX(1,G1156))))</f>
        <v/>
      </c>
      <c r="BO1156" s="58">
        <f>IF(BM1156="LOSE",1,0)</f>
        <v/>
      </c>
      <c r="BP1156" s="64">
        <f>IF(BO1156=0,0,IF(N(R1156)&gt;0,R1156,IFERROR(VLOOKUP(D1156,Parameter!$A$35:$C$64,3,0)+0,0)))</f>
        <v/>
      </c>
      <c r="BQ1156" s="53">
        <f>IF(V1156&lt;&gt;"",V1156,U1156)</f>
        <v/>
      </c>
      <c r="BR1156" s="53">
        <f>IF(BQ1156=1,"L1",IF(OR(BQ1156=2,BQ1156=3),"L23",IF(BQ1156="Aussen","Aussen","-")))</f>
        <v/>
      </c>
      <c r="BS1156" s="66">
        <f>IF(N(W1156)&gt;0,W1156,0)</f>
        <v/>
      </c>
      <c r="BT1156" s="58">
        <f>IF(ISNUMBER(Z1156),1,0)</f>
        <v/>
      </c>
      <c r="BU1156" s="55">
        <f>N(Z1156)</f>
        <v/>
      </c>
      <c r="BV1156" s="55">
        <f>N(L1156)+N(M1156)</f>
        <v/>
      </c>
      <c r="BW1156" s="55">
        <f>ROUNDUP(G1156/BN1156,0)</f>
        <v/>
      </c>
      <c r="BX1156" s="55">
        <f>ROUNDUP(BU1156/BN1156,0)</f>
        <v/>
      </c>
      <c r="BY1156" s="58">
        <f>IF(BO1156=1,0,IFERROR(VLOOKUP(BM1156,'Gebinde-Kategorie'!$A$5:$G$45,5,0)+0,0))</f>
        <v/>
      </c>
      <c r="BZ1156" s="58">
        <f>IFERROR(IF(OR(BQ1156=1,BQ1156=2,BQ1156=3),N(INDEX(Parameter!$I$5:$I$7,BQ1156)),0),0)</f>
        <v/>
      </c>
    </row>
    <row r="1157">
      <c r="A1157" s="53" t="inlineStr">
        <is>
          <t>005220</t>
        </is>
      </c>
      <c r="B1157" s="53" t="inlineStr">
        <is>
          <t>Sicherheitsventil 45bar, N2</t>
        </is>
      </c>
      <c r="C1157" s="53" t="inlineStr">
        <is>
          <t>F</t>
        </is>
      </c>
      <c r="D1157" s="53" t="inlineStr">
        <is>
          <t>KTL</t>
        </is>
      </c>
      <c r="E1157" s="53" t="inlineStr">
        <is>
          <t>C</t>
        </is>
      </c>
      <c r="F1157" s="54" t="n">
        <v>113.77</v>
      </c>
      <c r="G1157" s="55">
        <f>MAX(0,IF(Parameter!$B$20="Jahresanfang 2025 + Export",BG1157+BF1157,BF1157))</f>
        <v/>
      </c>
      <c r="H1157" s="55">
        <f>G1157*F1157</f>
        <v/>
      </c>
      <c r="I1157" s="55">
        <f>BI1157*Parameter!$B$18</f>
        <v/>
      </c>
      <c r="J1157" s="56" t="n">
        <v>15</v>
      </c>
      <c r="K1157" s="57" t="n">
        <v>0.2666666666666667</v>
      </c>
      <c r="L1157" s="55" t="n">
        <v>0</v>
      </c>
      <c r="M1157" s="55" t="n">
        <v>5</v>
      </c>
      <c r="N1157" s="58" t="n">
        <v>56</v>
      </c>
      <c r="O1157" s="53" t="inlineStr">
        <is>
          <t>S41</t>
        </is>
      </c>
      <c r="P1157" s="55" t="n">
        <v>16</v>
      </c>
      <c r="Q1157" s="59">
        <f>IF(BO1157=1,0,IFERROR(VLOOKUP(BM1157,'Gebinde-Kategorie'!$A$5:$G$45,6,0)+0,0))</f>
        <v/>
      </c>
      <c r="R1157" s="60" t="n"/>
      <c r="S1157" s="61" t="n"/>
      <c r="T1157" s="61" t="n"/>
      <c r="U1157" s="53">
        <f>IF(A1157="","",IF(IFERROR(VLOOKUP(D1157,Parameter!$A$35:$C$64,2,0),"Nein")="2+3",IF(ISNUMBER(SEARCH("grosser Artikel",BJ1157)),2,IFERROR(VLOOKUP(BM1157,Parameter!$F$35:$G$64,2,0),2)),IF(OR(IFERROR(VLOOKUP(D1157,Parameter!$A$35:$C$64,2,0),"Nein")="Nein",IFERROR(VLOOKUP(D1157,Parameter!$A$35:$C$64,2,0),"Nein")=""),"-",VLOOKUP(D1157,Parameter!$A$35:$C$64,2,0))))</f>
        <v/>
      </c>
      <c r="V1157" s="61" t="n"/>
      <c r="W1157" s="62" t="n"/>
      <c r="X1157" s="55">
        <f>AM1157</f>
        <v/>
      </c>
      <c r="Y1157" s="55">
        <f>MAX(AM1157,G1157)</f>
        <v/>
      </c>
      <c r="Z1157" s="63" t="n"/>
      <c r="AA1157" s="55">
        <f>IF(LEFT(Cockpit!$C$5,1)="A",G1157,IF(BT1157=1,BU1157,IF(LEFT(Cockpit!$C$5,1)="B",AE1157,MAX(AE1157,G1157))))</f>
        <v/>
      </c>
      <c r="AB1157" s="55">
        <f>IF(BO1157=1,0,ROUNDUP(AA1157/BN1157,0))</f>
        <v/>
      </c>
      <c r="AC1157" s="64">
        <f>IF(BO1157=1,IF(AA1157&lt;=0,0,BP1157*MAX(1,IF(G1157&gt;0,AA1157/G1157,1))),AB1157*Q1157)</f>
        <v/>
      </c>
      <c r="AD1157" s="55">
        <f>AA1157*F1157</f>
        <v/>
      </c>
      <c r="AE1157" s="55">
        <f>ROUNDUP(MAX(I1157/IF(BS1157&gt;0,BS1157,MAX(0.1,N(Cockpit!$C$6))),BV1157)/BN1157,0)*BN1157</f>
        <v/>
      </c>
      <c r="AF1157" s="56">
        <f>IF(AC1157&gt;0,I1157/AC1157,-1)</f>
        <v/>
      </c>
      <c r="AG1157" s="56">
        <f>IF(AND(OR(BR1157="L1",BR1157="L23"),AC1157&gt;0),SUMIFS($AC$7:$AC$1570,$BR$7:$BR$1570,BR1157,$AF$7:$AF$1570,"&gt;"&amp;AF1157)+SUMIFS($AC$7:$AC$1570,$BR$7:$BR$1570,BR1157,$AF$7:$AF$1570,AF1157,$BL$7:$BL$1570,"&lt;="&amp;BL1157),"")</f>
        <v/>
      </c>
      <c r="AH1157" s="65">
        <f>IF(AG1157="",0,MAX(0,MIN(1,(IF(BR1157="L1",Parameter!$K$5,Parameter!$K$6+Parameter!$K$7)-(AG1157-AC1157))/AC1157)))</f>
        <v/>
      </c>
      <c r="AI1157" s="55">
        <f>IF(LEFT(Cockpit!$I$5,1)="A",G1157,IF(BT1157=1,BU1157,IF(LEFT(Cockpit!$I$5,1)="B",AM1157,MAX(AM1157,G1157))))</f>
        <v/>
      </c>
      <c r="AJ1157" s="55">
        <f>IF(BO1157=1,0,ROUNDUP(AI1157/BN1157,0))</f>
        <v/>
      </c>
      <c r="AK1157" s="64">
        <f>IF(BO1157=1,IF(AI1157&lt;=0,0,BP1157*MAX(1,IF(G1157&gt;0,AI1157/G1157,1))),AJ1157*Q1157)</f>
        <v/>
      </c>
      <c r="AL1157" s="55">
        <f>AI1157*F1157</f>
        <v/>
      </c>
      <c r="AM1157" s="55">
        <f>ROUNDUP(MAX(I1157/IF(BS1157&gt;0,BS1157,MAX(0.1,N(Cockpit!$I$6))),BV1157)/BN1157,0)*BN1157</f>
        <v/>
      </c>
      <c r="AN1157" s="56">
        <f>IF(AK1157&gt;0,I1157/AK1157,-1)</f>
        <v/>
      </c>
      <c r="AO1157" s="56">
        <f>IF(AND(OR(BR1157="L1",BR1157="L23"),AK1157&gt;0),SUMIFS($AK$7:$AK$1570,$BR$7:$BR$1570,BR1157,$AN$7:$AN$1570,"&gt;"&amp;AN1157)+SUMIFS($AK$7:$AK$1570,$BR$7:$BR$1570,BR1157,$AN$7:$AN$1570,AN1157,$BL$7:$BL$1570,"&lt;="&amp;BL1157),"")</f>
        <v/>
      </c>
      <c r="AP1157" s="65">
        <f>IF(AO1157="",0,MAX(0,MIN(1,(IF(BR1157="L1",Parameter!$K$5,Parameter!$K$6+Parameter!$K$7)-(AO1157-AK1157))/AK1157)))</f>
        <v/>
      </c>
      <c r="AQ1157" s="55">
        <f>IF(LEFT(Cockpit!$O$5,1)="A",G1157,IF(BT1157=1,BU1157,IF(LEFT(Cockpit!$O$5,1)="B",AU1157,MAX(AU1157,G1157))))</f>
        <v/>
      </c>
      <c r="AR1157" s="55">
        <f>IF(BO1157=1,0,ROUNDUP(AQ1157/BN1157,0))</f>
        <v/>
      </c>
      <c r="AS1157" s="64">
        <f>IF(BO1157=1,IF(AQ1157&lt;=0,0,BP1157*MAX(1,IF(G1157&gt;0,AQ1157/G1157,1))),AR1157*Q1157)</f>
        <v/>
      </c>
      <c r="AT1157" s="55">
        <f>AQ1157*F1157</f>
        <v/>
      </c>
      <c r="AU1157" s="55">
        <f>ROUNDUP(MAX(I1157/IF(BS1157&gt;0,BS1157,MAX(0.1,N(Cockpit!$O$6))),BV1157)/BN1157,0)*BN1157</f>
        <v/>
      </c>
      <c r="AV1157" s="56">
        <f>IF(AS1157&gt;0,I1157/AS1157,-1)</f>
        <v/>
      </c>
      <c r="AW1157" s="56">
        <f>IF(AND(OR(BR1157="L1",BR1157="L23"),AS1157&gt;0),SUMIFS($AS$7:$AS$1570,$BR$7:$BR$1570,BR1157,$AV$7:$AV$1570,"&gt;"&amp;AV1157)+SUMIFS($AS$7:$AS$1570,$BR$7:$BR$1570,BR1157,$AV$7:$AV$1570,AV1157,$BL$7:$BL$1570,"&lt;="&amp;BL1157),"")</f>
        <v/>
      </c>
      <c r="AX1157" s="65">
        <f>IF(AW1157="",0,MAX(0,MIN(1,(IF(BR1157="L1",Parameter!$K$5,Parameter!$K$6+Parameter!$K$7)-(AW1157-AS1157))/AS1157)))</f>
        <v/>
      </c>
      <c r="AY1157" s="53">
        <f>IF(AC1157&lt;=0,"",IF(BR1157="Aussen","Aussenlager",IF(BR1157="-","Nicht im Lift",IF(AH1157&gt;=1,"Lift",IF(AH1157&lt;=0,"Aussenlager","teilweise")))))</f>
        <v/>
      </c>
      <c r="AZ1157" s="53">
        <f>IF(AK1157&lt;=0,"",IF(BR1157="Aussen","Aussenlager",IF(BR1157="-","Nicht im Lift",IF(AP1157&gt;=1,"Lift",IF(AP1157&lt;=0,"Aussenlager","teilweise")))))</f>
        <v/>
      </c>
      <c r="BA1157" s="53">
        <f>IF(AS1157&lt;=0,"",IF(BR1157="Aussen","Aussenlager",IF(BR1157="-","Nicht im Lift",IF(AX1157&gt;=1,"Lift",IF(AX1157&lt;=0,"Aussenlager","teilweise")))))</f>
        <v/>
      </c>
      <c r="BB1157" s="53">
        <f>IF(A1157="","",IF(BK1157=1,"Neu; ","")&amp;IF(AND(BK1157=0,BF1157&lt;0),"negativer Bestand (Export "&amp;BF1157&amp;"); ","")&amp;IF(I1157&lt;=0,"Kein Verbrauch; ","")&amp;IF(BO1157=1,"Lose – Fläche geschätzt; ","")&amp;IF(G1157&gt;AM1157,"Überbestand "&amp;ROUND(G1157-AM1157,0)&amp;" Stk / CHF "&amp;ROUND((G1157-AM1157)*F1157,0)&amp;"; ","")&amp;IF(AND(BT1157=1,BU1157&lt;BV1157),"MAX &lt; MB+LG; ","")&amp;IF(AND(BZ1157&gt;0,BY1157*10&gt;BZ1157),"zu hoch für Tablar; ","")&amp;IF(AND(BK1157=0,OR(BT1157=1,V1157&lt;&gt;"",S1157&lt;&gt;"",T1157&lt;&gt;"",W1157&lt;&gt;"")),"manuell übersteuert; ","")&amp;IF(AND(BO1157=0,Q1157=0),"Gebinde unbekannt; ","")&amp;IF(AND(BO1157=0,N(T1157)&lt;=0,N(P1157)&lt;=0),"Menge pro Gebinde fehlt (Ist = 1 Gebinde); ","")&amp;BJ1157)</f>
        <v/>
      </c>
      <c r="BC1157" s="53" t="n"/>
      <c r="BD1157" s="53" t="n"/>
      <c r="BE1157" s="61" t="n"/>
      <c r="BF1157" s="55" t="n">
        <v>-3</v>
      </c>
      <c r="BG1157" s="55" t="n">
        <v>14</v>
      </c>
      <c r="BH1157" s="54" t="n">
        <v>-319.95</v>
      </c>
      <c r="BI1157" s="55" t="n">
        <v>4</v>
      </c>
      <c r="BJ1157" s="53" t="inlineStr"/>
      <c r="BK1157" s="58" t="n">
        <v>0</v>
      </c>
      <c r="BL1157" s="58" t="n">
        <v>1157</v>
      </c>
      <c r="BM1157" s="53">
        <f>IF(S1157&lt;&gt;"",UPPER(TRIM(S1157)),IF(O1157="","LOSE",O1157))</f>
        <v/>
      </c>
      <c r="BN1157" s="55">
        <f>IF(BM1157="LOSE",1,IF(N(T1157)&gt;0,T1157,IF(N(P1157)&gt;0,P1157,MAX(1,G1157))))</f>
        <v/>
      </c>
      <c r="BO1157" s="58">
        <f>IF(BM1157="LOSE",1,0)</f>
        <v/>
      </c>
      <c r="BP1157" s="64">
        <f>IF(BO1157=0,0,IF(N(R1157)&gt;0,R1157,IFERROR(VLOOKUP(D1157,Parameter!$A$35:$C$64,3,0)+0,0)))</f>
        <v/>
      </c>
      <c r="BQ1157" s="53">
        <f>IF(V1157&lt;&gt;"",V1157,U1157)</f>
        <v/>
      </c>
      <c r="BR1157" s="53">
        <f>IF(BQ1157=1,"L1",IF(OR(BQ1157=2,BQ1157=3),"L23",IF(BQ1157="Aussen","Aussen","-")))</f>
        <v/>
      </c>
      <c r="BS1157" s="66">
        <f>IF(N(W1157)&gt;0,W1157,0)</f>
        <v/>
      </c>
      <c r="BT1157" s="58">
        <f>IF(ISNUMBER(Z1157),1,0)</f>
        <v/>
      </c>
      <c r="BU1157" s="55">
        <f>N(Z1157)</f>
        <v/>
      </c>
      <c r="BV1157" s="55">
        <f>N(L1157)+N(M1157)</f>
        <v/>
      </c>
      <c r="BW1157" s="55">
        <f>ROUNDUP(G1157/BN1157,0)</f>
        <v/>
      </c>
      <c r="BX1157" s="55">
        <f>ROUNDUP(BU1157/BN1157,0)</f>
        <v/>
      </c>
      <c r="BY1157" s="58">
        <f>IF(BO1157=1,0,IFERROR(VLOOKUP(BM1157,'Gebinde-Kategorie'!$A$5:$G$45,5,0)+0,0))</f>
        <v/>
      </c>
      <c r="BZ1157" s="58">
        <f>IFERROR(IF(OR(BQ1157=1,BQ1157=2,BQ1157=3),N(INDEX(Parameter!$I$5:$I$7,BQ1157)),0),0)</f>
        <v/>
      </c>
    </row>
    <row r="1158">
      <c r="A1158" s="53" t="inlineStr">
        <is>
          <t>107117</t>
        </is>
      </c>
      <c r="B1158" s="53" t="inlineStr">
        <is>
          <t>Durchschlag</t>
        </is>
      </c>
      <c r="C1158" s="53" t="inlineStr">
        <is>
          <t>F</t>
        </is>
      </c>
      <c r="D1158" s="53" t="inlineStr">
        <is>
          <t>KTL</t>
        </is>
      </c>
      <c r="E1158" s="53" t="inlineStr">
        <is>
          <t>C</t>
        </is>
      </c>
      <c r="F1158" s="54" t="n">
        <v>20</v>
      </c>
      <c r="G1158" s="55">
        <f>MAX(0,IF(Parameter!$B$20="Jahresanfang 2025 + Export",BG1158+BF1158,BF1158))</f>
        <v/>
      </c>
      <c r="H1158" s="55">
        <f>G1158*F1158</f>
        <v/>
      </c>
      <c r="I1158" s="55">
        <f>BI1158*Parameter!$B$18</f>
        <v/>
      </c>
      <c r="J1158" s="56" t="n">
        <v>16</v>
      </c>
      <c r="K1158" s="57" t="n">
        <v>0</v>
      </c>
      <c r="L1158" s="55" t="n">
        <v>0</v>
      </c>
      <c r="M1158" s="55" t="n">
        <v>1</v>
      </c>
      <c r="N1158" s="58" t="n">
        <v>35</v>
      </c>
      <c r="O1158" s="53" t="inlineStr">
        <is>
          <t>LOSE</t>
        </is>
      </c>
      <c r="P1158" s="55" t="n"/>
      <c r="Q1158" s="59">
        <f>IF(BO1158=1,0,IFERROR(VLOOKUP(BM1158,'Gebinde-Kategorie'!$A$5:$G$45,6,0)+0,0))</f>
        <v/>
      </c>
      <c r="R1158" s="60" t="n"/>
      <c r="S1158" s="61" t="n"/>
      <c r="T1158" s="61" t="n"/>
      <c r="U1158" s="53">
        <f>IF(A1158="","",IF(IFERROR(VLOOKUP(D1158,Parameter!$A$35:$C$64,2,0),"Nein")="2+3",IF(ISNUMBER(SEARCH("grosser Artikel",BJ1158)),2,IFERROR(VLOOKUP(BM1158,Parameter!$F$35:$G$64,2,0),2)),IF(OR(IFERROR(VLOOKUP(D1158,Parameter!$A$35:$C$64,2,0),"Nein")="Nein",IFERROR(VLOOKUP(D1158,Parameter!$A$35:$C$64,2,0),"Nein")=""),"-",VLOOKUP(D1158,Parameter!$A$35:$C$64,2,0))))</f>
        <v/>
      </c>
      <c r="V1158" s="61" t="n"/>
      <c r="W1158" s="62" t="n"/>
      <c r="X1158" s="55">
        <f>AM1158</f>
        <v/>
      </c>
      <c r="Y1158" s="55">
        <f>MAX(AM1158,G1158)</f>
        <v/>
      </c>
      <c r="Z1158" s="63" t="n"/>
      <c r="AA1158" s="55">
        <f>IF(LEFT(Cockpit!$C$5,1)="A",G1158,IF(BT1158=1,BU1158,IF(LEFT(Cockpit!$C$5,1)="B",AE1158,MAX(AE1158,G1158))))</f>
        <v/>
      </c>
      <c r="AB1158" s="55">
        <f>IF(BO1158=1,0,ROUNDUP(AA1158/BN1158,0))</f>
        <v/>
      </c>
      <c r="AC1158" s="64">
        <f>IF(BO1158=1,IF(AA1158&lt;=0,0,BP1158*MAX(1,IF(G1158&gt;0,AA1158/G1158,1))),AB1158*Q1158)</f>
        <v/>
      </c>
      <c r="AD1158" s="55">
        <f>AA1158*F1158</f>
        <v/>
      </c>
      <c r="AE1158" s="55">
        <f>ROUNDUP(MAX(I1158/IF(BS1158&gt;0,BS1158,MAX(0.1,N(Cockpit!$C$6))),BV1158)/BN1158,0)*BN1158</f>
        <v/>
      </c>
      <c r="AF1158" s="56">
        <f>IF(AC1158&gt;0,I1158/AC1158,-1)</f>
        <v/>
      </c>
      <c r="AG1158" s="56">
        <f>IF(AND(OR(BR1158="L1",BR1158="L23"),AC1158&gt;0),SUMIFS($AC$7:$AC$1570,$BR$7:$BR$1570,BR1158,$AF$7:$AF$1570,"&gt;"&amp;AF1158)+SUMIFS($AC$7:$AC$1570,$BR$7:$BR$1570,BR1158,$AF$7:$AF$1570,AF1158,$BL$7:$BL$1570,"&lt;="&amp;BL1158),"")</f>
        <v/>
      </c>
      <c r="AH1158" s="65">
        <f>IF(AG1158="",0,MAX(0,MIN(1,(IF(BR1158="L1",Parameter!$K$5,Parameter!$K$6+Parameter!$K$7)-(AG1158-AC1158))/AC1158)))</f>
        <v/>
      </c>
      <c r="AI1158" s="55">
        <f>IF(LEFT(Cockpit!$I$5,1)="A",G1158,IF(BT1158=1,BU1158,IF(LEFT(Cockpit!$I$5,1)="B",AM1158,MAX(AM1158,G1158))))</f>
        <v/>
      </c>
      <c r="AJ1158" s="55">
        <f>IF(BO1158=1,0,ROUNDUP(AI1158/BN1158,0))</f>
        <v/>
      </c>
      <c r="AK1158" s="64">
        <f>IF(BO1158=1,IF(AI1158&lt;=0,0,BP1158*MAX(1,IF(G1158&gt;0,AI1158/G1158,1))),AJ1158*Q1158)</f>
        <v/>
      </c>
      <c r="AL1158" s="55">
        <f>AI1158*F1158</f>
        <v/>
      </c>
      <c r="AM1158" s="55">
        <f>ROUNDUP(MAX(I1158/IF(BS1158&gt;0,BS1158,MAX(0.1,N(Cockpit!$I$6))),BV1158)/BN1158,0)*BN1158</f>
        <v/>
      </c>
      <c r="AN1158" s="56">
        <f>IF(AK1158&gt;0,I1158/AK1158,-1)</f>
        <v/>
      </c>
      <c r="AO1158" s="56">
        <f>IF(AND(OR(BR1158="L1",BR1158="L23"),AK1158&gt;0),SUMIFS($AK$7:$AK$1570,$BR$7:$BR$1570,BR1158,$AN$7:$AN$1570,"&gt;"&amp;AN1158)+SUMIFS($AK$7:$AK$1570,$BR$7:$BR$1570,BR1158,$AN$7:$AN$1570,AN1158,$BL$7:$BL$1570,"&lt;="&amp;BL1158),"")</f>
        <v/>
      </c>
      <c r="AP1158" s="65">
        <f>IF(AO1158="",0,MAX(0,MIN(1,(IF(BR1158="L1",Parameter!$K$5,Parameter!$K$6+Parameter!$K$7)-(AO1158-AK1158))/AK1158)))</f>
        <v/>
      </c>
      <c r="AQ1158" s="55">
        <f>IF(LEFT(Cockpit!$O$5,1)="A",G1158,IF(BT1158=1,BU1158,IF(LEFT(Cockpit!$O$5,1)="B",AU1158,MAX(AU1158,G1158))))</f>
        <v/>
      </c>
      <c r="AR1158" s="55">
        <f>IF(BO1158=1,0,ROUNDUP(AQ1158/BN1158,0))</f>
        <v/>
      </c>
      <c r="AS1158" s="64">
        <f>IF(BO1158=1,IF(AQ1158&lt;=0,0,BP1158*MAX(1,IF(G1158&gt;0,AQ1158/G1158,1))),AR1158*Q1158)</f>
        <v/>
      </c>
      <c r="AT1158" s="55">
        <f>AQ1158*F1158</f>
        <v/>
      </c>
      <c r="AU1158" s="55">
        <f>ROUNDUP(MAX(I1158/IF(BS1158&gt;0,BS1158,MAX(0.1,N(Cockpit!$O$6))),BV1158)/BN1158,0)*BN1158</f>
        <v/>
      </c>
      <c r="AV1158" s="56">
        <f>IF(AS1158&gt;0,I1158/AS1158,-1)</f>
        <v/>
      </c>
      <c r="AW1158" s="56">
        <f>IF(AND(OR(BR1158="L1",BR1158="L23"),AS1158&gt;0),SUMIFS($AS$7:$AS$1570,$BR$7:$BR$1570,BR1158,$AV$7:$AV$1570,"&gt;"&amp;AV1158)+SUMIFS($AS$7:$AS$1570,$BR$7:$BR$1570,BR1158,$AV$7:$AV$1570,AV1158,$BL$7:$BL$1570,"&lt;="&amp;BL1158),"")</f>
        <v/>
      </c>
      <c r="AX1158" s="65">
        <f>IF(AW1158="",0,MAX(0,MIN(1,(IF(BR1158="L1",Parameter!$K$5,Parameter!$K$6+Parameter!$K$7)-(AW1158-AS1158))/AS1158)))</f>
        <v/>
      </c>
      <c r="AY1158" s="53">
        <f>IF(AC1158&lt;=0,"",IF(BR1158="Aussen","Aussenlager",IF(BR1158="-","Nicht im Lift",IF(AH1158&gt;=1,"Lift",IF(AH1158&lt;=0,"Aussenlager","teilweise")))))</f>
        <v/>
      </c>
      <c r="AZ1158" s="53">
        <f>IF(AK1158&lt;=0,"",IF(BR1158="Aussen","Aussenlager",IF(BR1158="-","Nicht im Lift",IF(AP1158&gt;=1,"Lift",IF(AP1158&lt;=0,"Aussenlager","teilweise")))))</f>
        <v/>
      </c>
      <c r="BA1158" s="53">
        <f>IF(AS1158&lt;=0,"",IF(BR1158="Aussen","Aussenlager",IF(BR1158="-","Nicht im Lift",IF(AX1158&gt;=1,"Lift",IF(AX1158&lt;=0,"Aussenlager","teilweise")))))</f>
        <v/>
      </c>
      <c r="BB1158" s="53">
        <f>IF(A1158="","",IF(BK1158=1,"Neu; ","")&amp;IF(AND(BK1158=0,BF1158&lt;0),"negativer Bestand (Export "&amp;BF1158&amp;"); ","")&amp;IF(I1158&lt;=0,"Kein Verbrauch; ","")&amp;IF(BO1158=1,"Lose – Fläche geschätzt; ","")&amp;IF(G1158&gt;AM1158,"Überbestand "&amp;ROUND(G1158-AM1158,0)&amp;" Stk / CHF "&amp;ROUND((G1158-AM1158)*F1158,0)&amp;"; ","")&amp;IF(AND(BT1158=1,BU1158&lt;BV1158),"MAX &lt; MB+LG; ","")&amp;IF(AND(BZ1158&gt;0,BY1158*10&gt;BZ1158),"zu hoch für Tablar; ","")&amp;IF(AND(BK1158=0,OR(BT1158=1,V1158&lt;&gt;"",S1158&lt;&gt;"",T1158&lt;&gt;"",W1158&lt;&gt;"")),"manuell übersteuert; ","")&amp;IF(AND(BO1158=0,Q1158=0),"Gebinde unbekannt; ","")&amp;IF(AND(BO1158=0,N(T1158)&lt;=0,N(P1158)&lt;=0),"Menge pro Gebinde fehlt (Ist = 1 Gebinde); ","")&amp;BJ1158)</f>
        <v/>
      </c>
      <c r="BC1158" s="53" t="n"/>
      <c r="BD1158" s="53" t="n"/>
      <c r="BE1158" s="61" t="n"/>
      <c r="BF1158" s="55" t="n">
        <v>-16</v>
      </c>
      <c r="BG1158" s="55" t="n">
        <v>16</v>
      </c>
      <c r="BH1158" s="54" t="n">
        <v>-320</v>
      </c>
      <c r="BI1158" s="55" t="n">
        <v>0</v>
      </c>
      <c r="BJ1158" s="53" t="inlineStr"/>
      <c r="BK1158" s="58" t="n">
        <v>0</v>
      </c>
      <c r="BL1158" s="58" t="n">
        <v>1158</v>
      </c>
      <c r="BM1158" s="53">
        <f>IF(S1158&lt;&gt;"",UPPER(TRIM(S1158)),IF(O1158="","LOSE",O1158))</f>
        <v/>
      </c>
      <c r="BN1158" s="55">
        <f>IF(BM1158="LOSE",1,IF(N(T1158)&gt;0,T1158,IF(N(P1158)&gt;0,P1158,MAX(1,G1158))))</f>
        <v/>
      </c>
      <c r="BO1158" s="58">
        <f>IF(BM1158="LOSE",1,0)</f>
        <v/>
      </c>
      <c r="BP1158" s="64">
        <f>IF(BO1158=0,0,IF(N(R1158)&gt;0,R1158,IFERROR(VLOOKUP(D1158,Parameter!$A$35:$C$64,3,0)+0,0)))</f>
        <v/>
      </c>
      <c r="BQ1158" s="53">
        <f>IF(V1158&lt;&gt;"",V1158,U1158)</f>
        <v/>
      </c>
      <c r="BR1158" s="53">
        <f>IF(BQ1158=1,"L1",IF(OR(BQ1158=2,BQ1158=3),"L23",IF(BQ1158="Aussen","Aussen","-")))</f>
        <v/>
      </c>
      <c r="BS1158" s="66">
        <f>IF(N(W1158)&gt;0,W1158,0)</f>
        <v/>
      </c>
      <c r="BT1158" s="58">
        <f>IF(ISNUMBER(Z1158),1,0)</f>
        <v/>
      </c>
      <c r="BU1158" s="55">
        <f>N(Z1158)</f>
        <v/>
      </c>
      <c r="BV1158" s="55">
        <f>N(L1158)+N(M1158)</f>
        <v/>
      </c>
      <c r="BW1158" s="55">
        <f>ROUNDUP(G1158/BN1158,0)</f>
        <v/>
      </c>
      <c r="BX1158" s="55">
        <f>ROUNDUP(BU1158/BN1158,0)</f>
        <v/>
      </c>
      <c r="BY1158" s="58">
        <f>IF(BO1158=1,0,IFERROR(VLOOKUP(BM1158,'Gebinde-Kategorie'!$A$5:$G$45,5,0)+0,0))</f>
        <v/>
      </c>
      <c r="BZ1158" s="58">
        <f>IFERROR(IF(OR(BQ1158=1,BQ1158=2,BQ1158=3),N(INDEX(Parameter!$I$5:$I$7,BQ1158)),0),0)</f>
        <v/>
      </c>
    </row>
    <row r="1159">
      <c r="A1159" s="53" t="inlineStr">
        <is>
          <t>101638</t>
        </is>
      </c>
      <c r="B1159" s="53" t="inlineStr">
        <is>
          <t>Magnetspule</t>
        </is>
      </c>
      <c r="C1159" s="53" t="inlineStr">
        <is>
          <t>F</t>
        </is>
      </c>
      <c r="D1159" s="53" t="inlineStr">
        <is>
          <t>KTL</t>
        </is>
      </c>
      <c r="E1159" s="53" t="inlineStr">
        <is>
          <t>C</t>
        </is>
      </c>
      <c r="F1159" s="54" t="n">
        <v>107</v>
      </c>
      <c r="G1159" s="55">
        <f>MAX(0,IF(Parameter!$B$20="Jahresanfang 2025 + Export",BG1159+BF1159,BF1159))</f>
        <v/>
      </c>
      <c r="H1159" s="55">
        <f>G1159*F1159</f>
        <v/>
      </c>
      <c r="I1159" s="55">
        <f>BI1159*Parameter!$B$18</f>
        <v/>
      </c>
      <c r="J1159" s="56" t="n">
        <v>17</v>
      </c>
      <c r="K1159" s="57" t="n">
        <v>0.4705882352941176</v>
      </c>
      <c r="L1159" s="55" t="n">
        <v>1</v>
      </c>
      <c r="M1159" s="55" t="n">
        <v>10</v>
      </c>
      <c r="N1159" s="58" t="n">
        <v>84</v>
      </c>
      <c r="O1159" s="53" t="inlineStr">
        <is>
          <t>S52</t>
        </is>
      </c>
      <c r="P1159" s="55" t="n">
        <v>50</v>
      </c>
      <c r="Q1159" s="59">
        <f>IF(BO1159=1,0,IFERROR(VLOOKUP(BM1159,'Gebinde-Kategorie'!$A$5:$G$45,6,0)+0,0))</f>
        <v/>
      </c>
      <c r="R1159" s="60" t="n"/>
      <c r="S1159" s="61" t="n"/>
      <c r="T1159" s="61" t="n"/>
      <c r="U1159" s="53">
        <f>IF(A1159="","",IF(IFERROR(VLOOKUP(D1159,Parameter!$A$35:$C$64,2,0),"Nein")="2+3",IF(ISNUMBER(SEARCH("grosser Artikel",BJ1159)),2,IFERROR(VLOOKUP(BM1159,Parameter!$F$35:$G$64,2,0),2)),IF(OR(IFERROR(VLOOKUP(D1159,Parameter!$A$35:$C$64,2,0),"Nein")="Nein",IFERROR(VLOOKUP(D1159,Parameter!$A$35:$C$64,2,0),"Nein")=""),"-",VLOOKUP(D1159,Parameter!$A$35:$C$64,2,0))))</f>
        <v/>
      </c>
      <c r="V1159" s="61" t="n"/>
      <c r="W1159" s="62" t="n"/>
      <c r="X1159" s="55">
        <f>AM1159</f>
        <v/>
      </c>
      <c r="Y1159" s="55">
        <f>MAX(AM1159,G1159)</f>
        <v/>
      </c>
      <c r="Z1159" s="63" t="n"/>
      <c r="AA1159" s="55">
        <f>IF(LEFT(Cockpit!$C$5,1)="A",G1159,IF(BT1159=1,BU1159,IF(LEFT(Cockpit!$C$5,1)="B",AE1159,MAX(AE1159,G1159))))</f>
        <v/>
      </c>
      <c r="AB1159" s="55">
        <f>IF(BO1159=1,0,ROUNDUP(AA1159/BN1159,0))</f>
        <v/>
      </c>
      <c r="AC1159" s="64">
        <f>IF(BO1159=1,IF(AA1159&lt;=0,0,BP1159*MAX(1,IF(G1159&gt;0,AA1159/G1159,1))),AB1159*Q1159)</f>
        <v/>
      </c>
      <c r="AD1159" s="55">
        <f>AA1159*F1159</f>
        <v/>
      </c>
      <c r="AE1159" s="55">
        <f>ROUNDUP(MAX(I1159/IF(BS1159&gt;0,BS1159,MAX(0.1,N(Cockpit!$C$6))),BV1159)/BN1159,0)*BN1159</f>
        <v/>
      </c>
      <c r="AF1159" s="56">
        <f>IF(AC1159&gt;0,I1159/AC1159,-1)</f>
        <v/>
      </c>
      <c r="AG1159" s="56">
        <f>IF(AND(OR(BR1159="L1",BR1159="L23"),AC1159&gt;0),SUMIFS($AC$7:$AC$1570,$BR$7:$BR$1570,BR1159,$AF$7:$AF$1570,"&gt;"&amp;AF1159)+SUMIFS($AC$7:$AC$1570,$BR$7:$BR$1570,BR1159,$AF$7:$AF$1570,AF1159,$BL$7:$BL$1570,"&lt;="&amp;BL1159),"")</f>
        <v/>
      </c>
      <c r="AH1159" s="65">
        <f>IF(AG1159="",0,MAX(0,MIN(1,(IF(BR1159="L1",Parameter!$K$5,Parameter!$K$6+Parameter!$K$7)-(AG1159-AC1159))/AC1159)))</f>
        <v/>
      </c>
      <c r="AI1159" s="55">
        <f>IF(LEFT(Cockpit!$I$5,1)="A",G1159,IF(BT1159=1,BU1159,IF(LEFT(Cockpit!$I$5,1)="B",AM1159,MAX(AM1159,G1159))))</f>
        <v/>
      </c>
      <c r="AJ1159" s="55">
        <f>IF(BO1159=1,0,ROUNDUP(AI1159/BN1159,0))</f>
        <v/>
      </c>
      <c r="AK1159" s="64">
        <f>IF(BO1159=1,IF(AI1159&lt;=0,0,BP1159*MAX(1,IF(G1159&gt;0,AI1159/G1159,1))),AJ1159*Q1159)</f>
        <v/>
      </c>
      <c r="AL1159" s="55">
        <f>AI1159*F1159</f>
        <v/>
      </c>
      <c r="AM1159" s="55">
        <f>ROUNDUP(MAX(I1159/IF(BS1159&gt;0,BS1159,MAX(0.1,N(Cockpit!$I$6))),BV1159)/BN1159,0)*BN1159</f>
        <v/>
      </c>
      <c r="AN1159" s="56">
        <f>IF(AK1159&gt;0,I1159/AK1159,-1)</f>
        <v/>
      </c>
      <c r="AO1159" s="56">
        <f>IF(AND(OR(BR1159="L1",BR1159="L23"),AK1159&gt;0),SUMIFS($AK$7:$AK$1570,$BR$7:$BR$1570,BR1159,$AN$7:$AN$1570,"&gt;"&amp;AN1159)+SUMIFS($AK$7:$AK$1570,$BR$7:$BR$1570,BR1159,$AN$7:$AN$1570,AN1159,$BL$7:$BL$1570,"&lt;="&amp;BL1159),"")</f>
        <v/>
      </c>
      <c r="AP1159" s="65">
        <f>IF(AO1159="",0,MAX(0,MIN(1,(IF(BR1159="L1",Parameter!$K$5,Parameter!$K$6+Parameter!$K$7)-(AO1159-AK1159))/AK1159)))</f>
        <v/>
      </c>
      <c r="AQ1159" s="55">
        <f>IF(LEFT(Cockpit!$O$5,1)="A",G1159,IF(BT1159=1,BU1159,IF(LEFT(Cockpit!$O$5,1)="B",AU1159,MAX(AU1159,G1159))))</f>
        <v/>
      </c>
      <c r="AR1159" s="55">
        <f>IF(BO1159=1,0,ROUNDUP(AQ1159/BN1159,0))</f>
        <v/>
      </c>
      <c r="AS1159" s="64">
        <f>IF(BO1159=1,IF(AQ1159&lt;=0,0,BP1159*MAX(1,IF(G1159&gt;0,AQ1159/G1159,1))),AR1159*Q1159)</f>
        <v/>
      </c>
      <c r="AT1159" s="55">
        <f>AQ1159*F1159</f>
        <v/>
      </c>
      <c r="AU1159" s="55">
        <f>ROUNDUP(MAX(I1159/IF(BS1159&gt;0,BS1159,MAX(0.1,N(Cockpit!$O$6))),BV1159)/BN1159,0)*BN1159</f>
        <v/>
      </c>
      <c r="AV1159" s="56">
        <f>IF(AS1159&gt;0,I1159/AS1159,-1)</f>
        <v/>
      </c>
      <c r="AW1159" s="56">
        <f>IF(AND(OR(BR1159="L1",BR1159="L23"),AS1159&gt;0),SUMIFS($AS$7:$AS$1570,$BR$7:$BR$1570,BR1159,$AV$7:$AV$1570,"&gt;"&amp;AV1159)+SUMIFS($AS$7:$AS$1570,$BR$7:$BR$1570,BR1159,$AV$7:$AV$1570,AV1159,$BL$7:$BL$1570,"&lt;="&amp;BL1159),"")</f>
        <v/>
      </c>
      <c r="AX1159" s="65">
        <f>IF(AW1159="",0,MAX(0,MIN(1,(IF(BR1159="L1",Parameter!$K$5,Parameter!$K$6+Parameter!$K$7)-(AW1159-AS1159))/AS1159)))</f>
        <v/>
      </c>
      <c r="AY1159" s="53">
        <f>IF(AC1159&lt;=0,"",IF(BR1159="Aussen","Aussenlager",IF(BR1159="-","Nicht im Lift",IF(AH1159&gt;=1,"Lift",IF(AH1159&lt;=0,"Aussenlager","teilweise")))))</f>
        <v/>
      </c>
      <c r="AZ1159" s="53">
        <f>IF(AK1159&lt;=0,"",IF(BR1159="Aussen","Aussenlager",IF(BR1159="-","Nicht im Lift",IF(AP1159&gt;=1,"Lift",IF(AP1159&lt;=0,"Aussenlager","teilweise")))))</f>
        <v/>
      </c>
      <c r="BA1159" s="53">
        <f>IF(AS1159&lt;=0,"",IF(BR1159="Aussen","Aussenlager",IF(BR1159="-","Nicht im Lift",IF(AX1159&gt;=1,"Lift",IF(AX1159&lt;=0,"Aussenlager","teilweise")))))</f>
        <v/>
      </c>
      <c r="BB1159" s="53">
        <f>IF(A1159="","",IF(BK1159=1,"Neu; ","")&amp;IF(AND(BK1159=0,BF1159&lt;0),"negativer Bestand (Export "&amp;BF1159&amp;"); ","")&amp;IF(I1159&lt;=0,"Kein Verbrauch; ","")&amp;IF(BO1159=1,"Lose – Fläche geschätzt; ","")&amp;IF(G1159&gt;AM1159,"Überbestand "&amp;ROUND(G1159-AM1159,0)&amp;" Stk / CHF "&amp;ROUND((G1159-AM1159)*F1159,0)&amp;"; ","")&amp;IF(AND(BT1159=1,BU1159&lt;BV1159),"MAX &lt; MB+LG; ","")&amp;IF(AND(BZ1159&gt;0,BY1159*10&gt;BZ1159),"zu hoch für Tablar; ","")&amp;IF(AND(BK1159=0,OR(BT1159=1,V1159&lt;&gt;"",S1159&lt;&gt;"",T1159&lt;&gt;"",W1159&lt;&gt;"")),"manuell übersteuert; ","")&amp;IF(AND(BO1159=0,Q1159=0),"Gebinde unbekannt; ","")&amp;IF(AND(BO1159=0,N(T1159)&lt;=0,N(P1159)&lt;=0),"Menge pro Gebinde fehlt (Ist = 1 Gebinde); ","")&amp;BJ1159)</f>
        <v/>
      </c>
      <c r="BC1159" s="53" t="n"/>
      <c r="BD1159" s="53" t="n"/>
      <c r="BE1159" s="61" t="n"/>
      <c r="BF1159" s="55" t="n">
        <v>-3</v>
      </c>
      <c r="BG1159" s="55" t="n">
        <v>19</v>
      </c>
      <c r="BH1159" s="54" t="n">
        <v>-321</v>
      </c>
      <c r="BI1159" s="55" t="n">
        <v>8</v>
      </c>
      <c r="BJ1159" s="53" t="inlineStr"/>
      <c r="BK1159" s="58" t="n">
        <v>0</v>
      </c>
      <c r="BL1159" s="58" t="n">
        <v>1159</v>
      </c>
      <c r="BM1159" s="53">
        <f>IF(S1159&lt;&gt;"",UPPER(TRIM(S1159)),IF(O1159="","LOSE",O1159))</f>
        <v/>
      </c>
      <c r="BN1159" s="55">
        <f>IF(BM1159="LOSE",1,IF(N(T1159)&gt;0,T1159,IF(N(P1159)&gt;0,P1159,MAX(1,G1159))))</f>
        <v/>
      </c>
      <c r="BO1159" s="58">
        <f>IF(BM1159="LOSE",1,0)</f>
        <v/>
      </c>
      <c r="BP1159" s="64">
        <f>IF(BO1159=0,0,IF(N(R1159)&gt;0,R1159,IFERROR(VLOOKUP(D1159,Parameter!$A$35:$C$64,3,0)+0,0)))</f>
        <v/>
      </c>
      <c r="BQ1159" s="53">
        <f>IF(V1159&lt;&gt;"",V1159,U1159)</f>
        <v/>
      </c>
      <c r="BR1159" s="53">
        <f>IF(BQ1159=1,"L1",IF(OR(BQ1159=2,BQ1159=3),"L23",IF(BQ1159="Aussen","Aussen","-")))</f>
        <v/>
      </c>
      <c r="BS1159" s="66">
        <f>IF(N(W1159)&gt;0,W1159,0)</f>
        <v/>
      </c>
      <c r="BT1159" s="58">
        <f>IF(ISNUMBER(Z1159),1,0)</f>
        <v/>
      </c>
      <c r="BU1159" s="55">
        <f>N(Z1159)</f>
        <v/>
      </c>
      <c r="BV1159" s="55">
        <f>N(L1159)+N(M1159)</f>
        <v/>
      </c>
      <c r="BW1159" s="55">
        <f>ROUNDUP(G1159/BN1159,0)</f>
        <v/>
      </c>
      <c r="BX1159" s="55">
        <f>ROUNDUP(BU1159/BN1159,0)</f>
        <v/>
      </c>
      <c r="BY1159" s="58">
        <f>IF(BO1159=1,0,IFERROR(VLOOKUP(BM1159,'Gebinde-Kategorie'!$A$5:$G$45,5,0)+0,0))</f>
        <v/>
      </c>
      <c r="BZ1159" s="58">
        <f>IFERROR(IF(OR(BQ1159=1,BQ1159=2,BQ1159=3),N(INDEX(Parameter!$I$5:$I$7,BQ1159)),0),0)</f>
        <v/>
      </c>
    </row>
    <row r="1160">
      <c r="A1160" s="53" t="inlineStr">
        <is>
          <t>VM00008</t>
        </is>
      </c>
      <c r="B1160" s="53" t="inlineStr">
        <is>
          <t>Seitenfaltenbeutel, Einsatz für Euroboc</t>
        </is>
      </c>
      <c r="C1160" s="53" t="inlineStr">
        <is>
          <t>F</t>
        </is>
      </c>
      <c r="D1160" s="53" t="inlineStr">
        <is>
          <t>PAL</t>
        </is>
      </c>
      <c r="E1160" s="53" t="inlineStr">
        <is>
          <t>C</t>
        </is>
      </c>
      <c r="F1160" s="54" t="n">
        <v>4.95</v>
      </c>
      <c r="G1160" s="55">
        <f>MAX(0,IF(Parameter!$B$20="Jahresanfang 2025 + Export",BG1160+BF1160,BF1160))</f>
        <v/>
      </c>
      <c r="H1160" s="55">
        <f>G1160*F1160</f>
        <v/>
      </c>
      <c r="I1160" s="55">
        <f>BI1160*Parameter!$B$18</f>
        <v/>
      </c>
      <c r="J1160" s="56" t="n">
        <v>100</v>
      </c>
      <c r="K1160" s="57" t="n">
        <v>1.43</v>
      </c>
      <c r="L1160" s="55" t="n">
        <v>25</v>
      </c>
      <c r="M1160" s="55" t="n">
        <v>10</v>
      </c>
      <c r="N1160" s="58" t="n">
        <v>28</v>
      </c>
      <c r="O1160" s="53" t="inlineStr">
        <is>
          <t>LOSE</t>
        </is>
      </c>
      <c r="P1160" s="55" t="n"/>
      <c r="Q1160" s="59">
        <f>IF(BO1160=1,0,IFERROR(VLOOKUP(BM1160,'Gebinde-Kategorie'!$A$5:$G$45,6,0)+0,0))</f>
        <v/>
      </c>
      <c r="R1160" s="60" t="n"/>
      <c r="S1160" s="61" t="n"/>
      <c r="T1160" s="61" t="n"/>
      <c r="U1160" s="53">
        <f>IF(A1160="","",IF(IFERROR(VLOOKUP(D1160,Parameter!$A$35:$C$64,2,0),"Nein")="2+3",IF(ISNUMBER(SEARCH("grosser Artikel",BJ1160)),2,IFERROR(VLOOKUP(BM1160,Parameter!$F$35:$G$64,2,0),2)),IF(OR(IFERROR(VLOOKUP(D1160,Parameter!$A$35:$C$64,2,0),"Nein")="Nein",IFERROR(VLOOKUP(D1160,Parameter!$A$35:$C$64,2,0),"Nein")=""),"-",VLOOKUP(D1160,Parameter!$A$35:$C$64,2,0))))</f>
        <v/>
      </c>
      <c r="V1160" s="61" t="n"/>
      <c r="W1160" s="62" t="n"/>
      <c r="X1160" s="55">
        <f>AM1160</f>
        <v/>
      </c>
      <c r="Y1160" s="55">
        <f>MAX(AM1160,G1160)</f>
        <v/>
      </c>
      <c r="Z1160" s="63" t="n"/>
      <c r="AA1160" s="55">
        <f>IF(LEFT(Cockpit!$C$5,1)="A",G1160,IF(BT1160=1,BU1160,IF(LEFT(Cockpit!$C$5,1)="B",AE1160,MAX(AE1160,G1160))))</f>
        <v/>
      </c>
      <c r="AB1160" s="55">
        <f>IF(BO1160=1,0,ROUNDUP(AA1160/BN1160,0))</f>
        <v/>
      </c>
      <c r="AC1160" s="64">
        <f>IF(BO1160=1,IF(AA1160&lt;=0,0,BP1160*MAX(1,IF(G1160&gt;0,AA1160/G1160,1))),AB1160*Q1160)</f>
        <v/>
      </c>
      <c r="AD1160" s="55">
        <f>AA1160*F1160</f>
        <v/>
      </c>
      <c r="AE1160" s="55">
        <f>ROUNDUP(MAX(I1160/IF(BS1160&gt;0,BS1160,MAX(0.1,N(Cockpit!$C$6))),BV1160)/BN1160,0)*BN1160</f>
        <v/>
      </c>
      <c r="AF1160" s="56">
        <f>IF(AC1160&gt;0,I1160/AC1160,-1)</f>
        <v/>
      </c>
      <c r="AG1160" s="56">
        <f>IF(AND(OR(BR1160="L1",BR1160="L23"),AC1160&gt;0),SUMIFS($AC$7:$AC$1570,$BR$7:$BR$1570,BR1160,$AF$7:$AF$1570,"&gt;"&amp;AF1160)+SUMIFS($AC$7:$AC$1570,$BR$7:$BR$1570,BR1160,$AF$7:$AF$1570,AF1160,$BL$7:$BL$1570,"&lt;="&amp;BL1160),"")</f>
        <v/>
      </c>
      <c r="AH1160" s="65">
        <f>IF(AG1160="",0,MAX(0,MIN(1,(IF(BR1160="L1",Parameter!$K$5,Parameter!$K$6+Parameter!$K$7)-(AG1160-AC1160))/AC1160)))</f>
        <v/>
      </c>
      <c r="AI1160" s="55">
        <f>IF(LEFT(Cockpit!$I$5,1)="A",G1160,IF(BT1160=1,BU1160,IF(LEFT(Cockpit!$I$5,1)="B",AM1160,MAX(AM1160,G1160))))</f>
        <v/>
      </c>
      <c r="AJ1160" s="55">
        <f>IF(BO1160=1,0,ROUNDUP(AI1160/BN1160,0))</f>
        <v/>
      </c>
      <c r="AK1160" s="64">
        <f>IF(BO1160=1,IF(AI1160&lt;=0,0,BP1160*MAX(1,IF(G1160&gt;0,AI1160/G1160,1))),AJ1160*Q1160)</f>
        <v/>
      </c>
      <c r="AL1160" s="55">
        <f>AI1160*F1160</f>
        <v/>
      </c>
      <c r="AM1160" s="55">
        <f>ROUNDUP(MAX(I1160/IF(BS1160&gt;0,BS1160,MAX(0.1,N(Cockpit!$I$6))),BV1160)/BN1160,0)*BN1160</f>
        <v/>
      </c>
      <c r="AN1160" s="56">
        <f>IF(AK1160&gt;0,I1160/AK1160,-1)</f>
        <v/>
      </c>
      <c r="AO1160" s="56">
        <f>IF(AND(OR(BR1160="L1",BR1160="L23"),AK1160&gt;0),SUMIFS($AK$7:$AK$1570,$BR$7:$BR$1570,BR1160,$AN$7:$AN$1570,"&gt;"&amp;AN1160)+SUMIFS($AK$7:$AK$1570,$BR$7:$BR$1570,BR1160,$AN$7:$AN$1570,AN1160,$BL$7:$BL$1570,"&lt;="&amp;BL1160),"")</f>
        <v/>
      </c>
      <c r="AP1160" s="65">
        <f>IF(AO1160="",0,MAX(0,MIN(1,(IF(BR1160="L1",Parameter!$K$5,Parameter!$K$6+Parameter!$K$7)-(AO1160-AK1160))/AK1160)))</f>
        <v/>
      </c>
      <c r="AQ1160" s="55">
        <f>IF(LEFT(Cockpit!$O$5,1)="A",G1160,IF(BT1160=1,BU1160,IF(LEFT(Cockpit!$O$5,1)="B",AU1160,MAX(AU1160,G1160))))</f>
        <v/>
      </c>
      <c r="AR1160" s="55">
        <f>IF(BO1160=1,0,ROUNDUP(AQ1160/BN1160,0))</f>
        <v/>
      </c>
      <c r="AS1160" s="64">
        <f>IF(BO1160=1,IF(AQ1160&lt;=0,0,BP1160*MAX(1,IF(G1160&gt;0,AQ1160/G1160,1))),AR1160*Q1160)</f>
        <v/>
      </c>
      <c r="AT1160" s="55">
        <f>AQ1160*F1160</f>
        <v/>
      </c>
      <c r="AU1160" s="55">
        <f>ROUNDUP(MAX(I1160/IF(BS1160&gt;0,BS1160,MAX(0.1,N(Cockpit!$O$6))),BV1160)/BN1160,0)*BN1160</f>
        <v/>
      </c>
      <c r="AV1160" s="56">
        <f>IF(AS1160&gt;0,I1160/AS1160,-1)</f>
        <v/>
      </c>
      <c r="AW1160" s="56">
        <f>IF(AND(OR(BR1160="L1",BR1160="L23"),AS1160&gt;0),SUMIFS($AS$7:$AS$1570,$BR$7:$BR$1570,BR1160,$AV$7:$AV$1570,"&gt;"&amp;AV1160)+SUMIFS($AS$7:$AS$1570,$BR$7:$BR$1570,BR1160,$AV$7:$AV$1570,AV1160,$BL$7:$BL$1570,"&lt;="&amp;BL1160),"")</f>
        <v/>
      </c>
      <c r="AX1160" s="65">
        <f>IF(AW1160="",0,MAX(0,MIN(1,(IF(BR1160="L1",Parameter!$K$5,Parameter!$K$6+Parameter!$K$7)-(AW1160-AS1160))/AS1160)))</f>
        <v/>
      </c>
      <c r="AY1160" s="53">
        <f>IF(AC1160&lt;=0,"",IF(BR1160="Aussen","Aussenlager",IF(BR1160="-","Nicht im Lift",IF(AH1160&gt;=1,"Lift",IF(AH1160&lt;=0,"Aussenlager","teilweise")))))</f>
        <v/>
      </c>
      <c r="AZ1160" s="53">
        <f>IF(AK1160&lt;=0,"",IF(BR1160="Aussen","Aussenlager",IF(BR1160="-","Nicht im Lift",IF(AP1160&gt;=1,"Lift",IF(AP1160&lt;=0,"Aussenlager","teilweise")))))</f>
        <v/>
      </c>
      <c r="BA1160" s="53">
        <f>IF(AS1160&lt;=0,"",IF(BR1160="Aussen","Aussenlager",IF(BR1160="-","Nicht im Lift",IF(AX1160&gt;=1,"Lift",IF(AX1160&lt;=0,"Aussenlager","teilweise")))))</f>
        <v/>
      </c>
      <c r="BB1160" s="53">
        <f>IF(A1160="","",IF(BK1160=1,"Neu; ","")&amp;IF(AND(BK1160=0,BF1160&lt;0),"negativer Bestand (Export "&amp;BF1160&amp;"); ","")&amp;IF(I1160&lt;=0,"Kein Verbrauch; ","")&amp;IF(BO1160=1,"Lose – Fläche geschätzt; ","")&amp;IF(G1160&gt;AM1160,"Überbestand "&amp;ROUND(G1160-AM1160,0)&amp;" Stk / CHF "&amp;ROUND((G1160-AM1160)*F1160,0)&amp;"; ","")&amp;IF(AND(BT1160=1,BU1160&lt;BV1160),"MAX &lt; MB+LG; ","")&amp;IF(AND(BZ1160&gt;0,BY1160*10&gt;BZ1160),"zu hoch für Tablar; ","")&amp;IF(AND(BK1160=0,OR(BT1160=1,V1160&lt;&gt;"",S1160&lt;&gt;"",T1160&lt;&gt;"",W1160&lt;&gt;"")),"manuell übersteuert; ","")&amp;IF(AND(BO1160=0,Q1160=0),"Gebinde unbekannt; ","")&amp;IF(AND(BO1160=0,N(T1160)&lt;=0,N(P1160)&lt;=0),"Menge pro Gebinde fehlt (Ist = 1 Gebinde); ","")&amp;BJ1160)</f>
        <v/>
      </c>
      <c r="BC1160" s="53" t="n"/>
      <c r="BD1160" s="53" t="n"/>
      <c r="BE1160" s="61" t="n"/>
      <c r="BF1160" s="55" t="n">
        <v>-50</v>
      </c>
      <c r="BG1160" s="55" t="n">
        <v>100</v>
      </c>
      <c r="BH1160" s="54" t="n">
        <v>-322.5</v>
      </c>
      <c r="BI1160" s="55" t="n">
        <v>143</v>
      </c>
      <c r="BJ1160" s="53" t="inlineStr"/>
      <c r="BK1160" s="58" t="n">
        <v>0</v>
      </c>
      <c r="BL1160" s="58" t="n">
        <v>1160</v>
      </c>
      <c r="BM1160" s="53">
        <f>IF(S1160&lt;&gt;"",UPPER(TRIM(S1160)),IF(O1160="","LOSE",O1160))</f>
        <v/>
      </c>
      <c r="BN1160" s="55">
        <f>IF(BM1160="LOSE",1,IF(N(T1160)&gt;0,T1160,IF(N(P1160)&gt;0,P1160,MAX(1,G1160))))</f>
        <v/>
      </c>
      <c r="BO1160" s="58">
        <f>IF(BM1160="LOSE",1,0)</f>
        <v/>
      </c>
      <c r="BP1160" s="64">
        <f>IF(BO1160=0,0,IF(N(R1160)&gt;0,R1160,IFERROR(VLOOKUP(D1160,Parameter!$A$35:$C$64,3,0)+0,0)))</f>
        <v/>
      </c>
      <c r="BQ1160" s="53">
        <f>IF(V1160&lt;&gt;"",V1160,U1160)</f>
        <v/>
      </c>
      <c r="BR1160" s="53">
        <f>IF(BQ1160=1,"L1",IF(OR(BQ1160=2,BQ1160=3),"L23",IF(BQ1160="Aussen","Aussen","-")))</f>
        <v/>
      </c>
      <c r="BS1160" s="66">
        <f>IF(N(W1160)&gt;0,W1160,0)</f>
        <v/>
      </c>
      <c r="BT1160" s="58">
        <f>IF(ISNUMBER(Z1160),1,0)</f>
        <v/>
      </c>
      <c r="BU1160" s="55">
        <f>N(Z1160)</f>
        <v/>
      </c>
      <c r="BV1160" s="55">
        <f>N(L1160)+N(M1160)</f>
        <v/>
      </c>
      <c r="BW1160" s="55">
        <f>ROUNDUP(G1160/BN1160,0)</f>
        <v/>
      </c>
      <c r="BX1160" s="55">
        <f>ROUNDUP(BU1160/BN1160,0)</f>
        <v/>
      </c>
      <c r="BY1160" s="58">
        <f>IF(BO1160=1,0,IFERROR(VLOOKUP(BM1160,'Gebinde-Kategorie'!$A$5:$G$45,5,0)+0,0))</f>
        <v/>
      </c>
      <c r="BZ1160" s="58">
        <f>IFERROR(IF(OR(BQ1160=1,BQ1160=2,BQ1160=3),N(INDEX(Parameter!$I$5:$I$7,BQ1160)),0),0)</f>
        <v/>
      </c>
    </row>
    <row r="1161">
      <c r="A1161" s="53" t="inlineStr">
        <is>
          <t>101100</t>
        </is>
      </c>
      <c r="B1161" s="53" t="inlineStr">
        <is>
          <t>Zylinderschraube mit Innensechskant</t>
        </is>
      </c>
      <c r="C1161" s="53" t="inlineStr">
        <is>
          <t>G</t>
        </is>
      </c>
      <c r="D1161" s="53" t="inlineStr">
        <is>
          <t>KTL</t>
        </is>
      </c>
      <c r="E1161" s="53" t="inlineStr">
        <is>
          <t>C</t>
        </is>
      </c>
      <c r="F1161" s="54" t="n">
        <v>7.18</v>
      </c>
      <c r="G1161" s="55">
        <f>MAX(0,IF(Parameter!$B$20="Jahresanfang 2025 + Export",BG1161+BF1161,BF1161))</f>
        <v/>
      </c>
      <c r="H1161" s="55">
        <f>G1161*F1161</f>
        <v/>
      </c>
      <c r="I1161" s="55">
        <f>BI1161*Parameter!$B$18</f>
        <v/>
      </c>
      <c r="J1161" s="56" t="n">
        <v>393.5</v>
      </c>
      <c r="K1161" s="57" t="n">
        <v>0.1067344345616264</v>
      </c>
      <c r="L1161" s="55" t="n">
        <v>1</v>
      </c>
      <c r="M1161" s="55" t="n">
        <v>40</v>
      </c>
      <c r="N1161" s="58" t="n">
        <v>14</v>
      </c>
      <c r="O1161" s="53" t="inlineStr">
        <is>
          <t>S63</t>
        </is>
      </c>
      <c r="P1161" s="55" t="n">
        <v>320</v>
      </c>
      <c r="Q1161" s="59">
        <f>IF(BO1161=1,0,IFERROR(VLOOKUP(BM1161,'Gebinde-Kategorie'!$A$5:$G$45,6,0)+0,0))</f>
        <v/>
      </c>
      <c r="R1161" s="60" t="n"/>
      <c r="S1161" s="61" t="n"/>
      <c r="T1161" s="61" t="n"/>
      <c r="U1161" s="53">
        <f>IF(A1161="","",IF(IFERROR(VLOOKUP(D1161,Parameter!$A$35:$C$64,2,0),"Nein")="2+3",IF(ISNUMBER(SEARCH("grosser Artikel",BJ1161)),2,IFERROR(VLOOKUP(BM1161,Parameter!$F$35:$G$64,2,0),2)),IF(OR(IFERROR(VLOOKUP(D1161,Parameter!$A$35:$C$64,2,0),"Nein")="Nein",IFERROR(VLOOKUP(D1161,Parameter!$A$35:$C$64,2,0),"Nein")=""),"-",VLOOKUP(D1161,Parameter!$A$35:$C$64,2,0))))</f>
        <v/>
      </c>
      <c r="V1161" s="61" t="n"/>
      <c r="W1161" s="62" t="n"/>
      <c r="X1161" s="55">
        <f>AM1161</f>
        <v/>
      </c>
      <c r="Y1161" s="55">
        <f>MAX(AM1161,G1161)</f>
        <v/>
      </c>
      <c r="Z1161" s="63" t="n"/>
      <c r="AA1161" s="55">
        <f>IF(LEFT(Cockpit!$C$5,1)="A",G1161,IF(BT1161=1,BU1161,IF(LEFT(Cockpit!$C$5,1)="B",AE1161,MAX(AE1161,G1161))))</f>
        <v/>
      </c>
      <c r="AB1161" s="55">
        <f>IF(BO1161=1,0,ROUNDUP(AA1161/BN1161,0))</f>
        <v/>
      </c>
      <c r="AC1161" s="64">
        <f>IF(BO1161=1,IF(AA1161&lt;=0,0,BP1161*MAX(1,IF(G1161&gt;0,AA1161/G1161,1))),AB1161*Q1161)</f>
        <v/>
      </c>
      <c r="AD1161" s="55">
        <f>AA1161*F1161</f>
        <v/>
      </c>
      <c r="AE1161" s="55">
        <f>ROUNDUP(MAX(I1161/IF(BS1161&gt;0,BS1161,MAX(0.1,N(Cockpit!$C$6))),BV1161)/BN1161,0)*BN1161</f>
        <v/>
      </c>
      <c r="AF1161" s="56">
        <f>IF(AC1161&gt;0,I1161/AC1161,-1)</f>
        <v/>
      </c>
      <c r="AG1161" s="56">
        <f>IF(AND(OR(BR1161="L1",BR1161="L23"),AC1161&gt;0),SUMIFS($AC$7:$AC$1570,$BR$7:$BR$1570,BR1161,$AF$7:$AF$1570,"&gt;"&amp;AF1161)+SUMIFS($AC$7:$AC$1570,$BR$7:$BR$1570,BR1161,$AF$7:$AF$1570,AF1161,$BL$7:$BL$1570,"&lt;="&amp;BL1161),"")</f>
        <v/>
      </c>
      <c r="AH1161" s="65">
        <f>IF(AG1161="",0,MAX(0,MIN(1,(IF(BR1161="L1",Parameter!$K$5,Parameter!$K$6+Parameter!$K$7)-(AG1161-AC1161))/AC1161)))</f>
        <v/>
      </c>
      <c r="AI1161" s="55">
        <f>IF(LEFT(Cockpit!$I$5,1)="A",G1161,IF(BT1161=1,BU1161,IF(LEFT(Cockpit!$I$5,1)="B",AM1161,MAX(AM1161,G1161))))</f>
        <v/>
      </c>
      <c r="AJ1161" s="55">
        <f>IF(BO1161=1,0,ROUNDUP(AI1161/BN1161,0))</f>
        <v/>
      </c>
      <c r="AK1161" s="64">
        <f>IF(BO1161=1,IF(AI1161&lt;=0,0,BP1161*MAX(1,IF(G1161&gt;0,AI1161/G1161,1))),AJ1161*Q1161)</f>
        <v/>
      </c>
      <c r="AL1161" s="55">
        <f>AI1161*F1161</f>
        <v/>
      </c>
      <c r="AM1161" s="55">
        <f>ROUNDUP(MAX(I1161/IF(BS1161&gt;0,BS1161,MAX(0.1,N(Cockpit!$I$6))),BV1161)/BN1161,0)*BN1161</f>
        <v/>
      </c>
      <c r="AN1161" s="56">
        <f>IF(AK1161&gt;0,I1161/AK1161,-1)</f>
        <v/>
      </c>
      <c r="AO1161" s="56">
        <f>IF(AND(OR(BR1161="L1",BR1161="L23"),AK1161&gt;0),SUMIFS($AK$7:$AK$1570,$BR$7:$BR$1570,BR1161,$AN$7:$AN$1570,"&gt;"&amp;AN1161)+SUMIFS($AK$7:$AK$1570,$BR$7:$BR$1570,BR1161,$AN$7:$AN$1570,AN1161,$BL$7:$BL$1570,"&lt;="&amp;BL1161),"")</f>
        <v/>
      </c>
      <c r="AP1161" s="65">
        <f>IF(AO1161="",0,MAX(0,MIN(1,(IF(BR1161="L1",Parameter!$K$5,Parameter!$K$6+Parameter!$K$7)-(AO1161-AK1161))/AK1161)))</f>
        <v/>
      </c>
      <c r="AQ1161" s="55">
        <f>IF(LEFT(Cockpit!$O$5,1)="A",G1161,IF(BT1161=1,BU1161,IF(LEFT(Cockpit!$O$5,1)="B",AU1161,MAX(AU1161,G1161))))</f>
        <v/>
      </c>
      <c r="AR1161" s="55">
        <f>IF(BO1161=1,0,ROUNDUP(AQ1161/BN1161,0))</f>
        <v/>
      </c>
      <c r="AS1161" s="64">
        <f>IF(BO1161=1,IF(AQ1161&lt;=0,0,BP1161*MAX(1,IF(G1161&gt;0,AQ1161/G1161,1))),AR1161*Q1161)</f>
        <v/>
      </c>
      <c r="AT1161" s="55">
        <f>AQ1161*F1161</f>
        <v/>
      </c>
      <c r="AU1161" s="55">
        <f>ROUNDUP(MAX(I1161/IF(BS1161&gt;0,BS1161,MAX(0.1,N(Cockpit!$O$6))),BV1161)/BN1161,0)*BN1161</f>
        <v/>
      </c>
      <c r="AV1161" s="56">
        <f>IF(AS1161&gt;0,I1161/AS1161,-1)</f>
        <v/>
      </c>
      <c r="AW1161" s="56">
        <f>IF(AND(OR(BR1161="L1",BR1161="L23"),AS1161&gt;0),SUMIFS($AS$7:$AS$1570,$BR$7:$BR$1570,BR1161,$AV$7:$AV$1570,"&gt;"&amp;AV1161)+SUMIFS($AS$7:$AS$1570,$BR$7:$BR$1570,BR1161,$AV$7:$AV$1570,AV1161,$BL$7:$BL$1570,"&lt;="&amp;BL1161),"")</f>
        <v/>
      </c>
      <c r="AX1161" s="65">
        <f>IF(AW1161="",0,MAX(0,MIN(1,(IF(BR1161="L1",Parameter!$K$5,Parameter!$K$6+Parameter!$K$7)-(AW1161-AS1161))/AS1161)))</f>
        <v/>
      </c>
      <c r="AY1161" s="53">
        <f>IF(AC1161&lt;=0,"",IF(BR1161="Aussen","Aussenlager",IF(BR1161="-","Nicht im Lift",IF(AH1161&gt;=1,"Lift",IF(AH1161&lt;=0,"Aussenlager","teilweise")))))</f>
        <v/>
      </c>
      <c r="AZ1161" s="53">
        <f>IF(AK1161&lt;=0,"",IF(BR1161="Aussen","Aussenlager",IF(BR1161="-","Nicht im Lift",IF(AP1161&gt;=1,"Lift",IF(AP1161&lt;=0,"Aussenlager","teilweise")))))</f>
        <v/>
      </c>
      <c r="BA1161" s="53">
        <f>IF(AS1161&lt;=0,"",IF(BR1161="Aussen","Aussenlager",IF(BR1161="-","Nicht im Lift",IF(AX1161&gt;=1,"Lift",IF(AX1161&lt;=0,"Aussenlager","teilweise")))))</f>
        <v/>
      </c>
      <c r="BB1161" s="53">
        <f>IF(A1161="","",IF(BK1161=1,"Neu; ","")&amp;IF(AND(BK1161=0,BF1161&lt;0),"negativer Bestand (Export "&amp;BF1161&amp;"); ","")&amp;IF(I1161&lt;=0,"Kein Verbrauch; ","")&amp;IF(BO1161=1,"Lose – Fläche geschätzt; ","")&amp;IF(G1161&gt;AM1161,"Überbestand "&amp;ROUND(G1161-AM1161,0)&amp;" Stk / CHF "&amp;ROUND((G1161-AM1161)*F1161,0)&amp;"; ","")&amp;IF(AND(BT1161=1,BU1161&lt;BV1161),"MAX &lt; MB+LG; ","")&amp;IF(AND(BZ1161&gt;0,BY1161*10&gt;BZ1161),"zu hoch für Tablar; ","")&amp;IF(AND(BK1161=0,OR(BT1161=1,V1161&lt;&gt;"",S1161&lt;&gt;"",T1161&lt;&gt;"",W1161&lt;&gt;"")),"manuell übersteuert; ","")&amp;IF(AND(BO1161=0,Q1161=0),"Gebinde unbekannt; ","")&amp;IF(AND(BO1161=0,N(T1161)&lt;=0,N(P1161)&lt;=0),"Menge pro Gebinde fehlt (Ist = 1 Gebinde); ","")&amp;BJ1161)</f>
        <v/>
      </c>
      <c r="BC1161" s="53" t="n"/>
      <c r="BD1161" s="53" t="n"/>
      <c r="BE1161" s="61" t="n"/>
      <c r="BF1161" s="55" t="n">
        <v>-45</v>
      </c>
      <c r="BG1161" s="55" t="n">
        <v>420</v>
      </c>
      <c r="BH1161" s="54" t="n">
        <v>-323.1</v>
      </c>
      <c r="BI1161" s="55" t="n">
        <v>42</v>
      </c>
      <c r="BJ1161" s="53" t="inlineStr"/>
      <c r="BK1161" s="58" t="n">
        <v>0</v>
      </c>
      <c r="BL1161" s="58" t="n">
        <v>1161</v>
      </c>
      <c r="BM1161" s="53">
        <f>IF(S1161&lt;&gt;"",UPPER(TRIM(S1161)),IF(O1161="","LOSE",O1161))</f>
        <v/>
      </c>
      <c r="BN1161" s="55">
        <f>IF(BM1161="LOSE",1,IF(N(T1161)&gt;0,T1161,IF(N(P1161)&gt;0,P1161,MAX(1,G1161))))</f>
        <v/>
      </c>
      <c r="BO1161" s="58">
        <f>IF(BM1161="LOSE",1,0)</f>
        <v/>
      </c>
      <c r="BP1161" s="64">
        <f>IF(BO1161=0,0,IF(N(R1161)&gt;0,R1161,IFERROR(VLOOKUP(D1161,Parameter!$A$35:$C$64,3,0)+0,0)))</f>
        <v/>
      </c>
      <c r="BQ1161" s="53">
        <f>IF(V1161&lt;&gt;"",V1161,U1161)</f>
        <v/>
      </c>
      <c r="BR1161" s="53">
        <f>IF(BQ1161=1,"L1",IF(OR(BQ1161=2,BQ1161=3),"L23",IF(BQ1161="Aussen","Aussen","-")))</f>
        <v/>
      </c>
      <c r="BS1161" s="66">
        <f>IF(N(W1161)&gt;0,W1161,0)</f>
        <v/>
      </c>
      <c r="BT1161" s="58">
        <f>IF(ISNUMBER(Z1161),1,0)</f>
        <v/>
      </c>
      <c r="BU1161" s="55">
        <f>N(Z1161)</f>
        <v/>
      </c>
      <c r="BV1161" s="55">
        <f>N(L1161)+N(M1161)</f>
        <v/>
      </c>
      <c r="BW1161" s="55">
        <f>ROUNDUP(G1161/BN1161,0)</f>
        <v/>
      </c>
      <c r="BX1161" s="55">
        <f>ROUNDUP(BU1161/BN1161,0)</f>
        <v/>
      </c>
      <c r="BY1161" s="58">
        <f>IF(BO1161=1,0,IFERROR(VLOOKUP(BM1161,'Gebinde-Kategorie'!$A$5:$G$45,5,0)+0,0))</f>
        <v/>
      </c>
      <c r="BZ1161" s="58">
        <f>IFERROR(IF(OR(BQ1161=1,BQ1161=2,BQ1161=3),N(INDEX(Parameter!$I$5:$I$7,BQ1161)),0),0)</f>
        <v/>
      </c>
    </row>
    <row r="1162">
      <c r="A1162" s="53" t="inlineStr">
        <is>
          <t>108078</t>
        </is>
      </c>
      <c r="B1162" s="53" t="inlineStr">
        <is>
          <t>Innenbox SPGr10 SVC1 3/3</t>
        </is>
      </c>
      <c r="C1162" s="53" t="inlineStr">
        <is>
          <t>G</t>
        </is>
      </c>
      <c r="D1162" s="53" t="inlineStr">
        <is>
          <t>PAL</t>
        </is>
      </c>
      <c r="E1162" s="53" t="inlineStr">
        <is>
          <t>C</t>
        </is>
      </c>
      <c r="F1162" s="54" t="n">
        <v>82.58</v>
      </c>
      <c r="G1162" s="55">
        <f>MAX(0,IF(Parameter!$B$20="Jahresanfang 2025 + Export",BG1162+BF1162,BF1162))</f>
        <v/>
      </c>
      <c r="H1162" s="55">
        <f>G1162*F1162</f>
        <v/>
      </c>
      <c r="I1162" s="55">
        <f>BI1162*Parameter!$B$18</f>
        <v/>
      </c>
      <c r="J1162" s="56" t="n">
        <v>2</v>
      </c>
      <c r="K1162" s="57" t="n">
        <v>0</v>
      </c>
      <c r="L1162" s="55" t="n">
        <v>0</v>
      </c>
      <c r="M1162" s="55" t="n">
        <v>1</v>
      </c>
      <c r="N1162" s="58" t="n">
        <v>56</v>
      </c>
      <c r="O1162" s="53" t="inlineStr">
        <is>
          <t>LOSE</t>
        </is>
      </c>
      <c r="P1162" s="55" t="n"/>
      <c r="Q1162" s="59">
        <f>IF(BO1162=1,0,IFERROR(VLOOKUP(BM1162,'Gebinde-Kategorie'!$A$5:$G$45,6,0)+0,0))</f>
        <v/>
      </c>
      <c r="R1162" s="60" t="n"/>
      <c r="S1162" s="61" t="n"/>
      <c r="T1162" s="61" t="n"/>
      <c r="U1162" s="53">
        <f>IF(A1162="","",IF(IFERROR(VLOOKUP(D1162,Parameter!$A$35:$C$64,2,0),"Nein")="2+3",IF(ISNUMBER(SEARCH("grosser Artikel",BJ1162)),2,IFERROR(VLOOKUP(BM1162,Parameter!$F$35:$G$64,2,0),2)),IF(OR(IFERROR(VLOOKUP(D1162,Parameter!$A$35:$C$64,2,0),"Nein")="Nein",IFERROR(VLOOKUP(D1162,Parameter!$A$35:$C$64,2,0),"Nein")=""),"-",VLOOKUP(D1162,Parameter!$A$35:$C$64,2,0))))</f>
        <v/>
      </c>
      <c r="V1162" s="61" t="n"/>
      <c r="W1162" s="62" t="n"/>
      <c r="X1162" s="55">
        <f>AM1162</f>
        <v/>
      </c>
      <c r="Y1162" s="55">
        <f>MAX(AM1162,G1162)</f>
        <v/>
      </c>
      <c r="Z1162" s="63" t="n"/>
      <c r="AA1162" s="55">
        <f>IF(LEFT(Cockpit!$C$5,1)="A",G1162,IF(BT1162=1,BU1162,IF(LEFT(Cockpit!$C$5,1)="B",AE1162,MAX(AE1162,G1162))))</f>
        <v/>
      </c>
      <c r="AB1162" s="55">
        <f>IF(BO1162=1,0,ROUNDUP(AA1162/BN1162,0))</f>
        <v/>
      </c>
      <c r="AC1162" s="64">
        <f>IF(BO1162=1,IF(AA1162&lt;=0,0,BP1162*MAX(1,IF(G1162&gt;0,AA1162/G1162,1))),AB1162*Q1162)</f>
        <v/>
      </c>
      <c r="AD1162" s="55">
        <f>AA1162*F1162</f>
        <v/>
      </c>
      <c r="AE1162" s="55">
        <f>ROUNDUP(MAX(I1162/IF(BS1162&gt;0,BS1162,MAX(0.1,N(Cockpit!$C$6))),BV1162)/BN1162,0)*BN1162</f>
        <v/>
      </c>
      <c r="AF1162" s="56">
        <f>IF(AC1162&gt;0,I1162/AC1162,-1)</f>
        <v/>
      </c>
      <c r="AG1162" s="56">
        <f>IF(AND(OR(BR1162="L1",BR1162="L23"),AC1162&gt;0),SUMIFS($AC$7:$AC$1570,$BR$7:$BR$1570,BR1162,$AF$7:$AF$1570,"&gt;"&amp;AF1162)+SUMIFS($AC$7:$AC$1570,$BR$7:$BR$1570,BR1162,$AF$7:$AF$1570,AF1162,$BL$7:$BL$1570,"&lt;="&amp;BL1162),"")</f>
        <v/>
      </c>
      <c r="AH1162" s="65">
        <f>IF(AG1162="",0,MAX(0,MIN(1,(IF(BR1162="L1",Parameter!$K$5,Parameter!$K$6+Parameter!$K$7)-(AG1162-AC1162))/AC1162)))</f>
        <v/>
      </c>
      <c r="AI1162" s="55">
        <f>IF(LEFT(Cockpit!$I$5,1)="A",G1162,IF(BT1162=1,BU1162,IF(LEFT(Cockpit!$I$5,1)="B",AM1162,MAX(AM1162,G1162))))</f>
        <v/>
      </c>
      <c r="AJ1162" s="55">
        <f>IF(BO1162=1,0,ROUNDUP(AI1162/BN1162,0))</f>
        <v/>
      </c>
      <c r="AK1162" s="64">
        <f>IF(BO1162=1,IF(AI1162&lt;=0,0,BP1162*MAX(1,IF(G1162&gt;0,AI1162/G1162,1))),AJ1162*Q1162)</f>
        <v/>
      </c>
      <c r="AL1162" s="55">
        <f>AI1162*F1162</f>
        <v/>
      </c>
      <c r="AM1162" s="55">
        <f>ROUNDUP(MAX(I1162/IF(BS1162&gt;0,BS1162,MAX(0.1,N(Cockpit!$I$6))),BV1162)/BN1162,0)*BN1162</f>
        <v/>
      </c>
      <c r="AN1162" s="56">
        <f>IF(AK1162&gt;0,I1162/AK1162,-1)</f>
        <v/>
      </c>
      <c r="AO1162" s="56">
        <f>IF(AND(OR(BR1162="L1",BR1162="L23"),AK1162&gt;0),SUMIFS($AK$7:$AK$1570,$BR$7:$BR$1570,BR1162,$AN$7:$AN$1570,"&gt;"&amp;AN1162)+SUMIFS($AK$7:$AK$1570,$BR$7:$BR$1570,BR1162,$AN$7:$AN$1570,AN1162,$BL$7:$BL$1570,"&lt;="&amp;BL1162),"")</f>
        <v/>
      </c>
      <c r="AP1162" s="65">
        <f>IF(AO1162="",0,MAX(0,MIN(1,(IF(BR1162="L1",Parameter!$K$5,Parameter!$K$6+Parameter!$K$7)-(AO1162-AK1162))/AK1162)))</f>
        <v/>
      </c>
      <c r="AQ1162" s="55">
        <f>IF(LEFT(Cockpit!$O$5,1)="A",G1162,IF(BT1162=1,BU1162,IF(LEFT(Cockpit!$O$5,1)="B",AU1162,MAX(AU1162,G1162))))</f>
        <v/>
      </c>
      <c r="AR1162" s="55">
        <f>IF(BO1162=1,0,ROUNDUP(AQ1162/BN1162,0))</f>
        <v/>
      </c>
      <c r="AS1162" s="64">
        <f>IF(BO1162=1,IF(AQ1162&lt;=0,0,BP1162*MAX(1,IF(G1162&gt;0,AQ1162/G1162,1))),AR1162*Q1162)</f>
        <v/>
      </c>
      <c r="AT1162" s="55">
        <f>AQ1162*F1162</f>
        <v/>
      </c>
      <c r="AU1162" s="55">
        <f>ROUNDUP(MAX(I1162/IF(BS1162&gt;0,BS1162,MAX(0.1,N(Cockpit!$O$6))),BV1162)/BN1162,0)*BN1162</f>
        <v/>
      </c>
      <c r="AV1162" s="56">
        <f>IF(AS1162&gt;0,I1162/AS1162,-1)</f>
        <v/>
      </c>
      <c r="AW1162" s="56">
        <f>IF(AND(OR(BR1162="L1",BR1162="L23"),AS1162&gt;0),SUMIFS($AS$7:$AS$1570,$BR$7:$BR$1570,BR1162,$AV$7:$AV$1570,"&gt;"&amp;AV1162)+SUMIFS($AS$7:$AS$1570,$BR$7:$BR$1570,BR1162,$AV$7:$AV$1570,AV1162,$BL$7:$BL$1570,"&lt;="&amp;BL1162),"")</f>
        <v/>
      </c>
      <c r="AX1162" s="65">
        <f>IF(AW1162="",0,MAX(0,MIN(1,(IF(BR1162="L1",Parameter!$K$5,Parameter!$K$6+Parameter!$K$7)-(AW1162-AS1162))/AS1162)))</f>
        <v/>
      </c>
      <c r="AY1162" s="53">
        <f>IF(AC1162&lt;=0,"",IF(BR1162="Aussen","Aussenlager",IF(BR1162="-","Nicht im Lift",IF(AH1162&gt;=1,"Lift",IF(AH1162&lt;=0,"Aussenlager","teilweise")))))</f>
        <v/>
      </c>
      <c r="AZ1162" s="53">
        <f>IF(AK1162&lt;=0,"",IF(BR1162="Aussen","Aussenlager",IF(BR1162="-","Nicht im Lift",IF(AP1162&gt;=1,"Lift",IF(AP1162&lt;=0,"Aussenlager","teilweise")))))</f>
        <v/>
      </c>
      <c r="BA1162" s="53">
        <f>IF(AS1162&lt;=0,"",IF(BR1162="Aussen","Aussenlager",IF(BR1162="-","Nicht im Lift",IF(AX1162&gt;=1,"Lift",IF(AX1162&lt;=0,"Aussenlager","teilweise")))))</f>
        <v/>
      </c>
      <c r="BB1162" s="53">
        <f>IF(A1162="","",IF(BK1162=1,"Neu; ","")&amp;IF(AND(BK1162=0,BF1162&lt;0),"negativer Bestand (Export "&amp;BF1162&amp;"); ","")&amp;IF(I1162&lt;=0,"Kein Verbrauch; ","")&amp;IF(BO1162=1,"Lose – Fläche geschätzt; ","")&amp;IF(G1162&gt;AM1162,"Überbestand "&amp;ROUND(G1162-AM1162,0)&amp;" Stk / CHF "&amp;ROUND((G1162-AM1162)*F1162,0)&amp;"; ","")&amp;IF(AND(BT1162=1,BU1162&lt;BV1162),"MAX &lt; MB+LG; ","")&amp;IF(AND(BZ1162&gt;0,BY1162*10&gt;BZ1162),"zu hoch für Tablar; ","")&amp;IF(AND(BK1162=0,OR(BT1162=1,V1162&lt;&gt;"",S1162&lt;&gt;"",T1162&lt;&gt;"",W1162&lt;&gt;"")),"manuell übersteuert; ","")&amp;IF(AND(BO1162=0,Q1162=0),"Gebinde unbekannt; ","")&amp;IF(AND(BO1162=0,N(T1162)&lt;=0,N(P1162)&lt;=0),"Menge pro Gebinde fehlt (Ist = 1 Gebinde); ","")&amp;BJ1162)</f>
        <v/>
      </c>
      <c r="BC1162" s="53" t="n"/>
      <c r="BD1162" s="53" t="n"/>
      <c r="BE1162" s="61" t="n"/>
      <c r="BF1162" s="55" t="n">
        <v>-4</v>
      </c>
      <c r="BG1162" s="55" t="n">
        <v>4</v>
      </c>
      <c r="BH1162" s="54" t="n">
        <v>-330.32</v>
      </c>
      <c r="BI1162" s="55" t="n">
        <v>0</v>
      </c>
      <c r="BJ1162" s="53" t="inlineStr"/>
      <c r="BK1162" s="58" t="n">
        <v>0</v>
      </c>
      <c r="BL1162" s="58" t="n">
        <v>1162</v>
      </c>
      <c r="BM1162" s="53">
        <f>IF(S1162&lt;&gt;"",UPPER(TRIM(S1162)),IF(O1162="","LOSE",O1162))</f>
        <v/>
      </c>
      <c r="BN1162" s="55">
        <f>IF(BM1162="LOSE",1,IF(N(T1162)&gt;0,T1162,IF(N(P1162)&gt;0,P1162,MAX(1,G1162))))</f>
        <v/>
      </c>
      <c r="BO1162" s="58">
        <f>IF(BM1162="LOSE",1,0)</f>
        <v/>
      </c>
      <c r="BP1162" s="64">
        <f>IF(BO1162=0,0,IF(N(R1162)&gt;0,R1162,IFERROR(VLOOKUP(D1162,Parameter!$A$35:$C$64,3,0)+0,0)))</f>
        <v/>
      </c>
      <c r="BQ1162" s="53">
        <f>IF(V1162&lt;&gt;"",V1162,U1162)</f>
        <v/>
      </c>
      <c r="BR1162" s="53">
        <f>IF(BQ1162=1,"L1",IF(OR(BQ1162=2,BQ1162=3),"L23",IF(BQ1162="Aussen","Aussen","-")))</f>
        <v/>
      </c>
      <c r="BS1162" s="66">
        <f>IF(N(W1162)&gt;0,W1162,0)</f>
        <v/>
      </c>
      <c r="BT1162" s="58">
        <f>IF(ISNUMBER(Z1162),1,0)</f>
        <v/>
      </c>
      <c r="BU1162" s="55">
        <f>N(Z1162)</f>
        <v/>
      </c>
      <c r="BV1162" s="55">
        <f>N(L1162)+N(M1162)</f>
        <v/>
      </c>
      <c r="BW1162" s="55">
        <f>ROUNDUP(G1162/BN1162,0)</f>
        <v/>
      </c>
      <c r="BX1162" s="55">
        <f>ROUNDUP(BU1162/BN1162,0)</f>
        <v/>
      </c>
      <c r="BY1162" s="58">
        <f>IF(BO1162=1,0,IFERROR(VLOOKUP(BM1162,'Gebinde-Kategorie'!$A$5:$G$45,5,0)+0,0))</f>
        <v/>
      </c>
      <c r="BZ1162" s="58">
        <f>IFERROR(IF(OR(BQ1162=1,BQ1162=2,BQ1162=3),N(INDEX(Parameter!$I$5:$I$7,BQ1162)),0),0)</f>
        <v/>
      </c>
    </row>
    <row r="1163">
      <c r="A1163" s="53" t="inlineStr">
        <is>
          <t>100130</t>
        </is>
      </c>
      <c r="B1163" s="53" t="inlineStr">
        <is>
          <t>Blende Gasdruckspeicher</t>
        </is>
      </c>
      <c r="C1163" s="53" t="inlineStr">
        <is>
          <t>F</t>
        </is>
      </c>
      <c r="D1163" s="53" t="inlineStr">
        <is>
          <t>KTL</t>
        </is>
      </c>
      <c r="E1163" s="53" t="inlineStr">
        <is>
          <t>C</t>
        </is>
      </c>
      <c r="F1163" s="54" t="n">
        <v>28.48</v>
      </c>
      <c r="G1163" s="55">
        <f>MAX(0,IF(Parameter!$B$20="Jahresanfang 2025 + Export",BG1163+BF1163,BF1163))</f>
        <v/>
      </c>
      <c r="H1163" s="55">
        <f>G1163*F1163</f>
        <v/>
      </c>
      <c r="I1163" s="55">
        <f>BI1163*Parameter!$B$18</f>
        <v/>
      </c>
      <c r="J1163" s="56" t="n">
        <v>108.5</v>
      </c>
      <c r="K1163" s="57" t="n">
        <v>2.691244239631336</v>
      </c>
      <c r="L1163" s="55" t="n">
        <v>17</v>
      </c>
      <c r="M1163" s="55" t="n">
        <v>100</v>
      </c>
      <c r="N1163" s="58" t="n">
        <v>21</v>
      </c>
      <c r="O1163" s="53" t="inlineStr">
        <is>
          <t>S41</t>
        </is>
      </c>
      <c r="P1163" s="55" t="n">
        <v>249</v>
      </c>
      <c r="Q1163" s="59">
        <f>IF(BO1163=1,0,IFERROR(VLOOKUP(BM1163,'Gebinde-Kategorie'!$A$5:$G$45,6,0)+0,0))</f>
        <v/>
      </c>
      <c r="R1163" s="60" t="n"/>
      <c r="S1163" s="61" t="n"/>
      <c r="T1163" s="61" t="n"/>
      <c r="U1163" s="53">
        <f>IF(A1163="","",IF(IFERROR(VLOOKUP(D1163,Parameter!$A$35:$C$64,2,0),"Nein")="2+3",IF(ISNUMBER(SEARCH("grosser Artikel",BJ1163)),2,IFERROR(VLOOKUP(BM1163,Parameter!$F$35:$G$64,2,0),2)),IF(OR(IFERROR(VLOOKUP(D1163,Parameter!$A$35:$C$64,2,0),"Nein")="Nein",IFERROR(VLOOKUP(D1163,Parameter!$A$35:$C$64,2,0),"Nein")=""),"-",VLOOKUP(D1163,Parameter!$A$35:$C$64,2,0))))</f>
        <v/>
      </c>
      <c r="V1163" s="61" t="n"/>
      <c r="W1163" s="62" t="n"/>
      <c r="X1163" s="55">
        <f>AM1163</f>
        <v/>
      </c>
      <c r="Y1163" s="55">
        <f>MAX(AM1163,G1163)</f>
        <v/>
      </c>
      <c r="Z1163" s="63" t="n"/>
      <c r="AA1163" s="55">
        <f>IF(LEFT(Cockpit!$C$5,1)="A",G1163,IF(BT1163=1,BU1163,IF(LEFT(Cockpit!$C$5,1)="B",AE1163,MAX(AE1163,G1163))))</f>
        <v/>
      </c>
      <c r="AB1163" s="55">
        <f>IF(BO1163=1,0,ROUNDUP(AA1163/BN1163,0))</f>
        <v/>
      </c>
      <c r="AC1163" s="64">
        <f>IF(BO1163=1,IF(AA1163&lt;=0,0,BP1163*MAX(1,IF(G1163&gt;0,AA1163/G1163,1))),AB1163*Q1163)</f>
        <v/>
      </c>
      <c r="AD1163" s="55">
        <f>AA1163*F1163</f>
        <v/>
      </c>
      <c r="AE1163" s="55">
        <f>ROUNDUP(MAX(I1163/IF(BS1163&gt;0,BS1163,MAX(0.1,N(Cockpit!$C$6))),BV1163)/BN1163,0)*BN1163</f>
        <v/>
      </c>
      <c r="AF1163" s="56">
        <f>IF(AC1163&gt;0,I1163/AC1163,-1)</f>
        <v/>
      </c>
      <c r="AG1163" s="56">
        <f>IF(AND(OR(BR1163="L1",BR1163="L23"),AC1163&gt;0),SUMIFS($AC$7:$AC$1570,$BR$7:$BR$1570,BR1163,$AF$7:$AF$1570,"&gt;"&amp;AF1163)+SUMIFS($AC$7:$AC$1570,$BR$7:$BR$1570,BR1163,$AF$7:$AF$1570,AF1163,$BL$7:$BL$1570,"&lt;="&amp;BL1163),"")</f>
        <v/>
      </c>
      <c r="AH1163" s="65">
        <f>IF(AG1163="",0,MAX(0,MIN(1,(IF(BR1163="L1",Parameter!$K$5,Parameter!$K$6+Parameter!$K$7)-(AG1163-AC1163))/AC1163)))</f>
        <v/>
      </c>
      <c r="AI1163" s="55">
        <f>IF(LEFT(Cockpit!$I$5,1)="A",G1163,IF(BT1163=1,BU1163,IF(LEFT(Cockpit!$I$5,1)="B",AM1163,MAX(AM1163,G1163))))</f>
        <v/>
      </c>
      <c r="AJ1163" s="55">
        <f>IF(BO1163=1,0,ROUNDUP(AI1163/BN1163,0))</f>
        <v/>
      </c>
      <c r="AK1163" s="64">
        <f>IF(BO1163=1,IF(AI1163&lt;=0,0,BP1163*MAX(1,IF(G1163&gt;0,AI1163/G1163,1))),AJ1163*Q1163)</f>
        <v/>
      </c>
      <c r="AL1163" s="55">
        <f>AI1163*F1163</f>
        <v/>
      </c>
      <c r="AM1163" s="55">
        <f>ROUNDUP(MAX(I1163/IF(BS1163&gt;0,BS1163,MAX(0.1,N(Cockpit!$I$6))),BV1163)/BN1163,0)*BN1163</f>
        <v/>
      </c>
      <c r="AN1163" s="56">
        <f>IF(AK1163&gt;0,I1163/AK1163,-1)</f>
        <v/>
      </c>
      <c r="AO1163" s="56">
        <f>IF(AND(OR(BR1163="L1",BR1163="L23"),AK1163&gt;0),SUMIFS($AK$7:$AK$1570,$BR$7:$BR$1570,BR1163,$AN$7:$AN$1570,"&gt;"&amp;AN1163)+SUMIFS($AK$7:$AK$1570,$BR$7:$BR$1570,BR1163,$AN$7:$AN$1570,AN1163,$BL$7:$BL$1570,"&lt;="&amp;BL1163),"")</f>
        <v/>
      </c>
      <c r="AP1163" s="65">
        <f>IF(AO1163="",0,MAX(0,MIN(1,(IF(BR1163="L1",Parameter!$K$5,Parameter!$K$6+Parameter!$K$7)-(AO1163-AK1163))/AK1163)))</f>
        <v/>
      </c>
      <c r="AQ1163" s="55">
        <f>IF(LEFT(Cockpit!$O$5,1)="A",G1163,IF(BT1163=1,BU1163,IF(LEFT(Cockpit!$O$5,1)="B",AU1163,MAX(AU1163,G1163))))</f>
        <v/>
      </c>
      <c r="AR1163" s="55">
        <f>IF(BO1163=1,0,ROUNDUP(AQ1163/BN1163,0))</f>
        <v/>
      </c>
      <c r="AS1163" s="64">
        <f>IF(BO1163=1,IF(AQ1163&lt;=0,0,BP1163*MAX(1,IF(G1163&gt;0,AQ1163/G1163,1))),AR1163*Q1163)</f>
        <v/>
      </c>
      <c r="AT1163" s="55">
        <f>AQ1163*F1163</f>
        <v/>
      </c>
      <c r="AU1163" s="55">
        <f>ROUNDUP(MAX(I1163/IF(BS1163&gt;0,BS1163,MAX(0.1,N(Cockpit!$O$6))),BV1163)/BN1163,0)*BN1163</f>
        <v/>
      </c>
      <c r="AV1163" s="56">
        <f>IF(AS1163&gt;0,I1163/AS1163,-1)</f>
        <v/>
      </c>
      <c r="AW1163" s="56">
        <f>IF(AND(OR(BR1163="L1",BR1163="L23"),AS1163&gt;0),SUMIFS($AS$7:$AS$1570,$BR$7:$BR$1570,BR1163,$AV$7:$AV$1570,"&gt;"&amp;AV1163)+SUMIFS($AS$7:$AS$1570,$BR$7:$BR$1570,BR1163,$AV$7:$AV$1570,AV1163,$BL$7:$BL$1570,"&lt;="&amp;BL1163),"")</f>
        <v/>
      </c>
      <c r="AX1163" s="65">
        <f>IF(AW1163="",0,MAX(0,MIN(1,(IF(BR1163="L1",Parameter!$K$5,Parameter!$K$6+Parameter!$K$7)-(AW1163-AS1163))/AS1163)))</f>
        <v/>
      </c>
      <c r="AY1163" s="53">
        <f>IF(AC1163&lt;=0,"",IF(BR1163="Aussen","Aussenlager",IF(BR1163="-","Nicht im Lift",IF(AH1163&gt;=1,"Lift",IF(AH1163&lt;=0,"Aussenlager","teilweise")))))</f>
        <v/>
      </c>
      <c r="AZ1163" s="53">
        <f>IF(AK1163&lt;=0,"",IF(BR1163="Aussen","Aussenlager",IF(BR1163="-","Nicht im Lift",IF(AP1163&gt;=1,"Lift",IF(AP1163&lt;=0,"Aussenlager","teilweise")))))</f>
        <v/>
      </c>
      <c r="BA1163" s="53">
        <f>IF(AS1163&lt;=0,"",IF(BR1163="Aussen","Aussenlager",IF(BR1163="-","Nicht im Lift",IF(AX1163&gt;=1,"Lift",IF(AX1163&lt;=0,"Aussenlager","teilweise")))))</f>
        <v/>
      </c>
      <c r="BB1163" s="53">
        <f>IF(A1163="","",IF(BK1163=1,"Neu; ","")&amp;IF(AND(BK1163=0,BF1163&lt;0),"negativer Bestand (Export "&amp;BF1163&amp;"); ","")&amp;IF(I1163&lt;=0,"Kein Verbrauch; ","")&amp;IF(BO1163=1,"Lose – Fläche geschätzt; ","")&amp;IF(G1163&gt;AM1163,"Überbestand "&amp;ROUND(G1163-AM1163,0)&amp;" Stk / CHF "&amp;ROUND((G1163-AM1163)*F1163,0)&amp;"; ","")&amp;IF(AND(BT1163=1,BU1163&lt;BV1163),"MAX &lt; MB+LG; ","")&amp;IF(AND(BZ1163&gt;0,BY1163*10&gt;BZ1163),"zu hoch für Tablar; ","")&amp;IF(AND(BK1163=0,OR(BT1163=1,V1163&lt;&gt;"",S1163&lt;&gt;"",T1163&lt;&gt;"",W1163&lt;&gt;"")),"manuell übersteuert; ","")&amp;IF(AND(BO1163=0,Q1163=0),"Gebinde unbekannt; ","")&amp;IF(AND(BO1163=0,N(T1163)&lt;=0,N(P1163)&lt;=0),"Menge pro Gebinde fehlt (Ist = 1 Gebinde); ","")&amp;BJ1163)</f>
        <v/>
      </c>
      <c r="BC1163" s="53" t="n"/>
      <c r="BD1163" s="53" t="n"/>
      <c r="BE1163" s="61" t="n"/>
      <c r="BF1163" s="55" t="n">
        <v>-12</v>
      </c>
      <c r="BG1163" s="55" t="n">
        <v>65</v>
      </c>
      <c r="BH1163" s="54" t="n">
        <v>-337.52</v>
      </c>
      <c r="BI1163" s="55" t="n">
        <v>292</v>
      </c>
      <c r="BJ1163" s="53" t="inlineStr"/>
      <c r="BK1163" s="58" t="n">
        <v>0</v>
      </c>
      <c r="BL1163" s="58" t="n">
        <v>1163</v>
      </c>
      <c r="BM1163" s="53">
        <f>IF(S1163&lt;&gt;"",UPPER(TRIM(S1163)),IF(O1163="","LOSE",O1163))</f>
        <v/>
      </c>
      <c r="BN1163" s="55">
        <f>IF(BM1163="LOSE",1,IF(N(T1163)&gt;0,T1163,IF(N(P1163)&gt;0,P1163,MAX(1,G1163))))</f>
        <v/>
      </c>
      <c r="BO1163" s="58">
        <f>IF(BM1163="LOSE",1,0)</f>
        <v/>
      </c>
      <c r="BP1163" s="64">
        <f>IF(BO1163=0,0,IF(N(R1163)&gt;0,R1163,IFERROR(VLOOKUP(D1163,Parameter!$A$35:$C$64,3,0)+0,0)))</f>
        <v/>
      </c>
      <c r="BQ1163" s="53">
        <f>IF(V1163&lt;&gt;"",V1163,U1163)</f>
        <v/>
      </c>
      <c r="BR1163" s="53">
        <f>IF(BQ1163=1,"L1",IF(OR(BQ1163=2,BQ1163=3),"L23",IF(BQ1163="Aussen","Aussen","-")))</f>
        <v/>
      </c>
      <c r="BS1163" s="66">
        <f>IF(N(W1163)&gt;0,W1163,0)</f>
        <v/>
      </c>
      <c r="BT1163" s="58">
        <f>IF(ISNUMBER(Z1163),1,0)</f>
        <v/>
      </c>
      <c r="BU1163" s="55">
        <f>N(Z1163)</f>
        <v/>
      </c>
      <c r="BV1163" s="55">
        <f>N(L1163)+N(M1163)</f>
        <v/>
      </c>
      <c r="BW1163" s="55">
        <f>ROUNDUP(G1163/BN1163,0)</f>
        <v/>
      </c>
      <c r="BX1163" s="55">
        <f>ROUNDUP(BU1163/BN1163,0)</f>
        <v/>
      </c>
      <c r="BY1163" s="58">
        <f>IF(BO1163=1,0,IFERROR(VLOOKUP(BM1163,'Gebinde-Kategorie'!$A$5:$G$45,5,0)+0,0))</f>
        <v/>
      </c>
      <c r="BZ1163" s="58">
        <f>IFERROR(IF(OR(BQ1163=1,BQ1163=2,BQ1163=3),N(INDEX(Parameter!$I$5:$I$7,BQ1163)),0),0)</f>
        <v/>
      </c>
    </row>
    <row r="1164">
      <c r="A1164" s="53" t="inlineStr">
        <is>
          <t>101796</t>
        </is>
      </c>
      <c r="B1164" s="53" t="inlineStr">
        <is>
          <t>Flammschutz TwinL</t>
        </is>
      </c>
      <c r="C1164" s="53" t="inlineStr">
        <is>
          <t>F</t>
        </is>
      </c>
      <c r="D1164" s="53" t="inlineStr">
        <is>
          <t>KTL</t>
        </is>
      </c>
      <c r="E1164" s="53" t="inlineStr">
        <is>
          <t>C</t>
        </is>
      </c>
      <c r="F1164" s="54" t="n">
        <v>26.09</v>
      </c>
      <c r="G1164" s="55">
        <f>MAX(0,IF(Parameter!$B$20="Jahresanfang 2025 + Export",BG1164+BF1164,BF1164))</f>
        <v/>
      </c>
      <c r="H1164" s="55">
        <f>G1164*F1164</f>
        <v/>
      </c>
      <c r="I1164" s="55">
        <f>BI1164*Parameter!$B$18</f>
        <v/>
      </c>
      <c r="J1164" s="56" t="n">
        <v>84</v>
      </c>
      <c r="K1164" s="57" t="n">
        <v>0.1428571428571428</v>
      </c>
      <c r="L1164" s="55" t="n">
        <v>1</v>
      </c>
      <c r="M1164" s="55" t="n">
        <v>10</v>
      </c>
      <c r="N1164" s="58" t="n">
        <v>35</v>
      </c>
      <c r="O1164" s="53" t="inlineStr">
        <is>
          <t>S41</t>
        </is>
      </c>
      <c r="P1164" s="55" t="n">
        <v>113</v>
      </c>
      <c r="Q1164" s="59">
        <f>IF(BO1164=1,0,IFERROR(VLOOKUP(BM1164,'Gebinde-Kategorie'!$A$5:$G$45,6,0)+0,0))</f>
        <v/>
      </c>
      <c r="R1164" s="60" t="n"/>
      <c r="S1164" s="61" t="n"/>
      <c r="T1164" s="61" t="n"/>
      <c r="U1164" s="53">
        <f>IF(A1164="","",IF(IFERROR(VLOOKUP(D1164,Parameter!$A$35:$C$64,2,0),"Nein")="2+3",IF(ISNUMBER(SEARCH("grosser Artikel",BJ1164)),2,IFERROR(VLOOKUP(BM1164,Parameter!$F$35:$G$64,2,0),2)),IF(OR(IFERROR(VLOOKUP(D1164,Parameter!$A$35:$C$64,2,0),"Nein")="Nein",IFERROR(VLOOKUP(D1164,Parameter!$A$35:$C$64,2,0),"Nein")=""),"-",VLOOKUP(D1164,Parameter!$A$35:$C$64,2,0))))</f>
        <v/>
      </c>
      <c r="V1164" s="61" t="n"/>
      <c r="W1164" s="62" t="n"/>
      <c r="X1164" s="55">
        <f>AM1164</f>
        <v/>
      </c>
      <c r="Y1164" s="55">
        <f>MAX(AM1164,G1164)</f>
        <v/>
      </c>
      <c r="Z1164" s="63" t="n"/>
      <c r="AA1164" s="55">
        <f>IF(LEFT(Cockpit!$C$5,1)="A",G1164,IF(BT1164=1,BU1164,IF(LEFT(Cockpit!$C$5,1)="B",AE1164,MAX(AE1164,G1164))))</f>
        <v/>
      </c>
      <c r="AB1164" s="55">
        <f>IF(BO1164=1,0,ROUNDUP(AA1164/BN1164,0))</f>
        <v/>
      </c>
      <c r="AC1164" s="64">
        <f>IF(BO1164=1,IF(AA1164&lt;=0,0,BP1164*MAX(1,IF(G1164&gt;0,AA1164/G1164,1))),AB1164*Q1164)</f>
        <v/>
      </c>
      <c r="AD1164" s="55">
        <f>AA1164*F1164</f>
        <v/>
      </c>
      <c r="AE1164" s="55">
        <f>ROUNDUP(MAX(I1164/IF(BS1164&gt;0,BS1164,MAX(0.1,N(Cockpit!$C$6))),BV1164)/BN1164,0)*BN1164</f>
        <v/>
      </c>
      <c r="AF1164" s="56">
        <f>IF(AC1164&gt;0,I1164/AC1164,-1)</f>
        <v/>
      </c>
      <c r="AG1164" s="56">
        <f>IF(AND(OR(BR1164="L1",BR1164="L23"),AC1164&gt;0),SUMIFS($AC$7:$AC$1570,$BR$7:$BR$1570,BR1164,$AF$7:$AF$1570,"&gt;"&amp;AF1164)+SUMIFS($AC$7:$AC$1570,$BR$7:$BR$1570,BR1164,$AF$7:$AF$1570,AF1164,$BL$7:$BL$1570,"&lt;="&amp;BL1164),"")</f>
        <v/>
      </c>
      <c r="AH1164" s="65">
        <f>IF(AG1164="",0,MAX(0,MIN(1,(IF(BR1164="L1",Parameter!$K$5,Parameter!$K$6+Parameter!$K$7)-(AG1164-AC1164))/AC1164)))</f>
        <v/>
      </c>
      <c r="AI1164" s="55">
        <f>IF(LEFT(Cockpit!$I$5,1)="A",G1164,IF(BT1164=1,BU1164,IF(LEFT(Cockpit!$I$5,1)="B",AM1164,MAX(AM1164,G1164))))</f>
        <v/>
      </c>
      <c r="AJ1164" s="55">
        <f>IF(BO1164=1,0,ROUNDUP(AI1164/BN1164,0))</f>
        <v/>
      </c>
      <c r="AK1164" s="64">
        <f>IF(BO1164=1,IF(AI1164&lt;=0,0,BP1164*MAX(1,IF(G1164&gt;0,AI1164/G1164,1))),AJ1164*Q1164)</f>
        <v/>
      </c>
      <c r="AL1164" s="55">
        <f>AI1164*F1164</f>
        <v/>
      </c>
      <c r="AM1164" s="55">
        <f>ROUNDUP(MAX(I1164/IF(BS1164&gt;0,BS1164,MAX(0.1,N(Cockpit!$I$6))),BV1164)/BN1164,0)*BN1164</f>
        <v/>
      </c>
      <c r="AN1164" s="56">
        <f>IF(AK1164&gt;0,I1164/AK1164,-1)</f>
        <v/>
      </c>
      <c r="AO1164" s="56">
        <f>IF(AND(OR(BR1164="L1",BR1164="L23"),AK1164&gt;0),SUMIFS($AK$7:$AK$1570,$BR$7:$BR$1570,BR1164,$AN$7:$AN$1570,"&gt;"&amp;AN1164)+SUMIFS($AK$7:$AK$1570,$BR$7:$BR$1570,BR1164,$AN$7:$AN$1570,AN1164,$BL$7:$BL$1570,"&lt;="&amp;BL1164),"")</f>
        <v/>
      </c>
      <c r="AP1164" s="65">
        <f>IF(AO1164="",0,MAX(0,MIN(1,(IF(BR1164="L1",Parameter!$K$5,Parameter!$K$6+Parameter!$K$7)-(AO1164-AK1164))/AK1164)))</f>
        <v/>
      </c>
      <c r="AQ1164" s="55">
        <f>IF(LEFT(Cockpit!$O$5,1)="A",G1164,IF(BT1164=1,BU1164,IF(LEFT(Cockpit!$O$5,1)="B",AU1164,MAX(AU1164,G1164))))</f>
        <v/>
      </c>
      <c r="AR1164" s="55">
        <f>IF(BO1164=1,0,ROUNDUP(AQ1164/BN1164,0))</f>
        <v/>
      </c>
      <c r="AS1164" s="64">
        <f>IF(BO1164=1,IF(AQ1164&lt;=0,0,BP1164*MAX(1,IF(G1164&gt;0,AQ1164/G1164,1))),AR1164*Q1164)</f>
        <v/>
      </c>
      <c r="AT1164" s="55">
        <f>AQ1164*F1164</f>
        <v/>
      </c>
      <c r="AU1164" s="55">
        <f>ROUNDUP(MAX(I1164/IF(BS1164&gt;0,BS1164,MAX(0.1,N(Cockpit!$O$6))),BV1164)/BN1164,0)*BN1164</f>
        <v/>
      </c>
      <c r="AV1164" s="56">
        <f>IF(AS1164&gt;0,I1164/AS1164,-1)</f>
        <v/>
      </c>
      <c r="AW1164" s="56">
        <f>IF(AND(OR(BR1164="L1",BR1164="L23"),AS1164&gt;0),SUMIFS($AS$7:$AS$1570,$BR$7:$BR$1570,BR1164,$AV$7:$AV$1570,"&gt;"&amp;AV1164)+SUMIFS($AS$7:$AS$1570,$BR$7:$BR$1570,BR1164,$AV$7:$AV$1570,AV1164,$BL$7:$BL$1570,"&lt;="&amp;BL1164),"")</f>
        <v/>
      </c>
      <c r="AX1164" s="65">
        <f>IF(AW1164="",0,MAX(0,MIN(1,(IF(BR1164="L1",Parameter!$K$5,Parameter!$K$6+Parameter!$K$7)-(AW1164-AS1164))/AS1164)))</f>
        <v/>
      </c>
      <c r="AY1164" s="53">
        <f>IF(AC1164&lt;=0,"",IF(BR1164="Aussen","Aussenlager",IF(BR1164="-","Nicht im Lift",IF(AH1164&gt;=1,"Lift",IF(AH1164&lt;=0,"Aussenlager","teilweise")))))</f>
        <v/>
      </c>
      <c r="AZ1164" s="53">
        <f>IF(AK1164&lt;=0,"",IF(BR1164="Aussen","Aussenlager",IF(BR1164="-","Nicht im Lift",IF(AP1164&gt;=1,"Lift",IF(AP1164&lt;=0,"Aussenlager","teilweise")))))</f>
        <v/>
      </c>
      <c r="BA1164" s="53">
        <f>IF(AS1164&lt;=0,"",IF(BR1164="Aussen","Aussenlager",IF(BR1164="-","Nicht im Lift",IF(AX1164&gt;=1,"Lift",IF(AX1164&lt;=0,"Aussenlager","teilweise")))))</f>
        <v/>
      </c>
      <c r="BB1164" s="53">
        <f>IF(A1164="","",IF(BK1164=1,"Neu; ","")&amp;IF(AND(BK1164=0,BF1164&lt;0),"negativer Bestand (Export "&amp;BF1164&amp;"); ","")&amp;IF(I1164&lt;=0,"Kein Verbrauch; ","")&amp;IF(BO1164=1,"Lose – Fläche geschätzt; ","")&amp;IF(G1164&gt;AM1164,"Überbestand "&amp;ROUND(G1164-AM1164,0)&amp;" Stk / CHF "&amp;ROUND((G1164-AM1164)*F1164,0)&amp;"; ","")&amp;IF(AND(BT1164=1,BU1164&lt;BV1164),"MAX &lt; MB+LG; ","")&amp;IF(AND(BZ1164&gt;0,BY1164*10&gt;BZ1164),"zu hoch für Tablar; ","")&amp;IF(AND(BK1164=0,OR(BT1164=1,V1164&lt;&gt;"",S1164&lt;&gt;"",T1164&lt;&gt;"",W1164&lt;&gt;"")),"manuell übersteuert; ","")&amp;IF(AND(BO1164=0,Q1164=0),"Gebinde unbekannt; ","")&amp;IF(AND(BO1164=0,N(T1164)&lt;=0,N(P1164)&lt;=0),"Menge pro Gebinde fehlt (Ist = 1 Gebinde); ","")&amp;BJ1164)</f>
        <v/>
      </c>
      <c r="BC1164" s="53" t="n"/>
      <c r="BD1164" s="53" t="n"/>
      <c r="BE1164" s="61" t="n"/>
      <c r="BF1164" s="55" t="n">
        <v>-13</v>
      </c>
      <c r="BG1164" s="55" t="n">
        <v>90</v>
      </c>
      <c r="BH1164" s="54" t="n">
        <v>-339.17</v>
      </c>
      <c r="BI1164" s="55" t="n">
        <v>12</v>
      </c>
      <c r="BJ1164" s="53" t="inlineStr">
        <is>
          <t>Twin</t>
        </is>
      </c>
      <c r="BK1164" s="58" t="n">
        <v>0</v>
      </c>
      <c r="BL1164" s="58" t="n">
        <v>1164</v>
      </c>
      <c r="BM1164" s="53">
        <f>IF(S1164&lt;&gt;"",UPPER(TRIM(S1164)),IF(O1164="","LOSE",O1164))</f>
        <v/>
      </c>
      <c r="BN1164" s="55">
        <f>IF(BM1164="LOSE",1,IF(N(T1164)&gt;0,T1164,IF(N(P1164)&gt;0,P1164,MAX(1,G1164))))</f>
        <v/>
      </c>
      <c r="BO1164" s="58">
        <f>IF(BM1164="LOSE",1,0)</f>
        <v/>
      </c>
      <c r="BP1164" s="64">
        <f>IF(BO1164=0,0,IF(N(R1164)&gt;0,R1164,IFERROR(VLOOKUP(D1164,Parameter!$A$35:$C$64,3,0)+0,0)))</f>
        <v/>
      </c>
      <c r="BQ1164" s="53">
        <f>IF(V1164&lt;&gt;"",V1164,U1164)</f>
        <v/>
      </c>
      <c r="BR1164" s="53">
        <f>IF(BQ1164=1,"L1",IF(OR(BQ1164=2,BQ1164=3),"L23",IF(BQ1164="Aussen","Aussen","-")))</f>
        <v/>
      </c>
      <c r="BS1164" s="66">
        <f>IF(N(W1164)&gt;0,W1164,0)</f>
        <v/>
      </c>
      <c r="BT1164" s="58">
        <f>IF(ISNUMBER(Z1164),1,0)</f>
        <v/>
      </c>
      <c r="BU1164" s="55">
        <f>N(Z1164)</f>
        <v/>
      </c>
      <c r="BV1164" s="55">
        <f>N(L1164)+N(M1164)</f>
        <v/>
      </c>
      <c r="BW1164" s="55">
        <f>ROUNDUP(G1164/BN1164,0)</f>
        <v/>
      </c>
      <c r="BX1164" s="55">
        <f>ROUNDUP(BU1164/BN1164,0)</f>
        <v/>
      </c>
      <c r="BY1164" s="58">
        <f>IF(BO1164=1,0,IFERROR(VLOOKUP(BM1164,'Gebinde-Kategorie'!$A$5:$G$45,5,0)+0,0))</f>
        <v/>
      </c>
      <c r="BZ1164" s="58">
        <f>IFERROR(IF(OR(BQ1164=1,BQ1164=2,BQ1164=3),N(INDEX(Parameter!$I$5:$I$7,BQ1164)),0),0)</f>
        <v/>
      </c>
    </row>
    <row r="1165">
      <c r="A1165" s="53" t="inlineStr">
        <is>
          <t>109760</t>
        </is>
      </c>
      <c r="B1165" s="53" t="inlineStr">
        <is>
          <t>Rohr komplett</t>
        </is>
      </c>
      <c r="C1165" s="53" t="inlineStr">
        <is>
          <t>G</t>
        </is>
      </c>
      <c r="D1165" s="53" t="inlineStr">
        <is>
          <t>KTL</t>
        </is>
      </c>
      <c r="E1165" s="53" t="inlineStr">
        <is>
          <t>C</t>
        </is>
      </c>
      <c r="F1165" s="54" t="n">
        <v>42.75</v>
      </c>
      <c r="G1165" s="55">
        <f>MAX(0,IF(Parameter!$B$20="Jahresanfang 2025 + Export",BG1165+BF1165,BF1165))</f>
        <v/>
      </c>
      <c r="H1165" s="55">
        <f>G1165*F1165</f>
        <v/>
      </c>
      <c r="I1165" s="55">
        <f>BI1165*Parameter!$B$18</f>
        <v/>
      </c>
      <c r="J1165" s="56" t="n">
        <v>8</v>
      </c>
      <c r="K1165" s="57" t="n">
        <v>1</v>
      </c>
      <c r="L1165" s="55" t="n">
        <v>0</v>
      </c>
      <c r="M1165" s="55" t="n">
        <v>10</v>
      </c>
      <c r="N1165" s="58" t="n">
        <v>21</v>
      </c>
      <c r="O1165" s="53" t="inlineStr">
        <is>
          <t>LOSE</t>
        </is>
      </c>
      <c r="P1165" s="55" t="n"/>
      <c r="Q1165" s="59">
        <f>IF(BO1165=1,0,IFERROR(VLOOKUP(BM1165,'Gebinde-Kategorie'!$A$5:$G$45,6,0)+0,0))</f>
        <v/>
      </c>
      <c r="R1165" s="60" t="n"/>
      <c r="S1165" s="61" t="n"/>
      <c r="T1165" s="61" t="n"/>
      <c r="U1165" s="53">
        <f>IF(A1165="","",IF(IFERROR(VLOOKUP(D1165,Parameter!$A$35:$C$64,2,0),"Nein")="2+3",IF(ISNUMBER(SEARCH("grosser Artikel",BJ1165)),2,IFERROR(VLOOKUP(BM1165,Parameter!$F$35:$G$64,2,0),2)),IF(OR(IFERROR(VLOOKUP(D1165,Parameter!$A$35:$C$64,2,0),"Nein")="Nein",IFERROR(VLOOKUP(D1165,Parameter!$A$35:$C$64,2,0),"Nein")=""),"-",VLOOKUP(D1165,Parameter!$A$35:$C$64,2,0))))</f>
        <v/>
      </c>
      <c r="V1165" s="61" t="n"/>
      <c r="W1165" s="62" t="n"/>
      <c r="X1165" s="55">
        <f>AM1165</f>
        <v/>
      </c>
      <c r="Y1165" s="55">
        <f>MAX(AM1165,G1165)</f>
        <v/>
      </c>
      <c r="Z1165" s="63" t="n"/>
      <c r="AA1165" s="55">
        <f>IF(LEFT(Cockpit!$C$5,1)="A",G1165,IF(BT1165=1,BU1165,IF(LEFT(Cockpit!$C$5,1)="B",AE1165,MAX(AE1165,G1165))))</f>
        <v/>
      </c>
      <c r="AB1165" s="55">
        <f>IF(BO1165=1,0,ROUNDUP(AA1165/BN1165,0))</f>
        <v/>
      </c>
      <c r="AC1165" s="64">
        <f>IF(BO1165=1,IF(AA1165&lt;=0,0,BP1165*MAX(1,IF(G1165&gt;0,AA1165/G1165,1))),AB1165*Q1165)</f>
        <v/>
      </c>
      <c r="AD1165" s="55">
        <f>AA1165*F1165</f>
        <v/>
      </c>
      <c r="AE1165" s="55">
        <f>ROUNDUP(MAX(I1165/IF(BS1165&gt;0,BS1165,MAX(0.1,N(Cockpit!$C$6))),BV1165)/BN1165,0)*BN1165</f>
        <v/>
      </c>
      <c r="AF1165" s="56">
        <f>IF(AC1165&gt;0,I1165/AC1165,-1)</f>
        <v/>
      </c>
      <c r="AG1165" s="56">
        <f>IF(AND(OR(BR1165="L1",BR1165="L23"),AC1165&gt;0),SUMIFS($AC$7:$AC$1570,$BR$7:$BR$1570,BR1165,$AF$7:$AF$1570,"&gt;"&amp;AF1165)+SUMIFS($AC$7:$AC$1570,$BR$7:$BR$1570,BR1165,$AF$7:$AF$1570,AF1165,$BL$7:$BL$1570,"&lt;="&amp;BL1165),"")</f>
        <v/>
      </c>
      <c r="AH1165" s="65">
        <f>IF(AG1165="",0,MAX(0,MIN(1,(IF(BR1165="L1",Parameter!$K$5,Parameter!$K$6+Parameter!$K$7)-(AG1165-AC1165))/AC1165)))</f>
        <v/>
      </c>
      <c r="AI1165" s="55">
        <f>IF(LEFT(Cockpit!$I$5,1)="A",G1165,IF(BT1165=1,BU1165,IF(LEFT(Cockpit!$I$5,1)="B",AM1165,MAX(AM1165,G1165))))</f>
        <v/>
      </c>
      <c r="AJ1165" s="55">
        <f>IF(BO1165=1,0,ROUNDUP(AI1165/BN1165,0))</f>
        <v/>
      </c>
      <c r="AK1165" s="64">
        <f>IF(BO1165=1,IF(AI1165&lt;=0,0,BP1165*MAX(1,IF(G1165&gt;0,AI1165/G1165,1))),AJ1165*Q1165)</f>
        <v/>
      </c>
      <c r="AL1165" s="55">
        <f>AI1165*F1165</f>
        <v/>
      </c>
      <c r="AM1165" s="55">
        <f>ROUNDUP(MAX(I1165/IF(BS1165&gt;0,BS1165,MAX(0.1,N(Cockpit!$I$6))),BV1165)/BN1165,0)*BN1165</f>
        <v/>
      </c>
      <c r="AN1165" s="56">
        <f>IF(AK1165&gt;0,I1165/AK1165,-1)</f>
        <v/>
      </c>
      <c r="AO1165" s="56">
        <f>IF(AND(OR(BR1165="L1",BR1165="L23"),AK1165&gt;0),SUMIFS($AK$7:$AK$1570,$BR$7:$BR$1570,BR1165,$AN$7:$AN$1570,"&gt;"&amp;AN1165)+SUMIFS($AK$7:$AK$1570,$BR$7:$BR$1570,BR1165,$AN$7:$AN$1570,AN1165,$BL$7:$BL$1570,"&lt;="&amp;BL1165),"")</f>
        <v/>
      </c>
      <c r="AP1165" s="65">
        <f>IF(AO1165="",0,MAX(0,MIN(1,(IF(BR1165="L1",Parameter!$K$5,Parameter!$K$6+Parameter!$K$7)-(AO1165-AK1165))/AK1165)))</f>
        <v/>
      </c>
      <c r="AQ1165" s="55">
        <f>IF(LEFT(Cockpit!$O$5,1)="A",G1165,IF(BT1165=1,BU1165,IF(LEFT(Cockpit!$O$5,1)="B",AU1165,MAX(AU1165,G1165))))</f>
        <v/>
      </c>
      <c r="AR1165" s="55">
        <f>IF(BO1165=1,0,ROUNDUP(AQ1165/BN1165,0))</f>
        <v/>
      </c>
      <c r="AS1165" s="64">
        <f>IF(BO1165=1,IF(AQ1165&lt;=0,0,BP1165*MAX(1,IF(G1165&gt;0,AQ1165/G1165,1))),AR1165*Q1165)</f>
        <v/>
      </c>
      <c r="AT1165" s="55">
        <f>AQ1165*F1165</f>
        <v/>
      </c>
      <c r="AU1165" s="55">
        <f>ROUNDUP(MAX(I1165/IF(BS1165&gt;0,BS1165,MAX(0.1,N(Cockpit!$O$6))),BV1165)/BN1165,0)*BN1165</f>
        <v/>
      </c>
      <c r="AV1165" s="56">
        <f>IF(AS1165&gt;0,I1165/AS1165,-1)</f>
        <v/>
      </c>
      <c r="AW1165" s="56">
        <f>IF(AND(OR(BR1165="L1",BR1165="L23"),AS1165&gt;0),SUMIFS($AS$7:$AS$1570,$BR$7:$BR$1570,BR1165,$AV$7:$AV$1570,"&gt;"&amp;AV1165)+SUMIFS($AS$7:$AS$1570,$BR$7:$BR$1570,BR1165,$AV$7:$AV$1570,AV1165,$BL$7:$BL$1570,"&lt;="&amp;BL1165),"")</f>
        <v/>
      </c>
      <c r="AX1165" s="65">
        <f>IF(AW1165="",0,MAX(0,MIN(1,(IF(BR1165="L1",Parameter!$K$5,Parameter!$K$6+Parameter!$K$7)-(AW1165-AS1165))/AS1165)))</f>
        <v/>
      </c>
      <c r="AY1165" s="53">
        <f>IF(AC1165&lt;=0,"",IF(BR1165="Aussen","Aussenlager",IF(BR1165="-","Nicht im Lift",IF(AH1165&gt;=1,"Lift",IF(AH1165&lt;=0,"Aussenlager","teilweise")))))</f>
        <v/>
      </c>
      <c r="AZ1165" s="53">
        <f>IF(AK1165&lt;=0,"",IF(BR1165="Aussen","Aussenlager",IF(BR1165="-","Nicht im Lift",IF(AP1165&gt;=1,"Lift",IF(AP1165&lt;=0,"Aussenlager","teilweise")))))</f>
        <v/>
      </c>
      <c r="BA1165" s="53">
        <f>IF(AS1165&lt;=0,"",IF(BR1165="Aussen","Aussenlager",IF(BR1165="-","Nicht im Lift",IF(AX1165&gt;=1,"Lift",IF(AX1165&lt;=0,"Aussenlager","teilweise")))))</f>
        <v/>
      </c>
      <c r="BB1165" s="53">
        <f>IF(A1165="","",IF(BK1165=1,"Neu; ","")&amp;IF(AND(BK1165=0,BF1165&lt;0),"negativer Bestand (Export "&amp;BF1165&amp;"); ","")&amp;IF(I1165&lt;=0,"Kein Verbrauch; ","")&amp;IF(BO1165=1,"Lose – Fläche geschätzt; ","")&amp;IF(G1165&gt;AM1165,"Überbestand "&amp;ROUND(G1165-AM1165,0)&amp;" Stk / CHF "&amp;ROUND((G1165-AM1165)*F1165,0)&amp;"; ","")&amp;IF(AND(BT1165=1,BU1165&lt;BV1165),"MAX &lt; MB+LG; ","")&amp;IF(AND(BZ1165&gt;0,BY1165*10&gt;BZ1165),"zu hoch für Tablar; ","")&amp;IF(AND(BK1165=0,OR(BT1165=1,V1165&lt;&gt;"",S1165&lt;&gt;"",T1165&lt;&gt;"",W1165&lt;&gt;"")),"manuell übersteuert; ","")&amp;IF(AND(BO1165=0,Q1165=0),"Gebinde unbekannt; ","")&amp;IF(AND(BO1165=0,N(T1165)&lt;=0,N(P1165)&lt;=0),"Menge pro Gebinde fehlt (Ist = 1 Gebinde); ","")&amp;BJ1165)</f>
        <v/>
      </c>
      <c r="BC1165" s="53" t="n"/>
      <c r="BD1165" s="53" t="n"/>
      <c r="BE1165" s="61" t="n"/>
      <c r="BF1165" s="55" t="n">
        <v>-8</v>
      </c>
      <c r="BG1165" s="55" t="n">
        <v>16</v>
      </c>
      <c r="BH1165" s="54" t="n">
        <v>-342</v>
      </c>
      <c r="BI1165" s="55" t="n">
        <v>8</v>
      </c>
      <c r="BJ1165" s="53" t="inlineStr"/>
      <c r="BK1165" s="58" t="n">
        <v>0</v>
      </c>
      <c r="BL1165" s="58" t="n">
        <v>1165</v>
      </c>
      <c r="BM1165" s="53">
        <f>IF(S1165&lt;&gt;"",UPPER(TRIM(S1165)),IF(O1165="","LOSE",O1165))</f>
        <v/>
      </c>
      <c r="BN1165" s="55">
        <f>IF(BM1165="LOSE",1,IF(N(T1165)&gt;0,T1165,IF(N(P1165)&gt;0,P1165,MAX(1,G1165))))</f>
        <v/>
      </c>
      <c r="BO1165" s="58">
        <f>IF(BM1165="LOSE",1,0)</f>
        <v/>
      </c>
      <c r="BP1165" s="64">
        <f>IF(BO1165=0,0,IF(N(R1165)&gt;0,R1165,IFERROR(VLOOKUP(D1165,Parameter!$A$35:$C$64,3,0)+0,0)))</f>
        <v/>
      </c>
      <c r="BQ1165" s="53">
        <f>IF(V1165&lt;&gt;"",V1165,U1165)</f>
        <v/>
      </c>
      <c r="BR1165" s="53">
        <f>IF(BQ1165=1,"L1",IF(OR(BQ1165=2,BQ1165=3),"L23",IF(BQ1165="Aussen","Aussen","-")))</f>
        <v/>
      </c>
      <c r="BS1165" s="66">
        <f>IF(N(W1165)&gt;0,W1165,0)</f>
        <v/>
      </c>
      <c r="BT1165" s="58">
        <f>IF(ISNUMBER(Z1165),1,0)</f>
        <v/>
      </c>
      <c r="BU1165" s="55">
        <f>N(Z1165)</f>
        <v/>
      </c>
      <c r="BV1165" s="55">
        <f>N(L1165)+N(M1165)</f>
        <v/>
      </c>
      <c r="BW1165" s="55">
        <f>ROUNDUP(G1165/BN1165,0)</f>
        <v/>
      </c>
      <c r="BX1165" s="55">
        <f>ROUNDUP(BU1165/BN1165,0)</f>
        <v/>
      </c>
      <c r="BY1165" s="58">
        <f>IF(BO1165=1,0,IFERROR(VLOOKUP(BM1165,'Gebinde-Kategorie'!$A$5:$G$45,5,0)+0,0))</f>
        <v/>
      </c>
      <c r="BZ1165" s="58">
        <f>IFERROR(IF(OR(BQ1165=1,BQ1165=2,BQ1165=3),N(INDEX(Parameter!$I$5:$I$7,BQ1165)),0),0)</f>
        <v/>
      </c>
    </row>
    <row r="1166">
      <c r="A1166" s="53" t="inlineStr">
        <is>
          <t>101558</t>
        </is>
      </c>
      <c r="B1166" s="53" t="inlineStr">
        <is>
          <t>Kranbahnprofil</t>
        </is>
      </c>
      <c r="C1166" s="53" t="inlineStr">
        <is>
          <t>F</t>
        </is>
      </c>
      <c r="D1166" s="53" t="inlineStr">
        <is>
          <t>PAL</t>
        </is>
      </c>
      <c r="E1166" s="53" t="inlineStr">
        <is>
          <t>C</t>
        </is>
      </c>
      <c r="F1166" s="54" t="n">
        <v>148.21</v>
      </c>
      <c r="G1166" s="55">
        <f>MAX(0,IF(Parameter!$B$20="Jahresanfang 2025 + Export",BG1166+BF1166,BF1166))</f>
        <v/>
      </c>
      <c r="H1166" s="55">
        <f>G1166*F1166</f>
        <v/>
      </c>
      <c r="I1166" s="55">
        <f>BI1166*Parameter!$B$18</f>
        <v/>
      </c>
      <c r="J1166" s="56" t="n">
        <v>14.5</v>
      </c>
      <c r="K1166" s="57" t="n">
        <v>2</v>
      </c>
      <c r="L1166" s="55" t="n">
        <v>2</v>
      </c>
      <c r="M1166" s="55" t="n">
        <v>20</v>
      </c>
      <c r="N1166" s="58" t="n">
        <v>28</v>
      </c>
      <c r="O1166" s="53" t="inlineStr">
        <is>
          <t>LOSE</t>
        </is>
      </c>
      <c r="P1166" s="55" t="n"/>
      <c r="Q1166" s="59">
        <f>IF(BO1166=1,0,IFERROR(VLOOKUP(BM1166,'Gebinde-Kategorie'!$A$5:$G$45,6,0)+0,0))</f>
        <v/>
      </c>
      <c r="R1166" s="60" t="n"/>
      <c r="S1166" s="61" t="n"/>
      <c r="T1166" s="61" t="n"/>
      <c r="U1166" s="53">
        <f>IF(A1166="","",IF(IFERROR(VLOOKUP(D1166,Parameter!$A$35:$C$64,2,0),"Nein")="2+3",IF(ISNUMBER(SEARCH("grosser Artikel",BJ1166)),2,IFERROR(VLOOKUP(BM1166,Parameter!$F$35:$G$64,2,0),2)),IF(OR(IFERROR(VLOOKUP(D1166,Parameter!$A$35:$C$64,2,0),"Nein")="Nein",IFERROR(VLOOKUP(D1166,Parameter!$A$35:$C$64,2,0),"Nein")=""),"-",VLOOKUP(D1166,Parameter!$A$35:$C$64,2,0))))</f>
        <v/>
      </c>
      <c r="V1166" s="61" t="n"/>
      <c r="W1166" s="62" t="n"/>
      <c r="X1166" s="55">
        <f>AM1166</f>
        <v/>
      </c>
      <c r="Y1166" s="55">
        <f>MAX(AM1166,G1166)</f>
        <v/>
      </c>
      <c r="Z1166" s="63" t="n"/>
      <c r="AA1166" s="55">
        <f>IF(LEFT(Cockpit!$C$5,1)="A",G1166,IF(BT1166=1,BU1166,IF(LEFT(Cockpit!$C$5,1)="B",AE1166,MAX(AE1166,G1166))))</f>
        <v/>
      </c>
      <c r="AB1166" s="55">
        <f>IF(BO1166=1,0,ROUNDUP(AA1166/BN1166,0))</f>
        <v/>
      </c>
      <c r="AC1166" s="64">
        <f>IF(BO1166=1,IF(AA1166&lt;=0,0,BP1166*MAX(1,IF(G1166&gt;0,AA1166/G1166,1))),AB1166*Q1166)</f>
        <v/>
      </c>
      <c r="AD1166" s="55">
        <f>AA1166*F1166</f>
        <v/>
      </c>
      <c r="AE1166" s="55">
        <f>ROUNDUP(MAX(I1166/IF(BS1166&gt;0,BS1166,MAX(0.1,N(Cockpit!$C$6))),BV1166)/BN1166,0)*BN1166</f>
        <v/>
      </c>
      <c r="AF1166" s="56">
        <f>IF(AC1166&gt;0,I1166/AC1166,-1)</f>
        <v/>
      </c>
      <c r="AG1166" s="56">
        <f>IF(AND(OR(BR1166="L1",BR1166="L23"),AC1166&gt;0),SUMIFS($AC$7:$AC$1570,$BR$7:$BR$1570,BR1166,$AF$7:$AF$1570,"&gt;"&amp;AF1166)+SUMIFS($AC$7:$AC$1570,$BR$7:$BR$1570,BR1166,$AF$7:$AF$1570,AF1166,$BL$7:$BL$1570,"&lt;="&amp;BL1166),"")</f>
        <v/>
      </c>
      <c r="AH1166" s="65">
        <f>IF(AG1166="",0,MAX(0,MIN(1,(IF(BR1166="L1",Parameter!$K$5,Parameter!$K$6+Parameter!$K$7)-(AG1166-AC1166))/AC1166)))</f>
        <v/>
      </c>
      <c r="AI1166" s="55">
        <f>IF(LEFT(Cockpit!$I$5,1)="A",G1166,IF(BT1166=1,BU1166,IF(LEFT(Cockpit!$I$5,1)="B",AM1166,MAX(AM1166,G1166))))</f>
        <v/>
      </c>
      <c r="AJ1166" s="55">
        <f>IF(BO1166=1,0,ROUNDUP(AI1166/BN1166,0))</f>
        <v/>
      </c>
      <c r="AK1166" s="64">
        <f>IF(BO1166=1,IF(AI1166&lt;=0,0,BP1166*MAX(1,IF(G1166&gt;0,AI1166/G1166,1))),AJ1166*Q1166)</f>
        <v/>
      </c>
      <c r="AL1166" s="55">
        <f>AI1166*F1166</f>
        <v/>
      </c>
      <c r="AM1166" s="55">
        <f>ROUNDUP(MAX(I1166/IF(BS1166&gt;0,BS1166,MAX(0.1,N(Cockpit!$I$6))),BV1166)/BN1166,0)*BN1166</f>
        <v/>
      </c>
      <c r="AN1166" s="56">
        <f>IF(AK1166&gt;0,I1166/AK1166,-1)</f>
        <v/>
      </c>
      <c r="AO1166" s="56">
        <f>IF(AND(OR(BR1166="L1",BR1166="L23"),AK1166&gt;0),SUMIFS($AK$7:$AK$1570,$BR$7:$BR$1570,BR1166,$AN$7:$AN$1570,"&gt;"&amp;AN1166)+SUMIFS($AK$7:$AK$1570,$BR$7:$BR$1570,BR1166,$AN$7:$AN$1570,AN1166,$BL$7:$BL$1570,"&lt;="&amp;BL1166),"")</f>
        <v/>
      </c>
      <c r="AP1166" s="65">
        <f>IF(AO1166="",0,MAX(0,MIN(1,(IF(BR1166="L1",Parameter!$K$5,Parameter!$K$6+Parameter!$K$7)-(AO1166-AK1166))/AK1166)))</f>
        <v/>
      </c>
      <c r="AQ1166" s="55">
        <f>IF(LEFT(Cockpit!$O$5,1)="A",G1166,IF(BT1166=1,BU1166,IF(LEFT(Cockpit!$O$5,1)="B",AU1166,MAX(AU1166,G1166))))</f>
        <v/>
      </c>
      <c r="AR1166" s="55">
        <f>IF(BO1166=1,0,ROUNDUP(AQ1166/BN1166,0))</f>
        <v/>
      </c>
      <c r="AS1166" s="64">
        <f>IF(BO1166=1,IF(AQ1166&lt;=0,0,BP1166*MAX(1,IF(G1166&gt;0,AQ1166/G1166,1))),AR1166*Q1166)</f>
        <v/>
      </c>
      <c r="AT1166" s="55">
        <f>AQ1166*F1166</f>
        <v/>
      </c>
      <c r="AU1166" s="55">
        <f>ROUNDUP(MAX(I1166/IF(BS1166&gt;0,BS1166,MAX(0.1,N(Cockpit!$O$6))),BV1166)/BN1166,0)*BN1166</f>
        <v/>
      </c>
      <c r="AV1166" s="56">
        <f>IF(AS1166&gt;0,I1166/AS1166,-1)</f>
        <v/>
      </c>
      <c r="AW1166" s="56">
        <f>IF(AND(OR(BR1166="L1",BR1166="L23"),AS1166&gt;0),SUMIFS($AS$7:$AS$1570,$BR$7:$BR$1570,BR1166,$AV$7:$AV$1570,"&gt;"&amp;AV1166)+SUMIFS($AS$7:$AS$1570,$BR$7:$BR$1570,BR1166,$AV$7:$AV$1570,AV1166,$BL$7:$BL$1570,"&lt;="&amp;BL1166),"")</f>
        <v/>
      </c>
      <c r="AX1166" s="65">
        <f>IF(AW1166="",0,MAX(0,MIN(1,(IF(BR1166="L1",Parameter!$K$5,Parameter!$K$6+Parameter!$K$7)-(AW1166-AS1166))/AS1166)))</f>
        <v/>
      </c>
      <c r="AY1166" s="53">
        <f>IF(AC1166&lt;=0,"",IF(BR1166="Aussen","Aussenlager",IF(BR1166="-","Nicht im Lift",IF(AH1166&gt;=1,"Lift",IF(AH1166&lt;=0,"Aussenlager","teilweise")))))</f>
        <v/>
      </c>
      <c r="AZ1166" s="53">
        <f>IF(AK1166&lt;=0,"",IF(BR1166="Aussen","Aussenlager",IF(BR1166="-","Nicht im Lift",IF(AP1166&gt;=1,"Lift",IF(AP1166&lt;=0,"Aussenlager","teilweise")))))</f>
        <v/>
      </c>
      <c r="BA1166" s="53">
        <f>IF(AS1166&lt;=0,"",IF(BR1166="Aussen","Aussenlager",IF(BR1166="-","Nicht im Lift",IF(AX1166&gt;=1,"Lift",IF(AX1166&lt;=0,"Aussenlager","teilweise")))))</f>
        <v/>
      </c>
      <c r="BB1166" s="53">
        <f>IF(A1166="","",IF(BK1166=1,"Neu; ","")&amp;IF(AND(BK1166=0,BF1166&lt;0),"negativer Bestand (Export "&amp;BF1166&amp;"); ","")&amp;IF(I1166&lt;=0,"Kein Verbrauch; ","")&amp;IF(BO1166=1,"Lose – Fläche geschätzt; ","")&amp;IF(G1166&gt;AM1166,"Überbestand "&amp;ROUND(G1166-AM1166,0)&amp;" Stk / CHF "&amp;ROUND((G1166-AM1166)*F1166,0)&amp;"; ","")&amp;IF(AND(BT1166=1,BU1166&lt;BV1166),"MAX &lt; MB+LG; ","")&amp;IF(AND(BZ1166&gt;0,BY1166*10&gt;BZ1166),"zu hoch für Tablar; ","")&amp;IF(AND(BK1166=0,OR(BT1166=1,V1166&lt;&gt;"",S1166&lt;&gt;"",T1166&lt;&gt;"",W1166&lt;&gt;"")),"manuell übersteuert; ","")&amp;IF(AND(BO1166=0,Q1166=0),"Gebinde unbekannt; ","")&amp;IF(AND(BO1166=0,N(T1166)&lt;=0,N(P1166)&lt;=0),"Menge pro Gebinde fehlt (Ist = 1 Gebinde); ","")&amp;BJ1166)</f>
        <v/>
      </c>
      <c r="BC1166" s="53" t="n"/>
      <c r="BD1166" s="53" t="n"/>
      <c r="BE1166" s="61" t="n"/>
      <c r="BF1166" s="55" t="n">
        <v>-2</v>
      </c>
      <c r="BG1166" s="55" t="n">
        <v>9</v>
      </c>
      <c r="BH1166" s="54" t="n">
        <v>-343.76</v>
      </c>
      <c r="BI1166" s="55" t="n">
        <v>29</v>
      </c>
      <c r="BJ1166" s="53" t="inlineStr"/>
      <c r="BK1166" s="58" t="n">
        <v>0</v>
      </c>
      <c r="BL1166" s="58" t="n">
        <v>1166</v>
      </c>
      <c r="BM1166" s="53">
        <f>IF(S1166&lt;&gt;"",UPPER(TRIM(S1166)),IF(O1166="","LOSE",O1166))</f>
        <v/>
      </c>
      <c r="BN1166" s="55">
        <f>IF(BM1166="LOSE",1,IF(N(T1166)&gt;0,T1166,IF(N(P1166)&gt;0,P1166,MAX(1,G1166))))</f>
        <v/>
      </c>
      <c r="BO1166" s="58">
        <f>IF(BM1166="LOSE",1,0)</f>
        <v/>
      </c>
      <c r="BP1166" s="64">
        <f>IF(BO1166=0,0,IF(N(R1166)&gt;0,R1166,IFERROR(VLOOKUP(D1166,Parameter!$A$35:$C$64,3,0)+0,0)))</f>
        <v/>
      </c>
      <c r="BQ1166" s="53">
        <f>IF(V1166&lt;&gt;"",V1166,U1166)</f>
        <v/>
      </c>
      <c r="BR1166" s="53">
        <f>IF(BQ1166=1,"L1",IF(OR(BQ1166=2,BQ1166=3),"L23",IF(BQ1166="Aussen","Aussen","-")))</f>
        <v/>
      </c>
      <c r="BS1166" s="66">
        <f>IF(N(W1166)&gt;0,W1166,0)</f>
        <v/>
      </c>
      <c r="BT1166" s="58">
        <f>IF(ISNUMBER(Z1166),1,0)</f>
        <v/>
      </c>
      <c r="BU1166" s="55">
        <f>N(Z1166)</f>
        <v/>
      </c>
      <c r="BV1166" s="55">
        <f>N(L1166)+N(M1166)</f>
        <v/>
      </c>
      <c r="BW1166" s="55">
        <f>ROUNDUP(G1166/BN1166,0)</f>
        <v/>
      </c>
      <c r="BX1166" s="55">
        <f>ROUNDUP(BU1166/BN1166,0)</f>
        <v/>
      </c>
      <c r="BY1166" s="58">
        <f>IF(BO1166=1,0,IFERROR(VLOOKUP(BM1166,'Gebinde-Kategorie'!$A$5:$G$45,5,0)+0,0))</f>
        <v/>
      </c>
      <c r="BZ1166" s="58">
        <f>IFERROR(IF(OR(BQ1166=1,BQ1166=2,BQ1166=3),N(INDEX(Parameter!$I$5:$I$7,BQ1166)),0),0)</f>
        <v/>
      </c>
    </row>
    <row r="1167">
      <c r="A1167" s="53" t="inlineStr">
        <is>
          <t>102278</t>
        </is>
      </c>
      <c r="B1167" s="53" t="inlineStr">
        <is>
          <t>Ringschraube</t>
        </is>
      </c>
      <c r="C1167" s="53" t="inlineStr">
        <is>
          <t>F</t>
        </is>
      </c>
      <c r="D1167" s="53" t="inlineStr">
        <is>
          <t>KTL</t>
        </is>
      </c>
      <c r="E1167" s="53" t="inlineStr">
        <is>
          <t>C</t>
        </is>
      </c>
      <c r="F1167" s="54" t="n">
        <v>43.31</v>
      </c>
      <c r="G1167" s="55">
        <f>MAX(0,IF(Parameter!$B$20="Jahresanfang 2025 + Export",BG1167+BF1167,BF1167))</f>
        <v/>
      </c>
      <c r="H1167" s="55">
        <f>G1167*F1167</f>
        <v/>
      </c>
      <c r="I1167" s="55">
        <f>BI1167*Parameter!$B$18</f>
        <v/>
      </c>
      <c r="J1167" s="56" t="n">
        <v>27</v>
      </c>
      <c r="K1167" s="57" t="n">
        <v>0.2962962962962963</v>
      </c>
      <c r="L1167" s="55" t="n">
        <v>0</v>
      </c>
      <c r="M1167" s="55" t="n">
        <v>10</v>
      </c>
      <c r="N1167" s="58" t="n">
        <v>14</v>
      </c>
      <c r="O1167" s="53" t="inlineStr">
        <is>
          <t>S41</t>
        </is>
      </c>
      <c r="P1167" s="55" t="n">
        <v>25</v>
      </c>
      <c r="Q1167" s="59">
        <f>IF(BO1167=1,0,IFERROR(VLOOKUP(BM1167,'Gebinde-Kategorie'!$A$5:$G$45,6,0)+0,0))</f>
        <v/>
      </c>
      <c r="R1167" s="60" t="n"/>
      <c r="S1167" s="61" t="n"/>
      <c r="T1167" s="61" t="n"/>
      <c r="U1167" s="53">
        <f>IF(A1167="","",IF(IFERROR(VLOOKUP(D1167,Parameter!$A$35:$C$64,2,0),"Nein")="2+3",IF(ISNUMBER(SEARCH("grosser Artikel",BJ1167)),2,IFERROR(VLOOKUP(BM1167,Parameter!$F$35:$G$64,2,0),2)),IF(OR(IFERROR(VLOOKUP(D1167,Parameter!$A$35:$C$64,2,0),"Nein")="Nein",IFERROR(VLOOKUP(D1167,Parameter!$A$35:$C$64,2,0),"Nein")=""),"-",VLOOKUP(D1167,Parameter!$A$35:$C$64,2,0))))</f>
        <v/>
      </c>
      <c r="V1167" s="61" t="n"/>
      <c r="W1167" s="62" t="n"/>
      <c r="X1167" s="55">
        <f>AM1167</f>
        <v/>
      </c>
      <c r="Y1167" s="55">
        <f>MAX(AM1167,G1167)</f>
        <v/>
      </c>
      <c r="Z1167" s="63" t="n"/>
      <c r="AA1167" s="55">
        <f>IF(LEFT(Cockpit!$C$5,1)="A",G1167,IF(BT1167=1,BU1167,IF(LEFT(Cockpit!$C$5,1)="B",AE1167,MAX(AE1167,G1167))))</f>
        <v/>
      </c>
      <c r="AB1167" s="55">
        <f>IF(BO1167=1,0,ROUNDUP(AA1167/BN1167,0))</f>
        <v/>
      </c>
      <c r="AC1167" s="64">
        <f>IF(BO1167=1,IF(AA1167&lt;=0,0,BP1167*MAX(1,IF(G1167&gt;0,AA1167/G1167,1))),AB1167*Q1167)</f>
        <v/>
      </c>
      <c r="AD1167" s="55">
        <f>AA1167*F1167</f>
        <v/>
      </c>
      <c r="AE1167" s="55">
        <f>ROUNDUP(MAX(I1167/IF(BS1167&gt;0,BS1167,MAX(0.1,N(Cockpit!$C$6))),BV1167)/BN1167,0)*BN1167</f>
        <v/>
      </c>
      <c r="AF1167" s="56">
        <f>IF(AC1167&gt;0,I1167/AC1167,-1)</f>
        <v/>
      </c>
      <c r="AG1167" s="56">
        <f>IF(AND(OR(BR1167="L1",BR1167="L23"),AC1167&gt;0),SUMIFS($AC$7:$AC$1570,$BR$7:$BR$1570,BR1167,$AF$7:$AF$1570,"&gt;"&amp;AF1167)+SUMIFS($AC$7:$AC$1570,$BR$7:$BR$1570,BR1167,$AF$7:$AF$1570,AF1167,$BL$7:$BL$1570,"&lt;="&amp;BL1167),"")</f>
        <v/>
      </c>
      <c r="AH1167" s="65">
        <f>IF(AG1167="",0,MAX(0,MIN(1,(IF(BR1167="L1",Parameter!$K$5,Parameter!$K$6+Parameter!$K$7)-(AG1167-AC1167))/AC1167)))</f>
        <v/>
      </c>
      <c r="AI1167" s="55">
        <f>IF(LEFT(Cockpit!$I$5,1)="A",G1167,IF(BT1167=1,BU1167,IF(LEFT(Cockpit!$I$5,1)="B",AM1167,MAX(AM1167,G1167))))</f>
        <v/>
      </c>
      <c r="AJ1167" s="55">
        <f>IF(BO1167=1,0,ROUNDUP(AI1167/BN1167,0))</f>
        <v/>
      </c>
      <c r="AK1167" s="64">
        <f>IF(BO1167=1,IF(AI1167&lt;=0,0,BP1167*MAX(1,IF(G1167&gt;0,AI1167/G1167,1))),AJ1167*Q1167)</f>
        <v/>
      </c>
      <c r="AL1167" s="55">
        <f>AI1167*F1167</f>
        <v/>
      </c>
      <c r="AM1167" s="55">
        <f>ROUNDUP(MAX(I1167/IF(BS1167&gt;0,BS1167,MAX(0.1,N(Cockpit!$I$6))),BV1167)/BN1167,0)*BN1167</f>
        <v/>
      </c>
      <c r="AN1167" s="56">
        <f>IF(AK1167&gt;0,I1167/AK1167,-1)</f>
        <v/>
      </c>
      <c r="AO1167" s="56">
        <f>IF(AND(OR(BR1167="L1",BR1167="L23"),AK1167&gt;0),SUMIFS($AK$7:$AK$1570,$BR$7:$BR$1570,BR1167,$AN$7:$AN$1570,"&gt;"&amp;AN1167)+SUMIFS($AK$7:$AK$1570,$BR$7:$BR$1570,BR1167,$AN$7:$AN$1570,AN1167,$BL$7:$BL$1570,"&lt;="&amp;BL1167),"")</f>
        <v/>
      </c>
      <c r="AP1167" s="65">
        <f>IF(AO1167="",0,MAX(0,MIN(1,(IF(BR1167="L1",Parameter!$K$5,Parameter!$K$6+Parameter!$K$7)-(AO1167-AK1167))/AK1167)))</f>
        <v/>
      </c>
      <c r="AQ1167" s="55">
        <f>IF(LEFT(Cockpit!$O$5,1)="A",G1167,IF(BT1167=1,BU1167,IF(LEFT(Cockpit!$O$5,1)="B",AU1167,MAX(AU1167,G1167))))</f>
        <v/>
      </c>
      <c r="AR1167" s="55">
        <f>IF(BO1167=1,0,ROUNDUP(AQ1167/BN1167,0))</f>
        <v/>
      </c>
      <c r="AS1167" s="64">
        <f>IF(BO1167=1,IF(AQ1167&lt;=0,0,BP1167*MAX(1,IF(G1167&gt;0,AQ1167/G1167,1))),AR1167*Q1167)</f>
        <v/>
      </c>
      <c r="AT1167" s="55">
        <f>AQ1167*F1167</f>
        <v/>
      </c>
      <c r="AU1167" s="55">
        <f>ROUNDUP(MAX(I1167/IF(BS1167&gt;0,BS1167,MAX(0.1,N(Cockpit!$O$6))),BV1167)/BN1167,0)*BN1167</f>
        <v/>
      </c>
      <c r="AV1167" s="56">
        <f>IF(AS1167&gt;0,I1167/AS1167,-1)</f>
        <v/>
      </c>
      <c r="AW1167" s="56">
        <f>IF(AND(OR(BR1167="L1",BR1167="L23"),AS1167&gt;0),SUMIFS($AS$7:$AS$1570,$BR$7:$BR$1570,BR1167,$AV$7:$AV$1570,"&gt;"&amp;AV1167)+SUMIFS($AS$7:$AS$1570,$BR$7:$BR$1570,BR1167,$AV$7:$AV$1570,AV1167,$BL$7:$BL$1570,"&lt;="&amp;BL1167),"")</f>
        <v/>
      </c>
      <c r="AX1167" s="65">
        <f>IF(AW1167="",0,MAX(0,MIN(1,(IF(BR1167="L1",Parameter!$K$5,Parameter!$K$6+Parameter!$K$7)-(AW1167-AS1167))/AS1167)))</f>
        <v/>
      </c>
      <c r="AY1167" s="53">
        <f>IF(AC1167&lt;=0,"",IF(BR1167="Aussen","Aussenlager",IF(BR1167="-","Nicht im Lift",IF(AH1167&gt;=1,"Lift",IF(AH1167&lt;=0,"Aussenlager","teilweise")))))</f>
        <v/>
      </c>
      <c r="AZ1167" s="53">
        <f>IF(AK1167&lt;=0,"",IF(BR1167="Aussen","Aussenlager",IF(BR1167="-","Nicht im Lift",IF(AP1167&gt;=1,"Lift",IF(AP1167&lt;=0,"Aussenlager","teilweise")))))</f>
        <v/>
      </c>
      <c r="BA1167" s="53">
        <f>IF(AS1167&lt;=0,"",IF(BR1167="Aussen","Aussenlager",IF(BR1167="-","Nicht im Lift",IF(AX1167&gt;=1,"Lift",IF(AX1167&lt;=0,"Aussenlager","teilweise")))))</f>
        <v/>
      </c>
      <c r="BB1167" s="53">
        <f>IF(A1167="","",IF(BK1167=1,"Neu; ","")&amp;IF(AND(BK1167=0,BF1167&lt;0),"negativer Bestand (Export "&amp;BF1167&amp;"); ","")&amp;IF(I1167&lt;=0,"Kein Verbrauch; ","")&amp;IF(BO1167=1,"Lose – Fläche geschätzt; ","")&amp;IF(G1167&gt;AM1167,"Überbestand "&amp;ROUND(G1167-AM1167,0)&amp;" Stk / CHF "&amp;ROUND((G1167-AM1167)*F1167,0)&amp;"; ","")&amp;IF(AND(BT1167=1,BU1167&lt;BV1167),"MAX &lt; MB+LG; ","")&amp;IF(AND(BZ1167&gt;0,BY1167*10&gt;BZ1167),"zu hoch für Tablar; ","")&amp;IF(AND(BK1167=0,OR(BT1167=1,V1167&lt;&gt;"",S1167&lt;&gt;"",T1167&lt;&gt;"",W1167&lt;&gt;"")),"manuell übersteuert; ","")&amp;IF(AND(BO1167=0,Q1167=0),"Gebinde unbekannt; ","")&amp;IF(AND(BO1167=0,N(T1167)&lt;=0,N(P1167)&lt;=0),"Menge pro Gebinde fehlt (Ist = 1 Gebinde); ","")&amp;BJ1167)</f>
        <v/>
      </c>
      <c r="BC1167" s="53" t="n"/>
      <c r="BD1167" s="53" t="n"/>
      <c r="BE1167" s="61" t="n"/>
      <c r="BF1167" s="55" t="n">
        <v>-8</v>
      </c>
      <c r="BG1167" s="55" t="n">
        <v>31</v>
      </c>
      <c r="BH1167" s="54" t="n">
        <v>-346.48</v>
      </c>
      <c r="BI1167" s="55" t="n">
        <v>8</v>
      </c>
      <c r="BJ1167" s="53" t="inlineStr"/>
      <c r="BK1167" s="58" t="n">
        <v>0</v>
      </c>
      <c r="BL1167" s="58" t="n">
        <v>1167</v>
      </c>
      <c r="BM1167" s="53">
        <f>IF(S1167&lt;&gt;"",UPPER(TRIM(S1167)),IF(O1167="","LOSE",O1167))</f>
        <v/>
      </c>
      <c r="BN1167" s="55">
        <f>IF(BM1167="LOSE",1,IF(N(T1167)&gt;0,T1167,IF(N(P1167)&gt;0,P1167,MAX(1,G1167))))</f>
        <v/>
      </c>
      <c r="BO1167" s="58">
        <f>IF(BM1167="LOSE",1,0)</f>
        <v/>
      </c>
      <c r="BP1167" s="64">
        <f>IF(BO1167=0,0,IF(N(R1167)&gt;0,R1167,IFERROR(VLOOKUP(D1167,Parameter!$A$35:$C$64,3,0)+0,0)))</f>
        <v/>
      </c>
      <c r="BQ1167" s="53">
        <f>IF(V1167&lt;&gt;"",V1167,U1167)</f>
        <v/>
      </c>
      <c r="BR1167" s="53">
        <f>IF(BQ1167=1,"L1",IF(OR(BQ1167=2,BQ1167=3),"L23",IF(BQ1167="Aussen","Aussen","-")))</f>
        <v/>
      </c>
      <c r="BS1167" s="66">
        <f>IF(N(W1167)&gt;0,W1167,0)</f>
        <v/>
      </c>
      <c r="BT1167" s="58">
        <f>IF(ISNUMBER(Z1167),1,0)</f>
        <v/>
      </c>
      <c r="BU1167" s="55">
        <f>N(Z1167)</f>
        <v/>
      </c>
      <c r="BV1167" s="55">
        <f>N(L1167)+N(M1167)</f>
        <v/>
      </c>
      <c r="BW1167" s="55">
        <f>ROUNDUP(G1167/BN1167,0)</f>
        <v/>
      </c>
      <c r="BX1167" s="55">
        <f>ROUNDUP(BU1167/BN1167,0)</f>
        <v/>
      </c>
      <c r="BY1167" s="58">
        <f>IF(BO1167=1,0,IFERROR(VLOOKUP(BM1167,'Gebinde-Kategorie'!$A$5:$G$45,5,0)+0,0))</f>
        <v/>
      </c>
      <c r="BZ1167" s="58">
        <f>IFERROR(IF(OR(BQ1167=1,BQ1167=2,BQ1167=3),N(INDEX(Parameter!$I$5:$I$7,BQ1167)),0),0)</f>
        <v/>
      </c>
    </row>
    <row r="1168">
      <c r="A1168" s="53" t="inlineStr">
        <is>
          <t>106955</t>
        </is>
      </c>
      <c r="B1168" s="53" t="inlineStr">
        <is>
          <t>Schnittstellenmodul</t>
        </is>
      </c>
      <c r="C1168" s="53" t="inlineStr">
        <is>
          <t>F</t>
        </is>
      </c>
      <c r="D1168" s="53" t="inlineStr">
        <is>
          <t>KTL</t>
        </is>
      </c>
      <c r="E1168" s="53" t="inlineStr">
        <is>
          <t>C</t>
        </is>
      </c>
      <c r="F1168" s="54" t="n">
        <v>116.46</v>
      </c>
      <c r="G1168" s="55">
        <f>MAX(0,IF(Parameter!$B$20="Jahresanfang 2025 + Export",BG1168+BF1168,BF1168))</f>
        <v/>
      </c>
      <c r="H1168" s="55">
        <f>G1168*F1168</f>
        <v/>
      </c>
      <c r="I1168" s="55">
        <f>BI1168*Parameter!$B$18</f>
        <v/>
      </c>
      <c r="J1168" s="56" t="n">
        <v>48.5</v>
      </c>
      <c r="K1168" s="57" t="n">
        <v>0.06185567010309279</v>
      </c>
      <c r="L1168" s="55" t="n">
        <v>0</v>
      </c>
      <c r="M1168" s="55" t="n">
        <v>5</v>
      </c>
      <c r="N1168" s="58" t="n">
        <v>28</v>
      </c>
      <c r="O1168" s="53" t="inlineStr">
        <is>
          <t>S63</t>
        </is>
      </c>
      <c r="P1168" s="55" t="n">
        <v>50</v>
      </c>
      <c r="Q1168" s="59">
        <f>IF(BO1168=1,0,IFERROR(VLOOKUP(BM1168,'Gebinde-Kategorie'!$A$5:$G$45,6,0)+0,0))</f>
        <v/>
      </c>
      <c r="R1168" s="60" t="n"/>
      <c r="S1168" s="61" t="n"/>
      <c r="T1168" s="61" t="n"/>
      <c r="U1168" s="53">
        <f>IF(A1168="","",IF(IFERROR(VLOOKUP(D1168,Parameter!$A$35:$C$64,2,0),"Nein")="2+3",IF(ISNUMBER(SEARCH("grosser Artikel",BJ1168)),2,IFERROR(VLOOKUP(BM1168,Parameter!$F$35:$G$64,2,0),2)),IF(OR(IFERROR(VLOOKUP(D1168,Parameter!$A$35:$C$64,2,0),"Nein")="Nein",IFERROR(VLOOKUP(D1168,Parameter!$A$35:$C$64,2,0),"Nein")=""),"-",VLOOKUP(D1168,Parameter!$A$35:$C$64,2,0))))</f>
        <v/>
      </c>
      <c r="V1168" s="61" t="n"/>
      <c r="W1168" s="62" t="n"/>
      <c r="X1168" s="55">
        <f>AM1168</f>
        <v/>
      </c>
      <c r="Y1168" s="55">
        <f>MAX(AM1168,G1168)</f>
        <v/>
      </c>
      <c r="Z1168" s="63" t="n"/>
      <c r="AA1168" s="55">
        <f>IF(LEFT(Cockpit!$C$5,1)="A",G1168,IF(BT1168=1,BU1168,IF(LEFT(Cockpit!$C$5,1)="B",AE1168,MAX(AE1168,G1168))))</f>
        <v/>
      </c>
      <c r="AB1168" s="55">
        <f>IF(BO1168=1,0,ROUNDUP(AA1168/BN1168,0))</f>
        <v/>
      </c>
      <c r="AC1168" s="64">
        <f>IF(BO1168=1,IF(AA1168&lt;=0,0,BP1168*MAX(1,IF(G1168&gt;0,AA1168/G1168,1))),AB1168*Q1168)</f>
        <v/>
      </c>
      <c r="AD1168" s="55">
        <f>AA1168*F1168</f>
        <v/>
      </c>
      <c r="AE1168" s="55">
        <f>ROUNDUP(MAX(I1168/IF(BS1168&gt;0,BS1168,MAX(0.1,N(Cockpit!$C$6))),BV1168)/BN1168,0)*BN1168</f>
        <v/>
      </c>
      <c r="AF1168" s="56">
        <f>IF(AC1168&gt;0,I1168/AC1168,-1)</f>
        <v/>
      </c>
      <c r="AG1168" s="56">
        <f>IF(AND(OR(BR1168="L1",BR1168="L23"),AC1168&gt;0),SUMIFS($AC$7:$AC$1570,$BR$7:$BR$1570,BR1168,$AF$7:$AF$1570,"&gt;"&amp;AF1168)+SUMIFS($AC$7:$AC$1570,$BR$7:$BR$1570,BR1168,$AF$7:$AF$1570,AF1168,$BL$7:$BL$1570,"&lt;="&amp;BL1168),"")</f>
        <v/>
      </c>
      <c r="AH1168" s="65">
        <f>IF(AG1168="",0,MAX(0,MIN(1,(IF(BR1168="L1",Parameter!$K$5,Parameter!$K$6+Parameter!$K$7)-(AG1168-AC1168))/AC1168)))</f>
        <v/>
      </c>
      <c r="AI1168" s="55">
        <f>IF(LEFT(Cockpit!$I$5,1)="A",G1168,IF(BT1168=1,BU1168,IF(LEFT(Cockpit!$I$5,1)="B",AM1168,MAX(AM1168,G1168))))</f>
        <v/>
      </c>
      <c r="AJ1168" s="55">
        <f>IF(BO1168=1,0,ROUNDUP(AI1168/BN1168,0))</f>
        <v/>
      </c>
      <c r="AK1168" s="64">
        <f>IF(BO1168=1,IF(AI1168&lt;=0,0,BP1168*MAX(1,IF(G1168&gt;0,AI1168/G1168,1))),AJ1168*Q1168)</f>
        <v/>
      </c>
      <c r="AL1168" s="55">
        <f>AI1168*F1168</f>
        <v/>
      </c>
      <c r="AM1168" s="55">
        <f>ROUNDUP(MAX(I1168/IF(BS1168&gt;0,BS1168,MAX(0.1,N(Cockpit!$I$6))),BV1168)/BN1168,0)*BN1168</f>
        <v/>
      </c>
      <c r="AN1168" s="56">
        <f>IF(AK1168&gt;0,I1168/AK1168,-1)</f>
        <v/>
      </c>
      <c r="AO1168" s="56">
        <f>IF(AND(OR(BR1168="L1",BR1168="L23"),AK1168&gt;0),SUMIFS($AK$7:$AK$1570,$BR$7:$BR$1570,BR1168,$AN$7:$AN$1570,"&gt;"&amp;AN1168)+SUMIFS($AK$7:$AK$1570,$BR$7:$BR$1570,BR1168,$AN$7:$AN$1570,AN1168,$BL$7:$BL$1570,"&lt;="&amp;BL1168),"")</f>
        <v/>
      </c>
      <c r="AP1168" s="65">
        <f>IF(AO1168="",0,MAX(0,MIN(1,(IF(BR1168="L1",Parameter!$K$5,Parameter!$K$6+Parameter!$K$7)-(AO1168-AK1168))/AK1168)))</f>
        <v/>
      </c>
      <c r="AQ1168" s="55">
        <f>IF(LEFT(Cockpit!$O$5,1)="A",G1168,IF(BT1168=1,BU1168,IF(LEFT(Cockpit!$O$5,1)="B",AU1168,MAX(AU1168,G1168))))</f>
        <v/>
      </c>
      <c r="AR1168" s="55">
        <f>IF(BO1168=1,0,ROUNDUP(AQ1168/BN1168,0))</f>
        <v/>
      </c>
      <c r="AS1168" s="64">
        <f>IF(BO1168=1,IF(AQ1168&lt;=0,0,BP1168*MAX(1,IF(G1168&gt;0,AQ1168/G1168,1))),AR1168*Q1168)</f>
        <v/>
      </c>
      <c r="AT1168" s="55">
        <f>AQ1168*F1168</f>
        <v/>
      </c>
      <c r="AU1168" s="55">
        <f>ROUNDUP(MAX(I1168/IF(BS1168&gt;0,BS1168,MAX(0.1,N(Cockpit!$O$6))),BV1168)/BN1168,0)*BN1168</f>
        <v/>
      </c>
      <c r="AV1168" s="56">
        <f>IF(AS1168&gt;0,I1168/AS1168,-1)</f>
        <v/>
      </c>
      <c r="AW1168" s="56">
        <f>IF(AND(OR(BR1168="L1",BR1168="L23"),AS1168&gt;0),SUMIFS($AS$7:$AS$1570,$BR$7:$BR$1570,BR1168,$AV$7:$AV$1570,"&gt;"&amp;AV1168)+SUMIFS($AS$7:$AS$1570,$BR$7:$BR$1570,BR1168,$AV$7:$AV$1570,AV1168,$BL$7:$BL$1570,"&lt;="&amp;BL1168),"")</f>
        <v/>
      </c>
      <c r="AX1168" s="65">
        <f>IF(AW1168="",0,MAX(0,MIN(1,(IF(BR1168="L1",Parameter!$K$5,Parameter!$K$6+Parameter!$K$7)-(AW1168-AS1168))/AS1168)))</f>
        <v/>
      </c>
      <c r="AY1168" s="53">
        <f>IF(AC1168&lt;=0,"",IF(BR1168="Aussen","Aussenlager",IF(BR1168="-","Nicht im Lift",IF(AH1168&gt;=1,"Lift",IF(AH1168&lt;=0,"Aussenlager","teilweise")))))</f>
        <v/>
      </c>
      <c r="AZ1168" s="53">
        <f>IF(AK1168&lt;=0,"",IF(BR1168="Aussen","Aussenlager",IF(BR1168="-","Nicht im Lift",IF(AP1168&gt;=1,"Lift",IF(AP1168&lt;=0,"Aussenlager","teilweise")))))</f>
        <v/>
      </c>
      <c r="BA1168" s="53">
        <f>IF(AS1168&lt;=0,"",IF(BR1168="Aussen","Aussenlager",IF(BR1168="-","Nicht im Lift",IF(AX1168&gt;=1,"Lift",IF(AX1168&lt;=0,"Aussenlager","teilweise")))))</f>
        <v/>
      </c>
      <c r="BB1168" s="53">
        <f>IF(A1168="","",IF(BK1168=1,"Neu; ","")&amp;IF(AND(BK1168=0,BF1168&lt;0),"negativer Bestand (Export "&amp;BF1168&amp;"); ","")&amp;IF(I1168&lt;=0,"Kein Verbrauch; ","")&amp;IF(BO1168=1,"Lose – Fläche geschätzt; ","")&amp;IF(G1168&gt;AM1168,"Überbestand "&amp;ROUND(G1168-AM1168,0)&amp;" Stk / CHF "&amp;ROUND((G1168-AM1168)*F1168,0)&amp;"; ","")&amp;IF(AND(BT1168=1,BU1168&lt;BV1168),"MAX &lt; MB+LG; ","")&amp;IF(AND(BZ1168&gt;0,BY1168*10&gt;BZ1168),"zu hoch für Tablar; ","")&amp;IF(AND(BK1168=0,OR(BT1168=1,V1168&lt;&gt;"",S1168&lt;&gt;"",T1168&lt;&gt;"",W1168&lt;&gt;"")),"manuell übersteuert; ","")&amp;IF(AND(BO1168=0,Q1168=0),"Gebinde unbekannt; ","")&amp;IF(AND(BO1168=0,N(T1168)&lt;=0,N(P1168)&lt;=0),"Menge pro Gebinde fehlt (Ist = 1 Gebinde); ","")&amp;BJ1168)</f>
        <v/>
      </c>
      <c r="BC1168" s="53" t="n"/>
      <c r="BD1168" s="53" t="n"/>
      <c r="BE1168" s="61" t="n"/>
      <c r="BF1168" s="55" t="n">
        <v>-3</v>
      </c>
      <c r="BG1168" s="55" t="n">
        <v>49</v>
      </c>
      <c r="BH1168" s="54" t="n">
        <v>-349.38</v>
      </c>
      <c r="BI1168" s="55" t="n">
        <v>3</v>
      </c>
      <c r="BJ1168" s="53" t="inlineStr"/>
      <c r="BK1168" s="58" t="n">
        <v>0</v>
      </c>
      <c r="BL1168" s="58" t="n">
        <v>1168</v>
      </c>
      <c r="BM1168" s="53">
        <f>IF(S1168&lt;&gt;"",UPPER(TRIM(S1168)),IF(O1168="","LOSE",O1168))</f>
        <v/>
      </c>
      <c r="BN1168" s="55">
        <f>IF(BM1168="LOSE",1,IF(N(T1168)&gt;0,T1168,IF(N(P1168)&gt;0,P1168,MAX(1,G1168))))</f>
        <v/>
      </c>
      <c r="BO1168" s="58">
        <f>IF(BM1168="LOSE",1,0)</f>
        <v/>
      </c>
      <c r="BP1168" s="64">
        <f>IF(BO1168=0,0,IF(N(R1168)&gt;0,R1168,IFERROR(VLOOKUP(D1168,Parameter!$A$35:$C$64,3,0)+0,0)))</f>
        <v/>
      </c>
      <c r="BQ1168" s="53">
        <f>IF(V1168&lt;&gt;"",V1168,U1168)</f>
        <v/>
      </c>
      <c r="BR1168" s="53">
        <f>IF(BQ1168=1,"L1",IF(OR(BQ1168=2,BQ1168=3),"L23",IF(BQ1168="Aussen","Aussen","-")))</f>
        <v/>
      </c>
      <c r="BS1168" s="66">
        <f>IF(N(W1168)&gt;0,W1168,0)</f>
        <v/>
      </c>
      <c r="BT1168" s="58">
        <f>IF(ISNUMBER(Z1168),1,0)</f>
        <v/>
      </c>
      <c r="BU1168" s="55">
        <f>N(Z1168)</f>
        <v/>
      </c>
      <c r="BV1168" s="55">
        <f>N(L1168)+N(M1168)</f>
        <v/>
      </c>
      <c r="BW1168" s="55">
        <f>ROUNDUP(G1168/BN1168,0)</f>
        <v/>
      </c>
      <c r="BX1168" s="55">
        <f>ROUNDUP(BU1168/BN1168,0)</f>
        <v/>
      </c>
      <c r="BY1168" s="58">
        <f>IF(BO1168=1,0,IFERROR(VLOOKUP(BM1168,'Gebinde-Kategorie'!$A$5:$G$45,5,0)+0,0))</f>
        <v/>
      </c>
      <c r="BZ1168" s="58">
        <f>IFERROR(IF(OR(BQ1168=1,BQ1168=2,BQ1168=3),N(INDEX(Parameter!$I$5:$I$7,BQ1168)),0),0)</f>
        <v/>
      </c>
    </row>
    <row r="1169">
      <c r="A1169" s="53" t="inlineStr">
        <is>
          <t>106942</t>
        </is>
      </c>
      <c r="B1169" s="53" t="inlineStr">
        <is>
          <t>Einspeisebusmodul</t>
        </is>
      </c>
      <c r="C1169" s="53" t="inlineStr">
        <is>
          <t>F</t>
        </is>
      </c>
      <c r="D1169" s="53" t="inlineStr">
        <is>
          <t>KTL</t>
        </is>
      </c>
      <c r="E1169" s="53" t="inlineStr">
        <is>
          <t>C</t>
        </is>
      </c>
      <c r="F1169" s="54" t="n">
        <v>58.46</v>
      </c>
      <c r="G1169" s="55">
        <f>MAX(0,IF(Parameter!$B$20="Jahresanfang 2025 + Export",BG1169+BF1169,BF1169))</f>
        <v/>
      </c>
      <c r="H1169" s="55">
        <f>G1169*F1169</f>
        <v/>
      </c>
      <c r="I1169" s="55">
        <f>BI1169*Parameter!$B$18</f>
        <v/>
      </c>
      <c r="J1169" s="56" t="n">
        <v>60</v>
      </c>
      <c r="K1169" s="57" t="n">
        <v>0.08333333333333333</v>
      </c>
      <c r="L1169" s="55" t="n">
        <v>0</v>
      </c>
      <c r="M1169" s="55" t="n">
        <v>5</v>
      </c>
      <c r="N1169" s="58" t="n">
        <v>28</v>
      </c>
      <c r="O1169" s="53" t="inlineStr">
        <is>
          <t>S51</t>
        </is>
      </c>
      <c r="P1169" s="55" t="n">
        <v>60</v>
      </c>
      <c r="Q1169" s="59">
        <f>IF(BO1169=1,0,IFERROR(VLOOKUP(BM1169,'Gebinde-Kategorie'!$A$5:$G$45,6,0)+0,0))</f>
        <v/>
      </c>
      <c r="R1169" s="60" t="n"/>
      <c r="S1169" s="61" t="n"/>
      <c r="T1169" s="61" t="n"/>
      <c r="U1169" s="53">
        <f>IF(A1169="","",IF(IFERROR(VLOOKUP(D1169,Parameter!$A$35:$C$64,2,0),"Nein")="2+3",IF(ISNUMBER(SEARCH("grosser Artikel",BJ1169)),2,IFERROR(VLOOKUP(BM1169,Parameter!$F$35:$G$64,2,0),2)),IF(OR(IFERROR(VLOOKUP(D1169,Parameter!$A$35:$C$64,2,0),"Nein")="Nein",IFERROR(VLOOKUP(D1169,Parameter!$A$35:$C$64,2,0),"Nein")=""),"-",VLOOKUP(D1169,Parameter!$A$35:$C$64,2,0))))</f>
        <v/>
      </c>
      <c r="V1169" s="61" t="n"/>
      <c r="W1169" s="62" t="n"/>
      <c r="X1169" s="55">
        <f>AM1169</f>
        <v/>
      </c>
      <c r="Y1169" s="55">
        <f>MAX(AM1169,G1169)</f>
        <v/>
      </c>
      <c r="Z1169" s="63" t="n"/>
      <c r="AA1169" s="55">
        <f>IF(LEFT(Cockpit!$C$5,1)="A",G1169,IF(BT1169=1,BU1169,IF(LEFT(Cockpit!$C$5,1)="B",AE1169,MAX(AE1169,G1169))))</f>
        <v/>
      </c>
      <c r="AB1169" s="55">
        <f>IF(BO1169=1,0,ROUNDUP(AA1169/BN1169,0))</f>
        <v/>
      </c>
      <c r="AC1169" s="64">
        <f>IF(BO1169=1,IF(AA1169&lt;=0,0,BP1169*MAX(1,IF(G1169&gt;0,AA1169/G1169,1))),AB1169*Q1169)</f>
        <v/>
      </c>
      <c r="AD1169" s="55">
        <f>AA1169*F1169</f>
        <v/>
      </c>
      <c r="AE1169" s="55">
        <f>ROUNDUP(MAX(I1169/IF(BS1169&gt;0,BS1169,MAX(0.1,N(Cockpit!$C$6))),BV1169)/BN1169,0)*BN1169</f>
        <v/>
      </c>
      <c r="AF1169" s="56">
        <f>IF(AC1169&gt;0,I1169/AC1169,-1)</f>
        <v/>
      </c>
      <c r="AG1169" s="56">
        <f>IF(AND(OR(BR1169="L1",BR1169="L23"),AC1169&gt;0),SUMIFS($AC$7:$AC$1570,$BR$7:$BR$1570,BR1169,$AF$7:$AF$1570,"&gt;"&amp;AF1169)+SUMIFS($AC$7:$AC$1570,$BR$7:$BR$1570,BR1169,$AF$7:$AF$1570,AF1169,$BL$7:$BL$1570,"&lt;="&amp;BL1169),"")</f>
        <v/>
      </c>
      <c r="AH1169" s="65">
        <f>IF(AG1169="",0,MAX(0,MIN(1,(IF(BR1169="L1",Parameter!$K$5,Parameter!$K$6+Parameter!$K$7)-(AG1169-AC1169))/AC1169)))</f>
        <v/>
      </c>
      <c r="AI1169" s="55">
        <f>IF(LEFT(Cockpit!$I$5,1)="A",G1169,IF(BT1169=1,BU1169,IF(LEFT(Cockpit!$I$5,1)="B",AM1169,MAX(AM1169,G1169))))</f>
        <v/>
      </c>
      <c r="AJ1169" s="55">
        <f>IF(BO1169=1,0,ROUNDUP(AI1169/BN1169,0))</f>
        <v/>
      </c>
      <c r="AK1169" s="64">
        <f>IF(BO1169=1,IF(AI1169&lt;=0,0,BP1169*MAX(1,IF(G1169&gt;0,AI1169/G1169,1))),AJ1169*Q1169)</f>
        <v/>
      </c>
      <c r="AL1169" s="55">
        <f>AI1169*F1169</f>
        <v/>
      </c>
      <c r="AM1169" s="55">
        <f>ROUNDUP(MAX(I1169/IF(BS1169&gt;0,BS1169,MAX(0.1,N(Cockpit!$I$6))),BV1169)/BN1169,0)*BN1169</f>
        <v/>
      </c>
      <c r="AN1169" s="56">
        <f>IF(AK1169&gt;0,I1169/AK1169,-1)</f>
        <v/>
      </c>
      <c r="AO1169" s="56">
        <f>IF(AND(OR(BR1169="L1",BR1169="L23"),AK1169&gt;0),SUMIFS($AK$7:$AK$1570,$BR$7:$BR$1570,BR1169,$AN$7:$AN$1570,"&gt;"&amp;AN1169)+SUMIFS($AK$7:$AK$1570,$BR$7:$BR$1570,BR1169,$AN$7:$AN$1570,AN1169,$BL$7:$BL$1570,"&lt;="&amp;BL1169),"")</f>
        <v/>
      </c>
      <c r="AP1169" s="65">
        <f>IF(AO1169="",0,MAX(0,MIN(1,(IF(BR1169="L1",Parameter!$K$5,Parameter!$K$6+Parameter!$K$7)-(AO1169-AK1169))/AK1169)))</f>
        <v/>
      </c>
      <c r="AQ1169" s="55">
        <f>IF(LEFT(Cockpit!$O$5,1)="A",G1169,IF(BT1169=1,BU1169,IF(LEFT(Cockpit!$O$5,1)="B",AU1169,MAX(AU1169,G1169))))</f>
        <v/>
      </c>
      <c r="AR1169" s="55">
        <f>IF(BO1169=1,0,ROUNDUP(AQ1169/BN1169,0))</f>
        <v/>
      </c>
      <c r="AS1169" s="64">
        <f>IF(BO1169=1,IF(AQ1169&lt;=0,0,BP1169*MAX(1,IF(G1169&gt;0,AQ1169/G1169,1))),AR1169*Q1169)</f>
        <v/>
      </c>
      <c r="AT1169" s="55">
        <f>AQ1169*F1169</f>
        <v/>
      </c>
      <c r="AU1169" s="55">
        <f>ROUNDUP(MAX(I1169/IF(BS1169&gt;0,BS1169,MAX(0.1,N(Cockpit!$O$6))),BV1169)/BN1169,0)*BN1169</f>
        <v/>
      </c>
      <c r="AV1169" s="56">
        <f>IF(AS1169&gt;0,I1169/AS1169,-1)</f>
        <v/>
      </c>
      <c r="AW1169" s="56">
        <f>IF(AND(OR(BR1169="L1",BR1169="L23"),AS1169&gt;0),SUMIFS($AS$7:$AS$1570,$BR$7:$BR$1570,BR1169,$AV$7:$AV$1570,"&gt;"&amp;AV1169)+SUMIFS($AS$7:$AS$1570,$BR$7:$BR$1570,BR1169,$AV$7:$AV$1570,AV1169,$BL$7:$BL$1570,"&lt;="&amp;BL1169),"")</f>
        <v/>
      </c>
      <c r="AX1169" s="65">
        <f>IF(AW1169="",0,MAX(0,MIN(1,(IF(BR1169="L1",Parameter!$K$5,Parameter!$K$6+Parameter!$K$7)-(AW1169-AS1169))/AS1169)))</f>
        <v/>
      </c>
      <c r="AY1169" s="53">
        <f>IF(AC1169&lt;=0,"",IF(BR1169="Aussen","Aussenlager",IF(BR1169="-","Nicht im Lift",IF(AH1169&gt;=1,"Lift",IF(AH1169&lt;=0,"Aussenlager","teilweise")))))</f>
        <v/>
      </c>
      <c r="AZ1169" s="53">
        <f>IF(AK1169&lt;=0,"",IF(BR1169="Aussen","Aussenlager",IF(BR1169="-","Nicht im Lift",IF(AP1169&gt;=1,"Lift",IF(AP1169&lt;=0,"Aussenlager","teilweise")))))</f>
        <v/>
      </c>
      <c r="BA1169" s="53">
        <f>IF(AS1169&lt;=0,"",IF(BR1169="Aussen","Aussenlager",IF(BR1169="-","Nicht im Lift",IF(AX1169&gt;=1,"Lift",IF(AX1169&lt;=0,"Aussenlager","teilweise")))))</f>
        <v/>
      </c>
      <c r="BB1169" s="53">
        <f>IF(A1169="","",IF(BK1169=1,"Neu; ","")&amp;IF(AND(BK1169=0,BF1169&lt;0),"negativer Bestand (Export "&amp;BF1169&amp;"); ","")&amp;IF(I1169&lt;=0,"Kein Verbrauch; ","")&amp;IF(BO1169=1,"Lose – Fläche geschätzt; ","")&amp;IF(G1169&gt;AM1169,"Überbestand "&amp;ROUND(G1169-AM1169,0)&amp;" Stk / CHF "&amp;ROUND((G1169-AM1169)*F1169,0)&amp;"; ","")&amp;IF(AND(BT1169=1,BU1169&lt;BV1169),"MAX &lt; MB+LG; ","")&amp;IF(AND(BZ1169&gt;0,BY1169*10&gt;BZ1169),"zu hoch für Tablar; ","")&amp;IF(AND(BK1169=0,OR(BT1169=1,V1169&lt;&gt;"",S1169&lt;&gt;"",T1169&lt;&gt;"",W1169&lt;&gt;"")),"manuell übersteuert; ","")&amp;IF(AND(BO1169=0,Q1169=0),"Gebinde unbekannt; ","")&amp;IF(AND(BO1169=0,N(T1169)&lt;=0,N(P1169)&lt;=0),"Menge pro Gebinde fehlt (Ist = 1 Gebinde); ","")&amp;BJ1169)</f>
        <v/>
      </c>
      <c r="BC1169" s="53" t="n"/>
      <c r="BD1169" s="53" t="n"/>
      <c r="BE1169" s="61" t="n"/>
      <c r="BF1169" s="55" t="n">
        <v>-6</v>
      </c>
      <c r="BG1169" s="55" t="n">
        <v>63</v>
      </c>
      <c r="BH1169" s="54" t="n">
        <v>-350.76</v>
      </c>
      <c r="BI1169" s="55" t="n">
        <v>5</v>
      </c>
      <c r="BJ1169" s="53" t="inlineStr"/>
      <c r="BK1169" s="58" t="n">
        <v>0</v>
      </c>
      <c r="BL1169" s="58" t="n">
        <v>1169</v>
      </c>
      <c r="BM1169" s="53">
        <f>IF(S1169&lt;&gt;"",UPPER(TRIM(S1169)),IF(O1169="","LOSE",O1169))</f>
        <v/>
      </c>
      <c r="BN1169" s="55">
        <f>IF(BM1169="LOSE",1,IF(N(T1169)&gt;0,T1169,IF(N(P1169)&gt;0,P1169,MAX(1,G1169))))</f>
        <v/>
      </c>
      <c r="BO1169" s="58">
        <f>IF(BM1169="LOSE",1,0)</f>
        <v/>
      </c>
      <c r="BP1169" s="64">
        <f>IF(BO1169=0,0,IF(N(R1169)&gt;0,R1169,IFERROR(VLOOKUP(D1169,Parameter!$A$35:$C$64,3,0)+0,0)))</f>
        <v/>
      </c>
      <c r="BQ1169" s="53">
        <f>IF(V1169&lt;&gt;"",V1169,U1169)</f>
        <v/>
      </c>
      <c r="BR1169" s="53">
        <f>IF(BQ1169=1,"L1",IF(OR(BQ1169=2,BQ1169=3),"L23",IF(BQ1169="Aussen","Aussen","-")))</f>
        <v/>
      </c>
      <c r="BS1169" s="66">
        <f>IF(N(W1169)&gt;0,W1169,0)</f>
        <v/>
      </c>
      <c r="BT1169" s="58">
        <f>IF(ISNUMBER(Z1169),1,0)</f>
        <v/>
      </c>
      <c r="BU1169" s="55">
        <f>N(Z1169)</f>
        <v/>
      </c>
      <c r="BV1169" s="55">
        <f>N(L1169)+N(M1169)</f>
        <v/>
      </c>
      <c r="BW1169" s="55">
        <f>ROUNDUP(G1169/BN1169,0)</f>
        <v/>
      </c>
      <c r="BX1169" s="55">
        <f>ROUNDUP(BU1169/BN1169,0)</f>
        <v/>
      </c>
      <c r="BY1169" s="58">
        <f>IF(BO1169=1,0,IFERROR(VLOOKUP(BM1169,'Gebinde-Kategorie'!$A$5:$G$45,5,0)+0,0))</f>
        <v/>
      </c>
      <c r="BZ1169" s="58">
        <f>IFERROR(IF(OR(BQ1169=1,BQ1169=2,BQ1169=3),N(INDEX(Parameter!$I$5:$I$7,BQ1169)),0),0)</f>
        <v/>
      </c>
    </row>
    <row r="1170">
      <c r="A1170" s="53" t="inlineStr">
        <is>
          <t>105959</t>
        </is>
      </c>
      <c r="B1170" s="53" t="inlineStr">
        <is>
          <t>Adapter Messing</t>
        </is>
      </c>
      <c r="C1170" s="53" t="inlineStr">
        <is>
          <t>F</t>
        </is>
      </c>
      <c r="D1170" s="53" t="inlineStr">
        <is>
          <t>KTL</t>
        </is>
      </c>
      <c r="E1170" s="53" t="inlineStr">
        <is>
          <t>C</t>
        </is>
      </c>
      <c r="F1170" s="54" t="n">
        <v>8.970000000000001</v>
      </c>
      <c r="G1170" s="55">
        <f>MAX(0,IF(Parameter!$B$20="Jahresanfang 2025 + Export",BG1170+BF1170,BF1170))</f>
        <v/>
      </c>
      <c r="H1170" s="55">
        <f>G1170*F1170</f>
        <v/>
      </c>
      <c r="I1170" s="55">
        <f>BI1170*Parameter!$B$18</f>
        <v/>
      </c>
      <c r="J1170" s="56" t="n">
        <v>55</v>
      </c>
      <c r="K1170" s="57" t="n">
        <v>1.454545454545455</v>
      </c>
      <c r="L1170" s="55" t="n">
        <v>6</v>
      </c>
      <c r="M1170" s="55" t="n">
        <v>80</v>
      </c>
      <c r="N1170" s="58" t="n">
        <v>28</v>
      </c>
      <c r="O1170" s="53" t="inlineStr">
        <is>
          <t>S22</t>
        </is>
      </c>
      <c r="P1170" s="55" t="n">
        <v>38</v>
      </c>
      <c r="Q1170" s="59">
        <f>IF(BO1170=1,0,IFERROR(VLOOKUP(BM1170,'Gebinde-Kategorie'!$A$5:$G$45,6,0)+0,0))</f>
        <v/>
      </c>
      <c r="R1170" s="60" t="n"/>
      <c r="S1170" s="61" t="n"/>
      <c r="T1170" s="61" t="n"/>
      <c r="U1170" s="53">
        <f>IF(A1170="","",IF(IFERROR(VLOOKUP(D1170,Parameter!$A$35:$C$64,2,0),"Nein")="2+3",IF(ISNUMBER(SEARCH("grosser Artikel",BJ1170)),2,IFERROR(VLOOKUP(BM1170,Parameter!$F$35:$G$64,2,0),2)),IF(OR(IFERROR(VLOOKUP(D1170,Parameter!$A$35:$C$64,2,0),"Nein")="Nein",IFERROR(VLOOKUP(D1170,Parameter!$A$35:$C$64,2,0),"Nein")=""),"-",VLOOKUP(D1170,Parameter!$A$35:$C$64,2,0))))</f>
        <v/>
      </c>
      <c r="V1170" s="61" t="n"/>
      <c r="W1170" s="62" t="n"/>
      <c r="X1170" s="55">
        <f>AM1170</f>
        <v/>
      </c>
      <c r="Y1170" s="55">
        <f>MAX(AM1170,G1170)</f>
        <v/>
      </c>
      <c r="Z1170" s="63" t="n"/>
      <c r="AA1170" s="55">
        <f>IF(LEFT(Cockpit!$C$5,1)="A",G1170,IF(BT1170=1,BU1170,IF(LEFT(Cockpit!$C$5,1)="B",AE1170,MAX(AE1170,G1170))))</f>
        <v/>
      </c>
      <c r="AB1170" s="55">
        <f>IF(BO1170=1,0,ROUNDUP(AA1170/BN1170,0))</f>
        <v/>
      </c>
      <c r="AC1170" s="64">
        <f>IF(BO1170=1,IF(AA1170&lt;=0,0,BP1170*MAX(1,IF(G1170&gt;0,AA1170/G1170,1))),AB1170*Q1170)</f>
        <v/>
      </c>
      <c r="AD1170" s="55">
        <f>AA1170*F1170</f>
        <v/>
      </c>
      <c r="AE1170" s="55">
        <f>ROUNDUP(MAX(I1170/IF(BS1170&gt;0,BS1170,MAX(0.1,N(Cockpit!$C$6))),BV1170)/BN1170,0)*BN1170</f>
        <v/>
      </c>
      <c r="AF1170" s="56">
        <f>IF(AC1170&gt;0,I1170/AC1170,-1)</f>
        <v/>
      </c>
      <c r="AG1170" s="56">
        <f>IF(AND(OR(BR1170="L1",BR1170="L23"),AC1170&gt;0),SUMIFS($AC$7:$AC$1570,$BR$7:$BR$1570,BR1170,$AF$7:$AF$1570,"&gt;"&amp;AF1170)+SUMIFS($AC$7:$AC$1570,$BR$7:$BR$1570,BR1170,$AF$7:$AF$1570,AF1170,$BL$7:$BL$1570,"&lt;="&amp;BL1170),"")</f>
        <v/>
      </c>
      <c r="AH1170" s="65">
        <f>IF(AG1170="",0,MAX(0,MIN(1,(IF(BR1170="L1",Parameter!$K$5,Parameter!$K$6+Parameter!$K$7)-(AG1170-AC1170))/AC1170)))</f>
        <v/>
      </c>
      <c r="AI1170" s="55">
        <f>IF(LEFT(Cockpit!$I$5,1)="A",G1170,IF(BT1170=1,BU1170,IF(LEFT(Cockpit!$I$5,1)="B",AM1170,MAX(AM1170,G1170))))</f>
        <v/>
      </c>
      <c r="AJ1170" s="55">
        <f>IF(BO1170=1,0,ROUNDUP(AI1170/BN1170,0))</f>
        <v/>
      </c>
      <c r="AK1170" s="64">
        <f>IF(BO1170=1,IF(AI1170&lt;=0,0,BP1170*MAX(1,IF(G1170&gt;0,AI1170/G1170,1))),AJ1170*Q1170)</f>
        <v/>
      </c>
      <c r="AL1170" s="55">
        <f>AI1170*F1170</f>
        <v/>
      </c>
      <c r="AM1170" s="55">
        <f>ROUNDUP(MAX(I1170/IF(BS1170&gt;0,BS1170,MAX(0.1,N(Cockpit!$I$6))),BV1170)/BN1170,0)*BN1170</f>
        <v/>
      </c>
      <c r="AN1170" s="56">
        <f>IF(AK1170&gt;0,I1170/AK1170,-1)</f>
        <v/>
      </c>
      <c r="AO1170" s="56">
        <f>IF(AND(OR(BR1170="L1",BR1170="L23"),AK1170&gt;0),SUMIFS($AK$7:$AK$1570,$BR$7:$BR$1570,BR1170,$AN$7:$AN$1570,"&gt;"&amp;AN1170)+SUMIFS($AK$7:$AK$1570,$BR$7:$BR$1570,BR1170,$AN$7:$AN$1570,AN1170,$BL$7:$BL$1570,"&lt;="&amp;BL1170),"")</f>
        <v/>
      </c>
      <c r="AP1170" s="65">
        <f>IF(AO1170="",0,MAX(0,MIN(1,(IF(BR1170="L1",Parameter!$K$5,Parameter!$K$6+Parameter!$K$7)-(AO1170-AK1170))/AK1170)))</f>
        <v/>
      </c>
      <c r="AQ1170" s="55">
        <f>IF(LEFT(Cockpit!$O$5,1)="A",G1170,IF(BT1170=1,BU1170,IF(LEFT(Cockpit!$O$5,1)="B",AU1170,MAX(AU1170,G1170))))</f>
        <v/>
      </c>
      <c r="AR1170" s="55">
        <f>IF(BO1170=1,0,ROUNDUP(AQ1170/BN1170,0))</f>
        <v/>
      </c>
      <c r="AS1170" s="64">
        <f>IF(BO1170=1,IF(AQ1170&lt;=0,0,BP1170*MAX(1,IF(G1170&gt;0,AQ1170/G1170,1))),AR1170*Q1170)</f>
        <v/>
      </c>
      <c r="AT1170" s="55">
        <f>AQ1170*F1170</f>
        <v/>
      </c>
      <c r="AU1170" s="55">
        <f>ROUNDUP(MAX(I1170/IF(BS1170&gt;0,BS1170,MAX(0.1,N(Cockpit!$O$6))),BV1170)/BN1170,0)*BN1170</f>
        <v/>
      </c>
      <c r="AV1170" s="56">
        <f>IF(AS1170&gt;0,I1170/AS1170,-1)</f>
        <v/>
      </c>
      <c r="AW1170" s="56">
        <f>IF(AND(OR(BR1170="L1",BR1170="L23"),AS1170&gt;0),SUMIFS($AS$7:$AS$1570,$BR$7:$BR$1570,BR1170,$AV$7:$AV$1570,"&gt;"&amp;AV1170)+SUMIFS($AS$7:$AS$1570,$BR$7:$BR$1570,BR1170,$AV$7:$AV$1570,AV1170,$BL$7:$BL$1570,"&lt;="&amp;BL1170),"")</f>
        <v/>
      </c>
      <c r="AX1170" s="65">
        <f>IF(AW1170="",0,MAX(0,MIN(1,(IF(BR1170="L1",Parameter!$K$5,Parameter!$K$6+Parameter!$K$7)-(AW1170-AS1170))/AS1170)))</f>
        <v/>
      </c>
      <c r="AY1170" s="53">
        <f>IF(AC1170&lt;=0,"",IF(BR1170="Aussen","Aussenlager",IF(BR1170="-","Nicht im Lift",IF(AH1170&gt;=1,"Lift",IF(AH1170&lt;=0,"Aussenlager","teilweise")))))</f>
        <v/>
      </c>
      <c r="AZ1170" s="53">
        <f>IF(AK1170&lt;=0,"",IF(BR1170="Aussen","Aussenlager",IF(BR1170="-","Nicht im Lift",IF(AP1170&gt;=1,"Lift",IF(AP1170&lt;=0,"Aussenlager","teilweise")))))</f>
        <v/>
      </c>
      <c r="BA1170" s="53">
        <f>IF(AS1170&lt;=0,"",IF(BR1170="Aussen","Aussenlager",IF(BR1170="-","Nicht im Lift",IF(AX1170&gt;=1,"Lift",IF(AX1170&lt;=0,"Aussenlager","teilweise")))))</f>
        <v/>
      </c>
      <c r="BB1170" s="53">
        <f>IF(A1170="","",IF(BK1170=1,"Neu; ","")&amp;IF(AND(BK1170=0,BF1170&lt;0),"negativer Bestand (Export "&amp;BF1170&amp;"); ","")&amp;IF(I1170&lt;=0,"Kein Verbrauch; ","")&amp;IF(BO1170=1,"Lose – Fläche geschätzt; ","")&amp;IF(G1170&gt;AM1170,"Überbestand "&amp;ROUND(G1170-AM1170,0)&amp;" Stk / CHF "&amp;ROUND((G1170-AM1170)*F1170,0)&amp;"; ","")&amp;IF(AND(BT1170=1,BU1170&lt;BV1170),"MAX &lt; MB+LG; ","")&amp;IF(AND(BZ1170&gt;0,BY1170*10&gt;BZ1170),"zu hoch für Tablar; ","")&amp;IF(AND(BK1170=0,OR(BT1170=1,V1170&lt;&gt;"",S1170&lt;&gt;"",T1170&lt;&gt;"",W1170&lt;&gt;"")),"manuell übersteuert; ","")&amp;IF(AND(BO1170=0,Q1170=0),"Gebinde unbekannt; ","")&amp;IF(AND(BO1170=0,N(T1170)&lt;=0,N(P1170)&lt;=0),"Menge pro Gebinde fehlt (Ist = 1 Gebinde); ","")&amp;BJ1170)</f>
        <v/>
      </c>
      <c r="BC1170" s="53" t="n"/>
      <c r="BD1170" s="53" t="n"/>
      <c r="BE1170" s="61" t="n"/>
      <c r="BF1170" s="55" t="n">
        <v>-48</v>
      </c>
      <c r="BG1170" s="55" t="n">
        <v>60</v>
      </c>
      <c r="BH1170" s="54" t="n">
        <v>-353.1600000000001</v>
      </c>
      <c r="BI1170" s="55" t="n">
        <v>80</v>
      </c>
      <c r="BJ1170" s="53" t="inlineStr">
        <is>
          <t>Überbestand</t>
        </is>
      </c>
      <c r="BK1170" s="58" t="n">
        <v>0</v>
      </c>
      <c r="BL1170" s="58" t="n">
        <v>1170</v>
      </c>
      <c r="BM1170" s="53">
        <f>IF(S1170&lt;&gt;"",UPPER(TRIM(S1170)),IF(O1170="","LOSE",O1170))</f>
        <v/>
      </c>
      <c r="BN1170" s="55">
        <f>IF(BM1170="LOSE",1,IF(N(T1170)&gt;0,T1170,IF(N(P1170)&gt;0,P1170,MAX(1,G1170))))</f>
        <v/>
      </c>
      <c r="BO1170" s="58">
        <f>IF(BM1170="LOSE",1,0)</f>
        <v/>
      </c>
      <c r="BP1170" s="64">
        <f>IF(BO1170=0,0,IF(N(R1170)&gt;0,R1170,IFERROR(VLOOKUP(D1170,Parameter!$A$35:$C$64,3,0)+0,0)))</f>
        <v/>
      </c>
      <c r="BQ1170" s="53">
        <f>IF(V1170&lt;&gt;"",V1170,U1170)</f>
        <v/>
      </c>
      <c r="BR1170" s="53">
        <f>IF(BQ1170=1,"L1",IF(OR(BQ1170=2,BQ1170=3),"L23",IF(BQ1170="Aussen","Aussen","-")))</f>
        <v/>
      </c>
      <c r="BS1170" s="66">
        <f>IF(N(W1170)&gt;0,W1170,0)</f>
        <v/>
      </c>
      <c r="BT1170" s="58">
        <f>IF(ISNUMBER(Z1170),1,0)</f>
        <v/>
      </c>
      <c r="BU1170" s="55">
        <f>N(Z1170)</f>
        <v/>
      </c>
      <c r="BV1170" s="55">
        <f>N(L1170)+N(M1170)</f>
        <v/>
      </c>
      <c r="BW1170" s="55">
        <f>ROUNDUP(G1170/BN1170,0)</f>
        <v/>
      </c>
      <c r="BX1170" s="55">
        <f>ROUNDUP(BU1170/BN1170,0)</f>
        <v/>
      </c>
      <c r="BY1170" s="58">
        <f>IF(BO1170=1,0,IFERROR(VLOOKUP(BM1170,'Gebinde-Kategorie'!$A$5:$G$45,5,0)+0,0))</f>
        <v/>
      </c>
      <c r="BZ1170" s="58">
        <f>IFERROR(IF(OR(BQ1170=1,BQ1170=2,BQ1170=3),N(INDEX(Parameter!$I$5:$I$7,BQ1170)),0),0)</f>
        <v/>
      </c>
    </row>
    <row r="1171">
      <c r="A1171" s="53" t="inlineStr">
        <is>
          <t>101616</t>
        </is>
      </c>
      <c r="B1171" s="53" t="inlineStr">
        <is>
          <t>Transfermagnetventil CH4 komplett</t>
        </is>
      </c>
      <c r="C1171" s="53" t="inlineStr">
        <is>
          <t>F</t>
        </is>
      </c>
      <c r="D1171" s="53" t="inlineStr">
        <is>
          <t>KTL</t>
        </is>
      </c>
      <c r="E1171" s="53" t="inlineStr">
        <is>
          <t>C</t>
        </is>
      </c>
      <c r="F1171" s="54" t="n">
        <v>248.96</v>
      </c>
      <c r="G1171" s="55">
        <f>MAX(0,IF(Parameter!$B$20="Jahresanfang 2025 + Export",BG1171+BF1171,BF1171))</f>
        <v/>
      </c>
      <c r="H1171" s="55">
        <f>G1171*F1171</f>
        <v/>
      </c>
      <c r="I1171" s="55">
        <f>BI1171*Parameter!$B$18</f>
        <v/>
      </c>
      <c r="J1171" s="56" t="n">
        <v>20</v>
      </c>
      <c r="K1171" s="57" t="n">
        <v>10.8</v>
      </c>
      <c r="L1171" s="55" t="n">
        <v>12</v>
      </c>
      <c r="M1171" s="55" t="n">
        <v>25</v>
      </c>
      <c r="N1171" s="58" t="n">
        <v>21</v>
      </c>
      <c r="O1171" s="53" t="inlineStr">
        <is>
          <t>S52</t>
        </is>
      </c>
      <c r="P1171" s="55" t="n">
        <v>70</v>
      </c>
      <c r="Q1171" s="59">
        <f>IF(BO1171=1,0,IFERROR(VLOOKUP(BM1171,'Gebinde-Kategorie'!$A$5:$G$45,6,0)+0,0))</f>
        <v/>
      </c>
      <c r="R1171" s="60" t="n"/>
      <c r="S1171" s="61" t="n"/>
      <c r="T1171" s="61" t="n"/>
      <c r="U1171" s="53">
        <f>IF(A1171="","",IF(IFERROR(VLOOKUP(D1171,Parameter!$A$35:$C$64,2,0),"Nein")="2+3",IF(ISNUMBER(SEARCH("grosser Artikel",BJ1171)),2,IFERROR(VLOOKUP(BM1171,Parameter!$F$35:$G$64,2,0),2)),IF(OR(IFERROR(VLOOKUP(D1171,Parameter!$A$35:$C$64,2,0),"Nein")="Nein",IFERROR(VLOOKUP(D1171,Parameter!$A$35:$C$64,2,0),"Nein")=""),"-",VLOOKUP(D1171,Parameter!$A$35:$C$64,2,0))))</f>
        <v/>
      </c>
      <c r="V1171" s="61" t="n"/>
      <c r="W1171" s="62" t="n"/>
      <c r="X1171" s="55">
        <f>AM1171</f>
        <v/>
      </c>
      <c r="Y1171" s="55">
        <f>MAX(AM1171,G1171)</f>
        <v/>
      </c>
      <c r="Z1171" s="63" t="n"/>
      <c r="AA1171" s="55">
        <f>IF(LEFT(Cockpit!$C$5,1)="A",G1171,IF(BT1171=1,BU1171,IF(LEFT(Cockpit!$C$5,1)="B",AE1171,MAX(AE1171,G1171))))</f>
        <v/>
      </c>
      <c r="AB1171" s="55">
        <f>IF(BO1171=1,0,ROUNDUP(AA1171/BN1171,0))</f>
        <v/>
      </c>
      <c r="AC1171" s="64">
        <f>IF(BO1171=1,IF(AA1171&lt;=0,0,BP1171*MAX(1,IF(G1171&gt;0,AA1171/G1171,1))),AB1171*Q1171)</f>
        <v/>
      </c>
      <c r="AD1171" s="55">
        <f>AA1171*F1171</f>
        <v/>
      </c>
      <c r="AE1171" s="55">
        <f>ROUNDUP(MAX(I1171/IF(BS1171&gt;0,BS1171,MAX(0.1,N(Cockpit!$C$6))),BV1171)/BN1171,0)*BN1171</f>
        <v/>
      </c>
      <c r="AF1171" s="56">
        <f>IF(AC1171&gt;0,I1171/AC1171,-1)</f>
        <v/>
      </c>
      <c r="AG1171" s="56">
        <f>IF(AND(OR(BR1171="L1",BR1171="L23"),AC1171&gt;0),SUMIFS($AC$7:$AC$1570,$BR$7:$BR$1570,BR1171,$AF$7:$AF$1570,"&gt;"&amp;AF1171)+SUMIFS($AC$7:$AC$1570,$BR$7:$BR$1570,BR1171,$AF$7:$AF$1570,AF1171,$BL$7:$BL$1570,"&lt;="&amp;BL1171),"")</f>
        <v/>
      </c>
      <c r="AH1171" s="65">
        <f>IF(AG1171="",0,MAX(0,MIN(1,(IF(BR1171="L1",Parameter!$K$5,Parameter!$K$6+Parameter!$K$7)-(AG1171-AC1171))/AC1171)))</f>
        <v/>
      </c>
      <c r="AI1171" s="55">
        <f>IF(LEFT(Cockpit!$I$5,1)="A",G1171,IF(BT1171=1,BU1171,IF(LEFT(Cockpit!$I$5,1)="B",AM1171,MAX(AM1171,G1171))))</f>
        <v/>
      </c>
      <c r="AJ1171" s="55">
        <f>IF(BO1171=1,0,ROUNDUP(AI1171/BN1171,0))</f>
        <v/>
      </c>
      <c r="AK1171" s="64">
        <f>IF(BO1171=1,IF(AI1171&lt;=0,0,BP1171*MAX(1,IF(G1171&gt;0,AI1171/G1171,1))),AJ1171*Q1171)</f>
        <v/>
      </c>
      <c r="AL1171" s="55">
        <f>AI1171*F1171</f>
        <v/>
      </c>
      <c r="AM1171" s="55">
        <f>ROUNDUP(MAX(I1171/IF(BS1171&gt;0,BS1171,MAX(0.1,N(Cockpit!$I$6))),BV1171)/BN1171,0)*BN1171</f>
        <v/>
      </c>
      <c r="AN1171" s="56">
        <f>IF(AK1171&gt;0,I1171/AK1171,-1)</f>
        <v/>
      </c>
      <c r="AO1171" s="56">
        <f>IF(AND(OR(BR1171="L1",BR1171="L23"),AK1171&gt;0),SUMIFS($AK$7:$AK$1570,$BR$7:$BR$1570,BR1171,$AN$7:$AN$1570,"&gt;"&amp;AN1171)+SUMIFS($AK$7:$AK$1570,$BR$7:$BR$1570,BR1171,$AN$7:$AN$1570,AN1171,$BL$7:$BL$1570,"&lt;="&amp;BL1171),"")</f>
        <v/>
      </c>
      <c r="AP1171" s="65">
        <f>IF(AO1171="",0,MAX(0,MIN(1,(IF(BR1171="L1",Parameter!$K$5,Parameter!$K$6+Parameter!$K$7)-(AO1171-AK1171))/AK1171)))</f>
        <v/>
      </c>
      <c r="AQ1171" s="55">
        <f>IF(LEFT(Cockpit!$O$5,1)="A",G1171,IF(BT1171=1,BU1171,IF(LEFT(Cockpit!$O$5,1)="B",AU1171,MAX(AU1171,G1171))))</f>
        <v/>
      </c>
      <c r="AR1171" s="55">
        <f>IF(BO1171=1,0,ROUNDUP(AQ1171/BN1171,0))</f>
        <v/>
      </c>
      <c r="AS1171" s="64">
        <f>IF(BO1171=1,IF(AQ1171&lt;=0,0,BP1171*MAX(1,IF(G1171&gt;0,AQ1171/G1171,1))),AR1171*Q1171)</f>
        <v/>
      </c>
      <c r="AT1171" s="55">
        <f>AQ1171*F1171</f>
        <v/>
      </c>
      <c r="AU1171" s="55">
        <f>ROUNDUP(MAX(I1171/IF(BS1171&gt;0,BS1171,MAX(0.1,N(Cockpit!$O$6))),BV1171)/BN1171,0)*BN1171</f>
        <v/>
      </c>
      <c r="AV1171" s="56">
        <f>IF(AS1171&gt;0,I1171/AS1171,-1)</f>
        <v/>
      </c>
      <c r="AW1171" s="56">
        <f>IF(AND(OR(BR1171="L1",BR1171="L23"),AS1171&gt;0),SUMIFS($AS$7:$AS$1570,$BR$7:$BR$1570,BR1171,$AV$7:$AV$1570,"&gt;"&amp;AV1171)+SUMIFS($AS$7:$AS$1570,$BR$7:$BR$1570,BR1171,$AV$7:$AV$1570,AV1171,$BL$7:$BL$1570,"&lt;="&amp;BL1171),"")</f>
        <v/>
      </c>
      <c r="AX1171" s="65">
        <f>IF(AW1171="",0,MAX(0,MIN(1,(IF(BR1171="L1",Parameter!$K$5,Parameter!$K$6+Parameter!$K$7)-(AW1171-AS1171))/AS1171)))</f>
        <v/>
      </c>
      <c r="AY1171" s="53">
        <f>IF(AC1171&lt;=0,"",IF(BR1171="Aussen","Aussenlager",IF(BR1171="-","Nicht im Lift",IF(AH1171&gt;=1,"Lift",IF(AH1171&lt;=0,"Aussenlager","teilweise")))))</f>
        <v/>
      </c>
      <c r="AZ1171" s="53">
        <f>IF(AK1171&lt;=0,"",IF(BR1171="Aussen","Aussenlager",IF(BR1171="-","Nicht im Lift",IF(AP1171&gt;=1,"Lift",IF(AP1171&lt;=0,"Aussenlager","teilweise")))))</f>
        <v/>
      </c>
      <c r="BA1171" s="53">
        <f>IF(AS1171&lt;=0,"",IF(BR1171="Aussen","Aussenlager",IF(BR1171="-","Nicht im Lift",IF(AX1171&gt;=1,"Lift",IF(AX1171&lt;=0,"Aussenlager","teilweise")))))</f>
        <v/>
      </c>
      <c r="BB1171" s="53">
        <f>IF(A1171="","",IF(BK1171=1,"Neu; ","")&amp;IF(AND(BK1171=0,BF1171&lt;0),"negativer Bestand (Export "&amp;BF1171&amp;"); ","")&amp;IF(I1171&lt;=0,"Kein Verbrauch; ","")&amp;IF(BO1171=1,"Lose – Fläche geschätzt; ","")&amp;IF(G1171&gt;AM1171,"Überbestand "&amp;ROUND(G1171-AM1171,0)&amp;" Stk / CHF "&amp;ROUND((G1171-AM1171)*F1171,0)&amp;"; ","")&amp;IF(AND(BT1171=1,BU1171&lt;BV1171),"MAX &lt; MB+LG; ","")&amp;IF(AND(BZ1171&gt;0,BY1171*10&gt;BZ1171),"zu hoch für Tablar; ","")&amp;IF(AND(BK1171=0,OR(BT1171=1,V1171&lt;&gt;"",S1171&lt;&gt;"",T1171&lt;&gt;"",W1171&lt;&gt;"")),"manuell übersteuert; ","")&amp;IF(AND(BO1171=0,Q1171=0),"Gebinde unbekannt; ","")&amp;IF(AND(BO1171=0,N(T1171)&lt;=0,N(P1171)&lt;=0),"Menge pro Gebinde fehlt (Ist = 1 Gebinde); ","")&amp;BJ1171)</f>
        <v/>
      </c>
      <c r="BC1171" s="53" t="n"/>
      <c r="BD1171" s="53" t="n"/>
      <c r="BE1171" s="61" t="n"/>
      <c r="BF1171" s="55" t="n">
        <v>-3</v>
      </c>
      <c r="BG1171" s="55" t="n">
        <v>27</v>
      </c>
      <c r="BH1171" s="54" t="n">
        <v>-357.9199999999801</v>
      </c>
      <c r="BI1171" s="55" t="n">
        <v>216</v>
      </c>
      <c r="BJ1171" s="53" t="inlineStr"/>
      <c r="BK1171" s="58" t="n">
        <v>0</v>
      </c>
      <c r="BL1171" s="58" t="n">
        <v>1171</v>
      </c>
      <c r="BM1171" s="53">
        <f>IF(S1171&lt;&gt;"",UPPER(TRIM(S1171)),IF(O1171="","LOSE",O1171))</f>
        <v/>
      </c>
      <c r="BN1171" s="55">
        <f>IF(BM1171="LOSE",1,IF(N(T1171)&gt;0,T1171,IF(N(P1171)&gt;0,P1171,MAX(1,G1171))))</f>
        <v/>
      </c>
      <c r="BO1171" s="58">
        <f>IF(BM1171="LOSE",1,0)</f>
        <v/>
      </c>
      <c r="BP1171" s="64">
        <f>IF(BO1171=0,0,IF(N(R1171)&gt;0,R1171,IFERROR(VLOOKUP(D1171,Parameter!$A$35:$C$64,3,0)+0,0)))</f>
        <v/>
      </c>
      <c r="BQ1171" s="53">
        <f>IF(V1171&lt;&gt;"",V1171,U1171)</f>
        <v/>
      </c>
      <c r="BR1171" s="53">
        <f>IF(BQ1171=1,"L1",IF(OR(BQ1171=2,BQ1171=3),"L23",IF(BQ1171="Aussen","Aussen","-")))</f>
        <v/>
      </c>
      <c r="BS1171" s="66">
        <f>IF(N(W1171)&gt;0,W1171,0)</f>
        <v/>
      </c>
      <c r="BT1171" s="58">
        <f>IF(ISNUMBER(Z1171),1,0)</f>
        <v/>
      </c>
      <c r="BU1171" s="55">
        <f>N(Z1171)</f>
        <v/>
      </c>
      <c r="BV1171" s="55">
        <f>N(L1171)+N(M1171)</f>
        <v/>
      </c>
      <c r="BW1171" s="55">
        <f>ROUNDUP(G1171/BN1171,0)</f>
        <v/>
      </c>
      <c r="BX1171" s="55">
        <f>ROUNDUP(BU1171/BN1171,0)</f>
        <v/>
      </c>
      <c r="BY1171" s="58">
        <f>IF(BO1171=1,0,IFERROR(VLOOKUP(BM1171,'Gebinde-Kategorie'!$A$5:$G$45,5,0)+0,0))</f>
        <v/>
      </c>
      <c r="BZ1171" s="58">
        <f>IFERROR(IF(OR(BQ1171=1,BQ1171=2,BQ1171=3),N(INDEX(Parameter!$I$5:$I$7,BQ1171)),0),0)</f>
        <v/>
      </c>
    </row>
    <row r="1172">
      <c r="A1172" s="53" t="inlineStr">
        <is>
          <t>108480</t>
        </is>
      </c>
      <c r="B1172" s="53" t="inlineStr">
        <is>
          <t>Reduktions Adapter</t>
        </is>
      </c>
      <c r="C1172" s="53" t="inlineStr">
        <is>
          <t>F</t>
        </is>
      </c>
      <c r="D1172" s="53" t="inlineStr">
        <is>
          <t>PAL</t>
        </is>
      </c>
      <c r="E1172" s="53" t="inlineStr">
        <is>
          <t>C</t>
        </is>
      </c>
      <c r="F1172" s="54" t="n">
        <v>360</v>
      </c>
      <c r="G1172" s="55">
        <f>MAX(0,IF(Parameter!$B$20="Jahresanfang 2025 + Export",BG1172+BF1172,BF1172))</f>
        <v/>
      </c>
      <c r="H1172" s="55">
        <f>G1172*F1172</f>
        <v/>
      </c>
      <c r="I1172" s="55">
        <f>BI1172*Parameter!$B$18</f>
        <v/>
      </c>
      <c r="J1172" s="56" t="n">
        <v>14</v>
      </c>
      <c r="K1172" s="57" t="n">
        <v>0</v>
      </c>
      <c r="L1172" s="55" t="n">
        <v>0</v>
      </c>
      <c r="M1172" s="55" t="n">
        <v>1</v>
      </c>
      <c r="N1172" s="58" t="n">
        <v>28</v>
      </c>
      <c r="O1172" s="53" t="inlineStr">
        <is>
          <t>S63</t>
        </is>
      </c>
      <c r="P1172" s="55" t="n">
        <v>15</v>
      </c>
      <c r="Q1172" s="59">
        <f>IF(BO1172=1,0,IFERROR(VLOOKUP(BM1172,'Gebinde-Kategorie'!$A$5:$G$45,6,0)+0,0))</f>
        <v/>
      </c>
      <c r="R1172" s="60" t="n"/>
      <c r="S1172" s="61" t="n"/>
      <c r="T1172" s="61" t="n"/>
      <c r="U1172" s="53">
        <f>IF(A1172="","",IF(IFERROR(VLOOKUP(D1172,Parameter!$A$35:$C$64,2,0),"Nein")="2+3",IF(ISNUMBER(SEARCH("grosser Artikel",BJ1172)),2,IFERROR(VLOOKUP(BM1172,Parameter!$F$35:$G$64,2,0),2)),IF(OR(IFERROR(VLOOKUP(D1172,Parameter!$A$35:$C$64,2,0),"Nein")="Nein",IFERROR(VLOOKUP(D1172,Parameter!$A$35:$C$64,2,0),"Nein")=""),"-",VLOOKUP(D1172,Parameter!$A$35:$C$64,2,0))))</f>
        <v/>
      </c>
      <c r="V1172" s="61" t="n"/>
      <c r="W1172" s="62" t="n"/>
      <c r="X1172" s="55">
        <f>AM1172</f>
        <v/>
      </c>
      <c r="Y1172" s="55">
        <f>MAX(AM1172,G1172)</f>
        <v/>
      </c>
      <c r="Z1172" s="63" t="n"/>
      <c r="AA1172" s="55">
        <f>IF(LEFT(Cockpit!$C$5,1)="A",G1172,IF(BT1172=1,BU1172,IF(LEFT(Cockpit!$C$5,1)="B",AE1172,MAX(AE1172,G1172))))</f>
        <v/>
      </c>
      <c r="AB1172" s="55">
        <f>IF(BO1172=1,0,ROUNDUP(AA1172/BN1172,0))</f>
        <v/>
      </c>
      <c r="AC1172" s="64">
        <f>IF(BO1172=1,IF(AA1172&lt;=0,0,BP1172*MAX(1,IF(G1172&gt;0,AA1172/G1172,1))),AB1172*Q1172)</f>
        <v/>
      </c>
      <c r="AD1172" s="55">
        <f>AA1172*F1172</f>
        <v/>
      </c>
      <c r="AE1172" s="55">
        <f>ROUNDUP(MAX(I1172/IF(BS1172&gt;0,BS1172,MAX(0.1,N(Cockpit!$C$6))),BV1172)/BN1172,0)*BN1172</f>
        <v/>
      </c>
      <c r="AF1172" s="56">
        <f>IF(AC1172&gt;0,I1172/AC1172,-1)</f>
        <v/>
      </c>
      <c r="AG1172" s="56">
        <f>IF(AND(OR(BR1172="L1",BR1172="L23"),AC1172&gt;0),SUMIFS($AC$7:$AC$1570,$BR$7:$BR$1570,BR1172,$AF$7:$AF$1570,"&gt;"&amp;AF1172)+SUMIFS($AC$7:$AC$1570,$BR$7:$BR$1570,BR1172,$AF$7:$AF$1570,AF1172,$BL$7:$BL$1570,"&lt;="&amp;BL1172),"")</f>
        <v/>
      </c>
      <c r="AH1172" s="65">
        <f>IF(AG1172="",0,MAX(0,MIN(1,(IF(BR1172="L1",Parameter!$K$5,Parameter!$K$6+Parameter!$K$7)-(AG1172-AC1172))/AC1172)))</f>
        <v/>
      </c>
      <c r="AI1172" s="55">
        <f>IF(LEFT(Cockpit!$I$5,1)="A",G1172,IF(BT1172=1,BU1172,IF(LEFT(Cockpit!$I$5,1)="B",AM1172,MAX(AM1172,G1172))))</f>
        <v/>
      </c>
      <c r="AJ1172" s="55">
        <f>IF(BO1172=1,0,ROUNDUP(AI1172/BN1172,0))</f>
        <v/>
      </c>
      <c r="AK1172" s="64">
        <f>IF(BO1172=1,IF(AI1172&lt;=0,0,BP1172*MAX(1,IF(G1172&gt;0,AI1172/G1172,1))),AJ1172*Q1172)</f>
        <v/>
      </c>
      <c r="AL1172" s="55">
        <f>AI1172*F1172</f>
        <v/>
      </c>
      <c r="AM1172" s="55">
        <f>ROUNDUP(MAX(I1172/IF(BS1172&gt;0,BS1172,MAX(0.1,N(Cockpit!$I$6))),BV1172)/BN1172,0)*BN1172</f>
        <v/>
      </c>
      <c r="AN1172" s="56">
        <f>IF(AK1172&gt;0,I1172/AK1172,-1)</f>
        <v/>
      </c>
      <c r="AO1172" s="56">
        <f>IF(AND(OR(BR1172="L1",BR1172="L23"),AK1172&gt;0),SUMIFS($AK$7:$AK$1570,$BR$7:$BR$1570,BR1172,$AN$7:$AN$1570,"&gt;"&amp;AN1172)+SUMIFS($AK$7:$AK$1570,$BR$7:$BR$1570,BR1172,$AN$7:$AN$1570,AN1172,$BL$7:$BL$1570,"&lt;="&amp;BL1172),"")</f>
        <v/>
      </c>
      <c r="AP1172" s="65">
        <f>IF(AO1172="",0,MAX(0,MIN(1,(IF(BR1172="L1",Parameter!$K$5,Parameter!$K$6+Parameter!$K$7)-(AO1172-AK1172))/AK1172)))</f>
        <v/>
      </c>
      <c r="AQ1172" s="55">
        <f>IF(LEFT(Cockpit!$O$5,1)="A",G1172,IF(BT1172=1,BU1172,IF(LEFT(Cockpit!$O$5,1)="B",AU1172,MAX(AU1172,G1172))))</f>
        <v/>
      </c>
      <c r="AR1172" s="55">
        <f>IF(BO1172=1,0,ROUNDUP(AQ1172/BN1172,0))</f>
        <v/>
      </c>
      <c r="AS1172" s="64">
        <f>IF(BO1172=1,IF(AQ1172&lt;=0,0,BP1172*MAX(1,IF(G1172&gt;0,AQ1172/G1172,1))),AR1172*Q1172)</f>
        <v/>
      </c>
      <c r="AT1172" s="55">
        <f>AQ1172*F1172</f>
        <v/>
      </c>
      <c r="AU1172" s="55">
        <f>ROUNDUP(MAX(I1172/IF(BS1172&gt;0,BS1172,MAX(0.1,N(Cockpit!$O$6))),BV1172)/BN1172,0)*BN1172</f>
        <v/>
      </c>
      <c r="AV1172" s="56">
        <f>IF(AS1172&gt;0,I1172/AS1172,-1)</f>
        <v/>
      </c>
      <c r="AW1172" s="56">
        <f>IF(AND(OR(BR1172="L1",BR1172="L23"),AS1172&gt;0),SUMIFS($AS$7:$AS$1570,$BR$7:$BR$1570,BR1172,$AV$7:$AV$1570,"&gt;"&amp;AV1172)+SUMIFS($AS$7:$AS$1570,$BR$7:$BR$1570,BR1172,$AV$7:$AV$1570,AV1172,$BL$7:$BL$1570,"&lt;="&amp;BL1172),"")</f>
        <v/>
      </c>
      <c r="AX1172" s="65">
        <f>IF(AW1172="",0,MAX(0,MIN(1,(IF(BR1172="L1",Parameter!$K$5,Parameter!$K$6+Parameter!$K$7)-(AW1172-AS1172))/AS1172)))</f>
        <v/>
      </c>
      <c r="AY1172" s="53">
        <f>IF(AC1172&lt;=0,"",IF(BR1172="Aussen","Aussenlager",IF(BR1172="-","Nicht im Lift",IF(AH1172&gt;=1,"Lift",IF(AH1172&lt;=0,"Aussenlager","teilweise")))))</f>
        <v/>
      </c>
      <c r="AZ1172" s="53">
        <f>IF(AK1172&lt;=0,"",IF(BR1172="Aussen","Aussenlager",IF(BR1172="-","Nicht im Lift",IF(AP1172&gt;=1,"Lift",IF(AP1172&lt;=0,"Aussenlager","teilweise")))))</f>
        <v/>
      </c>
      <c r="BA1172" s="53">
        <f>IF(AS1172&lt;=0,"",IF(BR1172="Aussen","Aussenlager",IF(BR1172="-","Nicht im Lift",IF(AX1172&gt;=1,"Lift",IF(AX1172&lt;=0,"Aussenlager","teilweise")))))</f>
        <v/>
      </c>
      <c r="BB1172" s="53">
        <f>IF(A1172="","",IF(BK1172=1,"Neu; ","")&amp;IF(AND(BK1172=0,BF1172&lt;0),"negativer Bestand (Export "&amp;BF1172&amp;"); ","")&amp;IF(I1172&lt;=0,"Kein Verbrauch; ","")&amp;IF(BO1172=1,"Lose – Fläche geschätzt; ","")&amp;IF(G1172&gt;AM1172,"Überbestand "&amp;ROUND(G1172-AM1172,0)&amp;" Stk / CHF "&amp;ROUND((G1172-AM1172)*F1172,0)&amp;"; ","")&amp;IF(AND(BT1172=1,BU1172&lt;BV1172),"MAX &lt; MB+LG; ","")&amp;IF(AND(BZ1172&gt;0,BY1172*10&gt;BZ1172),"zu hoch für Tablar; ","")&amp;IF(AND(BK1172=0,OR(BT1172=1,V1172&lt;&gt;"",S1172&lt;&gt;"",T1172&lt;&gt;"",W1172&lt;&gt;"")),"manuell übersteuert; ","")&amp;IF(AND(BO1172=0,Q1172=0),"Gebinde unbekannt; ","")&amp;IF(AND(BO1172=0,N(T1172)&lt;=0,N(P1172)&lt;=0),"Menge pro Gebinde fehlt (Ist = 1 Gebinde); ","")&amp;BJ1172)</f>
        <v/>
      </c>
      <c r="BC1172" s="53" t="n"/>
      <c r="BD1172" s="53" t="n"/>
      <c r="BE1172" s="61" t="n"/>
      <c r="BF1172" s="55" t="n">
        <v>-1</v>
      </c>
      <c r="BG1172" s="55" t="n">
        <v>14</v>
      </c>
      <c r="BH1172" s="54" t="n">
        <v>-360</v>
      </c>
      <c r="BI1172" s="55" t="n">
        <v>0</v>
      </c>
      <c r="BJ1172" s="53" t="inlineStr"/>
      <c r="BK1172" s="58" t="n">
        <v>0</v>
      </c>
      <c r="BL1172" s="58" t="n">
        <v>1172</v>
      </c>
      <c r="BM1172" s="53">
        <f>IF(S1172&lt;&gt;"",UPPER(TRIM(S1172)),IF(O1172="","LOSE",O1172))</f>
        <v/>
      </c>
      <c r="BN1172" s="55">
        <f>IF(BM1172="LOSE",1,IF(N(T1172)&gt;0,T1172,IF(N(P1172)&gt;0,P1172,MAX(1,G1172))))</f>
        <v/>
      </c>
      <c r="BO1172" s="58">
        <f>IF(BM1172="LOSE",1,0)</f>
        <v/>
      </c>
      <c r="BP1172" s="64">
        <f>IF(BO1172=0,0,IF(N(R1172)&gt;0,R1172,IFERROR(VLOOKUP(D1172,Parameter!$A$35:$C$64,3,0)+0,0)))</f>
        <v/>
      </c>
      <c r="BQ1172" s="53">
        <f>IF(V1172&lt;&gt;"",V1172,U1172)</f>
        <v/>
      </c>
      <c r="BR1172" s="53">
        <f>IF(BQ1172=1,"L1",IF(OR(BQ1172=2,BQ1172=3),"L23",IF(BQ1172="Aussen","Aussen","-")))</f>
        <v/>
      </c>
      <c r="BS1172" s="66">
        <f>IF(N(W1172)&gt;0,W1172,0)</f>
        <v/>
      </c>
      <c r="BT1172" s="58">
        <f>IF(ISNUMBER(Z1172),1,0)</f>
        <v/>
      </c>
      <c r="BU1172" s="55">
        <f>N(Z1172)</f>
        <v/>
      </c>
      <c r="BV1172" s="55">
        <f>N(L1172)+N(M1172)</f>
        <v/>
      </c>
      <c r="BW1172" s="55">
        <f>ROUNDUP(G1172/BN1172,0)</f>
        <v/>
      </c>
      <c r="BX1172" s="55">
        <f>ROUNDUP(BU1172/BN1172,0)</f>
        <v/>
      </c>
      <c r="BY1172" s="58">
        <f>IF(BO1172=1,0,IFERROR(VLOOKUP(BM1172,'Gebinde-Kategorie'!$A$5:$G$45,5,0)+0,0))</f>
        <v/>
      </c>
      <c r="BZ1172" s="58">
        <f>IFERROR(IF(OR(BQ1172=1,BQ1172=2,BQ1172=3),N(INDEX(Parameter!$I$5:$I$7,BQ1172)),0),0)</f>
        <v/>
      </c>
    </row>
    <row r="1173">
      <c r="A1173" s="53" t="inlineStr">
        <is>
          <t>107235</t>
        </is>
      </c>
      <c r="B1173" s="53" t="inlineStr">
        <is>
          <t>Nylonhammer</t>
        </is>
      </c>
      <c r="C1173" s="53" t="inlineStr">
        <is>
          <t>G</t>
        </is>
      </c>
      <c r="D1173" s="53" t="inlineStr">
        <is>
          <t>KTL</t>
        </is>
      </c>
      <c r="E1173" s="53" t="inlineStr">
        <is>
          <t>C</t>
        </is>
      </c>
      <c r="F1173" s="54" t="n">
        <v>32.8</v>
      </c>
      <c r="G1173" s="55">
        <f>MAX(0,IF(Parameter!$B$20="Jahresanfang 2025 + Export",BG1173+BF1173,BF1173))</f>
        <v/>
      </c>
      <c r="H1173" s="55">
        <f>G1173*F1173</f>
        <v/>
      </c>
      <c r="I1173" s="55">
        <f>BI1173*Parameter!$B$18</f>
        <v/>
      </c>
      <c r="J1173" s="56" t="n">
        <v>9.5</v>
      </c>
      <c r="K1173" s="57" t="n">
        <v>0</v>
      </c>
      <c r="L1173" s="55" t="n">
        <v>0</v>
      </c>
      <c r="M1173" s="55" t="n">
        <v>1</v>
      </c>
      <c r="N1173" s="58" t="n">
        <v>28</v>
      </c>
      <c r="O1173" s="53" t="inlineStr">
        <is>
          <t>S51</t>
        </is>
      </c>
      <c r="P1173" s="55" t="n">
        <v>11</v>
      </c>
      <c r="Q1173" s="59">
        <f>IF(BO1173=1,0,IFERROR(VLOOKUP(BM1173,'Gebinde-Kategorie'!$A$5:$G$45,6,0)+0,0))</f>
        <v/>
      </c>
      <c r="R1173" s="60" t="n"/>
      <c r="S1173" s="61" t="n"/>
      <c r="T1173" s="61" t="n"/>
      <c r="U1173" s="53">
        <f>IF(A1173="","",IF(IFERROR(VLOOKUP(D1173,Parameter!$A$35:$C$64,2,0),"Nein")="2+3",IF(ISNUMBER(SEARCH("grosser Artikel",BJ1173)),2,IFERROR(VLOOKUP(BM1173,Parameter!$F$35:$G$64,2,0),2)),IF(OR(IFERROR(VLOOKUP(D1173,Parameter!$A$35:$C$64,2,0),"Nein")="Nein",IFERROR(VLOOKUP(D1173,Parameter!$A$35:$C$64,2,0),"Nein")=""),"-",VLOOKUP(D1173,Parameter!$A$35:$C$64,2,0))))</f>
        <v/>
      </c>
      <c r="V1173" s="61" t="n"/>
      <c r="W1173" s="62" t="n"/>
      <c r="X1173" s="55">
        <f>AM1173</f>
        <v/>
      </c>
      <c r="Y1173" s="55">
        <f>MAX(AM1173,G1173)</f>
        <v/>
      </c>
      <c r="Z1173" s="63" t="n"/>
      <c r="AA1173" s="55">
        <f>IF(LEFT(Cockpit!$C$5,1)="A",G1173,IF(BT1173=1,BU1173,IF(LEFT(Cockpit!$C$5,1)="B",AE1173,MAX(AE1173,G1173))))</f>
        <v/>
      </c>
      <c r="AB1173" s="55">
        <f>IF(BO1173=1,0,ROUNDUP(AA1173/BN1173,0))</f>
        <v/>
      </c>
      <c r="AC1173" s="64">
        <f>IF(BO1173=1,IF(AA1173&lt;=0,0,BP1173*MAX(1,IF(G1173&gt;0,AA1173/G1173,1))),AB1173*Q1173)</f>
        <v/>
      </c>
      <c r="AD1173" s="55">
        <f>AA1173*F1173</f>
        <v/>
      </c>
      <c r="AE1173" s="55">
        <f>ROUNDUP(MAX(I1173/IF(BS1173&gt;0,BS1173,MAX(0.1,N(Cockpit!$C$6))),BV1173)/BN1173,0)*BN1173</f>
        <v/>
      </c>
      <c r="AF1173" s="56">
        <f>IF(AC1173&gt;0,I1173/AC1173,-1)</f>
        <v/>
      </c>
      <c r="AG1173" s="56">
        <f>IF(AND(OR(BR1173="L1",BR1173="L23"),AC1173&gt;0),SUMIFS($AC$7:$AC$1570,$BR$7:$BR$1570,BR1173,$AF$7:$AF$1570,"&gt;"&amp;AF1173)+SUMIFS($AC$7:$AC$1570,$BR$7:$BR$1570,BR1173,$AF$7:$AF$1570,AF1173,$BL$7:$BL$1570,"&lt;="&amp;BL1173),"")</f>
        <v/>
      </c>
      <c r="AH1173" s="65">
        <f>IF(AG1173="",0,MAX(0,MIN(1,(IF(BR1173="L1",Parameter!$K$5,Parameter!$K$6+Parameter!$K$7)-(AG1173-AC1173))/AC1173)))</f>
        <v/>
      </c>
      <c r="AI1173" s="55">
        <f>IF(LEFT(Cockpit!$I$5,1)="A",G1173,IF(BT1173=1,BU1173,IF(LEFT(Cockpit!$I$5,1)="B",AM1173,MAX(AM1173,G1173))))</f>
        <v/>
      </c>
      <c r="AJ1173" s="55">
        <f>IF(BO1173=1,0,ROUNDUP(AI1173/BN1173,0))</f>
        <v/>
      </c>
      <c r="AK1173" s="64">
        <f>IF(BO1173=1,IF(AI1173&lt;=0,0,BP1173*MAX(1,IF(G1173&gt;0,AI1173/G1173,1))),AJ1173*Q1173)</f>
        <v/>
      </c>
      <c r="AL1173" s="55">
        <f>AI1173*F1173</f>
        <v/>
      </c>
      <c r="AM1173" s="55">
        <f>ROUNDUP(MAX(I1173/IF(BS1173&gt;0,BS1173,MAX(0.1,N(Cockpit!$I$6))),BV1173)/BN1173,0)*BN1173</f>
        <v/>
      </c>
      <c r="AN1173" s="56">
        <f>IF(AK1173&gt;0,I1173/AK1173,-1)</f>
        <v/>
      </c>
      <c r="AO1173" s="56">
        <f>IF(AND(OR(BR1173="L1",BR1173="L23"),AK1173&gt;0),SUMIFS($AK$7:$AK$1570,$BR$7:$BR$1570,BR1173,$AN$7:$AN$1570,"&gt;"&amp;AN1173)+SUMIFS($AK$7:$AK$1570,$BR$7:$BR$1570,BR1173,$AN$7:$AN$1570,AN1173,$BL$7:$BL$1570,"&lt;="&amp;BL1173),"")</f>
        <v/>
      </c>
      <c r="AP1173" s="65">
        <f>IF(AO1173="",0,MAX(0,MIN(1,(IF(BR1173="L1",Parameter!$K$5,Parameter!$K$6+Parameter!$K$7)-(AO1173-AK1173))/AK1173)))</f>
        <v/>
      </c>
      <c r="AQ1173" s="55">
        <f>IF(LEFT(Cockpit!$O$5,1)="A",G1173,IF(BT1173=1,BU1173,IF(LEFT(Cockpit!$O$5,1)="B",AU1173,MAX(AU1173,G1173))))</f>
        <v/>
      </c>
      <c r="AR1173" s="55">
        <f>IF(BO1173=1,0,ROUNDUP(AQ1173/BN1173,0))</f>
        <v/>
      </c>
      <c r="AS1173" s="64">
        <f>IF(BO1173=1,IF(AQ1173&lt;=0,0,BP1173*MAX(1,IF(G1173&gt;0,AQ1173/G1173,1))),AR1173*Q1173)</f>
        <v/>
      </c>
      <c r="AT1173" s="55">
        <f>AQ1173*F1173</f>
        <v/>
      </c>
      <c r="AU1173" s="55">
        <f>ROUNDUP(MAX(I1173/IF(BS1173&gt;0,BS1173,MAX(0.1,N(Cockpit!$O$6))),BV1173)/BN1173,0)*BN1173</f>
        <v/>
      </c>
      <c r="AV1173" s="56">
        <f>IF(AS1173&gt;0,I1173/AS1173,-1)</f>
        <v/>
      </c>
      <c r="AW1173" s="56">
        <f>IF(AND(OR(BR1173="L1",BR1173="L23"),AS1173&gt;0),SUMIFS($AS$7:$AS$1570,$BR$7:$BR$1570,BR1173,$AV$7:$AV$1570,"&gt;"&amp;AV1173)+SUMIFS($AS$7:$AS$1570,$BR$7:$BR$1570,BR1173,$AV$7:$AV$1570,AV1173,$BL$7:$BL$1570,"&lt;="&amp;BL1173),"")</f>
        <v/>
      </c>
      <c r="AX1173" s="65">
        <f>IF(AW1173="",0,MAX(0,MIN(1,(IF(BR1173="L1",Parameter!$K$5,Parameter!$K$6+Parameter!$K$7)-(AW1173-AS1173))/AS1173)))</f>
        <v/>
      </c>
      <c r="AY1173" s="53">
        <f>IF(AC1173&lt;=0,"",IF(BR1173="Aussen","Aussenlager",IF(BR1173="-","Nicht im Lift",IF(AH1173&gt;=1,"Lift",IF(AH1173&lt;=0,"Aussenlager","teilweise")))))</f>
        <v/>
      </c>
      <c r="AZ1173" s="53">
        <f>IF(AK1173&lt;=0,"",IF(BR1173="Aussen","Aussenlager",IF(BR1173="-","Nicht im Lift",IF(AP1173&gt;=1,"Lift",IF(AP1173&lt;=0,"Aussenlager","teilweise")))))</f>
        <v/>
      </c>
      <c r="BA1173" s="53">
        <f>IF(AS1173&lt;=0,"",IF(BR1173="Aussen","Aussenlager",IF(BR1173="-","Nicht im Lift",IF(AX1173&gt;=1,"Lift",IF(AX1173&lt;=0,"Aussenlager","teilweise")))))</f>
        <v/>
      </c>
      <c r="BB1173" s="53">
        <f>IF(A1173="","",IF(BK1173=1,"Neu; ","")&amp;IF(AND(BK1173=0,BF1173&lt;0),"negativer Bestand (Export "&amp;BF1173&amp;"); ","")&amp;IF(I1173&lt;=0,"Kein Verbrauch; ","")&amp;IF(BO1173=1,"Lose – Fläche geschätzt; ","")&amp;IF(G1173&gt;AM1173,"Überbestand "&amp;ROUND(G1173-AM1173,0)&amp;" Stk / CHF "&amp;ROUND((G1173-AM1173)*F1173,0)&amp;"; ","")&amp;IF(AND(BT1173=1,BU1173&lt;BV1173),"MAX &lt; MB+LG; ","")&amp;IF(AND(BZ1173&gt;0,BY1173*10&gt;BZ1173),"zu hoch für Tablar; ","")&amp;IF(AND(BK1173=0,OR(BT1173=1,V1173&lt;&gt;"",S1173&lt;&gt;"",T1173&lt;&gt;"",W1173&lt;&gt;"")),"manuell übersteuert; ","")&amp;IF(AND(BO1173=0,Q1173=0),"Gebinde unbekannt; ","")&amp;IF(AND(BO1173=0,N(T1173)&lt;=0,N(P1173)&lt;=0),"Menge pro Gebinde fehlt (Ist = 1 Gebinde); ","")&amp;BJ1173)</f>
        <v/>
      </c>
      <c r="BC1173" s="53" t="n"/>
      <c r="BD1173" s="53" t="n"/>
      <c r="BE1173" s="61" t="n"/>
      <c r="BF1173" s="55" t="n">
        <v>-11</v>
      </c>
      <c r="BG1173" s="55" t="n">
        <v>11</v>
      </c>
      <c r="BH1173" s="54" t="n">
        <v>-360.8</v>
      </c>
      <c r="BI1173" s="55" t="n">
        <v>0</v>
      </c>
      <c r="BJ1173" s="53" t="inlineStr"/>
      <c r="BK1173" s="58" t="n">
        <v>0</v>
      </c>
      <c r="BL1173" s="58" t="n">
        <v>1173</v>
      </c>
      <c r="BM1173" s="53">
        <f>IF(S1173&lt;&gt;"",UPPER(TRIM(S1173)),IF(O1173="","LOSE",O1173))</f>
        <v/>
      </c>
      <c r="BN1173" s="55">
        <f>IF(BM1173="LOSE",1,IF(N(T1173)&gt;0,T1173,IF(N(P1173)&gt;0,P1173,MAX(1,G1173))))</f>
        <v/>
      </c>
      <c r="BO1173" s="58">
        <f>IF(BM1173="LOSE",1,0)</f>
        <v/>
      </c>
      <c r="BP1173" s="64">
        <f>IF(BO1173=0,0,IF(N(R1173)&gt;0,R1173,IFERROR(VLOOKUP(D1173,Parameter!$A$35:$C$64,3,0)+0,0)))</f>
        <v/>
      </c>
      <c r="BQ1173" s="53">
        <f>IF(V1173&lt;&gt;"",V1173,U1173)</f>
        <v/>
      </c>
      <c r="BR1173" s="53">
        <f>IF(BQ1173=1,"L1",IF(OR(BQ1173=2,BQ1173=3),"L23",IF(BQ1173="Aussen","Aussen","-")))</f>
        <v/>
      </c>
      <c r="BS1173" s="66">
        <f>IF(N(W1173)&gt;0,W1173,0)</f>
        <v/>
      </c>
      <c r="BT1173" s="58">
        <f>IF(ISNUMBER(Z1173),1,0)</f>
        <v/>
      </c>
      <c r="BU1173" s="55">
        <f>N(Z1173)</f>
        <v/>
      </c>
      <c r="BV1173" s="55">
        <f>N(L1173)+N(M1173)</f>
        <v/>
      </c>
      <c r="BW1173" s="55">
        <f>ROUNDUP(G1173/BN1173,0)</f>
        <v/>
      </c>
      <c r="BX1173" s="55">
        <f>ROUNDUP(BU1173/BN1173,0)</f>
        <v/>
      </c>
      <c r="BY1173" s="58">
        <f>IF(BO1173=1,0,IFERROR(VLOOKUP(BM1173,'Gebinde-Kategorie'!$A$5:$G$45,5,0)+0,0))</f>
        <v/>
      </c>
      <c r="BZ1173" s="58">
        <f>IFERROR(IF(OR(BQ1173=1,BQ1173=2,BQ1173=3),N(INDEX(Parameter!$I$5:$I$7,BQ1173)),0),0)</f>
        <v/>
      </c>
    </row>
    <row r="1174">
      <c r="A1174" s="53" t="inlineStr">
        <is>
          <t>005282</t>
        </is>
      </c>
      <c r="B1174" s="53" t="inlineStr">
        <is>
          <t>Leitungsregler LT2000</t>
        </is>
      </c>
      <c r="C1174" s="53" t="inlineStr">
        <is>
          <t>F</t>
        </is>
      </c>
      <c r="D1174" s="53" t="inlineStr">
        <is>
          <t>KTL</t>
        </is>
      </c>
      <c r="E1174" s="53" t="inlineStr">
        <is>
          <t>C</t>
        </is>
      </c>
      <c r="F1174" s="54" t="n">
        <v>369.23</v>
      </c>
      <c r="G1174" s="55">
        <f>MAX(0,IF(Parameter!$B$20="Jahresanfang 2025 + Export",BG1174+BF1174,BF1174))</f>
        <v/>
      </c>
      <c r="H1174" s="55">
        <f>G1174*F1174</f>
        <v/>
      </c>
      <c r="I1174" s="55">
        <f>BI1174*Parameter!$B$18</f>
        <v/>
      </c>
      <c r="J1174" s="56" t="n">
        <v>6.5</v>
      </c>
      <c r="K1174" s="57" t="n">
        <v>0.4615384615384616</v>
      </c>
      <c r="L1174" s="55" t="n">
        <v>0</v>
      </c>
      <c r="M1174" s="55" t="n">
        <v>5</v>
      </c>
      <c r="N1174" s="58" t="n">
        <v>28</v>
      </c>
      <c r="O1174" s="53" t="inlineStr">
        <is>
          <t>S63</t>
        </is>
      </c>
      <c r="P1174" s="55" t="n">
        <v>4</v>
      </c>
      <c r="Q1174" s="59">
        <f>IF(BO1174=1,0,IFERROR(VLOOKUP(BM1174,'Gebinde-Kategorie'!$A$5:$G$45,6,0)+0,0))</f>
        <v/>
      </c>
      <c r="R1174" s="60" t="n"/>
      <c r="S1174" s="61" t="n"/>
      <c r="T1174" s="61" t="n"/>
      <c r="U1174" s="53">
        <f>IF(A1174="","",IF(IFERROR(VLOOKUP(D1174,Parameter!$A$35:$C$64,2,0),"Nein")="2+3",IF(ISNUMBER(SEARCH("grosser Artikel",BJ1174)),2,IFERROR(VLOOKUP(BM1174,Parameter!$F$35:$G$64,2,0),2)),IF(OR(IFERROR(VLOOKUP(D1174,Parameter!$A$35:$C$64,2,0),"Nein")="Nein",IFERROR(VLOOKUP(D1174,Parameter!$A$35:$C$64,2,0),"Nein")=""),"-",VLOOKUP(D1174,Parameter!$A$35:$C$64,2,0))))</f>
        <v/>
      </c>
      <c r="V1174" s="61" t="n"/>
      <c r="W1174" s="62" t="n"/>
      <c r="X1174" s="55">
        <f>AM1174</f>
        <v/>
      </c>
      <c r="Y1174" s="55">
        <f>MAX(AM1174,G1174)</f>
        <v/>
      </c>
      <c r="Z1174" s="63" t="n"/>
      <c r="AA1174" s="55">
        <f>IF(LEFT(Cockpit!$C$5,1)="A",G1174,IF(BT1174=1,BU1174,IF(LEFT(Cockpit!$C$5,1)="B",AE1174,MAX(AE1174,G1174))))</f>
        <v/>
      </c>
      <c r="AB1174" s="55">
        <f>IF(BO1174=1,0,ROUNDUP(AA1174/BN1174,0))</f>
        <v/>
      </c>
      <c r="AC1174" s="64">
        <f>IF(BO1174=1,IF(AA1174&lt;=0,0,BP1174*MAX(1,IF(G1174&gt;0,AA1174/G1174,1))),AB1174*Q1174)</f>
        <v/>
      </c>
      <c r="AD1174" s="55">
        <f>AA1174*F1174</f>
        <v/>
      </c>
      <c r="AE1174" s="55">
        <f>ROUNDUP(MAX(I1174/IF(BS1174&gt;0,BS1174,MAX(0.1,N(Cockpit!$C$6))),BV1174)/BN1174,0)*BN1174</f>
        <v/>
      </c>
      <c r="AF1174" s="56">
        <f>IF(AC1174&gt;0,I1174/AC1174,-1)</f>
        <v/>
      </c>
      <c r="AG1174" s="56">
        <f>IF(AND(OR(BR1174="L1",BR1174="L23"),AC1174&gt;0),SUMIFS($AC$7:$AC$1570,$BR$7:$BR$1570,BR1174,$AF$7:$AF$1570,"&gt;"&amp;AF1174)+SUMIFS($AC$7:$AC$1570,$BR$7:$BR$1570,BR1174,$AF$7:$AF$1570,AF1174,$BL$7:$BL$1570,"&lt;="&amp;BL1174),"")</f>
        <v/>
      </c>
      <c r="AH1174" s="65">
        <f>IF(AG1174="",0,MAX(0,MIN(1,(IF(BR1174="L1",Parameter!$K$5,Parameter!$K$6+Parameter!$K$7)-(AG1174-AC1174))/AC1174)))</f>
        <v/>
      </c>
      <c r="AI1174" s="55">
        <f>IF(LEFT(Cockpit!$I$5,1)="A",G1174,IF(BT1174=1,BU1174,IF(LEFT(Cockpit!$I$5,1)="B",AM1174,MAX(AM1174,G1174))))</f>
        <v/>
      </c>
      <c r="AJ1174" s="55">
        <f>IF(BO1174=1,0,ROUNDUP(AI1174/BN1174,0))</f>
        <v/>
      </c>
      <c r="AK1174" s="64">
        <f>IF(BO1174=1,IF(AI1174&lt;=0,0,BP1174*MAX(1,IF(G1174&gt;0,AI1174/G1174,1))),AJ1174*Q1174)</f>
        <v/>
      </c>
      <c r="AL1174" s="55">
        <f>AI1174*F1174</f>
        <v/>
      </c>
      <c r="AM1174" s="55">
        <f>ROUNDUP(MAX(I1174/IF(BS1174&gt;0,BS1174,MAX(0.1,N(Cockpit!$I$6))),BV1174)/BN1174,0)*BN1174</f>
        <v/>
      </c>
      <c r="AN1174" s="56">
        <f>IF(AK1174&gt;0,I1174/AK1174,-1)</f>
        <v/>
      </c>
      <c r="AO1174" s="56">
        <f>IF(AND(OR(BR1174="L1",BR1174="L23"),AK1174&gt;0),SUMIFS($AK$7:$AK$1570,$BR$7:$BR$1570,BR1174,$AN$7:$AN$1570,"&gt;"&amp;AN1174)+SUMIFS($AK$7:$AK$1570,$BR$7:$BR$1570,BR1174,$AN$7:$AN$1570,AN1174,$BL$7:$BL$1570,"&lt;="&amp;BL1174),"")</f>
        <v/>
      </c>
      <c r="AP1174" s="65">
        <f>IF(AO1174="",0,MAX(0,MIN(1,(IF(BR1174="L1",Parameter!$K$5,Parameter!$K$6+Parameter!$K$7)-(AO1174-AK1174))/AK1174)))</f>
        <v/>
      </c>
      <c r="AQ1174" s="55">
        <f>IF(LEFT(Cockpit!$O$5,1)="A",G1174,IF(BT1174=1,BU1174,IF(LEFT(Cockpit!$O$5,1)="B",AU1174,MAX(AU1174,G1174))))</f>
        <v/>
      </c>
      <c r="AR1174" s="55">
        <f>IF(BO1174=1,0,ROUNDUP(AQ1174/BN1174,0))</f>
        <v/>
      </c>
      <c r="AS1174" s="64">
        <f>IF(BO1174=1,IF(AQ1174&lt;=0,0,BP1174*MAX(1,IF(G1174&gt;0,AQ1174/G1174,1))),AR1174*Q1174)</f>
        <v/>
      </c>
      <c r="AT1174" s="55">
        <f>AQ1174*F1174</f>
        <v/>
      </c>
      <c r="AU1174" s="55">
        <f>ROUNDUP(MAX(I1174/IF(BS1174&gt;0,BS1174,MAX(0.1,N(Cockpit!$O$6))),BV1174)/BN1174,0)*BN1174</f>
        <v/>
      </c>
      <c r="AV1174" s="56">
        <f>IF(AS1174&gt;0,I1174/AS1174,-1)</f>
        <v/>
      </c>
      <c r="AW1174" s="56">
        <f>IF(AND(OR(BR1174="L1",BR1174="L23"),AS1174&gt;0),SUMIFS($AS$7:$AS$1570,$BR$7:$BR$1570,BR1174,$AV$7:$AV$1570,"&gt;"&amp;AV1174)+SUMIFS($AS$7:$AS$1570,$BR$7:$BR$1570,BR1174,$AV$7:$AV$1570,AV1174,$BL$7:$BL$1570,"&lt;="&amp;BL1174),"")</f>
        <v/>
      </c>
      <c r="AX1174" s="65">
        <f>IF(AW1174="",0,MAX(0,MIN(1,(IF(BR1174="L1",Parameter!$K$5,Parameter!$K$6+Parameter!$K$7)-(AW1174-AS1174))/AS1174)))</f>
        <v/>
      </c>
      <c r="AY1174" s="53">
        <f>IF(AC1174&lt;=0,"",IF(BR1174="Aussen","Aussenlager",IF(BR1174="-","Nicht im Lift",IF(AH1174&gt;=1,"Lift",IF(AH1174&lt;=0,"Aussenlager","teilweise")))))</f>
        <v/>
      </c>
      <c r="AZ1174" s="53">
        <f>IF(AK1174&lt;=0,"",IF(BR1174="Aussen","Aussenlager",IF(BR1174="-","Nicht im Lift",IF(AP1174&gt;=1,"Lift",IF(AP1174&lt;=0,"Aussenlager","teilweise")))))</f>
        <v/>
      </c>
      <c r="BA1174" s="53">
        <f>IF(AS1174&lt;=0,"",IF(BR1174="Aussen","Aussenlager",IF(BR1174="-","Nicht im Lift",IF(AX1174&gt;=1,"Lift",IF(AX1174&lt;=0,"Aussenlager","teilweise")))))</f>
        <v/>
      </c>
      <c r="BB1174" s="53">
        <f>IF(A1174="","",IF(BK1174=1,"Neu; ","")&amp;IF(AND(BK1174=0,BF1174&lt;0),"negativer Bestand (Export "&amp;BF1174&amp;"); ","")&amp;IF(I1174&lt;=0,"Kein Verbrauch; ","")&amp;IF(BO1174=1,"Lose – Fläche geschätzt; ","")&amp;IF(G1174&gt;AM1174,"Überbestand "&amp;ROUND(G1174-AM1174,0)&amp;" Stk / CHF "&amp;ROUND((G1174-AM1174)*F1174,0)&amp;"; ","")&amp;IF(AND(BT1174=1,BU1174&lt;BV1174),"MAX &lt; MB+LG; ","")&amp;IF(AND(BZ1174&gt;0,BY1174*10&gt;BZ1174),"zu hoch für Tablar; ","")&amp;IF(AND(BK1174=0,OR(BT1174=1,V1174&lt;&gt;"",S1174&lt;&gt;"",T1174&lt;&gt;"",W1174&lt;&gt;"")),"manuell übersteuert; ","")&amp;IF(AND(BO1174=0,Q1174=0),"Gebinde unbekannt; ","")&amp;IF(AND(BO1174=0,N(T1174)&lt;=0,N(P1174)&lt;=0),"Menge pro Gebinde fehlt (Ist = 1 Gebinde); ","")&amp;BJ1174)</f>
        <v/>
      </c>
      <c r="BC1174" s="53" t="n"/>
      <c r="BD1174" s="53" t="n"/>
      <c r="BE1174" s="61" t="n"/>
      <c r="BF1174" s="55" t="n">
        <v>-1</v>
      </c>
      <c r="BG1174" s="55" t="n">
        <v>6</v>
      </c>
      <c r="BH1174" s="54" t="n">
        <v>-363.8900000000002</v>
      </c>
      <c r="BI1174" s="55" t="n">
        <v>3</v>
      </c>
      <c r="BJ1174" s="53" t="inlineStr">
        <is>
          <t>nicht im KTL vorhanden</t>
        </is>
      </c>
      <c r="BK1174" s="58" t="n">
        <v>0</v>
      </c>
      <c r="BL1174" s="58" t="n">
        <v>1174</v>
      </c>
      <c r="BM1174" s="53">
        <f>IF(S1174&lt;&gt;"",UPPER(TRIM(S1174)),IF(O1174="","LOSE",O1174))</f>
        <v/>
      </c>
      <c r="BN1174" s="55">
        <f>IF(BM1174="LOSE",1,IF(N(T1174)&gt;0,T1174,IF(N(P1174)&gt;0,P1174,MAX(1,G1174))))</f>
        <v/>
      </c>
      <c r="BO1174" s="58">
        <f>IF(BM1174="LOSE",1,0)</f>
        <v/>
      </c>
      <c r="BP1174" s="64">
        <f>IF(BO1174=0,0,IF(N(R1174)&gt;0,R1174,IFERROR(VLOOKUP(D1174,Parameter!$A$35:$C$64,3,0)+0,0)))</f>
        <v/>
      </c>
      <c r="BQ1174" s="53">
        <f>IF(V1174&lt;&gt;"",V1174,U1174)</f>
        <v/>
      </c>
      <c r="BR1174" s="53">
        <f>IF(BQ1174=1,"L1",IF(OR(BQ1174=2,BQ1174=3),"L23",IF(BQ1174="Aussen","Aussen","-")))</f>
        <v/>
      </c>
      <c r="BS1174" s="66">
        <f>IF(N(W1174)&gt;0,W1174,0)</f>
        <v/>
      </c>
      <c r="BT1174" s="58">
        <f>IF(ISNUMBER(Z1174),1,0)</f>
        <v/>
      </c>
      <c r="BU1174" s="55">
        <f>N(Z1174)</f>
        <v/>
      </c>
      <c r="BV1174" s="55">
        <f>N(L1174)+N(M1174)</f>
        <v/>
      </c>
      <c r="BW1174" s="55">
        <f>ROUNDUP(G1174/BN1174,0)</f>
        <v/>
      </c>
      <c r="BX1174" s="55">
        <f>ROUNDUP(BU1174/BN1174,0)</f>
        <v/>
      </c>
      <c r="BY1174" s="58">
        <f>IF(BO1174=1,0,IFERROR(VLOOKUP(BM1174,'Gebinde-Kategorie'!$A$5:$G$45,5,0)+0,0))</f>
        <v/>
      </c>
      <c r="BZ1174" s="58">
        <f>IFERROR(IF(OR(BQ1174=1,BQ1174=2,BQ1174=3),N(INDEX(Parameter!$I$5:$I$7,BQ1174)),0),0)</f>
        <v/>
      </c>
    </row>
    <row r="1175">
      <c r="A1175" s="53" t="inlineStr">
        <is>
          <t>109318</t>
        </is>
      </c>
      <c r="B1175" s="53" t="inlineStr">
        <is>
          <t>Leuchtmelder rot</t>
        </is>
      </c>
      <c r="C1175" s="53" t="inlineStr">
        <is>
          <t>F</t>
        </is>
      </c>
      <c r="D1175" s="53" t="inlineStr">
        <is>
          <t>KTL</t>
        </is>
      </c>
      <c r="E1175" s="53" t="inlineStr">
        <is>
          <t>C</t>
        </is>
      </c>
      <c r="F1175" s="54" t="n">
        <v>31.84</v>
      </c>
      <c r="G1175" s="55">
        <f>MAX(0,IF(Parameter!$B$20="Jahresanfang 2025 + Export",BG1175+BF1175,BF1175))</f>
        <v/>
      </c>
      <c r="H1175" s="55">
        <f>G1175*F1175</f>
        <v/>
      </c>
      <c r="I1175" s="55">
        <f>BI1175*Parameter!$B$18</f>
        <v/>
      </c>
      <c r="J1175" s="56" t="n">
        <v>6</v>
      </c>
      <c r="K1175" s="57" t="n">
        <v>1.666666666666667</v>
      </c>
      <c r="L1175" s="55" t="n">
        <v>0</v>
      </c>
      <c r="M1175" s="55" t="n">
        <v>10</v>
      </c>
      <c r="N1175" s="58" t="n">
        <v>14</v>
      </c>
      <c r="O1175" s="53" t="inlineStr">
        <is>
          <t>LOSE</t>
        </is>
      </c>
      <c r="P1175" s="55" t="n"/>
      <c r="Q1175" s="59">
        <f>IF(BO1175=1,0,IFERROR(VLOOKUP(BM1175,'Gebinde-Kategorie'!$A$5:$G$45,6,0)+0,0))</f>
        <v/>
      </c>
      <c r="R1175" s="60" t="n"/>
      <c r="S1175" s="61" t="n"/>
      <c r="T1175" s="61" t="n"/>
      <c r="U1175" s="53">
        <f>IF(A1175="","",IF(IFERROR(VLOOKUP(D1175,Parameter!$A$35:$C$64,2,0),"Nein")="2+3",IF(ISNUMBER(SEARCH("grosser Artikel",BJ1175)),2,IFERROR(VLOOKUP(BM1175,Parameter!$F$35:$G$64,2,0),2)),IF(OR(IFERROR(VLOOKUP(D1175,Parameter!$A$35:$C$64,2,0),"Nein")="Nein",IFERROR(VLOOKUP(D1175,Parameter!$A$35:$C$64,2,0),"Nein")=""),"-",VLOOKUP(D1175,Parameter!$A$35:$C$64,2,0))))</f>
        <v/>
      </c>
      <c r="V1175" s="61" t="n"/>
      <c r="W1175" s="62" t="n"/>
      <c r="X1175" s="55">
        <f>AM1175</f>
        <v/>
      </c>
      <c r="Y1175" s="55">
        <f>MAX(AM1175,G1175)</f>
        <v/>
      </c>
      <c r="Z1175" s="63" t="n"/>
      <c r="AA1175" s="55">
        <f>IF(LEFT(Cockpit!$C$5,1)="A",G1175,IF(BT1175=1,BU1175,IF(LEFT(Cockpit!$C$5,1)="B",AE1175,MAX(AE1175,G1175))))</f>
        <v/>
      </c>
      <c r="AB1175" s="55">
        <f>IF(BO1175=1,0,ROUNDUP(AA1175/BN1175,0))</f>
        <v/>
      </c>
      <c r="AC1175" s="64">
        <f>IF(BO1175=1,IF(AA1175&lt;=0,0,BP1175*MAX(1,IF(G1175&gt;0,AA1175/G1175,1))),AB1175*Q1175)</f>
        <v/>
      </c>
      <c r="AD1175" s="55">
        <f>AA1175*F1175</f>
        <v/>
      </c>
      <c r="AE1175" s="55">
        <f>ROUNDUP(MAX(I1175/IF(BS1175&gt;0,BS1175,MAX(0.1,N(Cockpit!$C$6))),BV1175)/BN1175,0)*BN1175</f>
        <v/>
      </c>
      <c r="AF1175" s="56">
        <f>IF(AC1175&gt;0,I1175/AC1175,-1)</f>
        <v/>
      </c>
      <c r="AG1175" s="56">
        <f>IF(AND(OR(BR1175="L1",BR1175="L23"),AC1175&gt;0),SUMIFS($AC$7:$AC$1570,$BR$7:$BR$1570,BR1175,$AF$7:$AF$1570,"&gt;"&amp;AF1175)+SUMIFS($AC$7:$AC$1570,$BR$7:$BR$1570,BR1175,$AF$7:$AF$1570,AF1175,$BL$7:$BL$1570,"&lt;="&amp;BL1175),"")</f>
        <v/>
      </c>
      <c r="AH1175" s="65">
        <f>IF(AG1175="",0,MAX(0,MIN(1,(IF(BR1175="L1",Parameter!$K$5,Parameter!$K$6+Parameter!$K$7)-(AG1175-AC1175))/AC1175)))</f>
        <v/>
      </c>
      <c r="AI1175" s="55">
        <f>IF(LEFT(Cockpit!$I$5,1)="A",G1175,IF(BT1175=1,BU1175,IF(LEFT(Cockpit!$I$5,1)="B",AM1175,MAX(AM1175,G1175))))</f>
        <v/>
      </c>
      <c r="AJ1175" s="55">
        <f>IF(BO1175=1,0,ROUNDUP(AI1175/BN1175,0))</f>
        <v/>
      </c>
      <c r="AK1175" s="64">
        <f>IF(BO1175=1,IF(AI1175&lt;=0,0,BP1175*MAX(1,IF(G1175&gt;0,AI1175/G1175,1))),AJ1175*Q1175)</f>
        <v/>
      </c>
      <c r="AL1175" s="55">
        <f>AI1175*F1175</f>
        <v/>
      </c>
      <c r="AM1175" s="55">
        <f>ROUNDUP(MAX(I1175/IF(BS1175&gt;0,BS1175,MAX(0.1,N(Cockpit!$I$6))),BV1175)/BN1175,0)*BN1175</f>
        <v/>
      </c>
      <c r="AN1175" s="56">
        <f>IF(AK1175&gt;0,I1175/AK1175,-1)</f>
        <v/>
      </c>
      <c r="AO1175" s="56">
        <f>IF(AND(OR(BR1175="L1",BR1175="L23"),AK1175&gt;0),SUMIFS($AK$7:$AK$1570,$BR$7:$BR$1570,BR1175,$AN$7:$AN$1570,"&gt;"&amp;AN1175)+SUMIFS($AK$7:$AK$1570,$BR$7:$BR$1570,BR1175,$AN$7:$AN$1570,AN1175,$BL$7:$BL$1570,"&lt;="&amp;BL1175),"")</f>
        <v/>
      </c>
      <c r="AP1175" s="65">
        <f>IF(AO1175="",0,MAX(0,MIN(1,(IF(BR1175="L1",Parameter!$K$5,Parameter!$K$6+Parameter!$K$7)-(AO1175-AK1175))/AK1175)))</f>
        <v/>
      </c>
      <c r="AQ1175" s="55">
        <f>IF(LEFT(Cockpit!$O$5,1)="A",G1175,IF(BT1175=1,BU1175,IF(LEFT(Cockpit!$O$5,1)="B",AU1175,MAX(AU1175,G1175))))</f>
        <v/>
      </c>
      <c r="AR1175" s="55">
        <f>IF(BO1175=1,0,ROUNDUP(AQ1175/BN1175,0))</f>
        <v/>
      </c>
      <c r="AS1175" s="64">
        <f>IF(BO1175=1,IF(AQ1175&lt;=0,0,BP1175*MAX(1,IF(G1175&gt;0,AQ1175/G1175,1))),AR1175*Q1175)</f>
        <v/>
      </c>
      <c r="AT1175" s="55">
        <f>AQ1175*F1175</f>
        <v/>
      </c>
      <c r="AU1175" s="55">
        <f>ROUNDUP(MAX(I1175/IF(BS1175&gt;0,BS1175,MAX(0.1,N(Cockpit!$O$6))),BV1175)/BN1175,0)*BN1175</f>
        <v/>
      </c>
      <c r="AV1175" s="56">
        <f>IF(AS1175&gt;0,I1175/AS1175,-1)</f>
        <v/>
      </c>
      <c r="AW1175" s="56">
        <f>IF(AND(OR(BR1175="L1",BR1175="L23"),AS1175&gt;0),SUMIFS($AS$7:$AS$1570,$BR$7:$BR$1570,BR1175,$AV$7:$AV$1570,"&gt;"&amp;AV1175)+SUMIFS($AS$7:$AS$1570,$BR$7:$BR$1570,BR1175,$AV$7:$AV$1570,AV1175,$BL$7:$BL$1570,"&lt;="&amp;BL1175),"")</f>
        <v/>
      </c>
      <c r="AX1175" s="65">
        <f>IF(AW1175="",0,MAX(0,MIN(1,(IF(BR1175="L1",Parameter!$K$5,Parameter!$K$6+Parameter!$K$7)-(AW1175-AS1175))/AS1175)))</f>
        <v/>
      </c>
      <c r="AY1175" s="53">
        <f>IF(AC1175&lt;=0,"",IF(BR1175="Aussen","Aussenlager",IF(BR1175="-","Nicht im Lift",IF(AH1175&gt;=1,"Lift",IF(AH1175&lt;=0,"Aussenlager","teilweise")))))</f>
        <v/>
      </c>
      <c r="AZ1175" s="53">
        <f>IF(AK1175&lt;=0,"",IF(BR1175="Aussen","Aussenlager",IF(BR1175="-","Nicht im Lift",IF(AP1175&gt;=1,"Lift",IF(AP1175&lt;=0,"Aussenlager","teilweise")))))</f>
        <v/>
      </c>
      <c r="BA1175" s="53">
        <f>IF(AS1175&lt;=0,"",IF(BR1175="Aussen","Aussenlager",IF(BR1175="-","Nicht im Lift",IF(AX1175&gt;=1,"Lift",IF(AX1175&lt;=0,"Aussenlager","teilweise")))))</f>
        <v/>
      </c>
      <c r="BB1175" s="53">
        <f>IF(A1175="","",IF(BK1175=1,"Neu; ","")&amp;IF(AND(BK1175=0,BF1175&lt;0),"negativer Bestand (Export "&amp;BF1175&amp;"); ","")&amp;IF(I1175&lt;=0,"Kein Verbrauch; ","")&amp;IF(BO1175=1,"Lose – Fläche geschätzt; ","")&amp;IF(G1175&gt;AM1175,"Überbestand "&amp;ROUND(G1175-AM1175,0)&amp;" Stk / CHF "&amp;ROUND((G1175-AM1175)*F1175,0)&amp;"; ","")&amp;IF(AND(BT1175=1,BU1175&lt;BV1175),"MAX &lt; MB+LG; ","")&amp;IF(AND(BZ1175&gt;0,BY1175*10&gt;BZ1175),"zu hoch für Tablar; ","")&amp;IF(AND(BK1175=0,OR(BT1175=1,V1175&lt;&gt;"",S1175&lt;&gt;"",T1175&lt;&gt;"",W1175&lt;&gt;"")),"manuell übersteuert; ","")&amp;IF(AND(BO1175=0,Q1175=0),"Gebinde unbekannt; ","")&amp;IF(AND(BO1175=0,N(T1175)&lt;=0,N(P1175)&lt;=0),"Menge pro Gebinde fehlt (Ist = 1 Gebinde); ","")&amp;BJ1175)</f>
        <v/>
      </c>
      <c r="BC1175" s="53" t="n"/>
      <c r="BD1175" s="53" t="n"/>
      <c r="BE1175" s="61" t="n"/>
      <c r="BF1175" s="55" t="n">
        <v>-8</v>
      </c>
      <c r="BG1175" s="55" t="n">
        <v>8</v>
      </c>
      <c r="BH1175" s="54" t="n">
        <v>-369.36</v>
      </c>
      <c r="BI1175" s="55" t="n">
        <v>10</v>
      </c>
      <c r="BJ1175" s="53" t="inlineStr"/>
      <c r="BK1175" s="58" t="n">
        <v>0</v>
      </c>
      <c r="BL1175" s="58" t="n">
        <v>1175</v>
      </c>
      <c r="BM1175" s="53">
        <f>IF(S1175&lt;&gt;"",UPPER(TRIM(S1175)),IF(O1175="","LOSE",O1175))</f>
        <v/>
      </c>
      <c r="BN1175" s="55">
        <f>IF(BM1175="LOSE",1,IF(N(T1175)&gt;0,T1175,IF(N(P1175)&gt;0,P1175,MAX(1,G1175))))</f>
        <v/>
      </c>
      <c r="BO1175" s="58">
        <f>IF(BM1175="LOSE",1,0)</f>
        <v/>
      </c>
      <c r="BP1175" s="64">
        <f>IF(BO1175=0,0,IF(N(R1175)&gt;0,R1175,IFERROR(VLOOKUP(D1175,Parameter!$A$35:$C$64,3,0)+0,0)))</f>
        <v/>
      </c>
      <c r="BQ1175" s="53">
        <f>IF(V1175&lt;&gt;"",V1175,U1175)</f>
        <v/>
      </c>
      <c r="BR1175" s="53">
        <f>IF(BQ1175=1,"L1",IF(OR(BQ1175=2,BQ1175=3),"L23",IF(BQ1175="Aussen","Aussen","-")))</f>
        <v/>
      </c>
      <c r="BS1175" s="66">
        <f>IF(N(W1175)&gt;0,W1175,0)</f>
        <v/>
      </c>
      <c r="BT1175" s="58">
        <f>IF(ISNUMBER(Z1175),1,0)</f>
        <v/>
      </c>
      <c r="BU1175" s="55">
        <f>N(Z1175)</f>
        <v/>
      </c>
      <c r="BV1175" s="55">
        <f>N(L1175)+N(M1175)</f>
        <v/>
      </c>
      <c r="BW1175" s="55">
        <f>ROUNDUP(G1175/BN1175,0)</f>
        <v/>
      </c>
      <c r="BX1175" s="55">
        <f>ROUNDUP(BU1175/BN1175,0)</f>
        <v/>
      </c>
      <c r="BY1175" s="58">
        <f>IF(BO1175=1,0,IFERROR(VLOOKUP(BM1175,'Gebinde-Kategorie'!$A$5:$G$45,5,0)+0,0))</f>
        <v/>
      </c>
      <c r="BZ1175" s="58">
        <f>IFERROR(IF(OR(BQ1175=1,BQ1175=2,BQ1175=3),N(INDEX(Parameter!$I$5:$I$7,BQ1175)),0),0)</f>
        <v/>
      </c>
    </row>
    <row r="1176">
      <c r="A1176" s="53" t="inlineStr">
        <is>
          <t>005091</t>
        </is>
      </c>
      <c r="B1176" s="53" t="inlineStr">
        <is>
          <t>SPS Ethernet Kommunikationsmodul</t>
        </is>
      </c>
      <c r="C1176" s="53" t="inlineStr">
        <is>
          <t>G</t>
        </is>
      </c>
      <c r="D1176" s="53" t="inlineStr">
        <is>
          <t>KTL</t>
        </is>
      </c>
      <c r="E1176" s="53" t="inlineStr">
        <is>
          <t>C</t>
        </is>
      </c>
      <c r="F1176" s="54" t="n">
        <v>41.2</v>
      </c>
      <c r="G1176" s="55">
        <f>MAX(0,IF(Parameter!$B$20="Jahresanfang 2025 + Export",BG1176+BF1176,BF1176))</f>
        <v/>
      </c>
      <c r="H1176" s="55">
        <f>G1176*F1176</f>
        <v/>
      </c>
      <c r="I1176" s="55">
        <f>BI1176*Parameter!$B$18</f>
        <v/>
      </c>
      <c r="J1176" s="56" t="n">
        <v>9</v>
      </c>
      <c r="K1176" s="57" t="n">
        <v>1</v>
      </c>
      <c r="L1176" s="55" t="n">
        <v>0</v>
      </c>
      <c r="M1176" s="55" t="n">
        <v>10</v>
      </c>
      <c r="N1176" s="58" t="n">
        <v>21</v>
      </c>
      <c r="O1176" s="53" t="inlineStr">
        <is>
          <t>LOSE</t>
        </is>
      </c>
      <c r="P1176" s="55" t="n"/>
      <c r="Q1176" s="59">
        <f>IF(BO1176=1,0,IFERROR(VLOOKUP(BM1176,'Gebinde-Kategorie'!$A$5:$G$45,6,0)+0,0))</f>
        <v/>
      </c>
      <c r="R1176" s="60" t="n"/>
      <c r="S1176" s="61" t="n"/>
      <c r="T1176" s="61" t="n"/>
      <c r="U1176" s="53">
        <f>IF(A1176="","",IF(IFERROR(VLOOKUP(D1176,Parameter!$A$35:$C$64,2,0),"Nein")="2+3",IF(ISNUMBER(SEARCH("grosser Artikel",BJ1176)),2,IFERROR(VLOOKUP(BM1176,Parameter!$F$35:$G$64,2,0),2)),IF(OR(IFERROR(VLOOKUP(D1176,Parameter!$A$35:$C$64,2,0),"Nein")="Nein",IFERROR(VLOOKUP(D1176,Parameter!$A$35:$C$64,2,0),"Nein")=""),"-",VLOOKUP(D1176,Parameter!$A$35:$C$64,2,0))))</f>
        <v/>
      </c>
      <c r="V1176" s="61" t="n"/>
      <c r="W1176" s="62" t="n"/>
      <c r="X1176" s="55">
        <f>AM1176</f>
        <v/>
      </c>
      <c r="Y1176" s="55">
        <f>MAX(AM1176,G1176)</f>
        <v/>
      </c>
      <c r="Z1176" s="63" t="n"/>
      <c r="AA1176" s="55">
        <f>IF(LEFT(Cockpit!$C$5,1)="A",G1176,IF(BT1176=1,BU1176,IF(LEFT(Cockpit!$C$5,1)="B",AE1176,MAX(AE1176,G1176))))</f>
        <v/>
      </c>
      <c r="AB1176" s="55">
        <f>IF(BO1176=1,0,ROUNDUP(AA1176/BN1176,0))</f>
        <v/>
      </c>
      <c r="AC1176" s="64">
        <f>IF(BO1176=1,IF(AA1176&lt;=0,0,BP1176*MAX(1,IF(G1176&gt;0,AA1176/G1176,1))),AB1176*Q1176)</f>
        <v/>
      </c>
      <c r="AD1176" s="55">
        <f>AA1176*F1176</f>
        <v/>
      </c>
      <c r="AE1176" s="55">
        <f>ROUNDUP(MAX(I1176/IF(BS1176&gt;0,BS1176,MAX(0.1,N(Cockpit!$C$6))),BV1176)/BN1176,0)*BN1176</f>
        <v/>
      </c>
      <c r="AF1176" s="56">
        <f>IF(AC1176&gt;0,I1176/AC1176,-1)</f>
        <v/>
      </c>
      <c r="AG1176" s="56">
        <f>IF(AND(OR(BR1176="L1",BR1176="L23"),AC1176&gt;0),SUMIFS($AC$7:$AC$1570,$BR$7:$BR$1570,BR1176,$AF$7:$AF$1570,"&gt;"&amp;AF1176)+SUMIFS($AC$7:$AC$1570,$BR$7:$BR$1570,BR1176,$AF$7:$AF$1570,AF1176,$BL$7:$BL$1570,"&lt;="&amp;BL1176),"")</f>
        <v/>
      </c>
      <c r="AH1176" s="65">
        <f>IF(AG1176="",0,MAX(0,MIN(1,(IF(BR1176="L1",Parameter!$K$5,Parameter!$K$6+Parameter!$K$7)-(AG1176-AC1176))/AC1176)))</f>
        <v/>
      </c>
      <c r="AI1176" s="55">
        <f>IF(LEFT(Cockpit!$I$5,1)="A",G1176,IF(BT1176=1,BU1176,IF(LEFT(Cockpit!$I$5,1)="B",AM1176,MAX(AM1176,G1176))))</f>
        <v/>
      </c>
      <c r="AJ1176" s="55">
        <f>IF(BO1176=1,0,ROUNDUP(AI1176/BN1176,0))</f>
        <v/>
      </c>
      <c r="AK1176" s="64">
        <f>IF(BO1176=1,IF(AI1176&lt;=0,0,BP1176*MAX(1,IF(G1176&gt;0,AI1176/G1176,1))),AJ1176*Q1176)</f>
        <v/>
      </c>
      <c r="AL1176" s="55">
        <f>AI1176*F1176</f>
        <v/>
      </c>
      <c r="AM1176" s="55">
        <f>ROUNDUP(MAX(I1176/IF(BS1176&gt;0,BS1176,MAX(0.1,N(Cockpit!$I$6))),BV1176)/BN1176,0)*BN1176</f>
        <v/>
      </c>
      <c r="AN1176" s="56">
        <f>IF(AK1176&gt;0,I1176/AK1176,-1)</f>
        <v/>
      </c>
      <c r="AO1176" s="56">
        <f>IF(AND(OR(BR1176="L1",BR1176="L23"),AK1176&gt;0),SUMIFS($AK$7:$AK$1570,$BR$7:$BR$1570,BR1176,$AN$7:$AN$1570,"&gt;"&amp;AN1176)+SUMIFS($AK$7:$AK$1570,$BR$7:$BR$1570,BR1176,$AN$7:$AN$1570,AN1176,$BL$7:$BL$1570,"&lt;="&amp;BL1176),"")</f>
        <v/>
      </c>
      <c r="AP1176" s="65">
        <f>IF(AO1176="",0,MAX(0,MIN(1,(IF(BR1176="L1",Parameter!$K$5,Parameter!$K$6+Parameter!$K$7)-(AO1176-AK1176))/AK1176)))</f>
        <v/>
      </c>
      <c r="AQ1176" s="55">
        <f>IF(LEFT(Cockpit!$O$5,1)="A",G1176,IF(BT1176=1,BU1176,IF(LEFT(Cockpit!$O$5,1)="B",AU1176,MAX(AU1176,G1176))))</f>
        <v/>
      </c>
      <c r="AR1176" s="55">
        <f>IF(BO1176=1,0,ROUNDUP(AQ1176/BN1176,0))</f>
        <v/>
      </c>
      <c r="AS1176" s="64">
        <f>IF(BO1176=1,IF(AQ1176&lt;=0,0,BP1176*MAX(1,IF(G1176&gt;0,AQ1176/G1176,1))),AR1176*Q1176)</f>
        <v/>
      </c>
      <c r="AT1176" s="55">
        <f>AQ1176*F1176</f>
        <v/>
      </c>
      <c r="AU1176" s="55">
        <f>ROUNDUP(MAX(I1176/IF(BS1176&gt;0,BS1176,MAX(0.1,N(Cockpit!$O$6))),BV1176)/BN1176,0)*BN1176</f>
        <v/>
      </c>
      <c r="AV1176" s="56">
        <f>IF(AS1176&gt;0,I1176/AS1176,-1)</f>
        <v/>
      </c>
      <c r="AW1176" s="56">
        <f>IF(AND(OR(BR1176="L1",BR1176="L23"),AS1176&gt;0),SUMIFS($AS$7:$AS$1570,$BR$7:$BR$1570,BR1176,$AV$7:$AV$1570,"&gt;"&amp;AV1176)+SUMIFS($AS$7:$AS$1570,$BR$7:$BR$1570,BR1176,$AV$7:$AV$1570,AV1176,$BL$7:$BL$1570,"&lt;="&amp;BL1176),"")</f>
        <v/>
      </c>
      <c r="AX1176" s="65">
        <f>IF(AW1176="",0,MAX(0,MIN(1,(IF(BR1176="L1",Parameter!$K$5,Parameter!$K$6+Parameter!$K$7)-(AW1176-AS1176))/AS1176)))</f>
        <v/>
      </c>
      <c r="AY1176" s="53">
        <f>IF(AC1176&lt;=0,"",IF(BR1176="Aussen","Aussenlager",IF(BR1176="-","Nicht im Lift",IF(AH1176&gt;=1,"Lift",IF(AH1176&lt;=0,"Aussenlager","teilweise")))))</f>
        <v/>
      </c>
      <c r="AZ1176" s="53">
        <f>IF(AK1176&lt;=0,"",IF(BR1176="Aussen","Aussenlager",IF(BR1176="-","Nicht im Lift",IF(AP1176&gt;=1,"Lift",IF(AP1176&lt;=0,"Aussenlager","teilweise")))))</f>
        <v/>
      </c>
      <c r="BA1176" s="53">
        <f>IF(AS1176&lt;=0,"",IF(BR1176="Aussen","Aussenlager",IF(BR1176="-","Nicht im Lift",IF(AX1176&gt;=1,"Lift",IF(AX1176&lt;=0,"Aussenlager","teilweise")))))</f>
        <v/>
      </c>
      <c r="BB1176" s="53">
        <f>IF(A1176="","",IF(BK1176=1,"Neu; ","")&amp;IF(AND(BK1176=0,BF1176&lt;0),"negativer Bestand (Export "&amp;BF1176&amp;"); ","")&amp;IF(I1176&lt;=0,"Kein Verbrauch; ","")&amp;IF(BO1176=1,"Lose – Fläche geschätzt; ","")&amp;IF(G1176&gt;AM1176,"Überbestand "&amp;ROUND(G1176-AM1176,0)&amp;" Stk / CHF "&amp;ROUND((G1176-AM1176)*F1176,0)&amp;"; ","")&amp;IF(AND(BT1176=1,BU1176&lt;BV1176),"MAX &lt; MB+LG; ","")&amp;IF(AND(BZ1176&gt;0,BY1176*10&gt;BZ1176),"zu hoch für Tablar; ","")&amp;IF(AND(BK1176=0,OR(BT1176=1,V1176&lt;&gt;"",S1176&lt;&gt;"",T1176&lt;&gt;"",W1176&lt;&gt;"")),"manuell übersteuert; ","")&amp;IF(AND(BO1176=0,Q1176=0),"Gebinde unbekannt; ","")&amp;IF(AND(BO1176=0,N(T1176)&lt;=0,N(P1176)&lt;=0),"Menge pro Gebinde fehlt (Ist = 1 Gebinde); ","")&amp;BJ1176)</f>
        <v/>
      </c>
      <c r="BC1176" s="53" t="n"/>
      <c r="BD1176" s="53" t="n"/>
      <c r="BE1176" s="61" t="n"/>
      <c r="BF1176" s="55" t="n">
        <v>-9</v>
      </c>
      <c r="BG1176" s="55" t="n">
        <v>18</v>
      </c>
      <c r="BH1176" s="54" t="n">
        <v>-370.8</v>
      </c>
      <c r="BI1176" s="55" t="n">
        <v>9</v>
      </c>
      <c r="BJ1176" s="53" t="inlineStr"/>
      <c r="BK1176" s="58" t="n">
        <v>0</v>
      </c>
      <c r="BL1176" s="58" t="n">
        <v>1176</v>
      </c>
      <c r="BM1176" s="53">
        <f>IF(S1176&lt;&gt;"",UPPER(TRIM(S1176)),IF(O1176="","LOSE",O1176))</f>
        <v/>
      </c>
      <c r="BN1176" s="55">
        <f>IF(BM1176="LOSE",1,IF(N(T1176)&gt;0,T1176,IF(N(P1176)&gt;0,P1176,MAX(1,G1176))))</f>
        <v/>
      </c>
      <c r="BO1176" s="58">
        <f>IF(BM1176="LOSE",1,0)</f>
        <v/>
      </c>
      <c r="BP1176" s="64">
        <f>IF(BO1176=0,0,IF(N(R1176)&gt;0,R1176,IFERROR(VLOOKUP(D1176,Parameter!$A$35:$C$64,3,0)+0,0)))</f>
        <v/>
      </c>
      <c r="BQ1176" s="53">
        <f>IF(V1176&lt;&gt;"",V1176,U1176)</f>
        <v/>
      </c>
      <c r="BR1176" s="53">
        <f>IF(BQ1176=1,"L1",IF(OR(BQ1176=2,BQ1176=3),"L23",IF(BQ1176="Aussen","Aussen","-")))</f>
        <v/>
      </c>
      <c r="BS1176" s="66">
        <f>IF(N(W1176)&gt;0,W1176,0)</f>
        <v/>
      </c>
      <c r="BT1176" s="58">
        <f>IF(ISNUMBER(Z1176),1,0)</f>
        <v/>
      </c>
      <c r="BU1176" s="55">
        <f>N(Z1176)</f>
        <v/>
      </c>
      <c r="BV1176" s="55">
        <f>N(L1176)+N(M1176)</f>
        <v/>
      </c>
      <c r="BW1176" s="55">
        <f>ROUNDUP(G1176/BN1176,0)</f>
        <v/>
      </c>
      <c r="BX1176" s="55">
        <f>ROUNDUP(BU1176/BN1176,0)</f>
        <v/>
      </c>
      <c r="BY1176" s="58">
        <f>IF(BO1176=1,0,IFERROR(VLOOKUP(BM1176,'Gebinde-Kategorie'!$A$5:$G$45,5,0)+0,0))</f>
        <v/>
      </c>
      <c r="BZ1176" s="58">
        <f>IFERROR(IF(OR(BQ1176=1,BQ1176=2,BQ1176=3),N(INDEX(Parameter!$I$5:$I$7,BQ1176)),0),0)</f>
        <v/>
      </c>
    </row>
    <row r="1177">
      <c r="A1177" s="53" t="inlineStr">
        <is>
          <t>005225</t>
        </is>
      </c>
      <c r="B1177" s="53" t="inlineStr">
        <is>
          <t>Glühkerzenstecker Ersatzteil</t>
        </is>
      </c>
      <c r="C1177" s="53" t="inlineStr">
        <is>
          <t>F</t>
        </is>
      </c>
      <c r="D1177" s="53" t="inlineStr">
        <is>
          <t>KTL</t>
        </is>
      </c>
      <c r="E1177" s="53" t="inlineStr">
        <is>
          <t>C</t>
        </is>
      </c>
      <c r="F1177" s="54" t="n">
        <v>6.09</v>
      </c>
      <c r="G1177" s="55">
        <f>MAX(0,IF(Parameter!$B$20="Jahresanfang 2025 + Export",BG1177+BF1177,BF1177))</f>
        <v/>
      </c>
      <c r="H1177" s="55">
        <f>G1177*F1177</f>
        <v/>
      </c>
      <c r="I1177" s="55">
        <f>BI1177*Parameter!$B$18</f>
        <v/>
      </c>
      <c r="J1177" s="56" t="n">
        <v>163</v>
      </c>
      <c r="K1177" s="57" t="n">
        <v>0.09815950920245399</v>
      </c>
      <c r="L1177" s="55" t="n">
        <v>1</v>
      </c>
      <c r="M1177" s="55" t="n">
        <v>15</v>
      </c>
      <c r="N1177" s="58" t="n">
        <v>28</v>
      </c>
      <c r="O1177" s="53" t="inlineStr">
        <is>
          <t>S32</t>
        </is>
      </c>
      <c r="P1177" s="55" t="n">
        <v>104</v>
      </c>
      <c r="Q1177" s="59">
        <f>IF(BO1177=1,0,IFERROR(VLOOKUP(BM1177,'Gebinde-Kategorie'!$A$5:$G$45,6,0)+0,0))</f>
        <v/>
      </c>
      <c r="R1177" s="60" t="n"/>
      <c r="S1177" s="61" t="n"/>
      <c r="T1177" s="61" t="n"/>
      <c r="U1177" s="53">
        <f>IF(A1177="","",IF(IFERROR(VLOOKUP(D1177,Parameter!$A$35:$C$64,2,0),"Nein")="2+3",IF(ISNUMBER(SEARCH("grosser Artikel",BJ1177)),2,IFERROR(VLOOKUP(BM1177,Parameter!$F$35:$G$64,2,0),2)),IF(OR(IFERROR(VLOOKUP(D1177,Parameter!$A$35:$C$64,2,0),"Nein")="Nein",IFERROR(VLOOKUP(D1177,Parameter!$A$35:$C$64,2,0),"Nein")=""),"-",VLOOKUP(D1177,Parameter!$A$35:$C$64,2,0))))</f>
        <v/>
      </c>
      <c r="V1177" s="61" t="n"/>
      <c r="W1177" s="62" t="n"/>
      <c r="X1177" s="55">
        <f>AM1177</f>
        <v/>
      </c>
      <c r="Y1177" s="55">
        <f>MAX(AM1177,G1177)</f>
        <v/>
      </c>
      <c r="Z1177" s="63" t="n"/>
      <c r="AA1177" s="55">
        <f>IF(LEFT(Cockpit!$C$5,1)="A",G1177,IF(BT1177=1,BU1177,IF(LEFT(Cockpit!$C$5,1)="B",AE1177,MAX(AE1177,G1177))))</f>
        <v/>
      </c>
      <c r="AB1177" s="55">
        <f>IF(BO1177=1,0,ROUNDUP(AA1177/BN1177,0))</f>
        <v/>
      </c>
      <c r="AC1177" s="64">
        <f>IF(BO1177=1,IF(AA1177&lt;=0,0,BP1177*MAX(1,IF(G1177&gt;0,AA1177/G1177,1))),AB1177*Q1177)</f>
        <v/>
      </c>
      <c r="AD1177" s="55">
        <f>AA1177*F1177</f>
        <v/>
      </c>
      <c r="AE1177" s="55">
        <f>ROUNDUP(MAX(I1177/IF(BS1177&gt;0,BS1177,MAX(0.1,N(Cockpit!$C$6))),BV1177)/BN1177,0)*BN1177</f>
        <v/>
      </c>
      <c r="AF1177" s="56">
        <f>IF(AC1177&gt;0,I1177/AC1177,-1)</f>
        <v/>
      </c>
      <c r="AG1177" s="56">
        <f>IF(AND(OR(BR1177="L1",BR1177="L23"),AC1177&gt;0),SUMIFS($AC$7:$AC$1570,$BR$7:$BR$1570,BR1177,$AF$7:$AF$1570,"&gt;"&amp;AF1177)+SUMIFS($AC$7:$AC$1570,$BR$7:$BR$1570,BR1177,$AF$7:$AF$1570,AF1177,$BL$7:$BL$1570,"&lt;="&amp;BL1177),"")</f>
        <v/>
      </c>
      <c r="AH1177" s="65">
        <f>IF(AG1177="",0,MAX(0,MIN(1,(IF(BR1177="L1",Parameter!$K$5,Parameter!$K$6+Parameter!$K$7)-(AG1177-AC1177))/AC1177)))</f>
        <v/>
      </c>
      <c r="AI1177" s="55">
        <f>IF(LEFT(Cockpit!$I$5,1)="A",G1177,IF(BT1177=1,BU1177,IF(LEFT(Cockpit!$I$5,1)="B",AM1177,MAX(AM1177,G1177))))</f>
        <v/>
      </c>
      <c r="AJ1177" s="55">
        <f>IF(BO1177=1,0,ROUNDUP(AI1177/BN1177,0))</f>
        <v/>
      </c>
      <c r="AK1177" s="64">
        <f>IF(BO1177=1,IF(AI1177&lt;=0,0,BP1177*MAX(1,IF(G1177&gt;0,AI1177/G1177,1))),AJ1177*Q1177)</f>
        <v/>
      </c>
      <c r="AL1177" s="55">
        <f>AI1177*F1177</f>
        <v/>
      </c>
      <c r="AM1177" s="55">
        <f>ROUNDUP(MAX(I1177/IF(BS1177&gt;0,BS1177,MAX(0.1,N(Cockpit!$I$6))),BV1177)/BN1177,0)*BN1177</f>
        <v/>
      </c>
      <c r="AN1177" s="56">
        <f>IF(AK1177&gt;0,I1177/AK1177,-1)</f>
        <v/>
      </c>
      <c r="AO1177" s="56">
        <f>IF(AND(OR(BR1177="L1",BR1177="L23"),AK1177&gt;0),SUMIFS($AK$7:$AK$1570,$BR$7:$BR$1570,BR1177,$AN$7:$AN$1570,"&gt;"&amp;AN1177)+SUMIFS($AK$7:$AK$1570,$BR$7:$BR$1570,BR1177,$AN$7:$AN$1570,AN1177,$BL$7:$BL$1570,"&lt;="&amp;BL1177),"")</f>
        <v/>
      </c>
      <c r="AP1177" s="65">
        <f>IF(AO1177="",0,MAX(0,MIN(1,(IF(BR1177="L1",Parameter!$K$5,Parameter!$K$6+Parameter!$K$7)-(AO1177-AK1177))/AK1177)))</f>
        <v/>
      </c>
      <c r="AQ1177" s="55">
        <f>IF(LEFT(Cockpit!$O$5,1)="A",G1177,IF(BT1177=1,BU1177,IF(LEFT(Cockpit!$O$5,1)="B",AU1177,MAX(AU1177,G1177))))</f>
        <v/>
      </c>
      <c r="AR1177" s="55">
        <f>IF(BO1177=1,0,ROUNDUP(AQ1177/BN1177,0))</f>
        <v/>
      </c>
      <c r="AS1177" s="64">
        <f>IF(BO1177=1,IF(AQ1177&lt;=0,0,BP1177*MAX(1,IF(G1177&gt;0,AQ1177/G1177,1))),AR1177*Q1177)</f>
        <v/>
      </c>
      <c r="AT1177" s="55">
        <f>AQ1177*F1177</f>
        <v/>
      </c>
      <c r="AU1177" s="55">
        <f>ROUNDUP(MAX(I1177/IF(BS1177&gt;0,BS1177,MAX(0.1,N(Cockpit!$O$6))),BV1177)/BN1177,0)*BN1177</f>
        <v/>
      </c>
      <c r="AV1177" s="56">
        <f>IF(AS1177&gt;0,I1177/AS1177,-1)</f>
        <v/>
      </c>
      <c r="AW1177" s="56">
        <f>IF(AND(OR(BR1177="L1",BR1177="L23"),AS1177&gt;0),SUMIFS($AS$7:$AS$1570,$BR$7:$BR$1570,BR1177,$AV$7:$AV$1570,"&gt;"&amp;AV1177)+SUMIFS($AS$7:$AS$1570,$BR$7:$BR$1570,BR1177,$AV$7:$AV$1570,AV1177,$BL$7:$BL$1570,"&lt;="&amp;BL1177),"")</f>
        <v/>
      </c>
      <c r="AX1177" s="65">
        <f>IF(AW1177="",0,MAX(0,MIN(1,(IF(BR1177="L1",Parameter!$K$5,Parameter!$K$6+Parameter!$K$7)-(AW1177-AS1177))/AS1177)))</f>
        <v/>
      </c>
      <c r="AY1177" s="53">
        <f>IF(AC1177&lt;=0,"",IF(BR1177="Aussen","Aussenlager",IF(BR1177="-","Nicht im Lift",IF(AH1177&gt;=1,"Lift",IF(AH1177&lt;=0,"Aussenlager","teilweise")))))</f>
        <v/>
      </c>
      <c r="AZ1177" s="53">
        <f>IF(AK1177&lt;=0,"",IF(BR1177="Aussen","Aussenlager",IF(BR1177="-","Nicht im Lift",IF(AP1177&gt;=1,"Lift",IF(AP1177&lt;=0,"Aussenlager","teilweise")))))</f>
        <v/>
      </c>
      <c r="BA1177" s="53">
        <f>IF(AS1177&lt;=0,"",IF(BR1177="Aussen","Aussenlager",IF(BR1177="-","Nicht im Lift",IF(AX1177&gt;=1,"Lift",IF(AX1177&lt;=0,"Aussenlager","teilweise")))))</f>
        <v/>
      </c>
      <c r="BB1177" s="53">
        <f>IF(A1177="","",IF(BK1177=1,"Neu; ","")&amp;IF(AND(BK1177=0,BF1177&lt;0),"negativer Bestand (Export "&amp;BF1177&amp;"); ","")&amp;IF(I1177&lt;=0,"Kein Verbrauch; ","")&amp;IF(BO1177=1,"Lose – Fläche geschätzt; ","")&amp;IF(G1177&gt;AM1177,"Überbestand "&amp;ROUND(G1177-AM1177,0)&amp;" Stk / CHF "&amp;ROUND((G1177-AM1177)*F1177,0)&amp;"; ","")&amp;IF(AND(BT1177=1,BU1177&lt;BV1177),"MAX &lt; MB+LG; ","")&amp;IF(AND(BZ1177&gt;0,BY1177*10&gt;BZ1177),"zu hoch für Tablar; ","")&amp;IF(AND(BK1177=0,OR(BT1177=1,V1177&lt;&gt;"",S1177&lt;&gt;"",T1177&lt;&gt;"",W1177&lt;&gt;"")),"manuell übersteuert; ","")&amp;IF(AND(BO1177=0,Q1177=0),"Gebinde unbekannt; ","")&amp;IF(AND(BO1177=0,N(T1177)&lt;=0,N(P1177)&lt;=0),"Menge pro Gebinde fehlt (Ist = 1 Gebinde); ","")&amp;BJ1177)</f>
        <v/>
      </c>
      <c r="BC1177" s="53" t="n"/>
      <c r="BD1177" s="53" t="n"/>
      <c r="BE1177" s="61" t="n"/>
      <c r="BF1177" s="55" t="n">
        <v>-61</v>
      </c>
      <c r="BG1177" s="55" t="n">
        <v>167</v>
      </c>
      <c r="BH1177" s="54" t="n">
        <v>-371.4900000000001</v>
      </c>
      <c r="BI1177" s="55" t="n">
        <v>16</v>
      </c>
      <c r="BJ1177" s="53" t="inlineStr"/>
      <c r="BK1177" s="58" t="n">
        <v>0</v>
      </c>
      <c r="BL1177" s="58" t="n">
        <v>1177</v>
      </c>
      <c r="BM1177" s="53">
        <f>IF(S1177&lt;&gt;"",UPPER(TRIM(S1177)),IF(O1177="","LOSE",O1177))</f>
        <v/>
      </c>
      <c r="BN1177" s="55">
        <f>IF(BM1177="LOSE",1,IF(N(T1177)&gt;0,T1177,IF(N(P1177)&gt;0,P1177,MAX(1,G1177))))</f>
        <v/>
      </c>
      <c r="BO1177" s="58">
        <f>IF(BM1177="LOSE",1,0)</f>
        <v/>
      </c>
      <c r="BP1177" s="64">
        <f>IF(BO1177=0,0,IF(N(R1177)&gt;0,R1177,IFERROR(VLOOKUP(D1177,Parameter!$A$35:$C$64,3,0)+0,0)))</f>
        <v/>
      </c>
      <c r="BQ1177" s="53">
        <f>IF(V1177&lt;&gt;"",V1177,U1177)</f>
        <v/>
      </c>
      <c r="BR1177" s="53">
        <f>IF(BQ1177=1,"L1",IF(OR(BQ1177=2,BQ1177=3),"L23",IF(BQ1177="Aussen","Aussen","-")))</f>
        <v/>
      </c>
      <c r="BS1177" s="66">
        <f>IF(N(W1177)&gt;0,W1177,0)</f>
        <v/>
      </c>
      <c r="BT1177" s="58">
        <f>IF(ISNUMBER(Z1177),1,0)</f>
        <v/>
      </c>
      <c r="BU1177" s="55">
        <f>N(Z1177)</f>
        <v/>
      </c>
      <c r="BV1177" s="55">
        <f>N(L1177)+N(M1177)</f>
        <v/>
      </c>
      <c r="BW1177" s="55">
        <f>ROUNDUP(G1177/BN1177,0)</f>
        <v/>
      </c>
      <c r="BX1177" s="55">
        <f>ROUNDUP(BU1177/BN1177,0)</f>
        <v/>
      </c>
      <c r="BY1177" s="58">
        <f>IF(BO1177=1,0,IFERROR(VLOOKUP(BM1177,'Gebinde-Kategorie'!$A$5:$G$45,5,0)+0,0))</f>
        <v/>
      </c>
      <c r="BZ1177" s="58">
        <f>IFERROR(IF(OR(BQ1177=1,BQ1177=2,BQ1177=3),N(INDEX(Parameter!$I$5:$I$7,BQ1177)),0),0)</f>
        <v/>
      </c>
    </row>
    <row r="1178">
      <c r="A1178" s="53" t="inlineStr">
        <is>
          <t>109480</t>
        </is>
      </c>
      <c r="B1178" s="53" t="inlineStr">
        <is>
          <t>Sicherheitsventil</t>
        </is>
      </c>
      <c r="C1178" s="53" t="inlineStr">
        <is>
          <t>F</t>
        </is>
      </c>
      <c r="D1178" s="53" t="inlineStr">
        <is>
          <t>KTL</t>
        </is>
      </c>
      <c r="E1178" s="53" t="inlineStr">
        <is>
          <t>C</t>
        </is>
      </c>
      <c r="F1178" s="54" t="n">
        <v>371.82</v>
      </c>
      <c r="G1178" s="55">
        <f>MAX(0,IF(Parameter!$B$20="Jahresanfang 2025 + Export",BG1178+BF1178,BF1178))</f>
        <v/>
      </c>
      <c r="H1178" s="55">
        <f>G1178*F1178</f>
        <v/>
      </c>
      <c r="I1178" s="55">
        <f>BI1178*Parameter!$B$18</f>
        <v/>
      </c>
      <c r="J1178" s="56" t="n">
        <v>1.5</v>
      </c>
      <c r="K1178" s="57" t="n">
        <v>0.6666666666666666</v>
      </c>
      <c r="L1178" s="55" t="n">
        <v>0</v>
      </c>
      <c r="M1178" s="55" t="n">
        <v>1</v>
      </c>
      <c r="N1178" s="58" t="n">
        <v>21</v>
      </c>
      <c r="O1178" s="53" t="inlineStr">
        <is>
          <t>S32</t>
        </is>
      </c>
      <c r="P1178" s="55" t="n">
        <v>1</v>
      </c>
      <c r="Q1178" s="59">
        <f>IF(BO1178=1,0,IFERROR(VLOOKUP(BM1178,'Gebinde-Kategorie'!$A$5:$G$45,6,0)+0,0))</f>
        <v/>
      </c>
      <c r="R1178" s="60" t="n"/>
      <c r="S1178" s="61" t="n"/>
      <c r="T1178" s="61" t="n"/>
      <c r="U1178" s="53">
        <f>IF(A1178="","",IF(IFERROR(VLOOKUP(D1178,Parameter!$A$35:$C$64,2,0),"Nein")="2+3",IF(ISNUMBER(SEARCH("grosser Artikel",BJ1178)),2,IFERROR(VLOOKUP(BM1178,Parameter!$F$35:$G$64,2,0),2)),IF(OR(IFERROR(VLOOKUP(D1178,Parameter!$A$35:$C$64,2,0),"Nein")="Nein",IFERROR(VLOOKUP(D1178,Parameter!$A$35:$C$64,2,0),"Nein")=""),"-",VLOOKUP(D1178,Parameter!$A$35:$C$64,2,0))))</f>
        <v/>
      </c>
      <c r="V1178" s="61" t="n"/>
      <c r="W1178" s="62" t="n"/>
      <c r="X1178" s="55">
        <f>AM1178</f>
        <v/>
      </c>
      <c r="Y1178" s="55">
        <f>MAX(AM1178,G1178)</f>
        <v/>
      </c>
      <c r="Z1178" s="63" t="n"/>
      <c r="AA1178" s="55">
        <f>IF(LEFT(Cockpit!$C$5,1)="A",G1178,IF(BT1178=1,BU1178,IF(LEFT(Cockpit!$C$5,1)="B",AE1178,MAX(AE1178,G1178))))</f>
        <v/>
      </c>
      <c r="AB1178" s="55">
        <f>IF(BO1178=1,0,ROUNDUP(AA1178/BN1178,0))</f>
        <v/>
      </c>
      <c r="AC1178" s="64">
        <f>IF(BO1178=1,IF(AA1178&lt;=0,0,BP1178*MAX(1,IF(G1178&gt;0,AA1178/G1178,1))),AB1178*Q1178)</f>
        <v/>
      </c>
      <c r="AD1178" s="55">
        <f>AA1178*F1178</f>
        <v/>
      </c>
      <c r="AE1178" s="55">
        <f>ROUNDUP(MAX(I1178/IF(BS1178&gt;0,BS1178,MAX(0.1,N(Cockpit!$C$6))),BV1178)/BN1178,0)*BN1178</f>
        <v/>
      </c>
      <c r="AF1178" s="56">
        <f>IF(AC1178&gt;0,I1178/AC1178,-1)</f>
        <v/>
      </c>
      <c r="AG1178" s="56">
        <f>IF(AND(OR(BR1178="L1",BR1178="L23"),AC1178&gt;0),SUMIFS($AC$7:$AC$1570,$BR$7:$BR$1570,BR1178,$AF$7:$AF$1570,"&gt;"&amp;AF1178)+SUMIFS($AC$7:$AC$1570,$BR$7:$BR$1570,BR1178,$AF$7:$AF$1570,AF1178,$BL$7:$BL$1570,"&lt;="&amp;BL1178),"")</f>
        <v/>
      </c>
      <c r="AH1178" s="65">
        <f>IF(AG1178="",0,MAX(0,MIN(1,(IF(BR1178="L1",Parameter!$K$5,Parameter!$K$6+Parameter!$K$7)-(AG1178-AC1178))/AC1178)))</f>
        <v/>
      </c>
      <c r="AI1178" s="55">
        <f>IF(LEFT(Cockpit!$I$5,1)="A",G1178,IF(BT1178=1,BU1178,IF(LEFT(Cockpit!$I$5,1)="B",AM1178,MAX(AM1178,G1178))))</f>
        <v/>
      </c>
      <c r="AJ1178" s="55">
        <f>IF(BO1178=1,0,ROUNDUP(AI1178/BN1178,0))</f>
        <v/>
      </c>
      <c r="AK1178" s="64">
        <f>IF(BO1178=1,IF(AI1178&lt;=0,0,BP1178*MAX(1,IF(G1178&gt;0,AI1178/G1178,1))),AJ1178*Q1178)</f>
        <v/>
      </c>
      <c r="AL1178" s="55">
        <f>AI1178*F1178</f>
        <v/>
      </c>
      <c r="AM1178" s="55">
        <f>ROUNDUP(MAX(I1178/IF(BS1178&gt;0,BS1178,MAX(0.1,N(Cockpit!$I$6))),BV1178)/BN1178,0)*BN1178</f>
        <v/>
      </c>
      <c r="AN1178" s="56">
        <f>IF(AK1178&gt;0,I1178/AK1178,-1)</f>
        <v/>
      </c>
      <c r="AO1178" s="56">
        <f>IF(AND(OR(BR1178="L1",BR1178="L23"),AK1178&gt;0),SUMIFS($AK$7:$AK$1570,$BR$7:$BR$1570,BR1178,$AN$7:$AN$1570,"&gt;"&amp;AN1178)+SUMIFS($AK$7:$AK$1570,$BR$7:$BR$1570,BR1178,$AN$7:$AN$1570,AN1178,$BL$7:$BL$1570,"&lt;="&amp;BL1178),"")</f>
        <v/>
      </c>
      <c r="AP1178" s="65">
        <f>IF(AO1178="",0,MAX(0,MIN(1,(IF(BR1178="L1",Parameter!$K$5,Parameter!$K$6+Parameter!$K$7)-(AO1178-AK1178))/AK1178)))</f>
        <v/>
      </c>
      <c r="AQ1178" s="55">
        <f>IF(LEFT(Cockpit!$O$5,1)="A",G1178,IF(BT1178=1,BU1178,IF(LEFT(Cockpit!$O$5,1)="B",AU1178,MAX(AU1178,G1178))))</f>
        <v/>
      </c>
      <c r="AR1178" s="55">
        <f>IF(BO1178=1,0,ROUNDUP(AQ1178/BN1178,0))</f>
        <v/>
      </c>
      <c r="AS1178" s="64">
        <f>IF(BO1178=1,IF(AQ1178&lt;=0,0,BP1178*MAX(1,IF(G1178&gt;0,AQ1178/G1178,1))),AR1178*Q1178)</f>
        <v/>
      </c>
      <c r="AT1178" s="55">
        <f>AQ1178*F1178</f>
        <v/>
      </c>
      <c r="AU1178" s="55">
        <f>ROUNDUP(MAX(I1178/IF(BS1178&gt;0,BS1178,MAX(0.1,N(Cockpit!$O$6))),BV1178)/BN1178,0)*BN1178</f>
        <v/>
      </c>
      <c r="AV1178" s="56">
        <f>IF(AS1178&gt;0,I1178/AS1178,-1)</f>
        <v/>
      </c>
      <c r="AW1178" s="56">
        <f>IF(AND(OR(BR1178="L1",BR1178="L23"),AS1178&gt;0),SUMIFS($AS$7:$AS$1570,$BR$7:$BR$1570,BR1178,$AV$7:$AV$1570,"&gt;"&amp;AV1178)+SUMIFS($AS$7:$AS$1570,$BR$7:$BR$1570,BR1178,$AV$7:$AV$1570,AV1178,$BL$7:$BL$1570,"&lt;="&amp;BL1178),"")</f>
        <v/>
      </c>
      <c r="AX1178" s="65">
        <f>IF(AW1178="",0,MAX(0,MIN(1,(IF(BR1178="L1",Parameter!$K$5,Parameter!$K$6+Parameter!$K$7)-(AW1178-AS1178))/AS1178)))</f>
        <v/>
      </c>
      <c r="AY1178" s="53">
        <f>IF(AC1178&lt;=0,"",IF(BR1178="Aussen","Aussenlager",IF(BR1178="-","Nicht im Lift",IF(AH1178&gt;=1,"Lift",IF(AH1178&lt;=0,"Aussenlager","teilweise")))))</f>
        <v/>
      </c>
      <c r="AZ1178" s="53">
        <f>IF(AK1178&lt;=0,"",IF(BR1178="Aussen","Aussenlager",IF(BR1178="-","Nicht im Lift",IF(AP1178&gt;=1,"Lift",IF(AP1178&lt;=0,"Aussenlager","teilweise")))))</f>
        <v/>
      </c>
      <c r="BA1178" s="53">
        <f>IF(AS1178&lt;=0,"",IF(BR1178="Aussen","Aussenlager",IF(BR1178="-","Nicht im Lift",IF(AX1178&gt;=1,"Lift",IF(AX1178&lt;=0,"Aussenlager","teilweise")))))</f>
        <v/>
      </c>
      <c r="BB1178" s="53">
        <f>IF(A1178="","",IF(BK1178=1,"Neu; ","")&amp;IF(AND(BK1178=0,BF1178&lt;0),"negativer Bestand (Export "&amp;BF1178&amp;"); ","")&amp;IF(I1178&lt;=0,"Kein Verbrauch; ","")&amp;IF(BO1178=1,"Lose – Fläche geschätzt; ","")&amp;IF(G1178&gt;AM1178,"Überbestand "&amp;ROUND(G1178-AM1178,0)&amp;" Stk / CHF "&amp;ROUND((G1178-AM1178)*F1178,0)&amp;"; ","")&amp;IF(AND(BT1178=1,BU1178&lt;BV1178),"MAX &lt; MB+LG; ","")&amp;IF(AND(BZ1178&gt;0,BY1178*10&gt;BZ1178),"zu hoch für Tablar; ","")&amp;IF(AND(BK1178=0,OR(BT1178=1,V1178&lt;&gt;"",S1178&lt;&gt;"",T1178&lt;&gt;"",W1178&lt;&gt;"")),"manuell übersteuert; ","")&amp;IF(AND(BO1178=0,Q1178=0),"Gebinde unbekannt; ","")&amp;IF(AND(BO1178=0,N(T1178)&lt;=0,N(P1178)&lt;=0),"Menge pro Gebinde fehlt (Ist = 1 Gebinde); ","")&amp;BJ1178)</f>
        <v/>
      </c>
      <c r="BC1178" s="53" t="n"/>
      <c r="BD1178" s="53" t="n"/>
      <c r="BE1178" s="61" t="n"/>
      <c r="BF1178" s="55" t="n">
        <v>-1</v>
      </c>
      <c r="BG1178" s="55" t="n">
        <v>2</v>
      </c>
      <c r="BH1178" s="54" t="n">
        <v>-371.82</v>
      </c>
      <c r="BI1178" s="55" t="n">
        <v>1</v>
      </c>
      <c r="BJ1178" s="53" t="inlineStr"/>
      <c r="BK1178" s="58" t="n">
        <v>0</v>
      </c>
      <c r="BL1178" s="58" t="n">
        <v>1178</v>
      </c>
      <c r="BM1178" s="53">
        <f>IF(S1178&lt;&gt;"",UPPER(TRIM(S1178)),IF(O1178="","LOSE",O1178))</f>
        <v/>
      </c>
      <c r="BN1178" s="55">
        <f>IF(BM1178="LOSE",1,IF(N(T1178)&gt;0,T1178,IF(N(P1178)&gt;0,P1178,MAX(1,G1178))))</f>
        <v/>
      </c>
      <c r="BO1178" s="58">
        <f>IF(BM1178="LOSE",1,0)</f>
        <v/>
      </c>
      <c r="BP1178" s="64">
        <f>IF(BO1178=0,0,IF(N(R1178)&gt;0,R1178,IFERROR(VLOOKUP(D1178,Parameter!$A$35:$C$64,3,0)+0,0)))</f>
        <v/>
      </c>
      <c r="BQ1178" s="53">
        <f>IF(V1178&lt;&gt;"",V1178,U1178)</f>
        <v/>
      </c>
      <c r="BR1178" s="53">
        <f>IF(BQ1178=1,"L1",IF(OR(BQ1178=2,BQ1178=3),"L23",IF(BQ1178="Aussen","Aussen","-")))</f>
        <v/>
      </c>
      <c r="BS1178" s="66">
        <f>IF(N(W1178)&gt;0,W1178,0)</f>
        <v/>
      </c>
      <c r="BT1178" s="58">
        <f>IF(ISNUMBER(Z1178),1,0)</f>
        <v/>
      </c>
      <c r="BU1178" s="55">
        <f>N(Z1178)</f>
        <v/>
      </c>
      <c r="BV1178" s="55">
        <f>N(L1178)+N(M1178)</f>
        <v/>
      </c>
      <c r="BW1178" s="55">
        <f>ROUNDUP(G1178/BN1178,0)</f>
        <v/>
      </c>
      <c r="BX1178" s="55">
        <f>ROUNDUP(BU1178/BN1178,0)</f>
        <v/>
      </c>
      <c r="BY1178" s="58">
        <f>IF(BO1178=1,0,IFERROR(VLOOKUP(BM1178,'Gebinde-Kategorie'!$A$5:$G$45,5,0)+0,0))</f>
        <v/>
      </c>
      <c r="BZ1178" s="58">
        <f>IFERROR(IF(OR(BQ1178=1,BQ1178=2,BQ1178=3),N(INDEX(Parameter!$I$5:$I$7,BQ1178)),0),0)</f>
        <v/>
      </c>
    </row>
    <row r="1179">
      <c r="A1179" s="53" t="inlineStr">
        <is>
          <t>103488</t>
        </is>
      </c>
      <c r="B1179" s="53" t="inlineStr">
        <is>
          <t>Sicherungsscheibe</t>
        </is>
      </c>
      <c r="C1179" s="53" t="inlineStr">
        <is>
          <t>F</t>
        </is>
      </c>
      <c r="D1179" s="53" t="inlineStr">
        <is>
          <t>KTL</t>
        </is>
      </c>
      <c r="E1179" s="53" t="inlineStr">
        <is>
          <t>C</t>
        </is>
      </c>
      <c r="F1179" s="54" t="n">
        <v>0.59</v>
      </c>
      <c r="G1179" s="55">
        <f>MAX(0,IF(Parameter!$B$20="Jahresanfang 2025 + Export",BG1179+BF1179,BF1179))</f>
        <v/>
      </c>
      <c r="H1179" s="55">
        <f>G1179*F1179</f>
        <v/>
      </c>
      <c r="I1179" s="55">
        <f>BI1179*Parameter!$B$18</f>
        <v/>
      </c>
      <c r="J1179" s="56" t="n">
        <v>3733.5</v>
      </c>
      <c r="K1179" s="57" t="n">
        <v>4.198741127628231</v>
      </c>
      <c r="L1179" s="55" t="n">
        <v>914</v>
      </c>
      <c r="M1179" s="55" t="n">
        <v>1000</v>
      </c>
      <c r="N1179" s="58" t="n">
        <v>21</v>
      </c>
      <c r="O1179" s="53" t="inlineStr">
        <is>
          <t>S63</t>
        </is>
      </c>
      <c r="P1179" s="55" t="n">
        <v>20503</v>
      </c>
      <c r="Q1179" s="59">
        <f>IF(BO1179=1,0,IFERROR(VLOOKUP(BM1179,'Gebinde-Kategorie'!$A$5:$G$45,6,0)+0,0))</f>
        <v/>
      </c>
      <c r="R1179" s="60" t="n"/>
      <c r="S1179" s="61" t="n"/>
      <c r="T1179" s="61" t="n"/>
      <c r="U1179" s="53">
        <f>IF(A1179="","",IF(IFERROR(VLOOKUP(D1179,Parameter!$A$35:$C$64,2,0),"Nein")="2+3",IF(ISNUMBER(SEARCH("grosser Artikel",BJ1179)),2,IFERROR(VLOOKUP(BM1179,Parameter!$F$35:$G$64,2,0),2)),IF(OR(IFERROR(VLOOKUP(D1179,Parameter!$A$35:$C$64,2,0),"Nein")="Nein",IFERROR(VLOOKUP(D1179,Parameter!$A$35:$C$64,2,0),"Nein")=""),"-",VLOOKUP(D1179,Parameter!$A$35:$C$64,2,0))))</f>
        <v/>
      </c>
      <c r="V1179" s="61" t="n"/>
      <c r="W1179" s="62" t="n"/>
      <c r="X1179" s="55">
        <f>AM1179</f>
        <v/>
      </c>
      <c r="Y1179" s="55">
        <f>MAX(AM1179,G1179)</f>
        <v/>
      </c>
      <c r="Z1179" s="63" t="n"/>
      <c r="AA1179" s="55">
        <f>IF(LEFT(Cockpit!$C$5,1)="A",G1179,IF(BT1179=1,BU1179,IF(LEFT(Cockpit!$C$5,1)="B",AE1179,MAX(AE1179,G1179))))</f>
        <v/>
      </c>
      <c r="AB1179" s="55">
        <f>IF(BO1179=1,0,ROUNDUP(AA1179/BN1179,0))</f>
        <v/>
      </c>
      <c r="AC1179" s="64">
        <f>IF(BO1179=1,IF(AA1179&lt;=0,0,BP1179*MAX(1,IF(G1179&gt;0,AA1179/G1179,1))),AB1179*Q1179)</f>
        <v/>
      </c>
      <c r="AD1179" s="55">
        <f>AA1179*F1179</f>
        <v/>
      </c>
      <c r="AE1179" s="55">
        <f>ROUNDUP(MAX(I1179/IF(BS1179&gt;0,BS1179,MAX(0.1,N(Cockpit!$C$6))),BV1179)/BN1179,0)*BN1179</f>
        <v/>
      </c>
      <c r="AF1179" s="56">
        <f>IF(AC1179&gt;0,I1179/AC1179,-1)</f>
        <v/>
      </c>
      <c r="AG1179" s="56">
        <f>IF(AND(OR(BR1179="L1",BR1179="L23"),AC1179&gt;0),SUMIFS($AC$7:$AC$1570,$BR$7:$BR$1570,BR1179,$AF$7:$AF$1570,"&gt;"&amp;AF1179)+SUMIFS($AC$7:$AC$1570,$BR$7:$BR$1570,BR1179,$AF$7:$AF$1570,AF1179,$BL$7:$BL$1570,"&lt;="&amp;BL1179),"")</f>
        <v/>
      </c>
      <c r="AH1179" s="65">
        <f>IF(AG1179="",0,MAX(0,MIN(1,(IF(BR1179="L1",Parameter!$K$5,Parameter!$K$6+Parameter!$K$7)-(AG1179-AC1179))/AC1179)))</f>
        <v/>
      </c>
      <c r="AI1179" s="55">
        <f>IF(LEFT(Cockpit!$I$5,1)="A",G1179,IF(BT1179=1,BU1179,IF(LEFT(Cockpit!$I$5,1)="B",AM1179,MAX(AM1179,G1179))))</f>
        <v/>
      </c>
      <c r="AJ1179" s="55">
        <f>IF(BO1179=1,0,ROUNDUP(AI1179/BN1179,0))</f>
        <v/>
      </c>
      <c r="AK1179" s="64">
        <f>IF(BO1179=1,IF(AI1179&lt;=0,0,BP1179*MAX(1,IF(G1179&gt;0,AI1179/G1179,1))),AJ1179*Q1179)</f>
        <v/>
      </c>
      <c r="AL1179" s="55">
        <f>AI1179*F1179</f>
        <v/>
      </c>
      <c r="AM1179" s="55">
        <f>ROUNDUP(MAX(I1179/IF(BS1179&gt;0,BS1179,MAX(0.1,N(Cockpit!$I$6))),BV1179)/BN1179,0)*BN1179</f>
        <v/>
      </c>
      <c r="AN1179" s="56">
        <f>IF(AK1179&gt;0,I1179/AK1179,-1)</f>
        <v/>
      </c>
      <c r="AO1179" s="56">
        <f>IF(AND(OR(BR1179="L1",BR1179="L23"),AK1179&gt;0),SUMIFS($AK$7:$AK$1570,$BR$7:$BR$1570,BR1179,$AN$7:$AN$1570,"&gt;"&amp;AN1179)+SUMIFS($AK$7:$AK$1570,$BR$7:$BR$1570,BR1179,$AN$7:$AN$1570,AN1179,$BL$7:$BL$1570,"&lt;="&amp;BL1179),"")</f>
        <v/>
      </c>
      <c r="AP1179" s="65">
        <f>IF(AO1179="",0,MAX(0,MIN(1,(IF(BR1179="L1",Parameter!$K$5,Parameter!$K$6+Parameter!$K$7)-(AO1179-AK1179))/AK1179)))</f>
        <v/>
      </c>
      <c r="AQ1179" s="55">
        <f>IF(LEFT(Cockpit!$O$5,1)="A",G1179,IF(BT1179=1,BU1179,IF(LEFT(Cockpit!$O$5,1)="B",AU1179,MAX(AU1179,G1179))))</f>
        <v/>
      </c>
      <c r="AR1179" s="55">
        <f>IF(BO1179=1,0,ROUNDUP(AQ1179/BN1179,0))</f>
        <v/>
      </c>
      <c r="AS1179" s="64">
        <f>IF(BO1179=1,IF(AQ1179&lt;=0,0,BP1179*MAX(1,IF(G1179&gt;0,AQ1179/G1179,1))),AR1179*Q1179)</f>
        <v/>
      </c>
      <c r="AT1179" s="55">
        <f>AQ1179*F1179</f>
        <v/>
      </c>
      <c r="AU1179" s="55">
        <f>ROUNDUP(MAX(I1179/IF(BS1179&gt;0,BS1179,MAX(0.1,N(Cockpit!$O$6))),BV1179)/BN1179,0)*BN1179</f>
        <v/>
      </c>
      <c r="AV1179" s="56">
        <f>IF(AS1179&gt;0,I1179/AS1179,-1)</f>
        <v/>
      </c>
      <c r="AW1179" s="56">
        <f>IF(AND(OR(BR1179="L1",BR1179="L23"),AS1179&gt;0),SUMIFS($AS$7:$AS$1570,$BR$7:$BR$1570,BR1179,$AV$7:$AV$1570,"&gt;"&amp;AV1179)+SUMIFS($AS$7:$AS$1570,$BR$7:$BR$1570,BR1179,$AV$7:$AV$1570,AV1179,$BL$7:$BL$1570,"&lt;="&amp;BL1179),"")</f>
        <v/>
      </c>
      <c r="AX1179" s="65">
        <f>IF(AW1179="",0,MAX(0,MIN(1,(IF(BR1179="L1",Parameter!$K$5,Parameter!$K$6+Parameter!$K$7)-(AW1179-AS1179))/AS1179)))</f>
        <v/>
      </c>
      <c r="AY1179" s="53">
        <f>IF(AC1179&lt;=0,"",IF(BR1179="Aussen","Aussenlager",IF(BR1179="-","Nicht im Lift",IF(AH1179&gt;=1,"Lift",IF(AH1179&lt;=0,"Aussenlager","teilweise")))))</f>
        <v/>
      </c>
      <c r="AZ1179" s="53">
        <f>IF(AK1179&lt;=0,"",IF(BR1179="Aussen","Aussenlager",IF(BR1179="-","Nicht im Lift",IF(AP1179&gt;=1,"Lift",IF(AP1179&lt;=0,"Aussenlager","teilweise")))))</f>
        <v/>
      </c>
      <c r="BA1179" s="53">
        <f>IF(AS1179&lt;=0,"",IF(BR1179="Aussen","Aussenlager",IF(BR1179="-","Nicht im Lift",IF(AX1179&gt;=1,"Lift",IF(AX1179&lt;=0,"Aussenlager","teilweise")))))</f>
        <v/>
      </c>
      <c r="BB1179" s="53">
        <f>IF(A1179="","",IF(BK1179=1,"Neu; ","")&amp;IF(AND(BK1179=0,BF1179&lt;0),"negativer Bestand (Export "&amp;BF1179&amp;"); ","")&amp;IF(I1179&lt;=0,"Kein Verbrauch; ","")&amp;IF(BO1179=1,"Lose – Fläche geschätzt; ","")&amp;IF(G1179&gt;AM1179,"Überbestand "&amp;ROUND(G1179-AM1179,0)&amp;" Stk / CHF "&amp;ROUND((G1179-AM1179)*F1179,0)&amp;"; ","")&amp;IF(AND(BT1179=1,BU1179&lt;BV1179),"MAX &lt; MB+LG; ","")&amp;IF(AND(BZ1179&gt;0,BY1179*10&gt;BZ1179),"zu hoch für Tablar; ","")&amp;IF(AND(BK1179=0,OR(BT1179=1,V1179&lt;&gt;"",S1179&lt;&gt;"",T1179&lt;&gt;"",W1179&lt;&gt;"")),"manuell übersteuert; ","")&amp;IF(AND(BO1179=0,Q1179=0),"Gebinde unbekannt; ","")&amp;IF(AND(BO1179=0,N(T1179)&lt;=0,N(P1179)&lt;=0),"Menge pro Gebinde fehlt (Ist = 1 Gebinde); ","")&amp;BJ1179)</f>
        <v/>
      </c>
      <c r="BC1179" s="53" t="n"/>
      <c r="BD1179" s="53" t="n"/>
      <c r="BE1179" s="61" t="n"/>
      <c r="BF1179" s="55" t="n">
        <v>-1436</v>
      </c>
      <c r="BG1179" s="55" t="n">
        <v>3742</v>
      </c>
      <c r="BH1179" s="54" t="n">
        <v>-371.9600000000042</v>
      </c>
      <c r="BI1179" s="55" t="n">
        <v>15676</v>
      </c>
      <c r="BJ1179" s="53" t="inlineStr"/>
      <c r="BK1179" s="58" t="n">
        <v>0</v>
      </c>
      <c r="BL1179" s="58" t="n">
        <v>1179</v>
      </c>
      <c r="BM1179" s="53">
        <f>IF(S1179&lt;&gt;"",UPPER(TRIM(S1179)),IF(O1179="","LOSE",O1179))</f>
        <v/>
      </c>
      <c r="BN1179" s="55">
        <f>IF(BM1179="LOSE",1,IF(N(T1179)&gt;0,T1179,IF(N(P1179)&gt;0,P1179,MAX(1,G1179))))</f>
        <v/>
      </c>
      <c r="BO1179" s="58">
        <f>IF(BM1179="LOSE",1,0)</f>
        <v/>
      </c>
      <c r="BP1179" s="64">
        <f>IF(BO1179=0,0,IF(N(R1179)&gt;0,R1179,IFERROR(VLOOKUP(D1179,Parameter!$A$35:$C$64,3,0)+0,0)))</f>
        <v/>
      </c>
      <c r="BQ1179" s="53">
        <f>IF(V1179&lt;&gt;"",V1179,U1179)</f>
        <v/>
      </c>
      <c r="BR1179" s="53">
        <f>IF(BQ1179=1,"L1",IF(OR(BQ1179=2,BQ1179=3),"L23",IF(BQ1179="Aussen","Aussen","-")))</f>
        <v/>
      </c>
      <c r="BS1179" s="66">
        <f>IF(N(W1179)&gt;0,W1179,0)</f>
        <v/>
      </c>
      <c r="BT1179" s="58">
        <f>IF(ISNUMBER(Z1179),1,0)</f>
        <v/>
      </c>
      <c r="BU1179" s="55">
        <f>N(Z1179)</f>
        <v/>
      </c>
      <c r="BV1179" s="55">
        <f>N(L1179)+N(M1179)</f>
        <v/>
      </c>
      <c r="BW1179" s="55">
        <f>ROUNDUP(G1179/BN1179,0)</f>
        <v/>
      </c>
      <c r="BX1179" s="55">
        <f>ROUNDUP(BU1179/BN1179,0)</f>
        <v/>
      </c>
      <c r="BY1179" s="58">
        <f>IF(BO1179=1,0,IFERROR(VLOOKUP(BM1179,'Gebinde-Kategorie'!$A$5:$G$45,5,0)+0,0))</f>
        <v/>
      </c>
      <c r="BZ1179" s="58">
        <f>IFERROR(IF(OR(BQ1179=1,BQ1179=2,BQ1179=3),N(INDEX(Parameter!$I$5:$I$7,BQ1179)),0),0)</f>
        <v/>
      </c>
    </row>
    <row r="1180">
      <c r="A1180" s="53" t="inlineStr">
        <is>
          <t>005499</t>
        </is>
      </c>
      <c r="B1180" s="53" t="inlineStr">
        <is>
          <t>Einphasen-Sicherheitstrafo</t>
        </is>
      </c>
      <c r="C1180" s="53" t="inlineStr">
        <is>
          <t>F</t>
        </is>
      </c>
      <c r="D1180" s="53" t="inlineStr">
        <is>
          <t>KTL</t>
        </is>
      </c>
      <c r="E1180" s="53" t="inlineStr">
        <is>
          <t>C</t>
        </is>
      </c>
      <c r="F1180" s="54" t="n">
        <v>93.59999999999999</v>
      </c>
      <c r="G1180" s="55">
        <f>MAX(0,IF(Parameter!$B$20="Jahresanfang 2025 + Export",BG1180+BF1180,BF1180))</f>
        <v/>
      </c>
      <c r="H1180" s="55">
        <f>G1180*F1180</f>
        <v/>
      </c>
      <c r="I1180" s="55">
        <f>BI1180*Parameter!$B$18</f>
        <v/>
      </c>
      <c r="J1180" s="56" t="n">
        <v>5</v>
      </c>
      <c r="K1180" s="57" t="n">
        <v>0</v>
      </c>
      <c r="L1180" s="55" t="n">
        <v>0</v>
      </c>
      <c r="M1180" s="55" t="n">
        <v>1</v>
      </c>
      <c r="N1180" s="58" t="n">
        <v>56</v>
      </c>
      <c r="O1180" s="53" t="inlineStr">
        <is>
          <t>S51</t>
        </is>
      </c>
      <c r="P1180" s="55" t="n">
        <v>3</v>
      </c>
      <c r="Q1180" s="59">
        <f>IF(BO1180=1,0,IFERROR(VLOOKUP(BM1180,'Gebinde-Kategorie'!$A$5:$G$45,6,0)+0,0))</f>
        <v/>
      </c>
      <c r="R1180" s="60" t="n"/>
      <c r="S1180" s="61" t="n"/>
      <c r="T1180" s="61" t="n"/>
      <c r="U1180" s="53">
        <f>IF(A1180="","",IF(IFERROR(VLOOKUP(D1180,Parameter!$A$35:$C$64,2,0),"Nein")="2+3",IF(ISNUMBER(SEARCH("grosser Artikel",BJ1180)),2,IFERROR(VLOOKUP(BM1180,Parameter!$F$35:$G$64,2,0),2)),IF(OR(IFERROR(VLOOKUP(D1180,Parameter!$A$35:$C$64,2,0),"Nein")="Nein",IFERROR(VLOOKUP(D1180,Parameter!$A$35:$C$64,2,0),"Nein")=""),"-",VLOOKUP(D1180,Parameter!$A$35:$C$64,2,0))))</f>
        <v/>
      </c>
      <c r="V1180" s="61" t="n"/>
      <c r="W1180" s="62" t="n"/>
      <c r="X1180" s="55">
        <f>AM1180</f>
        <v/>
      </c>
      <c r="Y1180" s="55">
        <f>MAX(AM1180,G1180)</f>
        <v/>
      </c>
      <c r="Z1180" s="63" t="n"/>
      <c r="AA1180" s="55">
        <f>IF(LEFT(Cockpit!$C$5,1)="A",G1180,IF(BT1180=1,BU1180,IF(LEFT(Cockpit!$C$5,1)="B",AE1180,MAX(AE1180,G1180))))</f>
        <v/>
      </c>
      <c r="AB1180" s="55">
        <f>IF(BO1180=1,0,ROUNDUP(AA1180/BN1180,0))</f>
        <v/>
      </c>
      <c r="AC1180" s="64">
        <f>IF(BO1180=1,IF(AA1180&lt;=0,0,BP1180*MAX(1,IF(G1180&gt;0,AA1180/G1180,1))),AB1180*Q1180)</f>
        <v/>
      </c>
      <c r="AD1180" s="55">
        <f>AA1180*F1180</f>
        <v/>
      </c>
      <c r="AE1180" s="55">
        <f>ROUNDUP(MAX(I1180/IF(BS1180&gt;0,BS1180,MAX(0.1,N(Cockpit!$C$6))),BV1180)/BN1180,0)*BN1180</f>
        <v/>
      </c>
      <c r="AF1180" s="56">
        <f>IF(AC1180&gt;0,I1180/AC1180,-1)</f>
        <v/>
      </c>
      <c r="AG1180" s="56">
        <f>IF(AND(OR(BR1180="L1",BR1180="L23"),AC1180&gt;0),SUMIFS($AC$7:$AC$1570,$BR$7:$BR$1570,BR1180,$AF$7:$AF$1570,"&gt;"&amp;AF1180)+SUMIFS($AC$7:$AC$1570,$BR$7:$BR$1570,BR1180,$AF$7:$AF$1570,AF1180,$BL$7:$BL$1570,"&lt;="&amp;BL1180),"")</f>
        <v/>
      </c>
      <c r="AH1180" s="65">
        <f>IF(AG1180="",0,MAX(0,MIN(1,(IF(BR1180="L1",Parameter!$K$5,Parameter!$K$6+Parameter!$K$7)-(AG1180-AC1180))/AC1180)))</f>
        <v/>
      </c>
      <c r="AI1180" s="55">
        <f>IF(LEFT(Cockpit!$I$5,1)="A",G1180,IF(BT1180=1,BU1180,IF(LEFT(Cockpit!$I$5,1)="B",AM1180,MAX(AM1180,G1180))))</f>
        <v/>
      </c>
      <c r="AJ1180" s="55">
        <f>IF(BO1180=1,0,ROUNDUP(AI1180/BN1180,0))</f>
        <v/>
      </c>
      <c r="AK1180" s="64">
        <f>IF(BO1180=1,IF(AI1180&lt;=0,0,BP1180*MAX(1,IF(G1180&gt;0,AI1180/G1180,1))),AJ1180*Q1180)</f>
        <v/>
      </c>
      <c r="AL1180" s="55">
        <f>AI1180*F1180</f>
        <v/>
      </c>
      <c r="AM1180" s="55">
        <f>ROUNDUP(MAX(I1180/IF(BS1180&gt;0,BS1180,MAX(0.1,N(Cockpit!$I$6))),BV1180)/BN1180,0)*BN1180</f>
        <v/>
      </c>
      <c r="AN1180" s="56">
        <f>IF(AK1180&gt;0,I1180/AK1180,-1)</f>
        <v/>
      </c>
      <c r="AO1180" s="56">
        <f>IF(AND(OR(BR1180="L1",BR1180="L23"),AK1180&gt;0),SUMIFS($AK$7:$AK$1570,$BR$7:$BR$1570,BR1180,$AN$7:$AN$1570,"&gt;"&amp;AN1180)+SUMIFS($AK$7:$AK$1570,$BR$7:$BR$1570,BR1180,$AN$7:$AN$1570,AN1180,$BL$7:$BL$1570,"&lt;="&amp;BL1180),"")</f>
        <v/>
      </c>
      <c r="AP1180" s="65">
        <f>IF(AO1180="",0,MAX(0,MIN(1,(IF(BR1180="L1",Parameter!$K$5,Parameter!$K$6+Parameter!$K$7)-(AO1180-AK1180))/AK1180)))</f>
        <v/>
      </c>
      <c r="AQ1180" s="55">
        <f>IF(LEFT(Cockpit!$O$5,1)="A",G1180,IF(BT1180=1,BU1180,IF(LEFT(Cockpit!$O$5,1)="B",AU1180,MAX(AU1180,G1180))))</f>
        <v/>
      </c>
      <c r="AR1180" s="55">
        <f>IF(BO1180=1,0,ROUNDUP(AQ1180/BN1180,0))</f>
        <v/>
      </c>
      <c r="AS1180" s="64">
        <f>IF(BO1180=1,IF(AQ1180&lt;=0,0,BP1180*MAX(1,IF(G1180&gt;0,AQ1180/G1180,1))),AR1180*Q1180)</f>
        <v/>
      </c>
      <c r="AT1180" s="55">
        <f>AQ1180*F1180</f>
        <v/>
      </c>
      <c r="AU1180" s="55">
        <f>ROUNDUP(MAX(I1180/IF(BS1180&gt;0,BS1180,MAX(0.1,N(Cockpit!$O$6))),BV1180)/BN1180,0)*BN1180</f>
        <v/>
      </c>
      <c r="AV1180" s="56">
        <f>IF(AS1180&gt;0,I1180/AS1180,-1)</f>
        <v/>
      </c>
      <c r="AW1180" s="56">
        <f>IF(AND(OR(BR1180="L1",BR1180="L23"),AS1180&gt;0),SUMIFS($AS$7:$AS$1570,$BR$7:$BR$1570,BR1180,$AV$7:$AV$1570,"&gt;"&amp;AV1180)+SUMIFS($AS$7:$AS$1570,$BR$7:$BR$1570,BR1180,$AV$7:$AV$1570,AV1180,$BL$7:$BL$1570,"&lt;="&amp;BL1180),"")</f>
        <v/>
      </c>
      <c r="AX1180" s="65">
        <f>IF(AW1180="",0,MAX(0,MIN(1,(IF(BR1180="L1",Parameter!$K$5,Parameter!$K$6+Parameter!$K$7)-(AW1180-AS1180))/AS1180)))</f>
        <v/>
      </c>
      <c r="AY1180" s="53">
        <f>IF(AC1180&lt;=0,"",IF(BR1180="Aussen","Aussenlager",IF(BR1180="-","Nicht im Lift",IF(AH1180&gt;=1,"Lift",IF(AH1180&lt;=0,"Aussenlager","teilweise")))))</f>
        <v/>
      </c>
      <c r="AZ1180" s="53">
        <f>IF(AK1180&lt;=0,"",IF(BR1180="Aussen","Aussenlager",IF(BR1180="-","Nicht im Lift",IF(AP1180&gt;=1,"Lift",IF(AP1180&lt;=0,"Aussenlager","teilweise")))))</f>
        <v/>
      </c>
      <c r="BA1180" s="53">
        <f>IF(AS1180&lt;=0,"",IF(BR1180="Aussen","Aussenlager",IF(BR1180="-","Nicht im Lift",IF(AX1180&gt;=1,"Lift",IF(AX1180&lt;=0,"Aussenlager","teilweise")))))</f>
        <v/>
      </c>
      <c r="BB1180" s="53">
        <f>IF(A1180="","",IF(BK1180=1,"Neu; ","")&amp;IF(AND(BK1180=0,BF1180&lt;0),"negativer Bestand (Export "&amp;BF1180&amp;"); ","")&amp;IF(I1180&lt;=0,"Kein Verbrauch; ","")&amp;IF(BO1180=1,"Lose – Fläche geschätzt; ","")&amp;IF(G1180&gt;AM1180,"Überbestand "&amp;ROUND(G1180-AM1180,0)&amp;" Stk / CHF "&amp;ROUND((G1180-AM1180)*F1180,0)&amp;"; ","")&amp;IF(AND(BT1180=1,BU1180&lt;BV1180),"MAX &lt; MB+LG; ","")&amp;IF(AND(BZ1180&gt;0,BY1180*10&gt;BZ1180),"zu hoch für Tablar; ","")&amp;IF(AND(BK1180=0,OR(BT1180=1,V1180&lt;&gt;"",S1180&lt;&gt;"",T1180&lt;&gt;"",W1180&lt;&gt;"")),"manuell übersteuert; ","")&amp;IF(AND(BO1180=0,Q1180=0),"Gebinde unbekannt; ","")&amp;IF(AND(BO1180=0,N(T1180)&lt;=0,N(P1180)&lt;=0),"Menge pro Gebinde fehlt (Ist = 1 Gebinde); ","")&amp;BJ1180)</f>
        <v/>
      </c>
      <c r="BC1180" s="53" t="n"/>
      <c r="BD1180" s="53" t="n"/>
      <c r="BE1180" s="61" t="n"/>
      <c r="BF1180" s="55" t="n">
        <v>-4</v>
      </c>
      <c r="BG1180" s="55" t="n">
        <v>7</v>
      </c>
      <c r="BH1180" s="54" t="n">
        <v>-374.4</v>
      </c>
      <c r="BI1180" s="55" t="n">
        <v>0</v>
      </c>
      <c r="BJ1180" s="53" t="inlineStr"/>
      <c r="BK1180" s="58" t="n">
        <v>0</v>
      </c>
      <c r="BL1180" s="58" t="n">
        <v>1180</v>
      </c>
      <c r="BM1180" s="53">
        <f>IF(S1180&lt;&gt;"",UPPER(TRIM(S1180)),IF(O1180="","LOSE",O1180))</f>
        <v/>
      </c>
      <c r="BN1180" s="55">
        <f>IF(BM1180="LOSE",1,IF(N(T1180)&gt;0,T1180,IF(N(P1180)&gt;0,P1180,MAX(1,G1180))))</f>
        <v/>
      </c>
      <c r="BO1180" s="58">
        <f>IF(BM1180="LOSE",1,0)</f>
        <v/>
      </c>
      <c r="BP1180" s="64">
        <f>IF(BO1180=0,0,IF(N(R1180)&gt;0,R1180,IFERROR(VLOOKUP(D1180,Parameter!$A$35:$C$64,3,0)+0,0)))</f>
        <v/>
      </c>
      <c r="BQ1180" s="53">
        <f>IF(V1180&lt;&gt;"",V1180,U1180)</f>
        <v/>
      </c>
      <c r="BR1180" s="53">
        <f>IF(BQ1180=1,"L1",IF(OR(BQ1180=2,BQ1180=3),"L23",IF(BQ1180="Aussen","Aussen","-")))</f>
        <v/>
      </c>
      <c r="BS1180" s="66">
        <f>IF(N(W1180)&gt;0,W1180,0)</f>
        <v/>
      </c>
      <c r="BT1180" s="58">
        <f>IF(ISNUMBER(Z1180),1,0)</f>
        <v/>
      </c>
      <c r="BU1180" s="55">
        <f>N(Z1180)</f>
        <v/>
      </c>
      <c r="BV1180" s="55">
        <f>N(L1180)+N(M1180)</f>
        <v/>
      </c>
      <c r="BW1180" s="55">
        <f>ROUNDUP(G1180/BN1180,0)</f>
        <v/>
      </c>
      <c r="BX1180" s="55">
        <f>ROUNDUP(BU1180/BN1180,0)</f>
        <v/>
      </c>
      <c r="BY1180" s="58">
        <f>IF(BO1180=1,0,IFERROR(VLOOKUP(BM1180,'Gebinde-Kategorie'!$A$5:$G$45,5,0)+0,0))</f>
        <v/>
      </c>
      <c r="BZ1180" s="58">
        <f>IFERROR(IF(OR(BQ1180=1,BQ1180=2,BQ1180=3),N(INDEX(Parameter!$I$5:$I$7,BQ1180)),0),0)</f>
        <v/>
      </c>
    </row>
    <row r="1181">
      <c r="A1181" s="53" t="inlineStr">
        <is>
          <t>105351</t>
        </is>
      </c>
      <c r="B1181" s="53" t="inlineStr">
        <is>
          <t>O-Ring</t>
        </is>
      </c>
      <c r="C1181" s="53" t="inlineStr">
        <is>
          <t>F</t>
        </is>
      </c>
      <c r="D1181" s="53" t="inlineStr">
        <is>
          <t>KTL</t>
        </is>
      </c>
      <c r="E1181" s="53" t="inlineStr">
        <is>
          <t>C</t>
        </is>
      </c>
      <c r="F1181" s="54" t="n">
        <v>7.34</v>
      </c>
      <c r="G1181" s="55">
        <f>MAX(0,IF(Parameter!$B$20="Jahresanfang 2025 + Export",BG1181+BF1181,BF1181))</f>
        <v/>
      </c>
      <c r="H1181" s="55">
        <f>G1181*F1181</f>
        <v/>
      </c>
      <c r="I1181" s="55">
        <f>BI1181*Parameter!$B$18</f>
        <v/>
      </c>
      <c r="J1181" s="56" t="n">
        <v>57.5</v>
      </c>
      <c r="K1181" s="57" t="n">
        <v>0.4173913043478261</v>
      </c>
      <c r="L1181" s="55" t="n">
        <v>0</v>
      </c>
      <c r="M1181" s="55" t="n">
        <v>25</v>
      </c>
      <c r="N1181" s="58" t="n">
        <v>14</v>
      </c>
      <c r="O1181" s="53" t="inlineStr">
        <is>
          <t>S51</t>
        </is>
      </c>
      <c r="P1181" s="55" t="n">
        <v>35</v>
      </c>
      <c r="Q1181" s="59">
        <f>IF(BO1181=1,0,IFERROR(VLOOKUP(BM1181,'Gebinde-Kategorie'!$A$5:$G$45,6,0)+0,0))</f>
        <v/>
      </c>
      <c r="R1181" s="60" t="n"/>
      <c r="S1181" s="61" t="n"/>
      <c r="T1181" s="61" t="n"/>
      <c r="U1181" s="53">
        <f>IF(A1181="","",IF(IFERROR(VLOOKUP(D1181,Parameter!$A$35:$C$64,2,0),"Nein")="2+3",IF(ISNUMBER(SEARCH("grosser Artikel",BJ1181)),2,IFERROR(VLOOKUP(BM1181,Parameter!$F$35:$G$64,2,0),2)),IF(OR(IFERROR(VLOOKUP(D1181,Parameter!$A$35:$C$64,2,0),"Nein")="Nein",IFERROR(VLOOKUP(D1181,Parameter!$A$35:$C$64,2,0),"Nein")=""),"-",VLOOKUP(D1181,Parameter!$A$35:$C$64,2,0))))</f>
        <v/>
      </c>
      <c r="V1181" s="61" t="n"/>
      <c r="W1181" s="62" t="n"/>
      <c r="X1181" s="55">
        <f>AM1181</f>
        <v/>
      </c>
      <c r="Y1181" s="55">
        <f>MAX(AM1181,G1181)</f>
        <v/>
      </c>
      <c r="Z1181" s="63" t="n"/>
      <c r="AA1181" s="55">
        <f>IF(LEFT(Cockpit!$C$5,1)="A",G1181,IF(BT1181=1,BU1181,IF(LEFT(Cockpit!$C$5,1)="B",AE1181,MAX(AE1181,G1181))))</f>
        <v/>
      </c>
      <c r="AB1181" s="55">
        <f>IF(BO1181=1,0,ROUNDUP(AA1181/BN1181,0))</f>
        <v/>
      </c>
      <c r="AC1181" s="64">
        <f>IF(BO1181=1,IF(AA1181&lt;=0,0,BP1181*MAX(1,IF(G1181&gt;0,AA1181/G1181,1))),AB1181*Q1181)</f>
        <v/>
      </c>
      <c r="AD1181" s="55">
        <f>AA1181*F1181</f>
        <v/>
      </c>
      <c r="AE1181" s="55">
        <f>ROUNDUP(MAX(I1181/IF(BS1181&gt;0,BS1181,MAX(0.1,N(Cockpit!$C$6))),BV1181)/BN1181,0)*BN1181</f>
        <v/>
      </c>
      <c r="AF1181" s="56">
        <f>IF(AC1181&gt;0,I1181/AC1181,-1)</f>
        <v/>
      </c>
      <c r="AG1181" s="56">
        <f>IF(AND(OR(BR1181="L1",BR1181="L23"),AC1181&gt;0),SUMIFS($AC$7:$AC$1570,$BR$7:$BR$1570,BR1181,$AF$7:$AF$1570,"&gt;"&amp;AF1181)+SUMIFS($AC$7:$AC$1570,$BR$7:$BR$1570,BR1181,$AF$7:$AF$1570,AF1181,$BL$7:$BL$1570,"&lt;="&amp;BL1181),"")</f>
        <v/>
      </c>
      <c r="AH1181" s="65">
        <f>IF(AG1181="",0,MAX(0,MIN(1,(IF(BR1181="L1",Parameter!$K$5,Parameter!$K$6+Parameter!$K$7)-(AG1181-AC1181))/AC1181)))</f>
        <v/>
      </c>
      <c r="AI1181" s="55">
        <f>IF(LEFT(Cockpit!$I$5,1)="A",G1181,IF(BT1181=1,BU1181,IF(LEFT(Cockpit!$I$5,1)="B",AM1181,MAX(AM1181,G1181))))</f>
        <v/>
      </c>
      <c r="AJ1181" s="55">
        <f>IF(BO1181=1,0,ROUNDUP(AI1181/BN1181,0))</f>
        <v/>
      </c>
      <c r="AK1181" s="64">
        <f>IF(BO1181=1,IF(AI1181&lt;=0,0,BP1181*MAX(1,IF(G1181&gt;0,AI1181/G1181,1))),AJ1181*Q1181)</f>
        <v/>
      </c>
      <c r="AL1181" s="55">
        <f>AI1181*F1181</f>
        <v/>
      </c>
      <c r="AM1181" s="55">
        <f>ROUNDUP(MAX(I1181/IF(BS1181&gt;0,BS1181,MAX(0.1,N(Cockpit!$I$6))),BV1181)/BN1181,0)*BN1181</f>
        <v/>
      </c>
      <c r="AN1181" s="56">
        <f>IF(AK1181&gt;0,I1181/AK1181,-1)</f>
        <v/>
      </c>
      <c r="AO1181" s="56">
        <f>IF(AND(OR(BR1181="L1",BR1181="L23"),AK1181&gt;0),SUMIFS($AK$7:$AK$1570,$BR$7:$BR$1570,BR1181,$AN$7:$AN$1570,"&gt;"&amp;AN1181)+SUMIFS($AK$7:$AK$1570,$BR$7:$BR$1570,BR1181,$AN$7:$AN$1570,AN1181,$BL$7:$BL$1570,"&lt;="&amp;BL1181),"")</f>
        <v/>
      </c>
      <c r="AP1181" s="65">
        <f>IF(AO1181="",0,MAX(0,MIN(1,(IF(BR1181="L1",Parameter!$K$5,Parameter!$K$6+Parameter!$K$7)-(AO1181-AK1181))/AK1181)))</f>
        <v/>
      </c>
      <c r="AQ1181" s="55">
        <f>IF(LEFT(Cockpit!$O$5,1)="A",G1181,IF(BT1181=1,BU1181,IF(LEFT(Cockpit!$O$5,1)="B",AU1181,MAX(AU1181,G1181))))</f>
        <v/>
      </c>
      <c r="AR1181" s="55">
        <f>IF(BO1181=1,0,ROUNDUP(AQ1181/BN1181,0))</f>
        <v/>
      </c>
      <c r="AS1181" s="64">
        <f>IF(BO1181=1,IF(AQ1181&lt;=0,0,BP1181*MAX(1,IF(G1181&gt;0,AQ1181/G1181,1))),AR1181*Q1181)</f>
        <v/>
      </c>
      <c r="AT1181" s="55">
        <f>AQ1181*F1181</f>
        <v/>
      </c>
      <c r="AU1181" s="55">
        <f>ROUNDUP(MAX(I1181/IF(BS1181&gt;0,BS1181,MAX(0.1,N(Cockpit!$O$6))),BV1181)/BN1181,0)*BN1181</f>
        <v/>
      </c>
      <c r="AV1181" s="56">
        <f>IF(AS1181&gt;0,I1181/AS1181,-1)</f>
        <v/>
      </c>
      <c r="AW1181" s="56">
        <f>IF(AND(OR(BR1181="L1",BR1181="L23"),AS1181&gt;0),SUMIFS($AS$7:$AS$1570,$BR$7:$BR$1570,BR1181,$AV$7:$AV$1570,"&gt;"&amp;AV1181)+SUMIFS($AS$7:$AS$1570,$BR$7:$BR$1570,BR1181,$AV$7:$AV$1570,AV1181,$BL$7:$BL$1570,"&lt;="&amp;BL1181),"")</f>
        <v/>
      </c>
      <c r="AX1181" s="65">
        <f>IF(AW1181="",0,MAX(0,MIN(1,(IF(BR1181="L1",Parameter!$K$5,Parameter!$K$6+Parameter!$K$7)-(AW1181-AS1181))/AS1181)))</f>
        <v/>
      </c>
      <c r="AY1181" s="53">
        <f>IF(AC1181&lt;=0,"",IF(BR1181="Aussen","Aussenlager",IF(BR1181="-","Nicht im Lift",IF(AH1181&gt;=1,"Lift",IF(AH1181&lt;=0,"Aussenlager","teilweise")))))</f>
        <v/>
      </c>
      <c r="AZ1181" s="53">
        <f>IF(AK1181&lt;=0,"",IF(BR1181="Aussen","Aussenlager",IF(BR1181="-","Nicht im Lift",IF(AP1181&gt;=1,"Lift",IF(AP1181&lt;=0,"Aussenlager","teilweise")))))</f>
        <v/>
      </c>
      <c r="BA1181" s="53">
        <f>IF(AS1181&lt;=0,"",IF(BR1181="Aussen","Aussenlager",IF(BR1181="-","Nicht im Lift",IF(AX1181&gt;=1,"Lift",IF(AX1181&lt;=0,"Aussenlager","teilweise")))))</f>
        <v/>
      </c>
      <c r="BB1181" s="53">
        <f>IF(A1181="","",IF(BK1181=1,"Neu; ","")&amp;IF(AND(BK1181=0,BF1181&lt;0),"negativer Bestand (Export "&amp;BF1181&amp;"); ","")&amp;IF(I1181&lt;=0,"Kein Verbrauch; ","")&amp;IF(BO1181=1,"Lose – Fläche geschätzt; ","")&amp;IF(G1181&gt;AM1181,"Überbestand "&amp;ROUND(G1181-AM1181,0)&amp;" Stk / CHF "&amp;ROUND((G1181-AM1181)*F1181,0)&amp;"; ","")&amp;IF(AND(BT1181=1,BU1181&lt;BV1181),"MAX &lt; MB+LG; ","")&amp;IF(AND(BZ1181&gt;0,BY1181*10&gt;BZ1181),"zu hoch für Tablar; ","")&amp;IF(AND(BK1181=0,OR(BT1181=1,V1181&lt;&gt;"",S1181&lt;&gt;"",T1181&lt;&gt;"",W1181&lt;&gt;"")),"manuell übersteuert; ","")&amp;IF(AND(BO1181=0,Q1181=0),"Gebinde unbekannt; ","")&amp;IF(AND(BO1181=0,N(T1181)&lt;=0,N(P1181)&lt;=0),"Menge pro Gebinde fehlt (Ist = 1 Gebinde); ","")&amp;BJ1181)</f>
        <v/>
      </c>
      <c r="BC1181" s="53" t="n"/>
      <c r="BD1181" s="53" t="n"/>
      <c r="BE1181" s="61" t="n"/>
      <c r="BF1181" s="55" t="n">
        <v>-52</v>
      </c>
      <c r="BG1181" s="55" t="n">
        <v>75</v>
      </c>
      <c r="BH1181" s="54" t="n">
        <v>-381.68</v>
      </c>
      <c r="BI1181" s="55" t="n">
        <v>24</v>
      </c>
      <c r="BJ1181" s="53" t="inlineStr"/>
      <c r="BK1181" s="58" t="n">
        <v>0</v>
      </c>
      <c r="BL1181" s="58" t="n">
        <v>1181</v>
      </c>
      <c r="BM1181" s="53">
        <f>IF(S1181&lt;&gt;"",UPPER(TRIM(S1181)),IF(O1181="","LOSE",O1181))</f>
        <v/>
      </c>
      <c r="BN1181" s="55">
        <f>IF(BM1181="LOSE",1,IF(N(T1181)&gt;0,T1181,IF(N(P1181)&gt;0,P1181,MAX(1,G1181))))</f>
        <v/>
      </c>
      <c r="BO1181" s="58">
        <f>IF(BM1181="LOSE",1,0)</f>
        <v/>
      </c>
      <c r="BP1181" s="64">
        <f>IF(BO1181=0,0,IF(N(R1181)&gt;0,R1181,IFERROR(VLOOKUP(D1181,Parameter!$A$35:$C$64,3,0)+0,0)))</f>
        <v/>
      </c>
      <c r="BQ1181" s="53">
        <f>IF(V1181&lt;&gt;"",V1181,U1181)</f>
        <v/>
      </c>
      <c r="BR1181" s="53">
        <f>IF(BQ1181=1,"L1",IF(OR(BQ1181=2,BQ1181=3),"L23",IF(BQ1181="Aussen","Aussen","-")))</f>
        <v/>
      </c>
      <c r="BS1181" s="66">
        <f>IF(N(W1181)&gt;0,W1181,0)</f>
        <v/>
      </c>
      <c r="BT1181" s="58">
        <f>IF(ISNUMBER(Z1181),1,0)</f>
        <v/>
      </c>
      <c r="BU1181" s="55">
        <f>N(Z1181)</f>
        <v/>
      </c>
      <c r="BV1181" s="55">
        <f>N(L1181)+N(M1181)</f>
        <v/>
      </c>
      <c r="BW1181" s="55">
        <f>ROUNDUP(G1181/BN1181,0)</f>
        <v/>
      </c>
      <c r="BX1181" s="55">
        <f>ROUNDUP(BU1181/BN1181,0)</f>
        <v/>
      </c>
      <c r="BY1181" s="58">
        <f>IF(BO1181=1,0,IFERROR(VLOOKUP(BM1181,'Gebinde-Kategorie'!$A$5:$G$45,5,0)+0,0))</f>
        <v/>
      </c>
      <c r="BZ1181" s="58">
        <f>IFERROR(IF(OR(BQ1181=1,BQ1181=2,BQ1181=3),N(INDEX(Parameter!$I$5:$I$7,BQ1181)),0),0)</f>
        <v/>
      </c>
    </row>
    <row r="1182">
      <c r="A1182" s="53" t="inlineStr">
        <is>
          <t>106425</t>
        </is>
      </c>
      <c r="B1182" s="53" t="inlineStr">
        <is>
          <t>Kolbenring SPGr10</t>
        </is>
      </c>
      <c r="C1182" s="53" t="inlineStr">
        <is>
          <t>F</t>
        </is>
      </c>
      <c r="D1182" s="53" t="inlineStr">
        <is>
          <t>KTL</t>
        </is>
      </c>
      <c r="E1182" s="53" t="inlineStr">
        <is>
          <t>C</t>
        </is>
      </c>
      <c r="F1182" s="54" t="n">
        <v>63.61</v>
      </c>
      <c r="G1182" s="55">
        <f>MAX(0,IF(Parameter!$B$20="Jahresanfang 2025 + Export",BG1182+BF1182,BF1182))</f>
        <v/>
      </c>
      <c r="H1182" s="55">
        <f>G1182*F1182</f>
        <v/>
      </c>
      <c r="I1182" s="55">
        <f>BI1182*Parameter!$B$18</f>
        <v/>
      </c>
      <c r="J1182" s="56" t="n">
        <v>78</v>
      </c>
      <c r="K1182" s="57" t="n">
        <v>3.179487179487179</v>
      </c>
      <c r="L1182" s="55" t="n">
        <v>14</v>
      </c>
      <c r="M1182" s="55" t="n">
        <v>30</v>
      </c>
      <c r="N1182" s="58" t="n">
        <v>21</v>
      </c>
      <c r="O1182" s="53" t="inlineStr">
        <is>
          <t>S62</t>
        </is>
      </c>
      <c r="P1182" s="55" t="n">
        <v>27</v>
      </c>
      <c r="Q1182" s="59">
        <f>IF(BO1182=1,0,IFERROR(VLOOKUP(BM1182,'Gebinde-Kategorie'!$A$5:$G$45,6,0)+0,0))</f>
        <v/>
      </c>
      <c r="R1182" s="60" t="n"/>
      <c r="S1182" s="61" t="n"/>
      <c r="T1182" s="61" t="n"/>
      <c r="U1182" s="53">
        <f>IF(A1182="","",IF(IFERROR(VLOOKUP(D1182,Parameter!$A$35:$C$64,2,0),"Nein")="2+3",IF(ISNUMBER(SEARCH("grosser Artikel",BJ1182)),2,IFERROR(VLOOKUP(BM1182,Parameter!$F$35:$G$64,2,0),2)),IF(OR(IFERROR(VLOOKUP(D1182,Parameter!$A$35:$C$64,2,0),"Nein")="Nein",IFERROR(VLOOKUP(D1182,Parameter!$A$35:$C$64,2,0),"Nein")=""),"-",VLOOKUP(D1182,Parameter!$A$35:$C$64,2,0))))</f>
        <v/>
      </c>
      <c r="V1182" s="61" t="n"/>
      <c r="W1182" s="62" t="n"/>
      <c r="X1182" s="55">
        <f>AM1182</f>
        <v/>
      </c>
      <c r="Y1182" s="55">
        <f>MAX(AM1182,G1182)</f>
        <v/>
      </c>
      <c r="Z1182" s="63" t="n"/>
      <c r="AA1182" s="55">
        <f>IF(LEFT(Cockpit!$C$5,1)="A",G1182,IF(BT1182=1,BU1182,IF(LEFT(Cockpit!$C$5,1)="B",AE1182,MAX(AE1182,G1182))))</f>
        <v/>
      </c>
      <c r="AB1182" s="55">
        <f>IF(BO1182=1,0,ROUNDUP(AA1182/BN1182,0))</f>
        <v/>
      </c>
      <c r="AC1182" s="64">
        <f>IF(BO1182=1,IF(AA1182&lt;=0,0,BP1182*MAX(1,IF(G1182&gt;0,AA1182/G1182,1))),AB1182*Q1182)</f>
        <v/>
      </c>
      <c r="AD1182" s="55">
        <f>AA1182*F1182</f>
        <v/>
      </c>
      <c r="AE1182" s="55">
        <f>ROUNDUP(MAX(I1182/IF(BS1182&gt;0,BS1182,MAX(0.1,N(Cockpit!$C$6))),BV1182)/BN1182,0)*BN1182</f>
        <v/>
      </c>
      <c r="AF1182" s="56">
        <f>IF(AC1182&gt;0,I1182/AC1182,-1)</f>
        <v/>
      </c>
      <c r="AG1182" s="56">
        <f>IF(AND(OR(BR1182="L1",BR1182="L23"),AC1182&gt;0),SUMIFS($AC$7:$AC$1570,$BR$7:$BR$1570,BR1182,$AF$7:$AF$1570,"&gt;"&amp;AF1182)+SUMIFS($AC$7:$AC$1570,$BR$7:$BR$1570,BR1182,$AF$7:$AF$1570,AF1182,$BL$7:$BL$1570,"&lt;="&amp;BL1182),"")</f>
        <v/>
      </c>
      <c r="AH1182" s="65">
        <f>IF(AG1182="",0,MAX(0,MIN(1,(IF(BR1182="L1",Parameter!$K$5,Parameter!$K$6+Parameter!$K$7)-(AG1182-AC1182))/AC1182)))</f>
        <v/>
      </c>
      <c r="AI1182" s="55">
        <f>IF(LEFT(Cockpit!$I$5,1)="A",G1182,IF(BT1182=1,BU1182,IF(LEFT(Cockpit!$I$5,1)="B",AM1182,MAX(AM1182,G1182))))</f>
        <v/>
      </c>
      <c r="AJ1182" s="55">
        <f>IF(BO1182=1,0,ROUNDUP(AI1182/BN1182,0))</f>
        <v/>
      </c>
      <c r="AK1182" s="64">
        <f>IF(BO1182=1,IF(AI1182&lt;=0,0,BP1182*MAX(1,IF(G1182&gt;0,AI1182/G1182,1))),AJ1182*Q1182)</f>
        <v/>
      </c>
      <c r="AL1182" s="55">
        <f>AI1182*F1182</f>
        <v/>
      </c>
      <c r="AM1182" s="55">
        <f>ROUNDUP(MAX(I1182/IF(BS1182&gt;0,BS1182,MAX(0.1,N(Cockpit!$I$6))),BV1182)/BN1182,0)*BN1182</f>
        <v/>
      </c>
      <c r="AN1182" s="56">
        <f>IF(AK1182&gt;0,I1182/AK1182,-1)</f>
        <v/>
      </c>
      <c r="AO1182" s="56">
        <f>IF(AND(OR(BR1182="L1",BR1182="L23"),AK1182&gt;0),SUMIFS($AK$7:$AK$1570,$BR$7:$BR$1570,BR1182,$AN$7:$AN$1570,"&gt;"&amp;AN1182)+SUMIFS($AK$7:$AK$1570,$BR$7:$BR$1570,BR1182,$AN$7:$AN$1570,AN1182,$BL$7:$BL$1570,"&lt;="&amp;BL1182),"")</f>
        <v/>
      </c>
      <c r="AP1182" s="65">
        <f>IF(AO1182="",0,MAX(0,MIN(1,(IF(BR1182="L1",Parameter!$K$5,Parameter!$K$6+Parameter!$K$7)-(AO1182-AK1182))/AK1182)))</f>
        <v/>
      </c>
      <c r="AQ1182" s="55">
        <f>IF(LEFT(Cockpit!$O$5,1)="A",G1182,IF(BT1182=1,BU1182,IF(LEFT(Cockpit!$O$5,1)="B",AU1182,MAX(AU1182,G1182))))</f>
        <v/>
      </c>
      <c r="AR1182" s="55">
        <f>IF(BO1182=1,0,ROUNDUP(AQ1182/BN1182,0))</f>
        <v/>
      </c>
      <c r="AS1182" s="64">
        <f>IF(BO1182=1,IF(AQ1182&lt;=0,0,BP1182*MAX(1,IF(G1182&gt;0,AQ1182/G1182,1))),AR1182*Q1182)</f>
        <v/>
      </c>
      <c r="AT1182" s="55">
        <f>AQ1182*F1182</f>
        <v/>
      </c>
      <c r="AU1182" s="55">
        <f>ROUNDUP(MAX(I1182/IF(BS1182&gt;0,BS1182,MAX(0.1,N(Cockpit!$O$6))),BV1182)/BN1182,0)*BN1182</f>
        <v/>
      </c>
      <c r="AV1182" s="56">
        <f>IF(AS1182&gt;0,I1182/AS1182,-1)</f>
        <v/>
      </c>
      <c r="AW1182" s="56">
        <f>IF(AND(OR(BR1182="L1",BR1182="L23"),AS1182&gt;0),SUMIFS($AS$7:$AS$1570,$BR$7:$BR$1570,BR1182,$AV$7:$AV$1570,"&gt;"&amp;AV1182)+SUMIFS($AS$7:$AS$1570,$BR$7:$BR$1570,BR1182,$AV$7:$AV$1570,AV1182,$BL$7:$BL$1570,"&lt;="&amp;BL1182),"")</f>
        <v/>
      </c>
      <c r="AX1182" s="65">
        <f>IF(AW1182="",0,MAX(0,MIN(1,(IF(BR1182="L1",Parameter!$K$5,Parameter!$K$6+Parameter!$K$7)-(AW1182-AS1182))/AS1182)))</f>
        <v/>
      </c>
      <c r="AY1182" s="53">
        <f>IF(AC1182&lt;=0,"",IF(BR1182="Aussen","Aussenlager",IF(BR1182="-","Nicht im Lift",IF(AH1182&gt;=1,"Lift",IF(AH1182&lt;=0,"Aussenlager","teilweise")))))</f>
        <v/>
      </c>
      <c r="AZ1182" s="53">
        <f>IF(AK1182&lt;=0,"",IF(BR1182="Aussen","Aussenlager",IF(BR1182="-","Nicht im Lift",IF(AP1182&gt;=1,"Lift",IF(AP1182&lt;=0,"Aussenlager","teilweise")))))</f>
        <v/>
      </c>
      <c r="BA1182" s="53">
        <f>IF(AS1182&lt;=0,"",IF(BR1182="Aussen","Aussenlager",IF(BR1182="-","Nicht im Lift",IF(AX1182&gt;=1,"Lift",IF(AX1182&lt;=0,"Aussenlager","teilweise")))))</f>
        <v/>
      </c>
      <c r="BB1182" s="53">
        <f>IF(A1182="","",IF(BK1182=1,"Neu; ","")&amp;IF(AND(BK1182=0,BF1182&lt;0),"negativer Bestand (Export "&amp;BF1182&amp;"); ","")&amp;IF(I1182&lt;=0,"Kein Verbrauch; ","")&amp;IF(BO1182=1,"Lose – Fläche geschätzt; ","")&amp;IF(G1182&gt;AM1182,"Überbestand "&amp;ROUND(G1182-AM1182,0)&amp;" Stk / CHF "&amp;ROUND((G1182-AM1182)*F1182,0)&amp;"; ","")&amp;IF(AND(BT1182=1,BU1182&lt;BV1182),"MAX &lt; MB+LG; ","")&amp;IF(AND(BZ1182&gt;0,BY1182*10&gt;BZ1182),"zu hoch für Tablar; ","")&amp;IF(AND(BK1182=0,OR(BT1182=1,V1182&lt;&gt;"",S1182&lt;&gt;"",T1182&lt;&gt;"",W1182&lt;&gt;"")),"manuell übersteuert; ","")&amp;IF(AND(BO1182=0,Q1182=0),"Gebinde unbekannt; ","")&amp;IF(AND(BO1182=0,N(T1182)&lt;=0,N(P1182)&lt;=0),"Menge pro Gebinde fehlt (Ist = 1 Gebinde); ","")&amp;BJ1182)</f>
        <v/>
      </c>
      <c r="BC1182" s="53" t="n"/>
      <c r="BD1182" s="53" t="n"/>
      <c r="BE1182" s="61" t="n"/>
      <c r="BF1182" s="55" t="n">
        <v>15</v>
      </c>
      <c r="BG1182" s="55" t="n">
        <v>51</v>
      </c>
      <c r="BH1182" s="54" t="n">
        <v>-384.0899999999888</v>
      </c>
      <c r="BI1182" s="55" t="n">
        <v>248</v>
      </c>
      <c r="BJ1182" s="53" t="inlineStr"/>
      <c r="BK1182" s="58" t="n">
        <v>0</v>
      </c>
      <c r="BL1182" s="58" t="n">
        <v>1182</v>
      </c>
      <c r="BM1182" s="53">
        <f>IF(S1182&lt;&gt;"",UPPER(TRIM(S1182)),IF(O1182="","LOSE",O1182))</f>
        <v/>
      </c>
      <c r="BN1182" s="55">
        <f>IF(BM1182="LOSE",1,IF(N(T1182)&gt;0,T1182,IF(N(P1182)&gt;0,P1182,MAX(1,G1182))))</f>
        <v/>
      </c>
      <c r="BO1182" s="58">
        <f>IF(BM1182="LOSE",1,0)</f>
        <v/>
      </c>
      <c r="BP1182" s="64">
        <f>IF(BO1182=0,0,IF(N(R1182)&gt;0,R1182,IFERROR(VLOOKUP(D1182,Parameter!$A$35:$C$64,3,0)+0,0)))</f>
        <v/>
      </c>
      <c r="BQ1182" s="53">
        <f>IF(V1182&lt;&gt;"",V1182,U1182)</f>
        <v/>
      </c>
      <c r="BR1182" s="53">
        <f>IF(BQ1182=1,"L1",IF(OR(BQ1182=2,BQ1182=3),"L23",IF(BQ1182="Aussen","Aussen","-")))</f>
        <v/>
      </c>
      <c r="BS1182" s="66">
        <f>IF(N(W1182)&gt;0,W1182,0)</f>
        <v/>
      </c>
      <c r="BT1182" s="58">
        <f>IF(ISNUMBER(Z1182),1,0)</f>
        <v/>
      </c>
      <c r="BU1182" s="55">
        <f>N(Z1182)</f>
        <v/>
      </c>
      <c r="BV1182" s="55">
        <f>N(L1182)+N(M1182)</f>
        <v/>
      </c>
      <c r="BW1182" s="55">
        <f>ROUNDUP(G1182/BN1182,0)</f>
        <v/>
      </c>
      <c r="BX1182" s="55">
        <f>ROUNDUP(BU1182/BN1182,0)</f>
        <v/>
      </c>
      <c r="BY1182" s="58">
        <f>IF(BO1182=1,0,IFERROR(VLOOKUP(BM1182,'Gebinde-Kategorie'!$A$5:$G$45,5,0)+0,0))</f>
        <v/>
      </c>
      <c r="BZ1182" s="58">
        <f>IFERROR(IF(OR(BQ1182=1,BQ1182=2,BQ1182=3),N(INDEX(Parameter!$I$5:$I$7,BQ1182)),0),0)</f>
        <v/>
      </c>
    </row>
    <row r="1183">
      <c r="A1183" s="53" t="inlineStr">
        <is>
          <t>005693</t>
        </is>
      </c>
      <c r="B1183" s="53" t="inlineStr">
        <is>
          <t>Sicherheitsrelais</t>
        </is>
      </c>
      <c r="C1183" s="53" t="inlineStr">
        <is>
          <t>F</t>
        </is>
      </c>
      <c r="D1183" s="53" t="inlineStr">
        <is>
          <t>KTL</t>
        </is>
      </c>
      <c r="E1183" s="53" t="inlineStr">
        <is>
          <t>C</t>
        </is>
      </c>
      <c r="F1183" s="54" t="n">
        <v>181.86</v>
      </c>
      <c r="G1183" s="55">
        <f>MAX(0,IF(Parameter!$B$20="Jahresanfang 2025 + Export",BG1183+BF1183,BF1183))</f>
        <v/>
      </c>
      <c r="H1183" s="55">
        <f>G1183*F1183</f>
        <v/>
      </c>
      <c r="I1183" s="55">
        <f>BI1183*Parameter!$B$18</f>
        <v/>
      </c>
      <c r="J1183" s="56" t="n">
        <v>8.5</v>
      </c>
      <c r="K1183" s="57" t="n">
        <v>2.352941176470588</v>
      </c>
      <c r="L1183" s="55" t="n">
        <v>1</v>
      </c>
      <c r="M1183" s="55" t="n">
        <v>15</v>
      </c>
      <c r="N1183" s="58" t="n">
        <v>28</v>
      </c>
      <c r="O1183" s="53" t="inlineStr">
        <is>
          <t>S52</t>
        </is>
      </c>
      <c r="P1183" s="55" t="n">
        <v>30</v>
      </c>
      <c r="Q1183" s="59">
        <f>IF(BO1183=1,0,IFERROR(VLOOKUP(BM1183,'Gebinde-Kategorie'!$A$5:$G$45,6,0)+0,0))</f>
        <v/>
      </c>
      <c r="R1183" s="60" t="n"/>
      <c r="S1183" s="61" t="n"/>
      <c r="T1183" s="61" t="n"/>
      <c r="U1183" s="53">
        <f>IF(A1183="","",IF(IFERROR(VLOOKUP(D1183,Parameter!$A$35:$C$64,2,0),"Nein")="2+3",IF(ISNUMBER(SEARCH("grosser Artikel",BJ1183)),2,IFERROR(VLOOKUP(BM1183,Parameter!$F$35:$G$64,2,0),2)),IF(OR(IFERROR(VLOOKUP(D1183,Parameter!$A$35:$C$64,2,0),"Nein")="Nein",IFERROR(VLOOKUP(D1183,Parameter!$A$35:$C$64,2,0),"Nein")=""),"-",VLOOKUP(D1183,Parameter!$A$35:$C$64,2,0))))</f>
        <v/>
      </c>
      <c r="V1183" s="61" t="n"/>
      <c r="W1183" s="62" t="n"/>
      <c r="X1183" s="55">
        <f>AM1183</f>
        <v/>
      </c>
      <c r="Y1183" s="55">
        <f>MAX(AM1183,G1183)</f>
        <v/>
      </c>
      <c r="Z1183" s="63" t="n"/>
      <c r="AA1183" s="55">
        <f>IF(LEFT(Cockpit!$C$5,1)="A",G1183,IF(BT1183=1,BU1183,IF(LEFT(Cockpit!$C$5,1)="B",AE1183,MAX(AE1183,G1183))))</f>
        <v/>
      </c>
      <c r="AB1183" s="55">
        <f>IF(BO1183=1,0,ROUNDUP(AA1183/BN1183,0))</f>
        <v/>
      </c>
      <c r="AC1183" s="64">
        <f>IF(BO1183=1,IF(AA1183&lt;=0,0,BP1183*MAX(1,IF(G1183&gt;0,AA1183/G1183,1))),AB1183*Q1183)</f>
        <v/>
      </c>
      <c r="AD1183" s="55">
        <f>AA1183*F1183</f>
        <v/>
      </c>
      <c r="AE1183" s="55">
        <f>ROUNDUP(MAX(I1183/IF(BS1183&gt;0,BS1183,MAX(0.1,N(Cockpit!$C$6))),BV1183)/BN1183,0)*BN1183</f>
        <v/>
      </c>
      <c r="AF1183" s="56">
        <f>IF(AC1183&gt;0,I1183/AC1183,-1)</f>
        <v/>
      </c>
      <c r="AG1183" s="56">
        <f>IF(AND(OR(BR1183="L1",BR1183="L23"),AC1183&gt;0),SUMIFS($AC$7:$AC$1570,$BR$7:$BR$1570,BR1183,$AF$7:$AF$1570,"&gt;"&amp;AF1183)+SUMIFS($AC$7:$AC$1570,$BR$7:$BR$1570,BR1183,$AF$7:$AF$1570,AF1183,$BL$7:$BL$1570,"&lt;="&amp;BL1183),"")</f>
        <v/>
      </c>
      <c r="AH1183" s="65">
        <f>IF(AG1183="",0,MAX(0,MIN(1,(IF(BR1183="L1",Parameter!$K$5,Parameter!$K$6+Parameter!$K$7)-(AG1183-AC1183))/AC1183)))</f>
        <v/>
      </c>
      <c r="AI1183" s="55">
        <f>IF(LEFT(Cockpit!$I$5,1)="A",G1183,IF(BT1183=1,BU1183,IF(LEFT(Cockpit!$I$5,1)="B",AM1183,MAX(AM1183,G1183))))</f>
        <v/>
      </c>
      <c r="AJ1183" s="55">
        <f>IF(BO1183=1,0,ROUNDUP(AI1183/BN1183,0))</f>
        <v/>
      </c>
      <c r="AK1183" s="64">
        <f>IF(BO1183=1,IF(AI1183&lt;=0,0,BP1183*MAX(1,IF(G1183&gt;0,AI1183/G1183,1))),AJ1183*Q1183)</f>
        <v/>
      </c>
      <c r="AL1183" s="55">
        <f>AI1183*F1183</f>
        <v/>
      </c>
      <c r="AM1183" s="55">
        <f>ROUNDUP(MAX(I1183/IF(BS1183&gt;0,BS1183,MAX(0.1,N(Cockpit!$I$6))),BV1183)/BN1183,0)*BN1183</f>
        <v/>
      </c>
      <c r="AN1183" s="56">
        <f>IF(AK1183&gt;0,I1183/AK1183,-1)</f>
        <v/>
      </c>
      <c r="AO1183" s="56">
        <f>IF(AND(OR(BR1183="L1",BR1183="L23"),AK1183&gt;0),SUMIFS($AK$7:$AK$1570,$BR$7:$BR$1570,BR1183,$AN$7:$AN$1570,"&gt;"&amp;AN1183)+SUMIFS($AK$7:$AK$1570,$BR$7:$BR$1570,BR1183,$AN$7:$AN$1570,AN1183,$BL$7:$BL$1570,"&lt;="&amp;BL1183),"")</f>
        <v/>
      </c>
      <c r="AP1183" s="65">
        <f>IF(AO1183="",0,MAX(0,MIN(1,(IF(BR1183="L1",Parameter!$K$5,Parameter!$K$6+Parameter!$K$7)-(AO1183-AK1183))/AK1183)))</f>
        <v/>
      </c>
      <c r="AQ1183" s="55">
        <f>IF(LEFT(Cockpit!$O$5,1)="A",G1183,IF(BT1183=1,BU1183,IF(LEFT(Cockpit!$O$5,1)="B",AU1183,MAX(AU1183,G1183))))</f>
        <v/>
      </c>
      <c r="AR1183" s="55">
        <f>IF(BO1183=1,0,ROUNDUP(AQ1183/BN1183,0))</f>
        <v/>
      </c>
      <c r="AS1183" s="64">
        <f>IF(BO1183=1,IF(AQ1183&lt;=0,0,BP1183*MAX(1,IF(G1183&gt;0,AQ1183/G1183,1))),AR1183*Q1183)</f>
        <v/>
      </c>
      <c r="AT1183" s="55">
        <f>AQ1183*F1183</f>
        <v/>
      </c>
      <c r="AU1183" s="55">
        <f>ROUNDUP(MAX(I1183/IF(BS1183&gt;0,BS1183,MAX(0.1,N(Cockpit!$O$6))),BV1183)/BN1183,0)*BN1183</f>
        <v/>
      </c>
      <c r="AV1183" s="56">
        <f>IF(AS1183&gt;0,I1183/AS1183,-1)</f>
        <v/>
      </c>
      <c r="AW1183" s="56">
        <f>IF(AND(OR(BR1183="L1",BR1183="L23"),AS1183&gt;0),SUMIFS($AS$7:$AS$1570,$BR$7:$BR$1570,BR1183,$AV$7:$AV$1570,"&gt;"&amp;AV1183)+SUMIFS($AS$7:$AS$1570,$BR$7:$BR$1570,BR1183,$AV$7:$AV$1570,AV1183,$BL$7:$BL$1570,"&lt;="&amp;BL1183),"")</f>
        <v/>
      </c>
      <c r="AX1183" s="65">
        <f>IF(AW1183="",0,MAX(0,MIN(1,(IF(BR1183="L1",Parameter!$K$5,Parameter!$K$6+Parameter!$K$7)-(AW1183-AS1183))/AS1183)))</f>
        <v/>
      </c>
      <c r="AY1183" s="53">
        <f>IF(AC1183&lt;=0,"",IF(BR1183="Aussen","Aussenlager",IF(BR1183="-","Nicht im Lift",IF(AH1183&gt;=1,"Lift",IF(AH1183&lt;=0,"Aussenlager","teilweise")))))</f>
        <v/>
      </c>
      <c r="AZ1183" s="53">
        <f>IF(AK1183&lt;=0,"",IF(BR1183="Aussen","Aussenlager",IF(BR1183="-","Nicht im Lift",IF(AP1183&gt;=1,"Lift",IF(AP1183&lt;=0,"Aussenlager","teilweise")))))</f>
        <v/>
      </c>
      <c r="BA1183" s="53">
        <f>IF(AS1183&lt;=0,"",IF(BR1183="Aussen","Aussenlager",IF(BR1183="-","Nicht im Lift",IF(AX1183&gt;=1,"Lift",IF(AX1183&lt;=0,"Aussenlager","teilweise")))))</f>
        <v/>
      </c>
      <c r="BB1183" s="53">
        <f>IF(A1183="","",IF(BK1183=1,"Neu; ","")&amp;IF(AND(BK1183=0,BF1183&lt;0),"negativer Bestand (Export "&amp;BF1183&amp;"); ","")&amp;IF(I1183&lt;=0,"Kein Verbrauch; ","")&amp;IF(BO1183=1,"Lose – Fläche geschätzt; ","")&amp;IF(G1183&gt;AM1183,"Überbestand "&amp;ROUND(G1183-AM1183,0)&amp;" Stk / CHF "&amp;ROUND((G1183-AM1183)*F1183,0)&amp;"; ","")&amp;IF(AND(BT1183=1,BU1183&lt;BV1183),"MAX &lt; MB+LG; ","")&amp;IF(AND(BZ1183&gt;0,BY1183*10&gt;BZ1183),"zu hoch für Tablar; ","")&amp;IF(AND(BK1183=0,OR(BT1183=1,V1183&lt;&gt;"",S1183&lt;&gt;"",T1183&lt;&gt;"",W1183&lt;&gt;"")),"manuell übersteuert; ","")&amp;IF(AND(BO1183=0,Q1183=0),"Gebinde unbekannt; ","")&amp;IF(AND(BO1183=0,N(T1183)&lt;=0,N(P1183)&lt;=0),"Menge pro Gebinde fehlt (Ist = 1 Gebinde); ","")&amp;BJ1183)</f>
        <v/>
      </c>
      <c r="BC1183" s="53" t="n"/>
      <c r="BD1183" s="53" t="n"/>
      <c r="BE1183" s="61" t="n"/>
      <c r="BF1183" s="55" t="n">
        <v>-2</v>
      </c>
      <c r="BG1183" s="55" t="n">
        <v>10</v>
      </c>
      <c r="BH1183" s="54" t="n">
        <v>-385.72</v>
      </c>
      <c r="BI1183" s="55" t="n">
        <v>20</v>
      </c>
      <c r="BJ1183" s="53" t="inlineStr"/>
      <c r="BK1183" s="58" t="n">
        <v>0</v>
      </c>
      <c r="BL1183" s="58" t="n">
        <v>1183</v>
      </c>
      <c r="BM1183" s="53">
        <f>IF(S1183&lt;&gt;"",UPPER(TRIM(S1183)),IF(O1183="","LOSE",O1183))</f>
        <v/>
      </c>
      <c r="BN1183" s="55">
        <f>IF(BM1183="LOSE",1,IF(N(T1183)&gt;0,T1183,IF(N(P1183)&gt;0,P1183,MAX(1,G1183))))</f>
        <v/>
      </c>
      <c r="BO1183" s="58">
        <f>IF(BM1183="LOSE",1,0)</f>
        <v/>
      </c>
      <c r="BP1183" s="64">
        <f>IF(BO1183=0,0,IF(N(R1183)&gt;0,R1183,IFERROR(VLOOKUP(D1183,Parameter!$A$35:$C$64,3,0)+0,0)))</f>
        <v/>
      </c>
      <c r="BQ1183" s="53">
        <f>IF(V1183&lt;&gt;"",V1183,U1183)</f>
        <v/>
      </c>
      <c r="BR1183" s="53">
        <f>IF(BQ1183=1,"L1",IF(OR(BQ1183=2,BQ1183=3),"L23",IF(BQ1183="Aussen","Aussen","-")))</f>
        <v/>
      </c>
      <c r="BS1183" s="66">
        <f>IF(N(W1183)&gt;0,W1183,0)</f>
        <v/>
      </c>
      <c r="BT1183" s="58">
        <f>IF(ISNUMBER(Z1183),1,0)</f>
        <v/>
      </c>
      <c r="BU1183" s="55">
        <f>N(Z1183)</f>
        <v/>
      </c>
      <c r="BV1183" s="55">
        <f>N(L1183)+N(M1183)</f>
        <v/>
      </c>
      <c r="BW1183" s="55">
        <f>ROUNDUP(G1183/BN1183,0)</f>
        <v/>
      </c>
      <c r="BX1183" s="55">
        <f>ROUNDUP(BU1183/BN1183,0)</f>
        <v/>
      </c>
      <c r="BY1183" s="58">
        <f>IF(BO1183=1,0,IFERROR(VLOOKUP(BM1183,'Gebinde-Kategorie'!$A$5:$G$45,5,0)+0,0))</f>
        <v/>
      </c>
      <c r="BZ1183" s="58">
        <f>IFERROR(IF(OR(BQ1183=1,BQ1183=2,BQ1183=3),N(INDEX(Parameter!$I$5:$I$7,BQ1183)),0),0)</f>
        <v/>
      </c>
    </row>
    <row r="1184">
      <c r="A1184" s="53" t="inlineStr">
        <is>
          <t>110642</t>
        </is>
      </c>
      <c r="B1184" s="53" t="inlineStr">
        <is>
          <t>Aufschraubadapter Edelstahl</t>
        </is>
      </c>
      <c r="C1184" s="53" t="inlineStr">
        <is>
          <t>G</t>
        </is>
      </c>
      <c r="D1184" s="53" t="inlineStr">
        <is>
          <t>KTL</t>
        </is>
      </c>
      <c r="E1184" s="53" t="inlineStr">
        <is>
          <t>C</t>
        </is>
      </c>
      <c r="F1184" s="54" t="n">
        <v>38.88</v>
      </c>
      <c r="G1184" s="55">
        <f>MAX(0,IF(Parameter!$B$20="Jahresanfang 2025 + Export",BG1184+BF1184,BF1184))</f>
        <v/>
      </c>
      <c r="H1184" s="55">
        <f>G1184*F1184</f>
        <v/>
      </c>
      <c r="I1184" s="55">
        <f>BI1184*Parameter!$B$18</f>
        <v/>
      </c>
      <c r="J1184" s="56" t="n">
        <v>5</v>
      </c>
      <c r="K1184" s="57" t="n">
        <v>2</v>
      </c>
      <c r="L1184" s="55" t="n">
        <v>0</v>
      </c>
      <c r="M1184" s="55" t="n">
        <v>10</v>
      </c>
      <c r="N1184" s="58" t="n">
        <v>14</v>
      </c>
      <c r="O1184" s="53" t="inlineStr">
        <is>
          <t>LOSE</t>
        </is>
      </c>
      <c r="P1184" s="55" t="n"/>
      <c r="Q1184" s="59">
        <f>IF(BO1184=1,0,IFERROR(VLOOKUP(BM1184,'Gebinde-Kategorie'!$A$5:$G$45,6,0)+0,0))</f>
        <v/>
      </c>
      <c r="R1184" s="60" t="n"/>
      <c r="S1184" s="61" t="n"/>
      <c r="T1184" s="61" t="n"/>
      <c r="U1184" s="53">
        <f>IF(A1184="","",IF(IFERROR(VLOOKUP(D1184,Parameter!$A$35:$C$64,2,0),"Nein")="2+3",IF(ISNUMBER(SEARCH("grosser Artikel",BJ1184)),2,IFERROR(VLOOKUP(BM1184,Parameter!$F$35:$G$64,2,0),2)),IF(OR(IFERROR(VLOOKUP(D1184,Parameter!$A$35:$C$64,2,0),"Nein")="Nein",IFERROR(VLOOKUP(D1184,Parameter!$A$35:$C$64,2,0),"Nein")=""),"-",VLOOKUP(D1184,Parameter!$A$35:$C$64,2,0))))</f>
        <v/>
      </c>
      <c r="V1184" s="61" t="n"/>
      <c r="W1184" s="62" t="n"/>
      <c r="X1184" s="55">
        <f>AM1184</f>
        <v/>
      </c>
      <c r="Y1184" s="55">
        <f>MAX(AM1184,G1184)</f>
        <v/>
      </c>
      <c r="Z1184" s="63" t="n"/>
      <c r="AA1184" s="55">
        <f>IF(LEFT(Cockpit!$C$5,1)="A",G1184,IF(BT1184=1,BU1184,IF(LEFT(Cockpit!$C$5,1)="B",AE1184,MAX(AE1184,G1184))))</f>
        <v/>
      </c>
      <c r="AB1184" s="55">
        <f>IF(BO1184=1,0,ROUNDUP(AA1184/BN1184,0))</f>
        <v/>
      </c>
      <c r="AC1184" s="64">
        <f>IF(BO1184=1,IF(AA1184&lt;=0,0,BP1184*MAX(1,IF(G1184&gt;0,AA1184/G1184,1))),AB1184*Q1184)</f>
        <v/>
      </c>
      <c r="AD1184" s="55">
        <f>AA1184*F1184</f>
        <v/>
      </c>
      <c r="AE1184" s="55">
        <f>ROUNDUP(MAX(I1184/IF(BS1184&gt;0,BS1184,MAX(0.1,N(Cockpit!$C$6))),BV1184)/BN1184,0)*BN1184</f>
        <v/>
      </c>
      <c r="AF1184" s="56">
        <f>IF(AC1184&gt;0,I1184/AC1184,-1)</f>
        <v/>
      </c>
      <c r="AG1184" s="56">
        <f>IF(AND(OR(BR1184="L1",BR1184="L23"),AC1184&gt;0),SUMIFS($AC$7:$AC$1570,$BR$7:$BR$1570,BR1184,$AF$7:$AF$1570,"&gt;"&amp;AF1184)+SUMIFS($AC$7:$AC$1570,$BR$7:$BR$1570,BR1184,$AF$7:$AF$1570,AF1184,$BL$7:$BL$1570,"&lt;="&amp;BL1184),"")</f>
        <v/>
      </c>
      <c r="AH1184" s="65">
        <f>IF(AG1184="",0,MAX(0,MIN(1,(IF(BR1184="L1",Parameter!$K$5,Parameter!$K$6+Parameter!$K$7)-(AG1184-AC1184))/AC1184)))</f>
        <v/>
      </c>
      <c r="AI1184" s="55">
        <f>IF(LEFT(Cockpit!$I$5,1)="A",G1184,IF(BT1184=1,BU1184,IF(LEFT(Cockpit!$I$5,1)="B",AM1184,MAX(AM1184,G1184))))</f>
        <v/>
      </c>
      <c r="AJ1184" s="55">
        <f>IF(BO1184=1,0,ROUNDUP(AI1184/BN1184,0))</f>
        <v/>
      </c>
      <c r="AK1184" s="64">
        <f>IF(BO1184=1,IF(AI1184&lt;=0,0,BP1184*MAX(1,IF(G1184&gt;0,AI1184/G1184,1))),AJ1184*Q1184)</f>
        <v/>
      </c>
      <c r="AL1184" s="55">
        <f>AI1184*F1184</f>
        <v/>
      </c>
      <c r="AM1184" s="55">
        <f>ROUNDUP(MAX(I1184/IF(BS1184&gt;0,BS1184,MAX(0.1,N(Cockpit!$I$6))),BV1184)/BN1184,0)*BN1184</f>
        <v/>
      </c>
      <c r="AN1184" s="56">
        <f>IF(AK1184&gt;0,I1184/AK1184,-1)</f>
        <v/>
      </c>
      <c r="AO1184" s="56">
        <f>IF(AND(OR(BR1184="L1",BR1184="L23"),AK1184&gt;0),SUMIFS($AK$7:$AK$1570,$BR$7:$BR$1570,BR1184,$AN$7:$AN$1570,"&gt;"&amp;AN1184)+SUMIFS($AK$7:$AK$1570,$BR$7:$BR$1570,BR1184,$AN$7:$AN$1570,AN1184,$BL$7:$BL$1570,"&lt;="&amp;BL1184),"")</f>
        <v/>
      </c>
      <c r="AP1184" s="65">
        <f>IF(AO1184="",0,MAX(0,MIN(1,(IF(BR1184="L1",Parameter!$K$5,Parameter!$K$6+Parameter!$K$7)-(AO1184-AK1184))/AK1184)))</f>
        <v/>
      </c>
      <c r="AQ1184" s="55">
        <f>IF(LEFT(Cockpit!$O$5,1)="A",G1184,IF(BT1184=1,BU1184,IF(LEFT(Cockpit!$O$5,1)="B",AU1184,MAX(AU1184,G1184))))</f>
        <v/>
      </c>
      <c r="AR1184" s="55">
        <f>IF(BO1184=1,0,ROUNDUP(AQ1184/BN1184,0))</f>
        <v/>
      </c>
      <c r="AS1184" s="64">
        <f>IF(BO1184=1,IF(AQ1184&lt;=0,0,BP1184*MAX(1,IF(G1184&gt;0,AQ1184/G1184,1))),AR1184*Q1184)</f>
        <v/>
      </c>
      <c r="AT1184" s="55">
        <f>AQ1184*F1184</f>
        <v/>
      </c>
      <c r="AU1184" s="55">
        <f>ROUNDUP(MAX(I1184/IF(BS1184&gt;0,BS1184,MAX(0.1,N(Cockpit!$O$6))),BV1184)/BN1184,0)*BN1184</f>
        <v/>
      </c>
      <c r="AV1184" s="56">
        <f>IF(AS1184&gt;0,I1184/AS1184,-1)</f>
        <v/>
      </c>
      <c r="AW1184" s="56">
        <f>IF(AND(OR(BR1184="L1",BR1184="L23"),AS1184&gt;0),SUMIFS($AS$7:$AS$1570,$BR$7:$BR$1570,BR1184,$AV$7:$AV$1570,"&gt;"&amp;AV1184)+SUMIFS($AS$7:$AS$1570,$BR$7:$BR$1570,BR1184,$AV$7:$AV$1570,AV1184,$BL$7:$BL$1570,"&lt;="&amp;BL1184),"")</f>
        <v/>
      </c>
      <c r="AX1184" s="65">
        <f>IF(AW1184="",0,MAX(0,MIN(1,(IF(BR1184="L1",Parameter!$K$5,Parameter!$K$6+Parameter!$K$7)-(AW1184-AS1184))/AS1184)))</f>
        <v/>
      </c>
      <c r="AY1184" s="53">
        <f>IF(AC1184&lt;=0,"",IF(BR1184="Aussen","Aussenlager",IF(BR1184="-","Nicht im Lift",IF(AH1184&gt;=1,"Lift",IF(AH1184&lt;=0,"Aussenlager","teilweise")))))</f>
        <v/>
      </c>
      <c r="AZ1184" s="53">
        <f>IF(AK1184&lt;=0,"",IF(BR1184="Aussen","Aussenlager",IF(BR1184="-","Nicht im Lift",IF(AP1184&gt;=1,"Lift",IF(AP1184&lt;=0,"Aussenlager","teilweise")))))</f>
        <v/>
      </c>
      <c r="BA1184" s="53">
        <f>IF(AS1184&lt;=0,"",IF(BR1184="Aussen","Aussenlager",IF(BR1184="-","Nicht im Lift",IF(AX1184&gt;=1,"Lift",IF(AX1184&lt;=0,"Aussenlager","teilweise")))))</f>
        <v/>
      </c>
      <c r="BB1184" s="53">
        <f>IF(A1184="","",IF(BK1184=1,"Neu; ","")&amp;IF(AND(BK1184=0,BF1184&lt;0),"negativer Bestand (Export "&amp;BF1184&amp;"); ","")&amp;IF(I1184&lt;=0,"Kein Verbrauch; ","")&amp;IF(BO1184=1,"Lose – Fläche geschätzt; ","")&amp;IF(G1184&gt;AM1184,"Überbestand "&amp;ROUND(G1184-AM1184,0)&amp;" Stk / CHF "&amp;ROUND((G1184-AM1184)*F1184,0)&amp;"; ","")&amp;IF(AND(BT1184=1,BU1184&lt;BV1184),"MAX &lt; MB+LG; ","")&amp;IF(AND(BZ1184&gt;0,BY1184*10&gt;BZ1184),"zu hoch für Tablar; ","")&amp;IF(AND(BK1184=0,OR(BT1184=1,V1184&lt;&gt;"",S1184&lt;&gt;"",T1184&lt;&gt;"",W1184&lt;&gt;"")),"manuell übersteuert; ","")&amp;IF(AND(BO1184=0,Q1184=0),"Gebinde unbekannt; ","")&amp;IF(AND(BO1184=0,N(T1184)&lt;=0,N(P1184)&lt;=0),"Menge pro Gebinde fehlt (Ist = 1 Gebinde); ","")&amp;BJ1184)</f>
        <v/>
      </c>
      <c r="BC1184" s="53" t="n"/>
      <c r="BD1184" s="53" t="n"/>
      <c r="BE1184" s="61" t="n"/>
      <c r="BF1184" s="55" t="n">
        <v>-10</v>
      </c>
      <c r="BG1184" s="55" t="n">
        <v>10</v>
      </c>
      <c r="BH1184" s="54" t="n">
        <v>-388.8</v>
      </c>
      <c r="BI1184" s="55" t="n">
        <v>10</v>
      </c>
      <c r="BJ1184" s="53" t="inlineStr"/>
      <c r="BK1184" s="58" t="n">
        <v>0</v>
      </c>
      <c r="BL1184" s="58" t="n">
        <v>1184</v>
      </c>
      <c r="BM1184" s="53">
        <f>IF(S1184&lt;&gt;"",UPPER(TRIM(S1184)),IF(O1184="","LOSE",O1184))</f>
        <v/>
      </c>
      <c r="BN1184" s="55">
        <f>IF(BM1184="LOSE",1,IF(N(T1184)&gt;0,T1184,IF(N(P1184)&gt;0,P1184,MAX(1,G1184))))</f>
        <v/>
      </c>
      <c r="BO1184" s="58">
        <f>IF(BM1184="LOSE",1,0)</f>
        <v/>
      </c>
      <c r="BP1184" s="64">
        <f>IF(BO1184=0,0,IF(N(R1184)&gt;0,R1184,IFERROR(VLOOKUP(D1184,Parameter!$A$35:$C$64,3,0)+0,0)))</f>
        <v/>
      </c>
      <c r="BQ1184" s="53">
        <f>IF(V1184&lt;&gt;"",V1184,U1184)</f>
        <v/>
      </c>
      <c r="BR1184" s="53">
        <f>IF(BQ1184=1,"L1",IF(OR(BQ1184=2,BQ1184=3),"L23",IF(BQ1184="Aussen","Aussen","-")))</f>
        <v/>
      </c>
      <c r="BS1184" s="66">
        <f>IF(N(W1184)&gt;0,W1184,0)</f>
        <v/>
      </c>
      <c r="BT1184" s="58">
        <f>IF(ISNUMBER(Z1184),1,0)</f>
        <v/>
      </c>
      <c r="BU1184" s="55">
        <f>N(Z1184)</f>
        <v/>
      </c>
      <c r="BV1184" s="55">
        <f>N(L1184)+N(M1184)</f>
        <v/>
      </c>
      <c r="BW1184" s="55">
        <f>ROUNDUP(G1184/BN1184,0)</f>
        <v/>
      </c>
      <c r="BX1184" s="55">
        <f>ROUNDUP(BU1184/BN1184,0)</f>
        <v/>
      </c>
      <c r="BY1184" s="58">
        <f>IF(BO1184=1,0,IFERROR(VLOOKUP(BM1184,'Gebinde-Kategorie'!$A$5:$G$45,5,0)+0,0))</f>
        <v/>
      </c>
      <c r="BZ1184" s="58">
        <f>IFERROR(IF(OR(BQ1184=1,BQ1184=2,BQ1184=3),N(INDEX(Parameter!$I$5:$I$7,BQ1184)),0),0)</f>
        <v/>
      </c>
    </row>
    <row r="1185">
      <c r="A1185" s="53" t="inlineStr">
        <is>
          <t>109170</t>
        </is>
      </c>
      <c r="B1185" s="53" t="inlineStr">
        <is>
          <t>Bündelanschlussschlauch Brenngas</t>
        </is>
      </c>
      <c r="C1185" s="53" t="inlineStr">
        <is>
          <t>F</t>
        </is>
      </c>
      <c r="D1185" s="53" t="inlineStr">
        <is>
          <t>PAL</t>
        </is>
      </c>
      <c r="E1185" s="53" t="inlineStr">
        <is>
          <t>C</t>
        </is>
      </c>
      <c r="F1185" s="54" t="n">
        <v>393.01</v>
      </c>
      <c r="G1185" s="55">
        <f>MAX(0,IF(Parameter!$B$20="Jahresanfang 2025 + Export",BG1185+BF1185,BF1185))</f>
        <v/>
      </c>
      <c r="H1185" s="55">
        <f>G1185*F1185</f>
        <v/>
      </c>
      <c r="I1185" s="55">
        <f>BI1185*Parameter!$B$18</f>
        <v/>
      </c>
      <c r="J1185" s="56" t="n">
        <v>8.5</v>
      </c>
      <c r="K1185" s="57" t="n">
        <v>0.1176470588235294</v>
      </c>
      <c r="L1185" s="55" t="n">
        <v>0</v>
      </c>
      <c r="M1185" s="55" t="n">
        <v>1</v>
      </c>
      <c r="N1185" s="58" t="n">
        <v>35</v>
      </c>
      <c r="O1185" s="53" t="inlineStr">
        <is>
          <t>S71</t>
        </is>
      </c>
      <c r="P1185" s="55" t="n">
        <v>10</v>
      </c>
      <c r="Q1185" s="59">
        <f>IF(BO1185=1,0,IFERROR(VLOOKUP(BM1185,'Gebinde-Kategorie'!$A$5:$G$45,6,0)+0,0))</f>
        <v/>
      </c>
      <c r="R1185" s="60" t="n"/>
      <c r="S1185" s="61" t="n"/>
      <c r="T1185" s="61" t="n"/>
      <c r="U1185" s="53">
        <f>IF(A1185="","",IF(IFERROR(VLOOKUP(D1185,Parameter!$A$35:$C$64,2,0),"Nein")="2+3",IF(ISNUMBER(SEARCH("grosser Artikel",BJ1185)),2,IFERROR(VLOOKUP(BM1185,Parameter!$F$35:$G$64,2,0),2)),IF(OR(IFERROR(VLOOKUP(D1185,Parameter!$A$35:$C$64,2,0),"Nein")="Nein",IFERROR(VLOOKUP(D1185,Parameter!$A$35:$C$64,2,0),"Nein")=""),"-",VLOOKUP(D1185,Parameter!$A$35:$C$64,2,0))))</f>
        <v/>
      </c>
      <c r="V1185" s="61" t="n"/>
      <c r="W1185" s="62" t="n"/>
      <c r="X1185" s="55">
        <f>AM1185</f>
        <v/>
      </c>
      <c r="Y1185" s="55">
        <f>MAX(AM1185,G1185)</f>
        <v/>
      </c>
      <c r="Z1185" s="63" t="n"/>
      <c r="AA1185" s="55">
        <f>IF(LEFT(Cockpit!$C$5,1)="A",G1185,IF(BT1185=1,BU1185,IF(LEFT(Cockpit!$C$5,1)="B",AE1185,MAX(AE1185,G1185))))</f>
        <v/>
      </c>
      <c r="AB1185" s="55">
        <f>IF(BO1185=1,0,ROUNDUP(AA1185/BN1185,0))</f>
        <v/>
      </c>
      <c r="AC1185" s="64">
        <f>IF(BO1185=1,IF(AA1185&lt;=0,0,BP1185*MAX(1,IF(G1185&gt;0,AA1185/G1185,1))),AB1185*Q1185)</f>
        <v/>
      </c>
      <c r="AD1185" s="55">
        <f>AA1185*F1185</f>
        <v/>
      </c>
      <c r="AE1185" s="55">
        <f>ROUNDUP(MAX(I1185/IF(BS1185&gt;0,BS1185,MAX(0.1,N(Cockpit!$C$6))),BV1185)/BN1185,0)*BN1185</f>
        <v/>
      </c>
      <c r="AF1185" s="56">
        <f>IF(AC1185&gt;0,I1185/AC1185,-1)</f>
        <v/>
      </c>
      <c r="AG1185" s="56">
        <f>IF(AND(OR(BR1185="L1",BR1185="L23"),AC1185&gt;0),SUMIFS($AC$7:$AC$1570,$BR$7:$BR$1570,BR1185,$AF$7:$AF$1570,"&gt;"&amp;AF1185)+SUMIFS($AC$7:$AC$1570,$BR$7:$BR$1570,BR1185,$AF$7:$AF$1570,AF1185,$BL$7:$BL$1570,"&lt;="&amp;BL1185),"")</f>
        <v/>
      </c>
      <c r="AH1185" s="65">
        <f>IF(AG1185="",0,MAX(0,MIN(1,(IF(BR1185="L1",Parameter!$K$5,Parameter!$K$6+Parameter!$K$7)-(AG1185-AC1185))/AC1185)))</f>
        <v/>
      </c>
      <c r="AI1185" s="55">
        <f>IF(LEFT(Cockpit!$I$5,1)="A",G1185,IF(BT1185=1,BU1185,IF(LEFT(Cockpit!$I$5,1)="B",AM1185,MAX(AM1185,G1185))))</f>
        <v/>
      </c>
      <c r="AJ1185" s="55">
        <f>IF(BO1185=1,0,ROUNDUP(AI1185/BN1185,0))</f>
        <v/>
      </c>
      <c r="AK1185" s="64">
        <f>IF(BO1185=1,IF(AI1185&lt;=0,0,BP1185*MAX(1,IF(G1185&gt;0,AI1185/G1185,1))),AJ1185*Q1185)</f>
        <v/>
      </c>
      <c r="AL1185" s="55">
        <f>AI1185*F1185</f>
        <v/>
      </c>
      <c r="AM1185" s="55">
        <f>ROUNDUP(MAX(I1185/IF(BS1185&gt;0,BS1185,MAX(0.1,N(Cockpit!$I$6))),BV1185)/BN1185,0)*BN1185</f>
        <v/>
      </c>
      <c r="AN1185" s="56">
        <f>IF(AK1185&gt;0,I1185/AK1185,-1)</f>
        <v/>
      </c>
      <c r="AO1185" s="56">
        <f>IF(AND(OR(BR1185="L1",BR1185="L23"),AK1185&gt;0),SUMIFS($AK$7:$AK$1570,$BR$7:$BR$1570,BR1185,$AN$7:$AN$1570,"&gt;"&amp;AN1185)+SUMIFS($AK$7:$AK$1570,$BR$7:$BR$1570,BR1185,$AN$7:$AN$1570,AN1185,$BL$7:$BL$1570,"&lt;="&amp;BL1185),"")</f>
        <v/>
      </c>
      <c r="AP1185" s="65">
        <f>IF(AO1185="",0,MAX(0,MIN(1,(IF(BR1185="L1",Parameter!$K$5,Parameter!$K$6+Parameter!$K$7)-(AO1185-AK1185))/AK1185)))</f>
        <v/>
      </c>
      <c r="AQ1185" s="55">
        <f>IF(LEFT(Cockpit!$O$5,1)="A",G1185,IF(BT1185=1,BU1185,IF(LEFT(Cockpit!$O$5,1)="B",AU1185,MAX(AU1185,G1185))))</f>
        <v/>
      </c>
      <c r="AR1185" s="55">
        <f>IF(BO1185=1,0,ROUNDUP(AQ1185/BN1185,0))</f>
        <v/>
      </c>
      <c r="AS1185" s="64">
        <f>IF(BO1185=1,IF(AQ1185&lt;=0,0,BP1185*MAX(1,IF(G1185&gt;0,AQ1185/G1185,1))),AR1185*Q1185)</f>
        <v/>
      </c>
      <c r="AT1185" s="55">
        <f>AQ1185*F1185</f>
        <v/>
      </c>
      <c r="AU1185" s="55">
        <f>ROUNDUP(MAX(I1185/IF(BS1185&gt;0,BS1185,MAX(0.1,N(Cockpit!$O$6))),BV1185)/BN1185,0)*BN1185</f>
        <v/>
      </c>
      <c r="AV1185" s="56">
        <f>IF(AS1185&gt;0,I1185/AS1185,-1)</f>
        <v/>
      </c>
      <c r="AW1185" s="56">
        <f>IF(AND(OR(BR1185="L1",BR1185="L23"),AS1185&gt;0),SUMIFS($AS$7:$AS$1570,$BR$7:$BR$1570,BR1185,$AV$7:$AV$1570,"&gt;"&amp;AV1185)+SUMIFS($AS$7:$AS$1570,$BR$7:$BR$1570,BR1185,$AV$7:$AV$1570,AV1185,$BL$7:$BL$1570,"&lt;="&amp;BL1185),"")</f>
        <v/>
      </c>
      <c r="AX1185" s="65">
        <f>IF(AW1185="",0,MAX(0,MIN(1,(IF(BR1185="L1",Parameter!$K$5,Parameter!$K$6+Parameter!$K$7)-(AW1185-AS1185))/AS1185)))</f>
        <v/>
      </c>
      <c r="AY1185" s="53">
        <f>IF(AC1185&lt;=0,"",IF(BR1185="Aussen","Aussenlager",IF(BR1185="-","Nicht im Lift",IF(AH1185&gt;=1,"Lift",IF(AH1185&lt;=0,"Aussenlager","teilweise")))))</f>
        <v/>
      </c>
      <c r="AZ1185" s="53">
        <f>IF(AK1185&lt;=0,"",IF(BR1185="Aussen","Aussenlager",IF(BR1185="-","Nicht im Lift",IF(AP1185&gt;=1,"Lift",IF(AP1185&lt;=0,"Aussenlager","teilweise")))))</f>
        <v/>
      </c>
      <c r="BA1185" s="53">
        <f>IF(AS1185&lt;=0,"",IF(BR1185="Aussen","Aussenlager",IF(BR1185="-","Nicht im Lift",IF(AX1185&gt;=1,"Lift",IF(AX1185&lt;=0,"Aussenlager","teilweise")))))</f>
        <v/>
      </c>
      <c r="BB1185" s="53">
        <f>IF(A1185="","",IF(BK1185=1,"Neu; ","")&amp;IF(AND(BK1185=0,BF1185&lt;0),"negativer Bestand (Export "&amp;BF1185&amp;"); ","")&amp;IF(I1185&lt;=0,"Kein Verbrauch; ","")&amp;IF(BO1185=1,"Lose – Fläche geschätzt; ","")&amp;IF(G1185&gt;AM1185,"Überbestand "&amp;ROUND(G1185-AM1185,0)&amp;" Stk / CHF "&amp;ROUND((G1185-AM1185)*F1185,0)&amp;"; ","")&amp;IF(AND(BT1185=1,BU1185&lt;BV1185),"MAX &lt; MB+LG; ","")&amp;IF(AND(BZ1185&gt;0,BY1185*10&gt;BZ1185),"zu hoch für Tablar; ","")&amp;IF(AND(BK1185=0,OR(BT1185=1,V1185&lt;&gt;"",S1185&lt;&gt;"",T1185&lt;&gt;"",W1185&lt;&gt;"")),"manuell übersteuert; ","")&amp;IF(AND(BO1185=0,Q1185=0),"Gebinde unbekannt; ","")&amp;IF(AND(BO1185=0,N(T1185)&lt;=0,N(P1185)&lt;=0),"Menge pro Gebinde fehlt (Ist = 1 Gebinde); ","")&amp;BJ1185)</f>
        <v/>
      </c>
      <c r="BC1185" s="53" t="n"/>
      <c r="BD1185" s="53" t="n"/>
      <c r="BE1185" s="61" t="n"/>
      <c r="BF1185" s="55" t="n">
        <v>-1</v>
      </c>
      <c r="BG1185" s="55" t="n">
        <v>9</v>
      </c>
      <c r="BH1185" s="54" t="n">
        <v>-393.01</v>
      </c>
      <c r="BI1185" s="55" t="n">
        <v>1</v>
      </c>
      <c r="BJ1185" s="53" t="inlineStr"/>
      <c r="BK1185" s="58" t="n">
        <v>0</v>
      </c>
      <c r="BL1185" s="58" t="n">
        <v>1185</v>
      </c>
      <c r="BM1185" s="53">
        <f>IF(S1185&lt;&gt;"",UPPER(TRIM(S1185)),IF(O1185="","LOSE",O1185))</f>
        <v/>
      </c>
      <c r="BN1185" s="55">
        <f>IF(BM1185="LOSE",1,IF(N(T1185)&gt;0,T1185,IF(N(P1185)&gt;0,P1185,MAX(1,G1185))))</f>
        <v/>
      </c>
      <c r="BO1185" s="58">
        <f>IF(BM1185="LOSE",1,0)</f>
        <v/>
      </c>
      <c r="BP1185" s="64">
        <f>IF(BO1185=0,0,IF(N(R1185)&gt;0,R1185,IFERROR(VLOOKUP(D1185,Parameter!$A$35:$C$64,3,0)+0,0)))</f>
        <v/>
      </c>
      <c r="BQ1185" s="53">
        <f>IF(V1185&lt;&gt;"",V1185,U1185)</f>
        <v/>
      </c>
      <c r="BR1185" s="53">
        <f>IF(BQ1185=1,"L1",IF(OR(BQ1185=2,BQ1185=3),"L23",IF(BQ1185="Aussen","Aussen","-")))</f>
        <v/>
      </c>
      <c r="BS1185" s="66">
        <f>IF(N(W1185)&gt;0,W1185,0)</f>
        <v/>
      </c>
      <c r="BT1185" s="58">
        <f>IF(ISNUMBER(Z1185),1,0)</f>
        <v/>
      </c>
      <c r="BU1185" s="55">
        <f>N(Z1185)</f>
        <v/>
      </c>
      <c r="BV1185" s="55">
        <f>N(L1185)+N(M1185)</f>
        <v/>
      </c>
      <c r="BW1185" s="55">
        <f>ROUNDUP(G1185/BN1185,0)</f>
        <v/>
      </c>
      <c r="BX1185" s="55">
        <f>ROUNDUP(BU1185/BN1185,0)</f>
        <v/>
      </c>
      <c r="BY1185" s="58">
        <f>IF(BO1185=1,0,IFERROR(VLOOKUP(BM1185,'Gebinde-Kategorie'!$A$5:$G$45,5,0)+0,0))</f>
        <v/>
      </c>
      <c r="BZ1185" s="58">
        <f>IFERROR(IF(OR(BQ1185=1,BQ1185=2,BQ1185=3),N(INDEX(Parameter!$I$5:$I$7,BQ1185)),0),0)</f>
        <v/>
      </c>
    </row>
    <row r="1186">
      <c r="A1186" s="53" t="inlineStr">
        <is>
          <t>109169</t>
        </is>
      </c>
      <c r="B1186" s="53" t="inlineStr">
        <is>
          <t>Bündelanschlussschlauch Stickstoff</t>
        </is>
      </c>
      <c r="C1186" s="53" t="inlineStr">
        <is>
          <t>F</t>
        </is>
      </c>
      <c r="D1186" s="53" t="inlineStr">
        <is>
          <t>PAL</t>
        </is>
      </c>
      <c r="E1186" s="53" t="inlineStr">
        <is>
          <t>C</t>
        </is>
      </c>
      <c r="F1186" s="54" t="n">
        <v>393.01</v>
      </c>
      <c r="G1186" s="55">
        <f>MAX(0,IF(Parameter!$B$20="Jahresanfang 2025 + Export",BG1186+BF1186,BF1186))</f>
        <v/>
      </c>
      <c r="H1186" s="55">
        <f>G1186*F1186</f>
        <v/>
      </c>
      <c r="I1186" s="55">
        <f>BI1186*Parameter!$B$18</f>
        <v/>
      </c>
      <c r="J1186" s="56" t="n">
        <v>8.5</v>
      </c>
      <c r="K1186" s="57" t="n">
        <v>0.1176470588235294</v>
      </c>
      <c r="L1186" s="55" t="n">
        <v>0</v>
      </c>
      <c r="M1186" s="55" t="n">
        <v>1</v>
      </c>
      <c r="N1186" s="58" t="n">
        <v>35</v>
      </c>
      <c r="O1186" s="53" t="inlineStr">
        <is>
          <t>LOSE</t>
        </is>
      </c>
      <c r="P1186" s="55" t="n"/>
      <c r="Q1186" s="59">
        <f>IF(BO1186=1,0,IFERROR(VLOOKUP(BM1186,'Gebinde-Kategorie'!$A$5:$G$45,6,0)+0,0))</f>
        <v/>
      </c>
      <c r="R1186" s="60" t="n"/>
      <c r="S1186" s="61" t="n"/>
      <c r="T1186" s="61" t="n"/>
      <c r="U1186" s="53">
        <f>IF(A1186="","",IF(IFERROR(VLOOKUP(D1186,Parameter!$A$35:$C$64,2,0),"Nein")="2+3",IF(ISNUMBER(SEARCH("grosser Artikel",BJ1186)),2,IFERROR(VLOOKUP(BM1186,Parameter!$F$35:$G$64,2,0),2)),IF(OR(IFERROR(VLOOKUP(D1186,Parameter!$A$35:$C$64,2,0),"Nein")="Nein",IFERROR(VLOOKUP(D1186,Parameter!$A$35:$C$64,2,0),"Nein")=""),"-",VLOOKUP(D1186,Parameter!$A$35:$C$64,2,0))))</f>
        <v/>
      </c>
      <c r="V1186" s="61" t="n"/>
      <c r="W1186" s="62" t="n"/>
      <c r="X1186" s="55">
        <f>AM1186</f>
        <v/>
      </c>
      <c r="Y1186" s="55">
        <f>MAX(AM1186,G1186)</f>
        <v/>
      </c>
      <c r="Z1186" s="63" t="n"/>
      <c r="AA1186" s="55">
        <f>IF(LEFT(Cockpit!$C$5,1)="A",G1186,IF(BT1186=1,BU1186,IF(LEFT(Cockpit!$C$5,1)="B",AE1186,MAX(AE1186,G1186))))</f>
        <v/>
      </c>
      <c r="AB1186" s="55">
        <f>IF(BO1186=1,0,ROUNDUP(AA1186/BN1186,0))</f>
        <v/>
      </c>
      <c r="AC1186" s="64">
        <f>IF(BO1186=1,IF(AA1186&lt;=0,0,BP1186*MAX(1,IF(G1186&gt;0,AA1186/G1186,1))),AB1186*Q1186)</f>
        <v/>
      </c>
      <c r="AD1186" s="55">
        <f>AA1186*F1186</f>
        <v/>
      </c>
      <c r="AE1186" s="55">
        <f>ROUNDUP(MAX(I1186/IF(BS1186&gt;0,BS1186,MAX(0.1,N(Cockpit!$C$6))),BV1186)/BN1186,0)*BN1186</f>
        <v/>
      </c>
      <c r="AF1186" s="56">
        <f>IF(AC1186&gt;0,I1186/AC1186,-1)</f>
        <v/>
      </c>
      <c r="AG1186" s="56">
        <f>IF(AND(OR(BR1186="L1",BR1186="L23"),AC1186&gt;0),SUMIFS($AC$7:$AC$1570,$BR$7:$BR$1570,BR1186,$AF$7:$AF$1570,"&gt;"&amp;AF1186)+SUMIFS($AC$7:$AC$1570,$BR$7:$BR$1570,BR1186,$AF$7:$AF$1570,AF1186,$BL$7:$BL$1570,"&lt;="&amp;BL1186),"")</f>
        <v/>
      </c>
      <c r="AH1186" s="65">
        <f>IF(AG1186="",0,MAX(0,MIN(1,(IF(BR1186="L1",Parameter!$K$5,Parameter!$K$6+Parameter!$K$7)-(AG1186-AC1186))/AC1186)))</f>
        <v/>
      </c>
      <c r="AI1186" s="55">
        <f>IF(LEFT(Cockpit!$I$5,1)="A",G1186,IF(BT1186=1,BU1186,IF(LEFT(Cockpit!$I$5,1)="B",AM1186,MAX(AM1186,G1186))))</f>
        <v/>
      </c>
      <c r="AJ1186" s="55">
        <f>IF(BO1186=1,0,ROUNDUP(AI1186/BN1186,0))</f>
        <v/>
      </c>
      <c r="AK1186" s="64">
        <f>IF(BO1186=1,IF(AI1186&lt;=0,0,BP1186*MAX(1,IF(G1186&gt;0,AI1186/G1186,1))),AJ1186*Q1186)</f>
        <v/>
      </c>
      <c r="AL1186" s="55">
        <f>AI1186*F1186</f>
        <v/>
      </c>
      <c r="AM1186" s="55">
        <f>ROUNDUP(MAX(I1186/IF(BS1186&gt;0,BS1186,MAX(0.1,N(Cockpit!$I$6))),BV1186)/BN1186,0)*BN1186</f>
        <v/>
      </c>
      <c r="AN1186" s="56">
        <f>IF(AK1186&gt;0,I1186/AK1186,-1)</f>
        <v/>
      </c>
      <c r="AO1186" s="56">
        <f>IF(AND(OR(BR1186="L1",BR1186="L23"),AK1186&gt;0),SUMIFS($AK$7:$AK$1570,$BR$7:$BR$1570,BR1186,$AN$7:$AN$1570,"&gt;"&amp;AN1186)+SUMIFS($AK$7:$AK$1570,$BR$7:$BR$1570,BR1186,$AN$7:$AN$1570,AN1186,$BL$7:$BL$1570,"&lt;="&amp;BL1186),"")</f>
        <v/>
      </c>
      <c r="AP1186" s="65">
        <f>IF(AO1186="",0,MAX(0,MIN(1,(IF(BR1186="L1",Parameter!$K$5,Parameter!$K$6+Parameter!$K$7)-(AO1186-AK1186))/AK1186)))</f>
        <v/>
      </c>
      <c r="AQ1186" s="55">
        <f>IF(LEFT(Cockpit!$O$5,1)="A",G1186,IF(BT1186=1,BU1186,IF(LEFT(Cockpit!$O$5,1)="B",AU1186,MAX(AU1186,G1186))))</f>
        <v/>
      </c>
      <c r="AR1186" s="55">
        <f>IF(BO1186=1,0,ROUNDUP(AQ1186/BN1186,0))</f>
        <v/>
      </c>
      <c r="AS1186" s="64">
        <f>IF(BO1186=1,IF(AQ1186&lt;=0,0,BP1186*MAX(1,IF(G1186&gt;0,AQ1186/G1186,1))),AR1186*Q1186)</f>
        <v/>
      </c>
      <c r="AT1186" s="55">
        <f>AQ1186*F1186</f>
        <v/>
      </c>
      <c r="AU1186" s="55">
        <f>ROUNDUP(MAX(I1186/IF(BS1186&gt;0,BS1186,MAX(0.1,N(Cockpit!$O$6))),BV1186)/BN1186,0)*BN1186</f>
        <v/>
      </c>
      <c r="AV1186" s="56">
        <f>IF(AS1186&gt;0,I1186/AS1186,-1)</f>
        <v/>
      </c>
      <c r="AW1186" s="56">
        <f>IF(AND(OR(BR1186="L1",BR1186="L23"),AS1186&gt;0),SUMIFS($AS$7:$AS$1570,$BR$7:$BR$1570,BR1186,$AV$7:$AV$1570,"&gt;"&amp;AV1186)+SUMIFS($AS$7:$AS$1570,$BR$7:$BR$1570,BR1186,$AV$7:$AV$1570,AV1186,$BL$7:$BL$1570,"&lt;="&amp;BL1186),"")</f>
        <v/>
      </c>
      <c r="AX1186" s="65">
        <f>IF(AW1186="",0,MAX(0,MIN(1,(IF(BR1186="L1",Parameter!$K$5,Parameter!$K$6+Parameter!$K$7)-(AW1186-AS1186))/AS1186)))</f>
        <v/>
      </c>
      <c r="AY1186" s="53">
        <f>IF(AC1186&lt;=0,"",IF(BR1186="Aussen","Aussenlager",IF(BR1186="-","Nicht im Lift",IF(AH1186&gt;=1,"Lift",IF(AH1186&lt;=0,"Aussenlager","teilweise")))))</f>
        <v/>
      </c>
      <c r="AZ1186" s="53">
        <f>IF(AK1186&lt;=0,"",IF(BR1186="Aussen","Aussenlager",IF(BR1186="-","Nicht im Lift",IF(AP1186&gt;=1,"Lift",IF(AP1186&lt;=0,"Aussenlager","teilweise")))))</f>
        <v/>
      </c>
      <c r="BA1186" s="53">
        <f>IF(AS1186&lt;=0,"",IF(BR1186="Aussen","Aussenlager",IF(BR1186="-","Nicht im Lift",IF(AX1186&gt;=1,"Lift",IF(AX1186&lt;=0,"Aussenlager","teilweise")))))</f>
        <v/>
      </c>
      <c r="BB1186" s="53">
        <f>IF(A1186="","",IF(BK1186=1,"Neu; ","")&amp;IF(AND(BK1186=0,BF1186&lt;0),"negativer Bestand (Export "&amp;BF1186&amp;"); ","")&amp;IF(I1186&lt;=0,"Kein Verbrauch; ","")&amp;IF(BO1186=1,"Lose – Fläche geschätzt; ","")&amp;IF(G1186&gt;AM1186,"Überbestand "&amp;ROUND(G1186-AM1186,0)&amp;" Stk / CHF "&amp;ROUND((G1186-AM1186)*F1186,0)&amp;"; ","")&amp;IF(AND(BT1186=1,BU1186&lt;BV1186),"MAX &lt; MB+LG; ","")&amp;IF(AND(BZ1186&gt;0,BY1186*10&gt;BZ1186),"zu hoch für Tablar; ","")&amp;IF(AND(BK1186=0,OR(BT1186=1,V1186&lt;&gt;"",S1186&lt;&gt;"",T1186&lt;&gt;"",W1186&lt;&gt;"")),"manuell übersteuert; ","")&amp;IF(AND(BO1186=0,Q1186=0),"Gebinde unbekannt; ","")&amp;IF(AND(BO1186=0,N(T1186)&lt;=0,N(P1186)&lt;=0),"Menge pro Gebinde fehlt (Ist = 1 Gebinde); ","")&amp;BJ1186)</f>
        <v/>
      </c>
      <c r="BC1186" s="53" t="n"/>
      <c r="BD1186" s="53" t="n"/>
      <c r="BE1186" s="61" t="n"/>
      <c r="BF1186" s="55" t="n">
        <v>-1</v>
      </c>
      <c r="BG1186" s="55" t="n">
        <v>9</v>
      </c>
      <c r="BH1186" s="54" t="n">
        <v>-393.01</v>
      </c>
      <c r="BI1186" s="55" t="n">
        <v>1</v>
      </c>
      <c r="BJ1186" s="53" t="inlineStr"/>
      <c r="BK1186" s="58" t="n">
        <v>0</v>
      </c>
      <c r="BL1186" s="58" t="n">
        <v>1186</v>
      </c>
      <c r="BM1186" s="53">
        <f>IF(S1186&lt;&gt;"",UPPER(TRIM(S1186)),IF(O1186="","LOSE",O1186))</f>
        <v/>
      </c>
      <c r="BN1186" s="55">
        <f>IF(BM1186="LOSE",1,IF(N(T1186)&gt;0,T1186,IF(N(P1186)&gt;0,P1186,MAX(1,G1186))))</f>
        <v/>
      </c>
      <c r="BO1186" s="58">
        <f>IF(BM1186="LOSE",1,0)</f>
        <v/>
      </c>
      <c r="BP1186" s="64">
        <f>IF(BO1186=0,0,IF(N(R1186)&gt;0,R1186,IFERROR(VLOOKUP(D1186,Parameter!$A$35:$C$64,3,0)+0,0)))</f>
        <v/>
      </c>
      <c r="BQ1186" s="53">
        <f>IF(V1186&lt;&gt;"",V1186,U1186)</f>
        <v/>
      </c>
      <c r="BR1186" s="53">
        <f>IF(BQ1186=1,"L1",IF(OR(BQ1186=2,BQ1186=3),"L23",IF(BQ1186="Aussen","Aussen","-")))</f>
        <v/>
      </c>
      <c r="BS1186" s="66">
        <f>IF(N(W1186)&gt;0,W1186,0)</f>
        <v/>
      </c>
      <c r="BT1186" s="58">
        <f>IF(ISNUMBER(Z1186),1,0)</f>
        <v/>
      </c>
      <c r="BU1186" s="55">
        <f>N(Z1186)</f>
        <v/>
      </c>
      <c r="BV1186" s="55">
        <f>N(L1186)+N(M1186)</f>
        <v/>
      </c>
      <c r="BW1186" s="55">
        <f>ROUNDUP(G1186/BN1186,0)</f>
        <v/>
      </c>
      <c r="BX1186" s="55">
        <f>ROUNDUP(BU1186/BN1186,0)</f>
        <v/>
      </c>
      <c r="BY1186" s="58">
        <f>IF(BO1186=1,0,IFERROR(VLOOKUP(BM1186,'Gebinde-Kategorie'!$A$5:$G$45,5,0)+0,0))</f>
        <v/>
      </c>
      <c r="BZ1186" s="58">
        <f>IFERROR(IF(OR(BQ1186=1,BQ1186=2,BQ1186=3),N(INDEX(Parameter!$I$5:$I$7,BQ1186)),0),0)</f>
        <v/>
      </c>
    </row>
    <row r="1187">
      <c r="A1187" s="53" t="inlineStr">
        <is>
          <t>109695</t>
        </is>
      </c>
      <c r="B1187" s="53" t="inlineStr">
        <is>
          <t>Ansaugfilter zu Spülluftmodul</t>
        </is>
      </c>
      <c r="C1187" s="53" t="inlineStr">
        <is>
          <t>F</t>
        </is>
      </c>
      <c r="D1187" s="53" t="inlineStr">
        <is>
          <t>PAL</t>
        </is>
      </c>
      <c r="E1187" s="53" t="inlineStr">
        <is>
          <t>C</t>
        </is>
      </c>
      <c r="F1187" s="54" t="n">
        <v>46.89</v>
      </c>
      <c r="G1187" s="55">
        <f>MAX(0,IF(Parameter!$B$20="Jahresanfang 2025 + Export",BG1187+BF1187,BF1187))</f>
        <v/>
      </c>
      <c r="H1187" s="55">
        <f>G1187*F1187</f>
        <v/>
      </c>
      <c r="I1187" s="55">
        <f>BI1187*Parameter!$B$18</f>
        <v/>
      </c>
      <c r="J1187" s="56" t="n">
        <v>11.5</v>
      </c>
      <c r="K1187" s="57" t="n">
        <v>1.043478260869565</v>
      </c>
      <c r="L1187" s="55" t="n">
        <v>1</v>
      </c>
      <c r="M1187" s="55" t="n">
        <v>10</v>
      </c>
      <c r="N1187" s="58" t="n">
        <v>42</v>
      </c>
      <c r="O1187" s="53" t="inlineStr">
        <is>
          <t>LOSE</t>
        </is>
      </c>
      <c r="P1187" s="55" t="n"/>
      <c r="Q1187" s="59">
        <f>IF(BO1187=1,0,IFERROR(VLOOKUP(BM1187,'Gebinde-Kategorie'!$A$5:$G$45,6,0)+0,0))</f>
        <v/>
      </c>
      <c r="R1187" s="60" t="n"/>
      <c r="S1187" s="61" t="n"/>
      <c r="T1187" s="61" t="n"/>
      <c r="U1187" s="53">
        <f>IF(A1187="","",IF(IFERROR(VLOOKUP(D1187,Parameter!$A$35:$C$64,2,0),"Nein")="2+3",IF(ISNUMBER(SEARCH("grosser Artikel",BJ1187)),2,IFERROR(VLOOKUP(BM1187,Parameter!$F$35:$G$64,2,0),2)),IF(OR(IFERROR(VLOOKUP(D1187,Parameter!$A$35:$C$64,2,0),"Nein")="Nein",IFERROR(VLOOKUP(D1187,Parameter!$A$35:$C$64,2,0),"Nein")=""),"-",VLOOKUP(D1187,Parameter!$A$35:$C$64,2,0))))</f>
        <v/>
      </c>
      <c r="V1187" s="61" t="n"/>
      <c r="W1187" s="62" t="n"/>
      <c r="X1187" s="55">
        <f>AM1187</f>
        <v/>
      </c>
      <c r="Y1187" s="55">
        <f>MAX(AM1187,G1187)</f>
        <v/>
      </c>
      <c r="Z1187" s="63" t="n"/>
      <c r="AA1187" s="55">
        <f>IF(LEFT(Cockpit!$C$5,1)="A",G1187,IF(BT1187=1,BU1187,IF(LEFT(Cockpit!$C$5,1)="B",AE1187,MAX(AE1187,G1187))))</f>
        <v/>
      </c>
      <c r="AB1187" s="55">
        <f>IF(BO1187=1,0,ROUNDUP(AA1187/BN1187,0))</f>
        <v/>
      </c>
      <c r="AC1187" s="64">
        <f>IF(BO1187=1,IF(AA1187&lt;=0,0,BP1187*MAX(1,IF(G1187&gt;0,AA1187/G1187,1))),AB1187*Q1187)</f>
        <v/>
      </c>
      <c r="AD1187" s="55">
        <f>AA1187*F1187</f>
        <v/>
      </c>
      <c r="AE1187" s="55">
        <f>ROUNDUP(MAX(I1187/IF(BS1187&gt;0,BS1187,MAX(0.1,N(Cockpit!$C$6))),BV1187)/BN1187,0)*BN1187</f>
        <v/>
      </c>
      <c r="AF1187" s="56">
        <f>IF(AC1187&gt;0,I1187/AC1187,-1)</f>
        <v/>
      </c>
      <c r="AG1187" s="56">
        <f>IF(AND(OR(BR1187="L1",BR1187="L23"),AC1187&gt;0),SUMIFS($AC$7:$AC$1570,$BR$7:$BR$1570,BR1187,$AF$7:$AF$1570,"&gt;"&amp;AF1187)+SUMIFS($AC$7:$AC$1570,$BR$7:$BR$1570,BR1187,$AF$7:$AF$1570,AF1187,$BL$7:$BL$1570,"&lt;="&amp;BL1187),"")</f>
        <v/>
      </c>
      <c r="AH1187" s="65">
        <f>IF(AG1187="",0,MAX(0,MIN(1,(IF(BR1187="L1",Parameter!$K$5,Parameter!$K$6+Parameter!$K$7)-(AG1187-AC1187))/AC1187)))</f>
        <v/>
      </c>
      <c r="AI1187" s="55">
        <f>IF(LEFT(Cockpit!$I$5,1)="A",G1187,IF(BT1187=1,BU1187,IF(LEFT(Cockpit!$I$5,1)="B",AM1187,MAX(AM1187,G1187))))</f>
        <v/>
      </c>
      <c r="AJ1187" s="55">
        <f>IF(BO1187=1,0,ROUNDUP(AI1187/BN1187,0))</f>
        <v/>
      </c>
      <c r="AK1187" s="64">
        <f>IF(BO1187=1,IF(AI1187&lt;=0,0,BP1187*MAX(1,IF(G1187&gt;0,AI1187/G1187,1))),AJ1187*Q1187)</f>
        <v/>
      </c>
      <c r="AL1187" s="55">
        <f>AI1187*F1187</f>
        <v/>
      </c>
      <c r="AM1187" s="55">
        <f>ROUNDUP(MAX(I1187/IF(BS1187&gt;0,BS1187,MAX(0.1,N(Cockpit!$I$6))),BV1187)/BN1187,0)*BN1187</f>
        <v/>
      </c>
      <c r="AN1187" s="56">
        <f>IF(AK1187&gt;0,I1187/AK1187,-1)</f>
        <v/>
      </c>
      <c r="AO1187" s="56">
        <f>IF(AND(OR(BR1187="L1",BR1187="L23"),AK1187&gt;0),SUMIFS($AK$7:$AK$1570,$BR$7:$BR$1570,BR1187,$AN$7:$AN$1570,"&gt;"&amp;AN1187)+SUMIFS($AK$7:$AK$1570,$BR$7:$BR$1570,BR1187,$AN$7:$AN$1570,AN1187,$BL$7:$BL$1570,"&lt;="&amp;BL1187),"")</f>
        <v/>
      </c>
      <c r="AP1187" s="65">
        <f>IF(AO1187="",0,MAX(0,MIN(1,(IF(BR1187="L1",Parameter!$K$5,Parameter!$K$6+Parameter!$K$7)-(AO1187-AK1187))/AK1187)))</f>
        <v/>
      </c>
      <c r="AQ1187" s="55">
        <f>IF(LEFT(Cockpit!$O$5,1)="A",G1187,IF(BT1187=1,BU1187,IF(LEFT(Cockpit!$O$5,1)="B",AU1187,MAX(AU1187,G1187))))</f>
        <v/>
      </c>
      <c r="AR1187" s="55">
        <f>IF(BO1187=1,0,ROUNDUP(AQ1187/BN1187,0))</f>
        <v/>
      </c>
      <c r="AS1187" s="64">
        <f>IF(BO1187=1,IF(AQ1187&lt;=0,0,BP1187*MAX(1,IF(G1187&gt;0,AQ1187/G1187,1))),AR1187*Q1187)</f>
        <v/>
      </c>
      <c r="AT1187" s="55">
        <f>AQ1187*F1187</f>
        <v/>
      </c>
      <c r="AU1187" s="55">
        <f>ROUNDUP(MAX(I1187/IF(BS1187&gt;0,BS1187,MAX(0.1,N(Cockpit!$O$6))),BV1187)/BN1187,0)*BN1187</f>
        <v/>
      </c>
      <c r="AV1187" s="56">
        <f>IF(AS1187&gt;0,I1187/AS1187,-1)</f>
        <v/>
      </c>
      <c r="AW1187" s="56">
        <f>IF(AND(OR(BR1187="L1",BR1187="L23"),AS1187&gt;0),SUMIFS($AS$7:$AS$1570,$BR$7:$BR$1570,BR1187,$AV$7:$AV$1570,"&gt;"&amp;AV1187)+SUMIFS($AS$7:$AS$1570,$BR$7:$BR$1570,BR1187,$AV$7:$AV$1570,AV1187,$BL$7:$BL$1570,"&lt;="&amp;BL1187),"")</f>
        <v/>
      </c>
      <c r="AX1187" s="65">
        <f>IF(AW1187="",0,MAX(0,MIN(1,(IF(BR1187="L1",Parameter!$K$5,Parameter!$K$6+Parameter!$K$7)-(AW1187-AS1187))/AS1187)))</f>
        <v/>
      </c>
      <c r="AY1187" s="53">
        <f>IF(AC1187&lt;=0,"",IF(BR1187="Aussen","Aussenlager",IF(BR1187="-","Nicht im Lift",IF(AH1187&gt;=1,"Lift",IF(AH1187&lt;=0,"Aussenlager","teilweise")))))</f>
        <v/>
      </c>
      <c r="AZ1187" s="53">
        <f>IF(AK1187&lt;=0,"",IF(BR1187="Aussen","Aussenlager",IF(BR1187="-","Nicht im Lift",IF(AP1187&gt;=1,"Lift",IF(AP1187&lt;=0,"Aussenlager","teilweise")))))</f>
        <v/>
      </c>
      <c r="BA1187" s="53">
        <f>IF(AS1187&lt;=0,"",IF(BR1187="Aussen","Aussenlager",IF(BR1187="-","Nicht im Lift",IF(AX1187&gt;=1,"Lift",IF(AX1187&lt;=0,"Aussenlager","teilweise")))))</f>
        <v/>
      </c>
      <c r="BB1187" s="53">
        <f>IF(A1187="","",IF(BK1187=1,"Neu; ","")&amp;IF(AND(BK1187=0,BF1187&lt;0),"negativer Bestand (Export "&amp;BF1187&amp;"); ","")&amp;IF(I1187&lt;=0,"Kein Verbrauch; ","")&amp;IF(BO1187=1,"Lose – Fläche geschätzt; ","")&amp;IF(G1187&gt;AM1187,"Überbestand "&amp;ROUND(G1187-AM1187,0)&amp;" Stk / CHF "&amp;ROUND((G1187-AM1187)*F1187,0)&amp;"; ","")&amp;IF(AND(BT1187=1,BU1187&lt;BV1187),"MAX &lt; MB+LG; ","")&amp;IF(AND(BZ1187&gt;0,BY1187*10&gt;BZ1187),"zu hoch für Tablar; ","")&amp;IF(AND(BK1187=0,OR(BT1187=1,V1187&lt;&gt;"",S1187&lt;&gt;"",T1187&lt;&gt;"",W1187&lt;&gt;"")),"manuell übersteuert; ","")&amp;IF(AND(BO1187=0,Q1187=0),"Gebinde unbekannt; ","")&amp;IF(AND(BO1187=0,N(T1187)&lt;=0,N(P1187)&lt;=0),"Menge pro Gebinde fehlt (Ist = 1 Gebinde); ","")&amp;BJ1187)</f>
        <v/>
      </c>
      <c r="BC1187" s="53" t="n"/>
      <c r="BD1187" s="53" t="n"/>
      <c r="BE1187" s="61" t="n"/>
      <c r="BF1187" s="55" t="n">
        <v>-7</v>
      </c>
      <c r="BG1187" s="55" t="n">
        <v>14</v>
      </c>
      <c r="BH1187" s="54" t="n">
        <v>-410.2700000000003</v>
      </c>
      <c r="BI1187" s="55" t="n">
        <v>12</v>
      </c>
      <c r="BJ1187" s="53" t="inlineStr"/>
      <c r="BK1187" s="58" t="n">
        <v>0</v>
      </c>
      <c r="BL1187" s="58" t="n">
        <v>1187</v>
      </c>
      <c r="BM1187" s="53">
        <f>IF(S1187&lt;&gt;"",UPPER(TRIM(S1187)),IF(O1187="","LOSE",O1187))</f>
        <v/>
      </c>
      <c r="BN1187" s="55">
        <f>IF(BM1187="LOSE",1,IF(N(T1187)&gt;0,T1187,IF(N(P1187)&gt;0,P1187,MAX(1,G1187))))</f>
        <v/>
      </c>
      <c r="BO1187" s="58">
        <f>IF(BM1187="LOSE",1,0)</f>
        <v/>
      </c>
      <c r="BP1187" s="64">
        <f>IF(BO1187=0,0,IF(N(R1187)&gt;0,R1187,IFERROR(VLOOKUP(D1187,Parameter!$A$35:$C$64,3,0)+0,0)))</f>
        <v/>
      </c>
      <c r="BQ1187" s="53">
        <f>IF(V1187&lt;&gt;"",V1187,U1187)</f>
        <v/>
      </c>
      <c r="BR1187" s="53">
        <f>IF(BQ1187=1,"L1",IF(OR(BQ1187=2,BQ1187=3),"L23",IF(BQ1187="Aussen","Aussen","-")))</f>
        <v/>
      </c>
      <c r="BS1187" s="66">
        <f>IF(N(W1187)&gt;0,W1187,0)</f>
        <v/>
      </c>
      <c r="BT1187" s="58">
        <f>IF(ISNUMBER(Z1187),1,0)</f>
        <v/>
      </c>
      <c r="BU1187" s="55">
        <f>N(Z1187)</f>
        <v/>
      </c>
      <c r="BV1187" s="55">
        <f>N(L1187)+N(M1187)</f>
        <v/>
      </c>
      <c r="BW1187" s="55">
        <f>ROUNDUP(G1187/BN1187,0)</f>
        <v/>
      </c>
      <c r="BX1187" s="55">
        <f>ROUNDUP(BU1187/BN1187,0)</f>
        <v/>
      </c>
      <c r="BY1187" s="58">
        <f>IF(BO1187=1,0,IFERROR(VLOOKUP(BM1187,'Gebinde-Kategorie'!$A$5:$G$45,5,0)+0,0))</f>
        <v/>
      </c>
      <c r="BZ1187" s="58">
        <f>IFERROR(IF(OR(BQ1187=1,BQ1187=2,BQ1187=3),N(INDEX(Parameter!$I$5:$I$7,BQ1187)),0),0)</f>
        <v/>
      </c>
    </row>
    <row r="1188">
      <c r="A1188" s="53" t="inlineStr">
        <is>
          <t>001069</t>
        </is>
      </c>
      <c r="B1188" s="53" t="inlineStr">
        <is>
          <t>VCI-Folie</t>
        </is>
      </c>
      <c r="C1188" s="53" t="inlineStr">
        <is>
          <t>F</t>
        </is>
      </c>
      <c r="D1188" s="53" t="inlineStr">
        <is>
          <t>PAL</t>
        </is>
      </c>
      <c r="E1188" s="53" t="inlineStr">
        <is>
          <t>C</t>
        </is>
      </c>
      <c r="F1188" s="54" t="n">
        <v>457</v>
      </c>
      <c r="G1188" s="55">
        <f>MAX(0,IF(Parameter!$B$20="Jahresanfang 2025 + Export",BG1188+BF1188,BF1188))</f>
        <v/>
      </c>
      <c r="H1188" s="55">
        <f>G1188*F1188</f>
        <v/>
      </c>
      <c r="I1188" s="55">
        <f>BI1188*Parameter!$B$18</f>
        <v/>
      </c>
      <c r="J1188" s="56" t="n">
        <v>1.5</v>
      </c>
      <c r="K1188" s="57" t="n">
        <v>2</v>
      </c>
      <c r="L1188" s="55" t="n">
        <v>0</v>
      </c>
      <c r="M1188" s="55" t="n">
        <v>5</v>
      </c>
      <c r="N1188" s="58" t="n">
        <v>21</v>
      </c>
      <c r="O1188" s="53" t="inlineStr">
        <is>
          <t>LOSE</t>
        </is>
      </c>
      <c r="P1188" s="55" t="n"/>
      <c r="Q1188" s="59">
        <f>IF(BO1188=1,0,IFERROR(VLOOKUP(BM1188,'Gebinde-Kategorie'!$A$5:$G$45,6,0)+0,0))</f>
        <v/>
      </c>
      <c r="R1188" s="60" t="n"/>
      <c r="S1188" s="61" t="n"/>
      <c r="T1188" s="61" t="n"/>
      <c r="U1188" s="53">
        <f>IF(A1188="","",IF(IFERROR(VLOOKUP(D1188,Parameter!$A$35:$C$64,2,0),"Nein")="2+3",IF(ISNUMBER(SEARCH("grosser Artikel",BJ1188)),2,IFERROR(VLOOKUP(BM1188,Parameter!$F$35:$G$64,2,0),2)),IF(OR(IFERROR(VLOOKUP(D1188,Parameter!$A$35:$C$64,2,0),"Nein")="Nein",IFERROR(VLOOKUP(D1188,Parameter!$A$35:$C$64,2,0),"Nein")=""),"-",VLOOKUP(D1188,Parameter!$A$35:$C$64,2,0))))</f>
        <v/>
      </c>
      <c r="V1188" s="61" t="n"/>
      <c r="W1188" s="62" t="n"/>
      <c r="X1188" s="55">
        <f>AM1188</f>
        <v/>
      </c>
      <c r="Y1188" s="55">
        <f>MAX(AM1188,G1188)</f>
        <v/>
      </c>
      <c r="Z1188" s="63" t="n"/>
      <c r="AA1188" s="55">
        <f>IF(LEFT(Cockpit!$C$5,1)="A",G1188,IF(BT1188=1,BU1188,IF(LEFT(Cockpit!$C$5,1)="B",AE1188,MAX(AE1188,G1188))))</f>
        <v/>
      </c>
      <c r="AB1188" s="55">
        <f>IF(BO1188=1,0,ROUNDUP(AA1188/BN1188,0))</f>
        <v/>
      </c>
      <c r="AC1188" s="64">
        <f>IF(BO1188=1,IF(AA1188&lt;=0,0,BP1188*MAX(1,IF(G1188&gt;0,AA1188/G1188,1))),AB1188*Q1188)</f>
        <v/>
      </c>
      <c r="AD1188" s="55">
        <f>AA1188*F1188</f>
        <v/>
      </c>
      <c r="AE1188" s="55">
        <f>ROUNDUP(MAX(I1188/IF(BS1188&gt;0,BS1188,MAX(0.1,N(Cockpit!$C$6))),BV1188)/BN1188,0)*BN1188</f>
        <v/>
      </c>
      <c r="AF1188" s="56">
        <f>IF(AC1188&gt;0,I1188/AC1188,-1)</f>
        <v/>
      </c>
      <c r="AG1188" s="56">
        <f>IF(AND(OR(BR1188="L1",BR1188="L23"),AC1188&gt;0),SUMIFS($AC$7:$AC$1570,$BR$7:$BR$1570,BR1188,$AF$7:$AF$1570,"&gt;"&amp;AF1188)+SUMIFS($AC$7:$AC$1570,$BR$7:$BR$1570,BR1188,$AF$7:$AF$1570,AF1188,$BL$7:$BL$1570,"&lt;="&amp;BL1188),"")</f>
        <v/>
      </c>
      <c r="AH1188" s="65">
        <f>IF(AG1188="",0,MAX(0,MIN(1,(IF(BR1188="L1",Parameter!$K$5,Parameter!$K$6+Parameter!$K$7)-(AG1188-AC1188))/AC1188)))</f>
        <v/>
      </c>
      <c r="AI1188" s="55">
        <f>IF(LEFT(Cockpit!$I$5,1)="A",G1188,IF(BT1188=1,BU1188,IF(LEFT(Cockpit!$I$5,1)="B",AM1188,MAX(AM1188,G1188))))</f>
        <v/>
      </c>
      <c r="AJ1188" s="55">
        <f>IF(BO1188=1,0,ROUNDUP(AI1188/BN1188,0))</f>
        <v/>
      </c>
      <c r="AK1188" s="64">
        <f>IF(BO1188=1,IF(AI1188&lt;=0,0,BP1188*MAX(1,IF(G1188&gt;0,AI1188/G1188,1))),AJ1188*Q1188)</f>
        <v/>
      </c>
      <c r="AL1188" s="55">
        <f>AI1188*F1188</f>
        <v/>
      </c>
      <c r="AM1188" s="55">
        <f>ROUNDUP(MAX(I1188/IF(BS1188&gt;0,BS1188,MAX(0.1,N(Cockpit!$I$6))),BV1188)/BN1188,0)*BN1188</f>
        <v/>
      </c>
      <c r="AN1188" s="56">
        <f>IF(AK1188&gt;0,I1188/AK1188,-1)</f>
        <v/>
      </c>
      <c r="AO1188" s="56">
        <f>IF(AND(OR(BR1188="L1",BR1188="L23"),AK1188&gt;0),SUMIFS($AK$7:$AK$1570,$BR$7:$BR$1570,BR1188,$AN$7:$AN$1570,"&gt;"&amp;AN1188)+SUMIFS($AK$7:$AK$1570,$BR$7:$BR$1570,BR1188,$AN$7:$AN$1570,AN1188,$BL$7:$BL$1570,"&lt;="&amp;BL1188),"")</f>
        <v/>
      </c>
      <c r="AP1188" s="65">
        <f>IF(AO1188="",0,MAX(0,MIN(1,(IF(BR1188="L1",Parameter!$K$5,Parameter!$K$6+Parameter!$K$7)-(AO1188-AK1188))/AK1188)))</f>
        <v/>
      </c>
      <c r="AQ1188" s="55">
        <f>IF(LEFT(Cockpit!$O$5,1)="A",G1188,IF(BT1188=1,BU1188,IF(LEFT(Cockpit!$O$5,1)="B",AU1188,MAX(AU1188,G1188))))</f>
        <v/>
      </c>
      <c r="AR1188" s="55">
        <f>IF(BO1188=1,0,ROUNDUP(AQ1188/BN1188,0))</f>
        <v/>
      </c>
      <c r="AS1188" s="64">
        <f>IF(BO1188=1,IF(AQ1188&lt;=0,0,BP1188*MAX(1,IF(G1188&gt;0,AQ1188/G1188,1))),AR1188*Q1188)</f>
        <v/>
      </c>
      <c r="AT1188" s="55">
        <f>AQ1188*F1188</f>
        <v/>
      </c>
      <c r="AU1188" s="55">
        <f>ROUNDUP(MAX(I1188/IF(BS1188&gt;0,BS1188,MAX(0.1,N(Cockpit!$O$6))),BV1188)/BN1188,0)*BN1188</f>
        <v/>
      </c>
      <c r="AV1188" s="56">
        <f>IF(AS1188&gt;0,I1188/AS1188,-1)</f>
        <v/>
      </c>
      <c r="AW1188" s="56">
        <f>IF(AND(OR(BR1188="L1",BR1188="L23"),AS1188&gt;0),SUMIFS($AS$7:$AS$1570,$BR$7:$BR$1570,BR1188,$AV$7:$AV$1570,"&gt;"&amp;AV1188)+SUMIFS($AS$7:$AS$1570,$BR$7:$BR$1570,BR1188,$AV$7:$AV$1570,AV1188,$BL$7:$BL$1570,"&lt;="&amp;BL1188),"")</f>
        <v/>
      </c>
      <c r="AX1188" s="65">
        <f>IF(AW1188="",0,MAX(0,MIN(1,(IF(BR1188="L1",Parameter!$K$5,Parameter!$K$6+Parameter!$K$7)-(AW1188-AS1188))/AS1188)))</f>
        <v/>
      </c>
      <c r="AY1188" s="53">
        <f>IF(AC1188&lt;=0,"",IF(BR1188="Aussen","Aussenlager",IF(BR1188="-","Nicht im Lift",IF(AH1188&gt;=1,"Lift",IF(AH1188&lt;=0,"Aussenlager","teilweise")))))</f>
        <v/>
      </c>
      <c r="AZ1188" s="53">
        <f>IF(AK1188&lt;=0,"",IF(BR1188="Aussen","Aussenlager",IF(BR1188="-","Nicht im Lift",IF(AP1188&gt;=1,"Lift",IF(AP1188&lt;=0,"Aussenlager","teilweise")))))</f>
        <v/>
      </c>
      <c r="BA1188" s="53">
        <f>IF(AS1188&lt;=0,"",IF(BR1188="Aussen","Aussenlager",IF(BR1188="-","Nicht im Lift",IF(AX1188&gt;=1,"Lift",IF(AX1188&lt;=0,"Aussenlager","teilweise")))))</f>
        <v/>
      </c>
      <c r="BB1188" s="53">
        <f>IF(A1188="","",IF(BK1188=1,"Neu; ","")&amp;IF(AND(BK1188=0,BF1188&lt;0),"negativer Bestand (Export "&amp;BF1188&amp;"); ","")&amp;IF(I1188&lt;=0,"Kein Verbrauch; ","")&amp;IF(BO1188=1,"Lose – Fläche geschätzt; ","")&amp;IF(G1188&gt;AM1188,"Überbestand "&amp;ROUND(G1188-AM1188,0)&amp;" Stk / CHF "&amp;ROUND((G1188-AM1188)*F1188,0)&amp;"; ","")&amp;IF(AND(BT1188=1,BU1188&lt;BV1188),"MAX &lt; MB+LG; ","")&amp;IF(AND(BZ1188&gt;0,BY1188*10&gt;BZ1188),"zu hoch für Tablar; ","")&amp;IF(AND(BK1188=0,OR(BT1188=1,V1188&lt;&gt;"",S1188&lt;&gt;"",T1188&lt;&gt;"",W1188&lt;&gt;"")),"manuell übersteuert; ","")&amp;IF(AND(BO1188=0,Q1188=0),"Gebinde unbekannt; ","")&amp;IF(AND(BO1188=0,N(T1188)&lt;=0,N(P1188)&lt;=0),"Menge pro Gebinde fehlt (Ist = 1 Gebinde); ","")&amp;BJ1188)</f>
        <v/>
      </c>
      <c r="BC1188" s="53" t="n"/>
      <c r="BD1188" s="53" t="n"/>
      <c r="BE1188" s="61" t="n"/>
      <c r="BF1188" s="55" t="n">
        <v>-1</v>
      </c>
      <c r="BG1188" s="55" t="n">
        <v>2</v>
      </c>
      <c r="BH1188" s="54" t="n">
        <v>-412.34</v>
      </c>
      <c r="BI1188" s="55" t="n">
        <v>3</v>
      </c>
      <c r="BJ1188" s="53" t="inlineStr"/>
      <c r="BK1188" s="58" t="n">
        <v>0</v>
      </c>
      <c r="BL1188" s="58" t="n">
        <v>1188</v>
      </c>
      <c r="BM1188" s="53">
        <f>IF(S1188&lt;&gt;"",UPPER(TRIM(S1188)),IF(O1188="","LOSE",O1188))</f>
        <v/>
      </c>
      <c r="BN1188" s="55">
        <f>IF(BM1188="LOSE",1,IF(N(T1188)&gt;0,T1188,IF(N(P1188)&gt;0,P1188,MAX(1,G1188))))</f>
        <v/>
      </c>
      <c r="BO1188" s="58">
        <f>IF(BM1188="LOSE",1,0)</f>
        <v/>
      </c>
      <c r="BP1188" s="64">
        <f>IF(BO1188=0,0,IF(N(R1188)&gt;0,R1188,IFERROR(VLOOKUP(D1188,Parameter!$A$35:$C$64,3,0)+0,0)))</f>
        <v/>
      </c>
      <c r="BQ1188" s="53">
        <f>IF(V1188&lt;&gt;"",V1188,U1188)</f>
        <v/>
      </c>
      <c r="BR1188" s="53">
        <f>IF(BQ1188=1,"L1",IF(OR(BQ1188=2,BQ1188=3),"L23",IF(BQ1188="Aussen","Aussen","-")))</f>
        <v/>
      </c>
      <c r="BS1188" s="66">
        <f>IF(N(W1188)&gt;0,W1188,0)</f>
        <v/>
      </c>
      <c r="BT1188" s="58">
        <f>IF(ISNUMBER(Z1188),1,0)</f>
        <v/>
      </c>
      <c r="BU1188" s="55">
        <f>N(Z1188)</f>
        <v/>
      </c>
      <c r="BV1188" s="55">
        <f>N(L1188)+N(M1188)</f>
        <v/>
      </c>
      <c r="BW1188" s="55">
        <f>ROUNDUP(G1188/BN1188,0)</f>
        <v/>
      </c>
      <c r="BX1188" s="55">
        <f>ROUNDUP(BU1188/BN1188,0)</f>
        <v/>
      </c>
      <c r="BY1188" s="58">
        <f>IF(BO1188=1,0,IFERROR(VLOOKUP(BM1188,'Gebinde-Kategorie'!$A$5:$G$45,5,0)+0,0))</f>
        <v/>
      </c>
      <c r="BZ1188" s="58">
        <f>IFERROR(IF(OR(BQ1188=1,BQ1188=2,BQ1188=3),N(INDEX(Parameter!$I$5:$I$7,BQ1188)),0),0)</f>
        <v/>
      </c>
    </row>
    <row r="1189">
      <c r="A1189" s="53" t="inlineStr">
        <is>
          <t>100383</t>
        </is>
      </c>
      <c r="B1189" s="53" t="inlineStr">
        <is>
          <t>Federring</t>
        </is>
      </c>
      <c r="C1189" s="53" t="inlineStr">
        <is>
          <t>F</t>
        </is>
      </c>
      <c r="D1189" s="53" t="inlineStr">
        <is>
          <t>KTL</t>
        </is>
      </c>
      <c r="E1189" s="53" t="inlineStr">
        <is>
          <t>C</t>
        </is>
      </c>
      <c r="F1189" s="54" t="n">
        <v>2.2</v>
      </c>
      <c r="G1189" s="55">
        <f>MAX(0,IF(Parameter!$B$20="Jahresanfang 2025 + Export",BG1189+BF1189,BF1189))</f>
        <v/>
      </c>
      <c r="H1189" s="55">
        <f>G1189*F1189</f>
        <v/>
      </c>
      <c r="I1189" s="55">
        <f>BI1189*Parameter!$B$18</f>
        <v/>
      </c>
      <c r="J1189" s="56" t="n">
        <v>936</v>
      </c>
      <c r="K1189" s="57" t="n">
        <v>0.1260683760683761</v>
      </c>
      <c r="L1189" s="55" t="n">
        <v>6</v>
      </c>
      <c r="M1189" s="55" t="n">
        <v>120</v>
      </c>
      <c r="N1189" s="58" t="n">
        <v>21</v>
      </c>
      <c r="O1189" s="53" t="inlineStr">
        <is>
          <t>S21</t>
        </is>
      </c>
      <c r="P1189" s="55" t="n">
        <v>800</v>
      </c>
      <c r="Q1189" s="59">
        <f>IF(BO1189=1,0,IFERROR(VLOOKUP(BM1189,'Gebinde-Kategorie'!$A$5:$G$45,6,0)+0,0))</f>
        <v/>
      </c>
      <c r="R1189" s="60" t="n"/>
      <c r="S1189" s="61" t="n"/>
      <c r="T1189" s="61" t="n"/>
      <c r="U1189" s="53">
        <f>IF(A1189="","",IF(IFERROR(VLOOKUP(D1189,Parameter!$A$35:$C$64,2,0),"Nein")="2+3",IF(ISNUMBER(SEARCH("grosser Artikel",BJ1189)),2,IFERROR(VLOOKUP(BM1189,Parameter!$F$35:$G$64,2,0),2)),IF(OR(IFERROR(VLOOKUP(D1189,Parameter!$A$35:$C$64,2,0),"Nein")="Nein",IFERROR(VLOOKUP(D1189,Parameter!$A$35:$C$64,2,0),"Nein")=""),"-",VLOOKUP(D1189,Parameter!$A$35:$C$64,2,0))))</f>
        <v/>
      </c>
      <c r="V1189" s="61" t="n"/>
      <c r="W1189" s="62" t="n"/>
      <c r="X1189" s="55">
        <f>AM1189</f>
        <v/>
      </c>
      <c r="Y1189" s="55">
        <f>MAX(AM1189,G1189)</f>
        <v/>
      </c>
      <c r="Z1189" s="63" t="n"/>
      <c r="AA1189" s="55">
        <f>IF(LEFT(Cockpit!$C$5,1)="A",G1189,IF(BT1189=1,BU1189,IF(LEFT(Cockpit!$C$5,1)="B",AE1189,MAX(AE1189,G1189))))</f>
        <v/>
      </c>
      <c r="AB1189" s="55">
        <f>IF(BO1189=1,0,ROUNDUP(AA1189/BN1189,0))</f>
        <v/>
      </c>
      <c r="AC1189" s="64">
        <f>IF(BO1189=1,IF(AA1189&lt;=0,0,BP1189*MAX(1,IF(G1189&gt;0,AA1189/G1189,1))),AB1189*Q1189)</f>
        <v/>
      </c>
      <c r="AD1189" s="55">
        <f>AA1189*F1189</f>
        <v/>
      </c>
      <c r="AE1189" s="55">
        <f>ROUNDUP(MAX(I1189/IF(BS1189&gt;0,BS1189,MAX(0.1,N(Cockpit!$C$6))),BV1189)/BN1189,0)*BN1189</f>
        <v/>
      </c>
      <c r="AF1189" s="56">
        <f>IF(AC1189&gt;0,I1189/AC1189,-1)</f>
        <v/>
      </c>
      <c r="AG1189" s="56">
        <f>IF(AND(OR(BR1189="L1",BR1189="L23"),AC1189&gt;0),SUMIFS($AC$7:$AC$1570,$BR$7:$BR$1570,BR1189,$AF$7:$AF$1570,"&gt;"&amp;AF1189)+SUMIFS($AC$7:$AC$1570,$BR$7:$BR$1570,BR1189,$AF$7:$AF$1570,AF1189,$BL$7:$BL$1570,"&lt;="&amp;BL1189),"")</f>
        <v/>
      </c>
      <c r="AH1189" s="65">
        <f>IF(AG1189="",0,MAX(0,MIN(1,(IF(BR1189="L1",Parameter!$K$5,Parameter!$K$6+Parameter!$K$7)-(AG1189-AC1189))/AC1189)))</f>
        <v/>
      </c>
      <c r="AI1189" s="55">
        <f>IF(LEFT(Cockpit!$I$5,1)="A",G1189,IF(BT1189=1,BU1189,IF(LEFT(Cockpit!$I$5,1)="B",AM1189,MAX(AM1189,G1189))))</f>
        <v/>
      </c>
      <c r="AJ1189" s="55">
        <f>IF(BO1189=1,0,ROUNDUP(AI1189/BN1189,0))</f>
        <v/>
      </c>
      <c r="AK1189" s="64">
        <f>IF(BO1189=1,IF(AI1189&lt;=0,0,BP1189*MAX(1,IF(G1189&gt;0,AI1189/G1189,1))),AJ1189*Q1189)</f>
        <v/>
      </c>
      <c r="AL1189" s="55">
        <f>AI1189*F1189</f>
        <v/>
      </c>
      <c r="AM1189" s="55">
        <f>ROUNDUP(MAX(I1189/IF(BS1189&gt;0,BS1189,MAX(0.1,N(Cockpit!$I$6))),BV1189)/BN1189,0)*BN1189</f>
        <v/>
      </c>
      <c r="AN1189" s="56">
        <f>IF(AK1189&gt;0,I1189/AK1189,-1)</f>
        <v/>
      </c>
      <c r="AO1189" s="56">
        <f>IF(AND(OR(BR1189="L1",BR1189="L23"),AK1189&gt;0),SUMIFS($AK$7:$AK$1570,$BR$7:$BR$1570,BR1189,$AN$7:$AN$1570,"&gt;"&amp;AN1189)+SUMIFS($AK$7:$AK$1570,$BR$7:$BR$1570,BR1189,$AN$7:$AN$1570,AN1189,$BL$7:$BL$1570,"&lt;="&amp;BL1189),"")</f>
        <v/>
      </c>
      <c r="AP1189" s="65">
        <f>IF(AO1189="",0,MAX(0,MIN(1,(IF(BR1189="L1",Parameter!$K$5,Parameter!$K$6+Parameter!$K$7)-(AO1189-AK1189))/AK1189)))</f>
        <v/>
      </c>
      <c r="AQ1189" s="55">
        <f>IF(LEFT(Cockpit!$O$5,1)="A",G1189,IF(BT1189=1,BU1189,IF(LEFT(Cockpit!$O$5,1)="B",AU1189,MAX(AU1189,G1189))))</f>
        <v/>
      </c>
      <c r="AR1189" s="55">
        <f>IF(BO1189=1,0,ROUNDUP(AQ1189/BN1189,0))</f>
        <v/>
      </c>
      <c r="AS1189" s="64">
        <f>IF(BO1189=1,IF(AQ1189&lt;=0,0,BP1189*MAX(1,IF(G1189&gt;0,AQ1189/G1189,1))),AR1189*Q1189)</f>
        <v/>
      </c>
      <c r="AT1189" s="55">
        <f>AQ1189*F1189</f>
        <v/>
      </c>
      <c r="AU1189" s="55">
        <f>ROUNDUP(MAX(I1189/IF(BS1189&gt;0,BS1189,MAX(0.1,N(Cockpit!$O$6))),BV1189)/BN1189,0)*BN1189</f>
        <v/>
      </c>
      <c r="AV1189" s="56">
        <f>IF(AS1189&gt;0,I1189/AS1189,-1)</f>
        <v/>
      </c>
      <c r="AW1189" s="56">
        <f>IF(AND(OR(BR1189="L1",BR1189="L23"),AS1189&gt;0),SUMIFS($AS$7:$AS$1570,$BR$7:$BR$1570,BR1189,$AV$7:$AV$1570,"&gt;"&amp;AV1189)+SUMIFS($AS$7:$AS$1570,$BR$7:$BR$1570,BR1189,$AV$7:$AV$1570,AV1189,$BL$7:$BL$1570,"&lt;="&amp;BL1189),"")</f>
        <v/>
      </c>
      <c r="AX1189" s="65">
        <f>IF(AW1189="",0,MAX(0,MIN(1,(IF(BR1189="L1",Parameter!$K$5,Parameter!$K$6+Parameter!$K$7)-(AW1189-AS1189))/AS1189)))</f>
        <v/>
      </c>
      <c r="AY1189" s="53">
        <f>IF(AC1189&lt;=0,"",IF(BR1189="Aussen","Aussenlager",IF(BR1189="-","Nicht im Lift",IF(AH1189&gt;=1,"Lift",IF(AH1189&lt;=0,"Aussenlager","teilweise")))))</f>
        <v/>
      </c>
      <c r="AZ1189" s="53">
        <f>IF(AK1189&lt;=0,"",IF(BR1189="Aussen","Aussenlager",IF(BR1189="-","Nicht im Lift",IF(AP1189&gt;=1,"Lift",IF(AP1189&lt;=0,"Aussenlager","teilweise")))))</f>
        <v/>
      </c>
      <c r="BA1189" s="53">
        <f>IF(AS1189&lt;=0,"",IF(BR1189="Aussen","Aussenlager",IF(BR1189="-","Nicht im Lift",IF(AX1189&gt;=1,"Lift",IF(AX1189&lt;=0,"Aussenlager","teilweise")))))</f>
        <v/>
      </c>
      <c r="BB1189" s="53">
        <f>IF(A1189="","",IF(BK1189=1,"Neu; ","")&amp;IF(AND(BK1189=0,BF1189&lt;0),"negativer Bestand (Export "&amp;BF1189&amp;"); ","")&amp;IF(I1189&lt;=0,"Kein Verbrauch; ","")&amp;IF(BO1189=1,"Lose – Fläche geschätzt; ","")&amp;IF(G1189&gt;AM1189,"Überbestand "&amp;ROUND(G1189-AM1189,0)&amp;" Stk / CHF "&amp;ROUND((G1189-AM1189)*F1189,0)&amp;"; ","")&amp;IF(AND(BT1189=1,BU1189&lt;BV1189),"MAX &lt; MB+LG; ","")&amp;IF(AND(BZ1189&gt;0,BY1189*10&gt;BZ1189),"zu hoch für Tablar; ","")&amp;IF(AND(BK1189=0,OR(BT1189=1,V1189&lt;&gt;"",S1189&lt;&gt;"",T1189&lt;&gt;"",W1189&lt;&gt;"")),"manuell übersteuert; ","")&amp;IF(AND(BO1189=0,Q1189=0),"Gebinde unbekannt; ","")&amp;IF(AND(BO1189=0,N(T1189)&lt;=0,N(P1189)&lt;=0),"Menge pro Gebinde fehlt (Ist = 1 Gebinde); ","")&amp;BJ1189)</f>
        <v/>
      </c>
      <c r="BC1189" s="53" t="n"/>
      <c r="BD1189" s="53" t="n"/>
      <c r="BE1189" s="61" t="n"/>
      <c r="BF1189" s="55" t="n">
        <v>-188</v>
      </c>
      <c r="BG1189" s="55" t="n">
        <v>980</v>
      </c>
      <c r="BH1189" s="54" t="n">
        <v>-413.6000000000001</v>
      </c>
      <c r="BI1189" s="55" t="n">
        <v>118</v>
      </c>
      <c r="BJ1189" s="53" t="inlineStr"/>
      <c r="BK1189" s="58" t="n">
        <v>0</v>
      </c>
      <c r="BL1189" s="58" t="n">
        <v>1189</v>
      </c>
      <c r="BM1189" s="53">
        <f>IF(S1189&lt;&gt;"",UPPER(TRIM(S1189)),IF(O1189="","LOSE",O1189))</f>
        <v/>
      </c>
      <c r="BN1189" s="55">
        <f>IF(BM1189="LOSE",1,IF(N(T1189)&gt;0,T1189,IF(N(P1189)&gt;0,P1189,MAX(1,G1189))))</f>
        <v/>
      </c>
      <c r="BO1189" s="58">
        <f>IF(BM1189="LOSE",1,0)</f>
        <v/>
      </c>
      <c r="BP1189" s="64">
        <f>IF(BO1189=0,0,IF(N(R1189)&gt;0,R1189,IFERROR(VLOOKUP(D1189,Parameter!$A$35:$C$64,3,0)+0,0)))</f>
        <v/>
      </c>
      <c r="BQ1189" s="53">
        <f>IF(V1189&lt;&gt;"",V1189,U1189)</f>
        <v/>
      </c>
      <c r="BR1189" s="53">
        <f>IF(BQ1189=1,"L1",IF(OR(BQ1189=2,BQ1189=3),"L23",IF(BQ1189="Aussen","Aussen","-")))</f>
        <v/>
      </c>
      <c r="BS1189" s="66">
        <f>IF(N(W1189)&gt;0,W1189,0)</f>
        <v/>
      </c>
      <c r="BT1189" s="58">
        <f>IF(ISNUMBER(Z1189),1,0)</f>
        <v/>
      </c>
      <c r="BU1189" s="55">
        <f>N(Z1189)</f>
        <v/>
      </c>
      <c r="BV1189" s="55">
        <f>N(L1189)+N(M1189)</f>
        <v/>
      </c>
      <c r="BW1189" s="55">
        <f>ROUNDUP(G1189/BN1189,0)</f>
        <v/>
      </c>
      <c r="BX1189" s="55">
        <f>ROUNDUP(BU1189/BN1189,0)</f>
        <v/>
      </c>
      <c r="BY1189" s="58">
        <f>IF(BO1189=1,0,IFERROR(VLOOKUP(BM1189,'Gebinde-Kategorie'!$A$5:$G$45,5,0)+0,0))</f>
        <v/>
      </c>
      <c r="BZ1189" s="58">
        <f>IFERROR(IF(OR(BQ1189=1,BQ1189=2,BQ1189=3),N(INDEX(Parameter!$I$5:$I$7,BQ1189)),0),0)</f>
        <v/>
      </c>
    </row>
    <row r="1190">
      <c r="A1190" s="53" t="inlineStr">
        <is>
          <t>002063</t>
        </is>
      </c>
      <c r="B1190" s="53" t="inlineStr">
        <is>
          <t>Sichtlagerkasten klein</t>
        </is>
      </c>
      <c r="C1190" s="53" t="inlineStr">
        <is>
          <t>F</t>
        </is>
      </c>
      <c r="D1190" s="53" t="inlineStr">
        <is>
          <t>KTL</t>
        </is>
      </c>
      <c r="E1190" s="53" t="inlineStr">
        <is>
          <t>C</t>
        </is>
      </c>
      <c r="F1190" s="54" t="n">
        <v>14.3</v>
      </c>
      <c r="G1190" s="55">
        <f>MAX(0,IF(Parameter!$B$20="Jahresanfang 2025 + Export",BG1190+BF1190,BF1190))</f>
        <v/>
      </c>
      <c r="H1190" s="55">
        <f>G1190*F1190</f>
        <v/>
      </c>
      <c r="I1190" s="55">
        <f>BI1190*Parameter!$B$18</f>
        <v/>
      </c>
      <c r="J1190" s="56" t="n">
        <v>14.5</v>
      </c>
      <c r="K1190" s="57" t="n">
        <v>2</v>
      </c>
      <c r="L1190" s="55" t="n">
        <v>0</v>
      </c>
      <c r="M1190" s="55" t="n">
        <v>1</v>
      </c>
      <c r="N1190" s="58" t="n">
        <v>21</v>
      </c>
      <c r="O1190" s="53" t="inlineStr">
        <is>
          <t>LOSE</t>
        </is>
      </c>
      <c r="P1190" s="55" t="n"/>
      <c r="Q1190" s="59">
        <f>IF(BO1190=1,0,IFERROR(VLOOKUP(BM1190,'Gebinde-Kategorie'!$A$5:$G$45,6,0)+0,0))</f>
        <v/>
      </c>
      <c r="R1190" s="60" t="n"/>
      <c r="S1190" s="61" t="n"/>
      <c r="T1190" s="61" t="n"/>
      <c r="U1190" s="53">
        <f>IF(A1190="","",IF(IFERROR(VLOOKUP(D1190,Parameter!$A$35:$C$64,2,0),"Nein")="2+3",IF(ISNUMBER(SEARCH("grosser Artikel",BJ1190)),2,IFERROR(VLOOKUP(BM1190,Parameter!$F$35:$G$64,2,0),2)),IF(OR(IFERROR(VLOOKUP(D1190,Parameter!$A$35:$C$64,2,0),"Nein")="Nein",IFERROR(VLOOKUP(D1190,Parameter!$A$35:$C$64,2,0),"Nein")=""),"-",VLOOKUP(D1190,Parameter!$A$35:$C$64,2,0))))</f>
        <v/>
      </c>
      <c r="V1190" s="61" t="n"/>
      <c r="W1190" s="62" t="n"/>
      <c r="X1190" s="55">
        <f>AM1190</f>
        <v/>
      </c>
      <c r="Y1190" s="55">
        <f>MAX(AM1190,G1190)</f>
        <v/>
      </c>
      <c r="Z1190" s="63" t="n"/>
      <c r="AA1190" s="55">
        <f>IF(LEFT(Cockpit!$C$5,1)="A",G1190,IF(BT1190=1,BU1190,IF(LEFT(Cockpit!$C$5,1)="B",AE1190,MAX(AE1190,G1190))))</f>
        <v/>
      </c>
      <c r="AB1190" s="55">
        <f>IF(BO1190=1,0,ROUNDUP(AA1190/BN1190,0))</f>
        <v/>
      </c>
      <c r="AC1190" s="64">
        <f>IF(BO1190=1,IF(AA1190&lt;=0,0,BP1190*MAX(1,IF(G1190&gt;0,AA1190/G1190,1))),AB1190*Q1190)</f>
        <v/>
      </c>
      <c r="AD1190" s="55">
        <f>AA1190*F1190</f>
        <v/>
      </c>
      <c r="AE1190" s="55">
        <f>ROUNDUP(MAX(I1190/IF(BS1190&gt;0,BS1190,MAX(0.1,N(Cockpit!$C$6))),BV1190)/BN1190,0)*BN1190</f>
        <v/>
      </c>
      <c r="AF1190" s="56">
        <f>IF(AC1190&gt;0,I1190/AC1190,-1)</f>
        <v/>
      </c>
      <c r="AG1190" s="56">
        <f>IF(AND(OR(BR1190="L1",BR1190="L23"),AC1190&gt;0),SUMIFS($AC$7:$AC$1570,$BR$7:$BR$1570,BR1190,$AF$7:$AF$1570,"&gt;"&amp;AF1190)+SUMIFS($AC$7:$AC$1570,$BR$7:$BR$1570,BR1190,$AF$7:$AF$1570,AF1190,$BL$7:$BL$1570,"&lt;="&amp;BL1190),"")</f>
        <v/>
      </c>
      <c r="AH1190" s="65">
        <f>IF(AG1190="",0,MAX(0,MIN(1,(IF(BR1190="L1",Parameter!$K$5,Parameter!$K$6+Parameter!$K$7)-(AG1190-AC1190))/AC1190)))</f>
        <v/>
      </c>
      <c r="AI1190" s="55">
        <f>IF(LEFT(Cockpit!$I$5,1)="A",G1190,IF(BT1190=1,BU1190,IF(LEFT(Cockpit!$I$5,1)="B",AM1190,MAX(AM1190,G1190))))</f>
        <v/>
      </c>
      <c r="AJ1190" s="55">
        <f>IF(BO1190=1,0,ROUNDUP(AI1190/BN1190,0))</f>
        <v/>
      </c>
      <c r="AK1190" s="64">
        <f>IF(BO1190=1,IF(AI1190&lt;=0,0,BP1190*MAX(1,IF(G1190&gt;0,AI1190/G1190,1))),AJ1190*Q1190)</f>
        <v/>
      </c>
      <c r="AL1190" s="55">
        <f>AI1190*F1190</f>
        <v/>
      </c>
      <c r="AM1190" s="55">
        <f>ROUNDUP(MAX(I1190/IF(BS1190&gt;0,BS1190,MAX(0.1,N(Cockpit!$I$6))),BV1190)/BN1190,0)*BN1190</f>
        <v/>
      </c>
      <c r="AN1190" s="56">
        <f>IF(AK1190&gt;0,I1190/AK1190,-1)</f>
        <v/>
      </c>
      <c r="AO1190" s="56">
        <f>IF(AND(OR(BR1190="L1",BR1190="L23"),AK1190&gt;0),SUMIFS($AK$7:$AK$1570,$BR$7:$BR$1570,BR1190,$AN$7:$AN$1570,"&gt;"&amp;AN1190)+SUMIFS($AK$7:$AK$1570,$BR$7:$BR$1570,BR1190,$AN$7:$AN$1570,AN1190,$BL$7:$BL$1570,"&lt;="&amp;BL1190),"")</f>
        <v/>
      </c>
      <c r="AP1190" s="65">
        <f>IF(AO1190="",0,MAX(0,MIN(1,(IF(BR1190="L1",Parameter!$K$5,Parameter!$K$6+Parameter!$K$7)-(AO1190-AK1190))/AK1190)))</f>
        <v/>
      </c>
      <c r="AQ1190" s="55">
        <f>IF(LEFT(Cockpit!$O$5,1)="A",G1190,IF(BT1190=1,BU1190,IF(LEFT(Cockpit!$O$5,1)="B",AU1190,MAX(AU1190,G1190))))</f>
        <v/>
      </c>
      <c r="AR1190" s="55">
        <f>IF(BO1190=1,0,ROUNDUP(AQ1190/BN1190,0))</f>
        <v/>
      </c>
      <c r="AS1190" s="64">
        <f>IF(BO1190=1,IF(AQ1190&lt;=0,0,BP1190*MAX(1,IF(G1190&gt;0,AQ1190/G1190,1))),AR1190*Q1190)</f>
        <v/>
      </c>
      <c r="AT1190" s="55">
        <f>AQ1190*F1190</f>
        <v/>
      </c>
      <c r="AU1190" s="55">
        <f>ROUNDUP(MAX(I1190/IF(BS1190&gt;0,BS1190,MAX(0.1,N(Cockpit!$O$6))),BV1190)/BN1190,0)*BN1190</f>
        <v/>
      </c>
      <c r="AV1190" s="56">
        <f>IF(AS1190&gt;0,I1190/AS1190,-1)</f>
        <v/>
      </c>
      <c r="AW1190" s="56">
        <f>IF(AND(OR(BR1190="L1",BR1190="L23"),AS1190&gt;0),SUMIFS($AS$7:$AS$1570,$BR$7:$BR$1570,BR1190,$AV$7:$AV$1570,"&gt;"&amp;AV1190)+SUMIFS($AS$7:$AS$1570,$BR$7:$BR$1570,BR1190,$AV$7:$AV$1570,AV1190,$BL$7:$BL$1570,"&lt;="&amp;BL1190),"")</f>
        <v/>
      </c>
      <c r="AX1190" s="65">
        <f>IF(AW1190="",0,MAX(0,MIN(1,(IF(BR1190="L1",Parameter!$K$5,Parameter!$K$6+Parameter!$K$7)-(AW1190-AS1190))/AS1190)))</f>
        <v/>
      </c>
      <c r="AY1190" s="53">
        <f>IF(AC1190&lt;=0,"",IF(BR1190="Aussen","Aussenlager",IF(BR1190="-","Nicht im Lift",IF(AH1190&gt;=1,"Lift",IF(AH1190&lt;=0,"Aussenlager","teilweise")))))</f>
        <v/>
      </c>
      <c r="AZ1190" s="53">
        <f>IF(AK1190&lt;=0,"",IF(BR1190="Aussen","Aussenlager",IF(BR1190="-","Nicht im Lift",IF(AP1190&gt;=1,"Lift",IF(AP1190&lt;=0,"Aussenlager","teilweise")))))</f>
        <v/>
      </c>
      <c r="BA1190" s="53">
        <f>IF(AS1190&lt;=0,"",IF(BR1190="Aussen","Aussenlager",IF(BR1190="-","Nicht im Lift",IF(AX1190&gt;=1,"Lift",IF(AX1190&lt;=0,"Aussenlager","teilweise")))))</f>
        <v/>
      </c>
      <c r="BB1190" s="53">
        <f>IF(A1190="","",IF(BK1190=1,"Neu; ","")&amp;IF(AND(BK1190=0,BF1190&lt;0),"negativer Bestand (Export "&amp;BF1190&amp;"); ","")&amp;IF(I1190&lt;=0,"Kein Verbrauch; ","")&amp;IF(BO1190=1,"Lose – Fläche geschätzt; ","")&amp;IF(G1190&gt;AM1190,"Überbestand "&amp;ROUND(G1190-AM1190,0)&amp;" Stk / CHF "&amp;ROUND((G1190-AM1190)*F1190,0)&amp;"; ","")&amp;IF(AND(BT1190=1,BU1190&lt;BV1190),"MAX &lt; MB+LG; ","")&amp;IF(AND(BZ1190&gt;0,BY1190*10&gt;BZ1190),"zu hoch für Tablar; ","")&amp;IF(AND(BK1190=0,OR(BT1190=1,V1190&lt;&gt;"",S1190&lt;&gt;"",T1190&lt;&gt;"",W1190&lt;&gt;"")),"manuell übersteuert; ","")&amp;IF(AND(BO1190=0,Q1190=0),"Gebinde unbekannt; ","")&amp;IF(AND(BO1190=0,N(T1190)&lt;=0,N(P1190)&lt;=0),"Menge pro Gebinde fehlt (Ist = 1 Gebinde); ","")&amp;BJ1190)</f>
        <v/>
      </c>
      <c r="BC1190" s="53" t="n"/>
      <c r="BD1190" s="53" t="n"/>
      <c r="BE1190" s="61" t="n"/>
      <c r="BF1190" s="55" t="n">
        <v>-29</v>
      </c>
      <c r="BG1190" s="55" t="n">
        <v>29</v>
      </c>
      <c r="BH1190" s="54" t="n">
        <v>-414.7</v>
      </c>
      <c r="BI1190" s="55" t="n">
        <v>29</v>
      </c>
      <c r="BJ1190" s="53" t="inlineStr"/>
      <c r="BK1190" s="58" t="n">
        <v>0</v>
      </c>
      <c r="BL1190" s="58" t="n">
        <v>1190</v>
      </c>
      <c r="BM1190" s="53">
        <f>IF(S1190&lt;&gt;"",UPPER(TRIM(S1190)),IF(O1190="","LOSE",O1190))</f>
        <v/>
      </c>
      <c r="BN1190" s="55">
        <f>IF(BM1190="LOSE",1,IF(N(T1190)&gt;0,T1190,IF(N(P1190)&gt;0,P1190,MAX(1,G1190))))</f>
        <v/>
      </c>
      <c r="BO1190" s="58">
        <f>IF(BM1190="LOSE",1,0)</f>
        <v/>
      </c>
      <c r="BP1190" s="64">
        <f>IF(BO1190=0,0,IF(N(R1190)&gt;0,R1190,IFERROR(VLOOKUP(D1190,Parameter!$A$35:$C$64,3,0)+0,0)))</f>
        <v/>
      </c>
      <c r="BQ1190" s="53">
        <f>IF(V1190&lt;&gt;"",V1190,U1190)</f>
        <v/>
      </c>
      <c r="BR1190" s="53">
        <f>IF(BQ1190=1,"L1",IF(OR(BQ1190=2,BQ1190=3),"L23",IF(BQ1190="Aussen","Aussen","-")))</f>
        <v/>
      </c>
      <c r="BS1190" s="66">
        <f>IF(N(W1190)&gt;0,W1190,0)</f>
        <v/>
      </c>
      <c r="BT1190" s="58">
        <f>IF(ISNUMBER(Z1190),1,0)</f>
        <v/>
      </c>
      <c r="BU1190" s="55">
        <f>N(Z1190)</f>
        <v/>
      </c>
      <c r="BV1190" s="55">
        <f>N(L1190)+N(M1190)</f>
        <v/>
      </c>
      <c r="BW1190" s="55">
        <f>ROUNDUP(G1190/BN1190,0)</f>
        <v/>
      </c>
      <c r="BX1190" s="55">
        <f>ROUNDUP(BU1190/BN1190,0)</f>
        <v/>
      </c>
      <c r="BY1190" s="58">
        <f>IF(BO1190=1,0,IFERROR(VLOOKUP(BM1190,'Gebinde-Kategorie'!$A$5:$G$45,5,0)+0,0))</f>
        <v/>
      </c>
      <c r="BZ1190" s="58">
        <f>IFERROR(IF(OR(BQ1190=1,BQ1190=2,BQ1190=3),N(INDEX(Parameter!$I$5:$I$7,BQ1190)),0),0)</f>
        <v/>
      </c>
    </row>
    <row r="1191">
      <c r="A1191" s="53" t="inlineStr">
        <is>
          <t>106956</t>
        </is>
      </c>
      <c r="B1191" s="53" t="inlineStr">
        <is>
          <t>Schnittstellenmodul für PROFIBUS DP</t>
        </is>
      </c>
      <c r="C1191" s="53" t="inlineStr">
        <is>
          <t>F</t>
        </is>
      </c>
      <c r="D1191" s="53" t="inlineStr">
        <is>
          <t>KTL</t>
        </is>
      </c>
      <c r="E1191" s="53" t="inlineStr">
        <is>
          <t>C</t>
        </is>
      </c>
      <c r="F1191" s="54" t="n">
        <v>142.18</v>
      </c>
      <c r="G1191" s="55">
        <f>MAX(0,IF(Parameter!$B$20="Jahresanfang 2025 + Export",BG1191+BF1191,BF1191))</f>
        <v/>
      </c>
      <c r="H1191" s="55">
        <f>G1191*F1191</f>
        <v/>
      </c>
      <c r="I1191" s="55">
        <f>BI1191*Parameter!$B$18</f>
        <v/>
      </c>
      <c r="J1191" s="56" t="n">
        <v>33.5</v>
      </c>
      <c r="K1191" s="57" t="n">
        <v>0</v>
      </c>
      <c r="L1191" s="55" t="n">
        <v>0</v>
      </c>
      <c r="M1191" s="55" t="n">
        <v>1</v>
      </c>
      <c r="N1191" s="58" t="n">
        <v>28</v>
      </c>
      <c r="O1191" s="53" t="inlineStr">
        <is>
          <t>S51</t>
        </is>
      </c>
      <c r="P1191" s="55" t="n">
        <v>35</v>
      </c>
      <c r="Q1191" s="59">
        <f>IF(BO1191=1,0,IFERROR(VLOOKUP(BM1191,'Gebinde-Kategorie'!$A$5:$G$45,6,0)+0,0))</f>
        <v/>
      </c>
      <c r="R1191" s="60" t="n"/>
      <c r="S1191" s="61" t="n"/>
      <c r="T1191" s="61" t="n"/>
      <c r="U1191" s="53">
        <f>IF(A1191="","",IF(IFERROR(VLOOKUP(D1191,Parameter!$A$35:$C$64,2,0),"Nein")="2+3",IF(ISNUMBER(SEARCH("grosser Artikel",BJ1191)),2,IFERROR(VLOOKUP(BM1191,Parameter!$F$35:$G$64,2,0),2)),IF(OR(IFERROR(VLOOKUP(D1191,Parameter!$A$35:$C$64,2,0),"Nein")="Nein",IFERROR(VLOOKUP(D1191,Parameter!$A$35:$C$64,2,0),"Nein")=""),"-",VLOOKUP(D1191,Parameter!$A$35:$C$64,2,0))))</f>
        <v/>
      </c>
      <c r="V1191" s="61" t="n"/>
      <c r="W1191" s="62" t="n"/>
      <c r="X1191" s="55">
        <f>AM1191</f>
        <v/>
      </c>
      <c r="Y1191" s="55">
        <f>MAX(AM1191,G1191)</f>
        <v/>
      </c>
      <c r="Z1191" s="63" t="n"/>
      <c r="AA1191" s="55">
        <f>IF(LEFT(Cockpit!$C$5,1)="A",G1191,IF(BT1191=1,BU1191,IF(LEFT(Cockpit!$C$5,1)="B",AE1191,MAX(AE1191,G1191))))</f>
        <v/>
      </c>
      <c r="AB1191" s="55">
        <f>IF(BO1191=1,0,ROUNDUP(AA1191/BN1191,0))</f>
        <v/>
      </c>
      <c r="AC1191" s="64">
        <f>IF(BO1191=1,IF(AA1191&lt;=0,0,BP1191*MAX(1,IF(G1191&gt;0,AA1191/G1191,1))),AB1191*Q1191)</f>
        <v/>
      </c>
      <c r="AD1191" s="55">
        <f>AA1191*F1191</f>
        <v/>
      </c>
      <c r="AE1191" s="55">
        <f>ROUNDUP(MAX(I1191/IF(BS1191&gt;0,BS1191,MAX(0.1,N(Cockpit!$C$6))),BV1191)/BN1191,0)*BN1191</f>
        <v/>
      </c>
      <c r="AF1191" s="56">
        <f>IF(AC1191&gt;0,I1191/AC1191,-1)</f>
        <v/>
      </c>
      <c r="AG1191" s="56">
        <f>IF(AND(OR(BR1191="L1",BR1191="L23"),AC1191&gt;0),SUMIFS($AC$7:$AC$1570,$BR$7:$BR$1570,BR1191,$AF$7:$AF$1570,"&gt;"&amp;AF1191)+SUMIFS($AC$7:$AC$1570,$BR$7:$BR$1570,BR1191,$AF$7:$AF$1570,AF1191,$BL$7:$BL$1570,"&lt;="&amp;BL1191),"")</f>
        <v/>
      </c>
      <c r="AH1191" s="65">
        <f>IF(AG1191="",0,MAX(0,MIN(1,(IF(BR1191="L1",Parameter!$K$5,Parameter!$K$6+Parameter!$K$7)-(AG1191-AC1191))/AC1191)))</f>
        <v/>
      </c>
      <c r="AI1191" s="55">
        <f>IF(LEFT(Cockpit!$I$5,1)="A",G1191,IF(BT1191=1,BU1191,IF(LEFT(Cockpit!$I$5,1)="B",AM1191,MAX(AM1191,G1191))))</f>
        <v/>
      </c>
      <c r="AJ1191" s="55">
        <f>IF(BO1191=1,0,ROUNDUP(AI1191/BN1191,0))</f>
        <v/>
      </c>
      <c r="AK1191" s="64">
        <f>IF(BO1191=1,IF(AI1191&lt;=0,0,BP1191*MAX(1,IF(G1191&gt;0,AI1191/G1191,1))),AJ1191*Q1191)</f>
        <v/>
      </c>
      <c r="AL1191" s="55">
        <f>AI1191*F1191</f>
        <v/>
      </c>
      <c r="AM1191" s="55">
        <f>ROUNDUP(MAX(I1191/IF(BS1191&gt;0,BS1191,MAX(0.1,N(Cockpit!$I$6))),BV1191)/BN1191,0)*BN1191</f>
        <v/>
      </c>
      <c r="AN1191" s="56">
        <f>IF(AK1191&gt;0,I1191/AK1191,-1)</f>
        <v/>
      </c>
      <c r="AO1191" s="56">
        <f>IF(AND(OR(BR1191="L1",BR1191="L23"),AK1191&gt;0),SUMIFS($AK$7:$AK$1570,$BR$7:$BR$1570,BR1191,$AN$7:$AN$1570,"&gt;"&amp;AN1191)+SUMIFS($AK$7:$AK$1570,$BR$7:$BR$1570,BR1191,$AN$7:$AN$1570,AN1191,$BL$7:$BL$1570,"&lt;="&amp;BL1191),"")</f>
        <v/>
      </c>
      <c r="AP1191" s="65">
        <f>IF(AO1191="",0,MAX(0,MIN(1,(IF(BR1191="L1",Parameter!$K$5,Parameter!$K$6+Parameter!$K$7)-(AO1191-AK1191))/AK1191)))</f>
        <v/>
      </c>
      <c r="AQ1191" s="55">
        <f>IF(LEFT(Cockpit!$O$5,1)="A",G1191,IF(BT1191=1,BU1191,IF(LEFT(Cockpit!$O$5,1)="B",AU1191,MAX(AU1191,G1191))))</f>
        <v/>
      </c>
      <c r="AR1191" s="55">
        <f>IF(BO1191=1,0,ROUNDUP(AQ1191/BN1191,0))</f>
        <v/>
      </c>
      <c r="AS1191" s="64">
        <f>IF(BO1191=1,IF(AQ1191&lt;=0,0,BP1191*MAX(1,IF(G1191&gt;0,AQ1191/G1191,1))),AR1191*Q1191)</f>
        <v/>
      </c>
      <c r="AT1191" s="55">
        <f>AQ1191*F1191</f>
        <v/>
      </c>
      <c r="AU1191" s="55">
        <f>ROUNDUP(MAX(I1191/IF(BS1191&gt;0,BS1191,MAX(0.1,N(Cockpit!$O$6))),BV1191)/BN1191,0)*BN1191</f>
        <v/>
      </c>
      <c r="AV1191" s="56">
        <f>IF(AS1191&gt;0,I1191/AS1191,-1)</f>
        <v/>
      </c>
      <c r="AW1191" s="56">
        <f>IF(AND(OR(BR1191="L1",BR1191="L23"),AS1191&gt;0),SUMIFS($AS$7:$AS$1570,$BR$7:$BR$1570,BR1191,$AV$7:$AV$1570,"&gt;"&amp;AV1191)+SUMIFS($AS$7:$AS$1570,$BR$7:$BR$1570,BR1191,$AV$7:$AV$1570,AV1191,$BL$7:$BL$1570,"&lt;="&amp;BL1191),"")</f>
        <v/>
      </c>
      <c r="AX1191" s="65">
        <f>IF(AW1191="",0,MAX(0,MIN(1,(IF(BR1191="L1",Parameter!$K$5,Parameter!$K$6+Parameter!$K$7)-(AW1191-AS1191))/AS1191)))</f>
        <v/>
      </c>
      <c r="AY1191" s="53">
        <f>IF(AC1191&lt;=0,"",IF(BR1191="Aussen","Aussenlager",IF(BR1191="-","Nicht im Lift",IF(AH1191&gt;=1,"Lift",IF(AH1191&lt;=0,"Aussenlager","teilweise")))))</f>
        <v/>
      </c>
      <c r="AZ1191" s="53">
        <f>IF(AK1191&lt;=0,"",IF(BR1191="Aussen","Aussenlager",IF(BR1191="-","Nicht im Lift",IF(AP1191&gt;=1,"Lift",IF(AP1191&lt;=0,"Aussenlager","teilweise")))))</f>
        <v/>
      </c>
      <c r="BA1191" s="53">
        <f>IF(AS1191&lt;=0,"",IF(BR1191="Aussen","Aussenlager",IF(BR1191="-","Nicht im Lift",IF(AX1191&gt;=1,"Lift",IF(AX1191&lt;=0,"Aussenlager","teilweise")))))</f>
        <v/>
      </c>
      <c r="BB1191" s="53">
        <f>IF(A1191="","",IF(BK1191=1,"Neu; ","")&amp;IF(AND(BK1191=0,BF1191&lt;0),"negativer Bestand (Export "&amp;BF1191&amp;"); ","")&amp;IF(I1191&lt;=0,"Kein Verbrauch; ","")&amp;IF(BO1191=1,"Lose – Fläche geschätzt; ","")&amp;IF(G1191&gt;AM1191,"Überbestand "&amp;ROUND(G1191-AM1191,0)&amp;" Stk / CHF "&amp;ROUND((G1191-AM1191)*F1191,0)&amp;"; ","")&amp;IF(AND(BT1191=1,BU1191&lt;BV1191),"MAX &lt; MB+LG; ","")&amp;IF(AND(BZ1191&gt;0,BY1191*10&gt;BZ1191),"zu hoch für Tablar; ","")&amp;IF(AND(BK1191=0,OR(BT1191=1,V1191&lt;&gt;"",S1191&lt;&gt;"",T1191&lt;&gt;"",W1191&lt;&gt;"")),"manuell übersteuert; ","")&amp;IF(AND(BO1191=0,Q1191=0),"Gebinde unbekannt; ","")&amp;IF(AND(BO1191=0,N(T1191)&lt;=0,N(P1191)&lt;=0),"Menge pro Gebinde fehlt (Ist = 1 Gebinde); ","")&amp;BJ1191)</f>
        <v/>
      </c>
      <c r="BC1191" s="53" t="n"/>
      <c r="BD1191" s="53" t="n"/>
      <c r="BE1191" s="61" t="n"/>
      <c r="BF1191" s="55" t="n">
        <v>-3</v>
      </c>
      <c r="BG1191" s="55" t="n">
        <v>34</v>
      </c>
      <c r="BH1191" s="54" t="n">
        <v>-426.54</v>
      </c>
      <c r="BI1191" s="55" t="n">
        <v>0</v>
      </c>
      <c r="BJ1191" s="53" t="inlineStr"/>
      <c r="BK1191" s="58" t="n">
        <v>0</v>
      </c>
      <c r="BL1191" s="58" t="n">
        <v>1191</v>
      </c>
      <c r="BM1191" s="53">
        <f>IF(S1191&lt;&gt;"",UPPER(TRIM(S1191)),IF(O1191="","LOSE",O1191))</f>
        <v/>
      </c>
      <c r="BN1191" s="55">
        <f>IF(BM1191="LOSE",1,IF(N(T1191)&gt;0,T1191,IF(N(P1191)&gt;0,P1191,MAX(1,G1191))))</f>
        <v/>
      </c>
      <c r="BO1191" s="58">
        <f>IF(BM1191="LOSE",1,0)</f>
        <v/>
      </c>
      <c r="BP1191" s="64">
        <f>IF(BO1191=0,0,IF(N(R1191)&gt;0,R1191,IFERROR(VLOOKUP(D1191,Parameter!$A$35:$C$64,3,0)+0,0)))</f>
        <v/>
      </c>
      <c r="BQ1191" s="53">
        <f>IF(V1191&lt;&gt;"",V1191,U1191)</f>
        <v/>
      </c>
      <c r="BR1191" s="53">
        <f>IF(BQ1191=1,"L1",IF(OR(BQ1191=2,BQ1191=3),"L23",IF(BQ1191="Aussen","Aussen","-")))</f>
        <v/>
      </c>
      <c r="BS1191" s="66">
        <f>IF(N(W1191)&gt;0,W1191,0)</f>
        <v/>
      </c>
      <c r="BT1191" s="58">
        <f>IF(ISNUMBER(Z1191),1,0)</f>
        <v/>
      </c>
      <c r="BU1191" s="55">
        <f>N(Z1191)</f>
        <v/>
      </c>
      <c r="BV1191" s="55">
        <f>N(L1191)+N(M1191)</f>
        <v/>
      </c>
      <c r="BW1191" s="55">
        <f>ROUNDUP(G1191/BN1191,0)</f>
        <v/>
      </c>
      <c r="BX1191" s="55">
        <f>ROUNDUP(BU1191/BN1191,0)</f>
        <v/>
      </c>
      <c r="BY1191" s="58">
        <f>IF(BO1191=1,0,IFERROR(VLOOKUP(BM1191,'Gebinde-Kategorie'!$A$5:$G$45,5,0)+0,0))</f>
        <v/>
      </c>
      <c r="BZ1191" s="58">
        <f>IFERROR(IF(OR(BQ1191=1,BQ1191=2,BQ1191=3),N(INDEX(Parameter!$I$5:$I$7,BQ1191)),0),0)</f>
        <v/>
      </c>
    </row>
    <row r="1192">
      <c r="A1192" s="53" t="inlineStr">
        <is>
          <t>005644</t>
        </is>
      </c>
      <c r="B1192" s="53" t="inlineStr">
        <is>
          <t>Magnetspule</t>
        </is>
      </c>
      <c r="C1192" s="53" t="inlineStr">
        <is>
          <t>F</t>
        </is>
      </c>
      <c r="D1192" s="53" t="inlineStr">
        <is>
          <t>KTL</t>
        </is>
      </c>
      <c r="E1192" s="53" t="inlineStr">
        <is>
          <t>C</t>
        </is>
      </c>
      <c r="F1192" s="54" t="n">
        <v>107</v>
      </c>
      <c r="G1192" s="55">
        <f>MAX(0,IF(Parameter!$B$20="Jahresanfang 2025 + Export",BG1192+BF1192,BF1192))</f>
        <v/>
      </c>
      <c r="H1192" s="55">
        <f>G1192*F1192</f>
        <v/>
      </c>
      <c r="I1192" s="55">
        <f>BI1192*Parameter!$B$18</f>
        <v/>
      </c>
      <c r="J1192" s="56" t="n">
        <v>17</v>
      </c>
      <c r="K1192" s="57" t="n">
        <v>0.2352941176470588</v>
      </c>
      <c r="L1192" s="55" t="n">
        <v>0</v>
      </c>
      <c r="M1192" s="55" t="n">
        <v>5</v>
      </c>
      <c r="N1192" s="58" t="n">
        <v>84</v>
      </c>
      <c r="O1192" s="53" t="inlineStr">
        <is>
          <t>S62</t>
        </is>
      </c>
      <c r="P1192" s="55" t="n">
        <v>32</v>
      </c>
      <c r="Q1192" s="59">
        <f>IF(BO1192=1,0,IFERROR(VLOOKUP(BM1192,'Gebinde-Kategorie'!$A$5:$G$45,6,0)+0,0))</f>
        <v/>
      </c>
      <c r="R1192" s="60" t="n"/>
      <c r="S1192" s="61" t="n"/>
      <c r="T1192" s="61" t="n"/>
      <c r="U1192" s="53">
        <f>IF(A1192="","",IF(IFERROR(VLOOKUP(D1192,Parameter!$A$35:$C$64,2,0),"Nein")="2+3",IF(ISNUMBER(SEARCH("grosser Artikel",BJ1192)),2,IFERROR(VLOOKUP(BM1192,Parameter!$F$35:$G$64,2,0),2)),IF(OR(IFERROR(VLOOKUP(D1192,Parameter!$A$35:$C$64,2,0),"Nein")="Nein",IFERROR(VLOOKUP(D1192,Parameter!$A$35:$C$64,2,0),"Nein")=""),"-",VLOOKUP(D1192,Parameter!$A$35:$C$64,2,0))))</f>
        <v/>
      </c>
      <c r="V1192" s="61" t="n"/>
      <c r="W1192" s="62" t="n"/>
      <c r="X1192" s="55">
        <f>AM1192</f>
        <v/>
      </c>
      <c r="Y1192" s="55">
        <f>MAX(AM1192,G1192)</f>
        <v/>
      </c>
      <c r="Z1192" s="63" t="n"/>
      <c r="AA1192" s="55">
        <f>IF(LEFT(Cockpit!$C$5,1)="A",G1192,IF(BT1192=1,BU1192,IF(LEFT(Cockpit!$C$5,1)="B",AE1192,MAX(AE1192,G1192))))</f>
        <v/>
      </c>
      <c r="AB1192" s="55">
        <f>IF(BO1192=1,0,ROUNDUP(AA1192/BN1192,0))</f>
        <v/>
      </c>
      <c r="AC1192" s="64">
        <f>IF(BO1192=1,IF(AA1192&lt;=0,0,BP1192*MAX(1,IF(G1192&gt;0,AA1192/G1192,1))),AB1192*Q1192)</f>
        <v/>
      </c>
      <c r="AD1192" s="55">
        <f>AA1192*F1192</f>
        <v/>
      </c>
      <c r="AE1192" s="55">
        <f>ROUNDUP(MAX(I1192/IF(BS1192&gt;0,BS1192,MAX(0.1,N(Cockpit!$C$6))),BV1192)/BN1192,0)*BN1192</f>
        <v/>
      </c>
      <c r="AF1192" s="56">
        <f>IF(AC1192&gt;0,I1192/AC1192,-1)</f>
        <v/>
      </c>
      <c r="AG1192" s="56">
        <f>IF(AND(OR(BR1192="L1",BR1192="L23"),AC1192&gt;0),SUMIFS($AC$7:$AC$1570,$BR$7:$BR$1570,BR1192,$AF$7:$AF$1570,"&gt;"&amp;AF1192)+SUMIFS($AC$7:$AC$1570,$BR$7:$BR$1570,BR1192,$AF$7:$AF$1570,AF1192,$BL$7:$BL$1570,"&lt;="&amp;BL1192),"")</f>
        <v/>
      </c>
      <c r="AH1192" s="65">
        <f>IF(AG1192="",0,MAX(0,MIN(1,(IF(BR1192="L1",Parameter!$K$5,Parameter!$K$6+Parameter!$K$7)-(AG1192-AC1192))/AC1192)))</f>
        <v/>
      </c>
      <c r="AI1192" s="55">
        <f>IF(LEFT(Cockpit!$I$5,1)="A",G1192,IF(BT1192=1,BU1192,IF(LEFT(Cockpit!$I$5,1)="B",AM1192,MAX(AM1192,G1192))))</f>
        <v/>
      </c>
      <c r="AJ1192" s="55">
        <f>IF(BO1192=1,0,ROUNDUP(AI1192/BN1192,0))</f>
        <v/>
      </c>
      <c r="AK1192" s="64">
        <f>IF(BO1192=1,IF(AI1192&lt;=0,0,BP1192*MAX(1,IF(G1192&gt;0,AI1192/G1192,1))),AJ1192*Q1192)</f>
        <v/>
      </c>
      <c r="AL1192" s="55">
        <f>AI1192*F1192</f>
        <v/>
      </c>
      <c r="AM1192" s="55">
        <f>ROUNDUP(MAX(I1192/IF(BS1192&gt;0,BS1192,MAX(0.1,N(Cockpit!$I$6))),BV1192)/BN1192,0)*BN1192</f>
        <v/>
      </c>
      <c r="AN1192" s="56">
        <f>IF(AK1192&gt;0,I1192/AK1192,-1)</f>
        <v/>
      </c>
      <c r="AO1192" s="56">
        <f>IF(AND(OR(BR1192="L1",BR1192="L23"),AK1192&gt;0),SUMIFS($AK$7:$AK$1570,$BR$7:$BR$1570,BR1192,$AN$7:$AN$1570,"&gt;"&amp;AN1192)+SUMIFS($AK$7:$AK$1570,$BR$7:$BR$1570,BR1192,$AN$7:$AN$1570,AN1192,$BL$7:$BL$1570,"&lt;="&amp;BL1192),"")</f>
        <v/>
      </c>
      <c r="AP1192" s="65">
        <f>IF(AO1192="",0,MAX(0,MIN(1,(IF(BR1192="L1",Parameter!$K$5,Parameter!$K$6+Parameter!$K$7)-(AO1192-AK1192))/AK1192)))</f>
        <v/>
      </c>
      <c r="AQ1192" s="55">
        <f>IF(LEFT(Cockpit!$O$5,1)="A",G1192,IF(BT1192=1,BU1192,IF(LEFT(Cockpit!$O$5,1)="B",AU1192,MAX(AU1192,G1192))))</f>
        <v/>
      </c>
      <c r="AR1192" s="55">
        <f>IF(BO1192=1,0,ROUNDUP(AQ1192/BN1192,0))</f>
        <v/>
      </c>
      <c r="AS1192" s="64">
        <f>IF(BO1192=1,IF(AQ1192&lt;=0,0,BP1192*MAX(1,IF(G1192&gt;0,AQ1192/G1192,1))),AR1192*Q1192)</f>
        <v/>
      </c>
      <c r="AT1192" s="55">
        <f>AQ1192*F1192</f>
        <v/>
      </c>
      <c r="AU1192" s="55">
        <f>ROUNDUP(MAX(I1192/IF(BS1192&gt;0,BS1192,MAX(0.1,N(Cockpit!$O$6))),BV1192)/BN1192,0)*BN1192</f>
        <v/>
      </c>
      <c r="AV1192" s="56">
        <f>IF(AS1192&gt;0,I1192/AS1192,-1)</f>
        <v/>
      </c>
      <c r="AW1192" s="56">
        <f>IF(AND(OR(BR1192="L1",BR1192="L23"),AS1192&gt;0),SUMIFS($AS$7:$AS$1570,$BR$7:$BR$1570,BR1192,$AV$7:$AV$1570,"&gt;"&amp;AV1192)+SUMIFS($AS$7:$AS$1570,$BR$7:$BR$1570,BR1192,$AV$7:$AV$1570,AV1192,$BL$7:$BL$1570,"&lt;="&amp;BL1192),"")</f>
        <v/>
      </c>
      <c r="AX1192" s="65">
        <f>IF(AW1192="",0,MAX(0,MIN(1,(IF(BR1192="L1",Parameter!$K$5,Parameter!$K$6+Parameter!$K$7)-(AW1192-AS1192))/AS1192)))</f>
        <v/>
      </c>
      <c r="AY1192" s="53">
        <f>IF(AC1192&lt;=0,"",IF(BR1192="Aussen","Aussenlager",IF(BR1192="-","Nicht im Lift",IF(AH1192&gt;=1,"Lift",IF(AH1192&lt;=0,"Aussenlager","teilweise")))))</f>
        <v/>
      </c>
      <c r="AZ1192" s="53">
        <f>IF(AK1192&lt;=0,"",IF(BR1192="Aussen","Aussenlager",IF(BR1192="-","Nicht im Lift",IF(AP1192&gt;=1,"Lift",IF(AP1192&lt;=0,"Aussenlager","teilweise")))))</f>
        <v/>
      </c>
      <c r="BA1192" s="53">
        <f>IF(AS1192&lt;=0,"",IF(BR1192="Aussen","Aussenlager",IF(BR1192="-","Nicht im Lift",IF(AX1192&gt;=1,"Lift",IF(AX1192&lt;=0,"Aussenlager","teilweise")))))</f>
        <v/>
      </c>
      <c r="BB1192" s="53">
        <f>IF(A1192="","",IF(BK1192=1,"Neu; ","")&amp;IF(AND(BK1192=0,BF1192&lt;0),"negativer Bestand (Export "&amp;BF1192&amp;"); ","")&amp;IF(I1192&lt;=0,"Kein Verbrauch; ","")&amp;IF(BO1192=1,"Lose – Fläche geschätzt; ","")&amp;IF(G1192&gt;AM1192,"Überbestand "&amp;ROUND(G1192-AM1192,0)&amp;" Stk / CHF "&amp;ROUND((G1192-AM1192)*F1192,0)&amp;"; ","")&amp;IF(AND(BT1192=1,BU1192&lt;BV1192),"MAX &lt; MB+LG; ","")&amp;IF(AND(BZ1192&gt;0,BY1192*10&gt;BZ1192),"zu hoch für Tablar; ","")&amp;IF(AND(BK1192=0,OR(BT1192=1,V1192&lt;&gt;"",S1192&lt;&gt;"",T1192&lt;&gt;"",W1192&lt;&gt;"")),"manuell übersteuert; ","")&amp;IF(AND(BO1192=0,Q1192=0),"Gebinde unbekannt; ","")&amp;IF(AND(BO1192=0,N(T1192)&lt;=0,N(P1192)&lt;=0),"Menge pro Gebinde fehlt (Ist = 1 Gebinde); ","")&amp;BJ1192)</f>
        <v/>
      </c>
      <c r="BC1192" s="53" t="n"/>
      <c r="BD1192" s="53" t="n"/>
      <c r="BE1192" s="61" t="n"/>
      <c r="BF1192" s="55" t="n">
        <v>-4</v>
      </c>
      <c r="BG1192" s="55" t="n">
        <v>17</v>
      </c>
      <c r="BH1192" s="54" t="n">
        <v>-428</v>
      </c>
      <c r="BI1192" s="55" t="n">
        <v>4</v>
      </c>
      <c r="BJ1192" s="53" t="inlineStr">
        <is>
          <t>Überbestand</t>
        </is>
      </c>
      <c r="BK1192" s="58" t="n">
        <v>0</v>
      </c>
      <c r="BL1192" s="58" t="n">
        <v>1192</v>
      </c>
      <c r="BM1192" s="53">
        <f>IF(S1192&lt;&gt;"",UPPER(TRIM(S1192)),IF(O1192="","LOSE",O1192))</f>
        <v/>
      </c>
      <c r="BN1192" s="55">
        <f>IF(BM1192="LOSE",1,IF(N(T1192)&gt;0,T1192,IF(N(P1192)&gt;0,P1192,MAX(1,G1192))))</f>
        <v/>
      </c>
      <c r="BO1192" s="58">
        <f>IF(BM1192="LOSE",1,0)</f>
        <v/>
      </c>
      <c r="BP1192" s="64">
        <f>IF(BO1192=0,0,IF(N(R1192)&gt;0,R1192,IFERROR(VLOOKUP(D1192,Parameter!$A$35:$C$64,3,0)+0,0)))</f>
        <v/>
      </c>
      <c r="BQ1192" s="53">
        <f>IF(V1192&lt;&gt;"",V1192,U1192)</f>
        <v/>
      </c>
      <c r="BR1192" s="53">
        <f>IF(BQ1192=1,"L1",IF(OR(BQ1192=2,BQ1192=3),"L23",IF(BQ1192="Aussen","Aussen","-")))</f>
        <v/>
      </c>
      <c r="BS1192" s="66">
        <f>IF(N(W1192)&gt;0,W1192,0)</f>
        <v/>
      </c>
      <c r="BT1192" s="58">
        <f>IF(ISNUMBER(Z1192),1,0)</f>
        <v/>
      </c>
      <c r="BU1192" s="55">
        <f>N(Z1192)</f>
        <v/>
      </c>
      <c r="BV1192" s="55">
        <f>N(L1192)+N(M1192)</f>
        <v/>
      </c>
      <c r="BW1192" s="55">
        <f>ROUNDUP(G1192/BN1192,0)</f>
        <v/>
      </c>
      <c r="BX1192" s="55">
        <f>ROUNDUP(BU1192/BN1192,0)</f>
        <v/>
      </c>
      <c r="BY1192" s="58">
        <f>IF(BO1192=1,0,IFERROR(VLOOKUP(BM1192,'Gebinde-Kategorie'!$A$5:$G$45,5,0)+0,0))</f>
        <v/>
      </c>
      <c r="BZ1192" s="58">
        <f>IFERROR(IF(OR(BQ1192=1,BQ1192=2,BQ1192=3),N(INDEX(Parameter!$I$5:$I$7,BQ1192)),0),0)</f>
        <v/>
      </c>
    </row>
    <row r="1193">
      <c r="A1193" s="53" t="inlineStr">
        <is>
          <t>005359</t>
        </is>
      </c>
      <c r="B1193" s="53" t="inlineStr">
        <is>
          <t>Abzweigdose</t>
        </is>
      </c>
      <c r="C1193" s="53" t="inlineStr">
        <is>
          <t>F</t>
        </is>
      </c>
      <c r="D1193" s="53" t="inlineStr">
        <is>
          <t>KTL</t>
        </is>
      </c>
      <c r="E1193" s="53" t="inlineStr">
        <is>
          <t>C</t>
        </is>
      </c>
      <c r="F1193" s="54" t="n">
        <v>79.87</v>
      </c>
      <c r="G1193" s="55">
        <f>MAX(0,IF(Parameter!$B$20="Jahresanfang 2025 + Export",BG1193+BF1193,BF1193))</f>
        <v/>
      </c>
      <c r="H1193" s="55">
        <f>G1193*F1193</f>
        <v/>
      </c>
      <c r="I1193" s="55">
        <f>BI1193*Parameter!$B$18</f>
        <v/>
      </c>
      <c r="J1193" s="56" t="n">
        <v>10</v>
      </c>
      <c r="K1193" s="57" t="n">
        <v>1.3</v>
      </c>
      <c r="L1193" s="55" t="n">
        <v>0</v>
      </c>
      <c r="M1193" s="55" t="n">
        <v>15</v>
      </c>
      <c r="N1193" s="58" t="n">
        <v>21</v>
      </c>
      <c r="O1193" s="53" t="inlineStr">
        <is>
          <t>S52</t>
        </is>
      </c>
      <c r="P1193" s="55" t="n">
        <v>4</v>
      </c>
      <c r="Q1193" s="59">
        <f>IF(BO1193=1,0,IFERROR(VLOOKUP(BM1193,'Gebinde-Kategorie'!$A$5:$G$45,6,0)+0,0))</f>
        <v/>
      </c>
      <c r="R1193" s="60" t="n"/>
      <c r="S1193" s="61" t="n"/>
      <c r="T1193" s="61" t="n"/>
      <c r="U1193" s="53">
        <f>IF(A1193="","",IF(IFERROR(VLOOKUP(D1193,Parameter!$A$35:$C$64,2,0),"Nein")="2+3",IF(ISNUMBER(SEARCH("grosser Artikel",BJ1193)),2,IFERROR(VLOOKUP(BM1193,Parameter!$F$35:$G$64,2,0),2)),IF(OR(IFERROR(VLOOKUP(D1193,Parameter!$A$35:$C$64,2,0),"Nein")="Nein",IFERROR(VLOOKUP(D1193,Parameter!$A$35:$C$64,2,0),"Nein")=""),"-",VLOOKUP(D1193,Parameter!$A$35:$C$64,2,0))))</f>
        <v/>
      </c>
      <c r="V1193" s="61" t="n"/>
      <c r="W1193" s="62" t="n"/>
      <c r="X1193" s="55">
        <f>AM1193</f>
        <v/>
      </c>
      <c r="Y1193" s="55">
        <f>MAX(AM1193,G1193)</f>
        <v/>
      </c>
      <c r="Z1193" s="63" t="n"/>
      <c r="AA1193" s="55">
        <f>IF(LEFT(Cockpit!$C$5,1)="A",G1193,IF(BT1193=1,BU1193,IF(LEFT(Cockpit!$C$5,1)="B",AE1193,MAX(AE1193,G1193))))</f>
        <v/>
      </c>
      <c r="AB1193" s="55">
        <f>IF(BO1193=1,0,ROUNDUP(AA1193/BN1193,0))</f>
        <v/>
      </c>
      <c r="AC1193" s="64">
        <f>IF(BO1193=1,IF(AA1193&lt;=0,0,BP1193*MAX(1,IF(G1193&gt;0,AA1193/G1193,1))),AB1193*Q1193)</f>
        <v/>
      </c>
      <c r="AD1193" s="55">
        <f>AA1193*F1193</f>
        <v/>
      </c>
      <c r="AE1193" s="55">
        <f>ROUNDUP(MAX(I1193/IF(BS1193&gt;0,BS1193,MAX(0.1,N(Cockpit!$C$6))),BV1193)/BN1193,0)*BN1193</f>
        <v/>
      </c>
      <c r="AF1193" s="56">
        <f>IF(AC1193&gt;0,I1193/AC1193,-1)</f>
        <v/>
      </c>
      <c r="AG1193" s="56">
        <f>IF(AND(OR(BR1193="L1",BR1193="L23"),AC1193&gt;0),SUMIFS($AC$7:$AC$1570,$BR$7:$BR$1570,BR1193,$AF$7:$AF$1570,"&gt;"&amp;AF1193)+SUMIFS($AC$7:$AC$1570,$BR$7:$BR$1570,BR1193,$AF$7:$AF$1570,AF1193,$BL$7:$BL$1570,"&lt;="&amp;BL1193),"")</f>
        <v/>
      </c>
      <c r="AH1193" s="65">
        <f>IF(AG1193="",0,MAX(0,MIN(1,(IF(BR1193="L1",Parameter!$K$5,Parameter!$K$6+Parameter!$K$7)-(AG1193-AC1193))/AC1193)))</f>
        <v/>
      </c>
      <c r="AI1193" s="55">
        <f>IF(LEFT(Cockpit!$I$5,1)="A",G1193,IF(BT1193=1,BU1193,IF(LEFT(Cockpit!$I$5,1)="B",AM1193,MAX(AM1193,G1193))))</f>
        <v/>
      </c>
      <c r="AJ1193" s="55">
        <f>IF(BO1193=1,0,ROUNDUP(AI1193/BN1193,0))</f>
        <v/>
      </c>
      <c r="AK1193" s="64">
        <f>IF(BO1193=1,IF(AI1193&lt;=0,0,BP1193*MAX(1,IF(G1193&gt;0,AI1193/G1193,1))),AJ1193*Q1193)</f>
        <v/>
      </c>
      <c r="AL1193" s="55">
        <f>AI1193*F1193</f>
        <v/>
      </c>
      <c r="AM1193" s="55">
        <f>ROUNDUP(MAX(I1193/IF(BS1193&gt;0,BS1193,MAX(0.1,N(Cockpit!$I$6))),BV1193)/BN1193,0)*BN1193</f>
        <v/>
      </c>
      <c r="AN1193" s="56">
        <f>IF(AK1193&gt;0,I1193/AK1193,-1)</f>
        <v/>
      </c>
      <c r="AO1193" s="56">
        <f>IF(AND(OR(BR1193="L1",BR1193="L23"),AK1193&gt;0),SUMIFS($AK$7:$AK$1570,$BR$7:$BR$1570,BR1193,$AN$7:$AN$1570,"&gt;"&amp;AN1193)+SUMIFS($AK$7:$AK$1570,$BR$7:$BR$1570,BR1193,$AN$7:$AN$1570,AN1193,$BL$7:$BL$1570,"&lt;="&amp;BL1193),"")</f>
        <v/>
      </c>
      <c r="AP1193" s="65">
        <f>IF(AO1193="",0,MAX(0,MIN(1,(IF(BR1193="L1",Parameter!$K$5,Parameter!$K$6+Parameter!$K$7)-(AO1193-AK1193))/AK1193)))</f>
        <v/>
      </c>
      <c r="AQ1193" s="55">
        <f>IF(LEFT(Cockpit!$O$5,1)="A",G1193,IF(BT1193=1,BU1193,IF(LEFT(Cockpit!$O$5,1)="B",AU1193,MAX(AU1193,G1193))))</f>
        <v/>
      </c>
      <c r="AR1193" s="55">
        <f>IF(BO1193=1,0,ROUNDUP(AQ1193/BN1193,0))</f>
        <v/>
      </c>
      <c r="AS1193" s="64">
        <f>IF(BO1193=1,IF(AQ1193&lt;=0,0,BP1193*MAX(1,IF(G1193&gt;0,AQ1193/G1193,1))),AR1193*Q1193)</f>
        <v/>
      </c>
      <c r="AT1193" s="55">
        <f>AQ1193*F1193</f>
        <v/>
      </c>
      <c r="AU1193" s="55">
        <f>ROUNDUP(MAX(I1193/IF(BS1193&gt;0,BS1193,MAX(0.1,N(Cockpit!$O$6))),BV1193)/BN1193,0)*BN1193</f>
        <v/>
      </c>
      <c r="AV1193" s="56">
        <f>IF(AS1193&gt;0,I1193/AS1193,-1)</f>
        <v/>
      </c>
      <c r="AW1193" s="56">
        <f>IF(AND(OR(BR1193="L1",BR1193="L23"),AS1193&gt;0),SUMIFS($AS$7:$AS$1570,$BR$7:$BR$1570,BR1193,$AV$7:$AV$1570,"&gt;"&amp;AV1193)+SUMIFS($AS$7:$AS$1570,$BR$7:$BR$1570,BR1193,$AV$7:$AV$1570,AV1193,$BL$7:$BL$1570,"&lt;="&amp;BL1193),"")</f>
        <v/>
      </c>
      <c r="AX1193" s="65">
        <f>IF(AW1193="",0,MAX(0,MIN(1,(IF(BR1193="L1",Parameter!$K$5,Parameter!$K$6+Parameter!$K$7)-(AW1193-AS1193))/AS1193)))</f>
        <v/>
      </c>
      <c r="AY1193" s="53">
        <f>IF(AC1193&lt;=0,"",IF(BR1193="Aussen","Aussenlager",IF(BR1193="-","Nicht im Lift",IF(AH1193&gt;=1,"Lift",IF(AH1193&lt;=0,"Aussenlager","teilweise")))))</f>
        <v/>
      </c>
      <c r="AZ1193" s="53">
        <f>IF(AK1193&lt;=0,"",IF(BR1193="Aussen","Aussenlager",IF(BR1193="-","Nicht im Lift",IF(AP1193&gt;=1,"Lift",IF(AP1193&lt;=0,"Aussenlager","teilweise")))))</f>
        <v/>
      </c>
      <c r="BA1193" s="53">
        <f>IF(AS1193&lt;=0,"",IF(BR1193="Aussen","Aussenlager",IF(BR1193="-","Nicht im Lift",IF(AX1193&gt;=1,"Lift",IF(AX1193&lt;=0,"Aussenlager","teilweise")))))</f>
        <v/>
      </c>
      <c r="BB1193" s="53">
        <f>IF(A1193="","",IF(BK1193=1,"Neu; ","")&amp;IF(AND(BK1193=0,BF1193&lt;0),"negativer Bestand (Export "&amp;BF1193&amp;"); ","")&amp;IF(I1193&lt;=0,"Kein Verbrauch; ","")&amp;IF(BO1193=1,"Lose – Fläche geschätzt; ","")&amp;IF(G1193&gt;AM1193,"Überbestand "&amp;ROUND(G1193-AM1193,0)&amp;" Stk / CHF "&amp;ROUND((G1193-AM1193)*F1193,0)&amp;"; ","")&amp;IF(AND(BT1193=1,BU1193&lt;BV1193),"MAX &lt; MB+LG; ","")&amp;IF(AND(BZ1193&gt;0,BY1193*10&gt;BZ1193),"zu hoch für Tablar; ","")&amp;IF(AND(BK1193=0,OR(BT1193=1,V1193&lt;&gt;"",S1193&lt;&gt;"",T1193&lt;&gt;"",W1193&lt;&gt;"")),"manuell übersteuert; ","")&amp;IF(AND(BO1193=0,Q1193=0),"Gebinde unbekannt; ","")&amp;IF(AND(BO1193=0,N(T1193)&lt;=0,N(P1193)&lt;=0),"Menge pro Gebinde fehlt (Ist = 1 Gebinde); ","")&amp;BJ1193)</f>
        <v/>
      </c>
      <c r="BC1193" s="53" t="n"/>
      <c r="BD1193" s="53" t="n"/>
      <c r="BE1193" s="61" t="n"/>
      <c r="BF1193" s="55" t="n">
        <v>-6</v>
      </c>
      <c r="BG1193" s="55" t="n">
        <v>12</v>
      </c>
      <c r="BH1193" s="54" t="n">
        <v>-435.7799999999999</v>
      </c>
      <c r="BI1193" s="55" t="n">
        <v>13</v>
      </c>
      <c r="BJ1193" s="53" t="inlineStr"/>
      <c r="BK1193" s="58" t="n">
        <v>0</v>
      </c>
      <c r="BL1193" s="58" t="n">
        <v>1193</v>
      </c>
      <c r="BM1193" s="53">
        <f>IF(S1193&lt;&gt;"",UPPER(TRIM(S1193)),IF(O1193="","LOSE",O1193))</f>
        <v/>
      </c>
      <c r="BN1193" s="55">
        <f>IF(BM1193="LOSE",1,IF(N(T1193)&gt;0,T1193,IF(N(P1193)&gt;0,P1193,MAX(1,G1193))))</f>
        <v/>
      </c>
      <c r="BO1193" s="58">
        <f>IF(BM1193="LOSE",1,0)</f>
        <v/>
      </c>
      <c r="BP1193" s="64">
        <f>IF(BO1193=0,0,IF(N(R1193)&gt;0,R1193,IFERROR(VLOOKUP(D1193,Parameter!$A$35:$C$64,3,0)+0,0)))</f>
        <v/>
      </c>
      <c r="BQ1193" s="53">
        <f>IF(V1193&lt;&gt;"",V1193,U1193)</f>
        <v/>
      </c>
      <c r="BR1193" s="53">
        <f>IF(BQ1193=1,"L1",IF(OR(BQ1193=2,BQ1193=3),"L23",IF(BQ1193="Aussen","Aussen","-")))</f>
        <v/>
      </c>
      <c r="BS1193" s="66">
        <f>IF(N(W1193)&gt;0,W1193,0)</f>
        <v/>
      </c>
      <c r="BT1193" s="58">
        <f>IF(ISNUMBER(Z1193),1,0)</f>
        <v/>
      </c>
      <c r="BU1193" s="55">
        <f>N(Z1193)</f>
        <v/>
      </c>
      <c r="BV1193" s="55">
        <f>N(L1193)+N(M1193)</f>
        <v/>
      </c>
      <c r="BW1193" s="55">
        <f>ROUNDUP(G1193/BN1193,0)</f>
        <v/>
      </c>
      <c r="BX1193" s="55">
        <f>ROUNDUP(BU1193/BN1193,0)</f>
        <v/>
      </c>
      <c r="BY1193" s="58">
        <f>IF(BO1193=1,0,IFERROR(VLOOKUP(BM1193,'Gebinde-Kategorie'!$A$5:$G$45,5,0)+0,0))</f>
        <v/>
      </c>
      <c r="BZ1193" s="58">
        <f>IFERROR(IF(OR(BQ1193=1,BQ1193=2,BQ1193=3),N(INDEX(Parameter!$I$5:$I$7,BQ1193)),0),0)</f>
        <v/>
      </c>
    </row>
    <row r="1194">
      <c r="A1194" s="53" t="inlineStr">
        <is>
          <t>100628</t>
        </is>
      </c>
      <c r="B1194" s="53" t="inlineStr">
        <is>
          <t>T-Stück Edelstahl</t>
        </is>
      </c>
      <c r="C1194" s="53" t="inlineStr">
        <is>
          <t>F</t>
        </is>
      </c>
      <c r="D1194" s="53" t="inlineStr">
        <is>
          <t>KTL</t>
        </is>
      </c>
      <c r="E1194" s="53" t="inlineStr">
        <is>
          <t>C</t>
        </is>
      </c>
      <c r="F1194" s="54" t="n">
        <v>40.33</v>
      </c>
      <c r="G1194" s="55">
        <f>MAX(0,IF(Parameter!$B$20="Jahresanfang 2025 + Export",BG1194+BF1194,BF1194))</f>
        <v/>
      </c>
      <c r="H1194" s="55">
        <f>G1194*F1194</f>
        <v/>
      </c>
      <c r="I1194" s="55">
        <f>BI1194*Parameter!$B$18</f>
        <v/>
      </c>
      <c r="J1194" s="56" t="n">
        <v>23.5</v>
      </c>
      <c r="K1194" s="57" t="n">
        <v>0</v>
      </c>
      <c r="L1194" s="55" t="n">
        <v>0</v>
      </c>
      <c r="M1194" s="55" t="n">
        <v>1</v>
      </c>
      <c r="N1194" s="58" t="n">
        <v>14</v>
      </c>
      <c r="O1194" s="53" t="inlineStr">
        <is>
          <t>S22</t>
        </is>
      </c>
      <c r="P1194" s="55" t="n">
        <v>20</v>
      </c>
      <c r="Q1194" s="59">
        <f>IF(BO1194=1,0,IFERROR(VLOOKUP(BM1194,'Gebinde-Kategorie'!$A$5:$G$45,6,0)+0,0))</f>
        <v/>
      </c>
      <c r="R1194" s="60" t="n"/>
      <c r="S1194" s="61" t="n"/>
      <c r="T1194" s="61" t="n"/>
      <c r="U1194" s="53">
        <f>IF(A1194="","",IF(IFERROR(VLOOKUP(D1194,Parameter!$A$35:$C$64,2,0),"Nein")="2+3",IF(ISNUMBER(SEARCH("grosser Artikel",BJ1194)),2,IFERROR(VLOOKUP(BM1194,Parameter!$F$35:$G$64,2,0),2)),IF(OR(IFERROR(VLOOKUP(D1194,Parameter!$A$35:$C$64,2,0),"Nein")="Nein",IFERROR(VLOOKUP(D1194,Parameter!$A$35:$C$64,2,0),"Nein")=""),"-",VLOOKUP(D1194,Parameter!$A$35:$C$64,2,0))))</f>
        <v/>
      </c>
      <c r="V1194" s="61" t="n"/>
      <c r="W1194" s="62" t="n"/>
      <c r="X1194" s="55">
        <f>AM1194</f>
        <v/>
      </c>
      <c r="Y1194" s="55">
        <f>MAX(AM1194,G1194)</f>
        <v/>
      </c>
      <c r="Z1194" s="63" t="n"/>
      <c r="AA1194" s="55">
        <f>IF(LEFT(Cockpit!$C$5,1)="A",G1194,IF(BT1194=1,BU1194,IF(LEFT(Cockpit!$C$5,1)="B",AE1194,MAX(AE1194,G1194))))</f>
        <v/>
      </c>
      <c r="AB1194" s="55">
        <f>IF(BO1194=1,0,ROUNDUP(AA1194/BN1194,0))</f>
        <v/>
      </c>
      <c r="AC1194" s="64">
        <f>IF(BO1194=1,IF(AA1194&lt;=0,0,BP1194*MAX(1,IF(G1194&gt;0,AA1194/G1194,1))),AB1194*Q1194)</f>
        <v/>
      </c>
      <c r="AD1194" s="55">
        <f>AA1194*F1194</f>
        <v/>
      </c>
      <c r="AE1194" s="55">
        <f>ROUNDUP(MAX(I1194/IF(BS1194&gt;0,BS1194,MAX(0.1,N(Cockpit!$C$6))),BV1194)/BN1194,0)*BN1194</f>
        <v/>
      </c>
      <c r="AF1194" s="56">
        <f>IF(AC1194&gt;0,I1194/AC1194,-1)</f>
        <v/>
      </c>
      <c r="AG1194" s="56">
        <f>IF(AND(OR(BR1194="L1",BR1194="L23"),AC1194&gt;0),SUMIFS($AC$7:$AC$1570,$BR$7:$BR$1570,BR1194,$AF$7:$AF$1570,"&gt;"&amp;AF1194)+SUMIFS($AC$7:$AC$1570,$BR$7:$BR$1570,BR1194,$AF$7:$AF$1570,AF1194,$BL$7:$BL$1570,"&lt;="&amp;BL1194),"")</f>
        <v/>
      </c>
      <c r="AH1194" s="65">
        <f>IF(AG1194="",0,MAX(0,MIN(1,(IF(BR1194="L1",Parameter!$K$5,Parameter!$K$6+Parameter!$K$7)-(AG1194-AC1194))/AC1194)))</f>
        <v/>
      </c>
      <c r="AI1194" s="55">
        <f>IF(LEFT(Cockpit!$I$5,1)="A",G1194,IF(BT1194=1,BU1194,IF(LEFT(Cockpit!$I$5,1)="B",AM1194,MAX(AM1194,G1194))))</f>
        <v/>
      </c>
      <c r="AJ1194" s="55">
        <f>IF(BO1194=1,0,ROUNDUP(AI1194/BN1194,0))</f>
        <v/>
      </c>
      <c r="AK1194" s="64">
        <f>IF(BO1194=1,IF(AI1194&lt;=0,0,BP1194*MAX(1,IF(G1194&gt;0,AI1194/G1194,1))),AJ1194*Q1194)</f>
        <v/>
      </c>
      <c r="AL1194" s="55">
        <f>AI1194*F1194</f>
        <v/>
      </c>
      <c r="AM1194" s="55">
        <f>ROUNDUP(MAX(I1194/IF(BS1194&gt;0,BS1194,MAX(0.1,N(Cockpit!$I$6))),BV1194)/BN1194,0)*BN1194</f>
        <v/>
      </c>
      <c r="AN1194" s="56">
        <f>IF(AK1194&gt;0,I1194/AK1194,-1)</f>
        <v/>
      </c>
      <c r="AO1194" s="56">
        <f>IF(AND(OR(BR1194="L1",BR1194="L23"),AK1194&gt;0),SUMIFS($AK$7:$AK$1570,$BR$7:$BR$1570,BR1194,$AN$7:$AN$1570,"&gt;"&amp;AN1194)+SUMIFS($AK$7:$AK$1570,$BR$7:$BR$1570,BR1194,$AN$7:$AN$1570,AN1194,$BL$7:$BL$1570,"&lt;="&amp;BL1194),"")</f>
        <v/>
      </c>
      <c r="AP1194" s="65">
        <f>IF(AO1194="",0,MAX(0,MIN(1,(IF(BR1194="L1",Parameter!$K$5,Parameter!$K$6+Parameter!$K$7)-(AO1194-AK1194))/AK1194)))</f>
        <v/>
      </c>
      <c r="AQ1194" s="55">
        <f>IF(LEFT(Cockpit!$O$5,1)="A",G1194,IF(BT1194=1,BU1194,IF(LEFT(Cockpit!$O$5,1)="B",AU1194,MAX(AU1194,G1194))))</f>
        <v/>
      </c>
      <c r="AR1194" s="55">
        <f>IF(BO1194=1,0,ROUNDUP(AQ1194/BN1194,0))</f>
        <v/>
      </c>
      <c r="AS1194" s="64">
        <f>IF(BO1194=1,IF(AQ1194&lt;=0,0,BP1194*MAX(1,IF(G1194&gt;0,AQ1194/G1194,1))),AR1194*Q1194)</f>
        <v/>
      </c>
      <c r="AT1194" s="55">
        <f>AQ1194*F1194</f>
        <v/>
      </c>
      <c r="AU1194" s="55">
        <f>ROUNDUP(MAX(I1194/IF(BS1194&gt;0,BS1194,MAX(0.1,N(Cockpit!$O$6))),BV1194)/BN1194,0)*BN1194</f>
        <v/>
      </c>
      <c r="AV1194" s="56">
        <f>IF(AS1194&gt;0,I1194/AS1194,-1)</f>
        <v/>
      </c>
      <c r="AW1194" s="56">
        <f>IF(AND(OR(BR1194="L1",BR1194="L23"),AS1194&gt;0),SUMIFS($AS$7:$AS$1570,$BR$7:$BR$1570,BR1194,$AV$7:$AV$1570,"&gt;"&amp;AV1194)+SUMIFS($AS$7:$AS$1570,$BR$7:$BR$1570,BR1194,$AV$7:$AV$1570,AV1194,$BL$7:$BL$1570,"&lt;="&amp;BL1194),"")</f>
        <v/>
      </c>
      <c r="AX1194" s="65">
        <f>IF(AW1194="",0,MAX(0,MIN(1,(IF(BR1194="L1",Parameter!$K$5,Parameter!$K$6+Parameter!$K$7)-(AW1194-AS1194))/AS1194)))</f>
        <v/>
      </c>
      <c r="AY1194" s="53">
        <f>IF(AC1194&lt;=0,"",IF(BR1194="Aussen","Aussenlager",IF(BR1194="-","Nicht im Lift",IF(AH1194&gt;=1,"Lift",IF(AH1194&lt;=0,"Aussenlager","teilweise")))))</f>
        <v/>
      </c>
      <c r="AZ1194" s="53">
        <f>IF(AK1194&lt;=0,"",IF(BR1194="Aussen","Aussenlager",IF(BR1194="-","Nicht im Lift",IF(AP1194&gt;=1,"Lift",IF(AP1194&lt;=0,"Aussenlager","teilweise")))))</f>
        <v/>
      </c>
      <c r="BA1194" s="53">
        <f>IF(AS1194&lt;=0,"",IF(BR1194="Aussen","Aussenlager",IF(BR1194="-","Nicht im Lift",IF(AX1194&gt;=1,"Lift",IF(AX1194&lt;=0,"Aussenlager","teilweise")))))</f>
        <v/>
      </c>
      <c r="BB1194" s="53">
        <f>IF(A1194="","",IF(BK1194=1,"Neu; ","")&amp;IF(AND(BK1194=0,BF1194&lt;0),"negativer Bestand (Export "&amp;BF1194&amp;"); ","")&amp;IF(I1194&lt;=0,"Kein Verbrauch; ","")&amp;IF(BO1194=1,"Lose – Fläche geschätzt; ","")&amp;IF(G1194&gt;AM1194,"Überbestand "&amp;ROUND(G1194-AM1194,0)&amp;" Stk / CHF "&amp;ROUND((G1194-AM1194)*F1194,0)&amp;"; ","")&amp;IF(AND(BT1194=1,BU1194&lt;BV1194),"MAX &lt; MB+LG; ","")&amp;IF(AND(BZ1194&gt;0,BY1194*10&gt;BZ1194),"zu hoch für Tablar; ","")&amp;IF(AND(BK1194=0,OR(BT1194=1,V1194&lt;&gt;"",S1194&lt;&gt;"",T1194&lt;&gt;"",W1194&lt;&gt;"")),"manuell übersteuert; ","")&amp;IF(AND(BO1194=0,Q1194=0),"Gebinde unbekannt; ","")&amp;IF(AND(BO1194=0,N(T1194)&lt;=0,N(P1194)&lt;=0),"Menge pro Gebinde fehlt (Ist = 1 Gebinde); ","")&amp;BJ1194)</f>
        <v/>
      </c>
      <c r="BC1194" s="53" t="n"/>
      <c r="BD1194" s="53" t="n"/>
      <c r="BE1194" s="61" t="n"/>
      <c r="BF1194" s="55" t="n">
        <v>-11</v>
      </c>
      <c r="BG1194" s="55" t="n">
        <v>29</v>
      </c>
      <c r="BH1194" s="54" t="n">
        <v>-443.63</v>
      </c>
      <c r="BI1194" s="55" t="n">
        <v>0</v>
      </c>
      <c r="BJ1194" s="53" t="inlineStr">
        <is>
          <t>Verb.Lager</t>
        </is>
      </c>
      <c r="BK1194" s="58" t="n">
        <v>0</v>
      </c>
      <c r="BL1194" s="58" t="n">
        <v>1194</v>
      </c>
      <c r="BM1194" s="53">
        <f>IF(S1194&lt;&gt;"",UPPER(TRIM(S1194)),IF(O1194="","LOSE",O1194))</f>
        <v/>
      </c>
      <c r="BN1194" s="55">
        <f>IF(BM1194="LOSE",1,IF(N(T1194)&gt;0,T1194,IF(N(P1194)&gt;0,P1194,MAX(1,G1194))))</f>
        <v/>
      </c>
      <c r="BO1194" s="58">
        <f>IF(BM1194="LOSE",1,0)</f>
        <v/>
      </c>
      <c r="BP1194" s="64">
        <f>IF(BO1194=0,0,IF(N(R1194)&gt;0,R1194,IFERROR(VLOOKUP(D1194,Parameter!$A$35:$C$64,3,0)+0,0)))</f>
        <v/>
      </c>
      <c r="BQ1194" s="53">
        <f>IF(V1194&lt;&gt;"",V1194,U1194)</f>
        <v/>
      </c>
      <c r="BR1194" s="53">
        <f>IF(BQ1194=1,"L1",IF(OR(BQ1194=2,BQ1194=3),"L23",IF(BQ1194="Aussen","Aussen","-")))</f>
        <v/>
      </c>
      <c r="BS1194" s="66">
        <f>IF(N(W1194)&gt;0,W1194,0)</f>
        <v/>
      </c>
      <c r="BT1194" s="58">
        <f>IF(ISNUMBER(Z1194),1,0)</f>
        <v/>
      </c>
      <c r="BU1194" s="55">
        <f>N(Z1194)</f>
        <v/>
      </c>
      <c r="BV1194" s="55">
        <f>N(L1194)+N(M1194)</f>
        <v/>
      </c>
      <c r="BW1194" s="55">
        <f>ROUNDUP(G1194/BN1194,0)</f>
        <v/>
      </c>
      <c r="BX1194" s="55">
        <f>ROUNDUP(BU1194/BN1194,0)</f>
        <v/>
      </c>
      <c r="BY1194" s="58">
        <f>IF(BO1194=1,0,IFERROR(VLOOKUP(BM1194,'Gebinde-Kategorie'!$A$5:$G$45,5,0)+0,0))</f>
        <v/>
      </c>
      <c r="BZ1194" s="58">
        <f>IFERROR(IF(OR(BQ1194=1,BQ1194=2,BQ1194=3),N(INDEX(Parameter!$I$5:$I$7,BQ1194)),0),0)</f>
        <v/>
      </c>
    </row>
    <row r="1195">
      <c r="A1195" s="53" t="inlineStr">
        <is>
          <t>106889</t>
        </is>
      </c>
      <c r="B1195" s="53" t="inlineStr">
        <is>
          <t>PTFE-Schlauch DN6</t>
        </is>
      </c>
      <c r="C1195" s="53" t="inlineStr">
        <is>
          <t>A</t>
        </is>
      </c>
      <c r="D1195" s="53" t="inlineStr">
        <is>
          <t>PAL</t>
        </is>
      </c>
      <c r="E1195" s="53" t="inlineStr">
        <is>
          <t>C</t>
        </is>
      </c>
      <c r="F1195" s="54" t="n">
        <v>225.57</v>
      </c>
      <c r="G1195" s="55">
        <f>MAX(0,IF(Parameter!$B$20="Jahresanfang 2025 + Export",BG1195+BF1195,BF1195))</f>
        <v/>
      </c>
      <c r="H1195" s="55">
        <f>G1195*F1195</f>
        <v/>
      </c>
      <c r="I1195" s="55">
        <f>BI1195*Parameter!$B$18</f>
        <v/>
      </c>
      <c r="J1195" s="56" t="n">
        <v>14</v>
      </c>
      <c r="K1195" s="57" t="n">
        <v>0.1428571428571428</v>
      </c>
      <c r="L1195" s="55" t="n">
        <v>0</v>
      </c>
      <c r="M1195" s="55" t="n">
        <v>1</v>
      </c>
      <c r="N1195" s="58" t="n">
        <v>77</v>
      </c>
      <c r="O1195" s="53" t="inlineStr">
        <is>
          <t>S62</t>
        </is>
      </c>
      <c r="P1195" s="55" t="n">
        <v>13</v>
      </c>
      <c r="Q1195" s="59">
        <f>IF(BO1195=1,0,IFERROR(VLOOKUP(BM1195,'Gebinde-Kategorie'!$A$5:$G$45,6,0)+0,0))</f>
        <v/>
      </c>
      <c r="R1195" s="60" t="n"/>
      <c r="S1195" s="61" t="n"/>
      <c r="T1195" s="61" t="n"/>
      <c r="U1195" s="53">
        <f>IF(A1195="","",IF(IFERROR(VLOOKUP(D1195,Parameter!$A$35:$C$64,2,0),"Nein")="2+3",IF(ISNUMBER(SEARCH("grosser Artikel",BJ1195)),2,IFERROR(VLOOKUP(BM1195,Parameter!$F$35:$G$64,2,0),2)),IF(OR(IFERROR(VLOOKUP(D1195,Parameter!$A$35:$C$64,2,0),"Nein")="Nein",IFERROR(VLOOKUP(D1195,Parameter!$A$35:$C$64,2,0),"Nein")=""),"-",VLOOKUP(D1195,Parameter!$A$35:$C$64,2,0))))</f>
        <v/>
      </c>
      <c r="V1195" s="61" t="n"/>
      <c r="W1195" s="62" t="n"/>
      <c r="X1195" s="55">
        <f>AM1195</f>
        <v/>
      </c>
      <c r="Y1195" s="55">
        <f>MAX(AM1195,G1195)</f>
        <v/>
      </c>
      <c r="Z1195" s="63" t="n"/>
      <c r="AA1195" s="55">
        <f>IF(LEFT(Cockpit!$C$5,1)="A",G1195,IF(BT1195=1,BU1195,IF(LEFT(Cockpit!$C$5,1)="B",AE1195,MAX(AE1195,G1195))))</f>
        <v/>
      </c>
      <c r="AB1195" s="55">
        <f>IF(BO1195=1,0,ROUNDUP(AA1195/BN1195,0))</f>
        <v/>
      </c>
      <c r="AC1195" s="64">
        <f>IF(BO1195=1,IF(AA1195&lt;=0,0,BP1195*MAX(1,IF(G1195&gt;0,AA1195/G1195,1))),AB1195*Q1195)</f>
        <v/>
      </c>
      <c r="AD1195" s="55">
        <f>AA1195*F1195</f>
        <v/>
      </c>
      <c r="AE1195" s="55">
        <f>ROUNDUP(MAX(I1195/IF(BS1195&gt;0,BS1195,MAX(0.1,N(Cockpit!$C$6))),BV1195)/BN1195,0)*BN1195</f>
        <v/>
      </c>
      <c r="AF1195" s="56">
        <f>IF(AC1195&gt;0,I1195/AC1195,-1)</f>
        <v/>
      </c>
      <c r="AG1195" s="56">
        <f>IF(AND(OR(BR1195="L1",BR1195="L23"),AC1195&gt;0),SUMIFS($AC$7:$AC$1570,$BR$7:$BR$1570,BR1195,$AF$7:$AF$1570,"&gt;"&amp;AF1195)+SUMIFS($AC$7:$AC$1570,$BR$7:$BR$1570,BR1195,$AF$7:$AF$1570,AF1195,$BL$7:$BL$1570,"&lt;="&amp;BL1195),"")</f>
        <v/>
      </c>
      <c r="AH1195" s="65">
        <f>IF(AG1195="",0,MAX(0,MIN(1,(IF(BR1195="L1",Parameter!$K$5,Parameter!$K$6+Parameter!$K$7)-(AG1195-AC1195))/AC1195)))</f>
        <v/>
      </c>
      <c r="AI1195" s="55">
        <f>IF(LEFT(Cockpit!$I$5,1)="A",G1195,IF(BT1195=1,BU1195,IF(LEFT(Cockpit!$I$5,1)="B",AM1195,MAX(AM1195,G1195))))</f>
        <v/>
      </c>
      <c r="AJ1195" s="55">
        <f>IF(BO1195=1,0,ROUNDUP(AI1195/BN1195,0))</f>
        <v/>
      </c>
      <c r="AK1195" s="64">
        <f>IF(BO1195=1,IF(AI1195&lt;=0,0,BP1195*MAX(1,IF(G1195&gt;0,AI1195/G1195,1))),AJ1195*Q1195)</f>
        <v/>
      </c>
      <c r="AL1195" s="55">
        <f>AI1195*F1195</f>
        <v/>
      </c>
      <c r="AM1195" s="55">
        <f>ROUNDUP(MAX(I1195/IF(BS1195&gt;0,BS1195,MAX(0.1,N(Cockpit!$I$6))),BV1195)/BN1195,0)*BN1195</f>
        <v/>
      </c>
      <c r="AN1195" s="56">
        <f>IF(AK1195&gt;0,I1195/AK1195,-1)</f>
        <v/>
      </c>
      <c r="AO1195" s="56">
        <f>IF(AND(OR(BR1195="L1",BR1195="L23"),AK1195&gt;0),SUMIFS($AK$7:$AK$1570,$BR$7:$BR$1570,BR1195,$AN$7:$AN$1570,"&gt;"&amp;AN1195)+SUMIFS($AK$7:$AK$1570,$BR$7:$BR$1570,BR1195,$AN$7:$AN$1570,AN1195,$BL$7:$BL$1570,"&lt;="&amp;BL1195),"")</f>
        <v/>
      </c>
      <c r="AP1195" s="65">
        <f>IF(AO1195="",0,MAX(0,MIN(1,(IF(BR1195="L1",Parameter!$K$5,Parameter!$K$6+Parameter!$K$7)-(AO1195-AK1195))/AK1195)))</f>
        <v/>
      </c>
      <c r="AQ1195" s="55">
        <f>IF(LEFT(Cockpit!$O$5,1)="A",G1195,IF(BT1195=1,BU1195,IF(LEFT(Cockpit!$O$5,1)="B",AU1195,MAX(AU1195,G1195))))</f>
        <v/>
      </c>
      <c r="AR1195" s="55">
        <f>IF(BO1195=1,0,ROUNDUP(AQ1195/BN1195,0))</f>
        <v/>
      </c>
      <c r="AS1195" s="64">
        <f>IF(BO1195=1,IF(AQ1195&lt;=0,0,BP1195*MAX(1,IF(G1195&gt;0,AQ1195/G1195,1))),AR1195*Q1195)</f>
        <v/>
      </c>
      <c r="AT1195" s="55">
        <f>AQ1195*F1195</f>
        <v/>
      </c>
      <c r="AU1195" s="55">
        <f>ROUNDUP(MAX(I1195/IF(BS1195&gt;0,BS1195,MAX(0.1,N(Cockpit!$O$6))),BV1195)/BN1195,0)*BN1195</f>
        <v/>
      </c>
      <c r="AV1195" s="56">
        <f>IF(AS1195&gt;0,I1195/AS1195,-1)</f>
        <v/>
      </c>
      <c r="AW1195" s="56">
        <f>IF(AND(OR(BR1195="L1",BR1195="L23"),AS1195&gt;0),SUMIFS($AS$7:$AS$1570,$BR$7:$BR$1570,BR1195,$AV$7:$AV$1570,"&gt;"&amp;AV1195)+SUMIFS($AS$7:$AS$1570,$BR$7:$BR$1570,BR1195,$AV$7:$AV$1570,AV1195,$BL$7:$BL$1570,"&lt;="&amp;BL1195),"")</f>
        <v/>
      </c>
      <c r="AX1195" s="65">
        <f>IF(AW1195="",0,MAX(0,MIN(1,(IF(BR1195="L1",Parameter!$K$5,Parameter!$K$6+Parameter!$K$7)-(AW1195-AS1195))/AS1195)))</f>
        <v/>
      </c>
      <c r="AY1195" s="53">
        <f>IF(AC1195&lt;=0,"",IF(BR1195="Aussen","Aussenlager",IF(BR1195="-","Nicht im Lift",IF(AH1195&gt;=1,"Lift",IF(AH1195&lt;=0,"Aussenlager","teilweise")))))</f>
        <v/>
      </c>
      <c r="AZ1195" s="53">
        <f>IF(AK1195&lt;=0,"",IF(BR1195="Aussen","Aussenlager",IF(BR1195="-","Nicht im Lift",IF(AP1195&gt;=1,"Lift",IF(AP1195&lt;=0,"Aussenlager","teilweise")))))</f>
        <v/>
      </c>
      <c r="BA1195" s="53">
        <f>IF(AS1195&lt;=0,"",IF(BR1195="Aussen","Aussenlager",IF(BR1195="-","Nicht im Lift",IF(AX1195&gt;=1,"Lift",IF(AX1195&lt;=0,"Aussenlager","teilweise")))))</f>
        <v/>
      </c>
      <c r="BB1195" s="53">
        <f>IF(A1195="","",IF(BK1195=1,"Neu; ","")&amp;IF(AND(BK1195=0,BF1195&lt;0),"negativer Bestand (Export "&amp;BF1195&amp;"); ","")&amp;IF(I1195&lt;=0,"Kein Verbrauch; ","")&amp;IF(BO1195=1,"Lose – Fläche geschätzt; ","")&amp;IF(G1195&gt;AM1195,"Überbestand "&amp;ROUND(G1195-AM1195,0)&amp;" Stk / CHF "&amp;ROUND((G1195-AM1195)*F1195,0)&amp;"; ","")&amp;IF(AND(BT1195=1,BU1195&lt;BV1195),"MAX &lt; MB+LG; ","")&amp;IF(AND(BZ1195&gt;0,BY1195*10&gt;BZ1195),"zu hoch für Tablar; ","")&amp;IF(AND(BK1195=0,OR(BT1195=1,V1195&lt;&gt;"",S1195&lt;&gt;"",T1195&lt;&gt;"",W1195&lt;&gt;"")),"manuell übersteuert; ","")&amp;IF(AND(BO1195=0,Q1195=0),"Gebinde unbekannt; ","")&amp;IF(AND(BO1195=0,N(T1195)&lt;=0,N(P1195)&lt;=0),"Menge pro Gebinde fehlt (Ist = 1 Gebinde); ","")&amp;BJ1195)</f>
        <v/>
      </c>
      <c r="BC1195" s="53" t="n"/>
      <c r="BD1195" s="53" t="n"/>
      <c r="BE1195" s="61" t="n"/>
      <c r="BF1195" s="55" t="n">
        <v>-2</v>
      </c>
      <c r="BG1195" s="55" t="n">
        <v>15</v>
      </c>
      <c r="BH1195" s="54" t="n">
        <v>-451.14</v>
      </c>
      <c r="BI1195" s="55" t="n">
        <v>2</v>
      </c>
      <c r="BJ1195" s="53" t="inlineStr">
        <is>
          <t>grosser Artikel &amp; nicht im KTL</t>
        </is>
      </c>
      <c r="BK1195" s="58" t="n">
        <v>0</v>
      </c>
      <c r="BL1195" s="58" t="n">
        <v>1195</v>
      </c>
      <c r="BM1195" s="53">
        <f>IF(S1195&lt;&gt;"",UPPER(TRIM(S1195)),IF(O1195="","LOSE",O1195))</f>
        <v/>
      </c>
      <c r="BN1195" s="55">
        <f>IF(BM1195="LOSE",1,IF(N(T1195)&gt;0,T1195,IF(N(P1195)&gt;0,P1195,MAX(1,G1195))))</f>
        <v/>
      </c>
      <c r="BO1195" s="58">
        <f>IF(BM1195="LOSE",1,0)</f>
        <v/>
      </c>
      <c r="BP1195" s="64">
        <f>IF(BO1195=0,0,IF(N(R1195)&gt;0,R1195,IFERROR(VLOOKUP(D1195,Parameter!$A$35:$C$64,3,0)+0,0)))</f>
        <v/>
      </c>
      <c r="BQ1195" s="53">
        <f>IF(V1195&lt;&gt;"",V1195,U1195)</f>
        <v/>
      </c>
      <c r="BR1195" s="53">
        <f>IF(BQ1195=1,"L1",IF(OR(BQ1195=2,BQ1195=3),"L23",IF(BQ1195="Aussen","Aussen","-")))</f>
        <v/>
      </c>
      <c r="BS1195" s="66">
        <f>IF(N(W1195)&gt;0,W1195,0)</f>
        <v/>
      </c>
      <c r="BT1195" s="58">
        <f>IF(ISNUMBER(Z1195),1,0)</f>
        <v/>
      </c>
      <c r="BU1195" s="55">
        <f>N(Z1195)</f>
        <v/>
      </c>
      <c r="BV1195" s="55">
        <f>N(L1195)+N(M1195)</f>
        <v/>
      </c>
      <c r="BW1195" s="55">
        <f>ROUNDUP(G1195/BN1195,0)</f>
        <v/>
      </c>
      <c r="BX1195" s="55">
        <f>ROUNDUP(BU1195/BN1195,0)</f>
        <v/>
      </c>
      <c r="BY1195" s="58">
        <f>IF(BO1195=1,0,IFERROR(VLOOKUP(BM1195,'Gebinde-Kategorie'!$A$5:$G$45,5,0)+0,0))</f>
        <v/>
      </c>
      <c r="BZ1195" s="58">
        <f>IFERROR(IF(OR(BQ1195=1,BQ1195=2,BQ1195=3),N(INDEX(Parameter!$I$5:$I$7,BQ1195)),0),0)</f>
        <v/>
      </c>
    </row>
    <row r="1196">
      <c r="A1196" s="53" t="inlineStr">
        <is>
          <t>103254</t>
        </is>
      </c>
      <c r="B1196" s="53" t="inlineStr">
        <is>
          <t>Abpressplatte</t>
        </is>
      </c>
      <c r="C1196" s="53" t="inlineStr">
        <is>
          <t>F</t>
        </is>
      </c>
      <c r="D1196" s="53" t="inlineStr">
        <is>
          <t>PAL</t>
        </is>
      </c>
      <c r="E1196" s="53" t="inlineStr">
        <is>
          <t>C</t>
        </is>
      </c>
      <c r="F1196" s="54" t="n">
        <v>226</v>
      </c>
      <c r="G1196" s="55">
        <f>MAX(0,IF(Parameter!$B$20="Jahresanfang 2025 + Export",BG1196+BF1196,BF1196))</f>
        <v/>
      </c>
      <c r="H1196" s="55">
        <f>G1196*F1196</f>
        <v/>
      </c>
      <c r="I1196" s="55">
        <f>BI1196*Parameter!$B$18</f>
        <v/>
      </c>
      <c r="J1196" s="56" t="n">
        <v>1</v>
      </c>
      <c r="K1196" s="57" t="n">
        <v>2</v>
      </c>
      <c r="L1196" s="55" t="n">
        <v>0</v>
      </c>
      <c r="M1196" s="55" t="n">
        <v>1</v>
      </c>
      <c r="N1196" s="58" t="n">
        <v>42</v>
      </c>
      <c r="O1196" s="53" t="inlineStr">
        <is>
          <t>LOSE</t>
        </is>
      </c>
      <c r="P1196" s="55" t="n"/>
      <c r="Q1196" s="59">
        <f>IF(BO1196=1,0,IFERROR(VLOOKUP(BM1196,'Gebinde-Kategorie'!$A$5:$G$45,6,0)+0,0))</f>
        <v/>
      </c>
      <c r="R1196" s="60" t="n"/>
      <c r="S1196" s="61" t="n"/>
      <c r="T1196" s="61" t="n"/>
      <c r="U1196" s="53">
        <f>IF(A1196="","",IF(IFERROR(VLOOKUP(D1196,Parameter!$A$35:$C$64,2,0),"Nein")="2+3",IF(ISNUMBER(SEARCH("grosser Artikel",BJ1196)),2,IFERROR(VLOOKUP(BM1196,Parameter!$F$35:$G$64,2,0),2)),IF(OR(IFERROR(VLOOKUP(D1196,Parameter!$A$35:$C$64,2,0),"Nein")="Nein",IFERROR(VLOOKUP(D1196,Parameter!$A$35:$C$64,2,0),"Nein")=""),"-",VLOOKUP(D1196,Parameter!$A$35:$C$64,2,0))))</f>
        <v/>
      </c>
      <c r="V1196" s="61" t="n"/>
      <c r="W1196" s="62" t="n"/>
      <c r="X1196" s="55">
        <f>AM1196</f>
        <v/>
      </c>
      <c r="Y1196" s="55">
        <f>MAX(AM1196,G1196)</f>
        <v/>
      </c>
      <c r="Z1196" s="63" t="n"/>
      <c r="AA1196" s="55">
        <f>IF(LEFT(Cockpit!$C$5,1)="A",G1196,IF(BT1196=1,BU1196,IF(LEFT(Cockpit!$C$5,1)="B",AE1196,MAX(AE1196,G1196))))</f>
        <v/>
      </c>
      <c r="AB1196" s="55">
        <f>IF(BO1196=1,0,ROUNDUP(AA1196/BN1196,0))</f>
        <v/>
      </c>
      <c r="AC1196" s="64">
        <f>IF(BO1196=1,IF(AA1196&lt;=0,0,BP1196*MAX(1,IF(G1196&gt;0,AA1196/G1196,1))),AB1196*Q1196)</f>
        <v/>
      </c>
      <c r="AD1196" s="55">
        <f>AA1196*F1196</f>
        <v/>
      </c>
      <c r="AE1196" s="55">
        <f>ROUNDUP(MAX(I1196/IF(BS1196&gt;0,BS1196,MAX(0.1,N(Cockpit!$C$6))),BV1196)/BN1196,0)*BN1196</f>
        <v/>
      </c>
      <c r="AF1196" s="56">
        <f>IF(AC1196&gt;0,I1196/AC1196,-1)</f>
        <v/>
      </c>
      <c r="AG1196" s="56">
        <f>IF(AND(OR(BR1196="L1",BR1196="L23"),AC1196&gt;0),SUMIFS($AC$7:$AC$1570,$BR$7:$BR$1570,BR1196,$AF$7:$AF$1570,"&gt;"&amp;AF1196)+SUMIFS($AC$7:$AC$1570,$BR$7:$BR$1570,BR1196,$AF$7:$AF$1570,AF1196,$BL$7:$BL$1570,"&lt;="&amp;BL1196),"")</f>
        <v/>
      </c>
      <c r="AH1196" s="65">
        <f>IF(AG1196="",0,MAX(0,MIN(1,(IF(BR1196="L1",Parameter!$K$5,Parameter!$K$6+Parameter!$K$7)-(AG1196-AC1196))/AC1196)))</f>
        <v/>
      </c>
      <c r="AI1196" s="55">
        <f>IF(LEFT(Cockpit!$I$5,1)="A",G1196,IF(BT1196=1,BU1196,IF(LEFT(Cockpit!$I$5,1)="B",AM1196,MAX(AM1196,G1196))))</f>
        <v/>
      </c>
      <c r="AJ1196" s="55">
        <f>IF(BO1196=1,0,ROUNDUP(AI1196/BN1196,0))</f>
        <v/>
      </c>
      <c r="AK1196" s="64">
        <f>IF(BO1196=1,IF(AI1196&lt;=0,0,BP1196*MAX(1,IF(G1196&gt;0,AI1196/G1196,1))),AJ1196*Q1196)</f>
        <v/>
      </c>
      <c r="AL1196" s="55">
        <f>AI1196*F1196</f>
        <v/>
      </c>
      <c r="AM1196" s="55">
        <f>ROUNDUP(MAX(I1196/IF(BS1196&gt;0,BS1196,MAX(0.1,N(Cockpit!$I$6))),BV1196)/BN1196,0)*BN1196</f>
        <v/>
      </c>
      <c r="AN1196" s="56">
        <f>IF(AK1196&gt;0,I1196/AK1196,-1)</f>
        <v/>
      </c>
      <c r="AO1196" s="56">
        <f>IF(AND(OR(BR1196="L1",BR1196="L23"),AK1196&gt;0),SUMIFS($AK$7:$AK$1570,$BR$7:$BR$1570,BR1196,$AN$7:$AN$1570,"&gt;"&amp;AN1196)+SUMIFS($AK$7:$AK$1570,$BR$7:$BR$1570,BR1196,$AN$7:$AN$1570,AN1196,$BL$7:$BL$1570,"&lt;="&amp;BL1196),"")</f>
        <v/>
      </c>
      <c r="AP1196" s="65">
        <f>IF(AO1196="",0,MAX(0,MIN(1,(IF(BR1196="L1",Parameter!$K$5,Parameter!$K$6+Parameter!$K$7)-(AO1196-AK1196))/AK1196)))</f>
        <v/>
      </c>
      <c r="AQ1196" s="55">
        <f>IF(LEFT(Cockpit!$O$5,1)="A",G1196,IF(BT1196=1,BU1196,IF(LEFT(Cockpit!$O$5,1)="B",AU1196,MAX(AU1196,G1196))))</f>
        <v/>
      </c>
      <c r="AR1196" s="55">
        <f>IF(BO1196=1,0,ROUNDUP(AQ1196/BN1196,0))</f>
        <v/>
      </c>
      <c r="AS1196" s="64">
        <f>IF(BO1196=1,IF(AQ1196&lt;=0,0,BP1196*MAX(1,IF(G1196&gt;0,AQ1196/G1196,1))),AR1196*Q1196)</f>
        <v/>
      </c>
      <c r="AT1196" s="55">
        <f>AQ1196*F1196</f>
        <v/>
      </c>
      <c r="AU1196" s="55">
        <f>ROUNDUP(MAX(I1196/IF(BS1196&gt;0,BS1196,MAX(0.1,N(Cockpit!$O$6))),BV1196)/BN1196,0)*BN1196</f>
        <v/>
      </c>
      <c r="AV1196" s="56">
        <f>IF(AS1196&gt;0,I1196/AS1196,-1)</f>
        <v/>
      </c>
      <c r="AW1196" s="56">
        <f>IF(AND(OR(BR1196="L1",BR1196="L23"),AS1196&gt;0),SUMIFS($AS$7:$AS$1570,$BR$7:$BR$1570,BR1196,$AV$7:$AV$1570,"&gt;"&amp;AV1196)+SUMIFS($AS$7:$AS$1570,$BR$7:$BR$1570,BR1196,$AV$7:$AV$1570,AV1196,$BL$7:$BL$1570,"&lt;="&amp;BL1196),"")</f>
        <v/>
      </c>
      <c r="AX1196" s="65">
        <f>IF(AW1196="",0,MAX(0,MIN(1,(IF(BR1196="L1",Parameter!$K$5,Parameter!$K$6+Parameter!$K$7)-(AW1196-AS1196))/AS1196)))</f>
        <v/>
      </c>
      <c r="AY1196" s="53">
        <f>IF(AC1196&lt;=0,"",IF(BR1196="Aussen","Aussenlager",IF(BR1196="-","Nicht im Lift",IF(AH1196&gt;=1,"Lift",IF(AH1196&lt;=0,"Aussenlager","teilweise")))))</f>
        <v/>
      </c>
      <c r="AZ1196" s="53">
        <f>IF(AK1196&lt;=0,"",IF(BR1196="Aussen","Aussenlager",IF(BR1196="-","Nicht im Lift",IF(AP1196&gt;=1,"Lift",IF(AP1196&lt;=0,"Aussenlager","teilweise")))))</f>
        <v/>
      </c>
      <c r="BA1196" s="53">
        <f>IF(AS1196&lt;=0,"",IF(BR1196="Aussen","Aussenlager",IF(BR1196="-","Nicht im Lift",IF(AX1196&gt;=1,"Lift",IF(AX1196&lt;=0,"Aussenlager","teilweise")))))</f>
        <v/>
      </c>
      <c r="BB1196" s="53">
        <f>IF(A1196="","",IF(BK1196=1,"Neu; ","")&amp;IF(AND(BK1196=0,BF1196&lt;0),"negativer Bestand (Export "&amp;BF1196&amp;"); ","")&amp;IF(I1196&lt;=0,"Kein Verbrauch; ","")&amp;IF(BO1196=1,"Lose – Fläche geschätzt; ","")&amp;IF(G1196&gt;AM1196,"Überbestand "&amp;ROUND(G1196-AM1196,0)&amp;" Stk / CHF "&amp;ROUND((G1196-AM1196)*F1196,0)&amp;"; ","")&amp;IF(AND(BT1196=1,BU1196&lt;BV1196),"MAX &lt; MB+LG; ","")&amp;IF(AND(BZ1196&gt;0,BY1196*10&gt;BZ1196),"zu hoch für Tablar; ","")&amp;IF(AND(BK1196=0,OR(BT1196=1,V1196&lt;&gt;"",S1196&lt;&gt;"",T1196&lt;&gt;"",W1196&lt;&gt;"")),"manuell übersteuert; ","")&amp;IF(AND(BO1196=0,Q1196=0),"Gebinde unbekannt; ","")&amp;IF(AND(BO1196=0,N(T1196)&lt;=0,N(P1196)&lt;=0),"Menge pro Gebinde fehlt (Ist = 1 Gebinde); ","")&amp;BJ1196)</f>
        <v/>
      </c>
      <c r="BC1196" s="53" t="n"/>
      <c r="BD1196" s="53" t="n"/>
      <c r="BE1196" s="61" t="n"/>
      <c r="BF1196" s="55" t="n">
        <v>-2</v>
      </c>
      <c r="BG1196" s="55" t="n">
        <v>2</v>
      </c>
      <c r="BH1196" s="54" t="n">
        <v>-452</v>
      </c>
      <c r="BI1196" s="55" t="n">
        <v>2</v>
      </c>
      <c r="BJ1196" s="53" t="inlineStr"/>
      <c r="BK1196" s="58" t="n">
        <v>0</v>
      </c>
      <c r="BL1196" s="58" t="n">
        <v>1196</v>
      </c>
      <c r="BM1196" s="53">
        <f>IF(S1196&lt;&gt;"",UPPER(TRIM(S1196)),IF(O1196="","LOSE",O1196))</f>
        <v/>
      </c>
      <c r="BN1196" s="55">
        <f>IF(BM1196="LOSE",1,IF(N(T1196)&gt;0,T1196,IF(N(P1196)&gt;0,P1196,MAX(1,G1196))))</f>
        <v/>
      </c>
      <c r="BO1196" s="58">
        <f>IF(BM1196="LOSE",1,0)</f>
        <v/>
      </c>
      <c r="BP1196" s="64">
        <f>IF(BO1196=0,0,IF(N(R1196)&gt;0,R1196,IFERROR(VLOOKUP(D1196,Parameter!$A$35:$C$64,3,0)+0,0)))</f>
        <v/>
      </c>
      <c r="BQ1196" s="53">
        <f>IF(V1196&lt;&gt;"",V1196,U1196)</f>
        <v/>
      </c>
      <c r="BR1196" s="53">
        <f>IF(BQ1196=1,"L1",IF(OR(BQ1196=2,BQ1196=3),"L23",IF(BQ1196="Aussen","Aussen","-")))</f>
        <v/>
      </c>
      <c r="BS1196" s="66">
        <f>IF(N(W1196)&gt;0,W1196,0)</f>
        <v/>
      </c>
      <c r="BT1196" s="58">
        <f>IF(ISNUMBER(Z1196),1,0)</f>
        <v/>
      </c>
      <c r="BU1196" s="55">
        <f>N(Z1196)</f>
        <v/>
      </c>
      <c r="BV1196" s="55">
        <f>N(L1196)+N(M1196)</f>
        <v/>
      </c>
      <c r="BW1196" s="55">
        <f>ROUNDUP(G1196/BN1196,0)</f>
        <v/>
      </c>
      <c r="BX1196" s="55">
        <f>ROUNDUP(BU1196/BN1196,0)</f>
        <v/>
      </c>
      <c r="BY1196" s="58">
        <f>IF(BO1196=1,0,IFERROR(VLOOKUP(BM1196,'Gebinde-Kategorie'!$A$5:$G$45,5,0)+0,0))</f>
        <v/>
      </c>
      <c r="BZ1196" s="58">
        <f>IFERROR(IF(OR(BQ1196=1,BQ1196=2,BQ1196=3),N(INDEX(Parameter!$I$5:$I$7,BQ1196)),0),0)</f>
        <v/>
      </c>
    </row>
    <row r="1197">
      <c r="A1197" s="53" t="inlineStr">
        <is>
          <t>001044</t>
        </is>
      </c>
      <c r="B1197" s="53" t="inlineStr">
        <is>
          <t>Karton</t>
        </is>
      </c>
      <c r="C1197" s="53" t="inlineStr">
        <is>
          <t>F</t>
        </is>
      </c>
      <c r="D1197" s="53" t="inlineStr">
        <is>
          <t>PAL</t>
        </is>
      </c>
      <c r="E1197" s="53" t="inlineStr">
        <is>
          <t>C</t>
        </is>
      </c>
      <c r="F1197" s="54" t="n">
        <v>1.64</v>
      </c>
      <c r="G1197" s="55">
        <f>MAX(0,IF(Parameter!$B$20="Jahresanfang 2025 + Export",BG1197+BF1197,BF1197))</f>
        <v/>
      </c>
      <c r="H1197" s="55">
        <f>G1197*F1197</f>
        <v/>
      </c>
      <c r="I1197" s="55">
        <f>BI1197*Parameter!$B$18</f>
        <v/>
      </c>
      <c r="J1197" s="56" t="n">
        <v>317</v>
      </c>
      <c r="K1197" s="57" t="n">
        <v>0.5930599369085173</v>
      </c>
      <c r="L1197" s="55" t="n">
        <v>10</v>
      </c>
      <c r="M1197" s="55" t="n">
        <v>190</v>
      </c>
      <c r="N1197" s="58" t="n">
        <v>21</v>
      </c>
      <c r="O1197" s="53" t="inlineStr">
        <is>
          <t>LOSE</t>
        </is>
      </c>
      <c r="P1197" s="55" t="n"/>
      <c r="Q1197" s="59">
        <f>IF(BO1197=1,0,IFERROR(VLOOKUP(BM1197,'Gebinde-Kategorie'!$A$5:$G$45,6,0)+0,0))</f>
        <v/>
      </c>
      <c r="R1197" s="60" t="n"/>
      <c r="S1197" s="61" t="n"/>
      <c r="T1197" s="61" t="n"/>
      <c r="U1197" s="53">
        <f>IF(A1197="","",IF(IFERROR(VLOOKUP(D1197,Parameter!$A$35:$C$64,2,0),"Nein")="2+3",IF(ISNUMBER(SEARCH("grosser Artikel",BJ1197)),2,IFERROR(VLOOKUP(BM1197,Parameter!$F$35:$G$64,2,0),2)),IF(OR(IFERROR(VLOOKUP(D1197,Parameter!$A$35:$C$64,2,0),"Nein")="Nein",IFERROR(VLOOKUP(D1197,Parameter!$A$35:$C$64,2,0),"Nein")=""),"-",VLOOKUP(D1197,Parameter!$A$35:$C$64,2,0))))</f>
        <v/>
      </c>
      <c r="V1197" s="61" t="n"/>
      <c r="W1197" s="62" t="n"/>
      <c r="X1197" s="55">
        <f>AM1197</f>
        <v/>
      </c>
      <c r="Y1197" s="55">
        <f>MAX(AM1197,G1197)</f>
        <v/>
      </c>
      <c r="Z1197" s="63" t="n"/>
      <c r="AA1197" s="55">
        <f>IF(LEFT(Cockpit!$C$5,1)="A",G1197,IF(BT1197=1,BU1197,IF(LEFT(Cockpit!$C$5,1)="B",AE1197,MAX(AE1197,G1197))))</f>
        <v/>
      </c>
      <c r="AB1197" s="55">
        <f>IF(BO1197=1,0,ROUNDUP(AA1197/BN1197,0))</f>
        <v/>
      </c>
      <c r="AC1197" s="64">
        <f>IF(BO1197=1,IF(AA1197&lt;=0,0,BP1197*MAX(1,IF(G1197&gt;0,AA1197/G1197,1))),AB1197*Q1197)</f>
        <v/>
      </c>
      <c r="AD1197" s="55">
        <f>AA1197*F1197</f>
        <v/>
      </c>
      <c r="AE1197" s="55">
        <f>ROUNDUP(MAX(I1197/IF(BS1197&gt;0,BS1197,MAX(0.1,N(Cockpit!$C$6))),BV1197)/BN1197,0)*BN1197</f>
        <v/>
      </c>
      <c r="AF1197" s="56">
        <f>IF(AC1197&gt;0,I1197/AC1197,-1)</f>
        <v/>
      </c>
      <c r="AG1197" s="56">
        <f>IF(AND(OR(BR1197="L1",BR1197="L23"),AC1197&gt;0),SUMIFS($AC$7:$AC$1570,$BR$7:$BR$1570,BR1197,$AF$7:$AF$1570,"&gt;"&amp;AF1197)+SUMIFS($AC$7:$AC$1570,$BR$7:$BR$1570,BR1197,$AF$7:$AF$1570,AF1197,$BL$7:$BL$1570,"&lt;="&amp;BL1197),"")</f>
        <v/>
      </c>
      <c r="AH1197" s="65">
        <f>IF(AG1197="",0,MAX(0,MIN(1,(IF(BR1197="L1",Parameter!$K$5,Parameter!$K$6+Parameter!$K$7)-(AG1197-AC1197))/AC1197)))</f>
        <v/>
      </c>
      <c r="AI1197" s="55">
        <f>IF(LEFT(Cockpit!$I$5,1)="A",G1197,IF(BT1197=1,BU1197,IF(LEFT(Cockpit!$I$5,1)="B",AM1197,MAX(AM1197,G1197))))</f>
        <v/>
      </c>
      <c r="AJ1197" s="55">
        <f>IF(BO1197=1,0,ROUNDUP(AI1197/BN1197,0))</f>
        <v/>
      </c>
      <c r="AK1197" s="64">
        <f>IF(BO1197=1,IF(AI1197&lt;=0,0,BP1197*MAX(1,IF(G1197&gt;0,AI1197/G1197,1))),AJ1197*Q1197)</f>
        <v/>
      </c>
      <c r="AL1197" s="55">
        <f>AI1197*F1197</f>
        <v/>
      </c>
      <c r="AM1197" s="55">
        <f>ROUNDUP(MAX(I1197/IF(BS1197&gt;0,BS1197,MAX(0.1,N(Cockpit!$I$6))),BV1197)/BN1197,0)*BN1197</f>
        <v/>
      </c>
      <c r="AN1197" s="56">
        <f>IF(AK1197&gt;0,I1197/AK1197,-1)</f>
        <v/>
      </c>
      <c r="AO1197" s="56">
        <f>IF(AND(OR(BR1197="L1",BR1197="L23"),AK1197&gt;0),SUMIFS($AK$7:$AK$1570,$BR$7:$BR$1570,BR1197,$AN$7:$AN$1570,"&gt;"&amp;AN1197)+SUMIFS($AK$7:$AK$1570,$BR$7:$BR$1570,BR1197,$AN$7:$AN$1570,AN1197,$BL$7:$BL$1570,"&lt;="&amp;BL1197),"")</f>
        <v/>
      </c>
      <c r="AP1197" s="65">
        <f>IF(AO1197="",0,MAX(0,MIN(1,(IF(BR1197="L1",Parameter!$K$5,Parameter!$K$6+Parameter!$K$7)-(AO1197-AK1197))/AK1197)))</f>
        <v/>
      </c>
      <c r="AQ1197" s="55">
        <f>IF(LEFT(Cockpit!$O$5,1)="A",G1197,IF(BT1197=1,BU1197,IF(LEFT(Cockpit!$O$5,1)="B",AU1197,MAX(AU1197,G1197))))</f>
        <v/>
      </c>
      <c r="AR1197" s="55">
        <f>IF(BO1197=1,0,ROUNDUP(AQ1197/BN1197,0))</f>
        <v/>
      </c>
      <c r="AS1197" s="64">
        <f>IF(BO1197=1,IF(AQ1197&lt;=0,0,BP1197*MAX(1,IF(G1197&gt;0,AQ1197/G1197,1))),AR1197*Q1197)</f>
        <v/>
      </c>
      <c r="AT1197" s="55">
        <f>AQ1197*F1197</f>
        <v/>
      </c>
      <c r="AU1197" s="55">
        <f>ROUNDUP(MAX(I1197/IF(BS1197&gt;0,BS1197,MAX(0.1,N(Cockpit!$O$6))),BV1197)/BN1197,0)*BN1197</f>
        <v/>
      </c>
      <c r="AV1197" s="56">
        <f>IF(AS1197&gt;0,I1197/AS1197,-1)</f>
        <v/>
      </c>
      <c r="AW1197" s="56">
        <f>IF(AND(OR(BR1197="L1",BR1197="L23"),AS1197&gt;0),SUMIFS($AS$7:$AS$1570,$BR$7:$BR$1570,BR1197,$AV$7:$AV$1570,"&gt;"&amp;AV1197)+SUMIFS($AS$7:$AS$1570,$BR$7:$BR$1570,BR1197,$AV$7:$AV$1570,AV1197,$BL$7:$BL$1570,"&lt;="&amp;BL1197),"")</f>
        <v/>
      </c>
      <c r="AX1197" s="65">
        <f>IF(AW1197="",0,MAX(0,MIN(1,(IF(BR1197="L1",Parameter!$K$5,Parameter!$K$6+Parameter!$K$7)-(AW1197-AS1197))/AS1197)))</f>
        <v/>
      </c>
      <c r="AY1197" s="53">
        <f>IF(AC1197&lt;=0,"",IF(BR1197="Aussen","Aussenlager",IF(BR1197="-","Nicht im Lift",IF(AH1197&gt;=1,"Lift",IF(AH1197&lt;=0,"Aussenlager","teilweise")))))</f>
        <v/>
      </c>
      <c r="AZ1197" s="53">
        <f>IF(AK1197&lt;=0,"",IF(BR1197="Aussen","Aussenlager",IF(BR1197="-","Nicht im Lift",IF(AP1197&gt;=1,"Lift",IF(AP1197&lt;=0,"Aussenlager","teilweise")))))</f>
        <v/>
      </c>
      <c r="BA1197" s="53">
        <f>IF(AS1197&lt;=0,"",IF(BR1197="Aussen","Aussenlager",IF(BR1197="-","Nicht im Lift",IF(AX1197&gt;=1,"Lift",IF(AX1197&lt;=0,"Aussenlager","teilweise")))))</f>
        <v/>
      </c>
      <c r="BB1197" s="53">
        <f>IF(A1197="","",IF(BK1197=1,"Neu; ","")&amp;IF(AND(BK1197=0,BF1197&lt;0),"negativer Bestand (Export "&amp;BF1197&amp;"); ","")&amp;IF(I1197&lt;=0,"Kein Verbrauch; ","")&amp;IF(BO1197=1,"Lose – Fläche geschätzt; ","")&amp;IF(G1197&gt;AM1197,"Überbestand "&amp;ROUND(G1197-AM1197,0)&amp;" Stk / CHF "&amp;ROUND((G1197-AM1197)*F1197,0)&amp;"; ","")&amp;IF(AND(BT1197=1,BU1197&lt;BV1197),"MAX &lt; MB+LG; ","")&amp;IF(AND(BZ1197&gt;0,BY1197*10&gt;BZ1197),"zu hoch für Tablar; ","")&amp;IF(AND(BK1197=0,OR(BT1197=1,V1197&lt;&gt;"",S1197&lt;&gt;"",T1197&lt;&gt;"",W1197&lt;&gt;"")),"manuell übersteuert; ","")&amp;IF(AND(BO1197=0,Q1197=0),"Gebinde unbekannt; ","")&amp;IF(AND(BO1197=0,N(T1197)&lt;=0,N(P1197)&lt;=0),"Menge pro Gebinde fehlt (Ist = 1 Gebinde); ","")&amp;BJ1197)</f>
        <v/>
      </c>
      <c r="BC1197" s="53" t="n"/>
      <c r="BD1197" s="53" t="n"/>
      <c r="BE1197" s="61" t="n"/>
      <c r="BF1197" s="55" t="n">
        <v>-318</v>
      </c>
      <c r="BG1197" s="55" t="n">
        <v>361</v>
      </c>
      <c r="BH1197" s="54" t="n">
        <v>-467.3699999999998</v>
      </c>
      <c r="BI1197" s="55" t="n">
        <v>188</v>
      </c>
      <c r="BJ1197" s="53" t="inlineStr"/>
      <c r="BK1197" s="58" t="n">
        <v>0</v>
      </c>
      <c r="BL1197" s="58" t="n">
        <v>1197</v>
      </c>
      <c r="BM1197" s="53">
        <f>IF(S1197&lt;&gt;"",UPPER(TRIM(S1197)),IF(O1197="","LOSE",O1197))</f>
        <v/>
      </c>
      <c r="BN1197" s="55">
        <f>IF(BM1197="LOSE",1,IF(N(T1197)&gt;0,T1197,IF(N(P1197)&gt;0,P1197,MAX(1,G1197))))</f>
        <v/>
      </c>
      <c r="BO1197" s="58">
        <f>IF(BM1197="LOSE",1,0)</f>
        <v/>
      </c>
      <c r="BP1197" s="64">
        <f>IF(BO1197=0,0,IF(N(R1197)&gt;0,R1197,IFERROR(VLOOKUP(D1197,Parameter!$A$35:$C$64,3,0)+0,0)))</f>
        <v/>
      </c>
      <c r="BQ1197" s="53">
        <f>IF(V1197&lt;&gt;"",V1197,U1197)</f>
        <v/>
      </c>
      <c r="BR1197" s="53">
        <f>IF(BQ1197=1,"L1",IF(OR(BQ1197=2,BQ1197=3),"L23",IF(BQ1197="Aussen","Aussen","-")))</f>
        <v/>
      </c>
      <c r="BS1197" s="66">
        <f>IF(N(W1197)&gt;0,W1197,0)</f>
        <v/>
      </c>
      <c r="BT1197" s="58">
        <f>IF(ISNUMBER(Z1197),1,0)</f>
        <v/>
      </c>
      <c r="BU1197" s="55">
        <f>N(Z1197)</f>
        <v/>
      </c>
      <c r="BV1197" s="55">
        <f>N(L1197)+N(M1197)</f>
        <v/>
      </c>
      <c r="BW1197" s="55">
        <f>ROUNDUP(G1197/BN1197,0)</f>
        <v/>
      </c>
      <c r="BX1197" s="55">
        <f>ROUNDUP(BU1197/BN1197,0)</f>
        <v/>
      </c>
      <c r="BY1197" s="58">
        <f>IF(BO1197=1,0,IFERROR(VLOOKUP(BM1197,'Gebinde-Kategorie'!$A$5:$G$45,5,0)+0,0))</f>
        <v/>
      </c>
      <c r="BZ1197" s="58">
        <f>IFERROR(IF(OR(BQ1197=1,BQ1197=2,BQ1197=3),N(INDEX(Parameter!$I$5:$I$7,BQ1197)),0),0)</f>
        <v/>
      </c>
    </row>
    <row r="1198">
      <c r="A1198" s="53" t="inlineStr">
        <is>
          <t>108084</t>
        </is>
      </c>
      <c r="B1198" s="53" t="inlineStr">
        <is>
          <t>Innenbox SPGr16 SVC1 2/3</t>
        </is>
      </c>
      <c r="C1198" s="53" t="inlineStr">
        <is>
          <t>G</t>
        </is>
      </c>
      <c r="D1198" s="53" t="inlineStr">
        <is>
          <t>PAL</t>
        </is>
      </c>
      <c r="E1198" s="53" t="inlineStr">
        <is>
          <t>C</t>
        </is>
      </c>
      <c r="F1198" s="54" t="n">
        <v>120.58</v>
      </c>
      <c r="G1198" s="55">
        <f>MAX(0,IF(Parameter!$B$20="Jahresanfang 2025 + Export",BG1198+BF1198,BF1198))</f>
        <v/>
      </c>
      <c r="H1198" s="55">
        <f>G1198*F1198</f>
        <v/>
      </c>
      <c r="I1198" s="55">
        <f>BI1198*Parameter!$B$18</f>
        <v/>
      </c>
      <c r="J1198" s="56" t="n">
        <v>2</v>
      </c>
      <c r="K1198" s="57" t="n">
        <v>0</v>
      </c>
      <c r="L1198" s="55" t="n">
        <v>0</v>
      </c>
      <c r="M1198" s="55" t="n">
        <v>1</v>
      </c>
      <c r="N1198" s="58" t="n">
        <v>56</v>
      </c>
      <c r="O1198" s="53" t="inlineStr">
        <is>
          <t>LOSE</t>
        </is>
      </c>
      <c r="P1198" s="55" t="n"/>
      <c r="Q1198" s="59">
        <f>IF(BO1198=1,0,IFERROR(VLOOKUP(BM1198,'Gebinde-Kategorie'!$A$5:$G$45,6,0)+0,0))</f>
        <v/>
      </c>
      <c r="R1198" s="60" t="n"/>
      <c r="S1198" s="61" t="n"/>
      <c r="T1198" s="61" t="n"/>
      <c r="U1198" s="53">
        <f>IF(A1198="","",IF(IFERROR(VLOOKUP(D1198,Parameter!$A$35:$C$64,2,0),"Nein")="2+3",IF(ISNUMBER(SEARCH("grosser Artikel",BJ1198)),2,IFERROR(VLOOKUP(BM1198,Parameter!$F$35:$G$64,2,0),2)),IF(OR(IFERROR(VLOOKUP(D1198,Parameter!$A$35:$C$64,2,0),"Nein")="Nein",IFERROR(VLOOKUP(D1198,Parameter!$A$35:$C$64,2,0),"Nein")=""),"-",VLOOKUP(D1198,Parameter!$A$35:$C$64,2,0))))</f>
        <v/>
      </c>
      <c r="V1198" s="61" t="n"/>
      <c r="W1198" s="62" t="n"/>
      <c r="X1198" s="55">
        <f>AM1198</f>
        <v/>
      </c>
      <c r="Y1198" s="55">
        <f>MAX(AM1198,G1198)</f>
        <v/>
      </c>
      <c r="Z1198" s="63" t="n"/>
      <c r="AA1198" s="55">
        <f>IF(LEFT(Cockpit!$C$5,1)="A",G1198,IF(BT1198=1,BU1198,IF(LEFT(Cockpit!$C$5,1)="B",AE1198,MAX(AE1198,G1198))))</f>
        <v/>
      </c>
      <c r="AB1198" s="55">
        <f>IF(BO1198=1,0,ROUNDUP(AA1198/BN1198,0))</f>
        <v/>
      </c>
      <c r="AC1198" s="64">
        <f>IF(BO1198=1,IF(AA1198&lt;=0,0,BP1198*MAX(1,IF(G1198&gt;0,AA1198/G1198,1))),AB1198*Q1198)</f>
        <v/>
      </c>
      <c r="AD1198" s="55">
        <f>AA1198*F1198</f>
        <v/>
      </c>
      <c r="AE1198" s="55">
        <f>ROUNDUP(MAX(I1198/IF(BS1198&gt;0,BS1198,MAX(0.1,N(Cockpit!$C$6))),BV1198)/BN1198,0)*BN1198</f>
        <v/>
      </c>
      <c r="AF1198" s="56">
        <f>IF(AC1198&gt;0,I1198/AC1198,-1)</f>
        <v/>
      </c>
      <c r="AG1198" s="56">
        <f>IF(AND(OR(BR1198="L1",BR1198="L23"),AC1198&gt;0),SUMIFS($AC$7:$AC$1570,$BR$7:$BR$1570,BR1198,$AF$7:$AF$1570,"&gt;"&amp;AF1198)+SUMIFS($AC$7:$AC$1570,$BR$7:$BR$1570,BR1198,$AF$7:$AF$1570,AF1198,$BL$7:$BL$1570,"&lt;="&amp;BL1198),"")</f>
        <v/>
      </c>
      <c r="AH1198" s="65">
        <f>IF(AG1198="",0,MAX(0,MIN(1,(IF(BR1198="L1",Parameter!$K$5,Parameter!$K$6+Parameter!$K$7)-(AG1198-AC1198))/AC1198)))</f>
        <v/>
      </c>
      <c r="AI1198" s="55">
        <f>IF(LEFT(Cockpit!$I$5,1)="A",G1198,IF(BT1198=1,BU1198,IF(LEFT(Cockpit!$I$5,1)="B",AM1198,MAX(AM1198,G1198))))</f>
        <v/>
      </c>
      <c r="AJ1198" s="55">
        <f>IF(BO1198=1,0,ROUNDUP(AI1198/BN1198,0))</f>
        <v/>
      </c>
      <c r="AK1198" s="64">
        <f>IF(BO1198=1,IF(AI1198&lt;=0,0,BP1198*MAX(1,IF(G1198&gt;0,AI1198/G1198,1))),AJ1198*Q1198)</f>
        <v/>
      </c>
      <c r="AL1198" s="55">
        <f>AI1198*F1198</f>
        <v/>
      </c>
      <c r="AM1198" s="55">
        <f>ROUNDUP(MAX(I1198/IF(BS1198&gt;0,BS1198,MAX(0.1,N(Cockpit!$I$6))),BV1198)/BN1198,0)*BN1198</f>
        <v/>
      </c>
      <c r="AN1198" s="56">
        <f>IF(AK1198&gt;0,I1198/AK1198,-1)</f>
        <v/>
      </c>
      <c r="AO1198" s="56">
        <f>IF(AND(OR(BR1198="L1",BR1198="L23"),AK1198&gt;0),SUMIFS($AK$7:$AK$1570,$BR$7:$BR$1570,BR1198,$AN$7:$AN$1570,"&gt;"&amp;AN1198)+SUMIFS($AK$7:$AK$1570,$BR$7:$BR$1570,BR1198,$AN$7:$AN$1570,AN1198,$BL$7:$BL$1570,"&lt;="&amp;BL1198),"")</f>
        <v/>
      </c>
      <c r="AP1198" s="65">
        <f>IF(AO1198="",0,MAX(0,MIN(1,(IF(BR1198="L1",Parameter!$K$5,Parameter!$K$6+Parameter!$K$7)-(AO1198-AK1198))/AK1198)))</f>
        <v/>
      </c>
      <c r="AQ1198" s="55">
        <f>IF(LEFT(Cockpit!$O$5,1)="A",G1198,IF(BT1198=1,BU1198,IF(LEFT(Cockpit!$O$5,1)="B",AU1198,MAX(AU1198,G1198))))</f>
        <v/>
      </c>
      <c r="AR1198" s="55">
        <f>IF(BO1198=1,0,ROUNDUP(AQ1198/BN1198,0))</f>
        <v/>
      </c>
      <c r="AS1198" s="64">
        <f>IF(BO1198=1,IF(AQ1198&lt;=0,0,BP1198*MAX(1,IF(G1198&gt;0,AQ1198/G1198,1))),AR1198*Q1198)</f>
        <v/>
      </c>
      <c r="AT1198" s="55">
        <f>AQ1198*F1198</f>
        <v/>
      </c>
      <c r="AU1198" s="55">
        <f>ROUNDUP(MAX(I1198/IF(BS1198&gt;0,BS1198,MAX(0.1,N(Cockpit!$O$6))),BV1198)/BN1198,0)*BN1198</f>
        <v/>
      </c>
      <c r="AV1198" s="56">
        <f>IF(AS1198&gt;0,I1198/AS1198,-1)</f>
        <v/>
      </c>
      <c r="AW1198" s="56">
        <f>IF(AND(OR(BR1198="L1",BR1198="L23"),AS1198&gt;0),SUMIFS($AS$7:$AS$1570,$BR$7:$BR$1570,BR1198,$AV$7:$AV$1570,"&gt;"&amp;AV1198)+SUMIFS($AS$7:$AS$1570,$BR$7:$BR$1570,BR1198,$AV$7:$AV$1570,AV1198,$BL$7:$BL$1570,"&lt;="&amp;BL1198),"")</f>
        <v/>
      </c>
      <c r="AX1198" s="65">
        <f>IF(AW1198="",0,MAX(0,MIN(1,(IF(BR1198="L1",Parameter!$K$5,Parameter!$K$6+Parameter!$K$7)-(AW1198-AS1198))/AS1198)))</f>
        <v/>
      </c>
      <c r="AY1198" s="53">
        <f>IF(AC1198&lt;=0,"",IF(BR1198="Aussen","Aussenlager",IF(BR1198="-","Nicht im Lift",IF(AH1198&gt;=1,"Lift",IF(AH1198&lt;=0,"Aussenlager","teilweise")))))</f>
        <v/>
      </c>
      <c r="AZ1198" s="53">
        <f>IF(AK1198&lt;=0,"",IF(BR1198="Aussen","Aussenlager",IF(BR1198="-","Nicht im Lift",IF(AP1198&gt;=1,"Lift",IF(AP1198&lt;=0,"Aussenlager","teilweise")))))</f>
        <v/>
      </c>
      <c r="BA1198" s="53">
        <f>IF(AS1198&lt;=0,"",IF(BR1198="Aussen","Aussenlager",IF(BR1198="-","Nicht im Lift",IF(AX1198&gt;=1,"Lift",IF(AX1198&lt;=0,"Aussenlager","teilweise")))))</f>
        <v/>
      </c>
      <c r="BB1198" s="53">
        <f>IF(A1198="","",IF(BK1198=1,"Neu; ","")&amp;IF(AND(BK1198=0,BF1198&lt;0),"negativer Bestand (Export "&amp;BF1198&amp;"); ","")&amp;IF(I1198&lt;=0,"Kein Verbrauch; ","")&amp;IF(BO1198=1,"Lose – Fläche geschätzt; ","")&amp;IF(G1198&gt;AM1198,"Überbestand "&amp;ROUND(G1198-AM1198,0)&amp;" Stk / CHF "&amp;ROUND((G1198-AM1198)*F1198,0)&amp;"; ","")&amp;IF(AND(BT1198=1,BU1198&lt;BV1198),"MAX &lt; MB+LG; ","")&amp;IF(AND(BZ1198&gt;0,BY1198*10&gt;BZ1198),"zu hoch für Tablar; ","")&amp;IF(AND(BK1198=0,OR(BT1198=1,V1198&lt;&gt;"",S1198&lt;&gt;"",T1198&lt;&gt;"",W1198&lt;&gt;"")),"manuell übersteuert; ","")&amp;IF(AND(BO1198=0,Q1198=0),"Gebinde unbekannt; ","")&amp;IF(AND(BO1198=0,N(T1198)&lt;=0,N(P1198)&lt;=0),"Menge pro Gebinde fehlt (Ist = 1 Gebinde); ","")&amp;BJ1198)</f>
        <v/>
      </c>
      <c r="BC1198" s="53" t="n"/>
      <c r="BD1198" s="53" t="n"/>
      <c r="BE1198" s="61" t="n"/>
      <c r="BF1198" s="55" t="n">
        <v>-4</v>
      </c>
      <c r="BG1198" s="55" t="n">
        <v>4</v>
      </c>
      <c r="BH1198" s="54" t="n">
        <v>-482.32</v>
      </c>
      <c r="BI1198" s="55" t="n">
        <v>0</v>
      </c>
      <c r="BJ1198" s="53" t="inlineStr"/>
      <c r="BK1198" s="58" t="n">
        <v>0</v>
      </c>
      <c r="BL1198" s="58" t="n">
        <v>1198</v>
      </c>
      <c r="BM1198" s="53">
        <f>IF(S1198&lt;&gt;"",UPPER(TRIM(S1198)),IF(O1198="","LOSE",O1198))</f>
        <v/>
      </c>
      <c r="BN1198" s="55">
        <f>IF(BM1198="LOSE",1,IF(N(T1198)&gt;0,T1198,IF(N(P1198)&gt;0,P1198,MAX(1,G1198))))</f>
        <v/>
      </c>
      <c r="BO1198" s="58">
        <f>IF(BM1198="LOSE",1,0)</f>
        <v/>
      </c>
      <c r="BP1198" s="64">
        <f>IF(BO1198=0,0,IF(N(R1198)&gt;0,R1198,IFERROR(VLOOKUP(D1198,Parameter!$A$35:$C$64,3,0)+0,0)))</f>
        <v/>
      </c>
      <c r="BQ1198" s="53">
        <f>IF(V1198&lt;&gt;"",V1198,U1198)</f>
        <v/>
      </c>
      <c r="BR1198" s="53">
        <f>IF(BQ1198=1,"L1",IF(OR(BQ1198=2,BQ1198=3),"L23",IF(BQ1198="Aussen","Aussen","-")))</f>
        <v/>
      </c>
      <c r="BS1198" s="66">
        <f>IF(N(W1198)&gt;0,W1198,0)</f>
        <v/>
      </c>
      <c r="BT1198" s="58">
        <f>IF(ISNUMBER(Z1198),1,0)</f>
        <v/>
      </c>
      <c r="BU1198" s="55">
        <f>N(Z1198)</f>
        <v/>
      </c>
      <c r="BV1198" s="55">
        <f>N(L1198)+N(M1198)</f>
        <v/>
      </c>
      <c r="BW1198" s="55">
        <f>ROUNDUP(G1198/BN1198,0)</f>
        <v/>
      </c>
      <c r="BX1198" s="55">
        <f>ROUNDUP(BU1198/BN1198,0)</f>
        <v/>
      </c>
      <c r="BY1198" s="58">
        <f>IF(BO1198=1,0,IFERROR(VLOOKUP(BM1198,'Gebinde-Kategorie'!$A$5:$G$45,5,0)+0,0))</f>
        <v/>
      </c>
      <c r="BZ1198" s="58">
        <f>IFERROR(IF(OR(BQ1198=1,BQ1198=2,BQ1198=3),N(INDEX(Parameter!$I$5:$I$7,BQ1198)),0),0)</f>
        <v/>
      </c>
    </row>
    <row r="1199">
      <c r="A1199" s="53" t="inlineStr">
        <is>
          <t>103766</t>
        </is>
      </c>
      <c r="B1199" s="53" t="inlineStr">
        <is>
          <t>Adapter Stahl verzinkt</t>
        </is>
      </c>
      <c r="C1199" s="53" t="inlineStr">
        <is>
          <t>F</t>
        </is>
      </c>
      <c r="D1199" s="53" t="inlineStr">
        <is>
          <t>KTL</t>
        </is>
      </c>
      <c r="E1199" s="53" t="inlineStr">
        <is>
          <t>C</t>
        </is>
      </c>
      <c r="F1199" s="54" t="n">
        <v>2.22</v>
      </c>
      <c r="G1199" s="55">
        <f>MAX(0,IF(Parameter!$B$20="Jahresanfang 2025 + Export",BG1199+BF1199,BF1199))</f>
        <v/>
      </c>
      <c r="H1199" s="55">
        <f>G1199*F1199</f>
        <v/>
      </c>
      <c r="I1199" s="55">
        <f>BI1199*Parameter!$B$18</f>
        <v/>
      </c>
      <c r="J1199" s="56" t="n">
        <v>284.5</v>
      </c>
      <c r="K1199" s="57" t="n">
        <v>1.268892794376098</v>
      </c>
      <c r="L1199" s="55" t="n">
        <v>21</v>
      </c>
      <c r="M1199" s="55" t="n">
        <v>360</v>
      </c>
      <c r="N1199" s="58" t="n">
        <v>21</v>
      </c>
      <c r="O1199" s="53" t="inlineStr">
        <is>
          <t>S51</t>
        </is>
      </c>
      <c r="P1199" s="55" t="n">
        <v>215</v>
      </c>
      <c r="Q1199" s="59">
        <f>IF(BO1199=1,0,IFERROR(VLOOKUP(BM1199,'Gebinde-Kategorie'!$A$5:$G$45,6,0)+0,0))</f>
        <v/>
      </c>
      <c r="R1199" s="60" t="n"/>
      <c r="S1199" s="61" t="n"/>
      <c r="T1199" s="61" t="n"/>
      <c r="U1199" s="53">
        <f>IF(A1199="","",IF(IFERROR(VLOOKUP(D1199,Parameter!$A$35:$C$64,2,0),"Nein")="2+3",IF(ISNUMBER(SEARCH("grosser Artikel",BJ1199)),2,IFERROR(VLOOKUP(BM1199,Parameter!$F$35:$G$64,2,0),2)),IF(OR(IFERROR(VLOOKUP(D1199,Parameter!$A$35:$C$64,2,0),"Nein")="Nein",IFERROR(VLOOKUP(D1199,Parameter!$A$35:$C$64,2,0),"Nein")=""),"-",VLOOKUP(D1199,Parameter!$A$35:$C$64,2,0))))</f>
        <v/>
      </c>
      <c r="V1199" s="61" t="n"/>
      <c r="W1199" s="62" t="n"/>
      <c r="X1199" s="55">
        <f>AM1199</f>
        <v/>
      </c>
      <c r="Y1199" s="55">
        <f>MAX(AM1199,G1199)</f>
        <v/>
      </c>
      <c r="Z1199" s="63" t="n"/>
      <c r="AA1199" s="55">
        <f>IF(LEFT(Cockpit!$C$5,1)="A",G1199,IF(BT1199=1,BU1199,IF(LEFT(Cockpit!$C$5,1)="B",AE1199,MAX(AE1199,G1199))))</f>
        <v/>
      </c>
      <c r="AB1199" s="55">
        <f>IF(BO1199=1,0,ROUNDUP(AA1199/BN1199,0))</f>
        <v/>
      </c>
      <c r="AC1199" s="64">
        <f>IF(BO1199=1,IF(AA1199&lt;=0,0,BP1199*MAX(1,IF(G1199&gt;0,AA1199/G1199,1))),AB1199*Q1199)</f>
        <v/>
      </c>
      <c r="AD1199" s="55">
        <f>AA1199*F1199</f>
        <v/>
      </c>
      <c r="AE1199" s="55">
        <f>ROUNDUP(MAX(I1199/IF(BS1199&gt;0,BS1199,MAX(0.1,N(Cockpit!$C$6))),BV1199)/BN1199,0)*BN1199</f>
        <v/>
      </c>
      <c r="AF1199" s="56">
        <f>IF(AC1199&gt;0,I1199/AC1199,-1)</f>
        <v/>
      </c>
      <c r="AG1199" s="56">
        <f>IF(AND(OR(BR1199="L1",BR1199="L23"),AC1199&gt;0),SUMIFS($AC$7:$AC$1570,$BR$7:$BR$1570,BR1199,$AF$7:$AF$1570,"&gt;"&amp;AF1199)+SUMIFS($AC$7:$AC$1570,$BR$7:$BR$1570,BR1199,$AF$7:$AF$1570,AF1199,$BL$7:$BL$1570,"&lt;="&amp;BL1199),"")</f>
        <v/>
      </c>
      <c r="AH1199" s="65">
        <f>IF(AG1199="",0,MAX(0,MIN(1,(IF(BR1199="L1",Parameter!$K$5,Parameter!$K$6+Parameter!$K$7)-(AG1199-AC1199))/AC1199)))</f>
        <v/>
      </c>
      <c r="AI1199" s="55">
        <f>IF(LEFT(Cockpit!$I$5,1)="A",G1199,IF(BT1199=1,BU1199,IF(LEFT(Cockpit!$I$5,1)="B",AM1199,MAX(AM1199,G1199))))</f>
        <v/>
      </c>
      <c r="AJ1199" s="55">
        <f>IF(BO1199=1,0,ROUNDUP(AI1199/BN1199,0))</f>
        <v/>
      </c>
      <c r="AK1199" s="64">
        <f>IF(BO1199=1,IF(AI1199&lt;=0,0,BP1199*MAX(1,IF(G1199&gt;0,AI1199/G1199,1))),AJ1199*Q1199)</f>
        <v/>
      </c>
      <c r="AL1199" s="55">
        <f>AI1199*F1199</f>
        <v/>
      </c>
      <c r="AM1199" s="55">
        <f>ROUNDUP(MAX(I1199/IF(BS1199&gt;0,BS1199,MAX(0.1,N(Cockpit!$I$6))),BV1199)/BN1199,0)*BN1199</f>
        <v/>
      </c>
      <c r="AN1199" s="56">
        <f>IF(AK1199&gt;0,I1199/AK1199,-1)</f>
        <v/>
      </c>
      <c r="AO1199" s="56">
        <f>IF(AND(OR(BR1199="L1",BR1199="L23"),AK1199&gt;0),SUMIFS($AK$7:$AK$1570,$BR$7:$BR$1570,BR1199,$AN$7:$AN$1570,"&gt;"&amp;AN1199)+SUMIFS($AK$7:$AK$1570,$BR$7:$BR$1570,BR1199,$AN$7:$AN$1570,AN1199,$BL$7:$BL$1570,"&lt;="&amp;BL1199),"")</f>
        <v/>
      </c>
      <c r="AP1199" s="65">
        <f>IF(AO1199="",0,MAX(0,MIN(1,(IF(BR1199="L1",Parameter!$K$5,Parameter!$K$6+Parameter!$K$7)-(AO1199-AK1199))/AK1199)))</f>
        <v/>
      </c>
      <c r="AQ1199" s="55">
        <f>IF(LEFT(Cockpit!$O$5,1)="A",G1199,IF(BT1199=1,BU1199,IF(LEFT(Cockpit!$O$5,1)="B",AU1199,MAX(AU1199,G1199))))</f>
        <v/>
      </c>
      <c r="AR1199" s="55">
        <f>IF(BO1199=1,0,ROUNDUP(AQ1199/BN1199,0))</f>
        <v/>
      </c>
      <c r="AS1199" s="64">
        <f>IF(BO1199=1,IF(AQ1199&lt;=0,0,BP1199*MAX(1,IF(G1199&gt;0,AQ1199/G1199,1))),AR1199*Q1199)</f>
        <v/>
      </c>
      <c r="AT1199" s="55">
        <f>AQ1199*F1199</f>
        <v/>
      </c>
      <c r="AU1199" s="55">
        <f>ROUNDUP(MAX(I1199/IF(BS1199&gt;0,BS1199,MAX(0.1,N(Cockpit!$O$6))),BV1199)/BN1199,0)*BN1199</f>
        <v/>
      </c>
      <c r="AV1199" s="56">
        <f>IF(AS1199&gt;0,I1199/AS1199,-1)</f>
        <v/>
      </c>
      <c r="AW1199" s="56">
        <f>IF(AND(OR(BR1199="L1",BR1199="L23"),AS1199&gt;0),SUMIFS($AS$7:$AS$1570,$BR$7:$BR$1570,BR1199,$AV$7:$AV$1570,"&gt;"&amp;AV1199)+SUMIFS($AS$7:$AS$1570,$BR$7:$BR$1570,BR1199,$AV$7:$AV$1570,AV1199,$BL$7:$BL$1570,"&lt;="&amp;BL1199),"")</f>
        <v/>
      </c>
      <c r="AX1199" s="65">
        <f>IF(AW1199="",0,MAX(0,MIN(1,(IF(BR1199="L1",Parameter!$K$5,Parameter!$K$6+Parameter!$K$7)-(AW1199-AS1199))/AS1199)))</f>
        <v/>
      </c>
      <c r="AY1199" s="53">
        <f>IF(AC1199&lt;=0,"",IF(BR1199="Aussen","Aussenlager",IF(BR1199="-","Nicht im Lift",IF(AH1199&gt;=1,"Lift",IF(AH1199&lt;=0,"Aussenlager","teilweise")))))</f>
        <v/>
      </c>
      <c r="AZ1199" s="53">
        <f>IF(AK1199&lt;=0,"",IF(BR1199="Aussen","Aussenlager",IF(BR1199="-","Nicht im Lift",IF(AP1199&gt;=1,"Lift",IF(AP1199&lt;=0,"Aussenlager","teilweise")))))</f>
        <v/>
      </c>
      <c r="BA1199" s="53">
        <f>IF(AS1199&lt;=0,"",IF(BR1199="Aussen","Aussenlager",IF(BR1199="-","Nicht im Lift",IF(AX1199&gt;=1,"Lift",IF(AX1199&lt;=0,"Aussenlager","teilweise")))))</f>
        <v/>
      </c>
      <c r="BB1199" s="53">
        <f>IF(A1199="","",IF(BK1199=1,"Neu; ","")&amp;IF(AND(BK1199=0,BF1199&lt;0),"negativer Bestand (Export "&amp;BF1199&amp;"); ","")&amp;IF(I1199&lt;=0,"Kein Verbrauch; ","")&amp;IF(BO1199=1,"Lose – Fläche geschätzt; ","")&amp;IF(G1199&gt;AM1199,"Überbestand "&amp;ROUND(G1199-AM1199,0)&amp;" Stk / CHF "&amp;ROUND((G1199-AM1199)*F1199,0)&amp;"; ","")&amp;IF(AND(BT1199=1,BU1199&lt;BV1199),"MAX &lt; MB+LG; ","")&amp;IF(AND(BZ1199&gt;0,BY1199*10&gt;BZ1199),"zu hoch für Tablar; ","")&amp;IF(AND(BK1199=0,OR(BT1199=1,V1199&lt;&gt;"",S1199&lt;&gt;"",T1199&lt;&gt;"",W1199&lt;&gt;"")),"manuell übersteuert; ","")&amp;IF(AND(BO1199=0,Q1199=0),"Gebinde unbekannt; ","")&amp;IF(AND(BO1199=0,N(T1199)&lt;=0,N(P1199)&lt;=0),"Menge pro Gebinde fehlt (Ist = 1 Gebinde); ","")&amp;BJ1199)</f>
        <v/>
      </c>
      <c r="BC1199" s="53" t="n"/>
      <c r="BD1199" s="53" t="n"/>
      <c r="BE1199" s="61" t="n"/>
      <c r="BF1199" s="55" t="n">
        <v>-209</v>
      </c>
      <c r="BG1199" s="55" t="n">
        <v>311</v>
      </c>
      <c r="BH1199" s="54" t="n">
        <v>-485.5399999999987</v>
      </c>
      <c r="BI1199" s="55" t="n">
        <v>361</v>
      </c>
      <c r="BJ1199" s="53" t="inlineStr"/>
      <c r="BK1199" s="58" t="n">
        <v>0</v>
      </c>
      <c r="BL1199" s="58" t="n">
        <v>1199</v>
      </c>
      <c r="BM1199" s="53">
        <f>IF(S1199&lt;&gt;"",UPPER(TRIM(S1199)),IF(O1199="","LOSE",O1199))</f>
        <v/>
      </c>
      <c r="BN1199" s="55">
        <f>IF(BM1199="LOSE",1,IF(N(T1199)&gt;0,T1199,IF(N(P1199)&gt;0,P1199,MAX(1,G1199))))</f>
        <v/>
      </c>
      <c r="BO1199" s="58">
        <f>IF(BM1199="LOSE",1,0)</f>
        <v/>
      </c>
      <c r="BP1199" s="64">
        <f>IF(BO1199=0,0,IF(N(R1199)&gt;0,R1199,IFERROR(VLOOKUP(D1199,Parameter!$A$35:$C$64,3,0)+0,0)))</f>
        <v/>
      </c>
      <c r="BQ1199" s="53">
        <f>IF(V1199&lt;&gt;"",V1199,U1199)</f>
        <v/>
      </c>
      <c r="BR1199" s="53">
        <f>IF(BQ1199=1,"L1",IF(OR(BQ1199=2,BQ1199=3),"L23",IF(BQ1199="Aussen","Aussen","-")))</f>
        <v/>
      </c>
      <c r="BS1199" s="66">
        <f>IF(N(W1199)&gt;0,W1199,0)</f>
        <v/>
      </c>
      <c r="BT1199" s="58">
        <f>IF(ISNUMBER(Z1199),1,0)</f>
        <v/>
      </c>
      <c r="BU1199" s="55">
        <f>N(Z1199)</f>
        <v/>
      </c>
      <c r="BV1199" s="55">
        <f>N(L1199)+N(M1199)</f>
        <v/>
      </c>
      <c r="BW1199" s="55">
        <f>ROUNDUP(G1199/BN1199,0)</f>
        <v/>
      </c>
      <c r="BX1199" s="55">
        <f>ROUNDUP(BU1199/BN1199,0)</f>
        <v/>
      </c>
      <c r="BY1199" s="58">
        <f>IF(BO1199=1,0,IFERROR(VLOOKUP(BM1199,'Gebinde-Kategorie'!$A$5:$G$45,5,0)+0,0))</f>
        <v/>
      </c>
      <c r="BZ1199" s="58">
        <f>IFERROR(IF(OR(BQ1199=1,BQ1199=2,BQ1199=3),N(INDEX(Parameter!$I$5:$I$7,BQ1199)),0),0)</f>
        <v/>
      </c>
    </row>
    <row r="1200">
      <c r="A1200" s="53" t="inlineStr">
        <is>
          <t>100372</t>
        </is>
      </c>
      <c r="B1200" s="53" t="inlineStr">
        <is>
          <t>Verschlussstopfen</t>
        </is>
      </c>
      <c r="C1200" s="53" t="inlineStr">
        <is>
          <t>F</t>
        </is>
      </c>
      <c r="D1200" s="53" t="inlineStr">
        <is>
          <t>KTL</t>
        </is>
      </c>
      <c r="E1200" s="53" t="inlineStr">
        <is>
          <t>C</t>
        </is>
      </c>
      <c r="F1200" s="54" t="n">
        <v>15.83</v>
      </c>
      <c r="G1200" s="55">
        <f>MAX(0,IF(Parameter!$B$20="Jahresanfang 2025 + Export",BG1200+BF1200,BF1200))</f>
        <v/>
      </c>
      <c r="H1200" s="55">
        <f>G1200*F1200</f>
        <v/>
      </c>
      <c r="I1200" s="55">
        <f>BI1200*Parameter!$B$18</f>
        <v/>
      </c>
      <c r="J1200" s="56" t="n">
        <v>45</v>
      </c>
      <c r="K1200" s="57" t="n">
        <v>1.533333333333333</v>
      </c>
      <c r="L1200" s="55" t="n">
        <v>2</v>
      </c>
      <c r="M1200" s="55" t="n">
        <v>70</v>
      </c>
      <c r="N1200" s="58" t="n">
        <v>14</v>
      </c>
      <c r="O1200" s="53" t="inlineStr">
        <is>
          <t>S32</t>
        </is>
      </c>
      <c r="P1200" s="55" t="n">
        <v>30</v>
      </c>
      <c r="Q1200" s="59">
        <f>IF(BO1200=1,0,IFERROR(VLOOKUP(BM1200,'Gebinde-Kategorie'!$A$5:$G$45,6,0)+0,0))</f>
        <v/>
      </c>
      <c r="R1200" s="60" t="n"/>
      <c r="S1200" s="61" t="n"/>
      <c r="T1200" s="61" t="n"/>
      <c r="U1200" s="53">
        <f>IF(A1200="","",IF(IFERROR(VLOOKUP(D1200,Parameter!$A$35:$C$64,2,0),"Nein")="2+3",IF(ISNUMBER(SEARCH("grosser Artikel",BJ1200)),2,IFERROR(VLOOKUP(BM1200,Parameter!$F$35:$G$64,2,0),2)),IF(OR(IFERROR(VLOOKUP(D1200,Parameter!$A$35:$C$64,2,0),"Nein")="Nein",IFERROR(VLOOKUP(D1200,Parameter!$A$35:$C$64,2,0),"Nein")=""),"-",VLOOKUP(D1200,Parameter!$A$35:$C$64,2,0))))</f>
        <v/>
      </c>
      <c r="V1200" s="61" t="n"/>
      <c r="W1200" s="62" t="n"/>
      <c r="X1200" s="55">
        <f>AM1200</f>
        <v/>
      </c>
      <c r="Y1200" s="55">
        <f>MAX(AM1200,G1200)</f>
        <v/>
      </c>
      <c r="Z1200" s="63" t="n"/>
      <c r="AA1200" s="55">
        <f>IF(LEFT(Cockpit!$C$5,1)="A",G1200,IF(BT1200=1,BU1200,IF(LEFT(Cockpit!$C$5,1)="B",AE1200,MAX(AE1200,G1200))))</f>
        <v/>
      </c>
      <c r="AB1200" s="55">
        <f>IF(BO1200=1,0,ROUNDUP(AA1200/BN1200,0))</f>
        <v/>
      </c>
      <c r="AC1200" s="64">
        <f>IF(BO1200=1,IF(AA1200&lt;=0,0,BP1200*MAX(1,IF(G1200&gt;0,AA1200/G1200,1))),AB1200*Q1200)</f>
        <v/>
      </c>
      <c r="AD1200" s="55">
        <f>AA1200*F1200</f>
        <v/>
      </c>
      <c r="AE1200" s="55">
        <f>ROUNDUP(MAX(I1200/IF(BS1200&gt;0,BS1200,MAX(0.1,N(Cockpit!$C$6))),BV1200)/BN1200,0)*BN1200</f>
        <v/>
      </c>
      <c r="AF1200" s="56">
        <f>IF(AC1200&gt;0,I1200/AC1200,-1)</f>
        <v/>
      </c>
      <c r="AG1200" s="56">
        <f>IF(AND(OR(BR1200="L1",BR1200="L23"),AC1200&gt;0),SUMIFS($AC$7:$AC$1570,$BR$7:$BR$1570,BR1200,$AF$7:$AF$1570,"&gt;"&amp;AF1200)+SUMIFS($AC$7:$AC$1570,$BR$7:$BR$1570,BR1200,$AF$7:$AF$1570,AF1200,$BL$7:$BL$1570,"&lt;="&amp;BL1200),"")</f>
        <v/>
      </c>
      <c r="AH1200" s="65">
        <f>IF(AG1200="",0,MAX(0,MIN(1,(IF(BR1200="L1",Parameter!$K$5,Parameter!$K$6+Parameter!$K$7)-(AG1200-AC1200))/AC1200)))</f>
        <v/>
      </c>
      <c r="AI1200" s="55">
        <f>IF(LEFT(Cockpit!$I$5,1)="A",G1200,IF(BT1200=1,BU1200,IF(LEFT(Cockpit!$I$5,1)="B",AM1200,MAX(AM1200,G1200))))</f>
        <v/>
      </c>
      <c r="AJ1200" s="55">
        <f>IF(BO1200=1,0,ROUNDUP(AI1200/BN1200,0))</f>
        <v/>
      </c>
      <c r="AK1200" s="64">
        <f>IF(BO1200=1,IF(AI1200&lt;=0,0,BP1200*MAX(1,IF(G1200&gt;0,AI1200/G1200,1))),AJ1200*Q1200)</f>
        <v/>
      </c>
      <c r="AL1200" s="55">
        <f>AI1200*F1200</f>
        <v/>
      </c>
      <c r="AM1200" s="55">
        <f>ROUNDUP(MAX(I1200/IF(BS1200&gt;0,BS1200,MAX(0.1,N(Cockpit!$I$6))),BV1200)/BN1200,0)*BN1200</f>
        <v/>
      </c>
      <c r="AN1200" s="56">
        <f>IF(AK1200&gt;0,I1200/AK1200,-1)</f>
        <v/>
      </c>
      <c r="AO1200" s="56">
        <f>IF(AND(OR(BR1200="L1",BR1200="L23"),AK1200&gt;0),SUMIFS($AK$7:$AK$1570,$BR$7:$BR$1570,BR1200,$AN$7:$AN$1570,"&gt;"&amp;AN1200)+SUMIFS($AK$7:$AK$1570,$BR$7:$BR$1570,BR1200,$AN$7:$AN$1570,AN1200,$BL$7:$BL$1570,"&lt;="&amp;BL1200),"")</f>
        <v/>
      </c>
      <c r="AP1200" s="65">
        <f>IF(AO1200="",0,MAX(0,MIN(1,(IF(BR1200="L1",Parameter!$K$5,Parameter!$K$6+Parameter!$K$7)-(AO1200-AK1200))/AK1200)))</f>
        <v/>
      </c>
      <c r="AQ1200" s="55">
        <f>IF(LEFT(Cockpit!$O$5,1)="A",G1200,IF(BT1200=1,BU1200,IF(LEFT(Cockpit!$O$5,1)="B",AU1200,MAX(AU1200,G1200))))</f>
        <v/>
      </c>
      <c r="AR1200" s="55">
        <f>IF(BO1200=1,0,ROUNDUP(AQ1200/BN1200,0))</f>
        <v/>
      </c>
      <c r="AS1200" s="64">
        <f>IF(BO1200=1,IF(AQ1200&lt;=0,0,BP1200*MAX(1,IF(G1200&gt;0,AQ1200/G1200,1))),AR1200*Q1200)</f>
        <v/>
      </c>
      <c r="AT1200" s="55">
        <f>AQ1200*F1200</f>
        <v/>
      </c>
      <c r="AU1200" s="55">
        <f>ROUNDUP(MAX(I1200/IF(BS1200&gt;0,BS1200,MAX(0.1,N(Cockpit!$O$6))),BV1200)/BN1200,0)*BN1200</f>
        <v/>
      </c>
      <c r="AV1200" s="56">
        <f>IF(AS1200&gt;0,I1200/AS1200,-1)</f>
        <v/>
      </c>
      <c r="AW1200" s="56">
        <f>IF(AND(OR(BR1200="L1",BR1200="L23"),AS1200&gt;0),SUMIFS($AS$7:$AS$1570,$BR$7:$BR$1570,BR1200,$AV$7:$AV$1570,"&gt;"&amp;AV1200)+SUMIFS($AS$7:$AS$1570,$BR$7:$BR$1570,BR1200,$AV$7:$AV$1570,AV1200,$BL$7:$BL$1570,"&lt;="&amp;BL1200),"")</f>
        <v/>
      </c>
      <c r="AX1200" s="65">
        <f>IF(AW1200="",0,MAX(0,MIN(1,(IF(BR1200="L1",Parameter!$K$5,Parameter!$K$6+Parameter!$K$7)-(AW1200-AS1200))/AS1200)))</f>
        <v/>
      </c>
      <c r="AY1200" s="53">
        <f>IF(AC1200&lt;=0,"",IF(BR1200="Aussen","Aussenlager",IF(BR1200="-","Nicht im Lift",IF(AH1200&gt;=1,"Lift",IF(AH1200&lt;=0,"Aussenlager","teilweise")))))</f>
        <v/>
      </c>
      <c r="AZ1200" s="53">
        <f>IF(AK1200&lt;=0,"",IF(BR1200="Aussen","Aussenlager",IF(BR1200="-","Nicht im Lift",IF(AP1200&gt;=1,"Lift",IF(AP1200&lt;=0,"Aussenlager","teilweise")))))</f>
        <v/>
      </c>
      <c r="BA1200" s="53">
        <f>IF(AS1200&lt;=0,"",IF(BR1200="Aussen","Aussenlager",IF(BR1200="-","Nicht im Lift",IF(AX1200&gt;=1,"Lift",IF(AX1200&lt;=0,"Aussenlager","teilweise")))))</f>
        <v/>
      </c>
      <c r="BB1200" s="53">
        <f>IF(A1200="","",IF(BK1200=1,"Neu; ","")&amp;IF(AND(BK1200=0,BF1200&lt;0),"negativer Bestand (Export "&amp;BF1200&amp;"); ","")&amp;IF(I1200&lt;=0,"Kein Verbrauch; ","")&amp;IF(BO1200=1,"Lose – Fläche geschätzt; ","")&amp;IF(G1200&gt;AM1200,"Überbestand "&amp;ROUND(G1200-AM1200,0)&amp;" Stk / CHF "&amp;ROUND((G1200-AM1200)*F1200,0)&amp;"; ","")&amp;IF(AND(BT1200=1,BU1200&lt;BV1200),"MAX &lt; MB+LG; ","")&amp;IF(AND(BZ1200&gt;0,BY1200*10&gt;BZ1200),"zu hoch für Tablar; ","")&amp;IF(AND(BK1200=0,OR(BT1200=1,V1200&lt;&gt;"",S1200&lt;&gt;"",T1200&lt;&gt;"",W1200&lt;&gt;"")),"manuell übersteuert; ","")&amp;IF(AND(BO1200=0,Q1200=0),"Gebinde unbekannt; ","")&amp;IF(AND(BO1200=0,N(T1200)&lt;=0,N(P1200)&lt;=0),"Menge pro Gebinde fehlt (Ist = 1 Gebinde); ","")&amp;BJ1200)</f>
        <v/>
      </c>
      <c r="BC1200" s="53" t="n"/>
      <c r="BD1200" s="53" t="n"/>
      <c r="BE1200" s="61" t="n"/>
      <c r="BF1200" s="55" t="n">
        <v>-29</v>
      </c>
      <c r="BG1200" s="55" t="n">
        <v>51</v>
      </c>
      <c r="BH1200" s="54" t="n">
        <v>-487.7400000000004</v>
      </c>
      <c r="BI1200" s="55" t="n">
        <v>69</v>
      </c>
      <c r="BJ1200" s="53" t="inlineStr"/>
      <c r="BK1200" s="58" t="n">
        <v>0</v>
      </c>
      <c r="BL1200" s="58" t="n">
        <v>1200</v>
      </c>
      <c r="BM1200" s="53">
        <f>IF(S1200&lt;&gt;"",UPPER(TRIM(S1200)),IF(O1200="","LOSE",O1200))</f>
        <v/>
      </c>
      <c r="BN1200" s="55">
        <f>IF(BM1200="LOSE",1,IF(N(T1200)&gt;0,T1200,IF(N(P1200)&gt;0,P1200,MAX(1,G1200))))</f>
        <v/>
      </c>
      <c r="BO1200" s="58">
        <f>IF(BM1200="LOSE",1,0)</f>
        <v/>
      </c>
      <c r="BP1200" s="64">
        <f>IF(BO1200=0,0,IF(N(R1200)&gt;0,R1200,IFERROR(VLOOKUP(D1200,Parameter!$A$35:$C$64,3,0)+0,0)))</f>
        <v/>
      </c>
      <c r="BQ1200" s="53">
        <f>IF(V1200&lt;&gt;"",V1200,U1200)</f>
        <v/>
      </c>
      <c r="BR1200" s="53">
        <f>IF(BQ1200=1,"L1",IF(OR(BQ1200=2,BQ1200=3),"L23",IF(BQ1200="Aussen","Aussen","-")))</f>
        <v/>
      </c>
      <c r="BS1200" s="66">
        <f>IF(N(W1200)&gt;0,W1200,0)</f>
        <v/>
      </c>
      <c r="BT1200" s="58">
        <f>IF(ISNUMBER(Z1200),1,0)</f>
        <v/>
      </c>
      <c r="BU1200" s="55">
        <f>N(Z1200)</f>
        <v/>
      </c>
      <c r="BV1200" s="55">
        <f>N(L1200)+N(M1200)</f>
        <v/>
      </c>
      <c r="BW1200" s="55">
        <f>ROUNDUP(G1200/BN1200,0)</f>
        <v/>
      </c>
      <c r="BX1200" s="55">
        <f>ROUNDUP(BU1200/BN1200,0)</f>
        <v/>
      </c>
      <c r="BY1200" s="58">
        <f>IF(BO1200=1,0,IFERROR(VLOOKUP(BM1200,'Gebinde-Kategorie'!$A$5:$G$45,5,0)+0,0))</f>
        <v/>
      </c>
      <c r="BZ1200" s="58">
        <f>IFERROR(IF(OR(BQ1200=1,BQ1200=2,BQ1200=3),N(INDEX(Parameter!$I$5:$I$7,BQ1200)),0),0)</f>
        <v/>
      </c>
    </row>
    <row r="1201">
      <c r="A1201" s="53" t="inlineStr">
        <is>
          <t>107164</t>
        </is>
      </c>
      <c r="B1201" s="53" t="inlineStr">
        <is>
          <t>Hochdruck-Ganzmetallschlauch Luft</t>
        </is>
      </c>
      <c r="C1201" s="53" t="inlineStr">
        <is>
          <t>F</t>
        </is>
      </c>
      <c r="D1201" s="53" t="inlineStr">
        <is>
          <t>PAL</t>
        </is>
      </c>
      <c r="E1201" s="53" t="inlineStr">
        <is>
          <t>C</t>
        </is>
      </c>
      <c r="F1201" s="54" t="n">
        <v>490.5</v>
      </c>
      <c r="G1201" s="55">
        <f>MAX(0,IF(Parameter!$B$20="Jahresanfang 2025 + Export",BG1201+BF1201,BF1201))</f>
        <v/>
      </c>
      <c r="H1201" s="55">
        <f>G1201*F1201</f>
        <v/>
      </c>
      <c r="I1201" s="55">
        <f>BI1201*Parameter!$B$18</f>
        <v/>
      </c>
      <c r="J1201" s="56" t="n">
        <v>1.5</v>
      </c>
      <c r="K1201" s="57" t="n">
        <v>0</v>
      </c>
      <c r="L1201" s="55" t="n">
        <v>0</v>
      </c>
      <c r="M1201" s="55" t="n">
        <v>1</v>
      </c>
      <c r="N1201" s="58" t="n">
        <v>28</v>
      </c>
      <c r="O1201" s="53" t="inlineStr">
        <is>
          <t>LOSE</t>
        </is>
      </c>
      <c r="P1201" s="55" t="n"/>
      <c r="Q1201" s="59">
        <f>IF(BO1201=1,0,IFERROR(VLOOKUP(BM1201,'Gebinde-Kategorie'!$A$5:$G$45,6,0)+0,0))</f>
        <v/>
      </c>
      <c r="R1201" s="60" t="n"/>
      <c r="S1201" s="61" t="n"/>
      <c r="T1201" s="61" t="n"/>
      <c r="U1201" s="53">
        <f>IF(A1201="","",IF(IFERROR(VLOOKUP(D1201,Parameter!$A$35:$C$64,2,0),"Nein")="2+3",IF(ISNUMBER(SEARCH("grosser Artikel",BJ1201)),2,IFERROR(VLOOKUP(BM1201,Parameter!$F$35:$G$64,2,0),2)),IF(OR(IFERROR(VLOOKUP(D1201,Parameter!$A$35:$C$64,2,0),"Nein")="Nein",IFERROR(VLOOKUP(D1201,Parameter!$A$35:$C$64,2,0),"Nein")=""),"-",VLOOKUP(D1201,Parameter!$A$35:$C$64,2,0))))</f>
        <v/>
      </c>
      <c r="V1201" s="61" t="n"/>
      <c r="W1201" s="62" t="n"/>
      <c r="X1201" s="55">
        <f>AM1201</f>
        <v/>
      </c>
      <c r="Y1201" s="55">
        <f>MAX(AM1201,G1201)</f>
        <v/>
      </c>
      <c r="Z1201" s="63" t="n"/>
      <c r="AA1201" s="55">
        <f>IF(LEFT(Cockpit!$C$5,1)="A",G1201,IF(BT1201=1,BU1201,IF(LEFT(Cockpit!$C$5,1)="B",AE1201,MAX(AE1201,G1201))))</f>
        <v/>
      </c>
      <c r="AB1201" s="55">
        <f>IF(BO1201=1,0,ROUNDUP(AA1201/BN1201,0))</f>
        <v/>
      </c>
      <c r="AC1201" s="64">
        <f>IF(BO1201=1,IF(AA1201&lt;=0,0,BP1201*MAX(1,IF(G1201&gt;0,AA1201/G1201,1))),AB1201*Q1201)</f>
        <v/>
      </c>
      <c r="AD1201" s="55">
        <f>AA1201*F1201</f>
        <v/>
      </c>
      <c r="AE1201" s="55">
        <f>ROUNDUP(MAX(I1201/IF(BS1201&gt;0,BS1201,MAX(0.1,N(Cockpit!$C$6))),BV1201)/BN1201,0)*BN1201</f>
        <v/>
      </c>
      <c r="AF1201" s="56">
        <f>IF(AC1201&gt;0,I1201/AC1201,-1)</f>
        <v/>
      </c>
      <c r="AG1201" s="56">
        <f>IF(AND(OR(BR1201="L1",BR1201="L23"),AC1201&gt;0),SUMIFS($AC$7:$AC$1570,$BR$7:$BR$1570,BR1201,$AF$7:$AF$1570,"&gt;"&amp;AF1201)+SUMIFS($AC$7:$AC$1570,$BR$7:$BR$1570,BR1201,$AF$7:$AF$1570,AF1201,$BL$7:$BL$1570,"&lt;="&amp;BL1201),"")</f>
        <v/>
      </c>
      <c r="AH1201" s="65">
        <f>IF(AG1201="",0,MAX(0,MIN(1,(IF(BR1201="L1",Parameter!$K$5,Parameter!$K$6+Parameter!$K$7)-(AG1201-AC1201))/AC1201)))</f>
        <v/>
      </c>
      <c r="AI1201" s="55">
        <f>IF(LEFT(Cockpit!$I$5,1)="A",G1201,IF(BT1201=1,BU1201,IF(LEFT(Cockpit!$I$5,1)="B",AM1201,MAX(AM1201,G1201))))</f>
        <v/>
      </c>
      <c r="AJ1201" s="55">
        <f>IF(BO1201=1,0,ROUNDUP(AI1201/BN1201,0))</f>
        <v/>
      </c>
      <c r="AK1201" s="64">
        <f>IF(BO1201=1,IF(AI1201&lt;=0,0,BP1201*MAX(1,IF(G1201&gt;0,AI1201/G1201,1))),AJ1201*Q1201)</f>
        <v/>
      </c>
      <c r="AL1201" s="55">
        <f>AI1201*F1201</f>
        <v/>
      </c>
      <c r="AM1201" s="55">
        <f>ROUNDUP(MAX(I1201/IF(BS1201&gt;0,BS1201,MAX(0.1,N(Cockpit!$I$6))),BV1201)/BN1201,0)*BN1201</f>
        <v/>
      </c>
      <c r="AN1201" s="56">
        <f>IF(AK1201&gt;0,I1201/AK1201,-1)</f>
        <v/>
      </c>
      <c r="AO1201" s="56">
        <f>IF(AND(OR(BR1201="L1",BR1201="L23"),AK1201&gt;0),SUMIFS($AK$7:$AK$1570,$BR$7:$BR$1570,BR1201,$AN$7:$AN$1570,"&gt;"&amp;AN1201)+SUMIFS($AK$7:$AK$1570,$BR$7:$BR$1570,BR1201,$AN$7:$AN$1570,AN1201,$BL$7:$BL$1570,"&lt;="&amp;BL1201),"")</f>
        <v/>
      </c>
      <c r="AP1201" s="65">
        <f>IF(AO1201="",0,MAX(0,MIN(1,(IF(BR1201="L1",Parameter!$K$5,Parameter!$K$6+Parameter!$K$7)-(AO1201-AK1201))/AK1201)))</f>
        <v/>
      </c>
      <c r="AQ1201" s="55">
        <f>IF(LEFT(Cockpit!$O$5,1)="A",G1201,IF(BT1201=1,BU1201,IF(LEFT(Cockpit!$O$5,1)="B",AU1201,MAX(AU1201,G1201))))</f>
        <v/>
      </c>
      <c r="AR1201" s="55">
        <f>IF(BO1201=1,0,ROUNDUP(AQ1201/BN1201,0))</f>
        <v/>
      </c>
      <c r="AS1201" s="64">
        <f>IF(BO1201=1,IF(AQ1201&lt;=0,0,BP1201*MAX(1,IF(G1201&gt;0,AQ1201/G1201,1))),AR1201*Q1201)</f>
        <v/>
      </c>
      <c r="AT1201" s="55">
        <f>AQ1201*F1201</f>
        <v/>
      </c>
      <c r="AU1201" s="55">
        <f>ROUNDUP(MAX(I1201/IF(BS1201&gt;0,BS1201,MAX(0.1,N(Cockpit!$O$6))),BV1201)/BN1201,0)*BN1201</f>
        <v/>
      </c>
      <c r="AV1201" s="56">
        <f>IF(AS1201&gt;0,I1201/AS1201,-1)</f>
        <v/>
      </c>
      <c r="AW1201" s="56">
        <f>IF(AND(OR(BR1201="L1",BR1201="L23"),AS1201&gt;0),SUMIFS($AS$7:$AS$1570,$BR$7:$BR$1570,BR1201,$AV$7:$AV$1570,"&gt;"&amp;AV1201)+SUMIFS($AS$7:$AS$1570,$BR$7:$BR$1570,BR1201,$AV$7:$AV$1570,AV1201,$BL$7:$BL$1570,"&lt;="&amp;BL1201),"")</f>
        <v/>
      </c>
      <c r="AX1201" s="65">
        <f>IF(AW1201="",0,MAX(0,MIN(1,(IF(BR1201="L1",Parameter!$K$5,Parameter!$K$6+Parameter!$K$7)-(AW1201-AS1201))/AS1201)))</f>
        <v/>
      </c>
      <c r="AY1201" s="53">
        <f>IF(AC1201&lt;=0,"",IF(BR1201="Aussen","Aussenlager",IF(BR1201="-","Nicht im Lift",IF(AH1201&gt;=1,"Lift",IF(AH1201&lt;=0,"Aussenlager","teilweise")))))</f>
        <v/>
      </c>
      <c r="AZ1201" s="53">
        <f>IF(AK1201&lt;=0,"",IF(BR1201="Aussen","Aussenlager",IF(BR1201="-","Nicht im Lift",IF(AP1201&gt;=1,"Lift",IF(AP1201&lt;=0,"Aussenlager","teilweise")))))</f>
        <v/>
      </c>
      <c r="BA1201" s="53">
        <f>IF(AS1201&lt;=0,"",IF(BR1201="Aussen","Aussenlager",IF(BR1201="-","Nicht im Lift",IF(AX1201&gt;=1,"Lift",IF(AX1201&lt;=0,"Aussenlager","teilweise")))))</f>
        <v/>
      </c>
      <c r="BB1201" s="53">
        <f>IF(A1201="","",IF(BK1201=1,"Neu; ","")&amp;IF(AND(BK1201=0,BF1201&lt;0),"negativer Bestand (Export "&amp;BF1201&amp;"); ","")&amp;IF(I1201&lt;=0,"Kein Verbrauch; ","")&amp;IF(BO1201=1,"Lose – Fläche geschätzt; ","")&amp;IF(G1201&gt;AM1201,"Überbestand "&amp;ROUND(G1201-AM1201,0)&amp;" Stk / CHF "&amp;ROUND((G1201-AM1201)*F1201,0)&amp;"; ","")&amp;IF(AND(BT1201=1,BU1201&lt;BV1201),"MAX &lt; MB+LG; ","")&amp;IF(AND(BZ1201&gt;0,BY1201*10&gt;BZ1201),"zu hoch für Tablar; ","")&amp;IF(AND(BK1201=0,OR(BT1201=1,V1201&lt;&gt;"",S1201&lt;&gt;"",T1201&lt;&gt;"",W1201&lt;&gt;"")),"manuell übersteuert; ","")&amp;IF(AND(BO1201=0,Q1201=0),"Gebinde unbekannt; ","")&amp;IF(AND(BO1201=0,N(T1201)&lt;=0,N(P1201)&lt;=0),"Menge pro Gebinde fehlt (Ist = 1 Gebinde); ","")&amp;BJ1201)</f>
        <v/>
      </c>
      <c r="BC1201" s="53" t="n"/>
      <c r="BD1201" s="53" t="n"/>
      <c r="BE1201" s="61" t="n"/>
      <c r="BF1201" s="55" t="n">
        <v>-1</v>
      </c>
      <c r="BG1201" s="55" t="n">
        <v>2</v>
      </c>
      <c r="BH1201" s="54" t="n">
        <v>-490.5</v>
      </c>
      <c r="BI1201" s="55" t="n">
        <v>0</v>
      </c>
      <c r="BJ1201" s="53" t="inlineStr"/>
      <c r="BK1201" s="58" t="n">
        <v>0</v>
      </c>
      <c r="BL1201" s="58" t="n">
        <v>1201</v>
      </c>
      <c r="BM1201" s="53">
        <f>IF(S1201&lt;&gt;"",UPPER(TRIM(S1201)),IF(O1201="","LOSE",O1201))</f>
        <v/>
      </c>
      <c r="BN1201" s="55">
        <f>IF(BM1201="LOSE",1,IF(N(T1201)&gt;0,T1201,IF(N(P1201)&gt;0,P1201,MAX(1,G1201))))</f>
        <v/>
      </c>
      <c r="BO1201" s="58">
        <f>IF(BM1201="LOSE",1,0)</f>
        <v/>
      </c>
      <c r="BP1201" s="64">
        <f>IF(BO1201=0,0,IF(N(R1201)&gt;0,R1201,IFERROR(VLOOKUP(D1201,Parameter!$A$35:$C$64,3,0)+0,0)))</f>
        <v/>
      </c>
      <c r="BQ1201" s="53">
        <f>IF(V1201&lt;&gt;"",V1201,U1201)</f>
        <v/>
      </c>
      <c r="BR1201" s="53">
        <f>IF(BQ1201=1,"L1",IF(OR(BQ1201=2,BQ1201=3),"L23",IF(BQ1201="Aussen","Aussen","-")))</f>
        <v/>
      </c>
      <c r="BS1201" s="66">
        <f>IF(N(W1201)&gt;0,W1201,0)</f>
        <v/>
      </c>
      <c r="BT1201" s="58">
        <f>IF(ISNUMBER(Z1201),1,0)</f>
        <v/>
      </c>
      <c r="BU1201" s="55">
        <f>N(Z1201)</f>
        <v/>
      </c>
      <c r="BV1201" s="55">
        <f>N(L1201)+N(M1201)</f>
        <v/>
      </c>
      <c r="BW1201" s="55">
        <f>ROUNDUP(G1201/BN1201,0)</f>
        <v/>
      </c>
      <c r="BX1201" s="55">
        <f>ROUNDUP(BU1201/BN1201,0)</f>
        <v/>
      </c>
      <c r="BY1201" s="58">
        <f>IF(BO1201=1,0,IFERROR(VLOOKUP(BM1201,'Gebinde-Kategorie'!$A$5:$G$45,5,0)+0,0))</f>
        <v/>
      </c>
      <c r="BZ1201" s="58">
        <f>IFERROR(IF(OR(BQ1201=1,BQ1201=2,BQ1201=3),N(INDEX(Parameter!$I$5:$I$7,BQ1201)),0),0)</f>
        <v/>
      </c>
    </row>
    <row r="1202">
      <c r="A1202" s="53" t="inlineStr">
        <is>
          <t>100039</t>
        </is>
      </c>
      <c r="B1202" s="53" t="inlineStr">
        <is>
          <t>Sicherungsscheibe</t>
        </is>
      </c>
      <c r="C1202" s="53" t="inlineStr">
        <is>
          <t>F</t>
        </is>
      </c>
      <c r="D1202" s="53" t="inlineStr">
        <is>
          <t>KTL</t>
        </is>
      </c>
      <c r="E1202" s="53" t="inlineStr">
        <is>
          <t>C</t>
        </is>
      </c>
      <c r="F1202" s="54" t="n">
        <v>0.34</v>
      </c>
      <c r="G1202" s="55">
        <f>MAX(0,IF(Parameter!$B$20="Jahresanfang 2025 + Export",BG1202+BF1202,BF1202))</f>
        <v/>
      </c>
      <c r="H1202" s="55">
        <f>G1202*F1202</f>
        <v/>
      </c>
      <c r="I1202" s="55">
        <f>BI1202*Parameter!$B$18</f>
        <v/>
      </c>
      <c r="J1202" s="56" t="n">
        <v>2301.5</v>
      </c>
      <c r="K1202" s="57" t="n">
        <v>2.700412774277645</v>
      </c>
      <c r="L1202" s="55" t="n">
        <v>242</v>
      </c>
      <c r="M1202" s="55" t="n">
        <v>2000</v>
      </c>
      <c r="N1202" s="58" t="n">
        <v>14</v>
      </c>
      <c r="O1202" s="53" t="inlineStr">
        <is>
          <t>S52</t>
        </is>
      </c>
      <c r="P1202" s="55" t="n">
        <v>1527</v>
      </c>
      <c r="Q1202" s="59">
        <f>IF(BO1202=1,0,IFERROR(VLOOKUP(BM1202,'Gebinde-Kategorie'!$A$5:$G$45,6,0)+0,0))</f>
        <v/>
      </c>
      <c r="R1202" s="60" t="n"/>
      <c r="S1202" s="61" t="n"/>
      <c r="T1202" s="61" t="n"/>
      <c r="U1202" s="53">
        <f>IF(A1202="","",IF(IFERROR(VLOOKUP(D1202,Parameter!$A$35:$C$64,2,0),"Nein")="2+3",IF(ISNUMBER(SEARCH("grosser Artikel",BJ1202)),2,IFERROR(VLOOKUP(BM1202,Parameter!$F$35:$G$64,2,0),2)),IF(OR(IFERROR(VLOOKUP(D1202,Parameter!$A$35:$C$64,2,0),"Nein")="Nein",IFERROR(VLOOKUP(D1202,Parameter!$A$35:$C$64,2,0),"Nein")=""),"-",VLOOKUP(D1202,Parameter!$A$35:$C$64,2,0))))</f>
        <v/>
      </c>
      <c r="V1202" s="61" t="n"/>
      <c r="W1202" s="62" t="n"/>
      <c r="X1202" s="55">
        <f>AM1202</f>
        <v/>
      </c>
      <c r="Y1202" s="55">
        <f>MAX(AM1202,G1202)</f>
        <v/>
      </c>
      <c r="Z1202" s="63" t="n"/>
      <c r="AA1202" s="55">
        <f>IF(LEFT(Cockpit!$C$5,1)="A",G1202,IF(BT1202=1,BU1202,IF(LEFT(Cockpit!$C$5,1)="B",AE1202,MAX(AE1202,G1202))))</f>
        <v/>
      </c>
      <c r="AB1202" s="55">
        <f>IF(BO1202=1,0,ROUNDUP(AA1202/BN1202,0))</f>
        <v/>
      </c>
      <c r="AC1202" s="64">
        <f>IF(BO1202=1,IF(AA1202&lt;=0,0,BP1202*MAX(1,IF(G1202&gt;0,AA1202/G1202,1))),AB1202*Q1202)</f>
        <v/>
      </c>
      <c r="AD1202" s="55">
        <f>AA1202*F1202</f>
        <v/>
      </c>
      <c r="AE1202" s="55">
        <f>ROUNDUP(MAX(I1202/IF(BS1202&gt;0,BS1202,MAX(0.1,N(Cockpit!$C$6))),BV1202)/BN1202,0)*BN1202</f>
        <v/>
      </c>
      <c r="AF1202" s="56">
        <f>IF(AC1202&gt;0,I1202/AC1202,-1)</f>
        <v/>
      </c>
      <c r="AG1202" s="56">
        <f>IF(AND(OR(BR1202="L1",BR1202="L23"),AC1202&gt;0),SUMIFS($AC$7:$AC$1570,$BR$7:$BR$1570,BR1202,$AF$7:$AF$1570,"&gt;"&amp;AF1202)+SUMIFS($AC$7:$AC$1570,$BR$7:$BR$1570,BR1202,$AF$7:$AF$1570,AF1202,$BL$7:$BL$1570,"&lt;="&amp;BL1202),"")</f>
        <v/>
      </c>
      <c r="AH1202" s="65">
        <f>IF(AG1202="",0,MAX(0,MIN(1,(IF(BR1202="L1",Parameter!$K$5,Parameter!$K$6+Parameter!$K$7)-(AG1202-AC1202))/AC1202)))</f>
        <v/>
      </c>
      <c r="AI1202" s="55">
        <f>IF(LEFT(Cockpit!$I$5,1)="A",G1202,IF(BT1202=1,BU1202,IF(LEFT(Cockpit!$I$5,1)="B",AM1202,MAX(AM1202,G1202))))</f>
        <v/>
      </c>
      <c r="AJ1202" s="55">
        <f>IF(BO1202=1,0,ROUNDUP(AI1202/BN1202,0))</f>
        <v/>
      </c>
      <c r="AK1202" s="64">
        <f>IF(BO1202=1,IF(AI1202&lt;=0,0,BP1202*MAX(1,IF(G1202&gt;0,AI1202/G1202,1))),AJ1202*Q1202)</f>
        <v/>
      </c>
      <c r="AL1202" s="55">
        <f>AI1202*F1202</f>
        <v/>
      </c>
      <c r="AM1202" s="55">
        <f>ROUNDUP(MAX(I1202/IF(BS1202&gt;0,BS1202,MAX(0.1,N(Cockpit!$I$6))),BV1202)/BN1202,0)*BN1202</f>
        <v/>
      </c>
      <c r="AN1202" s="56">
        <f>IF(AK1202&gt;0,I1202/AK1202,-1)</f>
        <v/>
      </c>
      <c r="AO1202" s="56">
        <f>IF(AND(OR(BR1202="L1",BR1202="L23"),AK1202&gt;0),SUMIFS($AK$7:$AK$1570,$BR$7:$BR$1570,BR1202,$AN$7:$AN$1570,"&gt;"&amp;AN1202)+SUMIFS($AK$7:$AK$1570,$BR$7:$BR$1570,BR1202,$AN$7:$AN$1570,AN1202,$BL$7:$BL$1570,"&lt;="&amp;BL1202),"")</f>
        <v/>
      </c>
      <c r="AP1202" s="65">
        <f>IF(AO1202="",0,MAX(0,MIN(1,(IF(BR1202="L1",Parameter!$K$5,Parameter!$K$6+Parameter!$K$7)-(AO1202-AK1202))/AK1202)))</f>
        <v/>
      </c>
      <c r="AQ1202" s="55">
        <f>IF(LEFT(Cockpit!$O$5,1)="A",G1202,IF(BT1202=1,BU1202,IF(LEFT(Cockpit!$O$5,1)="B",AU1202,MAX(AU1202,G1202))))</f>
        <v/>
      </c>
      <c r="AR1202" s="55">
        <f>IF(BO1202=1,0,ROUNDUP(AQ1202/BN1202,0))</f>
        <v/>
      </c>
      <c r="AS1202" s="64">
        <f>IF(BO1202=1,IF(AQ1202&lt;=0,0,BP1202*MAX(1,IF(G1202&gt;0,AQ1202/G1202,1))),AR1202*Q1202)</f>
        <v/>
      </c>
      <c r="AT1202" s="55">
        <f>AQ1202*F1202</f>
        <v/>
      </c>
      <c r="AU1202" s="55">
        <f>ROUNDUP(MAX(I1202/IF(BS1202&gt;0,BS1202,MAX(0.1,N(Cockpit!$O$6))),BV1202)/BN1202,0)*BN1202</f>
        <v/>
      </c>
      <c r="AV1202" s="56">
        <f>IF(AS1202&gt;0,I1202/AS1202,-1)</f>
        <v/>
      </c>
      <c r="AW1202" s="56">
        <f>IF(AND(OR(BR1202="L1",BR1202="L23"),AS1202&gt;0),SUMIFS($AS$7:$AS$1570,$BR$7:$BR$1570,BR1202,$AV$7:$AV$1570,"&gt;"&amp;AV1202)+SUMIFS($AS$7:$AS$1570,$BR$7:$BR$1570,BR1202,$AV$7:$AV$1570,AV1202,$BL$7:$BL$1570,"&lt;="&amp;BL1202),"")</f>
        <v/>
      </c>
      <c r="AX1202" s="65">
        <f>IF(AW1202="",0,MAX(0,MIN(1,(IF(BR1202="L1",Parameter!$K$5,Parameter!$K$6+Parameter!$K$7)-(AW1202-AS1202))/AS1202)))</f>
        <v/>
      </c>
      <c r="AY1202" s="53">
        <f>IF(AC1202&lt;=0,"",IF(BR1202="Aussen","Aussenlager",IF(BR1202="-","Nicht im Lift",IF(AH1202&gt;=1,"Lift",IF(AH1202&lt;=0,"Aussenlager","teilweise")))))</f>
        <v/>
      </c>
      <c r="AZ1202" s="53">
        <f>IF(AK1202&lt;=0,"",IF(BR1202="Aussen","Aussenlager",IF(BR1202="-","Nicht im Lift",IF(AP1202&gt;=1,"Lift",IF(AP1202&lt;=0,"Aussenlager","teilweise")))))</f>
        <v/>
      </c>
      <c r="BA1202" s="53">
        <f>IF(AS1202&lt;=0,"",IF(BR1202="Aussen","Aussenlager",IF(BR1202="-","Nicht im Lift",IF(AX1202&gt;=1,"Lift",IF(AX1202&lt;=0,"Aussenlager","teilweise")))))</f>
        <v/>
      </c>
      <c r="BB1202" s="53">
        <f>IF(A1202="","",IF(BK1202=1,"Neu; ","")&amp;IF(AND(BK1202=0,BF1202&lt;0),"negativer Bestand (Export "&amp;BF1202&amp;"); ","")&amp;IF(I1202&lt;=0,"Kein Verbrauch; ","")&amp;IF(BO1202=1,"Lose – Fläche geschätzt; ","")&amp;IF(G1202&gt;AM1202,"Überbestand "&amp;ROUND(G1202-AM1202,0)&amp;" Stk / CHF "&amp;ROUND((G1202-AM1202)*F1202,0)&amp;"; ","")&amp;IF(AND(BT1202=1,BU1202&lt;BV1202),"MAX &lt; MB+LG; ","")&amp;IF(AND(BZ1202&gt;0,BY1202*10&gt;BZ1202),"zu hoch für Tablar; ","")&amp;IF(AND(BK1202=0,OR(BT1202=1,V1202&lt;&gt;"",S1202&lt;&gt;"",T1202&lt;&gt;"",W1202&lt;&gt;"")),"manuell übersteuert; ","")&amp;IF(AND(BO1202=0,Q1202=0),"Gebinde unbekannt; ","")&amp;IF(AND(BO1202=0,N(T1202)&lt;=0,N(P1202)&lt;=0),"Menge pro Gebinde fehlt (Ist = 1 Gebinde); ","")&amp;BJ1202)</f>
        <v/>
      </c>
      <c r="BC1202" s="53" t="n"/>
      <c r="BD1202" s="53" t="n"/>
      <c r="BE1202" s="61" t="n"/>
      <c r="BF1202" s="55" t="n">
        <v>-1519</v>
      </c>
      <c r="BG1202" s="55" t="n">
        <v>2506</v>
      </c>
      <c r="BH1202" s="54" t="n">
        <v>-492.0199999999983</v>
      </c>
      <c r="BI1202" s="55" t="n">
        <v>6215</v>
      </c>
      <c r="BJ1202" s="53" t="inlineStr"/>
      <c r="BK1202" s="58" t="n">
        <v>0</v>
      </c>
      <c r="BL1202" s="58" t="n">
        <v>1202</v>
      </c>
      <c r="BM1202" s="53">
        <f>IF(S1202&lt;&gt;"",UPPER(TRIM(S1202)),IF(O1202="","LOSE",O1202))</f>
        <v/>
      </c>
      <c r="BN1202" s="55">
        <f>IF(BM1202="LOSE",1,IF(N(T1202)&gt;0,T1202,IF(N(P1202)&gt;0,P1202,MAX(1,G1202))))</f>
        <v/>
      </c>
      <c r="BO1202" s="58">
        <f>IF(BM1202="LOSE",1,0)</f>
        <v/>
      </c>
      <c r="BP1202" s="64">
        <f>IF(BO1202=0,0,IF(N(R1202)&gt;0,R1202,IFERROR(VLOOKUP(D1202,Parameter!$A$35:$C$64,3,0)+0,0)))</f>
        <v/>
      </c>
      <c r="BQ1202" s="53">
        <f>IF(V1202&lt;&gt;"",V1202,U1202)</f>
        <v/>
      </c>
      <c r="BR1202" s="53">
        <f>IF(BQ1202=1,"L1",IF(OR(BQ1202=2,BQ1202=3),"L23",IF(BQ1202="Aussen","Aussen","-")))</f>
        <v/>
      </c>
      <c r="BS1202" s="66">
        <f>IF(N(W1202)&gt;0,W1202,0)</f>
        <v/>
      </c>
      <c r="BT1202" s="58">
        <f>IF(ISNUMBER(Z1202),1,0)</f>
        <v/>
      </c>
      <c r="BU1202" s="55">
        <f>N(Z1202)</f>
        <v/>
      </c>
      <c r="BV1202" s="55">
        <f>N(L1202)+N(M1202)</f>
        <v/>
      </c>
      <c r="BW1202" s="55">
        <f>ROUNDUP(G1202/BN1202,0)</f>
        <v/>
      </c>
      <c r="BX1202" s="55">
        <f>ROUNDUP(BU1202/BN1202,0)</f>
        <v/>
      </c>
      <c r="BY1202" s="58">
        <f>IF(BO1202=1,0,IFERROR(VLOOKUP(BM1202,'Gebinde-Kategorie'!$A$5:$G$45,5,0)+0,0))</f>
        <v/>
      </c>
      <c r="BZ1202" s="58">
        <f>IFERROR(IF(OR(BQ1202=1,BQ1202=2,BQ1202=3),N(INDEX(Parameter!$I$5:$I$7,BQ1202)),0),0)</f>
        <v/>
      </c>
    </row>
    <row r="1203">
      <c r="A1203" s="53" t="inlineStr">
        <is>
          <t>002076</t>
        </is>
      </c>
      <c r="B1203" s="53" t="inlineStr">
        <is>
          <t>Brother P-touch Schriftband</t>
        </is>
      </c>
      <c r="C1203" s="53" t="inlineStr">
        <is>
          <t>F</t>
        </is>
      </c>
      <c r="D1203" s="53" t="inlineStr">
        <is>
          <t>KTL</t>
        </is>
      </c>
      <c r="E1203" s="53" t="inlineStr">
        <is>
          <t>C</t>
        </is>
      </c>
      <c r="F1203" s="54" t="n">
        <v>16.62</v>
      </c>
      <c r="G1203" s="55">
        <f>MAX(0,IF(Parameter!$B$20="Jahresanfang 2025 + Export",BG1203+BF1203,BF1203))</f>
        <v/>
      </c>
      <c r="H1203" s="55">
        <f>G1203*F1203</f>
        <v/>
      </c>
      <c r="I1203" s="55">
        <f>BI1203*Parameter!$B$18</f>
        <v/>
      </c>
      <c r="J1203" s="56" t="n">
        <v>30</v>
      </c>
      <c r="K1203" s="57" t="n">
        <v>0</v>
      </c>
      <c r="L1203" s="55" t="n">
        <v>0</v>
      </c>
      <c r="M1203" s="55" t="n">
        <v>1</v>
      </c>
      <c r="N1203" s="58" t="n">
        <v>28</v>
      </c>
      <c r="O1203" s="53" t="inlineStr">
        <is>
          <t>S41</t>
        </is>
      </c>
      <c r="P1203" s="55" t="n">
        <v>15</v>
      </c>
      <c r="Q1203" s="59">
        <f>IF(BO1203=1,0,IFERROR(VLOOKUP(BM1203,'Gebinde-Kategorie'!$A$5:$G$45,6,0)+0,0))</f>
        <v/>
      </c>
      <c r="R1203" s="60" t="n"/>
      <c r="S1203" s="61" t="n"/>
      <c r="T1203" s="61" t="n"/>
      <c r="U1203" s="53">
        <f>IF(A1203="","",IF(IFERROR(VLOOKUP(D1203,Parameter!$A$35:$C$64,2,0),"Nein")="2+3",IF(ISNUMBER(SEARCH("grosser Artikel",BJ1203)),2,IFERROR(VLOOKUP(BM1203,Parameter!$F$35:$G$64,2,0),2)),IF(OR(IFERROR(VLOOKUP(D1203,Parameter!$A$35:$C$64,2,0),"Nein")="Nein",IFERROR(VLOOKUP(D1203,Parameter!$A$35:$C$64,2,0),"Nein")=""),"-",VLOOKUP(D1203,Parameter!$A$35:$C$64,2,0))))</f>
        <v/>
      </c>
      <c r="V1203" s="61" t="n"/>
      <c r="W1203" s="62" t="n"/>
      <c r="X1203" s="55">
        <f>AM1203</f>
        <v/>
      </c>
      <c r="Y1203" s="55">
        <f>MAX(AM1203,G1203)</f>
        <v/>
      </c>
      <c r="Z1203" s="63" t="n"/>
      <c r="AA1203" s="55">
        <f>IF(LEFT(Cockpit!$C$5,1)="A",G1203,IF(BT1203=1,BU1203,IF(LEFT(Cockpit!$C$5,1)="B",AE1203,MAX(AE1203,G1203))))</f>
        <v/>
      </c>
      <c r="AB1203" s="55">
        <f>IF(BO1203=1,0,ROUNDUP(AA1203/BN1203,0))</f>
        <v/>
      </c>
      <c r="AC1203" s="64">
        <f>IF(BO1203=1,IF(AA1203&lt;=0,0,BP1203*MAX(1,IF(G1203&gt;0,AA1203/G1203,1))),AB1203*Q1203)</f>
        <v/>
      </c>
      <c r="AD1203" s="55">
        <f>AA1203*F1203</f>
        <v/>
      </c>
      <c r="AE1203" s="55">
        <f>ROUNDUP(MAX(I1203/IF(BS1203&gt;0,BS1203,MAX(0.1,N(Cockpit!$C$6))),BV1203)/BN1203,0)*BN1203</f>
        <v/>
      </c>
      <c r="AF1203" s="56">
        <f>IF(AC1203&gt;0,I1203/AC1203,-1)</f>
        <v/>
      </c>
      <c r="AG1203" s="56">
        <f>IF(AND(OR(BR1203="L1",BR1203="L23"),AC1203&gt;0),SUMIFS($AC$7:$AC$1570,$BR$7:$BR$1570,BR1203,$AF$7:$AF$1570,"&gt;"&amp;AF1203)+SUMIFS($AC$7:$AC$1570,$BR$7:$BR$1570,BR1203,$AF$7:$AF$1570,AF1203,$BL$7:$BL$1570,"&lt;="&amp;BL1203),"")</f>
        <v/>
      </c>
      <c r="AH1203" s="65">
        <f>IF(AG1203="",0,MAX(0,MIN(1,(IF(BR1203="L1",Parameter!$K$5,Parameter!$K$6+Parameter!$K$7)-(AG1203-AC1203))/AC1203)))</f>
        <v/>
      </c>
      <c r="AI1203" s="55">
        <f>IF(LEFT(Cockpit!$I$5,1)="A",G1203,IF(BT1203=1,BU1203,IF(LEFT(Cockpit!$I$5,1)="B",AM1203,MAX(AM1203,G1203))))</f>
        <v/>
      </c>
      <c r="AJ1203" s="55">
        <f>IF(BO1203=1,0,ROUNDUP(AI1203/BN1203,0))</f>
        <v/>
      </c>
      <c r="AK1203" s="64">
        <f>IF(BO1203=1,IF(AI1203&lt;=0,0,BP1203*MAX(1,IF(G1203&gt;0,AI1203/G1203,1))),AJ1203*Q1203)</f>
        <v/>
      </c>
      <c r="AL1203" s="55">
        <f>AI1203*F1203</f>
        <v/>
      </c>
      <c r="AM1203" s="55">
        <f>ROUNDUP(MAX(I1203/IF(BS1203&gt;0,BS1203,MAX(0.1,N(Cockpit!$I$6))),BV1203)/BN1203,0)*BN1203</f>
        <v/>
      </c>
      <c r="AN1203" s="56">
        <f>IF(AK1203&gt;0,I1203/AK1203,-1)</f>
        <v/>
      </c>
      <c r="AO1203" s="56">
        <f>IF(AND(OR(BR1203="L1",BR1203="L23"),AK1203&gt;0),SUMIFS($AK$7:$AK$1570,$BR$7:$BR$1570,BR1203,$AN$7:$AN$1570,"&gt;"&amp;AN1203)+SUMIFS($AK$7:$AK$1570,$BR$7:$BR$1570,BR1203,$AN$7:$AN$1570,AN1203,$BL$7:$BL$1570,"&lt;="&amp;BL1203),"")</f>
        <v/>
      </c>
      <c r="AP1203" s="65">
        <f>IF(AO1203="",0,MAX(0,MIN(1,(IF(BR1203="L1",Parameter!$K$5,Parameter!$K$6+Parameter!$K$7)-(AO1203-AK1203))/AK1203)))</f>
        <v/>
      </c>
      <c r="AQ1203" s="55">
        <f>IF(LEFT(Cockpit!$O$5,1)="A",G1203,IF(BT1203=1,BU1203,IF(LEFT(Cockpit!$O$5,1)="B",AU1203,MAX(AU1203,G1203))))</f>
        <v/>
      </c>
      <c r="AR1203" s="55">
        <f>IF(BO1203=1,0,ROUNDUP(AQ1203/BN1203,0))</f>
        <v/>
      </c>
      <c r="AS1203" s="64">
        <f>IF(BO1203=1,IF(AQ1203&lt;=0,0,BP1203*MAX(1,IF(G1203&gt;0,AQ1203/G1203,1))),AR1203*Q1203)</f>
        <v/>
      </c>
      <c r="AT1203" s="55">
        <f>AQ1203*F1203</f>
        <v/>
      </c>
      <c r="AU1203" s="55">
        <f>ROUNDUP(MAX(I1203/IF(BS1203&gt;0,BS1203,MAX(0.1,N(Cockpit!$O$6))),BV1203)/BN1203,0)*BN1203</f>
        <v/>
      </c>
      <c r="AV1203" s="56">
        <f>IF(AS1203&gt;0,I1203/AS1203,-1)</f>
        <v/>
      </c>
      <c r="AW1203" s="56">
        <f>IF(AND(OR(BR1203="L1",BR1203="L23"),AS1203&gt;0),SUMIFS($AS$7:$AS$1570,$BR$7:$BR$1570,BR1203,$AV$7:$AV$1570,"&gt;"&amp;AV1203)+SUMIFS($AS$7:$AS$1570,$BR$7:$BR$1570,BR1203,$AV$7:$AV$1570,AV1203,$BL$7:$BL$1570,"&lt;="&amp;BL1203),"")</f>
        <v/>
      </c>
      <c r="AX1203" s="65">
        <f>IF(AW1203="",0,MAX(0,MIN(1,(IF(BR1203="L1",Parameter!$K$5,Parameter!$K$6+Parameter!$K$7)-(AW1203-AS1203))/AS1203)))</f>
        <v/>
      </c>
      <c r="AY1203" s="53">
        <f>IF(AC1203&lt;=0,"",IF(BR1203="Aussen","Aussenlager",IF(BR1203="-","Nicht im Lift",IF(AH1203&gt;=1,"Lift",IF(AH1203&lt;=0,"Aussenlager","teilweise")))))</f>
        <v/>
      </c>
      <c r="AZ1203" s="53">
        <f>IF(AK1203&lt;=0,"",IF(BR1203="Aussen","Aussenlager",IF(BR1203="-","Nicht im Lift",IF(AP1203&gt;=1,"Lift",IF(AP1203&lt;=0,"Aussenlager","teilweise")))))</f>
        <v/>
      </c>
      <c r="BA1203" s="53">
        <f>IF(AS1203&lt;=0,"",IF(BR1203="Aussen","Aussenlager",IF(BR1203="-","Nicht im Lift",IF(AX1203&gt;=1,"Lift",IF(AX1203&lt;=0,"Aussenlager","teilweise")))))</f>
        <v/>
      </c>
      <c r="BB1203" s="53">
        <f>IF(A1203="","",IF(BK1203=1,"Neu; ","")&amp;IF(AND(BK1203=0,BF1203&lt;0),"negativer Bestand (Export "&amp;BF1203&amp;"); ","")&amp;IF(I1203&lt;=0,"Kein Verbrauch; ","")&amp;IF(BO1203=1,"Lose – Fläche geschätzt; ","")&amp;IF(G1203&gt;AM1203,"Überbestand "&amp;ROUND(G1203-AM1203,0)&amp;" Stk / CHF "&amp;ROUND((G1203-AM1203)*F1203,0)&amp;"; ","")&amp;IF(AND(BT1203=1,BU1203&lt;BV1203),"MAX &lt; MB+LG; ","")&amp;IF(AND(BZ1203&gt;0,BY1203*10&gt;BZ1203),"zu hoch für Tablar; ","")&amp;IF(AND(BK1203=0,OR(BT1203=1,V1203&lt;&gt;"",S1203&lt;&gt;"",T1203&lt;&gt;"",W1203&lt;&gt;"")),"manuell übersteuert; ","")&amp;IF(AND(BO1203=0,Q1203=0),"Gebinde unbekannt; ","")&amp;IF(AND(BO1203=0,N(T1203)&lt;=0,N(P1203)&lt;=0),"Menge pro Gebinde fehlt (Ist = 1 Gebinde); ","")&amp;BJ1203)</f>
        <v/>
      </c>
      <c r="BC1203" s="53" t="n"/>
      <c r="BD1203" s="53" t="n"/>
      <c r="BE1203" s="61" t="n"/>
      <c r="BF1203" s="55" t="n">
        <v>-30</v>
      </c>
      <c r="BG1203" s="55" t="n">
        <v>30</v>
      </c>
      <c r="BH1203" s="54" t="n">
        <v>-498.6</v>
      </c>
      <c r="BI1203" s="55" t="n">
        <v>0</v>
      </c>
      <c r="BJ1203" s="53" t="inlineStr"/>
      <c r="BK1203" s="58" t="n">
        <v>0</v>
      </c>
      <c r="BL1203" s="58" t="n">
        <v>1203</v>
      </c>
      <c r="BM1203" s="53">
        <f>IF(S1203&lt;&gt;"",UPPER(TRIM(S1203)),IF(O1203="","LOSE",O1203))</f>
        <v/>
      </c>
      <c r="BN1203" s="55">
        <f>IF(BM1203="LOSE",1,IF(N(T1203)&gt;0,T1203,IF(N(P1203)&gt;0,P1203,MAX(1,G1203))))</f>
        <v/>
      </c>
      <c r="BO1203" s="58">
        <f>IF(BM1203="LOSE",1,0)</f>
        <v/>
      </c>
      <c r="BP1203" s="64">
        <f>IF(BO1203=0,0,IF(N(R1203)&gt;0,R1203,IFERROR(VLOOKUP(D1203,Parameter!$A$35:$C$64,3,0)+0,0)))</f>
        <v/>
      </c>
      <c r="BQ1203" s="53">
        <f>IF(V1203&lt;&gt;"",V1203,U1203)</f>
        <v/>
      </c>
      <c r="BR1203" s="53">
        <f>IF(BQ1203=1,"L1",IF(OR(BQ1203=2,BQ1203=3),"L23",IF(BQ1203="Aussen","Aussen","-")))</f>
        <v/>
      </c>
      <c r="BS1203" s="66">
        <f>IF(N(W1203)&gt;0,W1203,0)</f>
        <v/>
      </c>
      <c r="BT1203" s="58">
        <f>IF(ISNUMBER(Z1203),1,0)</f>
        <v/>
      </c>
      <c r="BU1203" s="55">
        <f>N(Z1203)</f>
        <v/>
      </c>
      <c r="BV1203" s="55">
        <f>N(L1203)+N(M1203)</f>
        <v/>
      </c>
      <c r="BW1203" s="55">
        <f>ROUNDUP(G1203/BN1203,0)</f>
        <v/>
      </c>
      <c r="BX1203" s="55">
        <f>ROUNDUP(BU1203/BN1203,0)</f>
        <v/>
      </c>
      <c r="BY1203" s="58">
        <f>IF(BO1203=1,0,IFERROR(VLOOKUP(BM1203,'Gebinde-Kategorie'!$A$5:$G$45,5,0)+0,0))</f>
        <v/>
      </c>
      <c r="BZ1203" s="58">
        <f>IFERROR(IF(OR(BQ1203=1,BQ1203=2,BQ1203=3),N(INDEX(Parameter!$I$5:$I$7,BQ1203)),0),0)</f>
        <v/>
      </c>
    </row>
    <row r="1204">
      <c r="A1204" s="53" t="inlineStr">
        <is>
          <t>103606</t>
        </is>
      </c>
      <c r="B1204" s="53" t="inlineStr">
        <is>
          <t>Hochdruck-Ganzmetallschlauch</t>
        </is>
      </c>
      <c r="C1204" s="53" t="inlineStr">
        <is>
          <t>F</t>
        </is>
      </c>
      <c r="D1204" s="53" t="inlineStr">
        <is>
          <t>PAL</t>
        </is>
      </c>
      <c r="E1204" s="53" t="inlineStr">
        <is>
          <t>C</t>
        </is>
      </c>
      <c r="F1204" s="54" t="n">
        <v>380.7</v>
      </c>
      <c r="G1204" s="55">
        <f>MAX(0,IF(Parameter!$B$20="Jahresanfang 2025 + Export",BG1204+BF1204,BF1204))</f>
        <v/>
      </c>
      <c r="H1204" s="55">
        <f>G1204*F1204</f>
        <v/>
      </c>
      <c r="I1204" s="55">
        <f>BI1204*Parameter!$B$18</f>
        <v/>
      </c>
      <c r="J1204" s="56" t="n">
        <v>3.5</v>
      </c>
      <c r="K1204" s="57" t="n">
        <v>0</v>
      </c>
      <c r="L1204" s="55" t="n">
        <v>0</v>
      </c>
      <c r="M1204" s="55" t="n">
        <v>1</v>
      </c>
      <c r="N1204" s="58" t="n">
        <v>28</v>
      </c>
      <c r="O1204" s="53" t="inlineStr">
        <is>
          <t>LOSE</t>
        </is>
      </c>
      <c r="P1204" s="55" t="n"/>
      <c r="Q1204" s="59">
        <f>IF(BO1204=1,0,IFERROR(VLOOKUP(BM1204,'Gebinde-Kategorie'!$A$5:$G$45,6,0)+0,0))</f>
        <v/>
      </c>
      <c r="R1204" s="60" t="n"/>
      <c r="S1204" s="61" t="n"/>
      <c r="T1204" s="61" t="n"/>
      <c r="U1204" s="53">
        <f>IF(A1204="","",IF(IFERROR(VLOOKUP(D1204,Parameter!$A$35:$C$64,2,0),"Nein")="2+3",IF(ISNUMBER(SEARCH("grosser Artikel",BJ1204)),2,IFERROR(VLOOKUP(BM1204,Parameter!$F$35:$G$64,2,0),2)),IF(OR(IFERROR(VLOOKUP(D1204,Parameter!$A$35:$C$64,2,0),"Nein")="Nein",IFERROR(VLOOKUP(D1204,Parameter!$A$35:$C$64,2,0),"Nein")=""),"-",VLOOKUP(D1204,Parameter!$A$35:$C$64,2,0))))</f>
        <v/>
      </c>
      <c r="V1204" s="61" t="n"/>
      <c r="W1204" s="62" t="n"/>
      <c r="X1204" s="55">
        <f>AM1204</f>
        <v/>
      </c>
      <c r="Y1204" s="55">
        <f>MAX(AM1204,G1204)</f>
        <v/>
      </c>
      <c r="Z1204" s="63" t="n"/>
      <c r="AA1204" s="55">
        <f>IF(LEFT(Cockpit!$C$5,1)="A",G1204,IF(BT1204=1,BU1204,IF(LEFT(Cockpit!$C$5,1)="B",AE1204,MAX(AE1204,G1204))))</f>
        <v/>
      </c>
      <c r="AB1204" s="55">
        <f>IF(BO1204=1,0,ROUNDUP(AA1204/BN1204,0))</f>
        <v/>
      </c>
      <c r="AC1204" s="64">
        <f>IF(BO1204=1,IF(AA1204&lt;=0,0,BP1204*MAX(1,IF(G1204&gt;0,AA1204/G1204,1))),AB1204*Q1204)</f>
        <v/>
      </c>
      <c r="AD1204" s="55">
        <f>AA1204*F1204</f>
        <v/>
      </c>
      <c r="AE1204" s="55">
        <f>ROUNDUP(MAX(I1204/IF(BS1204&gt;0,BS1204,MAX(0.1,N(Cockpit!$C$6))),BV1204)/BN1204,0)*BN1204</f>
        <v/>
      </c>
      <c r="AF1204" s="56">
        <f>IF(AC1204&gt;0,I1204/AC1204,-1)</f>
        <v/>
      </c>
      <c r="AG1204" s="56">
        <f>IF(AND(OR(BR1204="L1",BR1204="L23"),AC1204&gt;0),SUMIFS($AC$7:$AC$1570,$BR$7:$BR$1570,BR1204,$AF$7:$AF$1570,"&gt;"&amp;AF1204)+SUMIFS($AC$7:$AC$1570,$BR$7:$BR$1570,BR1204,$AF$7:$AF$1570,AF1204,$BL$7:$BL$1570,"&lt;="&amp;BL1204),"")</f>
        <v/>
      </c>
      <c r="AH1204" s="65">
        <f>IF(AG1204="",0,MAX(0,MIN(1,(IF(BR1204="L1",Parameter!$K$5,Parameter!$K$6+Parameter!$K$7)-(AG1204-AC1204))/AC1204)))</f>
        <v/>
      </c>
      <c r="AI1204" s="55">
        <f>IF(LEFT(Cockpit!$I$5,1)="A",G1204,IF(BT1204=1,BU1204,IF(LEFT(Cockpit!$I$5,1)="B",AM1204,MAX(AM1204,G1204))))</f>
        <v/>
      </c>
      <c r="AJ1204" s="55">
        <f>IF(BO1204=1,0,ROUNDUP(AI1204/BN1204,0))</f>
        <v/>
      </c>
      <c r="AK1204" s="64">
        <f>IF(BO1204=1,IF(AI1204&lt;=0,0,BP1204*MAX(1,IF(G1204&gt;0,AI1204/G1204,1))),AJ1204*Q1204)</f>
        <v/>
      </c>
      <c r="AL1204" s="55">
        <f>AI1204*F1204</f>
        <v/>
      </c>
      <c r="AM1204" s="55">
        <f>ROUNDUP(MAX(I1204/IF(BS1204&gt;0,BS1204,MAX(0.1,N(Cockpit!$I$6))),BV1204)/BN1204,0)*BN1204</f>
        <v/>
      </c>
      <c r="AN1204" s="56">
        <f>IF(AK1204&gt;0,I1204/AK1204,-1)</f>
        <v/>
      </c>
      <c r="AO1204" s="56">
        <f>IF(AND(OR(BR1204="L1",BR1204="L23"),AK1204&gt;0),SUMIFS($AK$7:$AK$1570,$BR$7:$BR$1570,BR1204,$AN$7:$AN$1570,"&gt;"&amp;AN1204)+SUMIFS($AK$7:$AK$1570,$BR$7:$BR$1570,BR1204,$AN$7:$AN$1570,AN1204,$BL$7:$BL$1570,"&lt;="&amp;BL1204),"")</f>
        <v/>
      </c>
      <c r="AP1204" s="65">
        <f>IF(AO1204="",0,MAX(0,MIN(1,(IF(BR1204="L1",Parameter!$K$5,Parameter!$K$6+Parameter!$K$7)-(AO1204-AK1204))/AK1204)))</f>
        <v/>
      </c>
      <c r="AQ1204" s="55">
        <f>IF(LEFT(Cockpit!$O$5,1)="A",G1204,IF(BT1204=1,BU1204,IF(LEFT(Cockpit!$O$5,1)="B",AU1204,MAX(AU1204,G1204))))</f>
        <v/>
      </c>
      <c r="AR1204" s="55">
        <f>IF(BO1204=1,0,ROUNDUP(AQ1204/BN1204,0))</f>
        <v/>
      </c>
      <c r="AS1204" s="64">
        <f>IF(BO1204=1,IF(AQ1204&lt;=0,0,BP1204*MAX(1,IF(G1204&gt;0,AQ1204/G1204,1))),AR1204*Q1204)</f>
        <v/>
      </c>
      <c r="AT1204" s="55">
        <f>AQ1204*F1204</f>
        <v/>
      </c>
      <c r="AU1204" s="55">
        <f>ROUNDUP(MAX(I1204/IF(BS1204&gt;0,BS1204,MAX(0.1,N(Cockpit!$O$6))),BV1204)/BN1204,0)*BN1204</f>
        <v/>
      </c>
      <c r="AV1204" s="56">
        <f>IF(AS1204&gt;0,I1204/AS1204,-1)</f>
        <v/>
      </c>
      <c r="AW1204" s="56">
        <f>IF(AND(OR(BR1204="L1",BR1204="L23"),AS1204&gt;0),SUMIFS($AS$7:$AS$1570,$BR$7:$BR$1570,BR1204,$AV$7:$AV$1570,"&gt;"&amp;AV1204)+SUMIFS($AS$7:$AS$1570,$BR$7:$BR$1570,BR1204,$AV$7:$AV$1570,AV1204,$BL$7:$BL$1570,"&lt;="&amp;BL1204),"")</f>
        <v/>
      </c>
      <c r="AX1204" s="65">
        <f>IF(AW1204="",0,MAX(0,MIN(1,(IF(BR1204="L1",Parameter!$K$5,Parameter!$K$6+Parameter!$K$7)-(AW1204-AS1204))/AS1204)))</f>
        <v/>
      </c>
      <c r="AY1204" s="53">
        <f>IF(AC1204&lt;=0,"",IF(BR1204="Aussen","Aussenlager",IF(BR1204="-","Nicht im Lift",IF(AH1204&gt;=1,"Lift",IF(AH1204&lt;=0,"Aussenlager","teilweise")))))</f>
        <v/>
      </c>
      <c r="AZ1204" s="53">
        <f>IF(AK1204&lt;=0,"",IF(BR1204="Aussen","Aussenlager",IF(BR1204="-","Nicht im Lift",IF(AP1204&gt;=1,"Lift",IF(AP1204&lt;=0,"Aussenlager","teilweise")))))</f>
        <v/>
      </c>
      <c r="BA1204" s="53">
        <f>IF(AS1204&lt;=0,"",IF(BR1204="Aussen","Aussenlager",IF(BR1204="-","Nicht im Lift",IF(AX1204&gt;=1,"Lift",IF(AX1204&lt;=0,"Aussenlager","teilweise")))))</f>
        <v/>
      </c>
      <c r="BB1204" s="53">
        <f>IF(A1204="","",IF(BK1204=1,"Neu; ","")&amp;IF(AND(BK1204=0,BF1204&lt;0),"negativer Bestand (Export "&amp;BF1204&amp;"); ","")&amp;IF(I1204&lt;=0,"Kein Verbrauch; ","")&amp;IF(BO1204=1,"Lose – Fläche geschätzt; ","")&amp;IF(G1204&gt;AM1204,"Überbestand "&amp;ROUND(G1204-AM1204,0)&amp;" Stk / CHF "&amp;ROUND((G1204-AM1204)*F1204,0)&amp;"; ","")&amp;IF(AND(BT1204=1,BU1204&lt;BV1204),"MAX &lt; MB+LG; ","")&amp;IF(AND(BZ1204&gt;0,BY1204*10&gt;BZ1204),"zu hoch für Tablar; ","")&amp;IF(AND(BK1204=0,OR(BT1204=1,V1204&lt;&gt;"",S1204&lt;&gt;"",T1204&lt;&gt;"",W1204&lt;&gt;"")),"manuell übersteuert; ","")&amp;IF(AND(BO1204=0,Q1204=0),"Gebinde unbekannt; ","")&amp;IF(AND(BO1204=0,N(T1204)&lt;=0,N(P1204)&lt;=0),"Menge pro Gebinde fehlt (Ist = 1 Gebinde); ","")&amp;BJ1204)</f>
        <v/>
      </c>
      <c r="BC1204" s="53" t="n"/>
      <c r="BD1204" s="53" t="n"/>
      <c r="BE1204" s="61" t="n"/>
      <c r="BF1204" s="55" t="n">
        <v>-2</v>
      </c>
      <c r="BG1204" s="55" t="n">
        <v>4</v>
      </c>
      <c r="BH1204" s="54" t="n">
        <v>-506.68</v>
      </c>
      <c r="BI1204" s="55" t="n">
        <v>0</v>
      </c>
      <c r="BJ1204" s="53" t="inlineStr">
        <is>
          <t>grosser Artikel &amp; nicht im KTL</t>
        </is>
      </c>
      <c r="BK1204" s="58" t="n">
        <v>0</v>
      </c>
      <c r="BL1204" s="58" t="n">
        <v>1204</v>
      </c>
      <c r="BM1204" s="53">
        <f>IF(S1204&lt;&gt;"",UPPER(TRIM(S1204)),IF(O1204="","LOSE",O1204))</f>
        <v/>
      </c>
      <c r="BN1204" s="55">
        <f>IF(BM1204="LOSE",1,IF(N(T1204)&gt;0,T1204,IF(N(P1204)&gt;0,P1204,MAX(1,G1204))))</f>
        <v/>
      </c>
      <c r="BO1204" s="58">
        <f>IF(BM1204="LOSE",1,0)</f>
        <v/>
      </c>
      <c r="BP1204" s="64">
        <f>IF(BO1204=0,0,IF(N(R1204)&gt;0,R1204,IFERROR(VLOOKUP(D1204,Parameter!$A$35:$C$64,3,0)+0,0)))</f>
        <v/>
      </c>
      <c r="BQ1204" s="53">
        <f>IF(V1204&lt;&gt;"",V1204,U1204)</f>
        <v/>
      </c>
      <c r="BR1204" s="53">
        <f>IF(BQ1204=1,"L1",IF(OR(BQ1204=2,BQ1204=3),"L23",IF(BQ1204="Aussen","Aussen","-")))</f>
        <v/>
      </c>
      <c r="BS1204" s="66">
        <f>IF(N(W1204)&gt;0,W1204,0)</f>
        <v/>
      </c>
      <c r="BT1204" s="58">
        <f>IF(ISNUMBER(Z1204),1,0)</f>
        <v/>
      </c>
      <c r="BU1204" s="55">
        <f>N(Z1204)</f>
        <v/>
      </c>
      <c r="BV1204" s="55">
        <f>N(L1204)+N(M1204)</f>
        <v/>
      </c>
      <c r="BW1204" s="55">
        <f>ROUNDUP(G1204/BN1204,0)</f>
        <v/>
      </c>
      <c r="BX1204" s="55">
        <f>ROUNDUP(BU1204/BN1204,0)</f>
        <v/>
      </c>
      <c r="BY1204" s="58">
        <f>IF(BO1204=1,0,IFERROR(VLOOKUP(BM1204,'Gebinde-Kategorie'!$A$5:$G$45,5,0)+0,0))</f>
        <v/>
      </c>
      <c r="BZ1204" s="58">
        <f>IFERROR(IF(OR(BQ1204=1,BQ1204=2,BQ1204=3),N(INDEX(Parameter!$I$5:$I$7,BQ1204)),0),0)</f>
        <v/>
      </c>
    </row>
    <row r="1205">
      <c r="A1205" s="53" t="inlineStr">
        <is>
          <t>107135</t>
        </is>
      </c>
      <c r="B1205" s="53" t="inlineStr">
        <is>
          <t>Führungsstange</t>
        </is>
      </c>
      <c r="C1205" s="53" t="inlineStr">
        <is>
          <t>F</t>
        </is>
      </c>
      <c r="D1205" s="53" t="inlineStr">
        <is>
          <t>PAL</t>
        </is>
      </c>
      <c r="E1205" s="53" t="inlineStr">
        <is>
          <t>C</t>
        </is>
      </c>
      <c r="F1205" s="54" t="n">
        <v>65.23</v>
      </c>
      <c r="G1205" s="55">
        <f>MAX(0,IF(Parameter!$B$20="Jahresanfang 2025 + Export",BG1205+BF1205,BF1205))</f>
        <v/>
      </c>
      <c r="H1205" s="55">
        <f>G1205*F1205</f>
        <v/>
      </c>
      <c r="I1205" s="55">
        <f>BI1205*Parameter!$B$18</f>
        <v/>
      </c>
      <c r="J1205" s="56" t="n">
        <v>103</v>
      </c>
      <c r="K1205" s="57" t="n">
        <v>1.883495145631068</v>
      </c>
      <c r="L1205" s="55" t="n">
        <v>11</v>
      </c>
      <c r="M1205" s="55" t="n">
        <v>100</v>
      </c>
      <c r="N1205" s="58" t="n">
        <v>21</v>
      </c>
      <c r="O1205" s="53" t="inlineStr">
        <is>
          <t>S71</t>
        </is>
      </c>
      <c r="P1205" s="55" t="n">
        <v>140</v>
      </c>
      <c r="Q1205" s="59">
        <f>IF(BO1205=1,0,IFERROR(VLOOKUP(BM1205,'Gebinde-Kategorie'!$A$5:$G$45,6,0)+0,0))</f>
        <v/>
      </c>
      <c r="R1205" s="60" t="n"/>
      <c r="S1205" s="61" t="n"/>
      <c r="T1205" s="61" t="n"/>
      <c r="U1205" s="53">
        <f>IF(A1205="","",IF(IFERROR(VLOOKUP(D1205,Parameter!$A$35:$C$64,2,0),"Nein")="2+3",IF(ISNUMBER(SEARCH("grosser Artikel",BJ1205)),2,IFERROR(VLOOKUP(BM1205,Parameter!$F$35:$G$64,2,0),2)),IF(OR(IFERROR(VLOOKUP(D1205,Parameter!$A$35:$C$64,2,0),"Nein")="Nein",IFERROR(VLOOKUP(D1205,Parameter!$A$35:$C$64,2,0),"Nein")=""),"-",VLOOKUP(D1205,Parameter!$A$35:$C$64,2,0))))</f>
        <v/>
      </c>
      <c r="V1205" s="61" t="n"/>
      <c r="W1205" s="62" t="n"/>
      <c r="X1205" s="55">
        <f>AM1205</f>
        <v/>
      </c>
      <c r="Y1205" s="55">
        <f>MAX(AM1205,G1205)</f>
        <v/>
      </c>
      <c r="Z1205" s="63" t="n"/>
      <c r="AA1205" s="55">
        <f>IF(LEFT(Cockpit!$C$5,1)="A",G1205,IF(BT1205=1,BU1205,IF(LEFT(Cockpit!$C$5,1)="B",AE1205,MAX(AE1205,G1205))))</f>
        <v/>
      </c>
      <c r="AB1205" s="55">
        <f>IF(BO1205=1,0,ROUNDUP(AA1205/BN1205,0))</f>
        <v/>
      </c>
      <c r="AC1205" s="64">
        <f>IF(BO1205=1,IF(AA1205&lt;=0,0,BP1205*MAX(1,IF(G1205&gt;0,AA1205/G1205,1))),AB1205*Q1205)</f>
        <v/>
      </c>
      <c r="AD1205" s="55">
        <f>AA1205*F1205</f>
        <v/>
      </c>
      <c r="AE1205" s="55">
        <f>ROUNDUP(MAX(I1205/IF(BS1205&gt;0,BS1205,MAX(0.1,N(Cockpit!$C$6))),BV1205)/BN1205,0)*BN1205</f>
        <v/>
      </c>
      <c r="AF1205" s="56">
        <f>IF(AC1205&gt;0,I1205/AC1205,-1)</f>
        <v/>
      </c>
      <c r="AG1205" s="56">
        <f>IF(AND(OR(BR1205="L1",BR1205="L23"),AC1205&gt;0),SUMIFS($AC$7:$AC$1570,$BR$7:$BR$1570,BR1205,$AF$7:$AF$1570,"&gt;"&amp;AF1205)+SUMIFS($AC$7:$AC$1570,$BR$7:$BR$1570,BR1205,$AF$7:$AF$1570,AF1205,$BL$7:$BL$1570,"&lt;="&amp;BL1205),"")</f>
        <v/>
      </c>
      <c r="AH1205" s="65">
        <f>IF(AG1205="",0,MAX(0,MIN(1,(IF(BR1205="L1",Parameter!$K$5,Parameter!$K$6+Parameter!$K$7)-(AG1205-AC1205))/AC1205)))</f>
        <v/>
      </c>
      <c r="AI1205" s="55">
        <f>IF(LEFT(Cockpit!$I$5,1)="A",G1205,IF(BT1205=1,BU1205,IF(LEFT(Cockpit!$I$5,1)="B",AM1205,MAX(AM1205,G1205))))</f>
        <v/>
      </c>
      <c r="AJ1205" s="55">
        <f>IF(BO1205=1,0,ROUNDUP(AI1205/BN1205,0))</f>
        <v/>
      </c>
      <c r="AK1205" s="64">
        <f>IF(BO1205=1,IF(AI1205&lt;=0,0,BP1205*MAX(1,IF(G1205&gt;0,AI1205/G1205,1))),AJ1205*Q1205)</f>
        <v/>
      </c>
      <c r="AL1205" s="55">
        <f>AI1205*F1205</f>
        <v/>
      </c>
      <c r="AM1205" s="55">
        <f>ROUNDUP(MAX(I1205/IF(BS1205&gt;0,BS1205,MAX(0.1,N(Cockpit!$I$6))),BV1205)/BN1205,0)*BN1205</f>
        <v/>
      </c>
      <c r="AN1205" s="56">
        <f>IF(AK1205&gt;0,I1205/AK1205,-1)</f>
        <v/>
      </c>
      <c r="AO1205" s="56">
        <f>IF(AND(OR(BR1205="L1",BR1205="L23"),AK1205&gt;0),SUMIFS($AK$7:$AK$1570,$BR$7:$BR$1570,BR1205,$AN$7:$AN$1570,"&gt;"&amp;AN1205)+SUMIFS($AK$7:$AK$1570,$BR$7:$BR$1570,BR1205,$AN$7:$AN$1570,AN1205,$BL$7:$BL$1570,"&lt;="&amp;BL1205),"")</f>
        <v/>
      </c>
      <c r="AP1205" s="65">
        <f>IF(AO1205="",0,MAX(0,MIN(1,(IF(BR1205="L1",Parameter!$K$5,Parameter!$K$6+Parameter!$K$7)-(AO1205-AK1205))/AK1205)))</f>
        <v/>
      </c>
      <c r="AQ1205" s="55">
        <f>IF(LEFT(Cockpit!$O$5,1)="A",G1205,IF(BT1205=1,BU1205,IF(LEFT(Cockpit!$O$5,1)="B",AU1205,MAX(AU1205,G1205))))</f>
        <v/>
      </c>
      <c r="AR1205" s="55">
        <f>IF(BO1205=1,0,ROUNDUP(AQ1205/BN1205,0))</f>
        <v/>
      </c>
      <c r="AS1205" s="64">
        <f>IF(BO1205=1,IF(AQ1205&lt;=0,0,BP1205*MAX(1,IF(G1205&gt;0,AQ1205/G1205,1))),AR1205*Q1205)</f>
        <v/>
      </c>
      <c r="AT1205" s="55">
        <f>AQ1205*F1205</f>
        <v/>
      </c>
      <c r="AU1205" s="55">
        <f>ROUNDUP(MAX(I1205/IF(BS1205&gt;0,BS1205,MAX(0.1,N(Cockpit!$O$6))),BV1205)/BN1205,0)*BN1205</f>
        <v/>
      </c>
      <c r="AV1205" s="56">
        <f>IF(AS1205&gt;0,I1205/AS1205,-1)</f>
        <v/>
      </c>
      <c r="AW1205" s="56">
        <f>IF(AND(OR(BR1205="L1",BR1205="L23"),AS1205&gt;0),SUMIFS($AS$7:$AS$1570,$BR$7:$BR$1570,BR1205,$AV$7:$AV$1570,"&gt;"&amp;AV1205)+SUMIFS($AS$7:$AS$1570,$BR$7:$BR$1570,BR1205,$AV$7:$AV$1570,AV1205,$BL$7:$BL$1570,"&lt;="&amp;BL1205),"")</f>
        <v/>
      </c>
      <c r="AX1205" s="65">
        <f>IF(AW1205="",0,MAX(0,MIN(1,(IF(BR1205="L1",Parameter!$K$5,Parameter!$K$6+Parameter!$K$7)-(AW1205-AS1205))/AS1205)))</f>
        <v/>
      </c>
      <c r="AY1205" s="53">
        <f>IF(AC1205&lt;=0,"",IF(BR1205="Aussen","Aussenlager",IF(BR1205="-","Nicht im Lift",IF(AH1205&gt;=1,"Lift",IF(AH1205&lt;=0,"Aussenlager","teilweise")))))</f>
        <v/>
      </c>
      <c r="AZ1205" s="53">
        <f>IF(AK1205&lt;=0,"",IF(BR1205="Aussen","Aussenlager",IF(BR1205="-","Nicht im Lift",IF(AP1205&gt;=1,"Lift",IF(AP1205&lt;=0,"Aussenlager","teilweise")))))</f>
        <v/>
      </c>
      <c r="BA1205" s="53">
        <f>IF(AS1205&lt;=0,"",IF(BR1205="Aussen","Aussenlager",IF(BR1205="-","Nicht im Lift",IF(AX1205&gt;=1,"Lift",IF(AX1205&lt;=0,"Aussenlager","teilweise")))))</f>
        <v/>
      </c>
      <c r="BB1205" s="53">
        <f>IF(A1205="","",IF(BK1205=1,"Neu; ","")&amp;IF(AND(BK1205=0,BF1205&lt;0),"negativer Bestand (Export "&amp;BF1205&amp;"); ","")&amp;IF(I1205&lt;=0,"Kein Verbrauch; ","")&amp;IF(BO1205=1,"Lose – Fläche geschätzt; ","")&amp;IF(G1205&gt;AM1205,"Überbestand "&amp;ROUND(G1205-AM1205,0)&amp;" Stk / CHF "&amp;ROUND((G1205-AM1205)*F1205,0)&amp;"; ","")&amp;IF(AND(BT1205=1,BU1205&lt;BV1205),"MAX &lt; MB+LG; ","")&amp;IF(AND(BZ1205&gt;0,BY1205*10&gt;BZ1205),"zu hoch für Tablar; ","")&amp;IF(AND(BK1205=0,OR(BT1205=1,V1205&lt;&gt;"",S1205&lt;&gt;"",T1205&lt;&gt;"",W1205&lt;&gt;"")),"manuell übersteuert; ","")&amp;IF(AND(BO1205=0,Q1205=0),"Gebinde unbekannt; ","")&amp;IF(AND(BO1205=0,N(T1205)&lt;=0,N(P1205)&lt;=0),"Menge pro Gebinde fehlt (Ist = 1 Gebinde); ","")&amp;BJ1205)</f>
        <v/>
      </c>
      <c r="BC1205" s="53" t="n"/>
      <c r="BD1205" s="53" t="n"/>
      <c r="BE1205" s="61" t="n"/>
      <c r="BF1205" s="55" t="n">
        <v>6</v>
      </c>
      <c r="BG1205" s="55" t="n">
        <v>50</v>
      </c>
      <c r="BH1205" s="54" t="n">
        <v>-513.1199999999972</v>
      </c>
      <c r="BI1205" s="55" t="n">
        <v>194</v>
      </c>
      <c r="BJ1205" s="53" t="inlineStr">
        <is>
          <t>grosser Artikel &amp; nicht im KTL</t>
        </is>
      </c>
      <c r="BK1205" s="58" t="n">
        <v>0</v>
      </c>
      <c r="BL1205" s="58" t="n">
        <v>1205</v>
      </c>
      <c r="BM1205" s="53">
        <f>IF(S1205&lt;&gt;"",UPPER(TRIM(S1205)),IF(O1205="","LOSE",O1205))</f>
        <v/>
      </c>
      <c r="BN1205" s="55">
        <f>IF(BM1205="LOSE",1,IF(N(T1205)&gt;0,T1205,IF(N(P1205)&gt;0,P1205,MAX(1,G1205))))</f>
        <v/>
      </c>
      <c r="BO1205" s="58">
        <f>IF(BM1205="LOSE",1,0)</f>
        <v/>
      </c>
      <c r="BP1205" s="64">
        <f>IF(BO1205=0,0,IF(N(R1205)&gt;0,R1205,IFERROR(VLOOKUP(D1205,Parameter!$A$35:$C$64,3,0)+0,0)))</f>
        <v/>
      </c>
      <c r="BQ1205" s="53">
        <f>IF(V1205&lt;&gt;"",V1205,U1205)</f>
        <v/>
      </c>
      <c r="BR1205" s="53">
        <f>IF(BQ1205=1,"L1",IF(OR(BQ1205=2,BQ1205=3),"L23",IF(BQ1205="Aussen","Aussen","-")))</f>
        <v/>
      </c>
      <c r="BS1205" s="66">
        <f>IF(N(W1205)&gt;0,W1205,0)</f>
        <v/>
      </c>
      <c r="BT1205" s="58">
        <f>IF(ISNUMBER(Z1205),1,0)</f>
        <v/>
      </c>
      <c r="BU1205" s="55">
        <f>N(Z1205)</f>
        <v/>
      </c>
      <c r="BV1205" s="55">
        <f>N(L1205)+N(M1205)</f>
        <v/>
      </c>
      <c r="BW1205" s="55">
        <f>ROUNDUP(G1205/BN1205,0)</f>
        <v/>
      </c>
      <c r="BX1205" s="55">
        <f>ROUNDUP(BU1205/BN1205,0)</f>
        <v/>
      </c>
      <c r="BY1205" s="58">
        <f>IF(BO1205=1,0,IFERROR(VLOOKUP(BM1205,'Gebinde-Kategorie'!$A$5:$G$45,5,0)+0,0))</f>
        <v/>
      </c>
      <c r="BZ1205" s="58">
        <f>IFERROR(IF(OR(BQ1205=1,BQ1205=2,BQ1205=3),N(INDEX(Parameter!$I$5:$I$7,BQ1205)),0),0)</f>
        <v/>
      </c>
    </row>
    <row r="1206">
      <c r="A1206" s="53" t="inlineStr">
        <is>
          <t>107298</t>
        </is>
      </c>
      <c r="B1206" s="53" t="inlineStr">
        <is>
          <t>Vorrichtung zu Ventilmontage</t>
        </is>
      </c>
      <c r="C1206" s="53" t="inlineStr">
        <is>
          <t>F</t>
        </is>
      </c>
      <c r="D1206" s="53" t="inlineStr">
        <is>
          <t>KTL</t>
        </is>
      </c>
      <c r="E1206" s="53" t="inlineStr">
        <is>
          <t>C</t>
        </is>
      </c>
      <c r="F1206" s="54" t="n">
        <v>508.45</v>
      </c>
      <c r="G1206" s="55">
        <f>MAX(0,IF(Parameter!$B$20="Jahresanfang 2025 + Export",BG1206+BF1206,BF1206))</f>
        <v/>
      </c>
      <c r="H1206" s="55">
        <f>G1206*F1206</f>
        <v/>
      </c>
      <c r="I1206" s="55">
        <f>BI1206*Parameter!$B$18</f>
        <v/>
      </c>
      <c r="J1206" s="56" t="n">
        <v>4.5</v>
      </c>
      <c r="K1206" s="57" t="n">
        <v>1.111111111111111</v>
      </c>
      <c r="L1206" s="55" t="n">
        <v>0</v>
      </c>
      <c r="M1206" s="55" t="n">
        <v>5</v>
      </c>
      <c r="N1206" s="58" t="n">
        <v>21</v>
      </c>
      <c r="O1206" s="53" t="inlineStr">
        <is>
          <t>S63</t>
        </is>
      </c>
      <c r="P1206" s="55" t="n">
        <v>8</v>
      </c>
      <c r="Q1206" s="59">
        <f>IF(BO1206=1,0,IFERROR(VLOOKUP(BM1206,'Gebinde-Kategorie'!$A$5:$G$45,6,0)+0,0))</f>
        <v/>
      </c>
      <c r="R1206" s="60" t="n"/>
      <c r="S1206" s="61" t="n"/>
      <c r="T1206" s="61" t="n"/>
      <c r="U1206" s="53">
        <f>IF(A1206="","",IF(IFERROR(VLOOKUP(D1206,Parameter!$A$35:$C$64,2,0),"Nein")="2+3",IF(ISNUMBER(SEARCH("grosser Artikel",BJ1206)),2,IFERROR(VLOOKUP(BM1206,Parameter!$F$35:$G$64,2,0),2)),IF(OR(IFERROR(VLOOKUP(D1206,Parameter!$A$35:$C$64,2,0),"Nein")="Nein",IFERROR(VLOOKUP(D1206,Parameter!$A$35:$C$64,2,0),"Nein")=""),"-",VLOOKUP(D1206,Parameter!$A$35:$C$64,2,0))))</f>
        <v/>
      </c>
      <c r="V1206" s="61" t="n"/>
      <c r="W1206" s="62" t="n"/>
      <c r="X1206" s="55">
        <f>AM1206</f>
        <v/>
      </c>
      <c r="Y1206" s="55">
        <f>MAX(AM1206,G1206)</f>
        <v/>
      </c>
      <c r="Z1206" s="63" t="n"/>
      <c r="AA1206" s="55">
        <f>IF(LEFT(Cockpit!$C$5,1)="A",G1206,IF(BT1206=1,BU1206,IF(LEFT(Cockpit!$C$5,1)="B",AE1206,MAX(AE1206,G1206))))</f>
        <v/>
      </c>
      <c r="AB1206" s="55">
        <f>IF(BO1206=1,0,ROUNDUP(AA1206/BN1206,0))</f>
        <v/>
      </c>
      <c r="AC1206" s="64">
        <f>IF(BO1206=1,IF(AA1206&lt;=0,0,BP1206*MAX(1,IF(G1206&gt;0,AA1206/G1206,1))),AB1206*Q1206)</f>
        <v/>
      </c>
      <c r="AD1206" s="55">
        <f>AA1206*F1206</f>
        <v/>
      </c>
      <c r="AE1206" s="55">
        <f>ROUNDUP(MAX(I1206/IF(BS1206&gt;0,BS1206,MAX(0.1,N(Cockpit!$C$6))),BV1206)/BN1206,0)*BN1206</f>
        <v/>
      </c>
      <c r="AF1206" s="56">
        <f>IF(AC1206&gt;0,I1206/AC1206,-1)</f>
        <v/>
      </c>
      <c r="AG1206" s="56">
        <f>IF(AND(OR(BR1206="L1",BR1206="L23"),AC1206&gt;0),SUMIFS($AC$7:$AC$1570,$BR$7:$BR$1570,BR1206,$AF$7:$AF$1570,"&gt;"&amp;AF1206)+SUMIFS($AC$7:$AC$1570,$BR$7:$BR$1570,BR1206,$AF$7:$AF$1570,AF1206,$BL$7:$BL$1570,"&lt;="&amp;BL1206),"")</f>
        <v/>
      </c>
      <c r="AH1206" s="65">
        <f>IF(AG1206="",0,MAX(0,MIN(1,(IF(BR1206="L1",Parameter!$K$5,Parameter!$K$6+Parameter!$K$7)-(AG1206-AC1206))/AC1206)))</f>
        <v/>
      </c>
      <c r="AI1206" s="55">
        <f>IF(LEFT(Cockpit!$I$5,1)="A",G1206,IF(BT1206=1,BU1206,IF(LEFT(Cockpit!$I$5,1)="B",AM1206,MAX(AM1206,G1206))))</f>
        <v/>
      </c>
      <c r="AJ1206" s="55">
        <f>IF(BO1206=1,0,ROUNDUP(AI1206/BN1206,0))</f>
        <v/>
      </c>
      <c r="AK1206" s="64">
        <f>IF(BO1206=1,IF(AI1206&lt;=0,0,BP1206*MAX(1,IF(G1206&gt;0,AI1206/G1206,1))),AJ1206*Q1206)</f>
        <v/>
      </c>
      <c r="AL1206" s="55">
        <f>AI1206*F1206</f>
        <v/>
      </c>
      <c r="AM1206" s="55">
        <f>ROUNDUP(MAX(I1206/IF(BS1206&gt;0,BS1206,MAX(0.1,N(Cockpit!$I$6))),BV1206)/BN1206,0)*BN1206</f>
        <v/>
      </c>
      <c r="AN1206" s="56">
        <f>IF(AK1206&gt;0,I1206/AK1206,-1)</f>
        <v/>
      </c>
      <c r="AO1206" s="56">
        <f>IF(AND(OR(BR1206="L1",BR1206="L23"),AK1206&gt;0),SUMIFS($AK$7:$AK$1570,$BR$7:$BR$1570,BR1206,$AN$7:$AN$1570,"&gt;"&amp;AN1206)+SUMIFS($AK$7:$AK$1570,$BR$7:$BR$1570,BR1206,$AN$7:$AN$1570,AN1206,$BL$7:$BL$1570,"&lt;="&amp;BL1206),"")</f>
        <v/>
      </c>
      <c r="AP1206" s="65">
        <f>IF(AO1206="",0,MAX(0,MIN(1,(IF(BR1206="L1",Parameter!$K$5,Parameter!$K$6+Parameter!$K$7)-(AO1206-AK1206))/AK1206)))</f>
        <v/>
      </c>
      <c r="AQ1206" s="55">
        <f>IF(LEFT(Cockpit!$O$5,1)="A",G1206,IF(BT1206=1,BU1206,IF(LEFT(Cockpit!$O$5,1)="B",AU1206,MAX(AU1206,G1206))))</f>
        <v/>
      </c>
      <c r="AR1206" s="55">
        <f>IF(BO1206=1,0,ROUNDUP(AQ1206/BN1206,0))</f>
        <v/>
      </c>
      <c r="AS1206" s="64">
        <f>IF(BO1206=1,IF(AQ1206&lt;=0,0,BP1206*MAX(1,IF(G1206&gt;0,AQ1206/G1206,1))),AR1206*Q1206)</f>
        <v/>
      </c>
      <c r="AT1206" s="55">
        <f>AQ1206*F1206</f>
        <v/>
      </c>
      <c r="AU1206" s="55">
        <f>ROUNDUP(MAX(I1206/IF(BS1206&gt;0,BS1206,MAX(0.1,N(Cockpit!$O$6))),BV1206)/BN1206,0)*BN1206</f>
        <v/>
      </c>
      <c r="AV1206" s="56">
        <f>IF(AS1206&gt;0,I1206/AS1206,-1)</f>
        <v/>
      </c>
      <c r="AW1206" s="56">
        <f>IF(AND(OR(BR1206="L1",BR1206="L23"),AS1206&gt;0),SUMIFS($AS$7:$AS$1570,$BR$7:$BR$1570,BR1206,$AV$7:$AV$1570,"&gt;"&amp;AV1206)+SUMIFS($AS$7:$AS$1570,$BR$7:$BR$1570,BR1206,$AV$7:$AV$1570,AV1206,$BL$7:$BL$1570,"&lt;="&amp;BL1206),"")</f>
        <v/>
      </c>
      <c r="AX1206" s="65">
        <f>IF(AW1206="",0,MAX(0,MIN(1,(IF(BR1206="L1",Parameter!$K$5,Parameter!$K$6+Parameter!$K$7)-(AW1206-AS1206))/AS1206)))</f>
        <v/>
      </c>
      <c r="AY1206" s="53">
        <f>IF(AC1206&lt;=0,"",IF(BR1206="Aussen","Aussenlager",IF(BR1206="-","Nicht im Lift",IF(AH1206&gt;=1,"Lift",IF(AH1206&lt;=0,"Aussenlager","teilweise")))))</f>
        <v/>
      </c>
      <c r="AZ1206" s="53">
        <f>IF(AK1206&lt;=0,"",IF(BR1206="Aussen","Aussenlager",IF(BR1206="-","Nicht im Lift",IF(AP1206&gt;=1,"Lift",IF(AP1206&lt;=0,"Aussenlager","teilweise")))))</f>
        <v/>
      </c>
      <c r="BA1206" s="53">
        <f>IF(AS1206&lt;=0,"",IF(BR1206="Aussen","Aussenlager",IF(BR1206="-","Nicht im Lift",IF(AX1206&gt;=1,"Lift",IF(AX1206&lt;=0,"Aussenlager","teilweise")))))</f>
        <v/>
      </c>
      <c r="BB1206" s="53">
        <f>IF(A1206="","",IF(BK1206=1,"Neu; ","")&amp;IF(AND(BK1206=0,BF1206&lt;0),"negativer Bestand (Export "&amp;BF1206&amp;"); ","")&amp;IF(I1206&lt;=0,"Kein Verbrauch; ","")&amp;IF(BO1206=1,"Lose – Fläche geschätzt; ","")&amp;IF(G1206&gt;AM1206,"Überbestand "&amp;ROUND(G1206-AM1206,0)&amp;" Stk / CHF "&amp;ROUND((G1206-AM1206)*F1206,0)&amp;"; ","")&amp;IF(AND(BT1206=1,BU1206&lt;BV1206),"MAX &lt; MB+LG; ","")&amp;IF(AND(BZ1206&gt;0,BY1206*10&gt;BZ1206),"zu hoch für Tablar; ","")&amp;IF(AND(BK1206=0,OR(BT1206=1,V1206&lt;&gt;"",S1206&lt;&gt;"",T1206&lt;&gt;"",W1206&lt;&gt;"")),"manuell übersteuert; ","")&amp;IF(AND(BO1206=0,Q1206=0),"Gebinde unbekannt; ","")&amp;IF(AND(BO1206=0,N(T1206)&lt;=0,N(P1206)&lt;=0),"Menge pro Gebinde fehlt (Ist = 1 Gebinde); ","")&amp;BJ1206)</f>
        <v/>
      </c>
      <c r="BC1206" s="53" t="n"/>
      <c r="BD1206" s="53" t="n"/>
      <c r="BE1206" s="61" t="n"/>
      <c r="BF1206" s="55" t="n">
        <v>-2</v>
      </c>
      <c r="BG1206" s="55" t="n">
        <v>6</v>
      </c>
      <c r="BH1206" s="54" t="n">
        <v>-514.5800000000002</v>
      </c>
      <c r="BI1206" s="55" t="n">
        <v>5</v>
      </c>
      <c r="BJ1206" s="53" t="inlineStr"/>
      <c r="BK1206" s="58" t="n">
        <v>0</v>
      </c>
      <c r="BL1206" s="58" t="n">
        <v>1206</v>
      </c>
      <c r="BM1206" s="53">
        <f>IF(S1206&lt;&gt;"",UPPER(TRIM(S1206)),IF(O1206="","LOSE",O1206))</f>
        <v/>
      </c>
      <c r="BN1206" s="55">
        <f>IF(BM1206="LOSE",1,IF(N(T1206)&gt;0,T1206,IF(N(P1206)&gt;0,P1206,MAX(1,G1206))))</f>
        <v/>
      </c>
      <c r="BO1206" s="58">
        <f>IF(BM1206="LOSE",1,0)</f>
        <v/>
      </c>
      <c r="BP1206" s="64">
        <f>IF(BO1206=0,0,IF(N(R1206)&gt;0,R1206,IFERROR(VLOOKUP(D1206,Parameter!$A$35:$C$64,3,0)+0,0)))</f>
        <v/>
      </c>
      <c r="BQ1206" s="53">
        <f>IF(V1206&lt;&gt;"",V1206,U1206)</f>
        <v/>
      </c>
      <c r="BR1206" s="53">
        <f>IF(BQ1206=1,"L1",IF(OR(BQ1206=2,BQ1206=3),"L23",IF(BQ1206="Aussen","Aussen","-")))</f>
        <v/>
      </c>
      <c r="BS1206" s="66">
        <f>IF(N(W1206)&gt;0,W1206,0)</f>
        <v/>
      </c>
      <c r="BT1206" s="58">
        <f>IF(ISNUMBER(Z1206),1,0)</f>
        <v/>
      </c>
      <c r="BU1206" s="55">
        <f>N(Z1206)</f>
        <v/>
      </c>
      <c r="BV1206" s="55">
        <f>N(L1206)+N(M1206)</f>
        <v/>
      </c>
      <c r="BW1206" s="55">
        <f>ROUNDUP(G1206/BN1206,0)</f>
        <v/>
      </c>
      <c r="BX1206" s="55">
        <f>ROUNDUP(BU1206/BN1206,0)</f>
        <v/>
      </c>
      <c r="BY1206" s="58">
        <f>IF(BO1206=1,0,IFERROR(VLOOKUP(BM1206,'Gebinde-Kategorie'!$A$5:$G$45,5,0)+0,0))</f>
        <v/>
      </c>
      <c r="BZ1206" s="58">
        <f>IFERROR(IF(OR(BQ1206=1,BQ1206=2,BQ1206=3),N(INDEX(Parameter!$I$5:$I$7,BQ1206)),0),0)</f>
        <v/>
      </c>
    </row>
    <row r="1207">
      <c r="A1207" s="53" t="inlineStr">
        <is>
          <t>005658</t>
        </is>
      </c>
      <c r="B1207" s="53" t="inlineStr">
        <is>
          <t>Servicemagnet</t>
        </is>
      </c>
      <c r="C1207" s="53" t="inlineStr">
        <is>
          <t>F</t>
        </is>
      </c>
      <c r="D1207" s="53" t="inlineStr">
        <is>
          <t>KTL</t>
        </is>
      </c>
      <c r="E1207" s="53" t="inlineStr">
        <is>
          <t>C</t>
        </is>
      </c>
      <c r="F1207" s="54" t="n">
        <v>103.28</v>
      </c>
      <c r="G1207" s="55">
        <f>MAX(0,IF(Parameter!$B$20="Jahresanfang 2025 + Export",BG1207+BF1207,BF1207))</f>
        <v/>
      </c>
      <c r="H1207" s="55">
        <f>G1207*F1207</f>
        <v/>
      </c>
      <c r="I1207" s="55">
        <f>BI1207*Parameter!$B$18</f>
        <v/>
      </c>
      <c r="J1207" s="56" t="n">
        <v>22</v>
      </c>
      <c r="K1207" s="57" t="n">
        <v>0.09090909090909091</v>
      </c>
      <c r="L1207" s="55" t="n">
        <v>0</v>
      </c>
      <c r="M1207" s="55" t="n">
        <v>1</v>
      </c>
      <c r="N1207" s="58" t="n">
        <v>21</v>
      </c>
      <c r="O1207" s="53" t="inlineStr">
        <is>
          <t>S41</t>
        </is>
      </c>
      <c r="P1207" s="55" t="n">
        <v>30</v>
      </c>
      <c r="Q1207" s="59">
        <f>IF(BO1207=1,0,IFERROR(VLOOKUP(BM1207,'Gebinde-Kategorie'!$A$5:$G$45,6,0)+0,0))</f>
        <v/>
      </c>
      <c r="R1207" s="60" t="n"/>
      <c r="S1207" s="61" t="n"/>
      <c r="T1207" s="61" t="n"/>
      <c r="U1207" s="53">
        <f>IF(A1207="","",IF(IFERROR(VLOOKUP(D1207,Parameter!$A$35:$C$64,2,0),"Nein")="2+3",IF(ISNUMBER(SEARCH("grosser Artikel",BJ1207)),2,IFERROR(VLOOKUP(BM1207,Parameter!$F$35:$G$64,2,0),2)),IF(OR(IFERROR(VLOOKUP(D1207,Parameter!$A$35:$C$64,2,0),"Nein")="Nein",IFERROR(VLOOKUP(D1207,Parameter!$A$35:$C$64,2,0),"Nein")=""),"-",VLOOKUP(D1207,Parameter!$A$35:$C$64,2,0))))</f>
        <v/>
      </c>
      <c r="V1207" s="61" t="n"/>
      <c r="W1207" s="62" t="n"/>
      <c r="X1207" s="55">
        <f>AM1207</f>
        <v/>
      </c>
      <c r="Y1207" s="55">
        <f>MAX(AM1207,G1207)</f>
        <v/>
      </c>
      <c r="Z1207" s="63" t="n"/>
      <c r="AA1207" s="55">
        <f>IF(LEFT(Cockpit!$C$5,1)="A",G1207,IF(BT1207=1,BU1207,IF(LEFT(Cockpit!$C$5,1)="B",AE1207,MAX(AE1207,G1207))))</f>
        <v/>
      </c>
      <c r="AB1207" s="55">
        <f>IF(BO1207=1,0,ROUNDUP(AA1207/BN1207,0))</f>
        <v/>
      </c>
      <c r="AC1207" s="64">
        <f>IF(BO1207=1,IF(AA1207&lt;=0,0,BP1207*MAX(1,IF(G1207&gt;0,AA1207/G1207,1))),AB1207*Q1207)</f>
        <v/>
      </c>
      <c r="AD1207" s="55">
        <f>AA1207*F1207</f>
        <v/>
      </c>
      <c r="AE1207" s="55">
        <f>ROUNDUP(MAX(I1207/IF(BS1207&gt;0,BS1207,MAX(0.1,N(Cockpit!$C$6))),BV1207)/BN1207,0)*BN1207</f>
        <v/>
      </c>
      <c r="AF1207" s="56">
        <f>IF(AC1207&gt;0,I1207/AC1207,-1)</f>
        <v/>
      </c>
      <c r="AG1207" s="56">
        <f>IF(AND(OR(BR1207="L1",BR1207="L23"),AC1207&gt;0),SUMIFS($AC$7:$AC$1570,$BR$7:$BR$1570,BR1207,$AF$7:$AF$1570,"&gt;"&amp;AF1207)+SUMIFS($AC$7:$AC$1570,$BR$7:$BR$1570,BR1207,$AF$7:$AF$1570,AF1207,$BL$7:$BL$1570,"&lt;="&amp;BL1207),"")</f>
        <v/>
      </c>
      <c r="AH1207" s="65">
        <f>IF(AG1207="",0,MAX(0,MIN(1,(IF(BR1207="L1",Parameter!$K$5,Parameter!$K$6+Parameter!$K$7)-(AG1207-AC1207))/AC1207)))</f>
        <v/>
      </c>
      <c r="AI1207" s="55">
        <f>IF(LEFT(Cockpit!$I$5,1)="A",G1207,IF(BT1207=1,BU1207,IF(LEFT(Cockpit!$I$5,1)="B",AM1207,MAX(AM1207,G1207))))</f>
        <v/>
      </c>
      <c r="AJ1207" s="55">
        <f>IF(BO1207=1,0,ROUNDUP(AI1207/BN1207,0))</f>
        <v/>
      </c>
      <c r="AK1207" s="64">
        <f>IF(BO1207=1,IF(AI1207&lt;=0,0,BP1207*MAX(1,IF(G1207&gt;0,AI1207/G1207,1))),AJ1207*Q1207)</f>
        <v/>
      </c>
      <c r="AL1207" s="55">
        <f>AI1207*F1207</f>
        <v/>
      </c>
      <c r="AM1207" s="55">
        <f>ROUNDUP(MAX(I1207/IF(BS1207&gt;0,BS1207,MAX(0.1,N(Cockpit!$I$6))),BV1207)/BN1207,0)*BN1207</f>
        <v/>
      </c>
      <c r="AN1207" s="56">
        <f>IF(AK1207&gt;0,I1207/AK1207,-1)</f>
        <v/>
      </c>
      <c r="AO1207" s="56">
        <f>IF(AND(OR(BR1207="L1",BR1207="L23"),AK1207&gt;0),SUMIFS($AK$7:$AK$1570,$BR$7:$BR$1570,BR1207,$AN$7:$AN$1570,"&gt;"&amp;AN1207)+SUMIFS($AK$7:$AK$1570,$BR$7:$BR$1570,BR1207,$AN$7:$AN$1570,AN1207,$BL$7:$BL$1570,"&lt;="&amp;BL1207),"")</f>
        <v/>
      </c>
      <c r="AP1207" s="65">
        <f>IF(AO1207="",0,MAX(0,MIN(1,(IF(BR1207="L1",Parameter!$K$5,Parameter!$K$6+Parameter!$K$7)-(AO1207-AK1207))/AK1207)))</f>
        <v/>
      </c>
      <c r="AQ1207" s="55">
        <f>IF(LEFT(Cockpit!$O$5,1)="A",G1207,IF(BT1207=1,BU1207,IF(LEFT(Cockpit!$O$5,1)="B",AU1207,MAX(AU1207,G1207))))</f>
        <v/>
      </c>
      <c r="AR1207" s="55">
        <f>IF(BO1207=1,0,ROUNDUP(AQ1207/BN1207,0))</f>
        <v/>
      </c>
      <c r="AS1207" s="64">
        <f>IF(BO1207=1,IF(AQ1207&lt;=0,0,BP1207*MAX(1,IF(G1207&gt;0,AQ1207/G1207,1))),AR1207*Q1207)</f>
        <v/>
      </c>
      <c r="AT1207" s="55">
        <f>AQ1207*F1207</f>
        <v/>
      </c>
      <c r="AU1207" s="55">
        <f>ROUNDUP(MAX(I1207/IF(BS1207&gt;0,BS1207,MAX(0.1,N(Cockpit!$O$6))),BV1207)/BN1207,0)*BN1207</f>
        <v/>
      </c>
      <c r="AV1207" s="56">
        <f>IF(AS1207&gt;0,I1207/AS1207,-1)</f>
        <v/>
      </c>
      <c r="AW1207" s="56">
        <f>IF(AND(OR(BR1207="L1",BR1207="L23"),AS1207&gt;0),SUMIFS($AS$7:$AS$1570,$BR$7:$BR$1570,BR1207,$AV$7:$AV$1570,"&gt;"&amp;AV1207)+SUMIFS($AS$7:$AS$1570,$BR$7:$BR$1570,BR1207,$AV$7:$AV$1570,AV1207,$BL$7:$BL$1570,"&lt;="&amp;BL1207),"")</f>
        <v/>
      </c>
      <c r="AX1207" s="65">
        <f>IF(AW1207="",0,MAX(0,MIN(1,(IF(BR1207="L1",Parameter!$K$5,Parameter!$K$6+Parameter!$K$7)-(AW1207-AS1207))/AS1207)))</f>
        <v/>
      </c>
      <c r="AY1207" s="53">
        <f>IF(AC1207&lt;=0,"",IF(BR1207="Aussen","Aussenlager",IF(BR1207="-","Nicht im Lift",IF(AH1207&gt;=1,"Lift",IF(AH1207&lt;=0,"Aussenlager","teilweise")))))</f>
        <v/>
      </c>
      <c r="AZ1207" s="53">
        <f>IF(AK1207&lt;=0,"",IF(BR1207="Aussen","Aussenlager",IF(BR1207="-","Nicht im Lift",IF(AP1207&gt;=1,"Lift",IF(AP1207&lt;=0,"Aussenlager","teilweise")))))</f>
        <v/>
      </c>
      <c r="BA1207" s="53">
        <f>IF(AS1207&lt;=0,"",IF(BR1207="Aussen","Aussenlager",IF(BR1207="-","Nicht im Lift",IF(AX1207&gt;=1,"Lift",IF(AX1207&lt;=0,"Aussenlager","teilweise")))))</f>
        <v/>
      </c>
      <c r="BB1207" s="53">
        <f>IF(A1207="","",IF(BK1207=1,"Neu; ","")&amp;IF(AND(BK1207=0,BF1207&lt;0),"negativer Bestand (Export "&amp;BF1207&amp;"); ","")&amp;IF(I1207&lt;=0,"Kein Verbrauch; ","")&amp;IF(BO1207=1,"Lose – Fläche geschätzt; ","")&amp;IF(G1207&gt;AM1207,"Überbestand "&amp;ROUND(G1207-AM1207,0)&amp;" Stk / CHF "&amp;ROUND((G1207-AM1207)*F1207,0)&amp;"; ","")&amp;IF(AND(BT1207=1,BU1207&lt;BV1207),"MAX &lt; MB+LG; ","")&amp;IF(AND(BZ1207&gt;0,BY1207*10&gt;BZ1207),"zu hoch für Tablar; ","")&amp;IF(AND(BK1207=0,OR(BT1207=1,V1207&lt;&gt;"",S1207&lt;&gt;"",T1207&lt;&gt;"",W1207&lt;&gt;"")),"manuell übersteuert; ","")&amp;IF(AND(BO1207=0,Q1207=0),"Gebinde unbekannt; ","")&amp;IF(AND(BO1207=0,N(T1207)&lt;=0,N(P1207)&lt;=0),"Menge pro Gebinde fehlt (Ist = 1 Gebinde); ","")&amp;BJ1207)</f>
        <v/>
      </c>
      <c r="BC1207" s="53" t="n"/>
      <c r="BD1207" s="53" t="n"/>
      <c r="BE1207" s="61" t="n"/>
      <c r="BF1207" s="55" t="n">
        <v>-5</v>
      </c>
      <c r="BG1207" s="55" t="n">
        <v>23</v>
      </c>
      <c r="BH1207" s="54" t="n">
        <v>-516.4</v>
      </c>
      <c r="BI1207" s="55" t="n">
        <v>2</v>
      </c>
      <c r="BJ1207" s="53" t="inlineStr"/>
      <c r="BK1207" s="58" t="n">
        <v>0</v>
      </c>
      <c r="BL1207" s="58" t="n">
        <v>1207</v>
      </c>
      <c r="BM1207" s="53">
        <f>IF(S1207&lt;&gt;"",UPPER(TRIM(S1207)),IF(O1207="","LOSE",O1207))</f>
        <v/>
      </c>
      <c r="BN1207" s="55">
        <f>IF(BM1207="LOSE",1,IF(N(T1207)&gt;0,T1207,IF(N(P1207)&gt;0,P1207,MAX(1,G1207))))</f>
        <v/>
      </c>
      <c r="BO1207" s="58">
        <f>IF(BM1207="LOSE",1,0)</f>
        <v/>
      </c>
      <c r="BP1207" s="64">
        <f>IF(BO1207=0,0,IF(N(R1207)&gt;0,R1207,IFERROR(VLOOKUP(D1207,Parameter!$A$35:$C$64,3,0)+0,0)))</f>
        <v/>
      </c>
      <c r="BQ1207" s="53">
        <f>IF(V1207&lt;&gt;"",V1207,U1207)</f>
        <v/>
      </c>
      <c r="BR1207" s="53">
        <f>IF(BQ1207=1,"L1",IF(OR(BQ1207=2,BQ1207=3),"L23",IF(BQ1207="Aussen","Aussen","-")))</f>
        <v/>
      </c>
      <c r="BS1207" s="66">
        <f>IF(N(W1207)&gt;0,W1207,0)</f>
        <v/>
      </c>
      <c r="BT1207" s="58">
        <f>IF(ISNUMBER(Z1207),1,0)</f>
        <v/>
      </c>
      <c r="BU1207" s="55">
        <f>N(Z1207)</f>
        <v/>
      </c>
      <c r="BV1207" s="55">
        <f>N(L1207)+N(M1207)</f>
        <v/>
      </c>
      <c r="BW1207" s="55">
        <f>ROUNDUP(G1207/BN1207,0)</f>
        <v/>
      </c>
      <c r="BX1207" s="55">
        <f>ROUNDUP(BU1207/BN1207,0)</f>
        <v/>
      </c>
      <c r="BY1207" s="58">
        <f>IF(BO1207=1,0,IFERROR(VLOOKUP(BM1207,'Gebinde-Kategorie'!$A$5:$G$45,5,0)+0,0))</f>
        <v/>
      </c>
      <c r="BZ1207" s="58">
        <f>IFERROR(IF(OR(BQ1207=1,BQ1207=2,BQ1207=3),N(INDEX(Parameter!$I$5:$I$7,BQ1207)),0),0)</f>
        <v/>
      </c>
    </row>
    <row r="1208">
      <c r="A1208" s="53" t="inlineStr">
        <is>
          <t>101769</t>
        </is>
      </c>
      <c r="B1208" s="53" t="inlineStr">
        <is>
          <t>Federhänger</t>
        </is>
      </c>
      <c r="C1208" s="53" t="inlineStr">
        <is>
          <t>F</t>
        </is>
      </c>
      <c r="D1208" s="53" t="inlineStr">
        <is>
          <t>LIFT1</t>
        </is>
      </c>
      <c r="E1208" s="53" t="inlineStr">
        <is>
          <t>C</t>
        </is>
      </c>
      <c r="F1208" s="54" t="n">
        <v>257.76</v>
      </c>
      <c r="G1208" s="55">
        <f>MAX(0,IF(Parameter!$B$20="Jahresanfang 2025 + Export",BG1208+BF1208,BF1208))</f>
        <v/>
      </c>
      <c r="H1208" s="55">
        <f>G1208*F1208</f>
        <v/>
      </c>
      <c r="I1208" s="55">
        <f>BI1208*Parameter!$B$18</f>
        <v/>
      </c>
      <c r="J1208" s="56" t="n">
        <v>25.5</v>
      </c>
      <c r="K1208" s="57" t="n">
        <v>0.6274509803921569</v>
      </c>
      <c r="L1208" s="55" t="n">
        <v>3</v>
      </c>
      <c r="M1208" s="55" t="n">
        <v>10</v>
      </c>
      <c r="N1208" s="58" t="n">
        <v>70</v>
      </c>
      <c r="O1208" s="53" t="inlineStr">
        <is>
          <t>LOSE</t>
        </is>
      </c>
      <c r="P1208" s="55" t="n"/>
      <c r="Q1208" s="59">
        <f>IF(BO1208=1,0,IFERROR(VLOOKUP(BM1208,'Gebinde-Kategorie'!$A$5:$G$45,6,0)+0,0))</f>
        <v/>
      </c>
      <c r="R1208" s="60" t="n"/>
      <c r="S1208" s="61" t="n"/>
      <c r="T1208" s="61" t="n"/>
      <c r="U1208" s="53">
        <f>IF(A1208="","",IF(IFERROR(VLOOKUP(D1208,Parameter!$A$35:$C$64,2,0),"Nein")="2+3",IF(ISNUMBER(SEARCH("grosser Artikel",BJ1208)),2,IFERROR(VLOOKUP(BM1208,Parameter!$F$35:$G$64,2,0),2)),IF(OR(IFERROR(VLOOKUP(D1208,Parameter!$A$35:$C$64,2,0),"Nein")="Nein",IFERROR(VLOOKUP(D1208,Parameter!$A$35:$C$64,2,0),"Nein")=""),"-",VLOOKUP(D1208,Parameter!$A$35:$C$64,2,0))))</f>
        <v/>
      </c>
      <c r="V1208" s="61" t="n"/>
      <c r="W1208" s="62" t="n"/>
      <c r="X1208" s="55">
        <f>AM1208</f>
        <v/>
      </c>
      <c r="Y1208" s="55">
        <f>MAX(AM1208,G1208)</f>
        <v/>
      </c>
      <c r="Z1208" s="63" t="n"/>
      <c r="AA1208" s="55">
        <f>IF(LEFT(Cockpit!$C$5,1)="A",G1208,IF(BT1208=1,BU1208,IF(LEFT(Cockpit!$C$5,1)="B",AE1208,MAX(AE1208,G1208))))</f>
        <v/>
      </c>
      <c r="AB1208" s="55">
        <f>IF(BO1208=1,0,ROUNDUP(AA1208/BN1208,0))</f>
        <v/>
      </c>
      <c r="AC1208" s="64">
        <f>IF(BO1208=1,IF(AA1208&lt;=0,0,BP1208*MAX(1,IF(G1208&gt;0,AA1208/G1208,1))),AB1208*Q1208)</f>
        <v/>
      </c>
      <c r="AD1208" s="55">
        <f>AA1208*F1208</f>
        <v/>
      </c>
      <c r="AE1208" s="55">
        <f>ROUNDUP(MAX(I1208/IF(BS1208&gt;0,BS1208,MAX(0.1,N(Cockpit!$C$6))),BV1208)/BN1208,0)*BN1208</f>
        <v/>
      </c>
      <c r="AF1208" s="56">
        <f>IF(AC1208&gt;0,I1208/AC1208,-1)</f>
        <v/>
      </c>
      <c r="AG1208" s="56">
        <f>IF(AND(OR(BR1208="L1",BR1208="L23"),AC1208&gt;0),SUMIFS($AC$7:$AC$1570,$BR$7:$BR$1570,BR1208,$AF$7:$AF$1570,"&gt;"&amp;AF1208)+SUMIFS($AC$7:$AC$1570,$BR$7:$BR$1570,BR1208,$AF$7:$AF$1570,AF1208,$BL$7:$BL$1570,"&lt;="&amp;BL1208),"")</f>
        <v/>
      </c>
      <c r="AH1208" s="65">
        <f>IF(AG1208="",0,MAX(0,MIN(1,(IF(BR1208="L1",Parameter!$K$5,Parameter!$K$6+Parameter!$K$7)-(AG1208-AC1208))/AC1208)))</f>
        <v/>
      </c>
      <c r="AI1208" s="55">
        <f>IF(LEFT(Cockpit!$I$5,1)="A",G1208,IF(BT1208=1,BU1208,IF(LEFT(Cockpit!$I$5,1)="B",AM1208,MAX(AM1208,G1208))))</f>
        <v/>
      </c>
      <c r="AJ1208" s="55">
        <f>IF(BO1208=1,0,ROUNDUP(AI1208/BN1208,0))</f>
        <v/>
      </c>
      <c r="AK1208" s="64">
        <f>IF(BO1208=1,IF(AI1208&lt;=0,0,BP1208*MAX(1,IF(G1208&gt;0,AI1208/G1208,1))),AJ1208*Q1208)</f>
        <v/>
      </c>
      <c r="AL1208" s="55">
        <f>AI1208*F1208</f>
        <v/>
      </c>
      <c r="AM1208" s="55">
        <f>ROUNDUP(MAX(I1208/IF(BS1208&gt;0,BS1208,MAX(0.1,N(Cockpit!$I$6))),BV1208)/BN1208,0)*BN1208</f>
        <v/>
      </c>
      <c r="AN1208" s="56">
        <f>IF(AK1208&gt;0,I1208/AK1208,-1)</f>
        <v/>
      </c>
      <c r="AO1208" s="56">
        <f>IF(AND(OR(BR1208="L1",BR1208="L23"),AK1208&gt;0),SUMIFS($AK$7:$AK$1570,$BR$7:$BR$1570,BR1208,$AN$7:$AN$1570,"&gt;"&amp;AN1208)+SUMIFS($AK$7:$AK$1570,$BR$7:$BR$1570,BR1208,$AN$7:$AN$1570,AN1208,$BL$7:$BL$1570,"&lt;="&amp;BL1208),"")</f>
        <v/>
      </c>
      <c r="AP1208" s="65">
        <f>IF(AO1208="",0,MAX(0,MIN(1,(IF(BR1208="L1",Parameter!$K$5,Parameter!$K$6+Parameter!$K$7)-(AO1208-AK1208))/AK1208)))</f>
        <v/>
      </c>
      <c r="AQ1208" s="55">
        <f>IF(LEFT(Cockpit!$O$5,1)="A",G1208,IF(BT1208=1,BU1208,IF(LEFT(Cockpit!$O$5,1)="B",AU1208,MAX(AU1208,G1208))))</f>
        <v/>
      </c>
      <c r="AR1208" s="55">
        <f>IF(BO1208=1,0,ROUNDUP(AQ1208/BN1208,0))</f>
        <v/>
      </c>
      <c r="AS1208" s="64">
        <f>IF(BO1208=1,IF(AQ1208&lt;=0,0,BP1208*MAX(1,IF(G1208&gt;0,AQ1208/G1208,1))),AR1208*Q1208)</f>
        <v/>
      </c>
      <c r="AT1208" s="55">
        <f>AQ1208*F1208</f>
        <v/>
      </c>
      <c r="AU1208" s="55">
        <f>ROUNDUP(MAX(I1208/IF(BS1208&gt;0,BS1208,MAX(0.1,N(Cockpit!$O$6))),BV1208)/BN1208,0)*BN1208</f>
        <v/>
      </c>
      <c r="AV1208" s="56">
        <f>IF(AS1208&gt;0,I1208/AS1208,-1)</f>
        <v/>
      </c>
      <c r="AW1208" s="56">
        <f>IF(AND(OR(BR1208="L1",BR1208="L23"),AS1208&gt;0),SUMIFS($AS$7:$AS$1570,$BR$7:$BR$1570,BR1208,$AV$7:$AV$1570,"&gt;"&amp;AV1208)+SUMIFS($AS$7:$AS$1570,$BR$7:$BR$1570,BR1208,$AV$7:$AV$1570,AV1208,$BL$7:$BL$1570,"&lt;="&amp;BL1208),"")</f>
        <v/>
      </c>
      <c r="AX1208" s="65">
        <f>IF(AW1208="",0,MAX(0,MIN(1,(IF(BR1208="L1",Parameter!$K$5,Parameter!$K$6+Parameter!$K$7)-(AW1208-AS1208))/AS1208)))</f>
        <v/>
      </c>
      <c r="AY1208" s="53">
        <f>IF(AC1208&lt;=0,"",IF(BR1208="Aussen","Aussenlager",IF(BR1208="-","Nicht im Lift",IF(AH1208&gt;=1,"Lift",IF(AH1208&lt;=0,"Aussenlager","teilweise")))))</f>
        <v/>
      </c>
      <c r="AZ1208" s="53">
        <f>IF(AK1208&lt;=0,"",IF(BR1208="Aussen","Aussenlager",IF(BR1208="-","Nicht im Lift",IF(AP1208&gt;=1,"Lift",IF(AP1208&lt;=0,"Aussenlager","teilweise")))))</f>
        <v/>
      </c>
      <c r="BA1208" s="53">
        <f>IF(AS1208&lt;=0,"",IF(BR1208="Aussen","Aussenlager",IF(BR1208="-","Nicht im Lift",IF(AX1208&gt;=1,"Lift",IF(AX1208&lt;=0,"Aussenlager","teilweise")))))</f>
        <v/>
      </c>
      <c r="BB1208" s="53">
        <f>IF(A1208="","",IF(BK1208=1,"Neu; ","")&amp;IF(AND(BK1208=0,BF1208&lt;0),"negativer Bestand (Export "&amp;BF1208&amp;"); ","")&amp;IF(I1208&lt;=0,"Kein Verbrauch; ","")&amp;IF(BO1208=1,"Lose – Fläche geschätzt; ","")&amp;IF(G1208&gt;AM1208,"Überbestand "&amp;ROUND(G1208-AM1208,0)&amp;" Stk / CHF "&amp;ROUND((G1208-AM1208)*F1208,0)&amp;"; ","")&amp;IF(AND(BT1208=1,BU1208&lt;BV1208),"MAX &lt; MB+LG; ","")&amp;IF(AND(BZ1208&gt;0,BY1208*10&gt;BZ1208),"zu hoch für Tablar; ","")&amp;IF(AND(BK1208=0,OR(BT1208=1,V1208&lt;&gt;"",S1208&lt;&gt;"",T1208&lt;&gt;"",W1208&lt;&gt;"")),"manuell übersteuert; ","")&amp;IF(AND(BO1208=0,Q1208=0),"Gebinde unbekannt; ","")&amp;IF(AND(BO1208=0,N(T1208)&lt;=0,N(P1208)&lt;=0),"Menge pro Gebinde fehlt (Ist = 1 Gebinde); ","")&amp;BJ1208)</f>
        <v/>
      </c>
      <c r="BC1208" s="53" t="n"/>
      <c r="BD1208" s="53" t="n"/>
      <c r="BE1208" s="61" t="n"/>
      <c r="BF1208" s="55" t="n">
        <v>-3</v>
      </c>
      <c r="BG1208" s="55" t="n">
        <v>21</v>
      </c>
      <c r="BH1208" s="54" t="n">
        <v>-516.8700000000003</v>
      </c>
      <c r="BI1208" s="55" t="n">
        <v>16</v>
      </c>
      <c r="BJ1208" s="53" t="inlineStr"/>
      <c r="BK1208" s="58" t="n">
        <v>0</v>
      </c>
      <c r="BL1208" s="58" t="n">
        <v>1208</v>
      </c>
      <c r="BM1208" s="53">
        <f>IF(S1208&lt;&gt;"",UPPER(TRIM(S1208)),IF(O1208="","LOSE",O1208))</f>
        <v/>
      </c>
      <c r="BN1208" s="55">
        <f>IF(BM1208="LOSE",1,IF(N(T1208)&gt;0,T1208,IF(N(P1208)&gt;0,P1208,MAX(1,G1208))))</f>
        <v/>
      </c>
      <c r="BO1208" s="58">
        <f>IF(BM1208="LOSE",1,0)</f>
        <v/>
      </c>
      <c r="BP1208" s="64">
        <f>IF(BO1208=0,0,IF(N(R1208)&gt;0,R1208,IFERROR(VLOOKUP(D1208,Parameter!$A$35:$C$64,3,0)+0,0)))</f>
        <v/>
      </c>
      <c r="BQ1208" s="53">
        <f>IF(V1208&lt;&gt;"",V1208,U1208)</f>
        <v/>
      </c>
      <c r="BR1208" s="53">
        <f>IF(BQ1208=1,"L1",IF(OR(BQ1208=2,BQ1208=3),"L23",IF(BQ1208="Aussen","Aussen","-")))</f>
        <v/>
      </c>
      <c r="BS1208" s="66">
        <f>IF(N(W1208)&gt;0,W1208,0)</f>
        <v/>
      </c>
      <c r="BT1208" s="58">
        <f>IF(ISNUMBER(Z1208),1,0)</f>
        <v/>
      </c>
      <c r="BU1208" s="55">
        <f>N(Z1208)</f>
        <v/>
      </c>
      <c r="BV1208" s="55">
        <f>N(L1208)+N(M1208)</f>
        <v/>
      </c>
      <c r="BW1208" s="55">
        <f>ROUNDUP(G1208/BN1208,0)</f>
        <v/>
      </c>
      <c r="BX1208" s="55">
        <f>ROUNDUP(BU1208/BN1208,0)</f>
        <v/>
      </c>
      <c r="BY1208" s="58">
        <f>IF(BO1208=1,0,IFERROR(VLOOKUP(BM1208,'Gebinde-Kategorie'!$A$5:$G$45,5,0)+0,0))</f>
        <v/>
      </c>
      <c r="BZ1208" s="58">
        <f>IFERROR(IF(OR(BQ1208=1,BQ1208=2,BQ1208=3),N(INDEX(Parameter!$I$5:$I$7,BQ1208)),0),0)</f>
        <v/>
      </c>
    </row>
    <row r="1209">
      <c r="A1209" s="53" t="inlineStr">
        <is>
          <t>106895</t>
        </is>
      </c>
      <c r="B1209" s="53" t="inlineStr">
        <is>
          <t>SPS Zentraleinheit</t>
        </is>
      </c>
      <c r="C1209" s="53" t="inlineStr">
        <is>
          <t>F</t>
        </is>
      </c>
      <c r="D1209" s="53" t="inlineStr">
        <is>
          <t>KTL</t>
        </is>
      </c>
      <c r="E1209" s="53" t="inlineStr">
        <is>
          <t>C</t>
        </is>
      </c>
      <c r="F1209" s="54" t="n">
        <v>519.59</v>
      </c>
      <c r="G1209" s="55">
        <f>MAX(0,IF(Parameter!$B$20="Jahresanfang 2025 + Export",BG1209+BF1209,BF1209))</f>
        <v/>
      </c>
      <c r="H1209" s="55">
        <f>G1209*F1209</f>
        <v/>
      </c>
      <c r="I1209" s="55">
        <f>BI1209*Parameter!$B$18</f>
        <v/>
      </c>
      <c r="J1209" s="56" t="n">
        <v>7.5</v>
      </c>
      <c r="K1209" s="57" t="n">
        <v>0</v>
      </c>
      <c r="L1209" s="55" t="n">
        <v>0</v>
      </c>
      <c r="M1209" s="55" t="n">
        <v>1</v>
      </c>
      <c r="N1209" s="58" t="n">
        <v>70</v>
      </c>
      <c r="O1209" s="53" t="inlineStr">
        <is>
          <t>S41</t>
        </is>
      </c>
      <c r="P1209" s="55" t="n">
        <v>10</v>
      </c>
      <c r="Q1209" s="59">
        <f>IF(BO1209=1,0,IFERROR(VLOOKUP(BM1209,'Gebinde-Kategorie'!$A$5:$G$45,6,0)+0,0))</f>
        <v/>
      </c>
      <c r="R1209" s="60" t="n"/>
      <c r="S1209" s="61" t="n"/>
      <c r="T1209" s="61" t="n"/>
      <c r="U1209" s="53">
        <f>IF(A1209="","",IF(IFERROR(VLOOKUP(D1209,Parameter!$A$35:$C$64,2,0),"Nein")="2+3",IF(ISNUMBER(SEARCH("grosser Artikel",BJ1209)),2,IFERROR(VLOOKUP(BM1209,Parameter!$F$35:$G$64,2,0),2)),IF(OR(IFERROR(VLOOKUP(D1209,Parameter!$A$35:$C$64,2,0),"Nein")="Nein",IFERROR(VLOOKUP(D1209,Parameter!$A$35:$C$64,2,0),"Nein")=""),"-",VLOOKUP(D1209,Parameter!$A$35:$C$64,2,0))))</f>
        <v/>
      </c>
      <c r="V1209" s="61" t="n"/>
      <c r="W1209" s="62" t="n"/>
      <c r="X1209" s="55">
        <f>AM1209</f>
        <v/>
      </c>
      <c r="Y1209" s="55">
        <f>MAX(AM1209,G1209)</f>
        <v/>
      </c>
      <c r="Z1209" s="63" t="n"/>
      <c r="AA1209" s="55">
        <f>IF(LEFT(Cockpit!$C$5,1)="A",G1209,IF(BT1209=1,BU1209,IF(LEFT(Cockpit!$C$5,1)="B",AE1209,MAX(AE1209,G1209))))</f>
        <v/>
      </c>
      <c r="AB1209" s="55">
        <f>IF(BO1209=1,0,ROUNDUP(AA1209/BN1209,0))</f>
        <v/>
      </c>
      <c r="AC1209" s="64">
        <f>IF(BO1209=1,IF(AA1209&lt;=0,0,BP1209*MAX(1,IF(G1209&gt;0,AA1209/G1209,1))),AB1209*Q1209)</f>
        <v/>
      </c>
      <c r="AD1209" s="55">
        <f>AA1209*F1209</f>
        <v/>
      </c>
      <c r="AE1209" s="55">
        <f>ROUNDUP(MAX(I1209/IF(BS1209&gt;0,BS1209,MAX(0.1,N(Cockpit!$C$6))),BV1209)/BN1209,0)*BN1209</f>
        <v/>
      </c>
      <c r="AF1209" s="56">
        <f>IF(AC1209&gt;0,I1209/AC1209,-1)</f>
        <v/>
      </c>
      <c r="AG1209" s="56">
        <f>IF(AND(OR(BR1209="L1",BR1209="L23"),AC1209&gt;0),SUMIFS($AC$7:$AC$1570,$BR$7:$BR$1570,BR1209,$AF$7:$AF$1570,"&gt;"&amp;AF1209)+SUMIFS($AC$7:$AC$1570,$BR$7:$BR$1570,BR1209,$AF$7:$AF$1570,AF1209,$BL$7:$BL$1570,"&lt;="&amp;BL1209),"")</f>
        <v/>
      </c>
      <c r="AH1209" s="65">
        <f>IF(AG1209="",0,MAX(0,MIN(1,(IF(BR1209="L1",Parameter!$K$5,Parameter!$K$6+Parameter!$K$7)-(AG1209-AC1209))/AC1209)))</f>
        <v/>
      </c>
      <c r="AI1209" s="55">
        <f>IF(LEFT(Cockpit!$I$5,1)="A",G1209,IF(BT1209=1,BU1209,IF(LEFT(Cockpit!$I$5,1)="B",AM1209,MAX(AM1209,G1209))))</f>
        <v/>
      </c>
      <c r="AJ1209" s="55">
        <f>IF(BO1209=1,0,ROUNDUP(AI1209/BN1209,0))</f>
        <v/>
      </c>
      <c r="AK1209" s="64">
        <f>IF(BO1209=1,IF(AI1209&lt;=0,0,BP1209*MAX(1,IF(G1209&gt;0,AI1209/G1209,1))),AJ1209*Q1209)</f>
        <v/>
      </c>
      <c r="AL1209" s="55">
        <f>AI1209*F1209</f>
        <v/>
      </c>
      <c r="AM1209" s="55">
        <f>ROUNDUP(MAX(I1209/IF(BS1209&gt;0,BS1209,MAX(0.1,N(Cockpit!$I$6))),BV1209)/BN1209,0)*BN1209</f>
        <v/>
      </c>
      <c r="AN1209" s="56">
        <f>IF(AK1209&gt;0,I1209/AK1209,-1)</f>
        <v/>
      </c>
      <c r="AO1209" s="56">
        <f>IF(AND(OR(BR1209="L1",BR1209="L23"),AK1209&gt;0),SUMIFS($AK$7:$AK$1570,$BR$7:$BR$1570,BR1209,$AN$7:$AN$1570,"&gt;"&amp;AN1209)+SUMIFS($AK$7:$AK$1570,$BR$7:$BR$1570,BR1209,$AN$7:$AN$1570,AN1209,$BL$7:$BL$1570,"&lt;="&amp;BL1209),"")</f>
        <v/>
      </c>
      <c r="AP1209" s="65">
        <f>IF(AO1209="",0,MAX(0,MIN(1,(IF(BR1209="L1",Parameter!$K$5,Parameter!$K$6+Parameter!$K$7)-(AO1209-AK1209))/AK1209)))</f>
        <v/>
      </c>
      <c r="AQ1209" s="55">
        <f>IF(LEFT(Cockpit!$O$5,1)="A",G1209,IF(BT1209=1,BU1209,IF(LEFT(Cockpit!$O$5,1)="B",AU1209,MAX(AU1209,G1209))))</f>
        <v/>
      </c>
      <c r="AR1209" s="55">
        <f>IF(BO1209=1,0,ROUNDUP(AQ1209/BN1209,0))</f>
        <v/>
      </c>
      <c r="AS1209" s="64">
        <f>IF(BO1209=1,IF(AQ1209&lt;=0,0,BP1209*MAX(1,IF(G1209&gt;0,AQ1209/G1209,1))),AR1209*Q1209)</f>
        <v/>
      </c>
      <c r="AT1209" s="55">
        <f>AQ1209*F1209</f>
        <v/>
      </c>
      <c r="AU1209" s="55">
        <f>ROUNDUP(MAX(I1209/IF(BS1209&gt;0,BS1209,MAX(0.1,N(Cockpit!$O$6))),BV1209)/BN1209,0)*BN1209</f>
        <v/>
      </c>
      <c r="AV1209" s="56">
        <f>IF(AS1209&gt;0,I1209/AS1209,-1)</f>
        <v/>
      </c>
      <c r="AW1209" s="56">
        <f>IF(AND(OR(BR1209="L1",BR1209="L23"),AS1209&gt;0),SUMIFS($AS$7:$AS$1570,$BR$7:$BR$1570,BR1209,$AV$7:$AV$1570,"&gt;"&amp;AV1209)+SUMIFS($AS$7:$AS$1570,$BR$7:$BR$1570,BR1209,$AV$7:$AV$1570,AV1209,$BL$7:$BL$1570,"&lt;="&amp;BL1209),"")</f>
        <v/>
      </c>
      <c r="AX1209" s="65">
        <f>IF(AW1209="",0,MAX(0,MIN(1,(IF(BR1209="L1",Parameter!$K$5,Parameter!$K$6+Parameter!$K$7)-(AW1209-AS1209))/AS1209)))</f>
        <v/>
      </c>
      <c r="AY1209" s="53">
        <f>IF(AC1209&lt;=0,"",IF(BR1209="Aussen","Aussenlager",IF(BR1209="-","Nicht im Lift",IF(AH1209&gt;=1,"Lift",IF(AH1209&lt;=0,"Aussenlager","teilweise")))))</f>
        <v/>
      </c>
      <c r="AZ1209" s="53">
        <f>IF(AK1209&lt;=0,"",IF(BR1209="Aussen","Aussenlager",IF(BR1209="-","Nicht im Lift",IF(AP1209&gt;=1,"Lift",IF(AP1209&lt;=0,"Aussenlager","teilweise")))))</f>
        <v/>
      </c>
      <c r="BA1209" s="53">
        <f>IF(AS1209&lt;=0,"",IF(BR1209="Aussen","Aussenlager",IF(BR1209="-","Nicht im Lift",IF(AX1209&gt;=1,"Lift",IF(AX1209&lt;=0,"Aussenlager","teilweise")))))</f>
        <v/>
      </c>
      <c r="BB1209" s="53">
        <f>IF(A1209="","",IF(BK1209=1,"Neu; ","")&amp;IF(AND(BK1209=0,BF1209&lt;0),"negativer Bestand (Export "&amp;BF1209&amp;"); ","")&amp;IF(I1209&lt;=0,"Kein Verbrauch; ","")&amp;IF(BO1209=1,"Lose – Fläche geschätzt; ","")&amp;IF(G1209&gt;AM1209,"Überbestand "&amp;ROUND(G1209-AM1209,0)&amp;" Stk / CHF "&amp;ROUND((G1209-AM1209)*F1209,0)&amp;"; ","")&amp;IF(AND(BT1209=1,BU1209&lt;BV1209),"MAX &lt; MB+LG; ","")&amp;IF(AND(BZ1209&gt;0,BY1209*10&gt;BZ1209),"zu hoch für Tablar; ","")&amp;IF(AND(BK1209=0,OR(BT1209=1,V1209&lt;&gt;"",S1209&lt;&gt;"",T1209&lt;&gt;"",W1209&lt;&gt;"")),"manuell übersteuert; ","")&amp;IF(AND(BO1209=0,Q1209=0),"Gebinde unbekannt; ","")&amp;IF(AND(BO1209=0,N(T1209)&lt;=0,N(P1209)&lt;=0),"Menge pro Gebinde fehlt (Ist = 1 Gebinde); ","")&amp;BJ1209)</f>
        <v/>
      </c>
      <c r="BC1209" s="53" t="n"/>
      <c r="BD1209" s="53" t="n"/>
      <c r="BE1209" s="61" t="n"/>
      <c r="BF1209" s="55" t="n">
        <v>-1</v>
      </c>
      <c r="BG1209" s="55" t="n">
        <v>8</v>
      </c>
      <c r="BH1209" s="54" t="n">
        <v>-519.59</v>
      </c>
      <c r="BI1209" s="55" t="n">
        <v>0</v>
      </c>
      <c r="BJ1209" s="53" t="inlineStr"/>
      <c r="BK1209" s="58" t="n">
        <v>0</v>
      </c>
      <c r="BL1209" s="58" t="n">
        <v>1209</v>
      </c>
      <c r="BM1209" s="53">
        <f>IF(S1209&lt;&gt;"",UPPER(TRIM(S1209)),IF(O1209="","LOSE",O1209))</f>
        <v/>
      </c>
      <c r="BN1209" s="55">
        <f>IF(BM1209="LOSE",1,IF(N(T1209)&gt;0,T1209,IF(N(P1209)&gt;0,P1209,MAX(1,G1209))))</f>
        <v/>
      </c>
      <c r="BO1209" s="58">
        <f>IF(BM1209="LOSE",1,0)</f>
        <v/>
      </c>
      <c r="BP1209" s="64">
        <f>IF(BO1209=0,0,IF(N(R1209)&gt;0,R1209,IFERROR(VLOOKUP(D1209,Parameter!$A$35:$C$64,3,0)+0,0)))</f>
        <v/>
      </c>
      <c r="BQ1209" s="53">
        <f>IF(V1209&lt;&gt;"",V1209,U1209)</f>
        <v/>
      </c>
      <c r="BR1209" s="53">
        <f>IF(BQ1209=1,"L1",IF(OR(BQ1209=2,BQ1209=3),"L23",IF(BQ1209="Aussen","Aussen","-")))</f>
        <v/>
      </c>
      <c r="BS1209" s="66">
        <f>IF(N(W1209)&gt;0,W1209,0)</f>
        <v/>
      </c>
      <c r="BT1209" s="58">
        <f>IF(ISNUMBER(Z1209),1,0)</f>
        <v/>
      </c>
      <c r="BU1209" s="55">
        <f>N(Z1209)</f>
        <v/>
      </c>
      <c r="BV1209" s="55">
        <f>N(L1209)+N(M1209)</f>
        <v/>
      </c>
      <c r="BW1209" s="55">
        <f>ROUNDUP(G1209/BN1209,0)</f>
        <v/>
      </c>
      <c r="BX1209" s="55">
        <f>ROUNDUP(BU1209/BN1209,0)</f>
        <v/>
      </c>
      <c r="BY1209" s="58">
        <f>IF(BO1209=1,0,IFERROR(VLOOKUP(BM1209,'Gebinde-Kategorie'!$A$5:$G$45,5,0)+0,0))</f>
        <v/>
      </c>
      <c r="BZ1209" s="58">
        <f>IFERROR(IF(OR(BQ1209=1,BQ1209=2,BQ1209=3),N(INDEX(Parameter!$I$5:$I$7,BQ1209)),0),0)</f>
        <v/>
      </c>
    </row>
    <row r="1210">
      <c r="A1210" s="53" t="inlineStr">
        <is>
          <t>109163</t>
        </is>
      </c>
      <c r="B1210" s="53" t="inlineStr">
        <is>
          <t>Hochdruck-Ganzmetallschlauch Luft DN6</t>
        </is>
      </c>
      <c r="C1210" s="53" t="inlineStr">
        <is>
          <t>F</t>
        </is>
      </c>
      <c r="D1210" s="53" t="inlineStr">
        <is>
          <t>PAL</t>
        </is>
      </c>
      <c r="E1210" s="53" t="inlineStr">
        <is>
          <t>C</t>
        </is>
      </c>
      <c r="F1210" s="54" t="n">
        <v>206.49</v>
      </c>
      <c r="G1210" s="55">
        <f>MAX(0,IF(Parameter!$B$20="Jahresanfang 2025 + Export",BG1210+BF1210,BF1210))</f>
        <v/>
      </c>
      <c r="H1210" s="55">
        <f>G1210*F1210</f>
        <v/>
      </c>
      <c r="I1210" s="55">
        <f>BI1210*Parameter!$B$18</f>
        <v/>
      </c>
      <c r="J1210" s="56" t="n">
        <v>14</v>
      </c>
      <c r="K1210" s="57" t="n">
        <v>1.285714285714286</v>
      </c>
      <c r="L1210" s="55" t="n">
        <v>2</v>
      </c>
      <c r="M1210" s="55" t="n">
        <v>15</v>
      </c>
      <c r="N1210" s="58" t="n">
        <v>28</v>
      </c>
      <c r="O1210" s="53" t="inlineStr">
        <is>
          <t>S71</t>
        </is>
      </c>
      <c r="P1210" s="55" t="n">
        <v>15</v>
      </c>
      <c r="Q1210" s="59">
        <f>IF(BO1210=1,0,IFERROR(VLOOKUP(BM1210,'Gebinde-Kategorie'!$A$5:$G$45,6,0)+0,0))</f>
        <v/>
      </c>
      <c r="R1210" s="60" t="n"/>
      <c r="S1210" s="61" t="n"/>
      <c r="T1210" s="61" t="n"/>
      <c r="U1210" s="53">
        <f>IF(A1210="","",IF(IFERROR(VLOOKUP(D1210,Parameter!$A$35:$C$64,2,0),"Nein")="2+3",IF(ISNUMBER(SEARCH("grosser Artikel",BJ1210)),2,IFERROR(VLOOKUP(BM1210,Parameter!$F$35:$G$64,2,0),2)),IF(OR(IFERROR(VLOOKUP(D1210,Parameter!$A$35:$C$64,2,0),"Nein")="Nein",IFERROR(VLOOKUP(D1210,Parameter!$A$35:$C$64,2,0),"Nein")=""),"-",VLOOKUP(D1210,Parameter!$A$35:$C$64,2,0))))</f>
        <v/>
      </c>
      <c r="V1210" s="61" t="n"/>
      <c r="W1210" s="62" t="n"/>
      <c r="X1210" s="55">
        <f>AM1210</f>
        <v/>
      </c>
      <c r="Y1210" s="55">
        <f>MAX(AM1210,G1210)</f>
        <v/>
      </c>
      <c r="Z1210" s="63" t="n"/>
      <c r="AA1210" s="55">
        <f>IF(LEFT(Cockpit!$C$5,1)="A",G1210,IF(BT1210=1,BU1210,IF(LEFT(Cockpit!$C$5,1)="B",AE1210,MAX(AE1210,G1210))))</f>
        <v/>
      </c>
      <c r="AB1210" s="55">
        <f>IF(BO1210=1,0,ROUNDUP(AA1210/BN1210,0))</f>
        <v/>
      </c>
      <c r="AC1210" s="64">
        <f>IF(BO1210=1,IF(AA1210&lt;=0,0,BP1210*MAX(1,IF(G1210&gt;0,AA1210/G1210,1))),AB1210*Q1210)</f>
        <v/>
      </c>
      <c r="AD1210" s="55">
        <f>AA1210*F1210</f>
        <v/>
      </c>
      <c r="AE1210" s="55">
        <f>ROUNDUP(MAX(I1210/IF(BS1210&gt;0,BS1210,MAX(0.1,N(Cockpit!$C$6))),BV1210)/BN1210,0)*BN1210</f>
        <v/>
      </c>
      <c r="AF1210" s="56">
        <f>IF(AC1210&gt;0,I1210/AC1210,-1)</f>
        <v/>
      </c>
      <c r="AG1210" s="56">
        <f>IF(AND(OR(BR1210="L1",BR1210="L23"),AC1210&gt;0),SUMIFS($AC$7:$AC$1570,$BR$7:$BR$1570,BR1210,$AF$7:$AF$1570,"&gt;"&amp;AF1210)+SUMIFS($AC$7:$AC$1570,$BR$7:$BR$1570,BR1210,$AF$7:$AF$1570,AF1210,$BL$7:$BL$1570,"&lt;="&amp;BL1210),"")</f>
        <v/>
      </c>
      <c r="AH1210" s="65">
        <f>IF(AG1210="",0,MAX(0,MIN(1,(IF(BR1210="L1",Parameter!$K$5,Parameter!$K$6+Parameter!$K$7)-(AG1210-AC1210))/AC1210)))</f>
        <v/>
      </c>
      <c r="AI1210" s="55">
        <f>IF(LEFT(Cockpit!$I$5,1)="A",G1210,IF(BT1210=1,BU1210,IF(LEFT(Cockpit!$I$5,1)="B",AM1210,MAX(AM1210,G1210))))</f>
        <v/>
      </c>
      <c r="AJ1210" s="55">
        <f>IF(BO1210=1,0,ROUNDUP(AI1210/BN1210,0))</f>
        <v/>
      </c>
      <c r="AK1210" s="64">
        <f>IF(BO1210=1,IF(AI1210&lt;=0,0,BP1210*MAX(1,IF(G1210&gt;0,AI1210/G1210,1))),AJ1210*Q1210)</f>
        <v/>
      </c>
      <c r="AL1210" s="55">
        <f>AI1210*F1210</f>
        <v/>
      </c>
      <c r="AM1210" s="55">
        <f>ROUNDUP(MAX(I1210/IF(BS1210&gt;0,BS1210,MAX(0.1,N(Cockpit!$I$6))),BV1210)/BN1210,0)*BN1210</f>
        <v/>
      </c>
      <c r="AN1210" s="56">
        <f>IF(AK1210&gt;0,I1210/AK1210,-1)</f>
        <v/>
      </c>
      <c r="AO1210" s="56">
        <f>IF(AND(OR(BR1210="L1",BR1210="L23"),AK1210&gt;0),SUMIFS($AK$7:$AK$1570,$BR$7:$BR$1570,BR1210,$AN$7:$AN$1570,"&gt;"&amp;AN1210)+SUMIFS($AK$7:$AK$1570,$BR$7:$BR$1570,BR1210,$AN$7:$AN$1570,AN1210,$BL$7:$BL$1570,"&lt;="&amp;BL1210),"")</f>
        <v/>
      </c>
      <c r="AP1210" s="65">
        <f>IF(AO1210="",0,MAX(0,MIN(1,(IF(BR1210="L1",Parameter!$K$5,Parameter!$K$6+Parameter!$K$7)-(AO1210-AK1210))/AK1210)))</f>
        <v/>
      </c>
      <c r="AQ1210" s="55">
        <f>IF(LEFT(Cockpit!$O$5,1)="A",G1210,IF(BT1210=1,BU1210,IF(LEFT(Cockpit!$O$5,1)="B",AU1210,MAX(AU1210,G1210))))</f>
        <v/>
      </c>
      <c r="AR1210" s="55">
        <f>IF(BO1210=1,0,ROUNDUP(AQ1210/BN1210,0))</f>
        <v/>
      </c>
      <c r="AS1210" s="64">
        <f>IF(BO1210=1,IF(AQ1210&lt;=0,0,BP1210*MAX(1,IF(G1210&gt;0,AQ1210/G1210,1))),AR1210*Q1210)</f>
        <v/>
      </c>
      <c r="AT1210" s="55">
        <f>AQ1210*F1210</f>
        <v/>
      </c>
      <c r="AU1210" s="55">
        <f>ROUNDUP(MAX(I1210/IF(BS1210&gt;0,BS1210,MAX(0.1,N(Cockpit!$O$6))),BV1210)/BN1210,0)*BN1210</f>
        <v/>
      </c>
      <c r="AV1210" s="56">
        <f>IF(AS1210&gt;0,I1210/AS1210,-1)</f>
        <v/>
      </c>
      <c r="AW1210" s="56">
        <f>IF(AND(OR(BR1210="L1",BR1210="L23"),AS1210&gt;0),SUMIFS($AS$7:$AS$1570,$BR$7:$BR$1570,BR1210,$AV$7:$AV$1570,"&gt;"&amp;AV1210)+SUMIFS($AS$7:$AS$1570,$BR$7:$BR$1570,BR1210,$AV$7:$AV$1570,AV1210,$BL$7:$BL$1570,"&lt;="&amp;BL1210),"")</f>
        <v/>
      </c>
      <c r="AX1210" s="65">
        <f>IF(AW1210="",0,MAX(0,MIN(1,(IF(BR1210="L1",Parameter!$K$5,Parameter!$K$6+Parameter!$K$7)-(AW1210-AS1210))/AS1210)))</f>
        <v/>
      </c>
      <c r="AY1210" s="53">
        <f>IF(AC1210&lt;=0,"",IF(BR1210="Aussen","Aussenlager",IF(BR1210="-","Nicht im Lift",IF(AH1210&gt;=1,"Lift",IF(AH1210&lt;=0,"Aussenlager","teilweise")))))</f>
        <v/>
      </c>
      <c r="AZ1210" s="53">
        <f>IF(AK1210&lt;=0,"",IF(BR1210="Aussen","Aussenlager",IF(BR1210="-","Nicht im Lift",IF(AP1210&gt;=1,"Lift",IF(AP1210&lt;=0,"Aussenlager","teilweise")))))</f>
        <v/>
      </c>
      <c r="BA1210" s="53">
        <f>IF(AS1210&lt;=0,"",IF(BR1210="Aussen","Aussenlager",IF(BR1210="-","Nicht im Lift",IF(AX1210&gt;=1,"Lift",IF(AX1210&lt;=0,"Aussenlager","teilweise")))))</f>
        <v/>
      </c>
      <c r="BB1210" s="53">
        <f>IF(A1210="","",IF(BK1210=1,"Neu; ","")&amp;IF(AND(BK1210=0,BF1210&lt;0),"negativer Bestand (Export "&amp;BF1210&amp;"); ","")&amp;IF(I1210&lt;=0,"Kein Verbrauch; ","")&amp;IF(BO1210=1,"Lose – Fläche geschätzt; ","")&amp;IF(G1210&gt;AM1210,"Überbestand "&amp;ROUND(G1210-AM1210,0)&amp;" Stk / CHF "&amp;ROUND((G1210-AM1210)*F1210,0)&amp;"; ","")&amp;IF(AND(BT1210=1,BU1210&lt;BV1210),"MAX &lt; MB+LG; ","")&amp;IF(AND(BZ1210&gt;0,BY1210*10&gt;BZ1210),"zu hoch für Tablar; ","")&amp;IF(AND(BK1210=0,OR(BT1210=1,V1210&lt;&gt;"",S1210&lt;&gt;"",T1210&lt;&gt;"",W1210&lt;&gt;"")),"manuell übersteuert; ","")&amp;IF(AND(BO1210=0,Q1210=0),"Gebinde unbekannt; ","")&amp;IF(AND(BO1210=0,N(T1210)&lt;=0,N(P1210)&lt;=0),"Menge pro Gebinde fehlt (Ist = 1 Gebinde); ","")&amp;BJ1210)</f>
        <v/>
      </c>
      <c r="BC1210" s="53" t="n"/>
      <c r="BD1210" s="53" t="n"/>
      <c r="BE1210" s="61" t="n"/>
      <c r="BF1210" s="55" t="n">
        <v>-3</v>
      </c>
      <c r="BG1210" s="55" t="n">
        <v>8</v>
      </c>
      <c r="BH1210" s="54" t="n">
        <v>-527.6299999999987</v>
      </c>
      <c r="BI1210" s="55" t="n">
        <v>18</v>
      </c>
      <c r="BJ1210" s="53" t="inlineStr"/>
      <c r="BK1210" s="58" t="n">
        <v>0</v>
      </c>
      <c r="BL1210" s="58" t="n">
        <v>1210</v>
      </c>
      <c r="BM1210" s="53">
        <f>IF(S1210&lt;&gt;"",UPPER(TRIM(S1210)),IF(O1210="","LOSE",O1210))</f>
        <v/>
      </c>
      <c r="BN1210" s="55">
        <f>IF(BM1210="LOSE",1,IF(N(T1210)&gt;0,T1210,IF(N(P1210)&gt;0,P1210,MAX(1,G1210))))</f>
        <v/>
      </c>
      <c r="BO1210" s="58">
        <f>IF(BM1210="LOSE",1,0)</f>
        <v/>
      </c>
      <c r="BP1210" s="64">
        <f>IF(BO1210=0,0,IF(N(R1210)&gt;0,R1210,IFERROR(VLOOKUP(D1210,Parameter!$A$35:$C$64,3,0)+0,0)))</f>
        <v/>
      </c>
      <c r="BQ1210" s="53">
        <f>IF(V1210&lt;&gt;"",V1210,U1210)</f>
        <v/>
      </c>
      <c r="BR1210" s="53">
        <f>IF(BQ1210=1,"L1",IF(OR(BQ1210=2,BQ1210=3),"L23",IF(BQ1210="Aussen","Aussen","-")))</f>
        <v/>
      </c>
      <c r="BS1210" s="66">
        <f>IF(N(W1210)&gt;0,W1210,0)</f>
        <v/>
      </c>
      <c r="BT1210" s="58">
        <f>IF(ISNUMBER(Z1210),1,0)</f>
        <v/>
      </c>
      <c r="BU1210" s="55">
        <f>N(Z1210)</f>
        <v/>
      </c>
      <c r="BV1210" s="55">
        <f>N(L1210)+N(M1210)</f>
        <v/>
      </c>
      <c r="BW1210" s="55">
        <f>ROUNDUP(G1210/BN1210,0)</f>
        <v/>
      </c>
      <c r="BX1210" s="55">
        <f>ROUNDUP(BU1210/BN1210,0)</f>
        <v/>
      </c>
      <c r="BY1210" s="58">
        <f>IF(BO1210=1,0,IFERROR(VLOOKUP(BM1210,'Gebinde-Kategorie'!$A$5:$G$45,5,0)+0,0))</f>
        <v/>
      </c>
      <c r="BZ1210" s="58">
        <f>IFERROR(IF(OR(BQ1210=1,BQ1210=2,BQ1210=3),N(INDEX(Parameter!$I$5:$I$7,BQ1210)),0),0)</f>
        <v/>
      </c>
    </row>
    <row r="1211">
      <c r="A1211" s="53" t="inlineStr">
        <is>
          <t>108865</t>
        </is>
      </c>
      <c r="B1211" s="53" t="inlineStr">
        <is>
          <t>Aufrüst Litzenset 1. SLM</t>
        </is>
      </c>
      <c r="C1211" s="53" t="inlineStr">
        <is>
          <t>F</t>
        </is>
      </c>
      <c r="D1211" s="53" t="inlineStr">
        <is>
          <t>KTL</t>
        </is>
      </c>
      <c r="E1211" s="53" t="inlineStr">
        <is>
          <t>C</t>
        </is>
      </c>
      <c r="F1211" s="54" t="n">
        <v>48.12</v>
      </c>
      <c r="G1211" s="55">
        <f>MAX(0,IF(Parameter!$B$20="Jahresanfang 2025 + Export",BG1211+BF1211,BF1211))</f>
        <v/>
      </c>
      <c r="H1211" s="55">
        <f>G1211*F1211</f>
        <v/>
      </c>
      <c r="I1211" s="55">
        <f>BI1211*Parameter!$B$18</f>
        <v/>
      </c>
      <c r="J1211" s="56" t="n">
        <v>40.5</v>
      </c>
      <c r="K1211" s="57" t="n">
        <v>0.345679012345679</v>
      </c>
      <c r="L1211" s="55" t="n">
        <v>1</v>
      </c>
      <c r="M1211" s="55" t="n">
        <v>15</v>
      </c>
      <c r="N1211" s="58" t="n">
        <v>28</v>
      </c>
      <c r="O1211" s="53" t="inlineStr">
        <is>
          <t>S52</t>
        </is>
      </c>
      <c r="P1211" s="55" t="n">
        <v>38</v>
      </c>
      <c r="Q1211" s="59">
        <f>IF(BO1211=1,0,IFERROR(VLOOKUP(BM1211,'Gebinde-Kategorie'!$A$5:$G$45,6,0)+0,0))</f>
        <v/>
      </c>
      <c r="R1211" s="60" t="n"/>
      <c r="S1211" s="61" t="n"/>
      <c r="T1211" s="61" t="n"/>
      <c r="U1211" s="53">
        <f>IF(A1211="","",IF(IFERROR(VLOOKUP(D1211,Parameter!$A$35:$C$64,2,0),"Nein")="2+3",IF(ISNUMBER(SEARCH("grosser Artikel",BJ1211)),2,IFERROR(VLOOKUP(BM1211,Parameter!$F$35:$G$64,2,0),2)),IF(OR(IFERROR(VLOOKUP(D1211,Parameter!$A$35:$C$64,2,0),"Nein")="Nein",IFERROR(VLOOKUP(D1211,Parameter!$A$35:$C$64,2,0),"Nein")=""),"-",VLOOKUP(D1211,Parameter!$A$35:$C$64,2,0))))</f>
        <v/>
      </c>
      <c r="V1211" s="61" t="n"/>
      <c r="W1211" s="62" t="n"/>
      <c r="X1211" s="55">
        <f>AM1211</f>
        <v/>
      </c>
      <c r="Y1211" s="55">
        <f>MAX(AM1211,G1211)</f>
        <v/>
      </c>
      <c r="Z1211" s="63" t="n"/>
      <c r="AA1211" s="55">
        <f>IF(LEFT(Cockpit!$C$5,1)="A",G1211,IF(BT1211=1,BU1211,IF(LEFT(Cockpit!$C$5,1)="B",AE1211,MAX(AE1211,G1211))))</f>
        <v/>
      </c>
      <c r="AB1211" s="55">
        <f>IF(BO1211=1,0,ROUNDUP(AA1211/BN1211,0))</f>
        <v/>
      </c>
      <c r="AC1211" s="64">
        <f>IF(BO1211=1,IF(AA1211&lt;=0,0,BP1211*MAX(1,IF(G1211&gt;0,AA1211/G1211,1))),AB1211*Q1211)</f>
        <v/>
      </c>
      <c r="AD1211" s="55">
        <f>AA1211*F1211</f>
        <v/>
      </c>
      <c r="AE1211" s="55">
        <f>ROUNDUP(MAX(I1211/IF(BS1211&gt;0,BS1211,MAX(0.1,N(Cockpit!$C$6))),BV1211)/BN1211,0)*BN1211</f>
        <v/>
      </c>
      <c r="AF1211" s="56">
        <f>IF(AC1211&gt;0,I1211/AC1211,-1)</f>
        <v/>
      </c>
      <c r="AG1211" s="56">
        <f>IF(AND(OR(BR1211="L1",BR1211="L23"),AC1211&gt;0),SUMIFS($AC$7:$AC$1570,$BR$7:$BR$1570,BR1211,$AF$7:$AF$1570,"&gt;"&amp;AF1211)+SUMIFS($AC$7:$AC$1570,$BR$7:$BR$1570,BR1211,$AF$7:$AF$1570,AF1211,$BL$7:$BL$1570,"&lt;="&amp;BL1211),"")</f>
        <v/>
      </c>
      <c r="AH1211" s="65">
        <f>IF(AG1211="",0,MAX(0,MIN(1,(IF(BR1211="L1",Parameter!$K$5,Parameter!$K$6+Parameter!$K$7)-(AG1211-AC1211))/AC1211)))</f>
        <v/>
      </c>
      <c r="AI1211" s="55">
        <f>IF(LEFT(Cockpit!$I$5,1)="A",G1211,IF(BT1211=1,BU1211,IF(LEFT(Cockpit!$I$5,1)="B",AM1211,MAX(AM1211,G1211))))</f>
        <v/>
      </c>
      <c r="AJ1211" s="55">
        <f>IF(BO1211=1,0,ROUNDUP(AI1211/BN1211,0))</f>
        <v/>
      </c>
      <c r="AK1211" s="64">
        <f>IF(BO1211=1,IF(AI1211&lt;=0,0,BP1211*MAX(1,IF(G1211&gt;0,AI1211/G1211,1))),AJ1211*Q1211)</f>
        <v/>
      </c>
      <c r="AL1211" s="55">
        <f>AI1211*F1211</f>
        <v/>
      </c>
      <c r="AM1211" s="55">
        <f>ROUNDUP(MAX(I1211/IF(BS1211&gt;0,BS1211,MAX(0.1,N(Cockpit!$I$6))),BV1211)/BN1211,0)*BN1211</f>
        <v/>
      </c>
      <c r="AN1211" s="56">
        <f>IF(AK1211&gt;0,I1211/AK1211,-1)</f>
        <v/>
      </c>
      <c r="AO1211" s="56">
        <f>IF(AND(OR(BR1211="L1",BR1211="L23"),AK1211&gt;0),SUMIFS($AK$7:$AK$1570,$BR$7:$BR$1570,BR1211,$AN$7:$AN$1570,"&gt;"&amp;AN1211)+SUMIFS($AK$7:$AK$1570,$BR$7:$BR$1570,BR1211,$AN$7:$AN$1570,AN1211,$BL$7:$BL$1570,"&lt;="&amp;BL1211),"")</f>
        <v/>
      </c>
      <c r="AP1211" s="65">
        <f>IF(AO1211="",0,MAX(0,MIN(1,(IF(BR1211="L1",Parameter!$K$5,Parameter!$K$6+Parameter!$K$7)-(AO1211-AK1211))/AK1211)))</f>
        <v/>
      </c>
      <c r="AQ1211" s="55">
        <f>IF(LEFT(Cockpit!$O$5,1)="A",G1211,IF(BT1211=1,BU1211,IF(LEFT(Cockpit!$O$5,1)="B",AU1211,MAX(AU1211,G1211))))</f>
        <v/>
      </c>
      <c r="AR1211" s="55">
        <f>IF(BO1211=1,0,ROUNDUP(AQ1211/BN1211,0))</f>
        <v/>
      </c>
      <c r="AS1211" s="64">
        <f>IF(BO1211=1,IF(AQ1211&lt;=0,0,BP1211*MAX(1,IF(G1211&gt;0,AQ1211/G1211,1))),AR1211*Q1211)</f>
        <v/>
      </c>
      <c r="AT1211" s="55">
        <f>AQ1211*F1211</f>
        <v/>
      </c>
      <c r="AU1211" s="55">
        <f>ROUNDUP(MAX(I1211/IF(BS1211&gt;0,BS1211,MAX(0.1,N(Cockpit!$O$6))),BV1211)/BN1211,0)*BN1211</f>
        <v/>
      </c>
      <c r="AV1211" s="56">
        <f>IF(AS1211&gt;0,I1211/AS1211,-1)</f>
        <v/>
      </c>
      <c r="AW1211" s="56">
        <f>IF(AND(OR(BR1211="L1",BR1211="L23"),AS1211&gt;0),SUMIFS($AS$7:$AS$1570,$BR$7:$BR$1570,BR1211,$AV$7:$AV$1570,"&gt;"&amp;AV1211)+SUMIFS($AS$7:$AS$1570,$BR$7:$BR$1570,BR1211,$AV$7:$AV$1570,AV1211,$BL$7:$BL$1570,"&lt;="&amp;BL1211),"")</f>
        <v/>
      </c>
      <c r="AX1211" s="65">
        <f>IF(AW1211="",0,MAX(0,MIN(1,(IF(BR1211="L1",Parameter!$K$5,Parameter!$K$6+Parameter!$K$7)-(AW1211-AS1211))/AS1211)))</f>
        <v/>
      </c>
      <c r="AY1211" s="53">
        <f>IF(AC1211&lt;=0,"",IF(BR1211="Aussen","Aussenlager",IF(BR1211="-","Nicht im Lift",IF(AH1211&gt;=1,"Lift",IF(AH1211&lt;=0,"Aussenlager","teilweise")))))</f>
        <v/>
      </c>
      <c r="AZ1211" s="53">
        <f>IF(AK1211&lt;=0,"",IF(BR1211="Aussen","Aussenlager",IF(BR1211="-","Nicht im Lift",IF(AP1211&gt;=1,"Lift",IF(AP1211&lt;=0,"Aussenlager","teilweise")))))</f>
        <v/>
      </c>
      <c r="BA1211" s="53">
        <f>IF(AS1211&lt;=0,"",IF(BR1211="Aussen","Aussenlager",IF(BR1211="-","Nicht im Lift",IF(AX1211&gt;=1,"Lift",IF(AX1211&lt;=0,"Aussenlager","teilweise")))))</f>
        <v/>
      </c>
      <c r="BB1211" s="53">
        <f>IF(A1211="","",IF(BK1211=1,"Neu; ","")&amp;IF(AND(BK1211=0,BF1211&lt;0),"negativer Bestand (Export "&amp;BF1211&amp;"); ","")&amp;IF(I1211&lt;=0,"Kein Verbrauch; ","")&amp;IF(BO1211=1,"Lose – Fläche geschätzt; ","")&amp;IF(G1211&gt;AM1211,"Überbestand "&amp;ROUND(G1211-AM1211,0)&amp;" Stk / CHF "&amp;ROUND((G1211-AM1211)*F1211,0)&amp;"; ","")&amp;IF(AND(BT1211=1,BU1211&lt;BV1211),"MAX &lt; MB+LG; ","")&amp;IF(AND(BZ1211&gt;0,BY1211*10&gt;BZ1211),"zu hoch für Tablar; ","")&amp;IF(AND(BK1211=0,OR(BT1211=1,V1211&lt;&gt;"",S1211&lt;&gt;"",T1211&lt;&gt;"",W1211&lt;&gt;"")),"manuell übersteuert; ","")&amp;IF(AND(BO1211=0,Q1211=0),"Gebinde unbekannt; ","")&amp;IF(AND(BO1211=0,N(T1211)&lt;=0,N(P1211)&lt;=0),"Menge pro Gebinde fehlt (Ist = 1 Gebinde); ","")&amp;BJ1211)</f>
        <v/>
      </c>
      <c r="BC1211" s="53" t="n"/>
      <c r="BD1211" s="53" t="n"/>
      <c r="BE1211" s="61" t="n"/>
      <c r="BF1211" s="55" t="n">
        <v>-11</v>
      </c>
      <c r="BG1211" s="55" t="n">
        <v>45</v>
      </c>
      <c r="BH1211" s="54" t="n">
        <v>-529.3199999999999</v>
      </c>
      <c r="BI1211" s="55" t="n">
        <v>14</v>
      </c>
      <c r="BJ1211" s="53" t="inlineStr">
        <is>
          <t>Neu</t>
        </is>
      </c>
      <c r="BK1211" s="58" t="n">
        <v>0</v>
      </c>
      <c r="BL1211" s="58" t="n">
        <v>1211</v>
      </c>
      <c r="BM1211" s="53">
        <f>IF(S1211&lt;&gt;"",UPPER(TRIM(S1211)),IF(O1211="","LOSE",O1211))</f>
        <v/>
      </c>
      <c r="BN1211" s="55">
        <f>IF(BM1211="LOSE",1,IF(N(T1211)&gt;0,T1211,IF(N(P1211)&gt;0,P1211,MAX(1,G1211))))</f>
        <v/>
      </c>
      <c r="BO1211" s="58">
        <f>IF(BM1211="LOSE",1,0)</f>
        <v/>
      </c>
      <c r="BP1211" s="64">
        <f>IF(BO1211=0,0,IF(N(R1211)&gt;0,R1211,IFERROR(VLOOKUP(D1211,Parameter!$A$35:$C$64,3,0)+0,0)))</f>
        <v/>
      </c>
      <c r="BQ1211" s="53">
        <f>IF(V1211&lt;&gt;"",V1211,U1211)</f>
        <v/>
      </c>
      <c r="BR1211" s="53">
        <f>IF(BQ1211=1,"L1",IF(OR(BQ1211=2,BQ1211=3),"L23",IF(BQ1211="Aussen","Aussen","-")))</f>
        <v/>
      </c>
      <c r="BS1211" s="66">
        <f>IF(N(W1211)&gt;0,W1211,0)</f>
        <v/>
      </c>
      <c r="BT1211" s="58">
        <f>IF(ISNUMBER(Z1211),1,0)</f>
        <v/>
      </c>
      <c r="BU1211" s="55">
        <f>N(Z1211)</f>
        <v/>
      </c>
      <c r="BV1211" s="55">
        <f>N(L1211)+N(M1211)</f>
        <v/>
      </c>
      <c r="BW1211" s="55">
        <f>ROUNDUP(G1211/BN1211,0)</f>
        <v/>
      </c>
      <c r="BX1211" s="55">
        <f>ROUNDUP(BU1211/BN1211,0)</f>
        <v/>
      </c>
      <c r="BY1211" s="58">
        <f>IF(BO1211=1,0,IFERROR(VLOOKUP(BM1211,'Gebinde-Kategorie'!$A$5:$G$45,5,0)+0,0))</f>
        <v/>
      </c>
      <c r="BZ1211" s="58">
        <f>IFERROR(IF(OR(BQ1211=1,BQ1211=2,BQ1211=3),N(INDEX(Parameter!$I$5:$I$7,BQ1211)),0),0)</f>
        <v/>
      </c>
    </row>
    <row r="1212">
      <c r="A1212" s="53" t="inlineStr">
        <is>
          <t>106953</t>
        </is>
      </c>
      <c r="B1212" s="53" t="inlineStr">
        <is>
          <t>Digitales Relaismodul Ausgang</t>
        </is>
      </c>
      <c r="C1212" s="53" t="inlineStr">
        <is>
          <t>F</t>
        </is>
      </c>
      <c r="D1212" s="53" t="inlineStr">
        <is>
          <t>KTL</t>
        </is>
      </c>
      <c r="E1212" s="53" t="inlineStr">
        <is>
          <t>C</t>
        </is>
      </c>
      <c r="F1212" s="54" t="n">
        <v>44.28</v>
      </c>
      <c r="G1212" s="55">
        <f>MAX(0,IF(Parameter!$B$20="Jahresanfang 2025 + Export",BG1212+BF1212,BF1212))</f>
        <v/>
      </c>
      <c r="H1212" s="55">
        <f>G1212*F1212</f>
        <v/>
      </c>
      <c r="I1212" s="55">
        <f>BI1212*Parameter!$B$18</f>
        <v/>
      </c>
      <c r="J1212" s="56" t="n">
        <v>394.5</v>
      </c>
      <c r="K1212" s="57" t="n">
        <v>0.02281368821292776</v>
      </c>
      <c r="L1212" s="55" t="n">
        <v>0</v>
      </c>
      <c r="M1212" s="55" t="n">
        <v>10</v>
      </c>
      <c r="N1212" s="58" t="n">
        <v>28</v>
      </c>
      <c r="O1212" s="53" t="inlineStr">
        <is>
          <t>S61</t>
        </is>
      </c>
      <c r="P1212" s="55" t="n">
        <v>150</v>
      </c>
      <c r="Q1212" s="59">
        <f>IF(BO1212=1,0,IFERROR(VLOOKUP(BM1212,'Gebinde-Kategorie'!$A$5:$G$45,6,0)+0,0))</f>
        <v/>
      </c>
      <c r="R1212" s="60" t="n"/>
      <c r="S1212" s="61" t="n"/>
      <c r="T1212" s="61" t="n"/>
      <c r="U1212" s="53">
        <f>IF(A1212="","",IF(IFERROR(VLOOKUP(D1212,Parameter!$A$35:$C$64,2,0),"Nein")="2+3",IF(ISNUMBER(SEARCH("grosser Artikel",BJ1212)),2,IFERROR(VLOOKUP(BM1212,Parameter!$F$35:$G$64,2,0),2)),IF(OR(IFERROR(VLOOKUP(D1212,Parameter!$A$35:$C$64,2,0),"Nein")="Nein",IFERROR(VLOOKUP(D1212,Parameter!$A$35:$C$64,2,0),"Nein")=""),"-",VLOOKUP(D1212,Parameter!$A$35:$C$64,2,0))))</f>
        <v/>
      </c>
      <c r="V1212" s="61" t="n"/>
      <c r="W1212" s="62" t="n"/>
      <c r="X1212" s="55">
        <f>AM1212</f>
        <v/>
      </c>
      <c r="Y1212" s="55">
        <f>MAX(AM1212,G1212)</f>
        <v/>
      </c>
      <c r="Z1212" s="63" t="n"/>
      <c r="AA1212" s="55">
        <f>IF(LEFT(Cockpit!$C$5,1)="A",G1212,IF(BT1212=1,BU1212,IF(LEFT(Cockpit!$C$5,1)="B",AE1212,MAX(AE1212,G1212))))</f>
        <v/>
      </c>
      <c r="AB1212" s="55">
        <f>IF(BO1212=1,0,ROUNDUP(AA1212/BN1212,0))</f>
        <v/>
      </c>
      <c r="AC1212" s="64">
        <f>IF(BO1212=1,IF(AA1212&lt;=0,0,BP1212*MAX(1,IF(G1212&gt;0,AA1212/G1212,1))),AB1212*Q1212)</f>
        <v/>
      </c>
      <c r="AD1212" s="55">
        <f>AA1212*F1212</f>
        <v/>
      </c>
      <c r="AE1212" s="55">
        <f>ROUNDUP(MAX(I1212/IF(BS1212&gt;0,BS1212,MAX(0.1,N(Cockpit!$C$6))),BV1212)/BN1212,0)*BN1212</f>
        <v/>
      </c>
      <c r="AF1212" s="56">
        <f>IF(AC1212&gt;0,I1212/AC1212,-1)</f>
        <v/>
      </c>
      <c r="AG1212" s="56">
        <f>IF(AND(OR(BR1212="L1",BR1212="L23"),AC1212&gt;0),SUMIFS($AC$7:$AC$1570,$BR$7:$BR$1570,BR1212,$AF$7:$AF$1570,"&gt;"&amp;AF1212)+SUMIFS($AC$7:$AC$1570,$BR$7:$BR$1570,BR1212,$AF$7:$AF$1570,AF1212,$BL$7:$BL$1570,"&lt;="&amp;BL1212),"")</f>
        <v/>
      </c>
      <c r="AH1212" s="65">
        <f>IF(AG1212="",0,MAX(0,MIN(1,(IF(BR1212="L1",Parameter!$K$5,Parameter!$K$6+Parameter!$K$7)-(AG1212-AC1212))/AC1212)))</f>
        <v/>
      </c>
      <c r="AI1212" s="55">
        <f>IF(LEFT(Cockpit!$I$5,1)="A",G1212,IF(BT1212=1,BU1212,IF(LEFT(Cockpit!$I$5,1)="B",AM1212,MAX(AM1212,G1212))))</f>
        <v/>
      </c>
      <c r="AJ1212" s="55">
        <f>IF(BO1212=1,0,ROUNDUP(AI1212/BN1212,0))</f>
        <v/>
      </c>
      <c r="AK1212" s="64">
        <f>IF(BO1212=1,IF(AI1212&lt;=0,0,BP1212*MAX(1,IF(G1212&gt;0,AI1212/G1212,1))),AJ1212*Q1212)</f>
        <v/>
      </c>
      <c r="AL1212" s="55">
        <f>AI1212*F1212</f>
        <v/>
      </c>
      <c r="AM1212" s="55">
        <f>ROUNDUP(MAX(I1212/IF(BS1212&gt;0,BS1212,MAX(0.1,N(Cockpit!$I$6))),BV1212)/BN1212,0)*BN1212</f>
        <v/>
      </c>
      <c r="AN1212" s="56">
        <f>IF(AK1212&gt;0,I1212/AK1212,-1)</f>
        <v/>
      </c>
      <c r="AO1212" s="56">
        <f>IF(AND(OR(BR1212="L1",BR1212="L23"),AK1212&gt;0),SUMIFS($AK$7:$AK$1570,$BR$7:$BR$1570,BR1212,$AN$7:$AN$1570,"&gt;"&amp;AN1212)+SUMIFS($AK$7:$AK$1570,$BR$7:$BR$1570,BR1212,$AN$7:$AN$1570,AN1212,$BL$7:$BL$1570,"&lt;="&amp;BL1212),"")</f>
        <v/>
      </c>
      <c r="AP1212" s="65">
        <f>IF(AO1212="",0,MAX(0,MIN(1,(IF(BR1212="L1",Parameter!$K$5,Parameter!$K$6+Parameter!$K$7)-(AO1212-AK1212))/AK1212)))</f>
        <v/>
      </c>
      <c r="AQ1212" s="55">
        <f>IF(LEFT(Cockpit!$O$5,1)="A",G1212,IF(BT1212=1,BU1212,IF(LEFT(Cockpit!$O$5,1)="B",AU1212,MAX(AU1212,G1212))))</f>
        <v/>
      </c>
      <c r="AR1212" s="55">
        <f>IF(BO1212=1,0,ROUNDUP(AQ1212/BN1212,0))</f>
        <v/>
      </c>
      <c r="AS1212" s="64">
        <f>IF(BO1212=1,IF(AQ1212&lt;=0,0,BP1212*MAX(1,IF(G1212&gt;0,AQ1212/G1212,1))),AR1212*Q1212)</f>
        <v/>
      </c>
      <c r="AT1212" s="55">
        <f>AQ1212*F1212</f>
        <v/>
      </c>
      <c r="AU1212" s="55">
        <f>ROUNDUP(MAX(I1212/IF(BS1212&gt;0,BS1212,MAX(0.1,N(Cockpit!$O$6))),BV1212)/BN1212,0)*BN1212</f>
        <v/>
      </c>
      <c r="AV1212" s="56">
        <f>IF(AS1212&gt;0,I1212/AS1212,-1)</f>
        <v/>
      </c>
      <c r="AW1212" s="56">
        <f>IF(AND(OR(BR1212="L1",BR1212="L23"),AS1212&gt;0),SUMIFS($AS$7:$AS$1570,$BR$7:$BR$1570,BR1212,$AV$7:$AV$1570,"&gt;"&amp;AV1212)+SUMIFS($AS$7:$AS$1570,$BR$7:$BR$1570,BR1212,$AV$7:$AV$1570,AV1212,$BL$7:$BL$1570,"&lt;="&amp;BL1212),"")</f>
        <v/>
      </c>
      <c r="AX1212" s="65">
        <f>IF(AW1212="",0,MAX(0,MIN(1,(IF(BR1212="L1",Parameter!$K$5,Parameter!$K$6+Parameter!$K$7)-(AW1212-AS1212))/AS1212)))</f>
        <v/>
      </c>
      <c r="AY1212" s="53">
        <f>IF(AC1212&lt;=0,"",IF(BR1212="Aussen","Aussenlager",IF(BR1212="-","Nicht im Lift",IF(AH1212&gt;=1,"Lift",IF(AH1212&lt;=0,"Aussenlager","teilweise")))))</f>
        <v/>
      </c>
      <c r="AZ1212" s="53">
        <f>IF(AK1212&lt;=0,"",IF(BR1212="Aussen","Aussenlager",IF(BR1212="-","Nicht im Lift",IF(AP1212&gt;=1,"Lift",IF(AP1212&lt;=0,"Aussenlager","teilweise")))))</f>
        <v/>
      </c>
      <c r="BA1212" s="53">
        <f>IF(AS1212&lt;=0,"",IF(BR1212="Aussen","Aussenlager",IF(BR1212="-","Nicht im Lift",IF(AX1212&gt;=1,"Lift",IF(AX1212&lt;=0,"Aussenlager","teilweise")))))</f>
        <v/>
      </c>
      <c r="BB1212" s="53">
        <f>IF(A1212="","",IF(BK1212=1,"Neu; ","")&amp;IF(AND(BK1212=0,BF1212&lt;0),"negativer Bestand (Export "&amp;BF1212&amp;"); ","")&amp;IF(I1212&lt;=0,"Kein Verbrauch; ","")&amp;IF(BO1212=1,"Lose – Fläche geschätzt; ","")&amp;IF(G1212&gt;AM1212,"Überbestand "&amp;ROUND(G1212-AM1212,0)&amp;" Stk / CHF "&amp;ROUND((G1212-AM1212)*F1212,0)&amp;"; ","")&amp;IF(AND(BT1212=1,BU1212&lt;BV1212),"MAX &lt; MB+LG; ","")&amp;IF(AND(BZ1212&gt;0,BY1212*10&gt;BZ1212),"zu hoch für Tablar; ","")&amp;IF(AND(BK1212=0,OR(BT1212=1,V1212&lt;&gt;"",S1212&lt;&gt;"",T1212&lt;&gt;"",W1212&lt;&gt;"")),"manuell übersteuert; ","")&amp;IF(AND(BO1212=0,Q1212=0),"Gebinde unbekannt; ","")&amp;IF(AND(BO1212=0,N(T1212)&lt;=0,N(P1212)&lt;=0),"Menge pro Gebinde fehlt (Ist = 1 Gebinde); ","")&amp;BJ1212)</f>
        <v/>
      </c>
      <c r="BC1212" s="53" t="n"/>
      <c r="BD1212" s="53" t="n"/>
      <c r="BE1212" s="61" t="n"/>
      <c r="BF1212" s="55" t="n">
        <v>-12</v>
      </c>
      <c r="BG1212" s="55" t="n">
        <v>397</v>
      </c>
      <c r="BH1212" s="54" t="n">
        <v>-531.3599999999997</v>
      </c>
      <c r="BI1212" s="55" t="n">
        <v>9</v>
      </c>
      <c r="BJ1212" s="53" t="inlineStr">
        <is>
          <t>i.o</t>
        </is>
      </c>
      <c r="BK1212" s="58" t="n">
        <v>0</v>
      </c>
      <c r="BL1212" s="58" t="n">
        <v>1212</v>
      </c>
      <c r="BM1212" s="53">
        <f>IF(S1212&lt;&gt;"",UPPER(TRIM(S1212)),IF(O1212="","LOSE",O1212))</f>
        <v/>
      </c>
      <c r="BN1212" s="55">
        <f>IF(BM1212="LOSE",1,IF(N(T1212)&gt;0,T1212,IF(N(P1212)&gt;0,P1212,MAX(1,G1212))))</f>
        <v/>
      </c>
      <c r="BO1212" s="58">
        <f>IF(BM1212="LOSE",1,0)</f>
        <v/>
      </c>
      <c r="BP1212" s="64">
        <f>IF(BO1212=0,0,IF(N(R1212)&gt;0,R1212,IFERROR(VLOOKUP(D1212,Parameter!$A$35:$C$64,3,0)+0,0)))</f>
        <v/>
      </c>
      <c r="BQ1212" s="53">
        <f>IF(V1212&lt;&gt;"",V1212,U1212)</f>
        <v/>
      </c>
      <c r="BR1212" s="53">
        <f>IF(BQ1212=1,"L1",IF(OR(BQ1212=2,BQ1212=3),"L23",IF(BQ1212="Aussen","Aussen","-")))</f>
        <v/>
      </c>
      <c r="BS1212" s="66">
        <f>IF(N(W1212)&gt;0,W1212,0)</f>
        <v/>
      </c>
      <c r="BT1212" s="58">
        <f>IF(ISNUMBER(Z1212),1,0)</f>
        <v/>
      </c>
      <c r="BU1212" s="55">
        <f>N(Z1212)</f>
        <v/>
      </c>
      <c r="BV1212" s="55">
        <f>N(L1212)+N(M1212)</f>
        <v/>
      </c>
      <c r="BW1212" s="55">
        <f>ROUNDUP(G1212/BN1212,0)</f>
        <v/>
      </c>
      <c r="BX1212" s="55">
        <f>ROUNDUP(BU1212/BN1212,0)</f>
        <v/>
      </c>
      <c r="BY1212" s="58">
        <f>IF(BO1212=1,0,IFERROR(VLOOKUP(BM1212,'Gebinde-Kategorie'!$A$5:$G$45,5,0)+0,0))</f>
        <v/>
      </c>
      <c r="BZ1212" s="58">
        <f>IFERROR(IF(OR(BQ1212=1,BQ1212=2,BQ1212=3),N(INDEX(Parameter!$I$5:$I$7,BQ1212)),0),0)</f>
        <v/>
      </c>
    </row>
    <row r="1213">
      <c r="A1213" s="53" t="inlineStr">
        <is>
          <t>102490</t>
        </is>
      </c>
      <c r="B1213" s="53" t="inlineStr">
        <is>
          <t>Magnetspule ohne Kabel</t>
        </is>
      </c>
      <c r="C1213" s="53" t="inlineStr">
        <is>
          <t>F</t>
        </is>
      </c>
      <c r="D1213" s="53" t="inlineStr">
        <is>
          <t>KTL</t>
        </is>
      </c>
      <c r="E1213" s="53" t="inlineStr">
        <is>
          <t>C</t>
        </is>
      </c>
      <c r="F1213" s="54" t="n">
        <v>107</v>
      </c>
      <c r="G1213" s="55">
        <f>MAX(0,IF(Parameter!$B$20="Jahresanfang 2025 + Export",BG1213+BF1213,BF1213))</f>
        <v/>
      </c>
      <c r="H1213" s="55">
        <f>G1213*F1213</f>
        <v/>
      </c>
      <c r="I1213" s="55">
        <f>BI1213*Parameter!$B$18</f>
        <v/>
      </c>
      <c r="J1213" s="56" t="n">
        <v>23</v>
      </c>
      <c r="K1213" s="57" t="n">
        <v>0.6086956521739131</v>
      </c>
      <c r="L1213" s="55" t="n">
        <v>3</v>
      </c>
      <c r="M1213" s="55" t="n">
        <v>15</v>
      </c>
      <c r="N1213" s="58" t="n">
        <v>84</v>
      </c>
      <c r="O1213" s="53" t="inlineStr">
        <is>
          <t>S52</t>
        </is>
      </c>
      <c r="P1213" s="55" t="n">
        <v>64</v>
      </c>
      <c r="Q1213" s="59">
        <f>IF(BO1213=1,0,IFERROR(VLOOKUP(BM1213,'Gebinde-Kategorie'!$A$5:$G$45,6,0)+0,0))</f>
        <v/>
      </c>
      <c r="R1213" s="60" t="n"/>
      <c r="S1213" s="61" t="n"/>
      <c r="T1213" s="61" t="n"/>
      <c r="U1213" s="53">
        <f>IF(A1213="","",IF(IFERROR(VLOOKUP(D1213,Parameter!$A$35:$C$64,2,0),"Nein")="2+3",IF(ISNUMBER(SEARCH("grosser Artikel",BJ1213)),2,IFERROR(VLOOKUP(BM1213,Parameter!$F$35:$G$64,2,0),2)),IF(OR(IFERROR(VLOOKUP(D1213,Parameter!$A$35:$C$64,2,0),"Nein")="Nein",IFERROR(VLOOKUP(D1213,Parameter!$A$35:$C$64,2,0),"Nein")=""),"-",VLOOKUP(D1213,Parameter!$A$35:$C$64,2,0))))</f>
        <v/>
      </c>
      <c r="V1213" s="61" t="n"/>
      <c r="W1213" s="62" t="n"/>
      <c r="X1213" s="55">
        <f>AM1213</f>
        <v/>
      </c>
      <c r="Y1213" s="55">
        <f>MAX(AM1213,G1213)</f>
        <v/>
      </c>
      <c r="Z1213" s="63" t="n"/>
      <c r="AA1213" s="55">
        <f>IF(LEFT(Cockpit!$C$5,1)="A",G1213,IF(BT1213=1,BU1213,IF(LEFT(Cockpit!$C$5,1)="B",AE1213,MAX(AE1213,G1213))))</f>
        <v/>
      </c>
      <c r="AB1213" s="55">
        <f>IF(BO1213=1,0,ROUNDUP(AA1213/BN1213,0))</f>
        <v/>
      </c>
      <c r="AC1213" s="64">
        <f>IF(BO1213=1,IF(AA1213&lt;=0,0,BP1213*MAX(1,IF(G1213&gt;0,AA1213/G1213,1))),AB1213*Q1213)</f>
        <v/>
      </c>
      <c r="AD1213" s="55">
        <f>AA1213*F1213</f>
        <v/>
      </c>
      <c r="AE1213" s="55">
        <f>ROUNDUP(MAX(I1213/IF(BS1213&gt;0,BS1213,MAX(0.1,N(Cockpit!$C$6))),BV1213)/BN1213,0)*BN1213</f>
        <v/>
      </c>
      <c r="AF1213" s="56">
        <f>IF(AC1213&gt;0,I1213/AC1213,-1)</f>
        <v/>
      </c>
      <c r="AG1213" s="56">
        <f>IF(AND(OR(BR1213="L1",BR1213="L23"),AC1213&gt;0),SUMIFS($AC$7:$AC$1570,$BR$7:$BR$1570,BR1213,$AF$7:$AF$1570,"&gt;"&amp;AF1213)+SUMIFS($AC$7:$AC$1570,$BR$7:$BR$1570,BR1213,$AF$7:$AF$1570,AF1213,$BL$7:$BL$1570,"&lt;="&amp;BL1213),"")</f>
        <v/>
      </c>
      <c r="AH1213" s="65">
        <f>IF(AG1213="",0,MAX(0,MIN(1,(IF(BR1213="L1",Parameter!$K$5,Parameter!$K$6+Parameter!$K$7)-(AG1213-AC1213))/AC1213)))</f>
        <v/>
      </c>
      <c r="AI1213" s="55">
        <f>IF(LEFT(Cockpit!$I$5,1)="A",G1213,IF(BT1213=1,BU1213,IF(LEFT(Cockpit!$I$5,1)="B",AM1213,MAX(AM1213,G1213))))</f>
        <v/>
      </c>
      <c r="AJ1213" s="55">
        <f>IF(BO1213=1,0,ROUNDUP(AI1213/BN1213,0))</f>
        <v/>
      </c>
      <c r="AK1213" s="64">
        <f>IF(BO1213=1,IF(AI1213&lt;=0,0,BP1213*MAX(1,IF(G1213&gt;0,AI1213/G1213,1))),AJ1213*Q1213)</f>
        <v/>
      </c>
      <c r="AL1213" s="55">
        <f>AI1213*F1213</f>
        <v/>
      </c>
      <c r="AM1213" s="55">
        <f>ROUNDUP(MAX(I1213/IF(BS1213&gt;0,BS1213,MAX(0.1,N(Cockpit!$I$6))),BV1213)/BN1213,0)*BN1213</f>
        <v/>
      </c>
      <c r="AN1213" s="56">
        <f>IF(AK1213&gt;0,I1213/AK1213,-1)</f>
        <v/>
      </c>
      <c r="AO1213" s="56">
        <f>IF(AND(OR(BR1213="L1",BR1213="L23"),AK1213&gt;0),SUMIFS($AK$7:$AK$1570,$BR$7:$BR$1570,BR1213,$AN$7:$AN$1570,"&gt;"&amp;AN1213)+SUMIFS($AK$7:$AK$1570,$BR$7:$BR$1570,BR1213,$AN$7:$AN$1570,AN1213,$BL$7:$BL$1570,"&lt;="&amp;BL1213),"")</f>
        <v/>
      </c>
      <c r="AP1213" s="65">
        <f>IF(AO1213="",0,MAX(0,MIN(1,(IF(BR1213="L1",Parameter!$K$5,Parameter!$K$6+Parameter!$K$7)-(AO1213-AK1213))/AK1213)))</f>
        <v/>
      </c>
      <c r="AQ1213" s="55">
        <f>IF(LEFT(Cockpit!$O$5,1)="A",G1213,IF(BT1213=1,BU1213,IF(LEFT(Cockpit!$O$5,1)="B",AU1213,MAX(AU1213,G1213))))</f>
        <v/>
      </c>
      <c r="AR1213" s="55">
        <f>IF(BO1213=1,0,ROUNDUP(AQ1213/BN1213,0))</f>
        <v/>
      </c>
      <c r="AS1213" s="64">
        <f>IF(BO1213=1,IF(AQ1213&lt;=0,0,BP1213*MAX(1,IF(G1213&gt;0,AQ1213/G1213,1))),AR1213*Q1213)</f>
        <v/>
      </c>
      <c r="AT1213" s="55">
        <f>AQ1213*F1213</f>
        <v/>
      </c>
      <c r="AU1213" s="55">
        <f>ROUNDUP(MAX(I1213/IF(BS1213&gt;0,BS1213,MAX(0.1,N(Cockpit!$O$6))),BV1213)/BN1213,0)*BN1213</f>
        <v/>
      </c>
      <c r="AV1213" s="56">
        <f>IF(AS1213&gt;0,I1213/AS1213,-1)</f>
        <v/>
      </c>
      <c r="AW1213" s="56">
        <f>IF(AND(OR(BR1213="L1",BR1213="L23"),AS1213&gt;0),SUMIFS($AS$7:$AS$1570,$BR$7:$BR$1570,BR1213,$AV$7:$AV$1570,"&gt;"&amp;AV1213)+SUMIFS($AS$7:$AS$1570,$BR$7:$BR$1570,BR1213,$AV$7:$AV$1570,AV1213,$BL$7:$BL$1570,"&lt;="&amp;BL1213),"")</f>
        <v/>
      </c>
      <c r="AX1213" s="65">
        <f>IF(AW1213="",0,MAX(0,MIN(1,(IF(BR1213="L1",Parameter!$K$5,Parameter!$K$6+Parameter!$K$7)-(AW1213-AS1213))/AS1213)))</f>
        <v/>
      </c>
      <c r="AY1213" s="53">
        <f>IF(AC1213&lt;=0,"",IF(BR1213="Aussen","Aussenlager",IF(BR1213="-","Nicht im Lift",IF(AH1213&gt;=1,"Lift",IF(AH1213&lt;=0,"Aussenlager","teilweise")))))</f>
        <v/>
      </c>
      <c r="AZ1213" s="53">
        <f>IF(AK1213&lt;=0,"",IF(BR1213="Aussen","Aussenlager",IF(BR1213="-","Nicht im Lift",IF(AP1213&gt;=1,"Lift",IF(AP1213&lt;=0,"Aussenlager","teilweise")))))</f>
        <v/>
      </c>
      <c r="BA1213" s="53">
        <f>IF(AS1213&lt;=0,"",IF(BR1213="Aussen","Aussenlager",IF(BR1213="-","Nicht im Lift",IF(AX1213&gt;=1,"Lift",IF(AX1213&lt;=0,"Aussenlager","teilweise")))))</f>
        <v/>
      </c>
      <c r="BB1213" s="53">
        <f>IF(A1213="","",IF(BK1213=1,"Neu; ","")&amp;IF(AND(BK1213=0,BF1213&lt;0),"negativer Bestand (Export "&amp;BF1213&amp;"); ","")&amp;IF(I1213&lt;=0,"Kein Verbrauch; ","")&amp;IF(BO1213=1,"Lose – Fläche geschätzt; ","")&amp;IF(G1213&gt;AM1213,"Überbestand "&amp;ROUND(G1213-AM1213,0)&amp;" Stk / CHF "&amp;ROUND((G1213-AM1213)*F1213,0)&amp;"; ","")&amp;IF(AND(BT1213=1,BU1213&lt;BV1213),"MAX &lt; MB+LG; ","")&amp;IF(AND(BZ1213&gt;0,BY1213*10&gt;BZ1213),"zu hoch für Tablar; ","")&amp;IF(AND(BK1213=0,OR(BT1213=1,V1213&lt;&gt;"",S1213&lt;&gt;"",T1213&lt;&gt;"",W1213&lt;&gt;"")),"manuell übersteuert; ","")&amp;IF(AND(BO1213=0,Q1213=0),"Gebinde unbekannt; ","")&amp;IF(AND(BO1213=0,N(T1213)&lt;=0,N(P1213)&lt;=0),"Menge pro Gebinde fehlt (Ist = 1 Gebinde); ","")&amp;BJ1213)</f>
        <v/>
      </c>
      <c r="BC1213" s="53" t="n"/>
      <c r="BD1213" s="53" t="n"/>
      <c r="BE1213" s="61" t="n"/>
      <c r="BF1213" s="55" t="n">
        <v>-5</v>
      </c>
      <c r="BG1213" s="55" t="n">
        <v>21</v>
      </c>
      <c r="BH1213" s="54" t="n">
        <v>-535</v>
      </c>
      <c r="BI1213" s="55" t="n">
        <v>14</v>
      </c>
      <c r="BJ1213" s="53" t="inlineStr"/>
      <c r="BK1213" s="58" t="n">
        <v>0</v>
      </c>
      <c r="BL1213" s="58" t="n">
        <v>1213</v>
      </c>
      <c r="BM1213" s="53">
        <f>IF(S1213&lt;&gt;"",UPPER(TRIM(S1213)),IF(O1213="","LOSE",O1213))</f>
        <v/>
      </c>
      <c r="BN1213" s="55">
        <f>IF(BM1213="LOSE",1,IF(N(T1213)&gt;0,T1213,IF(N(P1213)&gt;0,P1213,MAX(1,G1213))))</f>
        <v/>
      </c>
      <c r="BO1213" s="58">
        <f>IF(BM1213="LOSE",1,0)</f>
        <v/>
      </c>
      <c r="BP1213" s="64">
        <f>IF(BO1213=0,0,IF(N(R1213)&gt;0,R1213,IFERROR(VLOOKUP(D1213,Parameter!$A$35:$C$64,3,0)+0,0)))</f>
        <v/>
      </c>
      <c r="BQ1213" s="53">
        <f>IF(V1213&lt;&gt;"",V1213,U1213)</f>
        <v/>
      </c>
      <c r="BR1213" s="53">
        <f>IF(BQ1213=1,"L1",IF(OR(BQ1213=2,BQ1213=3),"L23",IF(BQ1213="Aussen","Aussen","-")))</f>
        <v/>
      </c>
      <c r="BS1213" s="66">
        <f>IF(N(W1213)&gt;0,W1213,0)</f>
        <v/>
      </c>
      <c r="BT1213" s="58">
        <f>IF(ISNUMBER(Z1213),1,0)</f>
        <v/>
      </c>
      <c r="BU1213" s="55">
        <f>N(Z1213)</f>
        <v/>
      </c>
      <c r="BV1213" s="55">
        <f>N(L1213)+N(M1213)</f>
        <v/>
      </c>
      <c r="BW1213" s="55">
        <f>ROUNDUP(G1213/BN1213,0)</f>
        <v/>
      </c>
      <c r="BX1213" s="55">
        <f>ROUNDUP(BU1213/BN1213,0)</f>
        <v/>
      </c>
      <c r="BY1213" s="58">
        <f>IF(BO1213=1,0,IFERROR(VLOOKUP(BM1213,'Gebinde-Kategorie'!$A$5:$G$45,5,0)+0,0))</f>
        <v/>
      </c>
      <c r="BZ1213" s="58">
        <f>IFERROR(IF(OR(BQ1213=1,BQ1213=2,BQ1213=3),N(INDEX(Parameter!$I$5:$I$7,BQ1213)),0),0)</f>
        <v/>
      </c>
    </row>
    <row r="1214">
      <c r="A1214" s="53" t="inlineStr">
        <is>
          <t>002043</t>
        </is>
      </c>
      <c r="B1214" s="53" t="inlineStr">
        <is>
          <t>Holzfaltkiste Premium</t>
        </is>
      </c>
      <c r="C1214" s="53" t="inlineStr">
        <is>
          <t>F</t>
        </is>
      </c>
      <c r="D1214" s="53" t="inlineStr">
        <is>
          <t>PAL</t>
        </is>
      </c>
      <c r="E1214" s="53" t="inlineStr">
        <is>
          <t>C</t>
        </is>
      </c>
      <c r="F1214" s="54" t="n">
        <v>86</v>
      </c>
      <c r="G1214" s="55">
        <f>MAX(0,IF(Parameter!$B$20="Jahresanfang 2025 + Export",BG1214+BF1214,BF1214))</f>
        <v/>
      </c>
      <c r="H1214" s="55">
        <f>G1214*F1214</f>
        <v/>
      </c>
      <c r="I1214" s="55">
        <f>BI1214*Parameter!$B$18</f>
        <v/>
      </c>
      <c r="J1214" s="56" t="n">
        <v>13</v>
      </c>
      <c r="K1214" s="57" t="n">
        <v>2.769230769230769</v>
      </c>
      <c r="L1214" s="55" t="n">
        <v>1</v>
      </c>
      <c r="M1214" s="55" t="n">
        <v>2</v>
      </c>
      <c r="N1214" s="58" t="n">
        <v>14</v>
      </c>
      <c r="O1214" s="53" t="inlineStr">
        <is>
          <t>LOSE</t>
        </is>
      </c>
      <c r="P1214" s="55" t="n"/>
      <c r="Q1214" s="59">
        <f>IF(BO1214=1,0,IFERROR(VLOOKUP(BM1214,'Gebinde-Kategorie'!$A$5:$G$45,6,0)+0,0))</f>
        <v/>
      </c>
      <c r="R1214" s="60" t="n"/>
      <c r="S1214" s="61" t="n"/>
      <c r="T1214" s="61" t="n"/>
      <c r="U1214" s="53">
        <f>IF(A1214="","",IF(IFERROR(VLOOKUP(D1214,Parameter!$A$35:$C$64,2,0),"Nein")="2+3",IF(ISNUMBER(SEARCH("grosser Artikel",BJ1214)),2,IFERROR(VLOOKUP(BM1214,Parameter!$F$35:$G$64,2,0),2)),IF(OR(IFERROR(VLOOKUP(D1214,Parameter!$A$35:$C$64,2,0),"Nein")="Nein",IFERROR(VLOOKUP(D1214,Parameter!$A$35:$C$64,2,0),"Nein")=""),"-",VLOOKUP(D1214,Parameter!$A$35:$C$64,2,0))))</f>
        <v/>
      </c>
      <c r="V1214" s="61" t="n"/>
      <c r="W1214" s="62" t="n"/>
      <c r="X1214" s="55">
        <f>AM1214</f>
        <v/>
      </c>
      <c r="Y1214" s="55">
        <f>MAX(AM1214,G1214)</f>
        <v/>
      </c>
      <c r="Z1214" s="63" t="n"/>
      <c r="AA1214" s="55">
        <f>IF(LEFT(Cockpit!$C$5,1)="A",G1214,IF(BT1214=1,BU1214,IF(LEFT(Cockpit!$C$5,1)="B",AE1214,MAX(AE1214,G1214))))</f>
        <v/>
      </c>
      <c r="AB1214" s="55">
        <f>IF(BO1214=1,0,ROUNDUP(AA1214/BN1214,0))</f>
        <v/>
      </c>
      <c r="AC1214" s="64">
        <f>IF(BO1214=1,IF(AA1214&lt;=0,0,BP1214*MAX(1,IF(G1214&gt;0,AA1214/G1214,1))),AB1214*Q1214)</f>
        <v/>
      </c>
      <c r="AD1214" s="55">
        <f>AA1214*F1214</f>
        <v/>
      </c>
      <c r="AE1214" s="55">
        <f>ROUNDUP(MAX(I1214/IF(BS1214&gt;0,BS1214,MAX(0.1,N(Cockpit!$C$6))),BV1214)/BN1214,0)*BN1214</f>
        <v/>
      </c>
      <c r="AF1214" s="56">
        <f>IF(AC1214&gt;0,I1214/AC1214,-1)</f>
        <v/>
      </c>
      <c r="AG1214" s="56">
        <f>IF(AND(OR(BR1214="L1",BR1214="L23"),AC1214&gt;0),SUMIFS($AC$7:$AC$1570,$BR$7:$BR$1570,BR1214,$AF$7:$AF$1570,"&gt;"&amp;AF1214)+SUMIFS($AC$7:$AC$1570,$BR$7:$BR$1570,BR1214,$AF$7:$AF$1570,AF1214,$BL$7:$BL$1570,"&lt;="&amp;BL1214),"")</f>
        <v/>
      </c>
      <c r="AH1214" s="65">
        <f>IF(AG1214="",0,MAX(0,MIN(1,(IF(BR1214="L1",Parameter!$K$5,Parameter!$K$6+Parameter!$K$7)-(AG1214-AC1214))/AC1214)))</f>
        <v/>
      </c>
      <c r="AI1214" s="55">
        <f>IF(LEFT(Cockpit!$I$5,1)="A",G1214,IF(BT1214=1,BU1214,IF(LEFT(Cockpit!$I$5,1)="B",AM1214,MAX(AM1214,G1214))))</f>
        <v/>
      </c>
      <c r="AJ1214" s="55">
        <f>IF(BO1214=1,0,ROUNDUP(AI1214/BN1214,0))</f>
        <v/>
      </c>
      <c r="AK1214" s="64">
        <f>IF(BO1214=1,IF(AI1214&lt;=0,0,BP1214*MAX(1,IF(G1214&gt;0,AI1214/G1214,1))),AJ1214*Q1214)</f>
        <v/>
      </c>
      <c r="AL1214" s="55">
        <f>AI1214*F1214</f>
        <v/>
      </c>
      <c r="AM1214" s="55">
        <f>ROUNDUP(MAX(I1214/IF(BS1214&gt;0,BS1214,MAX(0.1,N(Cockpit!$I$6))),BV1214)/BN1214,0)*BN1214</f>
        <v/>
      </c>
      <c r="AN1214" s="56">
        <f>IF(AK1214&gt;0,I1214/AK1214,-1)</f>
        <v/>
      </c>
      <c r="AO1214" s="56">
        <f>IF(AND(OR(BR1214="L1",BR1214="L23"),AK1214&gt;0),SUMIFS($AK$7:$AK$1570,$BR$7:$BR$1570,BR1214,$AN$7:$AN$1570,"&gt;"&amp;AN1214)+SUMIFS($AK$7:$AK$1570,$BR$7:$BR$1570,BR1214,$AN$7:$AN$1570,AN1214,$BL$7:$BL$1570,"&lt;="&amp;BL1214),"")</f>
        <v/>
      </c>
      <c r="AP1214" s="65">
        <f>IF(AO1214="",0,MAX(0,MIN(1,(IF(BR1214="L1",Parameter!$K$5,Parameter!$K$6+Parameter!$K$7)-(AO1214-AK1214))/AK1214)))</f>
        <v/>
      </c>
      <c r="AQ1214" s="55">
        <f>IF(LEFT(Cockpit!$O$5,1)="A",G1214,IF(BT1214=1,BU1214,IF(LEFT(Cockpit!$O$5,1)="B",AU1214,MAX(AU1214,G1214))))</f>
        <v/>
      </c>
      <c r="AR1214" s="55">
        <f>IF(BO1214=1,0,ROUNDUP(AQ1214/BN1214,0))</f>
        <v/>
      </c>
      <c r="AS1214" s="64">
        <f>IF(BO1214=1,IF(AQ1214&lt;=0,0,BP1214*MAX(1,IF(G1214&gt;0,AQ1214/G1214,1))),AR1214*Q1214)</f>
        <v/>
      </c>
      <c r="AT1214" s="55">
        <f>AQ1214*F1214</f>
        <v/>
      </c>
      <c r="AU1214" s="55">
        <f>ROUNDUP(MAX(I1214/IF(BS1214&gt;0,BS1214,MAX(0.1,N(Cockpit!$O$6))),BV1214)/BN1214,0)*BN1214</f>
        <v/>
      </c>
      <c r="AV1214" s="56">
        <f>IF(AS1214&gt;0,I1214/AS1214,-1)</f>
        <v/>
      </c>
      <c r="AW1214" s="56">
        <f>IF(AND(OR(BR1214="L1",BR1214="L23"),AS1214&gt;0),SUMIFS($AS$7:$AS$1570,$BR$7:$BR$1570,BR1214,$AV$7:$AV$1570,"&gt;"&amp;AV1214)+SUMIFS($AS$7:$AS$1570,$BR$7:$BR$1570,BR1214,$AV$7:$AV$1570,AV1214,$BL$7:$BL$1570,"&lt;="&amp;BL1214),"")</f>
        <v/>
      </c>
      <c r="AX1214" s="65">
        <f>IF(AW1214="",0,MAX(0,MIN(1,(IF(BR1214="L1",Parameter!$K$5,Parameter!$K$6+Parameter!$K$7)-(AW1214-AS1214))/AS1214)))</f>
        <v/>
      </c>
      <c r="AY1214" s="53">
        <f>IF(AC1214&lt;=0,"",IF(BR1214="Aussen","Aussenlager",IF(BR1214="-","Nicht im Lift",IF(AH1214&gt;=1,"Lift",IF(AH1214&lt;=0,"Aussenlager","teilweise")))))</f>
        <v/>
      </c>
      <c r="AZ1214" s="53">
        <f>IF(AK1214&lt;=0,"",IF(BR1214="Aussen","Aussenlager",IF(BR1214="-","Nicht im Lift",IF(AP1214&gt;=1,"Lift",IF(AP1214&lt;=0,"Aussenlager","teilweise")))))</f>
        <v/>
      </c>
      <c r="BA1214" s="53">
        <f>IF(AS1214&lt;=0,"",IF(BR1214="Aussen","Aussenlager",IF(BR1214="-","Nicht im Lift",IF(AX1214&gt;=1,"Lift",IF(AX1214&lt;=0,"Aussenlager","teilweise")))))</f>
        <v/>
      </c>
      <c r="BB1214" s="53">
        <f>IF(A1214="","",IF(BK1214=1,"Neu; ","")&amp;IF(AND(BK1214=0,BF1214&lt;0),"negativer Bestand (Export "&amp;BF1214&amp;"); ","")&amp;IF(I1214&lt;=0,"Kein Verbrauch; ","")&amp;IF(BO1214=1,"Lose – Fläche geschätzt; ","")&amp;IF(G1214&gt;AM1214,"Überbestand "&amp;ROUND(G1214-AM1214,0)&amp;" Stk / CHF "&amp;ROUND((G1214-AM1214)*F1214,0)&amp;"; ","")&amp;IF(AND(BT1214=1,BU1214&lt;BV1214),"MAX &lt; MB+LG; ","")&amp;IF(AND(BZ1214&gt;0,BY1214*10&gt;BZ1214),"zu hoch für Tablar; ","")&amp;IF(AND(BK1214=0,OR(BT1214=1,V1214&lt;&gt;"",S1214&lt;&gt;"",T1214&lt;&gt;"",W1214&lt;&gt;"")),"manuell übersteuert; ","")&amp;IF(AND(BO1214=0,Q1214=0),"Gebinde unbekannt; ","")&amp;IF(AND(BO1214=0,N(T1214)&lt;=0,N(P1214)&lt;=0),"Menge pro Gebinde fehlt (Ist = 1 Gebinde); ","")&amp;BJ1214)</f>
        <v/>
      </c>
      <c r="BC1214" s="53" t="n"/>
      <c r="BD1214" s="53" t="n"/>
      <c r="BE1214" s="61" t="n"/>
      <c r="BF1214" s="55" t="n">
        <v>-7</v>
      </c>
      <c r="BG1214" s="55" t="n">
        <v>9</v>
      </c>
      <c r="BH1214" s="54" t="n">
        <v>-544.2199999999999</v>
      </c>
      <c r="BI1214" s="55" t="n">
        <v>36</v>
      </c>
      <c r="BJ1214" s="53" t="inlineStr"/>
      <c r="BK1214" s="58" t="n">
        <v>0</v>
      </c>
      <c r="BL1214" s="58" t="n">
        <v>1214</v>
      </c>
      <c r="BM1214" s="53">
        <f>IF(S1214&lt;&gt;"",UPPER(TRIM(S1214)),IF(O1214="","LOSE",O1214))</f>
        <v/>
      </c>
      <c r="BN1214" s="55">
        <f>IF(BM1214="LOSE",1,IF(N(T1214)&gt;0,T1214,IF(N(P1214)&gt;0,P1214,MAX(1,G1214))))</f>
        <v/>
      </c>
      <c r="BO1214" s="58">
        <f>IF(BM1214="LOSE",1,0)</f>
        <v/>
      </c>
      <c r="BP1214" s="64">
        <f>IF(BO1214=0,0,IF(N(R1214)&gt;0,R1214,IFERROR(VLOOKUP(D1214,Parameter!$A$35:$C$64,3,0)+0,0)))</f>
        <v/>
      </c>
      <c r="BQ1214" s="53">
        <f>IF(V1214&lt;&gt;"",V1214,U1214)</f>
        <v/>
      </c>
      <c r="BR1214" s="53">
        <f>IF(BQ1214=1,"L1",IF(OR(BQ1214=2,BQ1214=3),"L23",IF(BQ1214="Aussen","Aussen","-")))</f>
        <v/>
      </c>
      <c r="BS1214" s="66">
        <f>IF(N(W1214)&gt;0,W1214,0)</f>
        <v/>
      </c>
      <c r="BT1214" s="58">
        <f>IF(ISNUMBER(Z1214),1,0)</f>
        <v/>
      </c>
      <c r="BU1214" s="55">
        <f>N(Z1214)</f>
        <v/>
      </c>
      <c r="BV1214" s="55">
        <f>N(L1214)+N(M1214)</f>
        <v/>
      </c>
      <c r="BW1214" s="55">
        <f>ROUNDUP(G1214/BN1214,0)</f>
        <v/>
      </c>
      <c r="BX1214" s="55">
        <f>ROUNDUP(BU1214/BN1214,0)</f>
        <v/>
      </c>
      <c r="BY1214" s="58">
        <f>IF(BO1214=1,0,IFERROR(VLOOKUP(BM1214,'Gebinde-Kategorie'!$A$5:$G$45,5,0)+0,0))</f>
        <v/>
      </c>
      <c r="BZ1214" s="58">
        <f>IFERROR(IF(OR(BQ1214=1,BQ1214=2,BQ1214=3),N(INDEX(Parameter!$I$5:$I$7,BQ1214)),0),0)</f>
        <v/>
      </c>
    </row>
    <row r="1215">
      <c r="A1215" s="53" t="inlineStr">
        <is>
          <t>108083</t>
        </is>
      </c>
      <c r="B1215" s="53" t="inlineStr">
        <is>
          <t>Innenbox SPGr16 SVC1 1/3</t>
        </is>
      </c>
      <c r="C1215" s="53" t="inlineStr">
        <is>
          <t>G</t>
        </is>
      </c>
      <c r="D1215" s="53" t="inlineStr">
        <is>
          <t>PAL</t>
        </is>
      </c>
      <c r="E1215" s="53" t="inlineStr">
        <is>
          <t>C</t>
        </is>
      </c>
      <c r="F1215" s="54" t="n">
        <v>141.18</v>
      </c>
      <c r="G1215" s="55">
        <f>MAX(0,IF(Parameter!$B$20="Jahresanfang 2025 + Export",BG1215+BF1215,BF1215))</f>
        <v/>
      </c>
      <c r="H1215" s="55">
        <f>G1215*F1215</f>
        <v/>
      </c>
      <c r="I1215" s="55">
        <f>BI1215*Parameter!$B$18</f>
        <v/>
      </c>
      <c r="J1215" s="56" t="n">
        <v>2</v>
      </c>
      <c r="K1215" s="57" t="n">
        <v>0</v>
      </c>
      <c r="L1215" s="55" t="n">
        <v>0</v>
      </c>
      <c r="M1215" s="55" t="n">
        <v>1</v>
      </c>
      <c r="N1215" s="58" t="n">
        <v>56</v>
      </c>
      <c r="O1215" s="53" t="inlineStr">
        <is>
          <t>LOSE</t>
        </is>
      </c>
      <c r="P1215" s="55" t="n"/>
      <c r="Q1215" s="59">
        <f>IF(BO1215=1,0,IFERROR(VLOOKUP(BM1215,'Gebinde-Kategorie'!$A$5:$G$45,6,0)+0,0))</f>
        <v/>
      </c>
      <c r="R1215" s="60" t="n"/>
      <c r="S1215" s="61" t="n"/>
      <c r="T1215" s="61" t="n"/>
      <c r="U1215" s="53">
        <f>IF(A1215="","",IF(IFERROR(VLOOKUP(D1215,Parameter!$A$35:$C$64,2,0),"Nein")="2+3",IF(ISNUMBER(SEARCH("grosser Artikel",BJ1215)),2,IFERROR(VLOOKUP(BM1215,Parameter!$F$35:$G$64,2,0),2)),IF(OR(IFERROR(VLOOKUP(D1215,Parameter!$A$35:$C$64,2,0),"Nein")="Nein",IFERROR(VLOOKUP(D1215,Parameter!$A$35:$C$64,2,0),"Nein")=""),"-",VLOOKUP(D1215,Parameter!$A$35:$C$64,2,0))))</f>
        <v/>
      </c>
      <c r="V1215" s="61" t="n"/>
      <c r="W1215" s="62" t="n"/>
      <c r="X1215" s="55">
        <f>AM1215</f>
        <v/>
      </c>
      <c r="Y1215" s="55">
        <f>MAX(AM1215,G1215)</f>
        <v/>
      </c>
      <c r="Z1215" s="63" t="n"/>
      <c r="AA1215" s="55">
        <f>IF(LEFT(Cockpit!$C$5,1)="A",G1215,IF(BT1215=1,BU1215,IF(LEFT(Cockpit!$C$5,1)="B",AE1215,MAX(AE1215,G1215))))</f>
        <v/>
      </c>
      <c r="AB1215" s="55">
        <f>IF(BO1215=1,0,ROUNDUP(AA1215/BN1215,0))</f>
        <v/>
      </c>
      <c r="AC1215" s="64">
        <f>IF(BO1215=1,IF(AA1215&lt;=0,0,BP1215*MAX(1,IF(G1215&gt;0,AA1215/G1215,1))),AB1215*Q1215)</f>
        <v/>
      </c>
      <c r="AD1215" s="55">
        <f>AA1215*F1215</f>
        <v/>
      </c>
      <c r="AE1215" s="55">
        <f>ROUNDUP(MAX(I1215/IF(BS1215&gt;0,BS1215,MAX(0.1,N(Cockpit!$C$6))),BV1215)/BN1215,0)*BN1215</f>
        <v/>
      </c>
      <c r="AF1215" s="56">
        <f>IF(AC1215&gt;0,I1215/AC1215,-1)</f>
        <v/>
      </c>
      <c r="AG1215" s="56">
        <f>IF(AND(OR(BR1215="L1",BR1215="L23"),AC1215&gt;0),SUMIFS($AC$7:$AC$1570,$BR$7:$BR$1570,BR1215,$AF$7:$AF$1570,"&gt;"&amp;AF1215)+SUMIFS($AC$7:$AC$1570,$BR$7:$BR$1570,BR1215,$AF$7:$AF$1570,AF1215,$BL$7:$BL$1570,"&lt;="&amp;BL1215),"")</f>
        <v/>
      </c>
      <c r="AH1215" s="65">
        <f>IF(AG1215="",0,MAX(0,MIN(1,(IF(BR1215="L1",Parameter!$K$5,Parameter!$K$6+Parameter!$K$7)-(AG1215-AC1215))/AC1215)))</f>
        <v/>
      </c>
      <c r="AI1215" s="55">
        <f>IF(LEFT(Cockpit!$I$5,1)="A",G1215,IF(BT1215=1,BU1215,IF(LEFT(Cockpit!$I$5,1)="B",AM1215,MAX(AM1215,G1215))))</f>
        <v/>
      </c>
      <c r="AJ1215" s="55">
        <f>IF(BO1215=1,0,ROUNDUP(AI1215/BN1215,0))</f>
        <v/>
      </c>
      <c r="AK1215" s="64">
        <f>IF(BO1215=1,IF(AI1215&lt;=0,0,BP1215*MAX(1,IF(G1215&gt;0,AI1215/G1215,1))),AJ1215*Q1215)</f>
        <v/>
      </c>
      <c r="AL1215" s="55">
        <f>AI1215*F1215</f>
        <v/>
      </c>
      <c r="AM1215" s="55">
        <f>ROUNDUP(MAX(I1215/IF(BS1215&gt;0,BS1215,MAX(0.1,N(Cockpit!$I$6))),BV1215)/BN1215,0)*BN1215</f>
        <v/>
      </c>
      <c r="AN1215" s="56">
        <f>IF(AK1215&gt;0,I1215/AK1215,-1)</f>
        <v/>
      </c>
      <c r="AO1215" s="56">
        <f>IF(AND(OR(BR1215="L1",BR1215="L23"),AK1215&gt;0),SUMIFS($AK$7:$AK$1570,$BR$7:$BR$1570,BR1215,$AN$7:$AN$1570,"&gt;"&amp;AN1215)+SUMIFS($AK$7:$AK$1570,$BR$7:$BR$1570,BR1215,$AN$7:$AN$1570,AN1215,$BL$7:$BL$1570,"&lt;="&amp;BL1215),"")</f>
        <v/>
      </c>
      <c r="AP1215" s="65">
        <f>IF(AO1215="",0,MAX(0,MIN(1,(IF(BR1215="L1",Parameter!$K$5,Parameter!$K$6+Parameter!$K$7)-(AO1215-AK1215))/AK1215)))</f>
        <v/>
      </c>
      <c r="AQ1215" s="55">
        <f>IF(LEFT(Cockpit!$O$5,1)="A",G1215,IF(BT1215=1,BU1215,IF(LEFT(Cockpit!$O$5,1)="B",AU1215,MAX(AU1215,G1215))))</f>
        <v/>
      </c>
      <c r="AR1215" s="55">
        <f>IF(BO1215=1,0,ROUNDUP(AQ1215/BN1215,0))</f>
        <v/>
      </c>
      <c r="AS1215" s="64">
        <f>IF(BO1215=1,IF(AQ1215&lt;=0,0,BP1215*MAX(1,IF(G1215&gt;0,AQ1215/G1215,1))),AR1215*Q1215)</f>
        <v/>
      </c>
      <c r="AT1215" s="55">
        <f>AQ1215*F1215</f>
        <v/>
      </c>
      <c r="AU1215" s="55">
        <f>ROUNDUP(MAX(I1215/IF(BS1215&gt;0,BS1215,MAX(0.1,N(Cockpit!$O$6))),BV1215)/BN1215,0)*BN1215</f>
        <v/>
      </c>
      <c r="AV1215" s="56">
        <f>IF(AS1215&gt;0,I1215/AS1215,-1)</f>
        <v/>
      </c>
      <c r="AW1215" s="56">
        <f>IF(AND(OR(BR1215="L1",BR1215="L23"),AS1215&gt;0),SUMIFS($AS$7:$AS$1570,$BR$7:$BR$1570,BR1215,$AV$7:$AV$1570,"&gt;"&amp;AV1215)+SUMIFS($AS$7:$AS$1570,$BR$7:$BR$1570,BR1215,$AV$7:$AV$1570,AV1215,$BL$7:$BL$1570,"&lt;="&amp;BL1215),"")</f>
        <v/>
      </c>
      <c r="AX1215" s="65">
        <f>IF(AW1215="",0,MAX(0,MIN(1,(IF(BR1215="L1",Parameter!$K$5,Parameter!$K$6+Parameter!$K$7)-(AW1215-AS1215))/AS1215)))</f>
        <v/>
      </c>
      <c r="AY1215" s="53">
        <f>IF(AC1215&lt;=0,"",IF(BR1215="Aussen","Aussenlager",IF(BR1215="-","Nicht im Lift",IF(AH1215&gt;=1,"Lift",IF(AH1215&lt;=0,"Aussenlager","teilweise")))))</f>
        <v/>
      </c>
      <c r="AZ1215" s="53">
        <f>IF(AK1215&lt;=0,"",IF(BR1215="Aussen","Aussenlager",IF(BR1215="-","Nicht im Lift",IF(AP1215&gt;=1,"Lift",IF(AP1215&lt;=0,"Aussenlager","teilweise")))))</f>
        <v/>
      </c>
      <c r="BA1215" s="53">
        <f>IF(AS1215&lt;=0,"",IF(BR1215="Aussen","Aussenlager",IF(BR1215="-","Nicht im Lift",IF(AX1215&gt;=1,"Lift",IF(AX1215&lt;=0,"Aussenlager","teilweise")))))</f>
        <v/>
      </c>
      <c r="BB1215" s="53">
        <f>IF(A1215="","",IF(BK1215=1,"Neu; ","")&amp;IF(AND(BK1215=0,BF1215&lt;0),"negativer Bestand (Export "&amp;BF1215&amp;"); ","")&amp;IF(I1215&lt;=0,"Kein Verbrauch; ","")&amp;IF(BO1215=1,"Lose – Fläche geschätzt; ","")&amp;IF(G1215&gt;AM1215,"Überbestand "&amp;ROUND(G1215-AM1215,0)&amp;" Stk / CHF "&amp;ROUND((G1215-AM1215)*F1215,0)&amp;"; ","")&amp;IF(AND(BT1215=1,BU1215&lt;BV1215),"MAX &lt; MB+LG; ","")&amp;IF(AND(BZ1215&gt;0,BY1215*10&gt;BZ1215),"zu hoch für Tablar; ","")&amp;IF(AND(BK1215=0,OR(BT1215=1,V1215&lt;&gt;"",S1215&lt;&gt;"",T1215&lt;&gt;"",W1215&lt;&gt;"")),"manuell übersteuert; ","")&amp;IF(AND(BO1215=0,Q1215=0),"Gebinde unbekannt; ","")&amp;IF(AND(BO1215=0,N(T1215)&lt;=0,N(P1215)&lt;=0),"Menge pro Gebinde fehlt (Ist = 1 Gebinde); ","")&amp;BJ1215)</f>
        <v/>
      </c>
      <c r="BC1215" s="53" t="n"/>
      <c r="BD1215" s="53" t="n"/>
      <c r="BE1215" s="61" t="n"/>
      <c r="BF1215" s="55" t="n">
        <v>-4</v>
      </c>
      <c r="BG1215" s="55" t="n">
        <v>4</v>
      </c>
      <c r="BH1215" s="54" t="n">
        <v>-564.72</v>
      </c>
      <c r="BI1215" s="55" t="n">
        <v>0</v>
      </c>
      <c r="BJ1215" s="53" t="inlineStr"/>
      <c r="BK1215" s="58" t="n">
        <v>0</v>
      </c>
      <c r="BL1215" s="58" t="n">
        <v>1215</v>
      </c>
      <c r="BM1215" s="53">
        <f>IF(S1215&lt;&gt;"",UPPER(TRIM(S1215)),IF(O1215="","LOSE",O1215))</f>
        <v/>
      </c>
      <c r="BN1215" s="55">
        <f>IF(BM1215="LOSE",1,IF(N(T1215)&gt;0,T1215,IF(N(P1215)&gt;0,P1215,MAX(1,G1215))))</f>
        <v/>
      </c>
      <c r="BO1215" s="58">
        <f>IF(BM1215="LOSE",1,0)</f>
        <v/>
      </c>
      <c r="BP1215" s="64">
        <f>IF(BO1215=0,0,IF(N(R1215)&gt;0,R1215,IFERROR(VLOOKUP(D1215,Parameter!$A$35:$C$64,3,0)+0,0)))</f>
        <v/>
      </c>
      <c r="BQ1215" s="53">
        <f>IF(V1215&lt;&gt;"",V1215,U1215)</f>
        <v/>
      </c>
      <c r="BR1215" s="53">
        <f>IF(BQ1215=1,"L1",IF(OR(BQ1215=2,BQ1215=3),"L23",IF(BQ1215="Aussen","Aussen","-")))</f>
        <v/>
      </c>
      <c r="BS1215" s="66">
        <f>IF(N(W1215)&gt;0,W1215,0)</f>
        <v/>
      </c>
      <c r="BT1215" s="58">
        <f>IF(ISNUMBER(Z1215),1,0)</f>
        <v/>
      </c>
      <c r="BU1215" s="55">
        <f>N(Z1215)</f>
        <v/>
      </c>
      <c r="BV1215" s="55">
        <f>N(L1215)+N(M1215)</f>
        <v/>
      </c>
      <c r="BW1215" s="55">
        <f>ROUNDUP(G1215/BN1215,0)</f>
        <v/>
      </c>
      <c r="BX1215" s="55">
        <f>ROUNDUP(BU1215/BN1215,0)</f>
        <v/>
      </c>
      <c r="BY1215" s="58">
        <f>IF(BO1215=1,0,IFERROR(VLOOKUP(BM1215,'Gebinde-Kategorie'!$A$5:$G$45,5,0)+0,0))</f>
        <v/>
      </c>
      <c r="BZ1215" s="58">
        <f>IFERROR(IF(OR(BQ1215=1,BQ1215=2,BQ1215=3),N(INDEX(Parameter!$I$5:$I$7,BQ1215)),0),0)</f>
        <v/>
      </c>
    </row>
    <row r="1216">
      <c r="A1216" s="53" t="inlineStr">
        <is>
          <t>109156</t>
        </is>
      </c>
      <c r="B1216" s="53" t="inlineStr">
        <is>
          <t>Kugelhahn</t>
        </is>
      </c>
      <c r="C1216" s="53" t="inlineStr">
        <is>
          <t>F</t>
        </is>
      </c>
      <c r="D1216" s="53" t="inlineStr">
        <is>
          <t>KTL</t>
        </is>
      </c>
      <c r="E1216" s="53" t="inlineStr">
        <is>
          <t>C</t>
        </is>
      </c>
      <c r="F1216" s="54" t="n">
        <v>63.26</v>
      </c>
      <c r="G1216" s="55">
        <f>MAX(0,IF(Parameter!$B$20="Jahresanfang 2025 + Export",BG1216+BF1216,BF1216))</f>
        <v/>
      </c>
      <c r="H1216" s="55">
        <f>G1216*F1216</f>
        <v/>
      </c>
      <c r="I1216" s="55">
        <f>BI1216*Parameter!$B$18</f>
        <v/>
      </c>
      <c r="J1216" s="56" t="n">
        <v>25</v>
      </c>
      <c r="K1216" s="57" t="n">
        <v>0.08</v>
      </c>
      <c r="L1216" s="55" t="n">
        <v>0</v>
      </c>
      <c r="M1216" s="55" t="n">
        <v>1</v>
      </c>
      <c r="N1216" s="58" t="n">
        <v>35</v>
      </c>
      <c r="O1216" s="53" t="inlineStr">
        <is>
          <t>LOSE</t>
        </is>
      </c>
      <c r="P1216" s="55" t="n"/>
      <c r="Q1216" s="59">
        <f>IF(BO1216=1,0,IFERROR(VLOOKUP(BM1216,'Gebinde-Kategorie'!$A$5:$G$45,6,0)+0,0))</f>
        <v/>
      </c>
      <c r="R1216" s="60" t="n"/>
      <c r="S1216" s="61" t="n"/>
      <c r="T1216" s="61" t="n"/>
      <c r="U1216" s="53">
        <f>IF(A1216="","",IF(IFERROR(VLOOKUP(D1216,Parameter!$A$35:$C$64,2,0),"Nein")="2+3",IF(ISNUMBER(SEARCH("grosser Artikel",BJ1216)),2,IFERROR(VLOOKUP(BM1216,Parameter!$F$35:$G$64,2,0),2)),IF(OR(IFERROR(VLOOKUP(D1216,Parameter!$A$35:$C$64,2,0),"Nein")="Nein",IFERROR(VLOOKUP(D1216,Parameter!$A$35:$C$64,2,0),"Nein")=""),"-",VLOOKUP(D1216,Parameter!$A$35:$C$64,2,0))))</f>
        <v/>
      </c>
      <c r="V1216" s="61" t="n"/>
      <c r="W1216" s="62" t="n"/>
      <c r="X1216" s="55">
        <f>AM1216</f>
        <v/>
      </c>
      <c r="Y1216" s="55">
        <f>MAX(AM1216,G1216)</f>
        <v/>
      </c>
      <c r="Z1216" s="63" t="n"/>
      <c r="AA1216" s="55">
        <f>IF(LEFT(Cockpit!$C$5,1)="A",G1216,IF(BT1216=1,BU1216,IF(LEFT(Cockpit!$C$5,1)="B",AE1216,MAX(AE1216,G1216))))</f>
        <v/>
      </c>
      <c r="AB1216" s="55">
        <f>IF(BO1216=1,0,ROUNDUP(AA1216/BN1216,0))</f>
        <v/>
      </c>
      <c r="AC1216" s="64">
        <f>IF(BO1216=1,IF(AA1216&lt;=0,0,BP1216*MAX(1,IF(G1216&gt;0,AA1216/G1216,1))),AB1216*Q1216)</f>
        <v/>
      </c>
      <c r="AD1216" s="55">
        <f>AA1216*F1216</f>
        <v/>
      </c>
      <c r="AE1216" s="55">
        <f>ROUNDUP(MAX(I1216/IF(BS1216&gt;0,BS1216,MAX(0.1,N(Cockpit!$C$6))),BV1216)/BN1216,0)*BN1216</f>
        <v/>
      </c>
      <c r="AF1216" s="56">
        <f>IF(AC1216&gt;0,I1216/AC1216,-1)</f>
        <v/>
      </c>
      <c r="AG1216" s="56">
        <f>IF(AND(OR(BR1216="L1",BR1216="L23"),AC1216&gt;0),SUMIFS($AC$7:$AC$1570,$BR$7:$BR$1570,BR1216,$AF$7:$AF$1570,"&gt;"&amp;AF1216)+SUMIFS($AC$7:$AC$1570,$BR$7:$BR$1570,BR1216,$AF$7:$AF$1570,AF1216,$BL$7:$BL$1570,"&lt;="&amp;BL1216),"")</f>
        <v/>
      </c>
      <c r="AH1216" s="65">
        <f>IF(AG1216="",0,MAX(0,MIN(1,(IF(BR1216="L1",Parameter!$K$5,Parameter!$K$6+Parameter!$K$7)-(AG1216-AC1216))/AC1216)))</f>
        <v/>
      </c>
      <c r="AI1216" s="55">
        <f>IF(LEFT(Cockpit!$I$5,1)="A",G1216,IF(BT1216=1,BU1216,IF(LEFT(Cockpit!$I$5,1)="B",AM1216,MAX(AM1216,G1216))))</f>
        <v/>
      </c>
      <c r="AJ1216" s="55">
        <f>IF(BO1216=1,0,ROUNDUP(AI1216/BN1216,0))</f>
        <v/>
      </c>
      <c r="AK1216" s="64">
        <f>IF(BO1216=1,IF(AI1216&lt;=0,0,BP1216*MAX(1,IF(G1216&gt;0,AI1216/G1216,1))),AJ1216*Q1216)</f>
        <v/>
      </c>
      <c r="AL1216" s="55">
        <f>AI1216*F1216</f>
        <v/>
      </c>
      <c r="AM1216" s="55">
        <f>ROUNDUP(MAX(I1216/IF(BS1216&gt;0,BS1216,MAX(0.1,N(Cockpit!$I$6))),BV1216)/BN1216,0)*BN1216</f>
        <v/>
      </c>
      <c r="AN1216" s="56">
        <f>IF(AK1216&gt;0,I1216/AK1216,-1)</f>
        <v/>
      </c>
      <c r="AO1216" s="56">
        <f>IF(AND(OR(BR1216="L1",BR1216="L23"),AK1216&gt;0),SUMIFS($AK$7:$AK$1570,$BR$7:$BR$1570,BR1216,$AN$7:$AN$1570,"&gt;"&amp;AN1216)+SUMIFS($AK$7:$AK$1570,$BR$7:$BR$1570,BR1216,$AN$7:$AN$1570,AN1216,$BL$7:$BL$1570,"&lt;="&amp;BL1216),"")</f>
        <v/>
      </c>
      <c r="AP1216" s="65">
        <f>IF(AO1216="",0,MAX(0,MIN(1,(IF(BR1216="L1",Parameter!$K$5,Parameter!$K$6+Parameter!$K$7)-(AO1216-AK1216))/AK1216)))</f>
        <v/>
      </c>
      <c r="AQ1216" s="55">
        <f>IF(LEFT(Cockpit!$O$5,1)="A",G1216,IF(BT1216=1,BU1216,IF(LEFT(Cockpit!$O$5,1)="B",AU1216,MAX(AU1216,G1216))))</f>
        <v/>
      </c>
      <c r="AR1216" s="55">
        <f>IF(BO1216=1,0,ROUNDUP(AQ1216/BN1216,0))</f>
        <v/>
      </c>
      <c r="AS1216" s="64">
        <f>IF(BO1216=1,IF(AQ1216&lt;=0,0,BP1216*MAX(1,IF(G1216&gt;0,AQ1216/G1216,1))),AR1216*Q1216)</f>
        <v/>
      </c>
      <c r="AT1216" s="55">
        <f>AQ1216*F1216</f>
        <v/>
      </c>
      <c r="AU1216" s="55">
        <f>ROUNDUP(MAX(I1216/IF(BS1216&gt;0,BS1216,MAX(0.1,N(Cockpit!$O$6))),BV1216)/BN1216,0)*BN1216</f>
        <v/>
      </c>
      <c r="AV1216" s="56">
        <f>IF(AS1216&gt;0,I1216/AS1216,-1)</f>
        <v/>
      </c>
      <c r="AW1216" s="56">
        <f>IF(AND(OR(BR1216="L1",BR1216="L23"),AS1216&gt;0),SUMIFS($AS$7:$AS$1570,$BR$7:$BR$1570,BR1216,$AV$7:$AV$1570,"&gt;"&amp;AV1216)+SUMIFS($AS$7:$AS$1570,$BR$7:$BR$1570,BR1216,$AV$7:$AV$1570,AV1216,$BL$7:$BL$1570,"&lt;="&amp;BL1216),"")</f>
        <v/>
      </c>
      <c r="AX1216" s="65">
        <f>IF(AW1216="",0,MAX(0,MIN(1,(IF(BR1216="L1",Parameter!$K$5,Parameter!$K$6+Parameter!$K$7)-(AW1216-AS1216))/AS1216)))</f>
        <v/>
      </c>
      <c r="AY1216" s="53">
        <f>IF(AC1216&lt;=0,"",IF(BR1216="Aussen","Aussenlager",IF(BR1216="-","Nicht im Lift",IF(AH1216&gt;=1,"Lift",IF(AH1216&lt;=0,"Aussenlager","teilweise")))))</f>
        <v/>
      </c>
      <c r="AZ1216" s="53">
        <f>IF(AK1216&lt;=0,"",IF(BR1216="Aussen","Aussenlager",IF(BR1216="-","Nicht im Lift",IF(AP1216&gt;=1,"Lift",IF(AP1216&lt;=0,"Aussenlager","teilweise")))))</f>
        <v/>
      </c>
      <c r="BA1216" s="53">
        <f>IF(AS1216&lt;=0,"",IF(BR1216="Aussen","Aussenlager",IF(BR1216="-","Nicht im Lift",IF(AX1216&gt;=1,"Lift",IF(AX1216&lt;=0,"Aussenlager","teilweise")))))</f>
        <v/>
      </c>
      <c r="BB1216" s="53">
        <f>IF(A1216="","",IF(BK1216=1,"Neu; ","")&amp;IF(AND(BK1216=0,BF1216&lt;0),"negativer Bestand (Export "&amp;BF1216&amp;"); ","")&amp;IF(I1216&lt;=0,"Kein Verbrauch; ","")&amp;IF(BO1216=1,"Lose – Fläche geschätzt; ","")&amp;IF(G1216&gt;AM1216,"Überbestand "&amp;ROUND(G1216-AM1216,0)&amp;" Stk / CHF "&amp;ROUND((G1216-AM1216)*F1216,0)&amp;"; ","")&amp;IF(AND(BT1216=1,BU1216&lt;BV1216),"MAX &lt; MB+LG; ","")&amp;IF(AND(BZ1216&gt;0,BY1216*10&gt;BZ1216),"zu hoch für Tablar; ","")&amp;IF(AND(BK1216=0,OR(BT1216=1,V1216&lt;&gt;"",S1216&lt;&gt;"",T1216&lt;&gt;"",W1216&lt;&gt;"")),"manuell übersteuert; ","")&amp;IF(AND(BO1216=0,Q1216=0),"Gebinde unbekannt; ","")&amp;IF(AND(BO1216=0,N(T1216)&lt;=0,N(P1216)&lt;=0),"Menge pro Gebinde fehlt (Ist = 1 Gebinde); ","")&amp;BJ1216)</f>
        <v/>
      </c>
      <c r="BC1216" s="53" t="n"/>
      <c r="BD1216" s="53" t="n"/>
      <c r="BE1216" s="61" t="n"/>
      <c r="BF1216" s="55" t="n">
        <v>-9</v>
      </c>
      <c r="BG1216" s="55" t="n">
        <v>27</v>
      </c>
      <c r="BH1216" s="54" t="n">
        <v>-569.3400000000001</v>
      </c>
      <c r="BI1216" s="55" t="n">
        <v>2</v>
      </c>
      <c r="BJ1216" s="53" t="inlineStr"/>
      <c r="BK1216" s="58" t="n">
        <v>0</v>
      </c>
      <c r="BL1216" s="58" t="n">
        <v>1216</v>
      </c>
      <c r="BM1216" s="53">
        <f>IF(S1216&lt;&gt;"",UPPER(TRIM(S1216)),IF(O1216="","LOSE",O1216))</f>
        <v/>
      </c>
      <c r="BN1216" s="55">
        <f>IF(BM1216="LOSE",1,IF(N(T1216)&gt;0,T1216,IF(N(P1216)&gt;0,P1216,MAX(1,G1216))))</f>
        <v/>
      </c>
      <c r="BO1216" s="58">
        <f>IF(BM1216="LOSE",1,0)</f>
        <v/>
      </c>
      <c r="BP1216" s="64">
        <f>IF(BO1216=0,0,IF(N(R1216)&gt;0,R1216,IFERROR(VLOOKUP(D1216,Parameter!$A$35:$C$64,3,0)+0,0)))</f>
        <v/>
      </c>
      <c r="BQ1216" s="53">
        <f>IF(V1216&lt;&gt;"",V1216,U1216)</f>
        <v/>
      </c>
      <c r="BR1216" s="53">
        <f>IF(BQ1216=1,"L1",IF(OR(BQ1216=2,BQ1216=3),"L23",IF(BQ1216="Aussen","Aussen","-")))</f>
        <v/>
      </c>
      <c r="BS1216" s="66">
        <f>IF(N(W1216)&gt;0,W1216,0)</f>
        <v/>
      </c>
      <c r="BT1216" s="58">
        <f>IF(ISNUMBER(Z1216),1,0)</f>
        <v/>
      </c>
      <c r="BU1216" s="55">
        <f>N(Z1216)</f>
        <v/>
      </c>
      <c r="BV1216" s="55">
        <f>N(L1216)+N(M1216)</f>
        <v/>
      </c>
      <c r="BW1216" s="55">
        <f>ROUNDUP(G1216/BN1216,0)</f>
        <v/>
      </c>
      <c r="BX1216" s="55">
        <f>ROUNDUP(BU1216/BN1216,0)</f>
        <v/>
      </c>
      <c r="BY1216" s="58">
        <f>IF(BO1216=1,0,IFERROR(VLOOKUP(BM1216,'Gebinde-Kategorie'!$A$5:$G$45,5,0)+0,0))</f>
        <v/>
      </c>
      <c r="BZ1216" s="58">
        <f>IFERROR(IF(OR(BQ1216=1,BQ1216=2,BQ1216=3),N(INDEX(Parameter!$I$5:$I$7,BQ1216)),0),0)</f>
        <v/>
      </c>
    </row>
    <row r="1217">
      <c r="A1217" s="53" t="inlineStr">
        <is>
          <t>106137</t>
        </is>
      </c>
      <c r="B1217" s="53" t="inlineStr">
        <is>
          <t>Druckfeder</t>
        </is>
      </c>
      <c r="C1217" s="53" t="inlineStr">
        <is>
          <t>F</t>
        </is>
      </c>
      <c r="D1217" s="53" t="inlineStr">
        <is>
          <t>PAL</t>
        </is>
      </c>
      <c r="E1217" s="53" t="inlineStr">
        <is>
          <t>C</t>
        </is>
      </c>
      <c r="F1217" s="54" t="n">
        <v>2.9</v>
      </c>
      <c r="G1217" s="55">
        <f>MAX(0,IF(Parameter!$B$20="Jahresanfang 2025 + Export",BG1217+BF1217,BF1217))</f>
        <v/>
      </c>
      <c r="H1217" s="55">
        <f>G1217*F1217</f>
        <v/>
      </c>
      <c r="I1217" s="55">
        <f>BI1217*Parameter!$B$18</f>
        <v/>
      </c>
      <c r="J1217" s="56" t="n">
        <v>227</v>
      </c>
      <c r="K1217" s="57" t="n">
        <v>1.775330396475771</v>
      </c>
      <c r="L1217" s="55" t="n">
        <v>39</v>
      </c>
      <c r="M1217" s="55" t="n">
        <v>405</v>
      </c>
      <c r="N1217" s="58" t="n">
        <v>35</v>
      </c>
      <c r="O1217" s="53" t="inlineStr">
        <is>
          <t>S63</t>
        </is>
      </c>
      <c r="P1217" s="55" t="n">
        <v>196</v>
      </c>
      <c r="Q1217" s="59">
        <f>IF(BO1217=1,0,IFERROR(VLOOKUP(BM1217,'Gebinde-Kategorie'!$A$5:$G$45,6,0)+0,0))</f>
        <v/>
      </c>
      <c r="R1217" s="60" t="n"/>
      <c r="S1217" s="61" t="n"/>
      <c r="T1217" s="61" t="n"/>
      <c r="U1217" s="53">
        <f>IF(A1217="","",IF(IFERROR(VLOOKUP(D1217,Parameter!$A$35:$C$64,2,0),"Nein")="2+3",IF(ISNUMBER(SEARCH("grosser Artikel",BJ1217)),2,IFERROR(VLOOKUP(BM1217,Parameter!$F$35:$G$64,2,0),2)),IF(OR(IFERROR(VLOOKUP(D1217,Parameter!$A$35:$C$64,2,0),"Nein")="Nein",IFERROR(VLOOKUP(D1217,Parameter!$A$35:$C$64,2,0),"Nein")=""),"-",VLOOKUP(D1217,Parameter!$A$35:$C$64,2,0))))</f>
        <v/>
      </c>
      <c r="V1217" s="61" t="n"/>
      <c r="W1217" s="62" t="n"/>
      <c r="X1217" s="55">
        <f>AM1217</f>
        <v/>
      </c>
      <c r="Y1217" s="55">
        <f>MAX(AM1217,G1217)</f>
        <v/>
      </c>
      <c r="Z1217" s="63" t="n"/>
      <c r="AA1217" s="55">
        <f>IF(LEFT(Cockpit!$C$5,1)="A",G1217,IF(BT1217=1,BU1217,IF(LEFT(Cockpit!$C$5,1)="B",AE1217,MAX(AE1217,G1217))))</f>
        <v/>
      </c>
      <c r="AB1217" s="55">
        <f>IF(BO1217=1,0,ROUNDUP(AA1217/BN1217,0))</f>
        <v/>
      </c>
      <c r="AC1217" s="64">
        <f>IF(BO1217=1,IF(AA1217&lt;=0,0,BP1217*MAX(1,IF(G1217&gt;0,AA1217/G1217,1))),AB1217*Q1217)</f>
        <v/>
      </c>
      <c r="AD1217" s="55">
        <f>AA1217*F1217</f>
        <v/>
      </c>
      <c r="AE1217" s="55">
        <f>ROUNDUP(MAX(I1217/IF(BS1217&gt;0,BS1217,MAX(0.1,N(Cockpit!$C$6))),BV1217)/BN1217,0)*BN1217</f>
        <v/>
      </c>
      <c r="AF1217" s="56">
        <f>IF(AC1217&gt;0,I1217/AC1217,-1)</f>
        <v/>
      </c>
      <c r="AG1217" s="56">
        <f>IF(AND(OR(BR1217="L1",BR1217="L23"),AC1217&gt;0),SUMIFS($AC$7:$AC$1570,$BR$7:$BR$1570,BR1217,$AF$7:$AF$1570,"&gt;"&amp;AF1217)+SUMIFS($AC$7:$AC$1570,$BR$7:$BR$1570,BR1217,$AF$7:$AF$1570,AF1217,$BL$7:$BL$1570,"&lt;="&amp;BL1217),"")</f>
        <v/>
      </c>
      <c r="AH1217" s="65">
        <f>IF(AG1217="",0,MAX(0,MIN(1,(IF(BR1217="L1",Parameter!$K$5,Parameter!$K$6+Parameter!$K$7)-(AG1217-AC1217))/AC1217)))</f>
        <v/>
      </c>
      <c r="AI1217" s="55">
        <f>IF(LEFT(Cockpit!$I$5,1)="A",G1217,IF(BT1217=1,BU1217,IF(LEFT(Cockpit!$I$5,1)="B",AM1217,MAX(AM1217,G1217))))</f>
        <v/>
      </c>
      <c r="AJ1217" s="55">
        <f>IF(BO1217=1,0,ROUNDUP(AI1217/BN1217,0))</f>
        <v/>
      </c>
      <c r="AK1217" s="64">
        <f>IF(BO1217=1,IF(AI1217&lt;=0,0,BP1217*MAX(1,IF(G1217&gt;0,AI1217/G1217,1))),AJ1217*Q1217)</f>
        <v/>
      </c>
      <c r="AL1217" s="55">
        <f>AI1217*F1217</f>
        <v/>
      </c>
      <c r="AM1217" s="55">
        <f>ROUNDUP(MAX(I1217/IF(BS1217&gt;0,BS1217,MAX(0.1,N(Cockpit!$I$6))),BV1217)/BN1217,0)*BN1217</f>
        <v/>
      </c>
      <c r="AN1217" s="56">
        <f>IF(AK1217&gt;0,I1217/AK1217,-1)</f>
        <v/>
      </c>
      <c r="AO1217" s="56">
        <f>IF(AND(OR(BR1217="L1",BR1217="L23"),AK1217&gt;0),SUMIFS($AK$7:$AK$1570,$BR$7:$BR$1570,BR1217,$AN$7:$AN$1570,"&gt;"&amp;AN1217)+SUMIFS($AK$7:$AK$1570,$BR$7:$BR$1570,BR1217,$AN$7:$AN$1570,AN1217,$BL$7:$BL$1570,"&lt;="&amp;BL1217),"")</f>
        <v/>
      </c>
      <c r="AP1217" s="65">
        <f>IF(AO1217="",0,MAX(0,MIN(1,(IF(BR1217="L1",Parameter!$K$5,Parameter!$K$6+Parameter!$K$7)-(AO1217-AK1217))/AK1217)))</f>
        <v/>
      </c>
      <c r="AQ1217" s="55">
        <f>IF(LEFT(Cockpit!$O$5,1)="A",G1217,IF(BT1217=1,BU1217,IF(LEFT(Cockpit!$O$5,1)="B",AU1217,MAX(AU1217,G1217))))</f>
        <v/>
      </c>
      <c r="AR1217" s="55">
        <f>IF(BO1217=1,0,ROUNDUP(AQ1217/BN1217,0))</f>
        <v/>
      </c>
      <c r="AS1217" s="64">
        <f>IF(BO1217=1,IF(AQ1217&lt;=0,0,BP1217*MAX(1,IF(G1217&gt;0,AQ1217/G1217,1))),AR1217*Q1217)</f>
        <v/>
      </c>
      <c r="AT1217" s="55">
        <f>AQ1217*F1217</f>
        <v/>
      </c>
      <c r="AU1217" s="55">
        <f>ROUNDUP(MAX(I1217/IF(BS1217&gt;0,BS1217,MAX(0.1,N(Cockpit!$O$6))),BV1217)/BN1217,0)*BN1217</f>
        <v/>
      </c>
      <c r="AV1217" s="56">
        <f>IF(AS1217&gt;0,I1217/AS1217,-1)</f>
        <v/>
      </c>
      <c r="AW1217" s="56">
        <f>IF(AND(OR(BR1217="L1",BR1217="L23"),AS1217&gt;0),SUMIFS($AS$7:$AS$1570,$BR$7:$BR$1570,BR1217,$AV$7:$AV$1570,"&gt;"&amp;AV1217)+SUMIFS($AS$7:$AS$1570,$BR$7:$BR$1570,BR1217,$AV$7:$AV$1570,AV1217,$BL$7:$BL$1570,"&lt;="&amp;BL1217),"")</f>
        <v/>
      </c>
      <c r="AX1217" s="65">
        <f>IF(AW1217="",0,MAX(0,MIN(1,(IF(BR1217="L1",Parameter!$K$5,Parameter!$K$6+Parameter!$K$7)-(AW1217-AS1217))/AS1217)))</f>
        <v/>
      </c>
      <c r="AY1217" s="53">
        <f>IF(AC1217&lt;=0,"",IF(BR1217="Aussen","Aussenlager",IF(BR1217="-","Nicht im Lift",IF(AH1217&gt;=1,"Lift",IF(AH1217&lt;=0,"Aussenlager","teilweise")))))</f>
        <v/>
      </c>
      <c r="AZ1217" s="53">
        <f>IF(AK1217&lt;=0,"",IF(BR1217="Aussen","Aussenlager",IF(BR1217="-","Nicht im Lift",IF(AP1217&gt;=1,"Lift",IF(AP1217&lt;=0,"Aussenlager","teilweise")))))</f>
        <v/>
      </c>
      <c r="BA1217" s="53">
        <f>IF(AS1217&lt;=0,"",IF(BR1217="Aussen","Aussenlager",IF(BR1217="-","Nicht im Lift",IF(AX1217&gt;=1,"Lift",IF(AX1217&lt;=0,"Aussenlager","teilweise")))))</f>
        <v/>
      </c>
      <c r="BB1217" s="53">
        <f>IF(A1217="","",IF(BK1217=1,"Neu; ","")&amp;IF(AND(BK1217=0,BF1217&lt;0),"negativer Bestand (Export "&amp;BF1217&amp;"); ","")&amp;IF(I1217&lt;=0,"Kein Verbrauch; ","")&amp;IF(BO1217=1,"Lose – Fläche geschätzt; ","")&amp;IF(G1217&gt;AM1217,"Überbestand "&amp;ROUND(G1217-AM1217,0)&amp;" Stk / CHF "&amp;ROUND((G1217-AM1217)*F1217,0)&amp;"; ","")&amp;IF(AND(BT1217=1,BU1217&lt;BV1217),"MAX &lt; MB+LG; ","")&amp;IF(AND(BZ1217&gt;0,BY1217*10&gt;BZ1217),"zu hoch für Tablar; ","")&amp;IF(AND(BK1217=0,OR(BT1217=1,V1217&lt;&gt;"",S1217&lt;&gt;"",T1217&lt;&gt;"",W1217&lt;&gt;"")),"manuell übersteuert; ","")&amp;IF(AND(BO1217=0,Q1217=0),"Gebinde unbekannt; ","")&amp;IF(AND(BO1217=0,N(T1217)&lt;=0,N(P1217)&lt;=0),"Menge pro Gebinde fehlt (Ist = 1 Gebinde); ","")&amp;BJ1217)</f>
        <v/>
      </c>
      <c r="BC1217" s="53" t="n"/>
      <c r="BD1217" s="53" t="n"/>
      <c r="BE1217" s="61" t="n"/>
      <c r="BF1217" s="55" t="n">
        <v>-133</v>
      </c>
      <c r="BG1217" s="55" t="n">
        <v>252</v>
      </c>
      <c r="BH1217" s="54" t="n">
        <v>-574.46</v>
      </c>
      <c r="BI1217" s="55" t="n">
        <v>403</v>
      </c>
      <c r="BJ1217" s="53" t="inlineStr">
        <is>
          <t>gehört dieser Artikel ins KTL ?</t>
        </is>
      </c>
      <c r="BK1217" s="58" t="n">
        <v>0</v>
      </c>
      <c r="BL1217" s="58" t="n">
        <v>1217</v>
      </c>
      <c r="BM1217" s="53">
        <f>IF(S1217&lt;&gt;"",UPPER(TRIM(S1217)),IF(O1217="","LOSE",O1217))</f>
        <v/>
      </c>
      <c r="BN1217" s="55">
        <f>IF(BM1217="LOSE",1,IF(N(T1217)&gt;0,T1217,IF(N(P1217)&gt;0,P1217,MAX(1,G1217))))</f>
        <v/>
      </c>
      <c r="BO1217" s="58">
        <f>IF(BM1217="LOSE",1,0)</f>
        <v/>
      </c>
      <c r="BP1217" s="64">
        <f>IF(BO1217=0,0,IF(N(R1217)&gt;0,R1217,IFERROR(VLOOKUP(D1217,Parameter!$A$35:$C$64,3,0)+0,0)))</f>
        <v/>
      </c>
      <c r="BQ1217" s="53">
        <f>IF(V1217&lt;&gt;"",V1217,U1217)</f>
        <v/>
      </c>
      <c r="BR1217" s="53">
        <f>IF(BQ1217=1,"L1",IF(OR(BQ1217=2,BQ1217=3),"L23",IF(BQ1217="Aussen","Aussen","-")))</f>
        <v/>
      </c>
      <c r="BS1217" s="66">
        <f>IF(N(W1217)&gt;0,W1217,0)</f>
        <v/>
      </c>
      <c r="BT1217" s="58">
        <f>IF(ISNUMBER(Z1217),1,0)</f>
        <v/>
      </c>
      <c r="BU1217" s="55">
        <f>N(Z1217)</f>
        <v/>
      </c>
      <c r="BV1217" s="55">
        <f>N(L1217)+N(M1217)</f>
        <v/>
      </c>
      <c r="BW1217" s="55">
        <f>ROUNDUP(G1217/BN1217,0)</f>
        <v/>
      </c>
      <c r="BX1217" s="55">
        <f>ROUNDUP(BU1217/BN1217,0)</f>
        <v/>
      </c>
      <c r="BY1217" s="58">
        <f>IF(BO1217=1,0,IFERROR(VLOOKUP(BM1217,'Gebinde-Kategorie'!$A$5:$G$45,5,0)+0,0))</f>
        <v/>
      </c>
      <c r="BZ1217" s="58">
        <f>IFERROR(IF(OR(BQ1217=1,BQ1217=2,BQ1217=3),N(INDEX(Parameter!$I$5:$I$7,BQ1217)),0),0)</f>
        <v/>
      </c>
    </row>
    <row r="1218">
      <c r="A1218" s="53" t="inlineStr">
        <is>
          <t>109787</t>
        </is>
      </c>
      <c r="B1218" s="53" t="inlineStr">
        <is>
          <t>Gasvorwärmer</t>
        </is>
      </c>
      <c r="C1218" s="53" t="inlineStr">
        <is>
          <t>F</t>
        </is>
      </c>
      <c r="D1218" s="53" t="inlineStr">
        <is>
          <t>PAL</t>
        </is>
      </c>
      <c r="E1218" s="53" t="inlineStr">
        <is>
          <t>C</t>
        </is>
      </c>
      <c r="F1218" s="54" t="n">
        <v>301.79</v>
      </c>
      <c r="G1218" s="55">
        <f>MAX(0,IF(Parameter!$B$20="Jahresanfang 2025 + Export",BG1218+BF1218,BF1218))</f>
        <v/>
      </c>
      <c r="H1218" s="55">
        <f>G1218*F1218</f>
        <v/>
      </c>
      <c r="I1218" s="55">
        <f>BI1218*Parameter!$B$18</f>
        <v/>
      </c>
      <c r="J1218" s="56" t="n">
        <v>10</v>
      </c>
      <c r="K1218" s="57" t="n">
        <v>1.5</v>
      </c>
      <c r="L1218" s="55" t="n">
        <v>1</v>
      </c>
      <c r="M1218" s="55" t="n">
        <v>10</v>
      </c>
      <c r="N1218" s="58" t="n">
        <v>35</v>
      </c>
      <c r="O1218" s="53" t="inlineStr">
        <is>
          <t>LOSE</t>
        </is>
      </c>
      <c r="P1218" s="55" t="n"/>
      <c r="Q1218" s="59">
        <f>IF(BO1218=1,0,IFERROR(VLOOKUP(BM1218,'Gebinde-Kategorie'!$A$5:$G$45,6,0)+0,0))</f>
        <v/>
      </c>
      <c r="R1218" s="60" t="n"/>
      <c r="S1218" s="61" t="n"/>
      <c r="T1218" s="61" t="n"/>
      <c r="U1218" s="53">
        <f>IF(A1218="","",IF(IFERROR(VLOOKUP(D1218,Parameter!$A$35:$C$64,2,0),"Nein")="2+3",IF(ISNUMBER(SEARCH("grosser Artikel",BJ1218)),2,IFERROR(VLOOKUP(BM1218,Parameter!$F$35:$G$64,2,0),2)),IF(OR(IFERROR(VLOOKUP(D1218,Parameter!$A$35:$C$64,2,0),"Nein")="Nein",IFERROR(VLOOKUP(D1218,Parameter!$A$35:$C$64,2,0),"Nein")=""),"-",VLOOKUP(D1218,Parameter!$A$35:$C$64,2,0))))</f>
        <v/>
      </c>
      <c r="V1218" s="61" t="n"/>
      <c r="W1218" s="62" t="n"/>
      <c r="X1218" s="55">
        <f>AM1218</f>
        <v/>
      </c>
      <c r="Y1218" s="55">
        <f>MAX(AM1218,G1218)</f>
        <v/>
      </c>
      <c r="Z1218" s="63" t="n"/>
      <c r="AA1218" s="55">
        <f>IF(LEFT(Cockpit!$C$5,1)="A",G1218,IF(BT1218=1,BU1218,IF(LEFT(Cockpit!$C$5,1)="B",AE1218,MAX(AE1218,G1218))))</f>
        <v/>
      </c>
      <c r="AB1218" s="55">
        <f>IF(BO1218=1,0,ROUNDUP(AA1218/BN1218,0))</f>
        <v/>
      </c>
      <c r="AC1218" s="64">
        <f>IF(BO1218=1,IF(AA1218&lt;=0,0,BP1218*MAX(1,IF(G1218&gt;0,AA1218/G1218,1))),AB1218*Q1218)</f>
        <v/>
      </c>
      <c r="AD1218" s="55">
        <f>AA1218*F1218</f>
        <v/>
      </c>
      <c r="AE1218" s="55">
        <f>ROUNDUP(MAX(I1218/IF(BS1218&gt;0,BS1218,MAX(0.1,N(Cockpit!$C$6))),BV1218)/BN1218,0)*BN1218</f>
        <v/>
      </c>
      <c r="AF1218" s="56">
        <f>IF(AC1218&gt;0,I1218/AC1218,-1)</f>
        <v/>
      </c>
      <c r="AG1218" s="56">
        <f>IF(AND(OR(BR1218="L1",BR1218="L23"),AC1218&gt;0),SUMIFS($AC$7:$AC$1570,$BR$7:$BR$1570,BR1218,$AF$7:$AF$1570,"&gt;"&amp;AF1218)+SUMIFS($AC$7:$AC$1570,$BR$7:$BR$1570,BR1218,$AF$7:$AF$1570,AF1218,$BL$7:$BL$1570,"&lt;="&amp;BL1218),"")</f>
        <v/>
      </c>
      <c r="AH1218" s="65">
        <f>IF(AG1218="",0,MAX(0,MIN(1,(IF(BR1218="L1",Parameter!$K$5,Parameter!$K$6+Parameter!$K$7)-(AG1218-AC1218))/AC1218)))</f>
        <v/>
      </c>
      <c r="AI1218" s="55">
        <f>IF(LEFT(Cockpit!$I$5,1)="A",G1218,IF(BT1218=1,BU1218,IF(LEFT(Cockpit!$I$5,1)="B",AM1218,MAX(AM1218,G1218))))</f>
        <v/>
      </c>
      <c r="AJ1218" s="55">
        <f>IF(BO1218=1,0,ROUNDUP(AI1218/BN1218,0))</f>
        <v/>
      </c>
      <c r="AK1218" s="64">
        <f>IF(BO1218=1,IF(AI1218&lt;=0,0,BP1218*MAX(1,IF(G1218&gt;0,AI1218/G1218,1))),AJ1218*Q1218)</f>
        <v/>
      </c>
      <c r="AL1218" s="55">
        <f>AI1218*F1218</f>
        <v/>
      </c>
      <c r="AM1218" s="55">
        <f>ROUNDUP(MAX(I1218/IF(BS1218&gt;0,BS1218,MAX(0.1,N(Cockpit!$I$6))),BV1218)/BN1218,0)*BN1218</f>
        <v/>
      </c>
      <c r="AN1218" s="56">
        <f>IF(AK1218&gt;0,I1218/AK1218,-1)</f>
        <v/>
      </c>
      <c r="AO1218" s="56">
        <f>IF(AND(OR(BR1218="L1",BR1218="L23"),AK1218&gt;0),SUMIFS($AK$7:$AK$1570,$BR$7:$BR$1570,BR1218,$AN$7:$AN$1570,"&gt;"&amp;AN1218)+SUMIFS($AK$7:$AK$1570,$BR$7:$BR$1570,BR1218,$AN$7:$AN$1570,AN1218,$BL$7:$BL$1570,"&lt;="&amp;BL1218),"")</f>
        <v/>
      </c>
      <c r="AP1218" s="65">
        <f>IF(AO1218="",0,MAX(0,MIN(1,(IF(BR1218="L1",Parameter!$K$5,Parameter!$K$6+Parameter!$K$7)-(AO1218-AK1218))/AK1218)))</f>
        <v/>
      </c>
      <c r="AQ1218" s="55">
        <f>IF(LEFT(Cockpit!$O$5,1)="A",G1218,IF(BT1218=1,BU1218,IF(LEFT(Cockpit!$O$5,1)="B",AU1218,MAX(AU1218,G1218))))</f>
        <v/>
      </c>
      <c r="AR1218" s="55">
        <f>IF(BO1218=1,0,ROUNDUP(AQ1218/BN1218,0))</f>
        <v/>
      </c>
      <c r="AS1218" s="64">
        <f>IF(BO1218=1,IF(AQ1218&lt;=0,0,BP1218*MAX(1,IF(G1218&gt;0,AQ1218/G1218,1))),AR1218*Q1218)</f>
        <v/>
      </c>
      <c r="AT1218" s="55">
        <f>AQ1218*F1218</f>
        <v/>
      </c>
      <c r="AU1218" s="55">
        <f>ROUNDUP(MAX(I1218/IF(BS1218&gt;0,BS1218,MAX(0.1,N(Cockpit!$O$6))),BV1218)/BN1218,0)*BN1218</f>
        <v/>
      </c>
      <c r="AV1218" s="56">
        <f>IF(AS1218&gt;0,I1218/AS1218,-1)</f>
        <v/>
      </c>
      <c r="AW1218" s="56">
        <f>IF(AND(OR(BR1218="L1",BR1218="L23"),AS1218&gt;0),SUMIFS($AS$7:$AS$1570,$BR$7:$BR$1570,BR1218,$AV$7:$AV$1570,"&gt;"&amp;AV1218)+SUMIFS($AS$7:$AS$1570,$BR$7:$BR$1570,BR1218,$AV$7:$AV$1570,AV1218,$BL$7:$BL$1570,"&lt;="&amp;BL1218),"")</f>
        <v/>
      </c>
      <c r="AX1218" s="65">
        <f>IF(AW1218="",0,MAX(0,MIN(1,(IF(BR1218="L1",Parameter!$K$5,Parameter!$K$6+Parameter!$K$7)-(AW1218-AS1218))/AS1218)))</f>
        <v/>
      </c>
      <c r="AY1218" s="53">
        <f>IF(AC1218&lt;=0,"",IF(BR1218="Aussen","Aussenlager",IF(BR1218="-","Nicht im Lift",IF(AH1218&gt;=1,"Lift",IF(AH1218&lt;=0,"Aussenlager","teilweise")))))</f>
        <v/>
      </c>
      <c r="AZ1218" s="53">
        <f>IF(AK1218&lt;=0,"",IF(BR1218="Aussen","Aussenlager",IF(BR1218="-","Nicht im Lift",IF(AP1218&gt;=1,"Lift",IF(AP1218&lt;=0,"Aussenlager","teilweise")))))</f>
        <v/>
      </c>
      <c r="BA1218" s="53">
        <f>IF(AS1218&lt;=0,"",IF(BR1218="Aussen","Aussenlager",IF(BR1218="-","Nicht im Lift",IF(AX1218&gt;=1,"Lift",IF(AX1218&lt;=0,"Aussenlager","teilweise")))))</f>
        <v/>
      </c>
      <c r="BB1218" s="53">
        <f>IF(A1218="","",IF(BK1218=1,"Neu; ","")&amp;IF(AND(BK1218=0,BF1218&lt;0),"negativer Bestand (Export "&amp;BF1218&amp;"); ","")&amp;IF(I1218&lt;=0,"Kein Verbrauch; ","")&amp;IF(BO1218=1,"Lose – Fläche geschätzt; ","")&amp;IF(G1218&gt;AM1218,"Überbestand "&amp;ROUND(G1218-AM1218,0)&amp;" Stk / CHF "&amp;ROUND((G1218-AM1218)*F1218,0)&amp;"; ","")&amp;IF(AND(BT1218=1,BU1218&lt;BV1218),"MAX &lt; MB+LG; ","")&amp;IF(AND(BZ1218&gt;0,BY1218*10&gt;BZ1218),"zu hoch für Tablar; ","")&amp;IF(AND(BK1218=0,OR(BT1218=1,V1218&lt;&gt;"",S1218&lt;&gt;"",T1218&lt;&gt;"",W1218&lt;&gt;"")),"manuell übersteuert; ","")&amp;IF(AND(BO1218=0,Q1218=0),"Gebinde unbekannt; ","")&amp;IF(AND(BO1218=0,N(T1218)&lt;=0,N(P1218)&lt;=0),"Menge pro Gebinde fehlt (Ist = 1 Gebinde); ","")&amp;BJ1218)</f>
        <v/>
      </c>
      <c r="BC1218" s="53" t="n"/>
      <c r="BD1218" s="53" t="n"/>
      <c r="BE1218" s="61" t="n"/>
      <c r="BF1218" s="55" t="n">
        <v>-2</v>
      </c>
      <c r="BG1218" s="55" t="n">
        <v>3</v>
      </c>
      <c r="BH1218" s="54" t="n">
        <v>-580.5700000000015</v>
      </c>
      <c r="BI1218" s="55" t="n">
        <v>15</v>
      </c>
      <c r="BJ1218" s="53" t="inlineStr"/>
      <c r="BK1218" s="58" t="n">
        <v>0</v>
      </c>
      <c r="BL1218" s="58" t="n">
        <v>1218</v>
      </c>
      <c r="BM1218" s="53">
        <f>IF(S1218&lt;&gt;"",UPPER(TRIM(S1218)),IF(O1218="","LOSE",O1218))</f>
        <v/>
      </c>
      <c r="BN1218" s="55">
        <f>IF(BM1218="LOSE",1,IF(N(T1218)&gt;0,T1218,IF(N(P1218)&gt;0,P1218,MAX(1,G1218))))</f>
        <v/>
      </c>
      <c r="BO1218" s="58">
        <f>IF(BM1218="LOSE",1,0)</f>
        <v/>
      </c>
      <c r="BP1218" s="64">
        <f>IF(BO1218=0,0,IF(N(R1218)&gt;0,R1218,IFERROR(VLOOKUP(D1218,Parameter!$A$35:$C$64,3,0)+0,0)))</f>
        <v/>
      </c>
      <c r="BQ1218" s="53">
        <f>IF(V1218&lt;&gt;"",V1218,U1218)</f>
        <v/>
      </c>
      <c r="BR1218" s="53">
        <f>IF(BQ1218=1,"L1",IF(OR(BQ1218=2,BQ1218=3),"L23",IF(BQ1218="Aussen","Aussen","-")))</f>
        <v/>
      </c>
      <c r="BS1218" s="66">
        <f>IF(N(W1218)&gt;0,W1218,0)</f>
        <v/>
      </c>
      <c r="BT1218" s="58">
        <f>IF(ISNUMBER(Z1218),1,0)</f>
        <v/>
      </c>
      <c r="BU1218" s="55">
        <f>N(Z1218)</f>
        <v/>
      </c>
      <c r="BV1218" s="55">
        <f>N(L1218)+N(M1218)</f>
        <v/>
      </c>
      <c r="BW1218" s="55">
        <f>ROUNDUP(G1218/BN1218,0)</f>
        <v/>
      </c>
      <c r="BX1218" s="55">
        <f>ROUNDUP(BU1218/BN1218,0)</f>
        <v/>
      </c>
      <c r="BY1218" s="58">
        <f>IF(BO1218=1,0,IFERROR(VLOOKUP(BM1218,'Gebinde-Kategorie'!$A$5:$G$45,5,0)+0,0))</f>
        <v/>
      </c>
      <c r="BZ1218" s="58">
        <f>IFERROR(IF(OR(BQ1218=1,BQ1218=2,BQ1218=3),N(INDEX(Parameter!$I$5:$I$7,BQ1218)),0),0)</f>
        <v/>
      </c>
    </row>
    <row r="1219">
      <c r="A1219" s="53" t="inlineStr">
        <is>
          <t>108046</t>
        </is>
      </c>
      <c r="B1219" s="53" t="inlineStr">
        <is>
          <t>Tüllengehäuse B6</t>
        </is>
      </c>
      <c r="C1219" s="53" t="inlineStr">
        <is>
          <t>F</t>
        </is>
      </c>
      <c r="D1219" s="53" t="inlineStr">
        <is>
          <t>KTL</t>
        </is>
      </c>
      <c r="E1219" s="53" t="inlineStr">
        <is>
          <t>C</t>
        </is>
      </c>
      <c r="F1219" s="54" t="n">
        <v>7.16</v>
      </c>
      <c r="G1219" s="55">
        <f>MAX(0,IF(Parameter!$B$20="Jahresanfang 2025 + Export",BG1219+BF1219,BF1219))</f>
        <v/>
      </c>
      <c r="H1219" s="55">
        <f>G1219*F1219</f>
        <v/>
      </c>
      <c r="I1219" s="55">
        <f>BI1219*Parameter!$B$18</f>
        <v/>
      </c>
      <c r="J1219" s="56" t="n">
        <v>74</v>
      </c>
      <c r="K1219" s="57" t="n">
        <v>0</v>
      </c>
      <c r="L1219" s="55" t="n">
        <v>0</v>
      </c>
      <c r="M1219" s="55" t="n">
        <v>1</v>
      </c>
      <c r="N1219" s="58" t="n">
        <v>63</v>
      </c>
      <c r="O1219" s="53" t="inlineStr">
        <is>
          <t>S52</t>
        </is>
      </c>
      <c r="P1219" s="55" t="n">
        <v>33</v>
      </c>
      <c r="Q1219" s="59">
        <f>IF(BO1219=1,0,IFERROR(VLOOKUP(BM1219,'Gebinde-Kategorie'!$A$5:$G$45,6,0)+0,0))</f>
        <v/>
      </c>
      <c r="R1219" s="60" t="n"/>
      <c r="S1219" s="61" t="n"/>
      <c r="T1219" s="61" t="n"/>
      <c r="U1219" s="53">
        <f>IF(A1219="","",IF(IFERROR(VLOOKUP(D1219,Parameter!$A$35:$C$64,2,0),"Nein")="2+3",IF(ISNUMBER(SEARCH("grosser Artikel",BJ1219)),2,IFERROR(VLOOKUP(BM1219,Parameter!$F$35:$G$64,2,0),2)),IF(OR(IFERROR(VLOOKUP(D1219,Parameter!$A$35:$C$64,2,0),"Nein")="Nein",IFERROR(VLOOKUP(D1219,Parameter!$A$35:$C$64,2,0),"Nein")=""),"-",VLOOKUP(D1219,Parameter!$A$35:$C$64,2,0))))</f>
        <v/>
      </c>
      <c r="V1219" s="61" t="n"/>
      <c r="W1219" s="62" t="n"/>
      <c r="X1219" s="55">
        <f>AM1219</f>
        <v/>
      </c>
      <c r="Y1219" s="55">
        <f>MAX(AM1219,G1219)</f>
        <v/>
      </c>
      <c r="Z1219" s="63" t="n"/>
      <c r="AA1219" s="55">
        <f>IF(LEFT(Cockpit!$C$5,1)="A",G1219,IF(BT1219=1,BU1219,IF(LEFT(Cockpit!$C$5,1)="B",AE1219,MAX(AE1219,G1219))))</f>
        <v/>
      </c>
      <c r="AB1219" s="55">
        <f>IF(BO1219=1,0,ROUNDUP(AA1219/BN1219,0))</f>
        <v/>
      </c>
      <c r="AC1219" s="64">
        <f>IF(BO1219=1,IF(AA1219&lt;=0,0,BP1219*MAX(1,IF(G1219&gt;0,AA1219/G1219,1))),AB1219*Q1219)</f>
        <v/>
      </c>
      <c r="AD1219" s="55">
        <f>AA1219*F1219</f>
        <v/>
      </c>
      <c r="AE1219" s="55">
        <f>ROUNDUP(MAX(I1219/IF(BS1219&gt;0,BS1219,MAX(0.1,N(Cockpit!$C$6))),BV1219)/BN1219,0)*BN1219</f>
        <v/>
      </c>
      <c r="AF1219" s="56">
        <f>IF(AC1219&gt;0,I1219/AC1219,-1)</f>
        <v/>
      </c>
      <c r="AG1219" s="56">
        <f>IF(AND(OR(BR1219="L1",BR1219="L23"),AC1219&gt;0),SUMIFS($AC$7:$AC$1570,$BR$7:$BR$1570,BR1219,$AF$7:$AF$1570,"&gt;"&amp;AF1219)+SUMIFS($AC$7:$AC$1570,$BR$7:$BR$1570,BR1219,$AF$7:$AF$1570,AF1219,$BL$7:$BL$1570,"&lt;="&amp;BL1219),"")</f>
        <v/>
      </c>
      <c r="AH1219" s="65">
        <f>IF(AG1219="",0,MAX(0,MIN(1,(IF(BR1219="L1",Parameter!$K$5,Parameter!$K$6+Parameter!$K$7)-(AG1219-AC1219))/AC1219)))</f>
        <v/>
      </c>
      <c r="AI1219" s="55">
        <f>IF(LEFT(Cockpit!$I$5,1)="A",G1219,IF(BT1219=1,BU1219,IF(LEFT(Cockpit!$I$5,1)="B",AM1219,MAX(AM1219,G1219))))</f>
        <v/>
      </c>
      <c r="AJ1219" s="55">
        <f>IF(BO1219=1,0,ROUNDUP(AI1219/BN1219,0))</f>
        <v/>
      </c>
      <c r="AK1219" s="64">
        <f>IF(BO1219=1,IF(AI1219&lt;=0,0,BP1219*MAX(1,IF(G1219&gt;0,AI1219/G1219,1))),AJ1219*Q1219)</f>
        <v/>
      </c>
      <c r="AL1219" s="55">
        <f>AI1219*F1219</f>
        <v/>
      </c>
      <c r="AM1219" s="55">
        <f>ROUNDUP(MAX(I1219/IF(BS1219&gt;0,BS1219,MAX(0.1,N(Cockpit!$I$6))),BV1219)/BN1219,0)*BN1219</f>
        <v/>
      </c>
      <c r="AN1219" s="56">
        <f>IF(AK1219&gt;0,I1219/AK1219,-1)</f>
        <v/>
      </c>
      <c r="AO1219" s="56">
        <f>IF(AND(OR(BR1219="L1",BR1219="L23"),AK1219&gt;0),SUMIFS($AK$7:$AK$1570,$BR$7:$BR$1570,BR1219,$AN$7:$AN$1570,"&gt;"&amp;AN1219)+SUMIFS($AK$7:$AK$1570,$BR$7:$BR$1570,BR1219,$AN$7:$AN$1570,AN1219,$BL$7:$BL$1570,"&lt;="&amp;BL1219),"")</f>
        <v/>
      </c>
      <c r="AP1219" s="65">
        <f>IF(AO1219="",0,MAX(0,MIN(1,(IF(BR1219="L1",Parameter!$K$5,Parameter!$K$6+Parameter!$K$7)-(AO1219-AK1219))/AK1219)))</f>
        <v/>
      </c>
      <c r="AQ1219" s="55">
        <f>IF(LEFT(Cockpit!$O$5,1)="A",G1219,IF(BT1219=1,BU1219,IF(LEFT(Cockpit!$O$5,1)="B",AU1219,MAX(AU1219,G1219))))</f>
        <v/>
      </c>
      <c r="AR1219" s="55">
        <f>IF(BO1219=1,0,ROUNDUP(AQ1219/BN1219,0))</f>
        <v/>
      </c>
      <c r="AS1219" s="64">
        <f>IF(BO1219=1,IF(AQ1219&lt;=0,0,BP1219*MAX(1,IF(G1219&gt;0,AQ1219/G1219,1))),AR1219*Q1219)</f>
        <v/>
      </c>
      <c r="AT1219" s="55">
        <f>AQ1219*F1219</f>
        <v/>
      </c>
      <c r="AU1219" s="55">
        <f>ROUNDUP(MAX(I1219/IF(BS1219&gt;0,BS1219,MAX(0.1,N(Cockpit!$O$6))),BV1219)/BN1219,0)*BN1219</f>
        <v/>
      </c>
      <c r="AV1219" s="56">
        <f>IF(AS1219&gt;0,I1219/AS1219,-1)</f>
        <v/>
      </c>
      <c r="AW1219" s="56">
        <f>IF(AND(OR(BR1219="L1",BR1219="L23"),AS1219&gt;0),SUMIFS($AS$7:$AS$1570,$BR$7:$BR$1570,BR1219,$AV$7:$AV$1570,"&gt;"&amp;AV1219)+SUMIFS($AS$7:$AS$1570,$BR$7:$BR$1570,BR1219,$AV$7:$AV$1570,AV1219,$BL$7:$BL$1570,"&lt;="&amp;BL1219),"")</f>
        <v/>
      </c>
      <c r="AX1219" s="65">
        <f>IF(AW1219="",0,MAX(0,MIN(1,(IF(BR1219="L1",Parameter!$K$5,Parameter!$K$6+Parameter!$K$7)-(AW1219-AS1219))/AS1219)))</f>
        <v/>
      </c>
      <c r="AY1219" s="53">
        <f>IF(AC1219&lt;=0,"",IF(BR1219="Aussen","Aussenlager",IF(BR1219="-","Nicht im Lift",IF(AH1219&gt;=1,"Lift",IF(AH1219&lt;=0,"Aussenlager","teilweise")))))</f>
        <v/>
      </c>
      <c r="AZ1219" s="53">
        <f>IF(AK1219&lt;=0,"",IF(BR1219="Aussen","Aussenlager",IF(BR1219="-","Nicht im Lift",IF(AP1219&gt;=1,"Lift",IF(AP1219&lt;=0,"Aussenlager","teilweise")))))</f>
        <v/>
      </c>
      <c r="BA1219" s="53">
        <f>IF(AS1219&lt;=0,"",IF(BR1219="Aussen","Aussenlager",IF(BR1219="-","Nicht im Lift",IF(AX1219&gt;=1,"Lift",IF(AX1219&lt;=0,"Aussenlager","teilweise")))))</f>
        <v/>
      </c>
      <c r="BB1219" s="53">
        <f>IF(A1219="","",IF(BK1219=1,"Neu; ","")&amp;IF(AND(BK1219=0,BF1219&lt;0),"negativer Bestand (Export "&amp;BF1219&amp;"); ","")&amp;IF(I1219&lt;=0,"Kein Verbrauch; ","")&amp;IF(BO1219=1,"Lose – Fläche geschätzt; ","")&amp;IF(G1219&gt;AM1219,"Überbestand "&amp;ROUND(G1219-AM1219,0)&amp;" Stk / CHF "&amp;ROUND((G1219-AM1219)*F1219,0)&amp;"; ","")&amp;IF(AND(BT1219=1,BU1219&lt;BV1219),"MAX &lt; MB+LG; ","")&amp;IF(AND(BZ1219&gt;0,BY1219*10&gt;BZ1219),"zu hoch für Tablar; ","")&amp;IF(AND(BK1219=0,OR(BT1219=1,V1219&lt;&gt;"",S1219&lt;&gt;"",T1219&lt;&gt;"",W1219&lt;&gt;"")),"manuell übersteuert; ","")&amp;IF(AND(BO1219=0,Q1219=0),"Gebinde unbekannt; ","")&amp;IF(AND(BO1219=0,N(T1219)&lt;=0,N(P1219)&lt;=0),"Menge pro Gebinde fehlt (Ist = 1 Gebinde); ","")&amp;BJ1219)</f>
        <v/>
      </c>
      <c r="BC1219" s="53" t="n"/>
      <c r="BD1219" s="53" t="n"/>
      <c r="BE1219" s="61" t="n"/>
      <c r="BF1219" s="55" t="n">
        <v>-82</v>
      </c>
      <c r="BG1219" s="55" t="n">
        <v>115</v>
      </c>
      <c r="BH1219" s="54" t="n">
        <v>-587.12</v>
      </c>
      <c r="BI1219" s="55" t="n">
        <v>0</v>
      </c>
      <c r="BJ1219" s="53" t="inlineStr"/>
      <c r="BK1219" s="58" t="n">
        <v>0</v>
      </c>
      <c r="BL1219" s="58" t="n">
        <v>1219</v>
      </c>
      <c r="BM1219" s="53">
        <f>IF(S1219&lt;&gt;"",UPPER(TRIM(S1219)),IF(O1219="","LOSE",O1219))</f>
        <v/>
      </c>
      <c r="BN1219" s="55">
        <f>IF(BM1219="LOSE",1,IF(N(T1219)&gt;0,T1219,IF(N(P1219)&gt;0,P1219,MAX(1,G1219))))</f>
        <v/>
      </c>
      <c r="BO1219" s="58">
        <f>IF(BM1219="LOSE",1,0)</f>
        <v/>
      </c>
      <c r="BP1219" s="64">
        <f>IF(BO1219=0,0,IF(N(R1219)&gt;0,R1219,IFERROR(VLOOKUP(D1219,Parameter!$A$35:$C$64,3,0)+0,0)))</f>
        <v/>
      </c>
      <c r="BQ1219" s="53">
        <f>IF(V1219&lt;&gt;"",V1219,U1219)</f>
        <v/>
      </c>
      <c r="BR1219" s="53">
        <f>IF(BQ1219=1,"L1",IF(OR(BQ1219=2,BQ1219=3),"L23",IF(BQ1219="Aussen","Aussen","-")))</f>
        <v/>
      </c>
      <c r="BS1219" s="66">
        <f>IF(N(W1219)&gt;0,W1219,0)</f>
        <v/>
      </c>
      <c r="BT1219" s="58">
        <f>IF(ISNUMBER(Z1219),1,0)</f>
        <v/>
      </c>
      <c r="BU1219" s="55">
        <f>N(Z1219)</f>
        <v/>
      </c>
      <c r="BV1219" s="55">
        <f>N(L1219)+N(M1219)</f>
        <v/>
      </c>
      <c r="BW1219" s="55">
        <f>ROUNDUP(G1219/BN1219,0)</f>
        <v/>
      </c>
      <c r="BX1219" s="55">
        <f>ROUNDUP(BU1219/BN1219,0)</f>
        <v/>
      </c>
      <c r="BY1219" s="58">
        <f>IF(BO1219=1,0,IFERROR(VLOOKUP(BM1219,'Gebinde-Kategorie'!$A$5:$G$45,5,0)+0,0))</f>
        <v/>
      </c>
      <c r="BZ1219" s="58">
        <f>IFERROR(IF(OR(BQ1219=1,BQ1219=2,BQ1219=3),N(INDEX(Parameter!$I$5:$I$7,BQ1219)),0),0)</f>
        <v/>
      </c>
    </row>
    <row r="1220">
      <c r="A1220" s="53" t="inlineStr">
        <is>
          <t>106704</t>
        </is>
      </c>
      <c r="B1220" s="53" t="inlineStr">
        <is>
          <t>Adapter Edelstahl</t>
        </is>
      </c>
      <c r="C1220" s="53" t="inlineStr">
        <is>
          <t>F</t>
        </is>
      </c>
      <c r="D1220" s="53" t="inlineStr">
        <is>
          <t>KTL</t>
        </is>
      </c>
      <c r="E1220" s="53" t="inlineStr">
        <is>
          <t>C</t>
        </is>
      </c>
      <c r="F1220" s="54" t="n">
        <v>29.25</v>
      </c>
      <c r="G1220" s="55">
        <f>MAX(0,IF(Parameter!$B$20="Jahresanfang 2025 + Export",BG1220+BF1220,BF1220))</f>
        <v/>
      </c>
      <c r="H1220" s="55">
        <f>G1220*F1220</f>
        <v/>
      </c>
      <c r="I1220" s="55">
        <f>BI1220*Parameter!$B$18</f>
        <v/>
      </c>
      <c r="J1220" s="56" t="n">
        <v>66</v>
      </c>
      <c r="K1220" s="57" t="n">
        <v>0.7121212121212122</v>
      </c>
      <c r="L1220" s="55" t="n">
        <v>1</v>
      </c>
      <c r="M1220" s="55" t="n">
        <v>45</v>
      </c>
      <c r="N1220" s="58" t="n">
        <v>14</v>
      </c>
      <c r="O1220" s="53" t="inlineStr">
        <is>
          <t>S41</t>
        </is>
      </c>
      <c r="P1220" s="55" t="n">
        <v>124</v>
      </c>
      <c r="Q1220" s="59">
        <f>IF(BO1220=1,0,IFERROR(VLOOKUP(BM1220,'Gebinde-Kategorie'!$A$5:$G$45,6,0)+0,0))</f>
        <v/>
      </c>
      <c r="R1220" s="60" t="n"/>
      <c r="S1220" s="61" t="n"/>
      <c r="T1220" s="61" t="n"/>
      <c r="U1220" s="53">
        <f>IF(A1220="","",IF(IFERROR(VLOOKUP(D1220,Parameter!$A$35:$C$64,2,0),"Nein")="2+3",IF(ISNUMBER(SEARCH("grosser Artikel",BJ1220)),2,IFERROR(VLOOKUP(BM1220,Parameter!$F$35:$G$64,2,0),2)),IF(OR(IFERROR(VLOOKUP(D1220,Parameter!$A$35:$C$64,2,0),"Nein")="Nein",IFERROR(VLOOKUP(D1220,Parameter!$A$35:$C$64,2,0),"Nein")=""),"-",VLOOKUP(D1220,Parameter!$A$35:$C$64,2,0))))</f>
        <v/>
      </c>
      <c r="V1220" s="61" t="n"/>
      <c r="W1220" s="62" t="n"/>
      <c r="X1220" s="55">
        <f>AM1220</f>
        <v/>
      </c>
      <c r="Y1220" s="55">
        <f>MAX(AM1220,G1220)</f>
        <v/>
      </c>
      <c r="Z1220" s="63" t="n"/>
      <c r="AA1220" s="55">
        <f>IF(LEFT(Cockpit!$C$5,1)="A",G1220,IF(BT1220=1,BU1220,IF(LEFT(Cockpit!$C$5,1)="B",AE1220,MAX(AE1220,G1220))))</f>
        <v/>
      </c>
      <c r="AB1220" s="55">
        <f>IF(BO1220=1,0,ROUNDUP(AA1220/BN1220,0))</f>
        <v/>
      </c>
      <c r="AC1220" s="64">
        <f>IF(BO1220=1,IF(AA1220&lt;=0,0,BP1220*MAX(1,IF(G1220&gt;0,AA1220/G1220,1))),AB1220*Q1220)</f>
        <v/>
      </c>
      <c r="AD1220" s="55">
        <f>AA1220*F1220</f>
        <v/>
      </c>
      <c r="AE1220" s="55">
        <f>ROUNDUP(MAX(I1220/IF(BS1220&gt;0,BS1220,MAX(0.1,N(Cockpit!$C$6))),BV1220)/BN1220,0)*BN1220</f>
        <v/>
      </c>
      <c r="AF1220" s="56">
        <f>IF(AC1220&gt;0,I1220/AC1220,-1)</f>
        <v/>
      </c>
      <c r="AG1220" s="56">
        <f>IF(AND(OR(BR1220="L1",BR1220="L23"),AC1220&gt;0),SUMIFS($AC$7:$AC$1570,$BR$7:$BR$1570,BR1220,$AF$7:$AF$1570,"&gt;"&amp;AF1220)+SUMIFS($AC$7:$AC$1570,$BR$7:$BR$1570,BR1220,$AF$7:$AF$1570,AF1220,$BL$7:$BL$1570,"&lt;="&amp;BL1220),"")</f>
        <v/>
      </c>
      <c r="AH1220" s="65">
        <f>IF(AG1220="",0,MAX(0,MIN(1,(IF(BR1220="L1",Parameter!$K$5,Parameter!$K$6+Parameter!$K$7)-(AG1220-AC1220))/AC1220)))</f>
        <v/>
      </c>
      <c r="AI1220" s="55">
        <f>IF(LEFT(Cockpit!$I$5,1)="A",G1220,IF(BT1220=1,BU1220,IF(LEFT(Cockpit!$I$5,1)="B",AM1220,MAX(AM1220,G1220))))</f>
        <v/>
      </c>
      <c r="AJ1220" s="55">
        <f>IF(BO1220=1,0,ROUNDUP(AI1220/BN1220,0))</f>
        <v/>
      </c>
      <c r="AK1220" s="64">
        <f>IF(BO1220=1,IF(AI1220&lt;=0,0,BP1220*MAX(1,IF(G1220&gt;0,AI1220/G1220,1))),AJ1220*Q1220)</f>
        <v/>
      </c>
      <c r="AL1220" s="55">
        <f>AI1220*F1220</f>
        <v/>
      </c>
      <c r="AM1220" s="55">
        <f>ROUNDUP(MAX(I1220/IF(BS1220&gt;0,BS1220,MAX(0.1,N(Cockpit!$I$6))),BV1220)/BN1220,0)*BN1220</f>
        <v/>
      </c>
      <c r="AN1220" s="56">
        <f>IF(AK1220&gt;0,I1220/AK1220,-1)</f>
        <v/>
      </c>
      <c r="AO1220" s="56">
        <f>IF(AND(OR(BR1220="L1",BR1220="L23"),AK1220&gt;0),SUMIFS($AK$7:$AK$1570,$BR$7:$BR$1570,BR1220,$AN$7:$AN$1570,"&gt;"&amp;AN1220)+SUMIFS($AK$7:$AK$1570,$BR$7:$BR$1570,BR1220,$AN$7:$AN$1570,AN1220,$BL$7:$BL$1570,"&lt;="&amp;BL1220),"")</f>
        <v/>
      </c>
      <c r="AP1220" s="65">
        <f>IF(AO1220="",0,MAX(0,MIN(1,(IF(BR1220="L1",Parameter!$K$5,Parameter!$K$6+Parameter!$K$7)-(AO1220-AK1220))/AK1220)))</f>
        <v/>
      </c>
      <c r="AQ1220" s="55">
        <f>IF(LEFT(Cockpit!$O$5,1)="A",G1220,IF(BT1220=1,BU1220,IF(LEFT(Cockpit!$O$5,1)="B",AU1220,MAX(AU1220,G1220))))</f>
        <v/>
      </c>
      <c r="AR1220" s="55">
        <f>IF(BO1220=1,0,ROUNDUP(AQ1220/BN1220,0))</f>
        <v/>
      </c>
      <c r="AS1220" s="64">
        <f>IF(BO1220=1,IF(AQ1220&lt;=0,0,BP1220*MAX(1,IF(G1220&gt;0,AQ1220/G1220,1))),AR1220*Q1220)</f>
        <v/>
      </c>
      <c r="AT1220" s="55">
        <f>AQ1220*F1220</f>
        <v/>
      </c>
      <c r="AU1220" s="55">
        <f>ROUNDUP(MAX(I1220/IF(BS1220&gt;0,BS1220,MAX(0.1,N(Cockpit!$O$6))),BV1220)/BN1220,0)*BN1220</f>
        <v/>
      </c>
      <c r="AV1220" s="56">
        <f>IF(AS1220&gt;0,I1220/AS1220,-1)</f>
        <v/>
      </c>
      <c r="AW1220" s="56">
        <f>IF(AND(OR(BR1220="L1",BR1220="L23"),AS1220&gt;0),SUMIFS($AS$7:$AS$1570,$BR$7:$BR$1570,BR1220,$AV$7:$AV$1570,"&gt;"&amp;AV1220)+SUMIFS($AS$7:$AS$1570,$BR$7:$BR$1570,BR1220,$AV$7:$AV$1570,AV1220,$BL$7:$BL$1570,"&lt;="&amp;BL1220),"")</f>
        <v/>
      </c>
      <c r="AX1220" s="65">
        <f>IF(AW1220="",0,MAX(0,MIN(1,(IF(BR1220="L1",Parameter!$K$5,Parameter!$K$6+Parameter!$K$7)-(AW1220-AS1220))/AS1220)))</f>
        <v/>
      </c>
      <c r="AY1220" s="53">
        <f>IF(AC1220&lt;=0,"",IF(BR1220="Aussen","Aussenlager",IF(BR1220="-","Nicht im Lift",IF(AH1220&gt;=1,"Lift",IF(AH1220&lt;=0,"Aussenlager","teilweise")))))</f>
        <v/>
      </c>
      <c r="AZ1220" s="53">
        <f>IF(AK1220&lt;=0,"",IF(BR1220="Aussen","Aussenlager",IF(BR1220="-","Nicht im Lift",IF(AP1220&gt;=1,"Lift",IF(AP1220&lt;=0,"Aussenlager","teilweise")))))</f>
        <v/>
      </c>
      <c r="BA1220" s="53">
        <f>IF(AS1220&lt;=0,"",IF(BR1220="Aussen","Aussenlager",IF(BR1220="-","Nicht im Lift",IF(AX1220&gt;=1,"Lift",IF(AX1220&lt;=0,"Aussenlager","teilweise")))))</f>
        <v/>
      </c>
      <c r="BB1220" s="53">
        <f>IF(A1220="","",IF(BK1220=1,"Neu; ","")&amp;IF(AND(BK1220=0,BF1220&lt;0),"negativer Bestand (Export "&amp;BF1220&amp;"); ","")&amp;IF(I1220&lt;=0,"Kein Verbrauch; ","")&amp;IF(BO1220=1,"Lose – Fläche geschätzt; ","")&amp;IF(G1220&gt;AM1220,"Überbestand "&amp;ROUND(G1220-AM1220,0)&amp;" Stk / CHF "&amp;ROUND((G1220-AM1220)*F1220,0)&amp;"; ","")&amp;IF(AND(BT1220=1,BU1220&lt;BV1220),"MAX &lt; MB+LG; ","")&amp;IF(AND(BZ1220&gt;0,BY1220*10&gt;BZ1220),"zu hoch für Tablar; ","")&amp;IF(AND(BK1220=0,OR(BT1220=1,V1220&lt;&gt;"",S1220&lt;&gt;"",T1220&lt;&gt;"",W1220&lt;&gt;"")),"manuell übersteuert; ","")&amp;IF(AND(BO1220=0,Q1220=0),"Gebinde unbekannt; ","")&amp;IF(AND(BO1220=0,N(T1220)&lt;=0,N(P1220)&lt;=0),"Menge pro Gebinde fehlt (Ist = 1 Gebinde); ","")&amp;BJ1220)</f>
        <v/>
      </c>
      <c r="BC1220" s="53" t="n"/>
      <c r="BD1220" s="53" t="n"/>
      <c r="BE1220" s="61" t="n"/>
      <c r="BF1220" s="55" t="n">
        <v>-23</v>
      </c>
      <c r="BG1220" s="55" t="n">
        <v>50</v>
      </c>
      <c r="BH1220" s="54" t="n">
        <v>-588.7500000000007</v>
      </c>
      <c r="BI1220" s="55" t="n">
        <v>47</v>
      </c>
      <c r="BJ1220" s="53" t="inlineStr"/>
      <c r="BK1220" s="58" t="n">
        <v>0</v>
      </c>
      <c r="BL1220" s="58" t="n">
        <v>1220</v>
      </c>
      <c r="BM1220" s="53">
        <f>IF(S1220&lt;&gt;"",UPPER(TRIM(S1220)),IF(O1220="","LOSE",O1220))</f>
        <v/>
      </c>
      <c r="BN1220" s="55">
        <f>IF(BM1220="LOSE",1,IF(N(T1220)&gt;0,T1220,IF(N(P1220)&gt;0,P1220,MAX(1,G1220))))</f>
        <v/>
      </c>
      <c r="BO1220" s="58">
        <f>IF(BM1220="LOSE",1,0)</f>
        <v/>
      </c>
      <c r="BP1220" s="64">
        <f>IF(BO1220=0,0,IF(N(R1220)&gt;0,R1220,IFERROR(VLOOKUP(D1220,Parameter!$A$35:$C$64,3,0)+0,0)))</f>
        <v/>
      </c>
      <c r="BQ1220" s="53">
        <f>IF(V1220&lt;&gt;"",V1220,U1220)</f>
        <v/>
      </c>
      <c r="BR1220" s="53">
        <f>IF(BQ1220=1,"L1",IF(OR(BQ1220=2,BQ1220=3),"L23",IF(BQ1220="Aussen","Aussen","-")))</f>
        <v/>
      </c>
      <c r="BS1220" s="66">
        <f>IF(N(W1220)&gt;0,W1220,0)</f>
        <v/>
      </c>
      <c r="BT1220" s="58">
        <f>IF(ISNUMBER(Z1220),1,0)</f>
        <v/>
      </c>
      <c r="BU1220" s="55">
        <f>N(Z1220)</f>
        <v/>
      </c>
      <c r="BV1220" s="55">
        <f>N(L1220)+N(M1220)</f>
        <v/>
      </c>
      <c r="BW1220" s="55">
        <f>ROUNDUP(G1220/BN1220,0)</f>
        <v/>
      </c>
      <c r="BX1220" s="55">
        <f>ROUNDUP(BU1220/BN1220,0)</f>
        <v/>
      </c>
      <c r="BY1220" s="58">
        <f>IF(BO1220=1,0,IFERROR(VLOOKUP(BM1220,'Gebinde-Kategorie'!$A$5:$G$45,5,0)+0,0))</f>
        <v/>
      </c>
      <c r="BZ1220" s="58">
        <f>IFERROR(IF(OR(BQ1220=1,BQ1220=2,BQ1220=3),N(INDEX(Parameter!$I$5:$I$7,BQ1220)),0),0)</f>
        <v/>
      </c>
    </row>
    <row r="1221">
      <c r="A1221" s="53" t="inlineStr">
        <is>
          <t>109074</t>
        </is>
      </c>
      <c r="B1221" s="53" t="inlineStr">
        <is>
          <t>Druckregler</t>
        </is>
      </c>
      <c r="C1221" s="53" t="inlineStr">
        <is>
          <t>F</t>
        </is>
      </c>
      <c r="D1221" s="53" t="inlineStr">
        <is>
          <t>PAL</t>
        </is>
      </c>
      <c r="E1221" s="53" t="inlineStr">
        <is>
          <t>C</t>
        </is>
      </c>
      <c r="F1221" s="54" t="n">
        <v>800.37</v>
      </c>
      <c r="G1221" s="55">
        <f>MAX(0,IF(Parameter!$B$20="Jahresanfang 2025 + Export",BG1221+BF1221,BF1221))</f>
        <v/>
      </c>
      <c r="H1221" s="55">
        <f>G1221*F1221</f>
        <v/>
      </c>
      <c r="I1221" s="55">
        <f>BI1221*Parameter!$B$18</f>
        <v/>
      </c>
      <c r="J1221" s="56" t="n">
        <v>9.5</v>
      </c>
      <c r="K1221" s="57" t="n">
        <v>0.8421052631578947</v>
      </c>
      <c r="L1221" s="55" t="n">
        <v>0</v>
      </c>
      <c r="M1221" s="55" t="n">
        <v>5</v>
      </c>
      <c r="N1221" s="58" t="n">
        <v>28</v>
      </c>
      <c r="O1221" s="53" t="inlineStr">
        <is>
          <t>S71</t>
        </is>
      </c>
      <c r="P1221" s="55" t="n">
        <v>4.5</v>
      </c>
      <c r="Q1221" s="59">
        <f>IF(BO1221=1,0,IFERROR(VLOOKUP(BM1221,'Gebinde-Kategorie'!$A$5:$G$45,6,0)+0,0))</f>
        <v/>
      </c>
      <c r="R1221" s="60" t="n"/>
      <c r="S1221" s="61" t="n"/>
      <c r="T1221" s="61" t="n"/>
      <c r="U1221" s="53">
        <f>IF(A1221="","",IF(IFERROR(VLOOKUP(D1221,Parameter!$A$35:$C$64,2,0),"Nein")="2+3",IF(ISNUMBER(SEARCH("grosser Artikel",BJ1221)),2,IFERROR(VLOOKUP(BM1221,Parameter!$F$35:$G$64,2,0),2)),IF(OR(IFERROR(VLOOKUP(D1221,Parameter!$A$35:$C$64,2,0),"Nein")="Nein",IFERROR(VLOOKUP(D1221,Parameter!$A$35:$C$64,2,0),"Nein")=""),"-",VLOOKUP(D1221,Parameter!$A$35:$C$64,2,0))))</f>
        <v/>
      </c>
      <c r="V1221" s="61" t="n"/>
      <c r="W1221" s="62" t="n"/>
      <c r="X1221" s="55">
        <f>AM1221</f>
        <v/>
      </c>
      <c r="Y1221" s="55">
        <f>MAX(AM1221,G1221)</f>
        <v/>
      </c>
      <c r="Z1221" s="63" t="n"/>
      <c r="AA1221" s="55">
        <f>IF(LEFT(Cockpit!$C$5,1)="A",G1221,IF(BT1221=1,BU1221,IF(LEFT(Cockpit!$C$5,1)="B",AE1221,MAX(AE1221,G1221))))</f>
        <v/>
      </c>
      <c r="AB1221" s="55">
        <f>IF(BO1221=1,0,ROUNDUP(AA1221/BN1221,0))</f>
        <v/>
      </c>
      <c r="AC1221" s="64">
        <f>IF(BO1221=1,IF(AA1221&lt;=0,0,BP1221*MAX(1,IF(G1221&gt;0,AA1221/G1221,1))),AB1221*Q1221)</f>
        <v/>
      </c>
      <c r="AD1221" s="55">
        <f>AA1221*F1221</f>
        <v/>
      </c>
      <c r="AE1221" s="55">
        <f>ROUNDUP(MAX(I1221/IF(BS1221&gt;0,BS1221,MAX(0.1,N(Cockpit!$C$6))),BV1221)/BN1221,0)*BN1221</f>
        <v/>
      </c>
      <c r="AF1221" s="56">
        <f>IF(AC1221&gt;0,I1221/AC1221,-1)</f>
        <v/>
      </c>
      <c r="AG1221" s="56">
        <f>IF(AND(OR(BR1221="L1",BR1221="L23"),AC1221&gt;0),SUMIFS($AC$7:$AC$1570,$BR$7:$BR$1570,BR1221,$AF$7:$AF$1570,"&gt;"&amp;AF1221)+SUMIFS($AC$7:$AC$1570,$BR$7:$BR$1570,BR1221,$AF$7:$AF$1570,AF1221,$BL$7:$BL$1570,"&lt;="&amp;BL1221),"")</f>
        <v/>
      </c>
      <c r="AH1221" s="65">
        <f>IF(AG1221="",0,MAX(0,MIN(1,(IF(BR1221="L1",Parameter!$K$5,Parameter!$K$6+Parameter!$K$7)-(AG1221-AC1221))/AC1221)))</f>
        <v/>
      </c>
      <c r="AI1221" s="55">
        <f>IF(LEFT(Cockpit!$I$5,1)="A",G1221,IF(BT1221=1,BU1221,IF(LEFT(Cockpit!$I$5,1)="B",AM1221,MAX(AM1221,G1221))))</f>
        <v/>
      </c>
      <c r="AJ1221" s="55">
        <f>IF(BO1221=1,0,ROUNDUP(AI1221/BN1221,0))</f>
        <v/>
      </c>
      <c r="AK1221" s="64">
        <f>IF(BO1221=1,IF(AI1221&lt;=0,0,BP1221*MAX(1,IF(G1221&gt;0,AI1221/G1221,1))),AJ1221*Q1221)</f>
        <v/>
      </c>
      <c r="AL1221" s="55">
        <f>AI1221*F1221</f>
        <v/>
      </c>
      <c r="AM1221" s="55">
        <f>ROUNDUP(MAX(I1221/IF(BS1221&gt;0,BS1221,MAX(0.1,N(Cockpit!$I$6))),BV1221)/BN1221,0)*BN1221</f>
        <v/>
      </c>
      <c r="AN1221" s="56">
        <f>IF(AK1221&gt;0,I1221/AK1221,-1)</f>
        <v/>
      </c>
      <c r="AO1221" s="56">
        <f>IF(AND(OR(BR1221="L1",BR1221="L23"),AK1221&gt;0),SUMIFS($AK$7:$AK$1570,$BR$7:$BR$1570,BR1221,$AN$7:$AN$1570,"&gt;"&amp;AN1221)+SUMIFS($AK$7:$AK$1570,$BR$7:$BR$1570,BR1221,$AN$7:$AN$1570,AN1221,$BL$7:$BL$1570,"&lt;="&amp;BL1221),"")</f>
        <v/>
      </c>
      <c r="AP1221" s="65">
        <f>IF(AO1221="",0,MAX(0,MIN(1,(IF(BR1221="L1",Parameter!$K$5,Parameter!$K$6+Parameter!$K$7)-(AO1221-AK1221))/AK1221)))</f>
        <v/>
      </c>
      <c r="AQ1221" s="55">
        <f>IF(LEFT(Cockpit!$O$5,1)="A",G1221,IF(BT1221=1,BU1221,IF(LEFT(Cockpit!$O$5,1)="B",AU1221,MAX(AU1221,G1221))))</f>
        <v/>
      </c>
      <c r="AR1221" s="55">
        <f>IF(BO1221=1,0,ROUNDUP(AQ1221/BN1221,0))</f>
        <v/>
      </c>
      <c r="AS1221" s="64">
        <f>IF(BO1221=1,IF(AQ1221&lt;=0,0,BP1221*MAX(1,IF(G1221&gt;0,AQ1221/G1221,1))),AR1221*Q1221)</f>
        <v/>
      </c>
      <c r="AT1221" s="55">
        <f>AQ1221*F1221</f>
        <v/>
      </c>
      <c r="AU1221" s="55">
        <f>ROUNDUP(MAX(I1221/IF(BS1221&gt;0,BS1221,MAX(0.1,N(Cockpit!$O$6))),BV1221)/BN1221,0)*BN1221</f>
        <v/>
      </c>
      <c r="AV1221" s="56">
        <f>IF(AS1221&gt;0,I1221/AS1221,-1)</f>
        <v/>
      </c>
      <c r="AW1221" s="56">
        <f>IF(AND(OR(BR1221="L1",BR1221="L23"),AS1221&gt;0),SUMIFS($AS$7:$AS$1570,$BR$7:$BR$1570,BR1221,$AV$7:$AV$1570,"&gt;"&amp;AV1221)+SUMIFS($AS$7:$AS$1570,$BR$7:$BR$1570,BR1221,$AV$7:$AV$1570,AV1221,$BL$7:$BL$1570,"&lt;="&amp;BL1221),"")</f>
        <v/>
      </c>
      <c r="AX1221" s="65">
        <f>IF(AW1221="",0,MAX(0,MIN(1,(IF(BR1221="L1",Parameter!$K$5,Parameter!$K$6+Parameter!$K$7)-(AW1221-AS1221))/AS1221)))</f>
        <v/>
      </c>
      <c r="AY1221" s="53">
        <f>IF(AC1221&lt;=0,"",IF(BR1221="Aussen","Aussenlager",IF(BR1221="-","Nicht im Lift",IF(AH1221&gt;=1,"Lift",IF(AH1221&lt;=0,"Aussenlager","teilweise")))))</f>
        <v/>
      </c>
      <c r="AZ1221" s="53">
        <f>IF(AK1221&lt;=0,"",IF(BR1221="Aussen","Aussenlager",IF(BR1221="-","Nicht im Lift",IF(AP1221&gt;=1,"Lift",IF(AP1221&lt;=0,"Aussenlager","teilweise")))))</f>
        <v/>
      </c>
      <c r="BA1221" s="53">
        <f>IF(AS1221&lt;=0,"",IF(BR1221="Aussen","Aussenlager",IF(BR1221="-","Nicht im Lift",IF(AX1221&gt;=1,"Lift",IF(AX1221&lt;=0,"Aussenlager","teilweise")))))</f>
        <v/>
      </c>
      <c r="BB1221" s="53">
        <f>IF(A1221="","",IF(BK1221=1,"Neu; ","")&amp;IF(AND(BK1221=0,BF1221&lt;0),"negativer Bestand (Export "&amp;BF1221&amp;"); ","")&amp;IF(I1221&lt;=0,"Kein Verbrauch; ","")&amp;IF(BO1221=1,"Lose – Fläche geschätzt; ","")&amp;IF(G1221&gt;AM1221,"Überbestand "&amp;ROUND(G1221-AM1221,0)&amp;" Stk / CHF "&amp;ROUND((G1221-AM1221)*F1221,0)&amp;"; ","")&amp;IF(AND(BT1221=1,BU1221&lt;BV1221),"MAX &lt; MB+LG; ","")&amp;IF(AND(BZ1221&gt;0,BY1221*10&gt;BZ1221),"zu hoch für Tablar; ","")&amp;IF(AND(BK1221=0,OR(BT1221=1,V1221&lt;&gt;"",S1221&lt;&gt;"",T1221&lt;&gt;"",W1221&lt;&gt;"")),"manuell übersteuert; ","")&amp;IF(AND(BO1221=0,Q1221=0),"Gebinde unbekannt; ","")&amp;IF(AND(BO1221=0,N(T1221)&lt;=0,N(P1221)&lt;=0),"Menge pro Gebinde fehlt (Ist = 1 Gebinde); ","")&amp;BJ1221)</f>
        <v/>
      </c>
      <c r="BC1221" s="53" t="n"/>
      <c r="BD1221" s="53" t="n"/>
      <c r="BE1221" s="61" t="n"/>
      <c r="BF1221" s="55" t="n">
        <v>-1</v>
      </c>
      <c r="BG1221" s="55" t="n">
        <v>8</v>
      </c>
      <c r="BH1221" s="54" t="n">
        <v>-591.0100000000002</v>
      </c>
      <c r="BI1221" s="55" t="n">
        <v>8</v>
      </c>
      <c r="BJ1221" s="53" t="inlineStr">
        <is>
          <t>nicht im KTL vorhanden</t>
        </is>
      </c>
      <c r="BK1221" s="58" t="n">
        <v>0</v>
      </c>
      <c r="BL1221" s="58" t="n">
        <v>1221</v>
      </c>
      <c r="BM1221" s="53">
        <f>IF(S1221&lt;&gt;"",UPPER(TRIM(S1221)),IF(O1221="","LOSE",O1221))</f>
        <v/>
      </c>
      <c r="BN1221" s="55">
        <f>IF(BM1221="LOSE",1,IF(N(T1221)&gt;0,T1221,IF(N(P1221)&gt;0,P1221,MAX(1,G1221))))</f>
        <v/>
      </c>
      <c r="BO1221" s="58">
        <f>IF(BM1221="LOSE",1,0)</f>
        <v/>
      </c>
      <c r="BP1221" s="64">
        <f>IF(BO1221=0,0,IF(N(R1221)&gt;0,R1221,IFERROR(VLOOKUP(D1221,Parameter!$A$35:$C$64,3,0)+0,0)))</f>
        <v/>
      </c>
      <c r="BQ1221" s="53">
        <f>IF(V1221&lt;&gt;"",V1221,U1221)</f>
        <v/>
      </c>
      <c r="BR1221" s="53">
        <f>IF(BQ1221=1,"L1",IF(OR(BQ1221=2,BQ1221=3),"L23",IF(BQ1221="Aussen","Aussen","-")))</f>
        <v/>
      </c>
      <c r="BS1221" s="66">
        <f>IF(N(W1221)&gt;0,W1221,0)</f>
        <v/>
      </c>
      <c r="BT1221" s="58">
        <f>IF(ISNUMBER(Z1221),1,0)</f>
        <v/>
      </c>
      <c r="BU1221" s="55">
        <f>N(Z1221)</f>
        <v/>
      </c>
      <c r="BV1221" s="55">
        <f>N(L1221)+N(M1221)</f>
        <v/>
      </c>
      <c r="BW1221" s="55">
        <f>ROUNDUP(G1221/BN1221,0)</f>
        <v/>
      </c>
      <c r="BX1221" s="55">
        <f>ROUNDUP(BU1221/BN1221,0)</f>
        <v/>
      </c>
      <c r="BY1221" s="58">
        <f>IF(BO1221=1,0,IFERROR(VLOOKUP(BM1221,'Gebinde-Kategorie'!$A$5:$G$45,5,0)+0,0))</f>
        <v/>
      </c>
      <c r="BZ1221" s="58">
        <f>IFERROR(IF(OR(BQ1221=1,BQ1221=2,BQ1221=3),N(INDEX(Parameter!$I$5:$I$7,BQ1221)),0),0)</f>
        <v/>
      </c>
    </row>
    <row r="1222">
      <c r="A1222" s="53" t="inlineStr">
        <is>
          <t>106934</t>
        </is>
      </c>
      <c r="B1222" s="53" t="inlineStr">
        <is>
          <t>Sicherheitssteuerung</t>
        </is>
      </c>
      <c r="C1222" s="53" t="inlineStr">
        <is>
          <t>F</t>
        </is>
      </c>
      <c r="D1222" s="53" t="inlineStr">
        <is>
          <t>KTL</t>
        </is>
      </c>
      <c r="E1222" s="53" t="inlineStr">
        <is>
          <t>C</t>
        </is>
      </c>
      <c r="F1222" s="54" t="n">
        <v>296.55</v>
      </c>
      <c r="G1222" s="55">
        <f>MAX(0,IF(Parameter!$B$20="Jahresanfang 2025 + Export",BG1222+BF1222,BF1222))</f>
        <v/>
      </c>
      <c r="H1222" s="55">
        <f>G1222*F1222</f>
        <v/>
      </c>
      <c r="I1222" s="55">
        <f>BI1222*Parameter!$B$18</f>
        <v/>
      </c>
      <c r="J1222" s="56" t="n">
        <v>33</v>
      </c>
      <c r="K1222" s="57" t="n">
        <v>0.0303030303030303</v>
      </c>
      <c r="L1222" s="55" t="n">
        <v>0</v>
      </c>
      <c r="M1222" s="55" t="n">
        <v>1</v>
      </c>
      <c r="N1222" s="58" t="n">
        <v>63</v>
      </c>
      <c r="O1222" s="53" t="inlineStr">
        <is>
          <t>S63</t>
        </is>
      </c>
      <c r="P1222" s="55" t="n">
        <v>35</v>
      </c>
      <c r="Q1222" s="59">
        <f>IF(BO1222=1,0,IFERROR(VLOOKUP(BM1222,'Gebinde-Kategorie'!$A$5:$G$45,6,0)+0,0))</f>
        <v/>
      </c>
      <c r="R1222" s="60" t="n"/>
      <c r="S1222" s="61" t="n"/>
      <c r="T1222" s="61" t="n"/>
      <c r="U1222" s="53">
        <f>IF(A1222="","",IF(IFERROR(VLOOKUP(D1222,Parameter!$A$35:$C$64,2,0),"Nein")="2+3",IF(ISNUMBER(SEARCH("grosser Artikel",BJ1222)),2,IFERROR(VLOOKUP(BM1222,Parameter!$F$35:$G$64,2,0),2)),IF(OR(IFERROR(VLOOKUP(D1222,Parameter!$A$35:$C$64,2,0),"Nein")="Nein",IFERROR(VLOOKUP(D1222,Parameter!$A$35:$C$64,2,0),"Nein")=""),"-",VLOOKUP(D1222,Parameter!$A$35:$C$64,2,0))))</f>
        <v/>
      </c>
      <c r="V1222" s="61" t="n"/>
      <c r="W1222" s="62" t="n"/>
      <c r="X1222" s="55">
        <f>AM1222</f>
        <v/>
      </c>
      <c r="Y1222" s="55">
        <f>MAX(AM1222,G1222)</f>
        <v/>
      </c>
      <c r="Z1222" s="63" t="n"/>
      <c r="AA1222" s="55">
        <f>IF(LEFT(Cockpit!$C$5,1)="A",G1222,IF(BT1222=1,BU1222,IF(LEFT(Cockpit!$C$5,1)="B",AE1222,MAX(AE1222,G1222))))</f>
        <v/>
      </c>
      <c r="AB1222" s="55">
        <f>IF(BO1222=1,0,ROUNDUP(AA1222/BN1222,0))</f>
        <v/>
      </c>
      <c r="AC1222" s="64">
        <f>IF(BO1222=1,IF(AA1222&lt;=0,0,BP1222*MAX(1,IF(G1222&gt;0,AA1222/G1222,1))),AB1222*Q1222)</f>
        <v/>
      </c>
      <c r="AD1222" s="55">
        <f>AA1222*F1222</f>
        <v/>
      </c>
      <c r="AE1222" s="55">
        <f>ROUNDUP(MAX(I1222/IF(BS1222&gt;0,BS1222,MAX(0.1,N(Cockpit!$C$6))),BV1222)/BN1222,0)*BN1222</f>
        <v/>
      </c>
      <c r="AF1222" s="56">
        <f>IF(AC1222&gt;0,I1222/AC1222,-1)</f>
        <v/>
      </c>
      <c r="AG1222" s="56">
        <f>IF(AND(OR(BR1222="L1",BR1222="L23"),AC1222&gt;0),SUMIFS($AC$7:$AC$1570,$BR$7:$BR$1570,BR1222,$AF$7:$AF$1570,"&gt;"&amp;AF1222)+SUMIFS($AC$7:$AC$1570,$BR$7:$BR$1570,BR1222,$AF$7:$AF$1570,AF1222,$BL$7:$BL$1570,"&lt;="&amp;BL1222),"")</f>
        <v/>
      </c>
      <c r="AH1222" s="65">
        <f>IF(AG1222="",0,MAX(0,MIN(1,(IF(BR1222="L1",Parameter!$K$5,Parameter!$K$6+Parameter!$K$7)-(AG1222-AC1222))/AC1222)))</f>
        <v/>
      </c>
      <c r="AI1222" s="55">
        <f>IF(LEFT(Cockpit!$I$5,1)="A",G1222,IF(BT1222=1,BU1222,IF(LEFT(Cockpit!$I$5,1)="B",AM1222,MAX(AM1222,G1222))))</f>
        <v/>
      </c>
      <c r="AJ1222" s="55">
        <f>IF(BO1222=1,0,ROUNDUP(AI1222/BN1222,0))</f>
        <v/>
      </c>
      <c r="AK1222" s="64">
        <f>IF(BO1222=1,IF(AI1222&lt;=0,0,BP1222*MAX(1,IF(G1222&gt;0,AI1222/G1222,1))),AJ1222*Q1222)</f>
        <v/>
      </c>
      <c r="AL1222" s="55">
        <f>AI1222*F1222</f>
        <v/>
      </c>
      <c r="AM1222" s="55">
        <f>ROUNDUP(MAX(I1222/IF(BS1222&gt;0,BS1222,MAX(0.1,N(Cockpit!$I$6))),BV1222)/BN1222,0)*BN1222</f>
        <v/>
      </c>
      <c r="AN1222" s="56">
        <f>IF(AK1222&gt;0,I1222/AK1222,-1)</f>
        <v/>
      </c>
      <c r="AO1222" s="56">
        <f>IF(AND(OR(BR1222="L1",BR1222="L23"),AK1222&gt;0),SUMIFS($AK$7:$AK$1570,$BR$7:$BR$1570,BR1222,$AN$7:$AN$1570,"&gt;"&amp;AN1222)+SUMIFS($AK$7:$AK$1570,$BR$7:$BR$1570,BR1222,$AN$7:$AN$1570,AN1222,$BL$7:$BL$1570,"&lt;="&amp;BL1222),"")</f>
        <v/>
      </c>
      <c r="AP1222" s="65">
        <f>IF(AO1222="",0,MAX(0,MIN(1,(IF(BR1222="L1",Parameter!$K$5,Parameter!$K$6+Parameter!$K$7)-(AO1222-AK1222))/AK1222)))</f>
        <v/>
      </c>
      <c r="AQ1222" s="55">
        <f>IF(LEFT(Cockpit!$O$5,1)="A",G1222,IF(BT1222=1,BU1222,IF(LEFT(Cockpit!$O$5,1)="B",AU1222,MAX(AU1222,G1222))))</f>
        <v/>
      </c>
      <c r="AR1222" s="55">
        <f>IF(BO1222=1,0,ROUNDUP(AQ1222/BN1222,0))</f>
        <v/>
      </c>
      <c r="AS1222" s="64">
        <f>IF(BO1222=1,IF(AQ1222&lt;=0,0,BP1222*MAX(1,IF(G1222&gt;0,AQ1222/G1222,1))),AR1222*Q1222)</f>
        <v/>
      </c>
      <c r="AT1222" s="55">
        <f>AQ1222*F1222</f>
        <v/>
      </c>
      <c r="AU1222" s="55">
        <f>ROUNDUP(MAX(I1222/IF(BS1222&gt;0,BS1222,MAX(0.1,N(Cockpit!$O$6))),BV1222)/BN1222,0)*BN1222</f>
        <v/>
      </c>
      <c r="AV1222" s="56">
        <f>IF(AS1222&gt;0,I1222/AS1222,-1)</f>
        <v/>
      </c>
      <c r="AW1222" s="56">
        <f>IF(AND(OR(BR1222="L1",BR1222="L23"),AS1222&gt;0),SUMIFS($AS$7:$AS$1570,$BR$7:$BR$1570,BR1222,$AV$7:$AV$1570,"&gt;"&amp;AV1222)+SUMIFS($AS$7:$AS$1570,$BR$7:$BR$1570,BR1222,$AV$7:$AV$1570,AV1222,$BL$7:$BL$1570,"&lt;="&amp;BL1222),"")</f>
        <v/>
      </c>
      <c r="AX1222" s="65">
        <f>IF(AW1222="",0,MAX(0,MIN(1,(IF(BR1222="L1",Parameter!$K$5,Parameter!$K$6+Parameter!$K$7)-(AW1222-AS1222))/AS1222)))</f>
        <v/>
      </c>
      <c r="AY1222" s="53">
        <f>IF(AC1222&lt;=0,"",IF(BR1222="Aussen","Aussenlager",IF(BR1222="-","Nicht im Lift",IF(AH1222&gt;=1,"Lift",IF(AH1222&lt;=0,"Aussenlager","teilweise")))))</f>
        <v/>
      </c>
      <c r="AZ1222" s="53">
        <f>IF(AK1222&lt;=0,"",IF(BR1222="Aussen","Aussenlager",IF(BR1222="-","Nicht im Lift",IF(AP1222&gt;=1,"Lift",IF(AP1222&lt;=0,"Aussenlager","teilweise")))))</f>
        <v/>
      </c>
      <c r="BA1222" s="53">
        <f>IF(AS1222&lt;=0,"",IF(BR1222="Aussen","Aussenlager",IF(BR1222="-","Nicht im Lift",IF(AX1222&gt;=1,"Lift",IF(AX1222&lt;=0,"Aussenlager","teilweise")))))</f>
        <v/>
      </c>
      <c r="BB1222" s="53">
        <f>IF(A1222="","",IF(BK1222=1,"Neu; ","")&amp;IF(AND(BK1222=0,BF1222&lt;0),"negativer Bestand (Export "&amp;BF1222&amp;"); ","")&amp;IF(I1222&lt;=0,"Kein Verbrauch; ","")&amp;IF(BO1222=1,"Lose – Fläche geschätzt; ","")&amp;IF(G1222&gt;AM1222,"Überbestand "&amp;ROUND(G1222-AM1222,0)&amp;" Stk / CHF "&amp;ROUND((G1222-AM1222)*F1222,0)&amp;"; ","")&amp;IF(AND(BT1222=1,BU1222&lt;BV1222),"MAX &lt; MB+LG; ","")&amp;IF(AND(BZ1222&gt;0,BY1222*10&gt;BZ1222),"zu hoch für Tablar; ","")&amp;IF(AND(BK1222=0,OR(BT1222=1,V1222&lt;&gt;"",S1222&lt;&gt;"",T1222&lt;&gt;"",W1222&lt;&gt;"")),"manuell übersteuert; ","")&amp;IF(AND(BO1222=0,Q1222=0),"Gebinde unbekannt; ","")&amp;IF(AND(BO1222=0,N(T1222)&lt;=0,N(P1222)&lt;=0),"Menge pro Gebinde fehlt (Ist = 1 Gebinde); ","")&amp;BJ1222)</f>
        <v/>
      </c>
      <c r="BC1222" s="53" t="n"/>
      <c r="BD1222" s="53" t="n"/>
      <c r="BE1222" s="61" t="n"/>
      <c r="BF1222" s="55" t="n">
        <v>-2</v>
      </c>
      <c r="BG1222" s="55" t="n">
        <v>34</v>
      </c>
      <c r="BH1222" s="54" t="n">
        <v>-593.1</v>
      </c>
      <c r="BI1222" s="55" t="n">
        <v>1</v>
      </c>
      <c r="BJ1222" s="53" t="inlineStr"/>
      <c r="BK1222" s="58" t="n">
        <v>0</v>
      </c>
      <c r="BL1222" s="58" t="n">
        <v>1222</v>
      </c>
      <c r="BM1222" s="53">
        <f>IF(S1222&lt;&gt;"",UPPER(TRIM(S1222)),IF(O1222="","LOSE",O1222))</f>
        <v/>
      </c>
      <c r="BN1222" s="55">
        <f>IF(BM1222="LOSE",1,IF(N(T1222)&gt;0,T1222,IF(N(P1222)&gt;0,P1222,MAX(1,G1222))))</f>
        <v/>
      </c>
      <c r="BO1222" s="58">
        <f>IF(BM1222="LOSE",1,0)</f>
        <v/>
      </c>
      <c r="BP1222" s="64">
        <f>IF(BO1222=0,0,IF(N(R1222)&gt;0,R1222,IFERROR(VLOOKUP(D1222,Parameter!$A$35:$C$64,3,0)+0,0)))</f>
        <v/>
      </c>
      <c r="BQ1222" s="53">
        <f>IF(V1222&lt;&gt;"",V1222,U1222)</f>
        <v/>
      </c>
      <c r="BR1222" s="53">
        <f>IF(BQ1222=1,"L1",IF(OR(BQ1222=2,BQ1222=3),"L23",IF(BQ1222="Aussen","Aussen","-")))</f>
        <v/>
      </c>
      <c r="BS1222" s="66">
        <f>IF(N(W1222)&gt;0,W1222,0)</f>
        <v/>
      </c>
      <c r="BT1222" s="58">
        <f>IF(ISNUMBER(Z1222),1,0)</f>
        <v/>
      </c>
      <c r="BU1222" s="55">
        <f>N(Z1222)</f>
        <v/>
      </c>
      <c r="BV1222" s="55">
        <f>N(L1222)+N(M1222)</f>
        <v/>
      </c>
      <c r="BW1222" s="55">
        <f>ROUNDUP(G1222/BN1222,0)</f>
        <v/>
      </c>
      <c r="BX1222" s="55">
        <f>ROUNDUP(BU1222/BN1222,0)</f>
        <v/>
      </c>
      <c r="BY1222" s="58">
        <f>IF(BO1222=1,0,IFERROR(VLOOKUP(BM1222,'Gebinde-Kategorie'!$A$5:$G$45,5,0)+0,0))</f>
        <v/>
      </c>
      <c r="BZ1222" s="58">
        <f>IFERROR(IF(OR(BQ1222=1,BQ1222=2,BQ1222=3),N(INDEX(Parameter!$I$5:$I$7,BQ1222)),0),0)</f>
        <v/>
      </c>
    </row>
    <row r="1223">
      <c r="A1223" s="53" t="inlineStr">
        <is>
          <t>005423</t>
        </is>
      </c>
      <c r="B1223" s="53" t="inlineStr">
        <is>
          <t>T-Verschraubung</t>
        </is>
      </c>
      <c r="C1223" s="53" t="inlineStr">
        <is>
          <t>F</t>
        </is>
      </c>
      <c r="D1223" s="53" t="inlineStr">
        <is>
          <t>PAL</t>
        </is>
      </c>
      <c r="E1223" s="53" t="inlineStr">
        <is>
          <t>C</t>
        </is>
      </c>
      <c r="F1223" s="54" t="n">
        <v>35.5</v>
      </c>
      <c r="G1223" s="55">
        <f>MAX(0,IF(Parameter!$B$20="Jahresanfang 2025 + Export",BG1223+BF1223,BF1223))</f>
        <v/>
      </c>
      <c r="H1223" s="55">
        <f>G1223*F1223</f>
        <v/>
      </c>
      <c r="I1223" s="55">
        <f>BI1223*Parameter!$B$18</f>
        <v/>
      </c>
      <c r="J1223" s="56" t="n">
        <v>8.5</v>
      </c>
      <c r="K1223" s="57" t="n">
        <v>0</v>
      </c>
      <c r="L1223" s="55" t="n">
        <v>0</v>
      </c>
      <c r="M1223" s="55" t="n">
        <v>1</v>
      </c>
      <c r="N1223" s="58" t="n">
        <v>42</v>
      </c>
      <c r="O1223" s="53" t="inlineStr">
        <is>
          <t>LOSE</t>
        </is>
      </c>
      <c r="P1223" s="55" t="n"/>
      <c r="Q1223" s="59">
        <f>IF(BO1223=1,0,IFERROR(VLOOKUP(BM1223,'Gebinde-Kategorie'!$A$5:$G$45,6,0)+0,0))</f>
        <v/>
      </c>
      <c r="R1223" s="60" t="n"/>
      <c r="S1223" s="61" t="n"/>
      <c r="T1223" s="61" t="n"/>
      <c r="U1223" s="53">
        <f>IF(A1223="","",IF(IFERROR(VLOOKUP(D1223,Parameter!$A$35:$C$64,2,0),"Nein")="2+3",IF(ISNUMBER(SEARCH("grosser Artikel",BJ1223)),2,IFERROR(VLOOKUP(BM1223,Parameter!$F$35:$G$64,2,0),2)),IF(OR(IFERROR(VLOOKUP(D1223,Parameter!$A$35:$C$64,2,0),"Nein")="Nein",IFERROR(VLOOKUP(D1223,Parameter!$A$35:$C$64,2,0),"Nein")=""),"-",VLOOKUP(D1223,Parameter!$A$35:$C$64,2,0))))</f>
        <v/>
      </c>
      <c r="V1223" s="61" t="n"/>
      <c r="W1223" s="62" t="n"/>
      <c r="X1223" s="55">
        <f>AM1223</f>
        <v/>
      </c>
      <c r="Y1223" s="55">
        <f>MAX(AM1223,G1223)</f>
        <v/>
      </c>
      <c r="Z1223" s="63" t="n"/>
      <c r="AA1223" s="55">
        <f>IF(LEFT(Cockpit!$C$5,1)="A",G1223,IF(BT1223=1,BU1223,IF(LEFT(Cockpit!$C$5,1)="B",AE1223,MAX(AE1223,G1223))))</f>
        <v/>
      </c>
      <c r="AB1223" s="55">
        <f>IF(BO1223=1,0,ROUNDUP(AA1223/BN1223,0))</f>
        <v/>
      </c>
      <c r="AC1223" s="64">
        <f>IF(BO1223=1,IF(AA1223&lt;=0,0,BP1223*MAX(1,IF(G1223&gt;0,AA1223/G1223,1))),AB1223*Q1223)</f>
        <v/>
      </c>
      <c r="AD1223" s="55">
        <f>AA1223*F1223</f>
        <v/>
      </c>
      <c r="AE1223" s="55">
        <f>ROUNDUP(MAX(I1223/IF(BS1223&gt;0,BS1223,MAX(0.1,N(Cockpit!$C$6))),BV1223)/BN1223,0)*BN1223</f>
        <v/>
      </c>
      <c r="AF1223" s="56">
        <f>IF(AC1223&gt;0,I1223/AC1223,-1)</f>
        <v/>
      </c>
      <c r="AG1223" s="56">
        <f>IF(AND(OR(BR1223="L1",BR1223="L23"),AC1223&gt;0),SUMIFS($AC$7:$AC$1570,$BR$7:$BR$1570,BR1223,$AF$7:$AF$1570,"&gt;"&amp;AF1223)+SUMIFS($AC$7:$AC$1570,$BR$7:$BR$1570,BR1223,$AF$7:$AF$1570,AF1223,$BL$7:$BL$1570,"&lt;="&amp;BL1223),"")</f>
        <v/>
      </c>
      <c r="AH1223" s="65">
        <f>IF(AG1223="",0,MAX(0,MIN(1,(IF(BR1223="L1",Parameter!$K$5,Parameter!$K$6+Parameter!$K$7)-(AG1223-AC1223))/AC1223)))</f>
        <v/>
      </c>
      <c r="AI1223" s="55">
        <f>IF(LEFT(Cockpit!$I$5,1)="A",G1223,IF(BT1223=1,BU1223,IF(LEFT(Cockpit!$I$5,1)="B",AM1223,MAX(AM1223,G1223))))</f>
        <v/>
      </c>
      <c r="AJ1223" s="55">
        <f>IF(BO1223=1,0,ROUNDUP(AI1223/BN1223,0))</f>
        <v/>
      </c>
      <c r="AK1223" s="64">
        <f>IF(BO1223=1,IF(AI1223&lt;=0,0,BP1223*MAX(1,IF(G1223&gt;0,AI1223/G1223,1))),AJ1223*Q1223)</f>
        <v/>
      </c>
      <c r="AL1223" s="55">
        <f>AI1223*F1223</f>
        <v/>
      </c>
      <c r="AM1223" s="55">
        <f>ROUNDUP(MAX(I1223/IF(BS1223&gt;0,BS1223,MAX(0.1,N(Cockpit!$I$6))),BV1223)/BN1223,0)*BN1223</f>
        <v/>
      </c>
      <c r="AN1223" s="56">
        <f>IF(AK1223&gt;0,I1223/AK1223,-1)</f>
        <v/>
      </c>
      <c r="AO1223" s="56">
        <f>IF(AND(OR(BR1223="L1",BR1223="L23"),AK1223&gt;0),SUMIFS($AK$7:$AK$1570,$BR$7:$BR$1570,BR1223,$AN$7:$AN$1570,"&gt;"&amp;AN1223)+SUMIFS($AK$7:$AK$1570,$BR$7:$BR$1570,BR1223,$AN$7:$AN$1570,AN1223,$BL$7:$BL$1570,"&lt;="&amp;BL1223),"")</f>
        <v/>
      </c>
      <c r="AP1223" s="65">
        <f>IF(AO1223="",0,MAX(0,MIN(1,(IF(BR1223="L1",Parameter!$K$5,Parameter!$K$6+Parameter!$K$7)-(AO1223-AK1223))/AK1223)))</f>
        <v/>
      </c>
      <c r="AQ1223" s="55">
        <f>IF(LEFT(Cockpit!$O$5,1)="A",G1223,IF(BT1223=1,BU1223,IF(LEFT(Cockpit!$O$5,1)="B",AU1223,MAX(AU1223,G1223))))</f>
        <v/>
      </c>
      <c r="AR1223" s="55">
        <f>IF(BO1223=1,0,ROUNDUP(AQ1223/BN1223,0))</f>
        <v/>
      </c>
      <c r="AS1223" s="64">
        <f>IF(BO1223=1,IF(AQ1223&lt;=0,0,BP1223*MAX(1,IF(G1223&gt;0,AQ1223/G1223,1))),AR1223*Q1223)</f>
        <v/>
      </c>
      <c r="AT1223" s="55">
        <f>AQ1223*F1223</f>
        <v/>
      </c>
      <c r="AU1223" s="55">
        <f>ROUNDUP(MAX(I1223/IF(BS1223&gt;0,BS1223,MAX(0.1,N(Cockpit!$O$6))),BV1223)/BN1223,0)*BN1223</f>
        <v/>
      </c>
      <c r="AV1223" s="56">
        <f>IF(AS1223&gt;0,I1223/AS1223,-1)</f>
        <v/>
      </c>
      <c r="AW1223" s="56">
        <f>IF(AND(OR(BR1223="L1",BR1223="L23"),AS1223&gt;0),SUMIFS($AS$7:$AS$1570,$BR$7:$BR$1570,BR1223,$AV$7:$AV$1570,"&gt;"&amp;AV1223)+SUMIFS($AS$7:$AS$1570,$BR$7:$BR$1570,BR1223,$AV$7:$AV$1570,AV1223,$BL$7:$BL$1570,"&lt;="&amp;BL1223),"")</f>
        <v/>
      </c>
      <c r="AX1223" s="65">
        <f>IF(AW1223="",0,MAX(0,MIN(1,(IF(BR1223="L1",Parameter!$K$5,Parameter!$K$6+Parameter!$K$7)-(AW1223-AS1223))/AS1223)))</f>
        <v/>
      </c>
      <c r="AY1223" s="53">
        <f>IF(AC1223&lt;=0,"",IF(BR1223="Aussen","Aussenlager",IF(BR1223="-","Nicht im Lift",IF(AH1223&gt;=1,"Lift",IF(AH1223&lt;=0,"Aussenlager","teilweise")))))</f>
        <v/>
      </c>
      <c r="AZ1223" s="53">
        <f>IF(AK1223&lt;=0,"",IF(BR1223="Aussen","Aussenlager",IF(BR1223="-","Nicht im Lift",IF(AP1223&gt;=1,"Lift",IF(AP1223&lt;=0,"Aussenlager","teilweise")))))</f>
        <v/>
      </c>
      <c r="BA1223" s="53">
        <f>IF(AS1223&lt;=0,"",IF(BR1223="Aussen","Aussenlager",IF(BR1223="-","Nicht im Lift",IF(AX1223&gt;=1,"Lift",IF(AX1223&lt;=0,"Aussenlager","teilweise")))))</f>
        <v/>
      </c>
      <c r="BB1223" s="53">
        <f>IF(A1223="","",IF(BK1223=1,"Neu; ","")&amp;IF(AND(BK1223=0,BF1223&lt;0),"negativer Bestand (Export "&amp;BF1223&amp;"); ","")&amp;IF(I1223&lt;=0,"Kein Verbrauch; ","")&amp;IF(BO1223=1,"Lose – Fläche geschätzt; ","")&amp;IF(G1223&gt;AM1223,"Überbestand "&amp;ROUND(G1223-AM1223,0)&amp;" Stk / CHF "&amp;ROUND((G1223-AM1223)*F1223,0)&amp;"; ","")&amp;IF(AND(BT1223=1,BU1223&lt;BV1223),"MAX &lt; MB+LG; ","")&amp;IF(AND(BZ1223&gt;0,BY1223*10&gt;BZ1223),"zu hoch für Tablar; ","")&amp;IF(AND(BK1223=0,OR(BT1223=1,V1223&lt;&gt;"",S1223&lt;&gt;"",T1223&lt;&gt;"",W1223&lt;&gt;"")),"manuell übersteuert; ","")&amp;IF(AND(BO1223=0,Q1223=0),"Gebinde unbekannt; ","")&amp;IF(AND(BO1223=0,N(T1223)&lt;=0,N(P1223)&lt;=0),"Menge pro Gebinde fehlt (Ist = 1 Gebinde); ","")&amp;BJ1223)</f>
        <v/>
      </c>
      <c r="BC1223" s="53" t="n"/>
      <c r="BD1223" s="53" t="n"/>
      <c r="BE1223" s="61" t="n"/>
      <c r="BF1223" s="55" t="n">
        <v>-17</v>
      </c>
      <c r="BG1223" s="55" t="n">
        <v>17</v>
      </c>
      <c r="BH1223" s="54" t="n">
        <v>-603.5</v>
      </c>
      <c r="BI1223" s="55" t="n">
        <v>0</v>
      </c>
      <c r="BJ1223" s="53" t="inlineStr"/>
      <c r="BK1223" s="58" t="n">
        <v>0</v>
      </c>
      <c r="BL1223" s="58" t="n">
        <v>1223</v>
      </c>
      <c r="BM1223" s="53">
        <f>IF(S1223&lt;&gt;"",UPPER(TRIM(S1223)),IF(O1223="","LOSE",O1223))</f>
        <v/>
      </c>
      <c r="BN1223" s="55">
        <f>IF(BM1223="LOSE",1,IF(N(T1223)&gt;0,T1223,IF(N(P1223)&gt;0,P1223,MAX(1,G1223))))</f>
        <v/>
      </c>
      <c r="BO1223" s="58">
        <f>IF(BM1223="LOSE",1,0)</f>
        <v/>
      </c>
      <c r="BP1223" s="64">
        <f>IF(BO1223=0,0,IF(N(R1223)&gt;0,R1223,IFERROR(VLOOKUP(D1223,Parameter!$A$35:$C$64,3,0)+0,0)))</f>
        <v/>
      </c>
      <c r="BQ1223" s="53">
        <f>IF(V1223&lt;&gt;"",V1223,U1223)</f>
        <v/>
      </c>
      <c r="BR1223" s="53">
        <f>IF(BQ1223=1,"L1",IF(OR(BQ1223=2,BQ1223=3),"L23",IF(BQ1223="Aussen","Aussen","-")))</f>
        <v/>
      </c>
      <c r="BS1223" s="66">
        <f>IF(N(W1223)&gt;0,W1223,0)</f>
        <v/>
      </c>
      <c r="BT1223" s="58">
        <f>IF(ISNUMBER(Z1223),1,0)</f>
        <v/>
      </c>
      <c r="BU1223" s="55">
        <f>N(Z1223)</f>
        <v/>
      </c>
      <c r="BV1223" s="55">
        <f>N(L1223)+N(M1223)</f>
        <v/>
      </c>
      <c r="BW1223" s="55">
        <f>ROUNDUP(G1223/BN1223,0)</f>
        <v/>
      </c>
      <c r="BX1223" s="55">
        <f>ROUNDUP(BU1223/BN1223,0)</f>
        <v/>
      </c>
      <c r="BY1223" s="58">
        <f>IF(BO1223=1,0,IFERROR(VLOOKUP(BM1223,'Gebinde-Kategorie'!$A$5:$G$45,5,0)+0,0))</f>
        <v/>
      </c>
      <c r="BZ1223" s="58">
        <f>IFERROR(IF(OR(BQ1223=1,BQ1223=2,BQ1223=3),N(INDEX(Parameter!$I$5:$I$7,BQ1223)),0),0)</f>
        <v/>
      </c>
    </row>
    <row r="1224">
      <c r="A1224" s="53" t="inlineStr">
        <is>
          <t>005440</t>
        </is>
      </c>
      <c r="B1224" s="53" t="inlineStr">
        <is>
          <t>PTFE Schlauch DN6</t>
        </is>
      </c>
      <c r="C1224" s="53" t="inlineStr">
        <is>
          <t>F</t>
        </is>
      </c>
      <c r="D1224" s="53" t="inlineStr">
        <is>
          <t>PAL</t>
        </is>
      </c>
      <c r="E1224" s="53" t="inlineStr">
        <is>
          <t>C</t>
        </is>
      </c>
      <c r="F1224" s="54" t="n">
        <v>75.62</v>
      </c>
      <c r="G1224" s="55">
        <f>MAX(0,IF(Parameter!$B$20="Jahresanfang 2025 + Export",BG1224+BF1224,BF1224))</f>
        <v/>
      </c>
      <c r="H1224" s="55">
        <f>G1224*F1224</f>
        <v/>
      </c>
      <c r="I1224" s="55">
        <f>BI1224*Parameter!$B$18</f>
        <v/>
      </c>
      <c r="J1224" s="56" t="n">
        <v>134.5</v>
      </c>
      <c r="K1224" s="57" t="n">
        <v>0.02230483271375465</v>
      </c>
      <c r="L1224" s="55" t="n">
        <v>0</v>
      </c>
      <c r="M1224" s="55" t="n">
        <v>5</v>
      </c>
      <c r="N1224" s="58" t="n">
        <v>70</v>
      </c>
      <c r="O1224" s="53" t="inlineStr">
        <is>
          <t>S71</t>
        </is>
      </c>
      <c r="P1224" s="55" t="n">
        <v>10</v>
      </c>
      <c r="Q1224" s="59">
        <f>IF(BO1224=1,0,IFERROR(VLOOKUP(BM1224,'Gebinde-Kategorie'!$A$5:$G$45,6,0)+0,0))</f>
        <v/>
      </c>
      <c r="R1224" s="60" t="n"/>
      <c r="S1224" s="61" t="n"/>
      <c r="T1224" s="61" t="n"/>
      <c r="U1224" s="53">
        <f>IF(A1224="","",IF(IFERROR(VLOOKUP(D1224,Parameter!$A$35:$C$64,2,0),"Nein")="2+3",IF(ISNUMBER(SEARCH("grosser Artikel",BJ1224)),2,IFERROR(VLOOKUP(BM1224,Parameter!$F$35:$G$64,2,0),2)),IF(OR(IFERROR(VLOOKUP(D1224,Parameter!$A$35:$C$64,2,0),"Nein")="Nein",IFERROR(VLOOKUP(D1224,Parameter!$A$35:$C$64,2,0),"Nein")=""),"-",VLOOKUP(D1224,Parameter!$A$35:$C$64,2,0))))</f>
        <v/>
      </c>
      <c r="V1224" s="61" t="n"/>
      <c r="W1224" s="62" t="n"/>
      <c r="X1224" s="55">
        <f>AM1224</f>
        <v/>
      </c>
      <c r="Y1224" s="55">
        <f>MAX(AM1224,G1224)</f>
        <v/>
      </c>
      <c r="Z1224" s="63" t="n"/>
      <c r="AA1224" s="55">
        <f>IF(LEFT(Cockpit!$C$5,1)="A",G1224,IF(BT1224=1,BU1224,IF(LEFT(Cockpit!$C$5,1)="B",AE1224,MAX(AE1224,G1224))))</f>
        <v/>
      </c>
      <c r="AB1224" s="55">
        <f>IF(BO1224=1,0,ROUNDUP(AA1224/BN1224,0))</f>
        <v/>
      </c>
      <c r="AC1224" s="64">
        <f>IF(BO1224=1,IF(AA1224&lt;=0,0,BP1224*MAX(1,IF(G1224&gt;0,AA1224/G1224,1))),AB1224*Q1224)</f>
        <v/>
      </c>
      <c r="AD1224" s="55">
        <f>AA1224*F1224</f>
        <v/>
      </c>
      <c r="AE1224" s="55">
        <f>ROUNDUP(MAX(I1224/IF(BS1224&gt;0,BS1224,MAX(0.1,N(Cockpit!$C$6))),BV1224)/BN1224,0)*BN1224</f>
        <v/>
      </c>
      <c r="AF1224" s="56">
        <f>IF(AC1224&gt;0,I1224/AC1224,-1)</f>
        <v/>
      </c>
      <c r="AG1224" s="56">
        <f>IF(AND(OR(BR1224="L1",BR1224="L23"),AC1224&gt;0),SUMIFS($AC$7:$AC$1570,$BR$7:$BR$1570,BR1224,$AF$7:$AF$1570,"&gt;"&amp;AF1224)+SUMIFS($AC$7:$AC$1570,$BR$7:$BR$1570,BR1224,$AF$7:$AF$1570,AF1224,$BL$7:$BL$1570,"&lt;="&amp;BL1224),"")</f>
        <v/>
      </c>
      <c r="AH1224" s="65">
        <f>IF(AG1224="",0,MAX(0,MIN(1,(IF(BR1224="L1",Parameter!$K$5,Parameter!$K$6+Parameter!$K$7)-(AG1224-AC1224))/AC1224)))</f>
        <v/>
      </c>
      <c r="AI1224" s="55">
        <f>IF(LEFT(Cockpit!$I$5,1)="A",G1224,IF(BT1224=1,BU1224,IF(LEFT(Cockpit!$I$5,1)="B",AM1224,MAX(AM1224,G1224))))</f>
        <v/>
      </c>
      <c r="AJ1224" s="55">
        <f>IF(BO1224=1,0,ROUNDUP(AI1224/BN1224,0))</f>
        <v/>
      </c>
      <c r="AK1224" s="64">
        <f>IF(BO1224=1,IF(AI1224&lt;=0,0,BP1224*MAX(1,IF(G1224&gt;0,AI1224/G1224,1))),AJ1224*Q1224)</f>
        <v/>
      </c>
      <c r="AL1224" s="55">
        <f>AI1224*F1224</f>
        <v/>
      </c>
      <c r="AM1224" s="55">
        <f>ROUNDUP(MAX(I1224/IF(BS1224&gt;0,BS1224,MAX(0.1,N(Cockpit!$I$6))),BV1224)/BN1224,0)*BN1224</f>
        <v/>
      </c>
      <c r="AN1224" s="56">
        <f>IF(AK1224&gt;0,I1224/AK1224,-1)</f>
        <v/>
      </c>
      <c r="AO1224" s="56">
        <f>IF(AND(OR(BR1224="L1",BR1224="L23"),AK1224&gt;0),SUMIFS($AK$7:$AK$1570,$BR$7:$BR$1570,BR1224,$AN$7:$AN$1570,"&gt;"&amp;AN1224)+SUMIFS($AK$7:$AK$1570,$BR$7:$BR$1570,BR1224,$AN$7:$AN$1570,AN1224,$BL$7:$BL$1570,"&lt;="&amp;BL1224),"")</f>
        <v/>
      </c>
      <c r="AP1224" s="65">
        <f>IF(AO1224="",0,MAX(0,MIN(1,(IF(BR1224="L1",Parameter!$K$5,Parameter!$K$6+Parameter!$K$7)-(AO1224-AK1224))/AK1224)))</f>
        <v/>
      </c>
      <c r="AQ1224" s="55">
        <f>IF(LEFT(Cockpit!$O$5,1)="A",G1224,IF(BT1224=1,BU1224,IF(LEFT(Cockpit!$O$5,1)="B",AU1224,MAX(AU1224,G1224))))</f>
        <v/>
      </c>
      <c r="AR1224" s="55">
        <f>IF(BO1224=1,0,ROUNDUP(AQ1224/BN1224,0))</f>
        <v/>
      </c>
      <c r="AS1224" s="64">
        <f>IF(BO1224=1,IF(AQ1224&lt;=0,0,BP1224*MAX(1,IF(G1224&gt;0,AQ1224/G1224,1))),AR1224*Q1224)</f>
        <v/>
      </c>
      <c r="AT1224" s="55">
        <f>AQ1224*F1224</f>
        <v/>
      </c>
      <c r="AU1224" s="55">
        <f>ROUNDUP(MAX(I1224/IF(BS1224&gt;0,BS1224,MAX(0.1,N(Cockpit!$O$6))),BV1224)/BN1224,0)*BN1224</f>
        <v/>
      </c>
      <c r="AV1224" s="56">
        <f>IF(AS1224&gt;0,I1224/AS1224,-1)</f>
        <v/>
      </c>
      <c r="AW1224" s="56">
        <f>IF(AND(OR(BR1224="L1",BR1224="L23"),AS1224&gt;0),SUMIFS($AS$7:$AS$1570,$BR$7:$BR$1570,BR1224,$AV$7:$AV$1570,"&gt;"&amp;AV1224)+SUMIFS($AS$7:$AS$1570,$BR$7:$BR$1570,BR1224,$AV$7:$AV$1570,AV1224,$BL$7:$BL$1570,"&lt;="&amp;BL1224),"")</f>
        <v/>
      </c>
      <c r="AX1224" s="65">
        <f>IF(AW1224="",0,MAX(0,MIN(1,(IF(BR1224="L1",Parameter!$K$5,Parameter!$K$6+Parameter!$K$7)-(AW1224-AS1224))/AS1224)))</f>
        <v/>
      </c>
      <c r="AY1224" s="53">
        <f>IF(AC1224&lt;=0,"",IF(BR1224="Aussen","Aussenlager",IF(BR1224="-","Nicht im Lift",IF(AH1224&gt;=1,"Lift",IF(AH1224&lt;=0,"Aussenlager","teilweise")))))</f>
        <v/>
      </c>
      <c r="AZ1224" s="53">
        <f>IF(AK1224&lt;=0,"",IF(BR1224="Aussen","Aussenlager",IF(BR1224="-","Nicht im Lift",IF(AP1224&gt;=1,"Lift",IF(AP1224&lt;=0,"Aussenlager","teilweise")))))</f>
        <v/>
      </c>
      <c r="BA1224" s="53">
        <f>IF(AS1224&lt;=0,"",IF(BR1224="Aussen","Aussenlager",IF(BR1224="-","Nicht im Lift",IF(AX1224&gt;=1,"Lift",IF(AX1224&lt;=0,"Aussenlager","teilweise")))))</f>
        <v/>
      </c>
      <c r="BB1224" s="53">
        <f>IF(A1224="","",IF(BK1224=1,"Neu; ","")&amp;IF(AND(BK1224=0,BF1224&lt;0),"negativer Bestand (Export "&amp;BF1224&amp;"); ","")&amp;IF(I1224&lt;=0,"Kein Verbrauch; ","")&amp;IF(BO1224=1,"Lose – Fläche geschätzt; ","")&amp;IF(G1224&gt;AM1224,"Überbestand "&amp;ROUND(G1224-AM1224,0)&amp;" Stk / CHF "&amp;ROUND((G1224-AM1224)*F1224,0)&amp;"; ","")&amp;IF(AND(BT1224=1,BU1224&lt;BV1224),"MAX &lt; MB+LG; ","")&amp;IF(AND(BZ1224&gt;0,BY1224*10&gt;BZ1224),"zu hoch für Tablar; ","")&amp;IF(AND(BK1224=0,OR(BT1224=1,V1224&lt;&gt;"",S1224&lt;&gt;"",T1224&lt;&gt;"",W1224&lt;&gt;"")),"manuell übersteuert; ","")&amp;IF(AND(BO1224=0,Q1224=0),"Gebinde unbekannt; ","")&amp;IF(AND(BO1224=0,N(T1224)&lt;=0,N(P1224)&lt;=0),"Menge pro Gebinde fehlt (Ist = 1 Gebinde); ","")&amp;BJ1224)</f>
        <v/>
      </c>
      <c r="BC1224" s="53" t="n"/>
      <c r="BD1224" s="53" t="n"/>
      <c r="BE1224" s="61" t="n"/>
      <c r="BF1224" s="55" t="n">
        <v>-8</v>
      </c>
      <c r="BG1224" s="55" t="n">
        <v>136</v>
      </c>
      <c r="BH1224" s="54" t="n">
        <v>-604.96</v>
      </c>
      <c r="BI1224" s="55" t="n">
        <v>3</v>
      </c>
      <c r="BJ1224" s="53" t="inlineStr">
        <is>
          <t>Bis auf 10stk?</t>
        </is>
      </c>
      <c r="BK1224" s="58" t="n">
        <v>0</v>
      </c>
      <c r="BL1224" s="58" t="n">
        <v>1224</v>
      </c>
      <c r="BM1224" s="53">
        <f>IF(S1224&lt;&gt;"",UPPER(TRIM(S1224)),IF(O1224="","LOSE",O1224))</f>
        <v/>
      </c>
      <c r="BN1224" s="55">
        <f>IF(BM1224="LOSE",1,IF(N(T1224)&gt;0,T1224,IF(N(P1224)&gt;0,P1224,MAX(1,G1224))))</f>
        <v/>
      </c>
      <c r="BO1224" s="58">
        <f>IF(BM1224="LOSE",1,0)</f>
        <v/>
      </c>
      <c r="BP1224" s="64">
        <f>IF(BO1224=0,0,IF(N(R1224)&gt;0,R1224,IFERROR(VLOOKUP(D1224,Parameter!$A$35:$C$64,3,0)+0,0)))</f>
        <v/>
      </c>
      <c r="BQ1224" s="53">
        <f>IF(V1224&lt;&gt;"",V1224,U1224)</f>
        <v/>
      </c>
      <c r="BR1224" s="53">
        <f>IF(BQ1224=1,"L1",IF(OR(BQ1224=2,BQ1224=3),"L23",IF(BQ1224="Aussen","Aussen","-")))</f>
        <v/>
      </c>
      <c r="BS1224" s="66">
        <f>IF(N(W1224)&gt;0,W1224,0)</f>
        <v/>
      </c>
      <c r="BT1224" s="58">
        <f>IF(ISNUMBER(Z1224),1,0)</f>
        <v/>
      </c>
      <c r="BU1224" s="55">
        <f>N(Z1224)</f>
        <v/>
      </c>
      <c r="BV1224" s="55">
        <f>N(L1224)+N(M1224)</f>
        <v/>
      </c>
      <c r="BW1224" s="55">
        <f>ROUNDUP(G1224/BN1224,0)</f>
        <v/>
      </c>
      <c r="BX1224" s="55">
        <f>ROUNDUP(BU1224/BN1224,0)</f>
        <v/>
      </c>
      <c r="BY1224" s="58">
        <f>IF(BO1224=1,0,IFERROR(VLOOKUP(BM1224,'Gebinde-Kategorie'!$A$5:$G$45,5,0)+0,0))</f>
        <v/>
      </c>
      <c r="BZ1224" s="58">
        <f>IFERROR(IF(OR(BQ1224=1,BQ1224=2,BQ1224=3),N(INDEX(Parameter!$I$5:$I$7,BQ1224)),0),0)</f>
        <v/>
      </c>
    </row>
    <row r="1225">
      <c r="A1225" s="53" t="inlineStr">
        <is>
          <t>109364</t>
        </is>
      </c>
      <c r="B1225" s="53" t="inlineStr">
        <is>
          <t>Rohrverschraubung</t>
        </is>
      </c>
      <c r="C1225" s="53" t="inlineStr">
        <is>
          <t>F</t>
        </is>
      </c>
      <c r="D1225" s="53" t="inlineStr">
        <is>
          <t>KTL</t>
        </is>
      </c>
      <c r="E1225" s="53" t="inlineStr">
        <is>
          <t>C</t>
        </is>
      </c>
      <c r="F1225" s="54" t="n">
        <v>55.29</v>
      </c>
      <c r="G1225" s="55">
        <f>MAX(0,IF(Parameter!$B$20="Jahresanfang 2025 + Export",BG1225+BF1225,BF1225))</f>
        <v/>
      </c>
      <c r="H1225" s="55">
        <f>G1225*F1225</f>
        <v/>
      </c>
      <c r="I1225" s="55">
        <f>BI1225*Parameter!$B$18</f>
        <v/>
      </c>
      <c r="J1225" s="56" t="n">
        <v>24</v>
      </c>
      <c r="K1225" s="57" t="n">
        <v>0.25</v>
      </c>
      <c r="L1225" s="55" t="n">
        <v>0</v>
      </c>
      <c r="M1225" s="55" t="n">
        <v>5</v>
      </c>
      <c r="N1225" s="58" t="n">
        <v>14</v>
      </c>
      <c r="O1225" s="53" t="inlineStr">
        <is>
          <t>S32</t>
        </is>
      </c>
      <c r="P1225" s="55" t="n">
        <v>19</v>
      </c>
      <c r="Q1225" s="59">
        <f>IF(BO1225=1,0,IFERROR(VLOOKUP(BM1225,'Gebinde-Kategorie'!$A$5:$G$45,6,0)+0,0))</f>
        <v/>
      </c>
      <c r="R1225" s="60" t="n"/>
      <c r="S1225" s="61" t="n"/>
      <c r="T1225" s="61" t="n"/>
      <c r="U1225" s="53">
        <f>IF(A1225="","",IF(IFERROR(VLOOKUP(D1225,Parameter!$A$35:$C$64,2,0),"Nein")="2+3",IF(ISNUMBER(SEARCH("grosser Artikel",BJ1225)),2,IFERROR(VLOOKUP(BM1225,Parameter!$F$35:$G$64,2,0),2)),IF(OR(IFERROR(VLOOKUP(D1225,Parameter!$A$35:$C$64,2,0),"Nein")="Nein",IFERROR(VLOOKUP(D1225,Parameter!$A$35:$C$64,2,0),"Nein")=""),"-",VLOOKUP(D1225,Parameter!$A$35:$C$64,2,0))))</f>
        <v/>
      </c>
      <c r="V1225" s="61" t="n"/>
      <c r="W1225" s="62" t="n"/>
      <c r="X1225" s="55">
        <f>AM1225</f>
        <v/>
      </c>
      <c r="Y1225" s="55">
        <f>MAX(AM1225,G1225)</f>
        <v/>
      </c>
      <c r="Z1225" s="63" t="n"/>
      <c r="AA1225" s="55">
        <f>IF(LEFT(Cockpit!$C$5,1)="A",G1225,IF(BT1225=1,BU1225,IF(LEFT(Cockpit!$C$5,1)="B",AE1225,MAX(AE1225,G1225))))</f>
        <v/>
      </c>
      <c r="AB1225" s="55">
        <f>IF(BO1225=1,0,ROUNDUP(AA1225/BN1225,0))</f>
        <v/>
      </c>
      <c r="AC1225" s="64">
        <f>IF(BO1225=1,IF(AA1225&lt;=0,0,BP1225*MAX(1,IF(G1225&gt;0,AA1225/G1225,1))),AB1225*Q1225)</f>
        <v/>
      </c>
      <c r="AD1225" s="55">
        <f>AA1225*F1225</f>
        <v/>
      </c>
      <c r="AE1225" s="55">
        <f>ROUNDUP(MAX(I1225/IF(BS1225&gt;0,BS1225,MAX(0.1,N(Cockpit!$C$6))),BV1225)/BN1225,0)*BN1225</f>
        <v/>
      </c>
      <c r="AF1225" s="56">
        <f>IF(AC1225&gt;0,I1225/AC1225,-1)</f>
        <v/>
      </c>
      <c r="AG1225" s="56">
        <f>IF(AND(OR(BR1225="L1",BR1225="L23"),AC1225&gt;0),SUMIFS($AC$7:$AC$1570,$BR$7:$BR$1570,BR1225,$AF$7:$AF$1570,"&gt;"&amp;AF1225)+SUMIFS($AC$7:$AC$1570,$BR$7:$BR$1570,BR1225,$AF$7:$AF$1570,AF1225,$BL$7:$BL$1570,"&lt;="&amp;BL1225),"")</f>
        <v/>
      </c>
      <c r="AH1225" s="65">
        <f>IF(AG1225="",0,MAX(0,MIN(1,(IF(BR1225="L1",Parameter!$K$5,Parameter!$K$6+Parameter!$K$7)-(AG1225-AC1225))/AC1225)))</f>
        <v/>
      </c>
      <c r="AI1225" s="55">
        <f>IF(LEFT(Cockpit!$I$5,1)="A",G1225,IF(BT1225=1,BU1225,IF(LEFT(Cockpit!$I$5,1)="B",AM1225,MAX(AM1225,G1225))))</f>
        <v/>
      </c>
      <c r="AJ1225" s="55">
        <f>IF(BO1225=1,0,ROUNDUP(AI1225/BN1225,0))</f>
        <v/>
      </c>
      <c r="AK1225" s="64">
        <f>IF(BO1225=1,IF(AI1225&lt;=0,0,BP1225*MAX(1,IF(G1225&gt;0,AI1225/G1225,1))),AJ1225*Q1225)</f>
        <v/>
      </c>
      <c r="AL1225" s="55">
        <f>AI1225*F1225</f>
        <v/>
      </c>
      <c r="AM1225" s="55">
        <f>ROUNDUP(MAX(I1225/IF(BS1225&gt;0,BS1225,MAX(0.1,N(Cockpit!$I$6))),BV1225)/BN1225,0)*BN1225</f>
        <v/>
      </c>
      <c r="AN1225" s="56">
        <f>IF(AK1225&gt;0,I1225/AK1225,-1)</f>
        <v/>
      </c>
      <c r="AO1225" s="56">
        <f>IF(AND(OR(BR1225="L1",BR1225="L23"),AK1225&gt;0),SUMIFS($AK$7:$AK$1570,$BR$7:$BR$1570,BR1225,$AN$7:$AN$1570,"&gt;"&amp;AN1225)+SUMIFS($AK$7:$AK$1570,$BR$7:$BR$1570,BR1225,$AN$7:$AN$1570,AN1225,$BL$7:$BL$1570,"&lt;="&amp;BL1225),"")</f>
        <v/>
      </c>
      <c r="AP1225" s="65">
        <f>IF(AO1225="",0,MAX(0,MIN(1,(IF(BR1225="L1",Parameter!$K$5,Parameter!$K$6+Parameter!$K$7)-(AO1225-AK1225))/AK1225)))</f>
        <v/>
      </c>
      <c r="AQ1225" s="55">
        <f>IF(LEFT(Cockpit!$O$5,1)="A",G1225,IF(BT1225=1,BU1225,IF(LEFT(Cockpit!$O$5,1)="B",AU1225,MAX(AU1225,G1225))))</f>
        <v/>
      </c>
      <c r="AR1225" s="55">
        <f>IF(BO1225=1,0,ROUNDUP(AQ1225/BN1225,0))</f>
        <v/>
      </c>
      <c r="AS1225" s="64">
        <f>IF(BO1225=1,IF(AQ1225&lt;=0,0,BP1225*MAX(1,IF(G1225&gt;0,AQ1225/G1225,1))),AR1225*Q1225)</f>
        <v/>
      </c>
      <c r="AT1225" s="55">
        <f>AQ1225*F1225</f>
        <v/>
      </c>
      <c r="AU1225" s="55">
        <f>ROUNDUP(MAX(I1225/IF(BS1225&gt;0,BS1225,MAX(0.1,N(Cockpit!$O$6))),BV1225)/BN1225,0)*BN1225</f>
        <v/>
      </c>
      <c r="AV1225" s="56">
        <f>IF(AS1225&gt;0,I1225/AS1225,-1)</f>
        <v/>
      </c>
      <c r="AW1225" s="56">
        <f>IF(AND(OR(BR1225="L1",BR1225="L23"),AS1225&gt;0),SUMIFS($AS$7:$AS$1570,$BR$7:$BR$1570,BR1225,$AV$7:$AV$1570,"&gt;"&amp;AV1225)+SUMIFS($AS$7:$AS$1570,$BR$7:$BR$1570,BR1225,$AV$7:$AV$1570,AV1225,$BL$7:$BL$1570,"&lt;="&amp;BL1225),"")</f>
        <v/>
      </c>
      <c r="AX1225" s="65">
        <f>IF(AW1225="",0,MAX(0,MIN(1,(IF(BR1225="L1",Parameter!$K$5,Parameter!$K$6+Parameter!$K$7)-(AW1225-AS1225))/AS1225)))</f>
        <v/>
      </c>
      <c r="AY1225" s="53">
        <f>IF(AC1225&lt;=0,"",IF(BR1225="Aussen","Aussenlager",IF(BR1225="-","Nicht im Lift",IF(AH1225&gt;=1,"Lift",IF(AH1225&lt;=0,"Aussenlager","teilweise")))))</f>
        <v/>
      </c>
      <c r="AZ1225" s="53">
        <f>IF(AK1225&lt;=0,"",IF(BR1225="Aussen","Aussenlager",IF(BR1225="-","Nicht im Lift",IF(AP1225&gt;=1,"Lift",IF(AP1225&lt;=0,"Aussenlager","teilweise")))))</f>
        <v/>
      </c>
      <c r="BA1225" s="53">
        <f>IF(AS1225&lt;=0,"",IF(BR1225="Aussen","Aussenlager",IF(BR1225="-","Nicht im Lift",IF(AX1225&gt;=1,"Lift",IF(AX1225&lt;=0,"Aussenlager","teilweise")))))</f>
        <v/>
      </c>
      <c r="BB1225" s="53">
        <f>IF(A1225="","",IF(BK1225=1,"Neu; ","")&amp;IF(AND(BK1225=0,BF1225&lt;0),"negativer Bestand (Export "&amp;BF1225&amp;"); ","")&amp;IF(I1225&lt;=0,"Kein Verbrauch; ","")&amp;IF(BO1225=1,"Lose – Fläche geschätzt; ","")&amp;IF(G1225&gt;AM1225,"Überbestand "&amp;ROUND(G1225-AM1225,0)&amp;" Stk / CHF "&amp;ROUND((G1225-AM1225)*F1225,0)&amp;"; ","")&amp;IF(AND(BT1225=1,BU1225&lt;BV1225),"MAX &lt; MB+LG; ","")&amp;IF(AND(BZ1225&gt;0,BY1225*10&gt;BZ1225),"zu hoch für Tablar; ","")&amp;IF(AND(BK1225=0,OR(BT1225=1,V1225&lt;&gt;"",S1225&lt;&gt;"",T1225&lt;&gt;"",W1225&lt;&gt;"")),"manuell übersteuert; ","")&amp;IF(AND(BO1225=0,Q1225=0),"Gebinde unbekannt; ","")&amp;IF(AND(BO1225=0,N(T1225)&lt;=0,N(P1225)&lt;=0),"Menge pro Gebinde fehlt (Ist = 1 Gebinde); ","")&amp;BJ1225)</f>
        <v/>
      </c>
      <c r="BC1225" s="53" t="n"/>
      <c r="BD1225" s="53" t="n"/>
      <c r="BE1225" s="61" t="n"/>
      <c r="BF1225" s="55" t="n">
        <v>-11</v>
      </c>
      <c r="BG1225" s="55" t="n">
        <v>27</v>
      </c>
      <c r="BH1225" s="54" t="n">
        <v>-608.1899999999999</v>
      </c>
      <c r="BI1225" s="55" t="n">
        <v>6</v>
      </c>
      <c r="BJ1225" s="53" t="inlineStr"/>
      <c r="BK1225" s="58" t="n">
        <v>0</v>
      </c>
      <c r="BL1225" s="58" t="n">
        <v>1225</v>
      </c>
      <c r="BM1225" s="53">
        <f>IF(S1225&lt;&gt;"",UPPER(TRIM(S1225)),IF(O1225="","LOSE",O1225))</f>
        <v/>
      </c>
      <c r="BN1225" s="55">
        <f>IF(BM1225="LOSE",1,IF(N(T1225)&gt;0,T1225,IF(N(P1225)&gt;0,P1225,MAX(1,G1225))))</f>
        <v/>
      </c>
      <c r="BO1225" s="58">
        <f>IF(BM1225="LOSE",1,0)</f>
        <v/>
      </c>
      <c r="BP1225" s="64">
        <f>IF(BO1225=0,0,IF(N(R1225)&gt;0,R1225,IFERROR(VLOOKUP(D1225,Parameter!$A$35:$C$64,3,0)+0,0)))</f>
        <v/>
      </c>
      <c r="BQ1225" s="53">
        <f>IF(V1225&lt;&gt;"",V1225,U1225)</f>
        <v/>
      </c>
      <c r="BR1225" s="53">
        <f>IF(BQ1225=1,"L1",IF(OR(BQ1225=2,BQ1225=3),"L23",IF(BQ1225="Aussen","Aussen","-")))</f>
        <v/>
      </c>
      <c r="BS1225" s="66">
        <f>IF(N(W1225)&gt;0,W1225,0)</f>
        <v/>
      </c>
      <c r="BT1225" s="58">
        <f>IF(ISNUMBER(Z1225),1,0)</f>
        <v/>
      </c>
      <c r="BU1225" s="55">
        <f>N(Z1225)</f>
        <v/>
      </c>
      <c r="BV1225" s="55">
        <f>N(L1225)+N(M1225)</f>
        <v/>
      </c>
      <c r="BW1225" s="55">
        <f>ROUNDUP(G1225/BN1225,0)</f>
        <v/>
      </c>
      <c r="BX1225" s="55">
        <f>ROUNDUP(BU1225/BN1225,0)</f>
        <v/>
      </c>
      <c r="BY1225" s="58">
        <f>IF(BO1225=1,0,IFERROR(VLOOKUP(BM1225,'Gebinde-Kategorie'!$A$5:$G$45,5,0)+0,0))</f>
        <v/>
      </c>
      <c r="BZ1225" s="58">
        <f>IFERROR(IF(OR(BQ1225=1,BQ1225=2,BQ1225=3),N(INDEX(Parameter!$I$5:$I$7,BQ1225)),0),0)</f>
        <v/>
      </c>
    </row>
    <row r="1226">
      <c r="A1226" s="53" t="inlineStr">
        <is>
          <t>100403</t>
        </is>
      </c>
      <c r="B1226" s="53" t="inlineStr">
        <is>
          <t>Ventilblock</t>
        </is>
      </c>
      <c r="C1226" s="53" t="inlineStr">
        <is>
          <t>F</t>
        </is>
      </c>
      <c r="D1226" s="53" t="inlineStr">
        <is>
          <t>KTL</t>
        </is>
      </c>
      <c r="E1226" s="53" t="inlineStr">
        <is>
          <t>C</t>
        </is>
      </c>
      <c r="F1226" s="54" t="n">
        <v>688</v>
      </c>
      <c r="G1226" s="55">
        <f>MAX(0,IF(Parameter!$B$20="Jahresanfang 2025 + Export",BG1226+BF1226,BF1226))</f>
        <v/>
      </c>
      <c r="H1226" s="55">
        <f>G1226*F1226</f>
        <v/>
      </c>
      <c r="I1226" s="55">
        <f>BI1226*Parameter!$B$18</f>
        <v/>
      </c>
      <c r="J1226" s="56" t="n">
        <v>21</v>
      </c>
      <c r="K1226" s="57" t="n">
        <v>3.285714285714286</v>
      </c>
      <c r="L1226" s="55" t="n">
        <v>10</v>
      </c>
      <c r="M1226" s="55" t="n">
        <v>5</v>
      </c>
      <c r="N1226" s="58" t="n">
        <v>30</v>
      </c>
      <c r="O1226" s="53" t="inlineStr">
        <is>
          <t>S51</t>
        </is>
      </c>
      <c r="P1226" s="55" t="n">
        <v>11</v>
      </c>
      <c r="Q1226" s="59">
        <f>IF(BO1226=1,0,IFERROR(VLOOKUP(BM1226,'Gebinde-Kategorie'!$A$5:$G$45,6,0)+0,0))</f>
        <v/>
      </c>
      <c r="R1226" s="60" t="n"/>
      <c r="S1226" s="61" t="n"/>
      <c r="T1226" s="61" t="n"/>
      <c r="U1226" s="53">
        <f>IF(A1226="","",IF(IFERROR(VLOOKUP(D1226,Parameter!$A$35:$C$64,2,0),"Nein")="2+3",IF(ISNUMBER(SEARCH("grosser Artikel",BJ1226)),2,IFERROR(VLOOKUP(BM1226,Parameter!$F$35:$G$64,2,0),2)),IF(OR(IFERROR(VLOOKUP(D1226,Parameter!$A$35:$C$64,2,0),"Nein")="Nein",IFERROR(VLOOKUP(D1226,Parameter!$A$35:$C$64,2,0),"Nein")=""),"-",VLOOKUP(D1226,Parameter!$A$35:$C$64,2,0))))</f>
        <v/>
      </c>
      <c r="V1226" s="61" t="n"/>
      <c r="W1226" s="62" t="n"/>
      <c r="X1226" s="55">
        <f>AM1226</f>
        <v/>
      </c>
      <c r="Y1226" s="55">
        <f>MAX(AM1226,G1226)</f>
        <v/>
      </c>
      <c r="Z1226" s="63" t="n"/>
      <c r="AA1226" s="55">
        <f>IF(LEFT(Cockpit!$C$5,1)="A",G1226,IF(BT1226=1,BU1226,IF(LEFT(Cockpit!$C$5,1)="B",AE1226,MAX(AE1226,G1226))))</f>
        <v/>
      </c>
      <c r="AB1226" s="55">
        <f>IF(BO1226=1,0,ROUNDUP(AA1226/BN1226,0))</f>
        <v/>
      </c>
      <c r="AC1226" s="64">
        <f>IF(BO1226=1,IF(AA1226&lt;=0,0,BP1226*MAX(1,IF(G1226&gt;0,AA1226/G1226,1))),AB1226*Q1226)</f>
        <v/>
      </c>
      <c r="AD1226" s="55">
        <f>AA1226*F1226</f>
        <v/>
      </c>
      <c r="AE1226" s="55">
        <f>ROUNDUP(MAX(I1226/IF(BS1226&gt;0,BS1226,MAX(0.1,N(Cockpit!$C$6))),BV1226)/BN1226,0)*BN1226</f>
        <v/>
      </c>
      <c r="AF1226" s="56">
        <f>IF(AC1226&gt;0,I1226/AC1226,-1)</f>
        <v/>
      </c>
      <c r="AG1226" s="56">
        <f>IF(AND(OR(BR1226="L1",BR1226="L23"),AC1226&gt;0),SUMIFS($AC$7:$AC$1570,$BR$7:$BR$1570,BR1226,$AF$7:$AF$1570,"&gt;"&amp;AF1226)+SUMIFS($AC$7:$AC$1570,$BR$7:$BR$1570,BR1226,$AF$7:$AF$1570,AF1226,$BL$7:$BL$1570,"&lt;="&amp;BL1226),"")</f>
        <v/>
      </c>
      <c r="AH1226" s="65">
        <f>IF(AG1226="",0,MAX(0,MIN(1,(IF(BR1226="L1",Parameter!$K$5,Parameter!$K$6+Parameter!$K$7)-(AG1226-AC1226))/AC1226)))</f>
        <v/>
      </c>
      <c r="AI1226" s="55">
        <f>IF(LEFT(Cockpit!$I$5,1)="A",G1226,IF(BT1226=1,BU1226,IF(LEFT(Cockpit!$I$5,1)="B",AM1226,MAX(AM1226,G1226))))</f>
        <v/>
      </c>
      <c r="AJ1226" s="55">
        <f>IF(BO1226=1,0,ROUNDUP(AI1226/BN1226,0))</f>
        <v/>
      </c>
      <c r="AK1226" s="64">
        <f>IF(BO1226=1,IF(AI1226&lt;=0,0,BP1226*MAX(1,IF(G1226&gt;0,AI1226/G1226,1))),AJ1226*Q1226)</f>
        <v/>
      </c>
      <c r="AL1226" s="55">
        <f>AI1226*F1226</f>
        <v/>
      </c>
      <c r="AM1226" s="55">
        <f>ROUNDUP(MAX(I1226/IF(BS1226&gt;0,BS1226,MAX(0.1,N(Cockpit!$I$6))),BV1226)/BN1226,0)*BN1226</f>
        <v/>
      </c>
      <c r="AN1226" s="56">
        <f>IF(AK1226&gt;0,I1226/AK1226,-1)</f>
        <v/>
      </c>
      <c r="AO1226" s="56">
        <f>IF(AND(OR(BR1226="L1",BR1226="L23"),AK1226&gt;0),SUMIFS($AK$7:$AK$1570,$BR$7:$BR$1570,BR1226,$AN$7:$AN$1570,"&gt;"&amp;AN1226)+SUMIFS($AK$7:$AK$1570,$BR$7:$BR$1570,BR1226,$AN$7:$AN$1570,AN1226,$BL$7:$BL$1570,"&lt;="&amp;BL1226),"")</f>
        <v/>
      </c>
      <c r="AP1226" s="65">
        <f>IF(AO1226="",0,MAX(0,MIN(1,(IF(BR1226="L1",Parameter!$K$5,Parameter!$K$6+Parameter!$K$7)-(AO1226-AK1226))/AK1226)))</f>
        <v/>
      </c>
      <c r="AQ1226" s="55">
        <f>IF(LEFT(Cockpit!$O$5,1)="A",G1226,IF(BT1226=1,BU1226,IF(LEFT(Cockpit!$O$5,1)="B",AU1226,MAX(AU1226,G1226))))</f>
        <v/>
      </c>
      <c r="AR1226" s="55">
        <f>IF(BO1226=1,0,ROUNDUP(AQ1226/BN1226,0))</f>
        <v/>
      </c>
      <c r="AS1226" s="64">
        <f>IF(BO1226=1,IF(AQ1226&lt;=0,0,BP1226*MAX(1,IF(G1226&gt;0,AQ1226/G1226,1))),AR1226*Q1226)</f>
        <v/>
      </c>
      <c r="AT1226" s="55">
        <f>AQ1226*F1226</f>
        <v/>
      </c>
      <c r="AU1226" s="55">
        <f>ROUNDUP(MAX(I1226/IF(BS1226&gt;0,BS1226,MAX(0.1,N(Cockpit!$O$6))),BV1226)/BN1226,0)*BN1226</f>
        <v/>
      </c>
      <c r="AV1226" s="56">
        <f>IF(AS1226&gt;0,I1226/AS1226,-1)</f>
        <v/>
      </c>
      <c r="AW1226" s="56">
        <f>IF(AND(OR(BR1226="L1",BR1226="L23"),AS1226&gt;0),SUMIFS($AS$7:$AS$1570,$BR$7:$BR$1570,BR1226,$AV$7:$AV$1570,"&gt;"&amp;AV1226)+SUMIFS($AS$7:$AS$1570,$BR$7:$BR$1570,BR1226,$AV$7:$AV$1570,AV1226,$BL$7:$BL$1570,"&lt;="&amp;BL1226),"")</f>
        <v/>
      </c>
      <c r="AX1226" s="65">
        <f>IF(AW1226="",0,MAX(0,MIN(1,(IF(BR1226="L1",Parameter!$K$5,Parameter!$K$6+Parameter!$K$7)-(AW1226-AS1226))/AS1226)))</f>
        <v/>
      </c>
      <c r="AY1226" s="53">
        <f>IF(AC1226&lt;=0,"",IF(BR1226="Aussen","Aussenlager",IF(BR1226="-","Nicht im Lift",IF(AH1226&gt;=1,"Lift",IF(AH1226&lt;=0,"Aussenlager","teilweise")))))</f>
        <v/>
      </c>
      <c r="AZ1226" s="53">
        <f>IF(AK1226&lt;=0,"",IF(BR1226="Aussen","Aussenlager",IF(BR1226="-","Nicht im Lift",IF(AP1226&gt;=1,"Lift",IF(AP1226&lt;=0,"Aussenlager","teilweise")))))</f>
        <v/>
      </c>
      <c r="BA1226" s="53">
        <f>IF(AS1226&lt;=0,"",IF(BR1226="Aussen","Aussenlager",IF(BR1226="-","Nicht im Lift",IF(AX1226&gt;=1,"Lift",IF(AX1226&lt;=0,"Aussenlager","teilweise")))))</f>
        <v/>
      </c>
      <c r="BB1226" s="53">
        <f>IF(A1226="","",IF(BK1226=1,"Neu; ","")&amp;IF(AND(BK1226=0,BF1226&lt;0),"negativer Bestand (Export "&amp;BF1226&amp;"); ","")&amp;IF(I1226&lt;=0,"Kein Verbrauch; ","")&amp;IF(BO1226=1,"Lose – Fläche geschätzt; ","")&amp;IF(G1226&gt;AM1226,"Überbestand "&amp;ROUND(G1226-AM1226,0)&amp;" Stk / CHF "&amp;ROUND((G1226-AM1226)*F1226,0)&amp;"; ","")&amp;IF(AND(BT1226=1,BU1226&lt;BV1226),"MAX &lt; MB+LG; ","")&amp;IF(AND(BZ1226&gt;0,BY1226*10&gt;BZ1226),"zu hoch für Tablar; ","")&amp;IF(AND(BK1226=0,OR(BT1226=1,V1226&lt;&gt;"",S1226&lt;&gt;"",T1226&lt;&gt;"",W1226&lt;&gt;"")),"manuell übersteuert; ","")&amp;IF(AND(BO1226=0,Q1226=0),"Gebinde unbekannt; ","")&amp;IF(AND(BO1226=0,N(T1226)&lt;=0,N(P1226)&lt;=0),"Menge pro Gebinde fehlt (Ist = 1 Gebinde); ","")&amp;BJ1226)</f>
        <v/>
      </c>
      <c r="BC1226" s="53" t="n"/>
      <c r="BD1226" s="53" t="n"/>
      <c r="BE1226" s="61" t="n"/>
      <c r="BF1226" s="55" t="n">
        <v>-2</v>
      </c>
      <c r="BG1226" s="55" t="n">
        <v>21</v>
      </c>
      <c r="BH1226" s="54" t="n">
        <v>-619.9999999999982</v>
      </c>
      <c r="BI1226" s="55" t="n">
        <v>69</v>
      </c>
      <c r="BJ1226" s="53" t="inlineStr"/>
      <c r="BK1226" s="58" t="n">
        <v>0</v>
      </c>
      <c r="BL1226" s="58" t="n">
        <v>1226</v>
      </c>
      <c r="BM1226" s="53">
        <f>IF(S1226&lt;&gt;"",UPPER(TRIM(S1226)),IF(O1226="","LOSE",O1226))</f>
        <v/>
      </c>
      <c r="BN1226" s="55">
        <f>IF(BM1226="LOSE",1,IF(N(T1226)&gt;0,T1226,IF(N(P1226)&gt;0,P1226,MAX(1,G1226))))</f>
        <v/>
      </c>
      <c r="BO1226" s="58">
        <f>IF(BM1226="LOSE",1,0)</f>
        <v/>
      </c>
      <c r="BP1226" s="64">
        <f>IF(BO1226=0,0,IF(N(R1226)&gt;0,R1226,IFERROR(VLOOKUP(D1226,Parameter!$A$35:$C$64,3,0)+0,0)))</f>
        <v/>
      </c>
      <c r="BQ1226" s="53">
        <f>IF(V1226&lt;&gt;"",V1226,U1226)</f>
        <v/>
      </c>
      <c r="BR1226" s="53">
        <f>IF(BQ1226=1,"L1",IF(OR(BQ1226=2,BQ1226=3),"L23",IF(BQ1226="Aussen","Aussen","-")))</f>
        <v/>
      </c>
      <c r="BS1226" s="66">
        <f>IF(N(W1226)&gt;0,W1226,0)</f>
        <v/>
      </c>
      <c r="BT1226" s="58">
        <f>IF(ISNUMBER(Z1226),1,0)</f>
        <v/>
      </c>
      <c r="BU1226" s="55">
        <f>N(Z1226)</f>
        <v/>
      </c>
      <c r="BV1226" s="55">
        <f>N(L1226)+N(M1226)</f>
        <v/>
      </c>
      <c r="BW1226" s="55">
        <f>ROUNDUP(G1226/BN1226,0)</f>
        <v/>
      </c>
      <c r="BX1226" s="55">
        <f>ROUNDUP(BU1226/BN1226,0)</f>
        <v/>
      </c>
      <c r="BY1226" s="58">
        <f>IF(BO1226=1,0,IFERROR(VLOOKUP(BM1226,'Gebinde-Kategorie'!$A$5:$G$45,5,0)+0,0))</f>
        <v/>
      </c>
      <c r="BZ1226" s="58">
        <f>IFERROR(IF(OR(BQ1226=1,BQ1226=2,BQ1226=3),N(INDEX(Parameter!$I$5:$I$7,BQ1226)),0),0)</f>
        <v/>
      </c>
    </row>
    <row r="1227">
      <c r="A1227" s="53" t="inlineStr">
        <is>
          <t>005309</t>
        </is>
      </c>
      <c r="B1227" s="53" t="inlineStr">
        <is>
          <t>Kolbenabzug komplett</t>
        </is>
      </c>
      <c r="C1227" s="53" t="inlineStr">
        <is>
          <t>F</t>
        </is>
      </c>
      <c r="D1227" s="53" t="inlineStr">
        <is>
          <t>KTL</t>
        </is>
      </c>
      <c r="E1227" s="53" t="inlineStr">
        <is>
          <t>C</t>
        </is>
      </c>
      <c r="F1227" s="54" t="n">
        <v>310.56</v>
      </c>
      <c r="G1227" s="55">
        <f>MAX(0,IF(Parameter!$B$20="Jahresanfang 2025 + Export",BG1227+BF1227,BF1227))</f>
        <v/>
      </c>
      <c r="H1227" s="55">
        <f>G1227*F1227</f>
        <v/>
      </c>
      <c r="I1227" s="55">
        <f>BI1227*Parameter!$B$18</f>
        <v/>
      </c>
      <c r="J1227" s="56" t="n">
        <v>9.5</v>
      </c>
      <c r="K1227" s="57" t="n">
        <v>0.1052631578947368</v>
      </c>
      <c r="L1227" s="55" t="n">
        <v>0</v>
      </c>
      <c r="M1227" s="55" t="n">
        <v>1</v>
      </c>
      <c r="N1227" s="58" t="n">
        <v>35</v>
      </c>
      <c r="O1227" s="53" t="inlineStr">
        <is>
          <t>S52</t>
        </is>
      </c>
      <c r="P1227" s="55" t="n">
        <v>12</v>
      </c>
      <c r="Q1227" s="59">
        <f>IF(BO1227=1,0,IFERROR(VLOOKUP(BM1227,'Gebinde-Kategorie'!$A$5:$G$45,6,0)+0,0))</f>
        <v/>
      </c>
      <c r="R1227" s="60" t="n"/>
      <c r="S1227" s="61" t="n"/>
      <c r="T1227" s="61" t="n"/>
      <c r="U1227" s="53">
        <f>IF(A1227="","",IF(IFERROR(VLOOKUP(D1227,Parameter!$A$35:$C$64,2,0),"Nein")="2+3",IF(ISNUMBER(SEARCH("grosser Artikel",BJ1227)),2,IFERROR(VLOOKUP(BM1227,Parameter!$F$35:$G$64,2,0),2)),IF(OR(IFERROR(VLOOKUP(D1227,Parameter!$A$35:$C$64,2,0),"Nein")="Nein",IFERROR(VLOOKUP(D1227,Parameter!$A$35:$C$64,2,0),"Nein")=""),"-",VLOOKUP(D1227,Parameter!$A$35:$C$64,2,0))))</f>
        <v/>
      </c>
      <c r="V1227" s="61" t="n"/>
      <c r="W1227" s="62" t="n"/>
      <c r="X1227" s="55">
        <f>AM1227</f>
        <v/>
      </c>
      <c r="Y1227" s="55">
        <f>MAX(AM1227,G1227)</f>
        <v/>
      </c>
      <c r="Z1227" s="63" t="n"/>
      <c r="AA1227" s="55">
        <f>IF(LEFT(Cockpit!$C$5,1)="A",G1227,IF(BT1227=1,BU1227,IF(LEFT(Cockpit!$C$5,1)="B",AE1227,MAX(AE1227,G1227))))</f>
        <v/>
      </c>
      <c r="AB1227" s="55">
        <f>IF(BO1227=1,0,ROUNDUP(AA1227/BN1227,0))</f>
        <v/>
      </c>
      <c r="AC1227" s="64">
        <f>IF(BO1227=1,IF(AA1227&lt;=0,0,BP1227*MAX(1,IF(G1227&gt;0,AA1227/G1227,1))),AB1227*Q1227)</f>
        <v/>
      </c>
      <c r="AD1227" s="55">
        <f>AA1227*F1227</f>
        <v/>
      </c>
      <c r="AE1227" s="55">
        <f>ROUNDUP(MAX(I1227/IF(BS1227&gt;0,BS1227,MAX(0.1,N(Cockpit!$C$6))),BV1227)/BN1227,0)*BN1227</f>
        <v/>
      </c>
      <c r="AF1227" s="56">
        <f>IF(AC1227&gt;0,I1227/AC1227,-1)</f>
        <v/>
      </c>
      <c r="AG1227" s="56">
        <f>IF(AND(OR(BR1227="L1",BR1227="L23"),AC1227&gt;0),SUMIFS($AC$7:$AC$1570,$BR$7:$BR$1570,BR1227,$AF$7:$AF$1570,"&gt;"&amp;AF1227)+SUMIFS($AC$7:$AC$1570,$BR$7:$BR$1570,BR1227,$AF$7:$AF$1570,AF1227,$BL$7:$BL$1570,"&lt;="&amp;BL1227),"")</f>
        <v/>
      </c>
      <c r="AH1227" s="65">
        <f>IF(AG1227="",0,MAX(0,MIN(1,(IF(BR1227="L1",Parameter!$K$5,Parameter!$K$6+Parameter!$K$7)-(AG1227-AC1227))/AC1227)))</f>
        <v/>
      </c>
      <c r="AI1227" s="55">
        <f>IF(LEFT(Cockpit!$I$5,1)="A",G1227,IF(BT1227=1,BU1227,IF(LEFT(Cockpit!$I$5,1)="B",AM1227,MAX(AM1227,G1227))))</f>
        <v/>
      </c>
      <c r="AJ1227" s="55">
        <f>IF(BO1227=1,0,ROUNDUP(AI1227/BN1227,0))</f>
        <v/>
      </c>
      <c r="AK1227" s="64">
        <f>IF(BO1227=1,IF(AI1227&lt;=0,0,BP1227*MAX(1,IF(G1227&gt;0,AI1227/G1227,1))),AJ1227*Q1227)</f>
        <v/>
      </c>
      <c r="AL1227" s="55">
        <f>AI1227*F1227</f>
        <v/>
      </c>
      <c r="AM1227" s="55">
        <f>ROUNDUP(MAX(I1227/IF(BS1227&gt;0,BS1227,MAX(0.1,N(Cockpit!$I$6))),BV1227)/BN1227,0)*BN1227</f>
        <v/>
      </c>
      <c r="AN1227" s="56">
        <f>IF(AK1227&gt;0,I1227/AK1227,-1)</f>
        <v/>
      </c>
      <c r="AO1227" s="56">
        <f>IF(AND(OR(BR1227="L1",BR1227="L23"),AK1227&gt;0),SUMIFS($AK$7:$AK$1570,$BR$7:$BR$1570,BR1227,$AN$7:$AN$1570,"&gt;"&amp;AN1227)+SUMIFS($AK$7:$AK$1570,$BR$7:$BR$1570,BR1227,$AN$7:$AN$1570,AN1227,$BL$7:$BL$1570,"&lt;="&amp;BL1227),"")</f>
        <v/>
      </c>
      <c r="AP1227" s="65">
        <f>IF(AO1227="",0,MAX(0,MIN(1,(IF(BR1227="L1",Parameter!$K$5,Parameter!$K$6+Parameter!$K$7)-(AO1227-AK1227))/AK1227)))</f>
        <v/>
      </c>
      <c r="AQ1227" s="55">
        <f>IF(LEFT(Cockpit!$O$5,1)="A",G1227,IF(BT1227=1,BU1227,IF(LEFT(Cockpit!$O$5,1)="B",AU1227,MAX(AU1227,G1227))))</f>
        <v/>
      </c>
      <c r="AR1227" s="55">
        <f>IF(BO1227=1,0,ROUNDUP(AQ1227/BN1227,0))</f>
        <v/>
      </c>
      <c r="AS1227" s="64">
        <f>IF(BO1227=1,IF(AQ1227&lt;=0,0,BP1227*MAX(1,IF(G1227&gt;0,AQ1227/G1227,1))),AR1227*Q1227)</f>
        <v/>
      </c>
      <c r="AT1227" s="55">
        <f>AQ1227*F1227</f>
        <v/>
      </c>
      <c r="AU1227" s="55">
        <f>ROUNDUP(MAX(I1227/IF(BS1227&gt;0,BS1227,MAX(0.1,N(Cockpit!$O$6))),BV1227)/BN1227,0)*BN1227</f>
        <v/>
      </c>
      <c r="AV1227" s="56">
        <f>IF(AS1227&gt;0,I1227/AS1227,-1)</f>
        <v/>
      </c>
      <c r="AW1227" s="56">
        <f>IF(AND(OR(BR1227="L1",BR1227="L23"),AS1227&gt;0),SUMIFS($AS$7:$AS$1570,$BR$7:$BR$1570,BR1227,$AV$7:$AV$1570,"&gt;"&amp;AV1227)+SUMIFS($AS$7:$AS$1570,$BR$7:$BR$1570,BR1227,$AV$7:$AV$1570,AV1227,$BL$7:$BL$1570,"&lt;="&amp;BL1227),"")</f>
        <v/>
      </c>
      <c r="AX1227" s="65">
        <f>IF(AW1227="",0,MAX(0,MIN(1,(IF(BR1227="L1",Parameter!$K$5,Parameter!$K$6+Parameter!$K$7)-(AW1227-AS1227))/AS1227)))</f>
        <v/>
      </c>
      <c r="AY1227" s="53">
        <f>IF(AC1227&lt;=0,"",IF(BR1227="Aussen","Aussenlager",IF(BR1227="-","Nicht im Lift",IF(AH1227&gt;=1,"Lift",IF(AH1227&lt;=0,"Aussenlager","teilweise")))))</f>
        <v/>
      </c>
      <c r="AZ1227" s="53">
        <f>IF(AK1227&lt;=0,"",IF(BR1227="Aussen","Aussenlager",IF(BR1227="-","Nicht im Lift",IF(AP1227&gt;=1,"Lift",IF(AP1227&lt;=0,"Aussenlager","teilweise")))))</f>
        <v/>
      </c>
      <c r="BA1227" s="53">
        <f>IF(AS1227&lt;=0,"",IF(BR1227="Aussen","Aussenlager",IF(BR1227="-","Nicht im Lift",IF(AX1227&gt;=1,"Lift",IF(AX1227&lt;=0,"Aussenlager","teilweise")))))</f>
        <v/>
      </c>
      <c r="BB1227" s="53">
        <f>IF(A1227="","",IF(BK1227=1,"Neu; ","")&amp;IF(AND(BK1227=0,BF1227&lt;0),"negativer Bestand (Export "&amp;BF1227&amp;"); ","")&amp;IF(I1227&lt;=0,"Kein Verbrauch; ","")&amp;IF(BO1227=1,"Lose – Fläche geschätzt; ","")&amp;IF(G1227&gt;AM1227,"Überbestand "&amp;ROUND(G1227-AM1227,0)&amp;" Stk / CHF "&amp;ROUND((G1227-AM1227)*F1227,0)&amp;"; ","")&amp;IF(AND(BT1227=1,BU1227&lt;BV1227),"MAX &lt; MB+LG; ","")&amp;IF(AND(BZ1227&gt;0,BY1227*10&gt;BZ1227),"zu hoch für Tablar; ","")&amp;IF(AND(BK1227=0,OR(BT1227=1,V1227&lt;&gt;"",S1227&lt;&gt;"",T1227&lt;&gt;"",W1227&lt;&gt;"")),"manuell übersteuert; ","")&amp;IF(AND(BO1227=0,Q1227=0),"Gebinde unbekannt; ","")&amp;IF(AND(BO1227=0,N(T1227)&lt;=0,N(P1227)&lt;=0),"Menge pro Gebinde fehlt (Ist = 1 Gebinde); ","")&amp;BJ1227)</f>
        <v/>
      </c>
      <c r="BC1227" s="53" t="n"/>
      <c r="BD1227" s="53" t="n"/>
      <c r="BE1227" s="61" t="n"/>
      <c r="BF1227" s="55" t="n">
        <v>-2</v>
      </c>
      <c r="BG1227" s="55" t="n">
        <v>10</v>
      </c>
      <c r="BH1227" s="54" t="n">
        <v>-621.12</v>
      </c>
      <c r="BI1227" s="55" t="n">
        <v>1</v>
      </c>
      <c r="BJ1227" s="53" t="inlineStr"/>
      <c r="BK1227" s="58" t="n">
        <v>0</v>
      </c>
      <c r="BL1227" s="58" t="n">
        <v>1227</v>
      </c>
      <c r="BM1227" s="53">
        <f>IF(S1227&lt;&gt;"",UPPER(TRIM(S1227)),IF(O1227="","LOSE",O1227))</f>
        <v/>
      </c>
      <c r="BN1227" s="55">
        <f>IF(BM1227="LOSE",1,IF(N(T1227)&gt;0,T1227,IF(N(P1227)&gt;0,P1227,MAX(1,G1227))))</f>
        <v/>
      </c>
      <c r="BO1227" s="58">
        <f>IF(BM1227="LOSE",1,0)</f>
        <v/>
      </c>
      <c r="BP1227" s="64">
        <f>IF(BO1227=0,0,IF(N(R1227)&gt;0,R1227,IFERROR(VLOOKUP(D1227,Parameter!$A$35:$C$64,3,0)+0,0)))</f>
        <v/>
      </c>
      <c r="BQ1227" s="53">
        <f>IF(V1227&lt;&gt;"",V1227,U1227)</f>
        <v/>
      </c>
      <c r="BR1227" s="53">
        <f>IF(BQ1227=1,"L1",IF(OR(BQ1227=2,BQ1227=3),"L23",IF(BQ1227="Aussen","Aussen","-")))</f>
        <v/>
      </c>
      <c r="BS1227" s="66">
        <f>IF(N(W1227)&gt;0,W1227,0)</f>
        <v/>
      </c>
      <c r="BT1227" s="58">
        <f>IF(ISNUMBER(Z1227),1,0)</f>
        <v/>
      </c>
      <c r="BU1227" s="55">
        <f>N(Z1227)</f>
        <v/>
      </c>
      <c r="BV1227" s="55">
        <f>N(L1227)+N(M1227)</f>
        <v/>
      </c>
      <c r="BW1227" s="55">
        <f>ROUNDUP(G1227/BN1227,0)</f>
        <v/>
      </c>
      <c r="BX1227" s="55">
        <f>ROUNDUP(BU1227/BN1227,0)</f>
        <v/>
      </c>
      <c r="BY1227" s="58">
        <f>IF(BO1227=1,0,IFERROR(VLOOKUP(BM1227,'Gebinde-Kategorie'!$A$5:$G$45,5,0)+0,0))</f>
        <v/>
      </c>
      <c r="BZ1227" s="58">
        <f>IFERROR(IF(OR(BQ1227=1,BQ1227=2,BQ1227=3),N(INDEX(Parameter!$I$5:$I$7,BQ1227)),0),0)</f>
        <v/>
      </c>
    </row>
    <row r="1228">
      <c r="A1228" s="53" t="inlineStr">
        <is>
          <t>101159</t>
        </is>
      </c>
      <c r="B1228" s="53" t="inlineStr">
        <is>
          <t>Befestigungsring</t>
        </is>
      </c>
      <c r="C1228" s="53" t="inlineStr">
        <is>
          <t>F</t>
        </is>
      </c>
      <c r="D1228" s="53" t="inlineStr">
        <is>
          <t>KTL</t>
        </is>
      </c>
      <c r="E1228" s="53" t="inlineStr">
        <is>
          <t>C</t>
        </is>
      </c>
      <c r="F1228" s="54" t="n">
        <v>24</v>
      </c>
      <c r="G1228" s="55">
        <f>MAX(0,IF(Parameter!$B$20="Jahresanfang 2025 + Export",BG1228+BF1228,BF1228))</f>
        <v/>
      </c>
      <c r="H1228" s="55">
        <f>G1228*F1228</f>
        <v/>
      </c>
      <c r="I1228" s="55">
        <f>BI1228*Parameter!$B$18</f>
        <v/>
      </c>
      <c r="J1228" s="56" t="n">
        <v>32</v>
      </c>
      <c r="K1228" s="57" t="n">
        <v>1.34375</v>
      </c>
      <c r="L1228" s="55" t="n">
        <v>4</v>
      </c>
      <c r="M1228" s="55" t="n">
        <v>45</v>
      </c>
      <c r="N1228" s="58" t="n">
        <v>35</v>
      </c>
      <c r="O1228" s="53" t="inlineStr">
        <is>
          <t>S52</t>
        </is>
      </c>
      <c r="P1228" s="55" t="n">
        <v>40</v>
      </c>
      <c r="Q1228" s="59">
        <f>IF(BO1228=1,0,IFERROR(VLOOKUP(BM1228,'Gebinde-Kategorie'!$A$5:$G$45,6,0)+0,0))</f>
        <v/>
      </c>
      <c r="R1228" s="60" t="n"/>
      <c r="S1228" s="61" t="n"/>
      <c r="T1228" s="61" t="n"/>
      <c r="U1228" s="53">
        <f>IF(A1228="","",IF(IFERROR(VLOOKUP(D1228,Parameter!$A$35:$C$64,2,0),"Nein")="2+3",IF(ISNUMBER(SEARCH("grosser Artikel",BJ1228)),2,IFERROR(VLOOKUP(BM1228,Parameter!$F$35:$G$64,2,0),2)),IF(OR(IFERROR(VLOOKUP(D1228,Parameter!$A$35:$C$64,2,0),"Nein")="Nein",IFERROR(VLOOKUP(D1228,Parameter!$A$35:$C$64,2,0),"Nein")=""),"-",VLOOKUP(D1228,Parameter!$A$35:$C$64,2,0))))</f>
        <v/>
      </c>
      <c r="V1228" s="61" t="n"/>
      <c r="W1228" s="62" t="n"/>
      <c r="X1228" s="55">
        <f>AM1228</f>
        <v/>
      </c>
      <c r="Y1228" s="55">
        <f>MAX(AM1228,G1228)</f>
        <v/>
      </c>
      <c r="Z1228" s="63" t="n"/>
      <c r="AA1228" s="55">
        <f>IF(LEFT(Cockpit!$C$5,1)="A",G1228,IF(BT1228=1,BU1228,IF(LEFT(Cockpit!$C$5,1)="B",AE1228,MAX(AE1228,G1228))))</f>
        <v/>
      </c>
      <c r="AB1228" s="55">
        <f>IF(BO1228=1,0,ROUNDUP(AA1228/BN1228,0))</f>
        <v/>
      </c>
      <c r="AC1228" s="64">
        <f>IF(BO1228=1,IF(AA1228&lt;=0,0,BP1228*MAX(1,IF(G1228&gt;0,AA1228/G1228,1))),AB1228*Q1228)</f>
        <v/>
      </c>
      <c r="AD1228" s="55">
        <f>AA1228*F1228</f>
        <v/>
      </c>
      <c r="AE1228" s="55">
        <f>ROUNDUP(MAX(I1228/IF(BS1228&gt;0,BS1228,MAX(0.1,N(Cockpit!$C$6))),BV1228)/BN1228,0)*BN1228</f>
        <v/>
      </c>
      <c r="AF1228" s="56">
        <f>IF(AC1228&gt;0,I1228/AC1228,-1)</f>
        <v/>
      </c>
      <c r="AG1228" s="56">
        <f>IF(AND(OR(BR1228="L1",BR1228="L23"),AC1228&gt;0),SUMIFS($AC$7:$AC$1570,$BR$7:$BR$1570,BR1228,$AF$7:$AF$1570,"&gt;"&amp;AF1228)+SUMIFS($AC$7:$AC$1570,$BR$7:$BR$1570,BR1228,$AF$7:$AF$1570,AF1228,$BL$7:$BL$1570,"&lt;="&amp;BL1228),"")</f>
        <v/>
      </c>
      <c r="AH1228" s="65">
        <f>IF(AG1228="",0,MAX(0,MIN(1,(IF(BR1228="L1",Parameter!$K$5,Parameter!$K$6+Parameter!$K$7)-(AG1228-AC1228))/AC1228)))</f>
        <v/>
      </c>
      <c r="AI1228" s="55">
        <f>IF(LEFT(Cockpit!$I$5,1)="A",G1228,IF(BT1228=1,BU1228,IF(LEFT(Cockpit!$I$5,1)="B",AM1228,MAX(AM1228,G1228))))</f>
        <v/>
      </c>
      <c r="AJ1228" s="55">
        <f>IF(BO1228=1,0,ROUNDUP(AI1228/BN1228,0))</f>
        <v/>
      </c>
      <c r="AK1228" s="64">
        <f>IF(BO1228=1,IF(AI1228&lt;=0,0,BP1228*MAX(1,IF(G1228&gt;0,AI1228/G1228,1))),AJ1228*Q1228)</f>
        <v/>
      </c>
      <c r="AL1228" s="55">
        <f>AI1228*F1228</f>
        <v/>
      </c>
      <c r="AM1228" s="55">
        <f>ROUNDUP(MAX(I1228/IF(BS1228&gt;0,BS1228,MAX(0.1,N(Cockpit!$I$6))),BV1228)/BN1228,0)*BN1228</f>
        <v/>
      </c>
      <c r="AN1228" s="56">
        <f>IF(AK1228&gt;0,I1228/AK1228,-1)</f>
        <v/>
      </c>
      <c r="AO1228" s="56">
        <f>IF(AND(OR(BR1228="L1",BR1228="L23"),AK1228&gt;0),SUMIFS($AK$7:$AK$1570,$BR$7:$BR$1570,BR1228,$AN$7:$AN$1570,"&gt;"&amp;AN1228)+SUMIFS($AK$7:$AK$1570,$BR$7:$BR$1570,BR1228,$AN$7:$AN$1570,AN1228,$BL$7:$BL$1570,"&lt;="&amp;BL1228),"")</f>
        <v/>
      </c>
      <c r="AP1228" s="65">
        <f>IF(AO1228="",0,MAX(0,MIN(1,(IF(BR1228="L1",Parameter!$K$5,Parameter!$K$6+Parameter!$K$7)-(AO1228-AK1228))/AK1228)))</f>
        <v/>
      </c>
      <c r="AQ1228" s="55">
        <f>IF(LEFT(Cockpit!$O$5,1)="A",G1228,IF(BT1228=1,BU1228,IF(LEFT(Cockpit!$O$5,1)="B",AU1228,MAX(AU1228,G1228))))</f>
        <v/>
      </c>
      <c r="AR1228" s="55">
        <f>IF(BO1228=1,0,ROUNDUP(AQ1228/BN1228,0))</f>
        <v/>
      </c>
      <c r="AS1228" s="64">
        <f>IF(BO1228=1,IF(AQ1228&lt;=0,0,BP1228*MAX(1,IF(G1228&gt;0,AQ1228/G1228,1))),AR1228*Q1228)</f>
        <v/>
      </c>
      <c r="AT1228" s="55">
        <f>AQ1228*F1228</f>
        <v/>
      </c>
      <c r="AU1228" s="55">
        <f>ROUNDUP(MAX(I1228/IF(BS1228&gt;0,BS1228,MAX(0.1,N(Cockpit!$O$6))),BV1228)/BN1228,0)*BN1228</f>
        <v/>
      </c>
      <c r="AV1228" s="56">
        <f>IF(AS1228&gt;0,I1228/AS1228,-1)</f>
        <v/>
      </c>
      <c r="AW1228" s="56">
        <f>IF(AND(OR(BR1228="L1",BR1228="L23"),AS1228&gt;0),SUMIFS($AS$7:$AS$1570,$BR$7:$BR$1570,BR1228,$AV$7:$AV$1570,"&gt;"&amp;AV1228)+SUMIFS($AS$7:$AS$1570,$BR$7:$BR$1570,BR1228,$AV$7:$AV$1570,AV1228,$BL$7:$BL$1570,"&lt;="&amp;BL1228),"")</f>
        <v/>
      </c>
      <c r="AX1228" s="65">
        <f>IF(AW1228="",0,MAX(0,MIN(1,(IF(BR1228="L1",Parameter!$K$5,Parameter!$K$6+Parameter!$K$7)-(AW1228-AS1228))/AS1228)))</f>
        <v/>
      </c>
      <c r="AY1228" s="53">
        <f>IF(AC1228&lt;=0,"",IF(BR1228="Aussen","Aussenlager",IF(BR1228="-","Nicht im Lift",IF(AH1228&gt;=1,"Lift",IF(AH1228&lt;=0,"Aussenlager","teilweise")))))</f>
        <v/>
      </c>
      <c r="AZ1228" s="53">
        <f>IF(AK1228&lt;=0,"",IF(BR1228="Aussen","Aussenlager",IF(BR1228="-","Nicht im Lift",IF(AP1228&gt;=1,"Lift",IF(AP1228&lt;=0,"Aussenlager","teilweise")))))</f>
        <v/>
      </c>
      <c r="BA1228" s="53">
        <f>IF(AS1228&lt;=0,"",IF(BR1228="Aussen","Aussenlager",IF(BR1228="-","Nicht im Lift",IF(AX1228&gt;=1,"Lift",IF(AX1228&lt;=0,"Aussenlager","teilweise")))))</f>
        <v/>
      </c>
      <c r="BB1228" s="53">
        <f>IF(A1228="","",IF(BK1228=1,"Neu; ","")&amp;IF(AND(BK1228=0,BF1228&lt;0),"negativer Bestand (Export "&amp;BF1228&amp;"); ","")&amp;IF(I1228&lt;=0,"Kein Verbrauch; ","")&amp;IF(BO1228=1,"Lose – Fläche geschätzt; ","")&amp;IF(G1228&gt;AM1228,"Überbestand "&amp;ROUND(G1228-AM1228,0)&amp;" Stk / CHF "&amp;ROUND((G1228-AM1228)*F1228,0)&amp;"; ","")&amp;IF(AND(BT1228=1,BU1228&lt;BV1228),"MAX &lt; MB+LG; ","")&amp;IF(AND(BZ1228&gt;0,BY1228*10&gt;BZ1228),"zu hoch für Tablar; ","")&amp;IF(AND(BK1228=0,OR(BT1228=1,V1228&lt;&gt;"",S1228&lt;&gt;"",T1228&lt;&gt;"",W1228&lt;&gt;"")),"manuell übersteuert; ","")&amp;IF(AND(BO1228=0,Q1228=0),"Gebinde unbekannt; ","")&amp;IF(AND(BO1228=0,N(T1228)&lt;=0,N(P1228)&lt;=0),"Menge pro Gebinde fehlt (Ist = 1 Gebinde); ","")&amp;BJ1228)</f>
        <v/>
      </c>
      <c r="BC1228" s="53" t="n"/>
      <c r="BD1228" s="53" t="n"/>
      <c r="BE1228" s="61" t="n"/>
      <c r="BF1228" s="55" t="n">
        <v>-26</v>
      </c>
      <c r="BG1228" s="55" t="n">
        <v>54</v>
      </c>
      <c r="BH1228" s="54" t="n">
        <v>-623.4599999999998</v>
      </c>
      <c r="BI1228" s="55" t="n">
        <v>43</v>
      </c>
      <c r="BJ1228" s="53" t="inlineStr"/>
      <c r="BK1228" s="58" t="n">
        <v>0</v>
      </c>
      <c r="BL1228" s="58" t="n">
        <v>1228</v>
      </c>
      <c r="BM1228" s="53">
        <f>IF(S1228&lt;&gt;"",UPPER(TRIM(S1228)),IF(O1228="","LOSE",O1228))</f>
        <v/>
      </c>
      <c r="BN1228" s="55">
        <f>IF(BM1228="LOSE",1,IF(N(T1228)&gt;0,T1228,IF(N(P1228)&gt;0,P1228,MAX(1,G1228))))</f>
        <v/>
      </c>
      <c r="BO1228" s="58">
        <f>IF(BM1228="LOSE",1,0)</f>
        <v/>
      </c>
      <c r="BP1228" s="64">
        <f>IF(BO1228=0,0,IF(N(R1228)&gt;0,R1228,IFERROR(VLOOKUP(D1228,Parameter!$A$35:$C$64,3,0)+0,0)))</f>
        <v/>
      </c>
      <c r="BQ1228" s="53">
        <f>IF(V1228&lt;&gt;"",V1228,U1228)</f>
        <v/>
      </c>
      <c r="BR1228" s="53">
        <f>IF(BQ1228=1,"L1",IF(OR(BQ1228=2,BQ1228=3),"L23",IF(BQ1228="Aussen","Aussen","-")))</f>
        <v/>
      </c>
      <c r="BS1228" s="66">
        <f>IF(N(W1228)&gt;0,W1228,0)</f>
        <v/>
      </c>
      <c r="BT1228" s="58">
        <f>IF(ISNUMBER(Z1228),1,0)</f>
        <v/>
      </c>
      <c r="BU1228" s="55">
        <f>N(Z1228)</f>
        <v/>
      </c>
      <c r="BV1228" s="55">
        <f>N(L1228)+N(M1228)</f>
        <v/>
      </c>
      <c r="BW1228" s="55">
        <f>ROUNDUP(G1228/BN1228,0)</f>
        <v/>
      </c>
      <c r="BX1228" s="55">
        <f>ROUNDUP(BU1228/BN1228,0)</f>
        <v/>
      </c>
      <c r="BY1228" s="58">
        <f>IF(BO1228=1,0,IFERROR(VLOOKUP(BM1228,'Gebinde-Kategorie'!$A$5:$G$45,5,0)+0,0))</f>
        <v/>
      </c>
      <c r="BZ1228" s="58">
        <f>IFERROR(IF(OR(BQ1228=1,BQ1228=2,BQ1228=3),N(INDEX(Parameter!$I$5:$I$7,BQ1228)),0),0)</f>
        <v/>
      </c>
    </row>
    <row r="1229">
      <c r="A1229" s="53" t="inlineStr">
        <is>
          <t>108077</t>
        </is>
      </c>
      <c r="B1229" s="53" t="inlineStr">
        <is>
          <t>Innenbox SPGr10 SVC1 2/3</t>
        </is>
      </c>
      <c r="C1229" s="53" t="inlineStr">
        <is>
          <t>G</t>
        </is>
      </c>
      <c r="D1229" s="53" t="inlineStr">
        <is>
          <t>PAL</t>
        </is>
      </c>
      <c r="E1229" s="53" t="inlineStr">
        <is>
          <t>C</t>
        </is>
      </c>
      <c r="F1229" s="54" t="n">
        <v>160.38</v>
      </c>
      <c r="G1229" s="55">
        <f>MAX(0,IF(Parameter!$B$20="Jahresanfang 2025 + Export",BG1229+BF1229,BF1229))</f>
        <v/>
      </c>
      <c r="H1229" s="55">
        <f>G1229*F1229</f>
        <v/>
      </c>
      <c r="I1229" s="55">
        <f>BI1229*Parameter!$B$18</f>
        <v/>
      </c>
      <c r="J1229" s="56" t="n">
        <v>2</v>
      </c>
      <c r="K1229" s="57" t="n">
        <v>0</v>
      </c>
      <c r="L1229" s="55" t="n">
        <v>0</v>
      </c>
      <c r="M1229" s="55" t="n">
        <v>1</v>
      </c>
      <c r="N1229" s="58" t="n">
        <v>56</v>
      </c>
      <c r="O1229" s="53" t="inlineStr">
        <is>
          <t>LOSE</t>
        </is>
      </c>
      <c r="P1229" s="55" t="n"/>
      <c r="Q1229" s="59">
        <f>IF(BO1229=1,0,IFERROR(VLOOKUP(BM1229,'Gebinde-Kategorie'!$A$5:$G$45,6,0)+0,0))</f>
        <v/>
      </c>
      <c r="R1229" s="60" t="n"/>
      <c r="S1229" s="61" t="n"/>
      <c r="T1229" s="61" t="n"/>
      <c r="U1229" s="53">
        <f>IF(A1229="","",IF(IFERROR(VLOOKUP(D1229,Parameter!$A$35:$C$64,2,0),"Nein")="2+3",IF(ISNUMBER(SEARCH("grosser Artikel",BJ1229)),2,IFERROR(VLOOKUP(BM1229,Parameter!$F$35:$G$64,2,0),2)),IF(OR(IFERROR(VLOOKUP(D1229,Parameter!$A$35:$C$64,2,0),"Nein")="Nein",IFERROR(VLOOKUP(D1229,Parameter!$A$35:$C$64,2,0),"Nein")=""),"-",VLOOKUP(D1229,Parameter!$A$35:$C$64,2,0))))</f>
        <v/>
      </c>
      <c r="V1229" s="61" t="n"/>
      <c r="W1229" s="62" t="n"/>
      <c r="X1229" s="55">
        <f>AM1229</f>
        <v/>
      </c>
      <c r="Y1229" s="55">
        <f>MAX(AM1229,G1229)</f>
        <v/>
      </c>
      <c r="Z1229" s="63" t="n"/>
      <c r="AA1229" s="55">
        <f>IF(LEFT(Cockpit!$C$5,1)="A",G1229,IF(BT1229=1,BU1229,IF(LEFT(Cockpit!$C$5,1)="B",AE1229,MAX(AE1229,G1229))))</f>
        <v/>
      </c>
      <c r="AB1229" s="55">
        <f>IF(BO1229=1,0,ROUNDUP(AA1229/BN1229,0))</f>
        <v/>
      </c>
      <c r="AC1229" s="64">
        <f>IF(BO1229=1,IF(AA1229&lt;=0,0,BP1229*MAX(1,IF(G1229&gt;0,AA1229/G1229,1))),AB1229*Q1229)</f>
        <v/>
      </c>
      <c r="AD1229" s="55">
        <f>AA1229*F1229</f>
        <v/>
      </c>
      <c r="AE1229" s="55">
        <f>ROUNDUP(MAX(I1229/IF(BS1229&gt;0,BS1229,MAX(0.1,N(Cockpit!$C$6))),BV1229)/BN1229,0)*BN1229</f>
        <v/>
      </c>
      <c r="AF1229" s="56">
        <f>IF(AC1229&gt;0,I1229/AC1229,-1)</f>
        <v/>
      </c>
      <c r="AG1229" s="56">
        <f>IF(AND(OR(BR1229="L1",BR1229="L23"),AC1229&gt;0),SUMIFS($AC$7:$AC$1570,$BR$7:$BR$1570,BR1229,$AF$7:$AF$1570,"&gt;"&amp;AF1229)+SUMIFS($AC$7:$AC$1570,$BR$7:$BR$1570,BR1229,$AF$7:$AF$1570,AF1229,$BL$7:$BL$1570,"&lt;="&amp;BL1229),"")</f>
        <v/>
      </c>
      <c r="AH1229" s="65">
        <f>IF(AG1229="",0,MAX(0,MIN(1,(IF(BR1229="L1",Parameter!$K$5,Parameter!$K$6+Parameter!$K$7)-(AG1229-AC1229))/AC1229)))</f>
        <v/>
      </c>
      <c r="AI1229" s="55">
        <f>IF(LEFT(Cockpit!$I$5,1)="A",G1229,IF(BT1229=1,BU1229,IF(LEFT(Cockpit!$I$5,1)="B",AM1229,MAX(AM1229,G1229))))</f>
        <v/>
      </c>
      <c r="AJ1229" s="55">
        <f>IF(BO1229=1,0,ROUNDUP(AI1229/BN1229,0))</f>
        <v/>
      </c>
      <c r="AK1229" s="64">
        <f>IF(BO1229=1,IF(AI1229&lt;=0,0,BP1229*MAX(1,IF(G1229&gt;0,AI1229/G1229,1))),AJ1229*Q1229)</f>
        <v/>
      </c>
      <c r="AL1229" s="55">
        <f>AI1229*F1229</f>
        <v/>
      </c>
      <c r="AM1229" s="55">
        <f>ROUNDUP(MAX(I1229/IF(BS1229&gt;0,BS1229,MAX(0.1,N(Cockpit!$I$6))),BV1229)/BN1229,0)*BN1229</f>
        <v/>
      </c>
      <c r="AN1229" s="56">
        <f>IF(AK1229&gt;0,I1229/AK1229,-1)</f>
        <v/>
      </c>
      <c r="AO1229" s="56">
        <f>IF(AND(OR(BR1229="L1",BR1229="L23"),AK1229&gt;0),SUMIFS($AK$7:$AK$1570,$BR$7:$BR$1570,BR1229,$AN$7:$AN$1570,"&gt;"&amp;AN1229)+SUMIFS($AK$7:$AK$1570,$BR$7:$BR$1570,BR1229,$AN$7:$AN$1570,AN1229,$BL$7:$BL$1570,"&lt;="&amp;BL1229),"")</f>
        <v/>
      </c>
      <c r="AP1229" s="65">
        <f>IF(AO1229="",0,MAX(0,MIN(1,(IF(BR1229="L1",Parameter!$K$5,Parameter!$K$6+Parameter!$K$7)-(AO1229-AK1229))/AK1229)))</f>
        <v/>
      </c>
      <c r="AQ1229" s="55">
        <f>IF(LEFT(Cockpit!$O$5,1)="A",G1229,IF(BT1229=1,BU1229,IF(LEFT(Cockpit!$O$5,1)="B",AU1229,MAX(AU1229,G1229))))</f>
        <v/>
      </c>
      <c r="AR1229" s="55">
        <f>IF(BO1229=1,0,ROUNDUP(AQ1229/BN1229,0))</f>
        <v/>
      </c>
      <c r="AS1229" s="64">
        <f>IF(BO1229=1,IF(AQ1229&lt;=0,0,BP1229*MAX(1,IF(G1229&gt;0,AQ1229/G1229,1))),AR1229*Q1229)</f>
        <v/>
      </c>
      <c r="AT1229" s="55">
        <f>AQ1229*F1229</f>
        <v/>
      </c>
      <c r="AU1229" s="55">
        <f>ROUNDUP(MAX(I1229/IF(BS1229&gt;0,BS1229,MAX(0.1,N(Cockpit!$O$6))),BV1229)/BN1229,0)*BN1229</f>
        <v/>
      </c>
      <c r="AV1229" s="56">
        <f>IF(AS1229&gt;0,I1229/AS1229,-1)</f>
        <v/>
      </c>
      <c r="AW1229" s="56">
        <f>IF(AND(OR(BR1229="L1",BR1229="L23"),AS1229&gt;0),SUMIFS($AS$7:$AS$1570,$BR$7:$BR$1570,BR1229,$AV$7:$AV$1570,"&gt;"&amp;AV1229)+SUMIFS($AS$7:$AS$1570,$BR$7:$BR$1570,BR1229,$AV$7:$AV$1570,AV1229,$BL$7:$BL$1570,"&lt;="&amp;BL1229),"")</f>
        <v/>
      </c>
      <c r="AX1229" s="65">
        <f>IF(AW1229="",0,MAX(0,MIN(1,(IF(BR1229="L1",Parameter!$K$5,Parameter!$K$6+Parameter!$K$7)-(AW1229-AS1229))/AS1229)))</f>
        <v/>
      </c>
      <c r="AY1229" s="53">
        <f>IF(AC1229&lt;=0,"",IF(BR1229="Aussen","Aussenlager",IF(BR1229="-","Nicht im Lift",IF(AH1229&gt;=1,"Lift",IF(AH1229&lt;=0,"Aussenlager","teilweise")))))</f>
        <v/>
      </c>
      <c r="AZ1229" s="53">
        <f>IF(AK1229&lt;=0,"",IF(BR1229="Aussen","Aussenlager",IF(BR1229="-","Nicht im Lift",IF(AP1229&gt;=1,"Lift",IF(AP1229&lt;=0,"Aussenlager","teilweise")))))</f>
        <v/>
      </c>
      <c r="BA1229" s="53">
        <f>IF(AS1229&lt;=0,"",IF(BR1229="Aussen","Aussenlager",IF(BR1229="-","Nicht im Lift",IF(AX1229&gt;=1,"Lift",IF(AX1229&lt;=0,"Aussenlager","teilweise")))))</f>
        <v/>
      </c>
      <c r="BB1229" s="53">
        <f>IF(A1229="","",IF(BK1229=1,"Neu; ","")&amp;IF(AND(BK1229=0,BF1229&lt;0),"negativer Bestand (Export "&amp;BF1229&amp;"); ","")&amp;IF(I1229&lt;=0,"Kein Verbrauch; ","")&amp;IF(BO1229=1,"Lose – Fläche geschätzt; ","")&amp;IF(G1229&gt;AM1229,"Überbestand "&amp;ROUND(G1229-AM1229,0)&amp;" Stk / CHF "&amp;ROUND((G1229-AM1229)*F1229,0)&amp;"; ","")&amp;IF(AND(BT1229=1,BU1229&lt;BV1229),"MAX &lt; MB+LG; ","")&amp;IF(AND(BZ1229&gt;0,BY1229*10&gt;BZ1229),"zu hoch für Tablar; ","")&amp;IF(AND(BK1229=0,OR(BT1229=1,V1229&lt;&gt;"",S1229&lt;&gt;"",T1229&lt;&gt;"",W1229&lt;&gt;"")),"manuell übersteuert; ","")&amp;IF(AND(BO1229=0,Q1229=0),"Gebinde unbekannt; ","")&amp;IF(AND(BO1229=0,N(T1229)&lt;=0,N(P1229)&lt;=0),"Menge pro Gebinde fehlt (Ist = 1 Gebinde); ","")&amp;BJ1229)</f>
        <v/>
      </c>
      <c r="BC1229" s="53" t="n"/>
      <c r="BD1229" s="53" t="n"/>
      <c r="BE1229" s="61" t="n"/>
      <c r="BF1229" s="55" t="n">
        <v>-4</v>
      </c>
      <c r="BG1229" s="55" t="n">
        <v>4</v>
      </c>
      <c r="BH1229" s="54" t="n">
        <v>-641.52</v>
      </c>
      <c r="BI1229" s="55" t="n">
        <v>0</v>
      </c>
      <c r="BJ1229" s="53" t="inlineStr"/>
      <c r="BK1229" s="58" t="n">
        <v>0</v>
      </c>
      <c r="BL1229" s="58" t="n">
        <v>1229</v>
      </c>
      <c r="BM1229" s="53">
        <f>IF(S1229&lt;&gt;"",UPPER(TRIM(S1229)),IF(O1229="","LOSE",O1229))</f>
        <v/>
      </c>
      <c r="BN1229" s="55">
        <f>IF(BM1229="LOSE",1,IF(N(T1229)&gt;0,T1229,IF(N(P1229)&gt;0,P1229,MAX(1,G1229))))</f>
        <v/>
      </c>
      <c r="BO1229" s="58">
        <f>IF(BM1229="LOSE",1,0)</f>
        <v/>
      </c>
      <c r="BP1229" s="64">
        <f>IF(BO1229=0,0,IF(N(R1229)&gt;0,R1229,IFERROR(VLOOKUP(D1229,Parameter!$A$35:$C$64,3,0)+0,0)))</f>
        <v/>
      </c>
      <c r="BQ1229" s="53">
        <f>IF(V1229&lt;&gt;"",V1229,U1229)</f>
        <v/>
      </c>
      <c r="BR1229" s="53">
        <f>IF(BQ1229=1,"L1",IF(OR(BQ1229=2,BQ1229=3),"L23",IF(BQ1229="Aussen","Aussen","-")))</f>
        <v/>
      </c>
      <c r="BS1229" s="66">
        <f>IF(N(W1229)&gt;0,W1229,0)</f>
        <v/>
      </c>
      <c r="BT1229" s="58">
        <f>IF(ISNUMBER(Z1229),1,0)</f>
        <v/>
      </c>
      <c r="BU1229" s="55">
        <f>N(Z1229)</f>
        <v/>
      </c>
      <c r="BV1229" s="55">
        <f>N(L1229)+N(M1229)</f>
        <v/>
      </c>
      <c r="BW1229" s="55">
        <f>ROUNDUP(G1229/BN1229,0)</f>
        <v/>
      </c>
      <c r="BX1229" s="55">
        <f>ROUNDUP(BU1229/BN1229,0)</f>
        <v/>
      </c>
      <c r="BY1229" s="58">
        <f>IF(BO1229=1,0,IFERROR(VLOOKUP(BM1229,'Gebinde-Kategorie'!$A$5:$G$45,5,0)+0,0))</f>
        <v/>
      </c>
      <c r="BZ1229" s="58">
        <f>IFERROR(IF(OR(BQ1229=1,BQ1229=2,BQ1229=3),N(INDEX(Parameter!$I$5:$I$7,BQ1229)),0),0)</f>
        <v/>
      </c>
    </row>
    <row r="1230">
      <c r="A1230" s="53" t="inlineStr">
        <is>
          <t>108076</t>
        </is>
      </c>
      <c r="B1230" s="53" t="inlineStr">
        <is>
          <t>Innenbox SPGr10 SVC1 1/3</t>
        </is>
      </c>
      <c r="C1230" s="53" t="inlineStr">
        <is>
          <t>G</t>
        </is>
      </c>
      <c r="D1230" s="53" t="inlineStr">
        <is>
          <t>PAL</t>
        </is>
      </c>
      <c r="E1230" s="53" t="inlineStr">
        <is>
          <t>C</t>
        </is>
      </c>
      <c r="F1230" s="54" t="n">
        <v>160.8</v>
      </c>
      <c r="G1230" s="55">
        <f>MAX(0,IF(Parameter!$B$20="Jahresanfang 2025 + Export",BG1230+BF1230,BF1230))</f>
        <v/>
      </c>
      <c r="H1230" s="55">
        <f>G1230*F1230</f>
        <v/>
      </c>
      <c r="I1230" s="55">
        <f>BI1230*Parameter!$B$18</f>
        <v/>
      </c>
      <c r="J1230" s="56" t="n">
        <v>2</v>
      </c>
      <c r="K1230" s="57" t="n">
        <v>0</v>
      </c>
      <c r="L1230" s="55" t="n">
        <v>0</v>
      </c>
      <c r="M1230" s="55" t="n">
        <v>1</v>
      </c>
      <c r="N1230" s="58" t="n">
        <v>56</v>
      </c>
      <c r="O1230" s="53" t="inlineStr">
        <is>
          <t>LOSE</t>
        </is>
      </c>
      <c r="P1230" s="55" t="n"/>
      <c r="Q1230" s="59">
        <f>IF(BO1230=1,0,IFERROR(VLOOKUP(BM1230,'Gebinde-Kategorie'!$A$5:$G$45,6,0)+0,0))</f>
        <v/>
      </c>
      <c r="R1230" s="60" t="n"/>
      <c r="S1230" s="61" t="n"/>
      <c r="T1230" s="61" t="n"/>
      <c r="U1230" s="53">
        <f>IF(A1230="","",IF(IFERROR(VLOOKUP(D1230,Parameter!$A$35:$C$64,2,0),"Nein")="2+3",IF(ISNUMBER(SEARCH("grosser Artikel",BJ1230)),2,IFERROR(VLOOKUP(BM1230,Parameter!$F$35:$G$64,2,0),2)),IF(OR(IFERROR(VLOOKUP(D1230,Parameter!$A$35:$C$64,2,0),"Nein")="Nein",IFERROR(VLOOKUP(D1230,Parameter!$A$35:$C$64,2,0),"Nein")=""),"-",VLOOKUP(D1230,Parameter!$A$35:$C$64,2,0))))</f>
        <v/>
      </c>
      <c r="V1230" s="61" t="n"/>
      <c r="W1230" s="62" t="n"/>
      <c r="X1230" s="55">
        <f>AM1230</f>
        <v/>
      </c>
      <c r="Y1230" s="55">
        <f>MAX(AM1230,G1230)</f>
        <v/>
      </c>
      <c r="Z1230" s="63" t="n"/>
      <c r="AA1230" s="55">
        <f>IF(LEFT(Cockpit!$C$5,1)="A",G1230,IF(BT1230=1,BU1230,IF(LEFT(Cockpit!$C$5,1)="B",AE1230,MAX(AE1230,G1230))))</f>
        <v/>
      </c>
      <c r="AB1230" s="55">
        <f>IF(BO1230=1,0,ROUNDUP(AA1230/BN1230,0))</f>
        <v/>
      </c>
      <c r="AC1230" s="64">
        <f>IF(BO1230=1,IF(AA1230&lt;=0,0,BP1230*MAX(1,IF(G1230&gt;0,AA1230/G1230,1))),AB1230*Q1230)</f>
        <v/>
      </c>
      <c r="AD1230" s="55">
        <f>AA1230*F1230</f>
        <v/>
      </c>
      <c r="AE1230" s="55">
        <f>ROUNDUP(MAX(I1230/IF(BS1230&gt;0,BS1230,MAX(0.1,N(Cockpit!$C$6))),BV1230)/BN1230,0)*BN1230</f>
        <v/>
      </c>
      <c r="AF1230" s="56">
        <f>IF(AC1230&gt;0,I1230/AC1230,-1)</f>
        <v/>
      </c>
      <c r="AG1230" s="56">
        <f>IF(AND(OR(BR1230="L1",BR1230="L23"),AC1230&gt;0),SUMIFS($AC$7:$AC$1570,$BR$7:$BR$1570,BR1230,$AF$7:$AF$1570,"&gt;"&amp;AF1230)+SUMIFS($AC$7:$AC$1570,$BR$7:$BR$1570,BR1230,$AF$7:$AF$1570,AF1230,$BL$7:$BL$1570,"&lt;="&amp;BL1230),"")</f>
        <v/>
      </c>
      <c r="AH1230" s="65">
        <f>IF(AG1230="",0,MAX(0,MIN(1,(IF(BR1230="L1",Parameter!$K$5,Parameter!$K$6+Parameter!$K$7)-(AG1230-AC1230))/AC1230)))</f>
        <v/>
      </c>
      <c r="AI1230" s="55">
        <f>IF(LEFT(Cockpit!$I$5,1)="A",G1230,IF(BT1230=1,BU1230,IF(LEFT(Cockpit!$I$5,1)="B",AM1230,MAX(AM1230,G1230))))</f>
        <v/>
      </c>
      <c r="AJ1230" s="55">
        <f>IF(BO1230=1,0,ROUNDUP(AI1230/BN1230,0))</f>
        <v/>
      </c>
      <c r="AK1230" s="64">
        <f>IF(BO1230=1,IF(AI1230&lt;=0,0,BP1230*MAX(1,IF(G1230&gt;0,AI1230/G1230,1))),AJ1230*Q1230)</f>
        <v/>
      </c>
      <c r="AL1230" s="55">
        <f>AI1230*F1230</f>
        <v/>
      </c>
      <c r="AM1230" s="55">
        <f>ROUNDUP(MAX(I1230/IF(BS1230&gt;0,BS1230,MAX(0.1,N(Cockpit!$I$6))),BV1230)/BN1230,0)*BN1230</f>
        <v/>
      </c>
      <c r="AN1230" s="56">
        <f>IF(AK1230&gt;0,I1230/AK1230,-1)</f>
        <v/>
      </c>
      <c r="AO1230" s="56">
        <f>IF(AND(OR(BR1230="L1",BR1230="L23"),AK1230&gt;0),SUMIFS($AK$7:$AK$1570,$BR$7:$BR$1570,BR1230,$AN$7:$AN$1570,"&gt;"&amp;AN1230)+SUMIFS($AK$7:$AK$1570,$BR$7:$BR$1570,BR1230,$AN$7:$AN$1570,AN1230,$BL$7:$BL$1570,"&lt;="&amp;BL1230),"")</f>
        <v/>
      </c>
      <c r="AP1230" s="65">
        <f>IF(AO1230="",0,MAX(0,MIN(1,(IF(BR1230="L1",Parameter!$K$5,Parameter!$K$6+Parameter!$K$7)-(AO1230-AK1230))/AK1230)))</f>
        <v/>
      </c>
      <c r="AQ1230" s="55">
        <f>IF(LEFT(Cockpit!$O$5,1)="A",G1230,IF(BT1230=1,BU1230,IF(LEFT(Cockpit!$O$5,1)="B",AU1230,MAX(AU1230,G1230))))</f>
        <v/>
      </c>
      <c r="AR1230" s="55">
        <f>IF(BO1230=1,0,ROUNDUP(AQ1230/BN1230,0))</f>
        <v/>
      </c>
      <c r="AS1230" s="64">
        <f>IF(BO1230=1,IF(AQ1230&lt;=0,0,BP1230*MAX(1,IF(G1230&gt;0,AQ1230/G1230,1))),AR1230*Q1230)</f>
        <v/>
      </c>
      <c r="AT1230" s="55">
        <f>AQ1230*F1230</f>
        <v/>
      </c>
      <c r="AU1230" s="55">
        <f>ROUNDUP(MAX(I1230/IF(BS1230&gt;0,BS1230,MAX(0.1,N(Cockpit!$O$6))),BV1230)/BN1230,0)*BN1230</f>
        <v/>
      </c>
      <c r="AV1230" s="56">
        <f>IF(AS1230&gt;0,I1230/AS1230,-1)</f>
        <v/>
      </c>
      <c r="AW1230" s="56">
        <f>IF(AND(OR(BR1230="L1",BR1230="L23"),AS1230&gt;0),SUMIFS($AS$7:$AS$1570,$BR$7:$BR$1570,BR1230,$AV$7:$AV$1570,"&gt;"&amp;AV1230)+SUMIFS($AS$7:$AS$1570,$BR$7:$BR$1570,BR1230,$AV$7:$AV$1570,AV1230,$BL$7:$BL$1570,"&lt;="&amp;BL1230),"")</f>
        <v/>
      </c>
      <c r="AX1230" s="65">
        <f>IF(AW1230="",0,MAX(0,MIN(1,(IF(BR1230="L1",Parameter!$K$5,Parameter!$K$6+Parameter!$K$7)-(AW1230-AS1230))/AS1230)))</f>
        <v/>
      </c>
      <c r="AY1230" s="53">
        <f>IF(AC1230&lt;=0,"",IF(BR1230="Aussen","Aussenlager",IF(BR1230="-","Nicht im Lift",IF(AH1230&gt;=1,"Lift",IF(AH1230&lt;=0,"Aussenlager","teilweise")))))</f>
        <v/>
      </c>
      <c r="AZ1230" s="53">
        <f>IF(AK1230&lt;=0,"",IF(BR1230="Aussen","Aussenlager",IF(BR1230="-","Nicht im Lift",IF(AP1230&gt;=1,"Lift",IF(AP1230&lt;=0,"Aussenlager","teilweise")))))</f>
        <v/>
      </c>
      <c r="BA1230" s="53">
        <f>IF(AS1230&lt;=0,"",IF(BR1230="Aussen","Aussenlager",IF(BR1230="-","Nicht im Lift",IF(AX1230&gt;=1,"Lift",IF(AX1230&lt;=0,"Aussenlager","teilweise")))))</f>
        <v/>
      </c>
      <c r="BB1230" s="53">
        <f>IF(A1230="","",IF(BK1230=1,"Neu; ","")&amp;IF(AND(BK1230=0,BF1230&lt;0),"negativer Bestand (Export "&amp;BF1230&amp;"); ","")&amp;IF(I1230&lt;=0,"Kein Verbrauch; ","")&amp;IF(BO1230=1,"Lose – Fläche geschätzt; ","")&amp;IF(G1230&gt;AM1230,"Überbestand "&amp;ROUND(G1230-AM1230,0)&amp;" Stk / CHF "&amp;ROUND((G1230-AM1230)*F1230,0)&amp;"; ","")&amp;IF(AND(BT1230=1,BU1230&lt;BV1230),"MAX &lt; MB+LG; ","")&amp;IF(AND(BZ1230&gt;0,BY1230*10&gt;BZ1230),"zu hoch für Tablar; ","")&amp;IF(AND(BK1230=0,OR(BT1230=1,V1230&lt;&gt;"",S1230&lt;&gt;"",T1230&lt;&gt;"",W1230&lt;&gt;"")),"manuell übersteuert; ","")&amp;IF(AND(BO1230=0,Q1230=0),"Gebinde unbekannt; ","")&amp;IF(AND(BO1230=0,N(T1230)&lt;=0,N(P1230)&lt;=0),"Menge pro Gebinde fehlt (Ist = 1 Gebinde); ","")&amp;BJ1230)</f>
        <v/>
      </c>
      <c r="BC1230" s="53" t="n"/>
      <c r="BD1230" s="53" t="n"/>
      <c r="BE1230" s="61" t="n"/>
      <c r="BF1230" s="55" t="n">
        <v>-4</v>
      </c>
      <c r="BG1230" s="55" t="n">
        <v>4</v>
      </c>
      <c r="BH1230" s="54" t="n">
        <v>-643.2</v>
      </c>
      <c r="BI1230" s="55" t="n">
        <v>0</v>
      </c>
      <c r="BJ1230" s="53" t="inlineStr"/>
      <c r="BK1230" s="58" t="n">
        <v>0</v>
      </c>
      <c r="BL1230" s="58" t="n">
        <v>1230</v>
      </c>
      <c r="BM1230" s="53">
        <f>IF(S1230&lt;&gt;"",UPPER(TRIM(S1230)),IF(O1230="","LOSE",O1230))</f>
        <v/>
      </c>
      <c r="BN1230" s="55">
        <f>IF(BM1230="LOSE",1,IF(N(T1230)&gt;0,T1230,IF(N(P1230)&gt;0,P1230,MAX(1,G1230))))</f>
        <v/>
      </c>
      <c r="BO1230" s="58">
        <f>IF(BM1230="LOSE",1,0)</f>
        <v/>
      </c>
      <c r="BP1230" s="64">
        <f>IF(BO1230=0,0,IF(N(R1230)&gt;0,R1230,IFERROR(VLOOKUP(D1230,Parameter!$A$35:$C$64,3,0)+0,0)))</f>
        <v/>
      </c>
      <c r="BQ1230" s="53">
        <f>IF(V1230&lt;&gt;"",V1230,U1230)</f>
        <v/>
      </c>
      <c r="BR1230" s="53">
        <f>IF(BQ1230=1,"L1",IF(OR(BQ1230=2,BQ1230=3),"L23",IF(BQ1230="Aussen","Aussen","-")))</f>
        <v/>
      </c>
      <c r="BS1230" s="66">
        <f>IF(N(W1230)&gt;0,W1230,0)</f>
        <v/>
      </c>
      <c r="BT1230" s="58">
        <f>IF(ISNUMBER(Z1230),1,0)</f>
        <v/>
      </c>
      <c r="BU1230" s="55">
        <f>N(Z1230)</f>
        <v/>
      </c>
      <c r="BV1230" s="55">
        <f>N(L1230)+N(M1230)</f>
        <v/>
      </c>
      <c r="BW1230" s="55">
        <f>ROUNDUP(G1230/BN1230,0)</f>
        <v/>
      </c>
      <c r="BX1230" s="55">
        <f>ROUNDUP(BU1230/BN1230,0)</f>
        <v/>
      </c>
      <c r="BY1230" s="58">
        <f>IF(BO1230=1,0,IFERROR(VLOOKUP(BM1230,'Gebinde-Kategorie'!$A$5:$G$45,5,0)+0,0))</f>
        <v/>
      </c>
      <c r="BZ1230" s="58">
        <f>IFERROR(IF(OR(BQ1230=1,BQ1230=2,BQ1230=3),N(INDEX(Parameter!$I$5:$I$7,BQ1230)),0),0)</f>
        <v/>
      </c>
    </row>
    <row r="1231">
      <c r="A1231" s="53" t="inlineStr">
        <is>
          <t>106973</t>
        </is>
      </c>
      <c r="B1231" s="53" t="inlineStr">
        <is>
          <t>Steuerschalter</t>
        </is>
      </c>
      <c r="C1231" s="53" t="inlineStr">
        <is>
          <t>F</t>
        </is>
      </c>
      <c r="D1231" s="53" t="inlineStr">
        <is>
          <t>KTL</t>
        </is>
      </c>
      <c r="E1231" s="53" t="inlineStr">
        <is>
          <t>C</t>
        </is>
      </c>
      <c r="F1231" s="54" t="n">
        <v>36.02</v>
      </c>
      <c r="G1231" s="55">
        <f>MAX(0,IF(Parameter!$B$20="Jahresanfang 2025 + Export",BG1231+BF1231,BF1231))</f>
        <v/>
      </c>
      <c r="H1231" s="55">
        <f>G1231*F1231</f>
        <v/>
      </c>
      <c r="I1231" s="55">
        <f>BI1231*Parameter!$B$18</f>
        <v/>
      </c>
      <c r="J1231" s="56" t="n">
        <v>54.5</v>
      </c>
      <c r="K1231" s="57" t="n">
        <v>0.03669724770642202</v>
      </c>
      <c r="L1231" s="55" t="n">
        <v>0</v>
      </c>
      <c r="M1231" s="55" t="n">
        <v>1</v>
      </c>
      <c r="N1231" s="58" t="n">
        <v>56</v>
      </c>
      <c r="O1231" s="53" t="inlineStr">
        <is>
          <t>S52</t>
        </is>
      </c>
      <c r="P1231" s="55" t="n">
        <v>13</v>
      </c>
      <c r="Q1231" s="59">
        <f>IF(BO1231=1,0,IFERROR(VLOOKUP(BM1231,'Gebinde-Kategorie'!$A$5:$G$45,6,0)+0,0))</f>
        <v/>
      </c>
      <c r="R1231" s="60" t="n"/>
      <c r="S1231" s="61" t="n"/>
      <c r="T1231" s="61" t="n"/>
      <c r="U1231" s="53">
        <f>IF(A1231="","",IF(IFERROR(VLOOKUP(D1231,Parameter!$A$35:$C$64,2,0),"Nein")="2+3",IF(ISNUMBER(SEARCH("grosser Artikel",BJ1231)),2,IFERROR(VLOOKUP(BM1231,Parameter!$F$35:$G$64,2,0),2)),IF(OR(IFERROR(VLOOKUP(D1231,Parameter!$A$35:$C$64,2,0),"Nein")="Nein",IFERROR(VLOOKUP(D1231,Parameter!$A$35:$C$64,2,0),"Nein")=""),"-",VLOOKUP(D1231,Parameter!$A$35:$C$64,2,0))))</f>
        <v/>
      </c>
      <c r="V1231" s="61" t="n"/>
      <c r="W1231" s="62" t="n"/>
      <c r="X1231" s="55">
        <f>AM1231</f>
        <v/>
      </c>
      <c r="Y1231" s="55">
        <f>MAX(AM1231,G1231)</f>
        <v/>
      </c>
      <c r="Z1231" s="63" t="n"/>
      <c r="AA1231" s="55">
        <f>IF(LEFT(Cockpit!$C$5,1)="A",G1231,IF(BT1231=1,BU1231,IF(LEFT(Cockpit!$C$5,1)="B",AE1231,MAX(AE1231,G1231))))</f>
        <v/>
      </c>
      <c r="AB1231" s="55">
        <f>IF(BO1231=1,0,ROUNDUP(AA1231/BN1231,0))</f>
        <v/>
      </c>
      <c r="AC1231" s="64">
        <f>IF(BO1231=1,IF(AA1231&lt;=0,0,BP1231*MAX(1,IF(G1231&gt;0,AA1231/G1231,1))),AB1231*Q1231)</f>
        <v/>
      </c>
      <c r="AD1231" s="55">
        <f>AA1231*F1231</f>
        <v/>
      </c>
      <c r="AE1231" s="55">
        <f>ROUNDUP(MAX(I1231/IF(BS1231&gt;0,BS1231,MAX(0.1,N(Cockpit!$C$6))),BV1231)/BN1231,0)*BN1231</f>
        <v/>
      </c>
      <c r="AF1231" s="56">
        <f>IF(AC1231&gt;0,I1231/AC1231,-1)</f>
        <v/>
      </c>
      <c r="AG1231" s="56">
        <f>IF(AND(OR(BR1231="L1",BR1231="L23"),AC1231&gt;0),SUMIFS($AC$7:$AC$1570,$BR$7:$BR$1570,BR1231,$AF$7:$AF$1570,"&gt;"&amp;AF1231)+SUMIFS($AC$7:$AC$1570,$BR$7:$BR$1570,BR1231,$AF$7:$AF$1570,AF1231,$BL$7:$BL$1570,"&lt;="&amp;BL1231),"")</f>
        <v/>
      </c>
      <c r="AH1231" s="65">
        <f>IF(AG1231="",0,MAX(0,MIN(1,(IF(BR1231="L1",Parameter!$K$5,Parameter!$K$6+Parameter!$K$7)-(AG1231-AC1231))/AC1231)))</f>
        <v/>
      </c>
      <c r="AI1231" s="55">
        <f>IF(LEFT(Cockpit!$I$5,1)="A",G1231,IF(BT1231=1,BU1231,IF(LEFT(Cockpit!$I$5,1)="B",AM1231,MAX(AM1231,G1231))))</f>
        <v/>
      </c>
      <c r="AJ1231" s="55">
        <f>IF(BO1231=1,0,ROUNDUP(AI1231/BN1231,0))</f>
        <v/>
      </c>
      <c r="AK1231" s="64">
        <f>IF(BO1231=1,IF(AI1231&lt;=0,0,BP1231*MAX(1,IF(G1231&gt;0,AI1231/G1231,1))),AJ1231*Q1231)</f>
        <v/>
      </c>
      <c r="AL1231" s="55">
        <f>AI1231*F1231</f>
        <v/>
      </c>
      <c r="AM1231" s="55">
        <f>ROUNDUP(MAX(I1231/IF(BS1231&gt;0,BS1231,MAX(0.1,N(Cockpit!$I$6))),BV1231)/BN1231,0)*BN1231</f>
        <v/>
      </c>
      <c r="AN1231" s="56">
        <f>IF(AK1231&gt;0,I1231/AK1231,-1)</f>
        <v/>
      </c>
      <c r="AO1231" s="56">
        <f>IF(AND(OR(BR1231="L1",BR1231="L23"),AK1231&gt;0),SUMIFS($AK$7:$AK$1570,$BR$7:$BR$1570,BR1231,$AN$7:$AN$1570,"&gt;"&amp;AN1231)+SUMIFS($AK$7:$AK$1570,$BR$7:$BR$1570,BR1231,$AN$7:$AN$1570,AN1231,$BL$7:$BL$1570,"&lt;="&amp;BL1231),"")</f>
        <v/>
      </c>
      <c r="AP1231" s="65">
        <f>IF(AO1231="",0,MAX(0,MIN(1,(IF(BR1231="L1",Parameter!$K$5,Parameter!$K$6+Parameter!$K$7)-(AO1231-AK1231))/AK1231)))</f>
        <v/>
      </c>
      <c r="AQ1231" s="55">
        <f>IF(LEFT(Cockpit!$O$5,1)="A",G1231,IF(BT1231=1,BU1231,IF(LEFT(Cockpit!$O$5,1)="B",AU1231,MAX(AU1231,G1231))))</f>
        <v/>
      </c>
      <c r="AR1231" s="55">
        <f>IF(BO1231=1,0,ROUNDUP(AQ1231/BN1231,0))</f>
        <v/>
      </c>
      <c r="AS1231" s="64">
        <f>IF(BO1231=1,IF(AQ1231&lt;=0,0,BP1231*MAX(1,IF(G1231&gt;0,AQ1231/G1231,1))),AR1231*Q1231)</f>
        <v/>
      </c>
      <c r="AT1231" s="55">
        <f>AQ1231*F1231</f>
        <v/>
      </c>
      <c r="AU1231" s="55">
        <f>ROUNDUP(MAX(I1231/IF(BS1231&gt;0,BS1231,MAX(0.1,N(Cockpit!$O$6))),BV1231)/BN1231,0)*BN1231</f>
        <v/>
      </c>
      <c r="AV1231" s="56">
        <f>IF(AS1231&gt;0,I1231/AS1231,-1)</f>
        <v/>
      </c>
      <c r="AW1231" s="56">
        <f>IF(AND(OR(BR1231="L1",BR1231="L23"),AS1231&gt;0),SUMIFS($AS$7:$AS$1570,$BR$7:$BR$1570,BR1231,$AV$7:$AV$1570,"&gt;"&amp;AV1231)+SUMIFS($AS$7:$AS$1570,$BR$7:$BR$1570,BR1231,$AV$7:$AV$1570,AV1231,$BL$7:$BL$1570,"&lt;="&amp;BL1231),"")</f>
        <v/>
      </c>
      <c r="AX1231" s="65">
        <f>IF(AW1231="",0,MAX(0,MIN(1,(IF(BR1231="L1",Parameter!$K$5,Parameter!$K$6+Parameter!$K$7)-(AW1231-AS1231))/AS1231)))</f>
        <v/>
      </c>
      <c r="AY1231" s="53">
        <f>IF(AC1231&lt;=0,"",IF(BR1231="Aussen","Aussenlager",IF(BR1231="-","Nicht im Lift",IF(AH1231&gt;=1,"Lift",IF(AH1231&lt;=0,"Aussenlager","teilweise")))))</f>
        <v/>
      </c>
      <c r="AZ1231" s="53">
        <f>IF(AK1231&lt;=0,"",IF(BR1231="Aussen","Aussenlager",IF(BR1231="-","Nicht im Lift",IF(AP1231&gt;=1,"Lift",IF(AP1231&lt;=0,"Aussenlager","teilweise")))))</f>
        <v/>
      </c>
      <c r="BA1231" s="53">
        <f>IF(AS1231&lt;=0,"",IF(BR1231="Aussen","Aussenlager",IF(BR1231="-","Nicht im Lift",IF(AX1231&gt;=1,"Lift",IF(AX1231&lt;=0,"Aussenlager","teilweise")))))</f>
        <v/>
      </c>
      <c r="BB1231" s="53">
        <f>IF(A1231="","",IF(BK1231=1,"Neu; ","")&amp;IF(AND(BK1231=0,BF1231&lt;0),"negativer Bestand (Export "&amp;BF1231&amp;"); ","")&amp;IF(I1231&lt;=0,"Kein Verbrauch; ","")&amp;IF(BO1231=1,"Lose – Fläche geschätzt; ","")&amp;IF(G1231&gt;AM1231,"Überbestand "&amp;ROUND(G1231-AM1231,0)&amp;" Stk / CHF "&amp;ROUND((G1231-AM1231)*F1231,0)&amp;"; ","")&amp;IF(AND(BT1231=1,BU1231&lt;BV1231),"MAX &lt; MB+LG; ","")&amp;IF(AND(BZ1231&gt;0,BY1231*10&gt;BZ1231),"zu hoch für Tablar; ","")&amp;IF(AND(BK1231=0,OR(BT1231=1,V1231&lt;&gt;"",S1231&lt;&gt;"",T1231&lt;&gt;"",W1231&lt;&gt;"")),"manuell übersteuert; ","")&amp;IF(AND(BO1231=0,Q1231=0),"Gebinde unbekannt; ","")&amp;IF(AND(BO1231=0,N(T1231)&lt;=0,N(P1231)&lt;=0),"Menge pro Gebinde fehlt (Ist = 1 Gebinde); ","")&amp;BJ1231)</f>
        <v/>
      </c>
      <c r="BC1231" s="53" t="n"/>
      <c r="BD1231" s="53" t="n"/>
      <c r="BE1231" s="61" t="n"/>
      <c r="BF1231" s="55" t="n">
        <v>-18</v>
      </c>
      <c r="BG1231" s="55" t="n">
        <v>63</v>
      </c>
      <c r="BH1231" s="54" t="n">
        <v>-648.3599999999999</v>
      </c>
      <c r="BI1231" s="55" t="n">
        <v>2</v>
      </c>
      <c r="BJ1231" s="53" t="inlineStr"/>
      <c r="BK1231" s="58" t="n">
        <v>0</v>
      </c>
      <c r="BL1231" s="58" t="n">
        <v>1231</v>
      </c>
      <c r="BM1231" s="53">
        <f>IF(S1231&lt;&gt;"",UPPER(TRIM(S1231)),IF(O1231="","LOSE",O1231))</f>
        <v/>
      </c>
      <c r="BN1231" s="55">
        <f>IF(BM1231="LOSE",1,IF(N(T1231)&gt;0,T1231,IF(N(P1231)&gt;0,P1231,MAX(1,G1231))))</f>
        <v/>
      </c>
      <c r="BO1231" s="58">
        <f>IF(BM1231="LOSE",1,0)</f>
        <v/>
      </c>
      <c r="BP1231" s="64">
        <f>IF(BO1231=0,0,IF(N(R1231)&gt;0,R1231,IFERROR(VLOOKUP(D1231,Parameter!$A$35:$C$64,3,0)+0,0)))</f>
        <v/>
      </c>
      <c r="BQ1231" s="53">
        <f>IF(V1231&lt;&gt;"",V1231,U1231)</f>
        <v/>
      </c>
      <c r="BR1231" s="53">
        <f>IF(BQ1231=1,"L1",IF(OR(BQ1231=2,BQ1231=3),"L23",IF(BQ1231="Aussen","Aussen","-")))</f>
        <v/>
      </c>
      <c r="BS1231" s="66">
        <f>IF(N(W1231)&gt;0,W1231,0)</f>
        <v/>
      </c>
      <c r="BT1231" s="58">
        <f>IF(ISNUMBER(Z1231),1,0)</f>
        <v/>
      </c>
      <c r="BU1231" s="55">
        <f>N(Z1231)</f>
        <v/>
      </c>
      <c r="BV1231" s="55">
        <f>N(L1231)+N(M1231)</f>
        <v/>
      </c>
      <c r="BW1231" s="55">
        <f>ROUNDUP(G1231/BN1231,0)</f>
        <v/>
      </c>
      <c r="BX1231" s="55">
        <f>ROUNDUP(BU1231/BN1231,0)</f>
        <v/>
      </c>
      <c r="BY1231" s="58">
        <f>IF(BO1231=1,0,IFERROR(VLOOKUP(BM1231,'Gebinde-Kategorie'!$A$5:$G$45,5,0)+0,0))</f>
        <v/>
      </c>
      <c r="BZ1231" s="58">
        <f>IFERROR(IF(OR(BQ1231=1,BQ1231=2,BQ1231=3),N(INDEX(Parameter!$I$5:$I$7,BQ1231)),0),0)</f>
        <v/>
      </c>
    </row>
    <row r="1232">
      <c r="A1232" s="53" t="inlineStr">
        <is>
          <t>108088</t>
        </is>
      </c>
      <c r="B1232" s="53" t="inlineStr">
        <is>
          <t>Innenbox SPGr16 SVC2 3/4</t>
        </is>
      </c>
      <c r="C1232" s="53" t="inlineStr">
        <is>
          <t>G</t>
        </is>
      </c>
      <c r="D1232" s="53" t="inlineStr">
        <is>
          <t>PAL</t>
        </is>
      </c>
      <c r="E1232" s="53" t="inlineStr">
        <is>
          <t>C</t>
        </is>
      </c>
      <c r="F1232" s="54" t="n">
        <v>93.59</v>
      </c>
      <c r="G1232" s="55">
        <f>MAX(0,IF(Parameter!$B$20="Jahresanfang 2025 + Export",BG1232+BF1232,BF1232))</f>
        <v/>
      </c>
      <c r="H1232" s="55">
        <f>G1232*F1232</f>
        <v/>
      </c>
      <c r="I1232" s="55">
        <f>BI1232*Parameter!$B$18</f>
        <v/>
      </c>
      <c r="J1232" s="56" t="n">
        <v>3.5</v>
      </c>
      <c r="K1232" s="57" t="n">
        <v>0</v>
      </c>
      <c r="L1232" s="55" t="n">
        <v>0</v>
      </c>
      <c r="M1232" s="55" t="n">
        <v>1</v>
      </c>
      <c r="N1232" s="58" t="n">
        <v>56</v>
      </c>
      <c r="O1232" s="53" t="inlineStr">
        <is>
          <t>LOSE</t>
        </is>
      </c>
      <c r="P1232" s="55" t="n"/>
      <c r="Q1232" s="59">
        <f>IF(BO1232=1,0,IFERROR(VLOOKUP(BM1232,'Gebinde-Kategorie'!$A$5:$G$45,6,0)+0,0))</f>
        <v/>
      </c>
      <c r="R1232" s="60" t="n"/>
      <c r="S1232" s="61" t="n"/>
      <c r="T1232" s="61" t="n"/>
      <c r="U1232" s="53">
        <f>IF(A1232="","",IF(IFERROR(VLOOKUP(D1232,Parameter!$A$35:$C$64,2,0),"Nein")="2+3",IF(ISNUMBER(SEARCH("grosser Artikel",BJ1232)),2,IFERROR(VLOOKUP(BM1232,Parameter!$F$35:$G$64,2,0),2)),IF(OR(IFERROR(VLOOKUP(D1232,Parameter!$A$35:$C$64,2,0),"Nein")="Nein",IFERROR(VLOOKUP(D1232,Parameter!$A$35:$C$64,2,0),"Nein")=""),"-",VLOOKUP(D1232,Parameter!$A$35:$C$64,2,0))))</f>
        <v/>
      </c>
      <c r="V1232" s="61" t="n"/>
      <c r="W1232" s="62" t="n"/>
      <c r="X1232" s="55">
        <f>AM1232</f>
        <v/>
      </c>
      <c r="Y1232" s="55">
        <f>MAX(AM1232,G1232)</f>
        <v/>
      </c>
      <c r="Z1232" s="63" t="n"/>
      <c r="AA1232" s="55">
        <f>IF(LEFT(Cockpit!$C$5,1)="A",G1232,IF(BT1232=1,BU1232,IF(LEFT(Cockpit!$C$5,1)="B",AE1232,MAX(AE1232,G1232))))</f>
        <v/>
      </c>
      <c r="AB1232" s="55">
        <f>IF(BO1232=1,0,ROUNDUP(AA1232/BN1232,0))</f>
        <v/>
      </c>
      <c r="AC1232" s="64">
        <f>IF(BO1232=1,IF(AA1232&lt;=0,0,BP1232*MAX(1,IF(G1232&gt;0,AA1232/G1232,1))),AB1232*Q1232)</f>
        <v/>
      </c>
      <c r="AD1232" s="55">
        <f>AA1232*F1232</f>
        <v/>
      </c>
      <c r="AE1232" s="55">
        <f>ROUNDUP(MAX(I1232/IF(BS1232&gt;0,BS1232,MAX(0.1,N(Cockpit!$C$6))),BV1232)/BN1232,0)*BN1232</f>
        <v/>
      </c>
      <c r="AF1232" s="56">
        <f>IF(AC1232&gt;0,I1232/AC1232,-1)</f>
        <v/>
      </c>
      <c r="AG1232" s="56">
        <f>IF(AND(OR(BR1232="L1",BR1232="L23"),AC1232&gt;0),SUMIFS($AC$7:$AC$1570,$BR$7:$BR$1570,BR1232,$AF$7:$AF$1570,"&gt;"&amp;AF1232)+SUMIFS($AC$7:$AC$1570,$BR$7:$BR$1570,BR1232,$AF$7:$AF$1570,AF1232,$BL$7:$BL$1570,"&lt;="&amp;BL1232),"")</f>
        <v/>
      </c>
      <c r="AH1232" s="65">
        <f>IF(AG1232="",0,MAX(0,MIN(1,(IF(BR1232="L1",Parameter!$K$5,Parameter!$K$6+Parameter!$K$7)-(AG1232-AC1232))/AC1232)))</f>
        <v/>
      </c>
      <c r="AI1232" s="55">
        <f>IF(LEFT(Cockpit!$I$5,1)="A",G1232,IF(BT1232=1,BU1232,IF(LEFT(Cockpit!$I$5,1)="B",AM1232,MAX(AM1232,G1232))))</f>
        <v/>
      </c>
      <c r="AJ1232" s="55">
        <f>IF(BO1232=1,0,ROUNDUP(AI1232/BN1232,0))</f>
        <v/>
      </c>
      <c r="AK1232" s="64">
        <f>IF(BO1232=1,IF(AI1232&lt;=0,0,BP1232*MAX(1,IF(G1232&gt;0,AI1232/G1232,1))),AJ1232*Q1232)</f>
        <v/>
      </c>
      <c r="AL1232" s="55">
        <f>AI1232*F1232</f>
        <v/>
      </c>
      <c r="AM1232" s="55">
        <f>ROUNDUP(MAX(I1232/IF(BS1232&gt;0,BS1232,MAX(0.1,N(Cockpit!$I$6))),BV1232)/BN1232,0)*BN1232</f>
        <v/>
      </c>
      <c r="AN1232" s="56">
        <f>IF(AK1232&gt;0,I1232/AK1232,-1)</f>
        <v/>
      </c>
      <c r="AO1232" s="56">
        <f>IF(AND(OR(BR1232="L1",BR1232="L23"),AK1232&gt;0),SUMIFS($AK$7:$AK$1570,$BR$7:$BR$1570,BR1232,$AN$7:$AN$1570,"&gt;"&amp;AN1232)+SUMIFS($AK$7:$AK$1570,$BR$7:$BR$1570,BR1232,$AN$7:$AN$1570,AN1232,$BL$7:$BL$1570,"&lt;="&amp;BL1232),"")</f>
        <v/>
      </c>
      <c r="AP1232" s="65">
        <f>IF(AO1232="",0,MAX(0,MIN(1,(IF(BR1232="L1",Parameter!$K$5,Parameter!$K$6+Parameter!$K$7)-(AO1232-AK1232))/AK1232)))</f>
        <v/>
      </c>
      <c r="AQ1232" s="55">
        <f>IF(LEFT(Cockpit!$O$5,1)="A",G1232,IF(BT1232=1,BU1232,IF(LEFT(Cockpit!$O$5,1)="B",AU1232,MAX(AU1232,G1232))))</f>
        <v/>
      </c>
      <c r="AR1232" s="55">
        <f>IF(BO1232=1,0,ROUNDUP(AQ1232/BN1232,0))</f>
        <v/>
      </c>
      <c r="AS1232" s="64">
        <f>IF(BO1232=1,IF(AQ1232&lt;=0,0,BP1232*MAX(1,IF(G1232&gt;0,AQ1232/G1232,1))),AR1232*Q1232)</f>
        <v/>
      </c>
      <c r="AT1232" s="55">
        <f>AQ1232*F1232</f>
        <v/>
      </c>
      <c r="AU1232" s="55">
        <f>ROUNDUP(MAX(I1232/IF(BS1232&gt;0,BS1232,MAX(0.1,N(Cockpit!$O$6))),BV1232)/BN1232,0)*BN1232</f>
        <v/>
      </c>
      <c r="AV1232" s="56">
        <f>IF(AS1232&gt;0,I1232/AS1232,-1)</f>
        <v/>
      </c>
      <c r="AW1232" s="56">
        <f>IF(AND(OR(BR1232="L1",BR1232="L23"),AS1232&gt;0),SUMIFS($AS$7:$AS$1570,$BR$7:$BR$1570,BR1232,$AV$7:$AV$1570,"&gt;"&amp;AV1232)+SUMIFS($AS$7:$AS$1570,$BR$7:$BR$1570,BR1232,$AV$7:$AV$1570,AV1232,$BL$7:$BL$1570,"&lt;="&amp;BL1232),"")</f>
        <v/>
      </c>
      <c r="AX1232" s="65">
        <f>IF(AW1232="",0,MAX(0,MIN(1,(IF(BR1232="L1",Parameter!$K$5,Parameter!$K$6+Parameter!$K$7)-(AW1232-AS1232))/AS1232)))</f>
        <v/>
      </c>
      <c r="AY1232" s="53">
        <f>IF(AC1232&lt;=0,"",IF(BR1232="Aussen","Aussenlager",IF(BR1232="-","Nicht im Lift",IF(AH1232&gt;=1,"Lift",IF(AH1232&lt;=0,"Aussenlager","teilweise")))))</f>
        <v/>
      </c>
      <c r="AZ1232" s="53">
        <f>IF(AK1232&lt;=0,"",IF(BR1232="Aussen","Aussenlager",IF(BR1232="-","Nicht im Lift",IF(AP1232&gt;=1,"Lift",IF(AP1232&lt;=0,"Aussenlager","teilweise")))))</f>
        <v/>
      </c>
      <c r="BA1232" s="53">
        <f>IF(AS1232&lt;=0,"",IF(BR1232="Aussen","Aussenlager",IF(BR1232="-","Nicht im Lift",IF(AX1232&gt;=1,"Lift",IF(AX1232&lt;=0,"Aussenlager","teilweise")))))</f>
        <v/>
      </c>
      <c r="BB1232" s="53">
        <f>IF(A1232="","",IF(BK1232=1,"Neu; ","")&amp;IF(AND(BK1232=0,BF1232&lt;0),"negativer Bestand (Export "&amp;BF1232&amp;"); ","")&amp;IF(I1232&lt;=0,"Kein Verbrauch; ","")&amp;IF(BO1232=1,"Lose – Fläche geschätzt; ","")&amp;IF(G1232&gt;AM1232,"Überbestand "&amp;ROUND(G1232-AM1232,0)&amp;" Stk / CHF "&amp;ROUND((G1232-AM1232)*F1232,0)&amp;"; ","")&amp;IF(AND(BT1232=1,BU1232&lt;BV1232),"MAX &lt; MB+LG; ","")&amp;IF(AND(BZ1232&gt;0,BY1232*10&gt;BZ1232),"zu hoch für Tablar; ","")&amp;IF(AND(BK1232=0,OR(BT1232=1,V1232&lt;&gt;"",S1232&lt;&gt;"",T1232&lt;&gt;"",W1232&lt;&gt;"")),"manuell übersteuert; ","")&amp;IF(AND(BO1232=0,Q1232=0),"Gebinde unbekannt; ","")&amp;IF(AND(BO1232=0,N(T1232)&lt;=0,N(P1232)&lt;=0),"Menge pro Gebinde fehlt (Ist = 1 Gebinde); ","")&amp;BJ1232)</f>
        <v/>
      </c>
      <c r="BC1232" s="53" t="n"/>
      <c r="BD1232" s="53" t="n"/>
      <c r="BE1232" s="61" t="n"/>
      <c r="BF1232" s="55" t="n">
        <v>-7</v>
      </c>
      <c r="BG1232" s="55" t="n">
        <v>7</v>
      </c>
      <c r="BH1232" s="54" t="n">
        <v>-655.13</v>
      </c>
      <c r="BI1232" s="55" t="n">
        <v>0</v>
      </c>
      <c r="BJ1232" s="53" t="inlineStr">
        <is>
          <t>Neuer Art.</t>
        </is>
      </c>
      <c r="BK1232" s="58" t="n">
        <v>0</v>
      </c>
      <c r="BL1232" s="58" t="n">
        <v>1232</v>
      </c>
      <c r="BM1232" s="53">
        <f>IF(S1232&lt;&gt;"",UPPER(TRIM(S1232)),IF(O1232="","LOSE",O1232))</f>
        <v/>
      </c>
      <c r="BN1232" s="55">
        <f>IF(BM1232="LOSE",1,IF(N(T1232)&gt;0,T1232,IF(N(P1232)&gt;0,P1232,MAX(1,G1232))))</f>
        <v/>
      </c>
      <c r="BO1232" s="58">
        <f>IF(BM1232="LOSE",1,0)</f>
        <v/>
      </c>
      <c r="BP1232" s="64">
        <f>IF(BO1232=0,0,IF(N(R1232)&gt;0,R1232,IFERROR(VLOOKUP(D1232,Parameter!$A$35:$C$64,3,0)+0,0)))</f>
        <v/>
      </c>
      <c r="BQ1232" s="53">
        <f>IF(V1232&lt;&gt;"",V1232,U1232)</f>
        <v/>
      </c>
      <c r="BR1232" s="53">
        <f>IF(BQ1232=1,"L1",IF(OR(BQ1232=2,BQ1232=3),"L23",IF(BQ1232="Aussen","Aussen","-")))</f>
        <v/>
      </c>
      <c r="BS1232" s="66">
        <f>IF(N(W1232)&gt;0,W1232,0)</f>
        <v/>
      </c>
      <c r="BT1232" s="58">
        <f>IF(ISNUMBER(Z1232),1,0)</f>
        <v/>
      </c>
      <c r="BU1232" s="55">
        <f>N(Z1232)</f>
        <v/>
      </c>
      <c r="BV1232" s="55">
        <f>N(L1232)+N(M1232)</f>
        <v/>
      </c>
      <c r="BW1232" s="55">
        <f>ROUNDUP(G1232/BN1232,0)</f>
        <v/>
      </c>
      <c r="BX1232" s="55">
        <f>ROUNDUP(BU1232/BN1232,0)</f>
        <v/>
      </c>
      <c r="BY1232" s="58">
        <f>IF(BO1232=1,0,IFERROR(VLOOKUP(BM1232,'Gebinde-Kategorie'!$A$5:$G$45,5,0)+0,0))</f>
        <v/>
      </c>
      <c r="BZ1232" s="58">
        <f>IFERROR(IF(OR(BQ1232=1,BQ1232=2,BQ1232=3),N(INDEX(Parameter!$I$5:$I$7,BQ1232)),0),0)</f>
        <v/>
      </c>
    </row>
    <row r="1233">
      <c r="A1233" s="53" t="inlineStr">
        <is>
          <t>108430</t>
        </is>
      </c>
      <c r="B1233" s="53" t="inlineStr">
        <is>
          <t>Koffer Servicetechniker Set SPGr</t>
        </is>
      </c>
      <c r="C1233" s="53" t="inlineStr">
        <is>
          <t>F</t>
        </is>
      </c>
      <c r="D1233" s="53" t="inlineStr">
        <is>
          <t>PAL</t>
        </is>
      </c>
      <c r="E1233" s="53" t="inlineStr">
        <is>
          <t>C</t>
        </is>
      </c>
      <c r="F1233" s="54" t="n">
        <v>131.25</v>
      </c>
      <c r="G1233" s="55">
        <f>MAX(0,IF(Parameter!$B$20="Jahresanfang 2025 + Export",BG1233+BF1233,BF1233))</f>
        <v/>
      </c>
      <c r="H1233" s="55">
        <f>G1233*F1233</f>
        <v/>
      </c>
      <c r="I1233" s="55">
        <f>BI1233*Parameter!$B$18</f>
        <v/>
      </c>
      <c r="J1233" s="56" t="n">
        <v>9.5</v>
      </c>
      <c r="K1233" s="57" t="n">
        <v>0.631578947368421</v>
      </c>
      <c r="L1233" s="55" t="n">
        <v>0</v>
      </c>
      <c r="M1233" s="55" t="n">
        <v>5</v>
      </c>
      <c r="N1233" s="58" t="n">
        <v>21</v>
      </c>
      <c r="O1233" s="53" t="inlineStr">
        <is>
          <t>S72</t>
        </is>
      </c>
      <c r="P1233" s="55" t="n">
        <v>6</v>
      </c>
      <c r="Q1233" s="59">
        <f>IF(BO1233=1,0,IFERROR(VLOOKUP(BM1233,'Gebinde-Kategorie'!$A$5:$G$45,6,0)+0,0))</f>
        <v/>
      </c>
      <c r="R1233" s="60" t="n"/>
      <c r="S1233" s="61" t="n"/>
      <c r="T1233" s="61" t="n"/>
      <c r="U1233" s="53">
        <f>IF(A1233="","",IF(IFERROR(VLOOKUP(D1233,Parameter!$A$35:$C$64,2,0),"Nein")="2+3",IF(ISNUMBER(SEARCH("grosser Artikel",BJ1233)),2,IFERROR(VLOOKUP(BM1233,Parameter!$F$35:$G$64,2,0),2)),IF(OR(IFERROR(VLOOKUP(D1233,Parameter!$A$35:$C$64,2,0),"Nein")="Nein",IFERROR(VLOOKUP(D1233,Parameter!$A$35:$C$64,2,0),"Nein")=""),"-",VLOOKUP(D1233,Parameter!$A$35:$C$64,2,0))))</f>
        <v/>
      </c>
      <c r="V1233" s="61" t="n"/>
      <c r="W1233" s="62" t="n"/>
      <c r="X1233" s="55">
        <f>AM1233</f>
        <v/>
      </c>
      <c r="Y1233" s="55">
        <f>MAX(AM1233,G1233)</f>
        <v/>
      </c>
      <c r="Z1233" s="63" t="n"/>
      <c r="AA1233" s="55">
        <f>IF(LEFT(Cockpit!$C$5,1)="A",G1233,IF(BT1233=1,BU1233,IF(LEFT(Cockpit!$C$5,1)="B",AE1233,MAX(AE1233,G1233))))</f>
        <v/>
      </c>
      <c r="AB1233" s="55">
        <f>IF(BO1233=1,0,ROUNDUP(AA1233/BN1233,0))</f>
        <v/>
      </c>
      <c r="AC1233" s="64">
        <f>IF(BO1233=1,IF(AA1233&lt;=0,0,BP1233*MAX(1,IF(G1233&gt;0,AA1233/G1233,1))),AB1233*Q1233)</f>
        <v/>
      </c>
      <c r="AD1233" s="55">
        <f>AA1233*F1233</f>
        <v/>
      </c>
      <c r="AE1233" s="55">
        <f>ROUNDUP(MAX(I1233/IF(BS1233&gt;0,BS1233,MAX(0.1,N(Cockpit!$C$6))),BV1233)/BN1233,0)*BN1233</f>
        <v/>
      </c>
      <c r="AF1233" s="56">
        <f>IF(AC1233&gt;0,I1233/AC1233,-1)</f>
        <v/>
      </c>
      <c r="AG1233" s="56">
        <f>IF(AND(OR(BR1233="L1",BR1233="L23"),AC1233&gt;0),SUMIFS($AC$7:$AC$1570,$BR$7:$BR$1570,BR1233,$AF$7:$AF$1570,"&gt;"&amp;AF1233)+SUMIFS($AC$7:$AC$1570,$BR$7:$BR$1570,BR1233,$AF$7:$AF$1570,AF1233,$BL$7:$BL$1570,"&lt;="&amp;BL1233),"")</f>
        <v/>
      </c>
      <c r="AH1233" s="65">
        <f>IF(AG1233="",0,MAX(0,MIN(1,(IF(BR1233="L1",Parameter!$K$5,Parameter!$K$6+Parameter!$K$7)-(AG1233-AC1233))/AC1233)))</f>
        <v/>
      </c>
      <c r="AI1233" s="55">
        <f>IF(LEFT(Cockpit!$I$5,1)="A",G1233,IF(BT1233=1,BU1233,IF(LEFT(Cockpit!$I$5,1)="B",AM1233,MAX(AM1233,G1233))))</f>
        <v/>
      </c>
      <c r="AJ1233" s="55">
        <f>IF(BO1233=1,0,ROUNDUP(AI1233/BN1233,0))</f>
        <v/>
      </c>
      <c r="AK1233" s="64">
        <f>IF(BO1233=1,IF(AI1233&lt;=0,0,BP1233*MAX(1,IF(G1233&gt;0,AI1233/G1233,1))),AJ1233*Q1233)</f>
        <v/>
      </c>
      <c r="AL1233" s="55">
        <f>AI1233*F1233</f>
        <v/>
      </c>
      <c r="AM1233" s="55">
        <f>ROUNDUP(MAX(I1233/IF(BS1233&gt;0,BS1233,MAX(0.1,N(Cockpit!$I$6))),BV1233)/BN1233,0)*BN1233</f>
        <v/>
      </c>
      <c r="AN1233" s="56">
        <f>IF(AK1233&gt;0,I1233/AK1233,-1)</f>
        <v/>
      </c>
      <c r="AO1233" s="56">
        <f>IF(AND(OR(BR1233="L1",BR1233="L23"),AK1233&gt;0),SUMIFS($AK$7:$AK$1570,$BR$7:$BR$1570,BR1233,$AN$7:$AN$1570,"&gt;"&amp;AN1233)+SUMIFS($AK$7:$AK$1570,$BR$7:$BR$1570,BR1233,$AN$7:$AN$1570,AN1233,$BL$7:$BL$1570,"&lt;="&amp;BL1233),"")</f>
        <v/>
      </c>
      <c r="AP1233" s="65">
        <f>IF(AO1233="",0,MAX(0,MIN(1,(IF(BR1233="L1",Parameter!$K$5,Parameter!$K$6+Parameter!$K$7)-(AO1233-AK1233))/AK1233)))</f>
        <v/>
      </c>
      <c r="AQ1233" s="55">
        <f>IF(LEFT(Cockpit!$O$5,1)="A",G1233,IF(BT1233=1,BU1233,IF(LEFT(Cockpit!$O$5,1)="B",AU1233,MAX(AU1233,G1233))))</f>
        <v/>
      </c>
      <c r="AR1233" s="55">
        <f>IF(BO1233=1,0,ROUNDUP(AQ1233/BN1233,0))</f>
        <v/>
      </c>
      <c r="AS1233" s="64">
        <f>IF(BO1233=1,IF(AQ1233&lt;=0,0,BP1233*MAX(1,IF(G1233&gt;0,AQ1233/G1233,1))),AR1233*Q1233)</f>
        <v/>
      </c>
      <c r="AT1233" s="55">
        <f>AQ1233*F1233</f>
        <v/>
      </c>
      <c r="AU1233" s="55">
        <f>ROUNDUP(MAX(I1233/IF(BS1233&gt;0,BS1233,MAX(0.1,N(Cockpit!$O$6))),BV1233)/BN1233,0)*BN1233</f>
        <v/>
      </c>
      <c r="AV1233" s="56">
        <f>IF(AS1233&gt;0,I1233/AS1233,-1)</f>
        <v/>
      </c>
      <c r="AW1233" s="56">
        <f>IF(AND(OR(BR1233="L1",BR1233="L23"),AS1233&gt;0),SUMIFS($AS$7:$AS$1570,$BR$7:$BR$1570,BR1233,$AV$7:$AV$1570,"&gt;"&amp;AV1233)+SUMIFS($AS$7:$AS$1570,$BR$7:$BR$1570,BR1233,$AV$7:$AV$1570,AV1233,$BL$7:$BL$1570,"&lt;="&amp;BL1233),"")</f>
        <v/>
      </c>
      <c r="AX1233" s="65">
        <f>IF(AW1233="",0,MAX(0,MIN(1,(IF(BR1233="L1",Parameter!$K$5,Parameter!$K$6+Parameter!$K$7)-(AW1233-AS1233))/AS1233)))</f>
        <v/>
      </c>
      <c r="AY1233" s="53">
        <f>IF(AC1233&lt;=0,"",IF(BR1233="Aussen","Aussenlager",IF(BR1233="-","Nicht im Lift",IF(AH1233&gt;=1,"Lift",IF(AH1233&lt;=0,"Aussenlager","teilweise")))))</f>
        <v/>
      </c>
      <c r="AZ1233" s="53">
        <f>IF(AK1233&lt;=0,"",IF(BR1233="Aussen","Aussenlager",IF(BR1233="-","Nicht im Lift",IF(AP1233&gt;=1,"Lift",IF(AP1233&lt;=0,"Aussenlager","teilweise")))))</f>
        <v/>
      </c>
      <c r="BA1233" s="53">
        <f>IF(AS1233&lt;=0,"",IF(BR1233="Aussen","Aussenlager",IF(BR1233="-","Nicht im Lift",IF(AX1233&gt;=1,"Lift",IF(AX1233&lt;=0,"Aussenlager","teilweise")))))</f>
        <v/>
      </c>
      <c r="BB1233" s="53">
        <f>IF(A1233="","",IF(BK1233=1,"Neu; ","")&amp;IF(AND(BK1233=0,BF1233&lt;0),"negativer Bestand (Export "&amp;BF1233&amp;"); ","")&amp;IF(I1233&lt;=0,"Kein Verbrauch; ","")&amp;IF(BO1233=1,"Lose – Fläche geschätzt; ","")&amp;IF(G1233&gt;AM1233,"Überbestand "&amp;ROUND(G1233-AM1233,0)&amp;" Stk / CHF "&amp;ROUND((G1233-AM1233)*F1233,0)&amp;"; ","")&amp;IF(AND(BT1233=1,BU1233&lt;BV1233),"MAX &lt; MB+LG; ","")&amp;IF(AND(BZ1233&gt;0,BY1233*10&gt;BZ1233),"zu hoch für Tablar; ","")&amp;IF(AND(BK1233=0,OR(BT1233=1,V1233&lt;&gt;"",S1233&lt;&gt;"",T1233&lt;&gt;"",W1233&lt;&gt;"")),"manuell übersteuert; ","")&amp;IF(AND(BO1233=0,Q1233=0),"Gebinde unbekannt; ","")&amp;IF(AND(BO1233=0,N(T1233)&lt;=0,N(P1233)&lt;=0),"Menge pro Gebinde fehlt (Ist = 1 Gebinde); ","")&amp;BJ1233)</f>
        <v/>
      </c>
      <c r="BC1233" s="53" t="n"/>
      <c r="BD1233" s="53" t="n"/>
      <c r="BE1233" s="61" t="n"/>
      <c r="BF1233" s="55" t="n">
        <v>-5</v>
      </c>
      <c r="BG1233" s="55" t="n">
        <v>13</v>
      </c>
      <c r="BH1233" s="54" t="n">
        <v>-656.25</v>
      </c>
      <c r="BI1233" s="55" t="n">
        <v>6</v>
      </c>
      <c r="BJ1233" s="53" t="inlineStr">
        <is>
          <t>grosser Artikel &amp; nicht im KTL</t>
        </is>
      </c>
      <c r="BK1233" s="58" t="n">
        <v>0</v>
      </c>
      <c r="BL1233" s="58" t="n">
        <v>1233</v>
      </c>
      <c r="BM1233" s="53">
        <f>IF(S1233&lt;&gt;"",UPPER(TRIM(S1233)),IF(O1233="","LOSE",O1233))</f>
        <v/>
      </c>
      <c r="BN1233" s="55">
        <f>IF(BM1233="LOSE",1,IF(N(T1233)&gt;0,T1233,IF(N(P1233)&gt;0,P1233,MAX(1,G1233))))</f>
        <v/>
      </c>
      <c r="BO1233" s="58">
        <f>IF(BM1233="LOSE",1,0)</f>
        <v/>
      </c>
      <c r="BP1233" s="64">
        <f>IF(BO1233=0,0,IF(N(R1233)&gt;0,R1233,IFERROR(VLOOKUP(D1233,Parameter!$A$35:$C$64,3,0)+0,0)))</f>
        <v/>
      </c>
      <c r="BQ1233" s="53">
        <f>IF(V1233&lt;&gt;"",V1233,U1233)</f>
        <v/>
      </c>
      <c r="BR1233" s="53">
        <f>IF(BQ1233=1,"L1",IF(OR(BQ1233=2,BQ1233=3),"L23",IF(BQ1233="Aussen","Aussen","-")))</f>
        <v/>
      </c>
      <c r="BS1233" s="66">
        <f>IF(N(W1233)&gt;0,W1233,0)</f>
        <v/>
      </c>
      <c r="BT1233" s="58">
        <f>IF(ISNUMBER(Z1233),1,0)</f>
        <v/>
      </c>
      <c r="BU1233" s="55">
        <f>N(Z1233)</f>
        <v/>
      </c>
      <c r="BV1233" s="55">
        <f>N(L1233)+N(M1233)</f>
        <v/>
      </c>
      <c r="BW1233" s="55">
        <f>ROUNDUP(G1233/BN1233,0)</f>
        <v/>
      </c>
      <c r="BX1233" s="55">
        <f>ROUNDUP(BU1233/BN1233,0)</f>
        <v/>
      </c>
      <c r="BY1233" s="58">
        <f>IF(BO1233=1,0,IFERROR(VLOOKUP(BM1233,'Gebinde-Kategorie'!$A$5:$G$45,5,0)+0,0))</f>
        <v/>
      </c>
      <c r="BZ1233" s="58">
        <f>IFERROR(IF(OR(BQ1233=1,BQ1233=2,BQ1233=3),N(INDEX(Parameter!$I$5:$I$7,BQ1233)),0),0)</f>
        <v/>
      </c>
    </row>
    <row r="1234">
      <c r="A1234" s="53" t="inlineStr">
        <is>
          <t>108087</t>
        </is>
      </c>
      <c r="B1234" s="53" t="inlineStr">
        <is>
          <t>Innenbox SPGr16 SVC2 2/4</t>
        </is>
      </c>
      <c r="C1234" s="53" t="inlineStr">
        <is>
          <t>G</t>
        </is>
      </c>
      <c r="D1234" s="53" t="inlineStr">
        <is>
          <t>PAL</t>
        </is>
      </c>
      <c r="E1234" s="53" t="inlineStr">
        <is>
          <t>C</t>
        </is>
      </c>
      <c r="F1234" s="54" t="n">
        <v>94.81999999999999</v>
      </c>
      <c r="G1234" s="55">
        <f>MAX(0,IF(Parameter!$B$20="Jahresanfang 2025 + Export",BG1234+BF1234,BF1234))</f>
        <v/>
      </c>
      <c r="H1234" s="55">
        <f>G1234*F1234</f>
        <v/>
      </c>
      <c r="I1234" s="55">
        <f>BI1234*Parameter!$B$18</f>
        <v/>
      </c>
      <c r="J1234" s="56" t="n">
        <v>3.5</v>
      </c>
      <c r="K1234" s="57" t="n">
        <v>0</v>
      </c>
      <c r="L1234" s="55" t="n">
        <v>0</v>
      </c>
      <c r="M1234" s="55" t="n">
        <v>1</v>
      </c>
      <c r="N1234" s="58" t="n">
        <v>56</v>
      </c>
      <c r="O1234" s="53" t="inlineStr">
        <is>
          <t>LOSE</t>
        </is>
      </c>
      <c r="P1234" s="55" t="n"/>
      <c r="Q1234" s="59">
        <f>IF(BO1234=1,0,IFERROR(VLOOKUP(BM1234,'Gebinde-Kategorie'!$A$5:$G$45,6,0)+0,0))</f>
        <v/>
      </c>
      <c r="R1234" s="60" t="n"/>
      <c r="S1234" s="61" t="n"/>
      <c r="T1234" s="61" t="n"/>
      <c r="U1234" s="53">
        <f>IF(A1234="","",IF(IFERROR(VLOOKUP(D1234,Parameter!$A$35:$C$64,2,0),"Nein")="2+3",IF(ISNUMBER(SEARCH("grosser Artikel",BJ1234)),2,IFERROR(VLOOKUP(BM1234,Parameter!$F$35:$G$64,2,0),2)),IF(OR(IFERROR(VLOOKUP(D1234,Parameter!$A$35:$C$64,2,0),"Nein")="Nein",IFERROR(VLOOKUP(D1234,Parameter!$A$35:$C$64,2,0),"Nein")=""),"-",VLOOKUP(D1234,Parameter!$A$35:$C$64,2,0))))</f>
        <v/>
      </c>
      <c r="V1234" s="61" t="n"/>
      <c r="W1234" s="62" t="n"/>
      <c r="X1234" s="55">
        <f>AM1234</f>
        <v/>
      </c>
      <c r="Y1234" s="55">
        <f>MAX(AM1234,G1234)</f>
        <v/>
      </c>
      <c r="Z1234" s="63" t="n"/>
      <c r="AA1234" s="55">
        <f>IF(LEFT(Cockpit!$C$5,1)="A",G1234,IF(BT1234=1,BU1234,IF(LEFT(Cockpit!$C$5,1)="B",AE1234,MAX(AE1234,G1234))))</f>
        <v/>
      </c>
      <c r="AB1234" s="55">
        <f>IF(BO1234=1,0,ROUNDUP(AA1234/BN1234,0))</f>
        <v/>
      </c>
      <c r="AC1234" s="64">
        <f>IF(BO1234=1,IF(AA1234&lt;=0,0,BP1234*MAX(1,IF(G1234&gt;0,AA1234/G1234,1))),AB1234*Q1234)</f>
        <v/>
      </c>
      <c r="AD1234" s="55">
        <f>AA1234*F1234</f>
        <v/>
      </c>
      <c r="AE1234" s="55">
        <f>ROUNDUP(MAX(I1234/IF(BS1234&gt;0,BS1234,MAX(0.1,N(Cockpit!$C$6))),BV1234)/BN1234,0)*BN1234</f>
        <v/>
      </c>
      <c r="AF1234" s="56">
        <f>IF(AC1234&gt;0,I1234/AC1234,-1)</f>
        <v/>
      </c>
      <c r="AG1234" s="56">
        <f>IF(AND(OR(BR1234="L1",BR1234="L23"),AC1234&gt;0),SUMIFS($AC$7:$AC$1570,$BR$7:$BR$1570,BR1234,$AF$7:$AF$1570,"&gt;"&amp;AF1234)+SUMIFS($AC$7:$AC$1570,$BR$7:$BR$1570,BR1234,$AF$7:$AF$1570,AF1234,$BL$7:$BL$1570,"&lt;="&amp;BL1234),"")</f>
        <v/>
      </c>
      <c r="AH1234" s="65">
        <f>IF(AG1234="",0,MAX(0,MIN(1,(IF(BR1234="L1",Parameter!$K$5,Parameter!$K$6+Parameter!$K$7)-(AG1234-AC1234))/AC1234)))</f>
        <v/>
      </c>
      <c r="AI1234" s="55">
        <f>IF(LEFT(Cockpit!$I$5,1)="A",G1234,IF(BT1234=1,BU1234,IF(LEFT(Cockpit!$I$5,1)="B",AM1234,MAX(AM1234,G1234))))</f>
        <v/>
      </c>
      <c r="AJ1234" s="55">
        <f>IF(BO1234=1,0,ROUNDUP(AI1234/BN1234,0))</f>
        <v/>
      </c>
      <c r="AK1234" s="64">
        <f>IF(BO1234=1,IF(AI1234&lt;=0,0,BP1234*MAX(1,IF(G1234&gt;0,AI1234/G1234,1))),AJ1234*Q1234)</f>
        <v/>
      </c>
      <c r="AL1234" s="55">
        <f>AI1234*F1234</f>
        <v/>
      </c>
      <c r="AM1234" s="55">
        <f>ROUNDUP(MAX(I1234/IF(BS1234&gt;0,BS1234,MAX(0.1,N(Cockpit!$I$6))),BV1234)/BN1234,0)*BN1234</f>
        <v/>
      </c>
      <c r="AN1234" s="56">
        <f>IF(AK1234&gt;0,I1234/AK1234,-1)</f>
        <v/>
      </c>
      <c r="AO1234" s="56">
        <f>IF(AND(OR(BR1234="L1",BR1234="L23"),AK1234&gt;0),SUMIFS($AK$7:$AK$1570,$BR$7:$BR$1570,BR1234,$AN$7:$AN$1570,"&gt;"&amp;AN1234)+SUMIFS($AK$7:$AK$1570,$BR$7:$BR$1570,BR1234,$AN$7:$AN$1570,AN1234,$BL$7:$BL$1570,"&lt;="&amp;BL1234),"")</f>
        <v/>
      </c>
      <c r="AP1234" s="65">
        <f>IF(AO1234="",0,MAX(0,MIN(1,(IF(BR1234="L1",Parameter!$K$5,Parameter!$K$6+Parameter!$K$7)-(AO1234-AK1234))/AK1234)))</f>
        <v/>
      </c>
      <c r="AQ1234" s="55">
        <f>IF(LEFT(Cockpit!$O$5,1)="A",G1234,IF(BT1234=1,BU1234,IF(LEFT(Cockpit!$O$5,1)="B",AU1234,MAX(AU1234,G1234))))</f>
        <v/>
      </c>
      <c r="AR1234" s="55">
        <f>IF(BO1234=1,0,ROUNDUP(AQ1234/BN1234,0))</f>
        <v/>
      </c>
      <c r="AS1234" s="64">
        <f>IF(BO1234=1,IF(AQ1234&lt;=0,0,BP1234*MAX(1,IF(G1234&gt;0,AQ1234/G1234,1))),AR1234*Q1234)</f>
        <v/>
      </c>
      <c r="AT1234" s="55">
        <f>AQ1234*F1234</f>
        <v/>
      </c>
      <c r="AU1234" s="55">
        <f>ROUNDUP(MAX(I1234/IF(BS1234&gt;0,BS1234,MAX(0.1,N(Cockpit!$O$6))),BV1234)/BN1234,0)*BN1234</f>
        <v/>
      </c>
      <c r="AV1234" s="56">
        <f>IF(AS1234&gt;0,I1234/AS1234,-1)</f>
        <v/>
      </c>
      <c r="AW1234" s="56">
        <f>IF(AND(OR(BR1234="L1",BR1234="L23"),AS1234&gt;0),SUMIFS($AS$7:$AS$1570,$BR$7:$BR$1570,BR1234,$AV$7:$AV$1570,"&gt;"&amp;AV1234)+SUMIFS($AS$7:$AS$1570,$BR$7:$BR$1570,BR1234,$AV$7:$AV$1570,AV1234,$BL$7:$BL$1570,"&lt;="&amp;BL1234),"")</f>
        <v/>
      </c>
      <c r="AX1234" s="65">
        <f>IF(AW1234="",0,MAX(0,MIN(1,(IF(BR1234="L1",Parameter!$K$5,Parameter!$K$6+Parameter!$K$7)-(AW1234-AS1234))/AS1234)))</f>
        <v/>
      </c>
      <c r="AY1234" s="53">
        <f>IF(AC1234&lt;=0,"",IF(BR1234="Aussen","Aussenlager",IF(BR1234="-","Nicht im Lift",IF(AH1234&gt;=1,"Lift",IF(AH1234&lt;=0,"Aussenlager","teilweise")))))</f>
        <v/>
      </c>
      <c r="AZ1234" s="53">
        <f>IF(AK1234&lt;=0,"",IF(BR1234="Aussen","Aussenlager",IF(BR1234="-","Nicht im Lift",IF(AP1234&gt;=1,"Lift",IF(AP1234&lt;=0,"Aussenlager","teilweise")))))</f>
        <v/>
      </c>
      <c r="BA1234" s="53">
        <f>IF(AS1234&lt;=0,"",IF(BR1234="Aussen","Aussenlager",IF(BR1234="-","Nicht im Lift",IF(AX1234&gt;=1,"Lift",IF(AX1234&lt;=0,"Aussenlager","teilweise")))))</f>
        <v/>
      </c>
      <c r="BB1234" s="53">
        <f>IF(A1234="","",IF(BK1234=1,"Neu; ","")&amp;IF(AND(BK1234=0,BF1234&lt;0),"negativer Bestand (Export "&amp;BF1234&amp;"); ","")&amp;IF(I1234&lt;=0,"Kein Verbrauch; ","")&amp;IF(BO1234=1,"Lose – Fläche geschätzt; ","")&amp;IF(G1234&gt;AM1234,"Überbestand "&amp;ROUND(G1234-AM1234,0)&amp;" Stk / CHF "&amp;ROUND((G1234-AM1234)*F1234,0)&amp;"; ","")&amp;IF(AND(BT1234=1,BU1234&lt;BV1234),"MAX &lt; MB+LG; ","")&amp;IF(AND(BZ1234&gt;0,BY1234*10&gt;BZ1234),"zu hoch für Tablar; ","")&amp;IF(AND(BK1234=0,OR(BT1234=1,V1234&lt;&gt;"",S1234&lt;&gt;"",T1234&lt;&gt;"",W1234&lt;&gt;"")),"manuell übersteuert; ","")&amp;IF(AND(BO1234=0,Q1234=0),"Gebinde unbekannt; ","")&amp;IF(AND(BO1234=0,N(T1234)&lt;=0,N(P1234)&lt;=0),"Menge pro Gebinde fehlt (Ist = 1 Gebinde); ","")&amp;BJ1234)</f>
        <v/>
      </c>
      <c r="BC1234" s="53" t="n"/>
      <c r="BD1234" s="53" t="n"/>
      <c r="BE1234" s="61" t="n"/>
      <c r="BF1234" s="55" t="n">
        <v>-7</v>
      </c>
      <c r="BG1234" s="55" t="n">
        <v>7</v>
      </c>
      <c r="BH1234" s="54" t="n">
        <v>-663.74</v>
      </c>
      <c r="BI1234" s="55" t="n">
        <v>0</v>
      </c>
      <c r="BJ1234" s="53" t="inlineStr">
        <is>
          <t>Neuer Art.</t>
        </is>
      </c>
      <c r="BK1234" s="58" t="n">
        <v>0</v>
      </c>
      <c r="BL1234" s="58" t="n">
        <v>1234</v>
      </c>
      <c r="BM1234" s="53">
        <f>IF(S1234&lt;&gt;"",UPPER(TRIM(S1234)),IF(O1234="","LOSE",O1234))</f>
        <v/>
      </c>
      <c r="BN1234" s="55">
        <f>IF(BM1234="LOSE",1,IF(N(T1234)&gt;0,T1234,IF(N(P1234)&gt;0,P1234,MAX(1,G1234))))</f>
        <v/>
      </c>
      <c r="BO1234" s="58">
        <f>IF(BM1234="LOSE",1,0)</f>
        <v/>
      </c>
      <c r="BP1234" s="64">
        <f>IF(BO1234=0,0,IF(N(R1234)&gt;0,R1234,IFERROR(VLOOKUP(D1234,Parameter!$A$35:$C$64,3,0)+0,0)))</f>
        <v/>
      </c>
      <c r="BQ1234" s="53">
        <f>IF(V1234&lt;&gt;"",V1234,U1234)</f>
        <v/>
      </c>
      <c r="BR1234" s="53">
        <f>IF(BQ1234=1,"L1",IF(OR(BQ1234=2,BQ1234=3),"L23",IF(BQ1234="Aussen","Aussen","-")))</f>
        <v/>
      </c>
      <c r="BS1234" s="66">
        <f>IF(N(W1234)&gt;0,W1234,0)</f>
        <v/>
      </c>
      <c r="BT1234" s="58">
        <f>IF(ISNUMBER(Z1234),1,0)</f>
        <v/>
      </c>
      <c r="BU1234" s="55">
        <f>N(Z1234)</f>
        <v/>
      </c>
      <c r="BV1234" s="55">
        <f>N(L1234)+N(M1234)</f>
        <v/>
      </c>
      <c r="BW1234" s="55">
        <f>ROUNDUP(G1234/BN1234,0)</f>
        <v/>
      </c>
      <c r="BX1234" s="55">
        <f>ROUNDUP(BU1234/BN1234,0)</f>
        <v/>
      </c>
      <c r="BY1234" s="58">
        <f>IF(BO1234=1,0,IFERROR(VLOOKUP(BM1234,'Gebinde-Kategorie'!$A$5:$G$45,5,0)+0,0))</f>
        <v/>
      </c>
      <c r="BZ1234" s="58">
        <f>IFERROR(IF(OR(BQ1234=1,BQ1234=2,BQ1234=3),N(INDEX(Parameter!$I$5:$I$7,BQ1234)),0),0)</f>
        <v/>
      </c>
    </row>
    <row r="1235">
      <c r="A1235" s="53" t="inlineStr">
        <is>
          <t>106426</t>
        </is>
      </c>
      <c r="B1235" s="53" t="inlineStr">
        <is>
          <t>Kolbenring SPGr10</t>
        </is>
      </c>
      <c r="C1235" s="53" t="inlineStr">
        <is>
          <t>F</t>
        </is>
      </c>
      <c r="D1235" s="53" t="inlineStr">
        <is>
          <t>KTL</t>
        </is>
      </c>
      <c r="E1235" s="53" t="inlineStr">
        <is>
          <t>C</t>
        </is>
      </c>
      <c r="F1235" s="54" t="n">
        <v>54.19</v>
      </c>
      <c r="G1235" s="55">
        <f>MAX(0,IF(Parameter!$B$20="Jahresanfang 2025 + Export",BG1235+BF1235,BF1235))</f>
        <v/>
      </c>
      <c r="H1235" s="55">
        <f>G1235*F1235</f>
        <v/>
      </c>
      <c r="I1235" s="55">
        <f>BI1235*Parameter!$B$18</f>
        <v/>
      </c>
      <c r="J1235" s="56" t="n">
        <v>77.5</v>
      </c>
      <c r="K1235" s="57" t="n">
        <v>3.27741935483871</v>
      </c>
      <c r="L1235" s="55" t="n">
        <v>14</v>
      </c>
      <c r="M1235" s="55" t="n">
        <v>30</v>
      </c>
      <c r="N1235" s="58" t="n">
        <v>21</v>
      </c>
      <c r="O1235" s="53" t="inlineStr">
        <is>
          <t>S51</t>
        </is>
      </c>
      <c r="P1235" s="55" t="n">
        <v>54</v>
      </c>
      <c r="Q1235" s="59">
        <f>IF(BO1235=1,0,IFERROR(VLOOKUP(BM1235,'Gebinde-Kategorie'!$A$5:$G$45,6,0)+0,0))</f>
        <v/>
      </c>
      <c r="R1235" s="60" t="n"/>
      <c r="S1235" s="61" t="n"/>
      <c r="T1235" s="61" t="n"/>
      <c r="U1235" s="53">
        <f>IF(A1235="","",IF(IFERROR(VLOOKUP(D1235,Parameter!$A$35:$C$64,2,0),"Nein")="2+3",IF(ISNUMBER(SEARCH("grosser Artikel",BJ1235)),2,IFERROR(VLOOKUP(BM1235,Parameter!$F$35:$G$64,2,0),2)),IF(OR(IFERROR(VLOOKUP(D1235,Parameter!$A$35:$C$64,2,0),"Nein")="Nein",IFERROR(VLOOKUP(D1235,Parameter!$A$35:$C$64,2,0),"Nein")=""),"-",VLOOKUP(D1235,Parameter!$A$35:$C$64,2,0))))</f>
        <v/>
      </c>
      <c r="V1235" s="61" t="n"/>
      <c r="W1235" s="62" t="n"/>
      <c r="X1235" s="55">
        <f>AM1235</f>
        <v/>
      </c>
      <c r="Y1235" s="55">
        <f>MAX(AM1235,G1235)</f>
        <v/>
      </c>
      <c r="Z1235" s="63" t="n"/>
      <c r="AA1235" s="55">
        <f>IF(LEFT(Cockpit!$C$5,1)="A",G1235,IF(BT1235=1,BU1235,IF(LEFT(Cockpit!$C$5,1)="B",AE1235,MAX(AE1235,G1235))))</f>
        <v/>
      </c>
      <c r="AB1235" s="55">
        <f>IF(BO1235=1,0,ROUNDUP(AA1235/BN1235,0))</f>
        <v/>
      </c>
      <c r="AC1235" s="64">
        <f>IF(BO1235=1,IF(AA1235&lt;=0,0,BP1235*MAX(1,IF(G1235&gt;0,AA1235/G1235,1))),AB1235*Q1235)</f>
        <v/>
      </c>
      <c r="AD1235" s="55">
        <f>AA1235*F1235</f>
        <v/>
      </c>
      <c r="AE1235" s="55">
        <f>ROUNDUP(MAX(I1235/IF(BS1235&gt;0,BS1235,MAX(0.1,N(Cockpit!$C$6))),BV1235)/BN1235,0)*BN1235</f>
        <v/>
      </c>
      <c r="AF1235" s="56">
        <f>IF(AC1235&gt;0,I1235/AC1235,-1)</f>
        <v/>
      </c>
      <c r="AG1235" s="56">
        <f>IF(AND(OR(BR1235="L1",BR1235="L23"),AC1235&gt;0),SUMIFS($AC$7:$AC$1570,$BR$7:$BR$1570,BR1235,$AF$7:$AF$1570,"&gt;"&amp;AF1235)+SUMIFS($AC$7:$AC$1570,$BR$7:$BR$1570,BR1235,$AF$7:$AF$1570,AF1235,$BL$7:$BL$1570,"&lt;="&amp;BL1235),"")</f>
        <v/>
      </c>
      <c r="AH1235" s="65">
        <f>IF(AG1235="",0,MAX(0,MIN(1,(IF(BR1235="L1",Parameter!$K$5,Parameter!$K$6+Parameter!$K$7)-(AG1235-AC1235))/AC1235)))</f>
        <v/>
      </c>
      <c r="AI1235" s="55">
        <f>IF(LEFT(Cockpit!$I$5,1)="A",G1235,IF(BT1235=1,BU1235,IF(LEFT(Cockpit!$I$5,1)="B",AM1235,MAX(AM1235,G1235))))</f>
        <v/>
      </c>
      <c r="AJ1235" s="55">
        <f>IF(BO1235=1,0,ROUNDUP(AI1235/BN1235,0))</f>
        <v/>
      </c>
      <c r="AK1235" s="64">
        <f>IF(BO1235=1,IF(AI1235&lt;=0,0,BP1235*MAX(1,IF(G1235&gt;0,AI1235/G1235,1))),AJ1235*Q1235)</f>
        <v/>
      </c>
      <c r="AL1235" s="55">
        <f>AI1235*F1235</f>
        <v/>
      </c>
      <c r="AM1235" s="55">
        <f>ROUNDUP(MAX(I1235/IF(BS1235&gt;0,BS1235,MAX(0.1,N(Cockpit!$I$6))),BV1235)/BN1235,0)*BN1235</f>
        <v/>
      </c>
      <c r="AN1235" s="56">
        <f>IF(AK1235&gt;0,I1235/AK1235,-1)</f>
        <v/>
      </c>
      <c r="AO1235" s="56">
        <f>IF(AND(OR(BR1235="L1",BR1235="L23"),AK1235&gt;0),SUMIFS($AK$7:$AK$1570,$BR$7:$BR$1570,BR1235,$AN$7:$AN$1570,"&gt;"&amp;AN1235)+SUMIFS($AK$7:$AK$1570,$BR$7:$BR$1570,BR1235,$AN$7:$AN$1570,AN1235,$BL$7:$BL$1570,"&lt;="&amp;BL1235),"")</f>
        <v/>
      </c>
      <c r="AP1235" s="65">
        <f>IF(AO1235="",0,MAX(0,MIN(1,(IF(BR1235="L1",Parameter!$K$5,Parameter!$K$6+Parameter!$K$7)-(AO1235-AK1235))/AK1235)))</f>
        <v/>
      </c>
      <c r="AQ1235" s="55">
        <f>IF(LEFT(Cockpit!$O$5,1)="A",G1235,IF(BT1235=1,BU1235,IF(LEFT(Cockpit!$O$5,1)="B",AU1235,MAX(AU1235,G1235))))</f>
        <v/>
      </c>
      <c r="AR1235" s="55">
        <f>IF(BO1235=1,0,ROUNDUP(AQ1235/BN1235,0))</f>
        <v/>
      </c>
      <c r="AS1235" s="64">
        <f>IF(BO1235=1,IF(AQ1235&lt;=0,0,BP1235*MAX(1,IF(G1235&gt;0,AQ1235/G1235,1))),AR1235*Q1235)</f>
        <v/>
      </c>
      <c r="AT1235" s="55">
        <f>AQ1235*F1235</f>
        <v/>
      </c>
      <c r="AU1235" s="55">
        <f>ROUNDUP(MAX(I1235/IF(BS1235&gt;0,BS1235,MAX(0.1,N(Cockpit!$O$6))),BV1235)/BN1235,0)*BN1235</f>
        <v/>
      </c>
      <c r="AV1235" s="56">
        <f>IF(AS1235&gt;0,I1235/AS1235,-1)</f>
        <v/>
      </c>
      <c r="AW1235" s="56">
        <f>IF(AND(OR(BR1235="L1",BR1235="L23"),AS1235&gt;0),SUMIFS($AS$7:$AS$1570,$BR$7:$BR$1570,BR1235,$AV$7:$AV$1570,"&gt;"&amp;AV1235)+SUMIFS($AS$7:$AS$1570,$BR$7:$BR$1570,BR1235,$AV$7:$AV$1570,AV1235,$BL$7:$BL$1570,"&lt;="&amp;BL1235),"")</f>
        <v/>
      </c>
      <c r="AX1235" s="65">
        <f>IF(AW1235="",0,MAX(0,MIN(1,(IF(BR1235="L1",Parameter!$K$5,Parameter!$K$6+Parameter!$K$7)-(AW1235-AS1235))/AS1235)))</f>
        <v/>
      </c>
      <c r="AY1235" s="53">
        <f>IF(AC1235&lt;=0,"",IF(BR1235="Aussen","Aussenlager",IF(BR1235="-","Nicht im Lift",IF(AH1235&gt;=1,"Lift",IF(AH1235&lt;=0,"Aussenlager","teilweise")))))</f>
        <v/>
      </c>
      <c r="AZ1235" s="53">
        <f>IF(AK1235&lt;=0,"",IF(BR1235="Aussen","Aussenlager",IF(BR1235="-","Nicht im Lift",IF(AP1235&gt;=1,"Lift",IF(AP1235&lt;=0,"Aussenlager","teilweise")))))</f>
        <v/>
      </c>
      <c r="BA1235" s="53">
        <f>IF(AS1235&lt;=0,"",IF(BR1235="Aussen","Aussenlager",IF(BR1235="-","Nicht im Lift",IF(AX1235&gt;=1,"Lift",IF(AX1235&lt;=0,"Aussenlager","teilweise")))))</f>
        <v/>
      </c>
      <c r="BB1235" s="53">
        <f>IF(A1235="","",IF(BK1235=1,"Neu; ","")&amp;IF(AND(BK1235=0,BF1235&lt;0),"negativer Bestand (Export "&amp;BF1235&amp;"); ","")&amp;IF(I1235&lt;=0,"Kein Verbrauch; ","")&amp;IF(BO1235=1,"Lose – Fläche geschätzt; ","")&amp;IF(G1235&gt;AM1235,"Überbestand "&amp;ROUND(G1235-AM1235,0)&amp;" Stk / CHF "&amp;ROUND((G1235-AM1235)*F1235,0)&amp;"; ","")&amp;IF(AND(BT1235=1,BU1235&lt;BV1235),"MAX &lt; MB+LG; ","")&amp;IF(AND(BZ1235&gt;0,BY1235*10&gt;BZ1235),"zu hoch für Tablar; ","")&amp;IF(AND(BK1235=0,OR(BT1235=1,V1235&lt;&gt;"",S1235&lt;&gt;"",T1235&lt;&gt;"",W1235&lt;&gt;"")),"manuell übersteuert; ","")&amp;IF(AND(BO1235=0,Q1235=0),"Gebinde unbekannt; ","")&amp;IF(AND(BO1235=0,N(T1235)&lt;=0,N(P1235)&lt;=0),"Menge pro Gebinde fehlt (Ist = 1 Gebinde); ","")&amp;BJ1235)</f>
        <v/>
      </c>
      <c r="BC1235" s="53" t="n"/>
      <c r="BD1235" s="53" t="n"/>
      <c r="BE1235" s="61" t="n"/>
      <c r="BF1235" s="55" t="n">
        <v>8</v>
      </c>
      <c r="BG1235" s="55" t="n">
        <v>56</v>
      </c>
      <c r="BH1235" s="54" t="n">
        <v>-673.0400000000022</v>
      </c>
      <c r="BI1235" s="55" t="n">
        <v>254</v>
      </c>
      <c r="BJ1235" s="53" t="inlineStr"/>
      <c r="BK1235" s="58" t="n">
        <v>0</v>
      </c>
      <c r="BL1235" s="58" t="n">
        <v>1235</v>
      </c>
      <c r="BM1235" s="53">
        <f>IF(S1235&lt;&gt;"",UPPER(TRIM(S1235)),IF(O1235="","LOSE",O1235))</f>
        <v/>
      </c>
      <c r="BN1235" s="55">
        <f>IF(BM1235="LOSE",1,IF(N(T1235)&gt;0,T1235,IF(N(P1235)&gt;0,P1235,MAX(1,G1235))))</f>
        <v/>
      </c>
      <c r="BO1235" s="58">
        <f>IF(BM1235="LOSE",1,0)</f>
        <v/>
      </c>
      <c r="BP1235" s="64">
        <f>IF(BO1235=0,0,IF(N(R1235)&gt;0,R1235,IFERROR(VLOOKUP(D1235,Parameter!$A$35:$C$64,3,0)+0,0)))</f>
        <v/>
      </c>
      <c r="BQ1235" s="53">
        <f>IF(V1235&lt;&gt;"",V1235,U1235)</f>
        <v/>
      </c>
      <c r="BR1235" s="53">
        <f>IF(BQ1235=1,"L1",IF(OR(BQ1235=2,BQ1235=3),"L23",IF(BQ1235="Aussen","Aussen","-")))</f>
        <v/>
      </c>
      <c r="BS1235" s="66">
        <f>IF(N(W1235)&gt;0,W1235,0)</f>
        <v/>
      </c>
      <c r="BT1235" s="58">
        <f>IF(ISNUMBER(Z1235),1,0)</f>
        <v/>
      </c>
      <c r="BU1235" s="55">
        <f>N(Z1235)</f>
        <v/>
      </c>
      <c r="BV1235" s="55">
        <f>N(L1235)+N(M1235)</f>
        <v/>
      </c>
      <c r="BW1235" s="55">
        <f>ROUNDUP(G1235/BN1235,0)</f>
        <v/>
      </c>
      <c r="BX1235" s="55">
        <f>ROUNDUP(BU1235/BN1235,0)</f>
        <v/>
      </c>
      <c r="BY1235" s="58">
        <f>IF(BO1235=1,0,IFERROR(VLOOKUP(BM1235,'Gebinde-Kategorie'!$A$5:$G$45,5,0)+0,0))</f>
        <v/>
      </c>
      <c r="BZ1235" s="58">
        <f>IFERROR(IF(OR(BQ1235=1,BQ1235=2,BQ1235=3),N(INDEX(Parameter!$I$5:$I$7,BQ1235)),0),0)</f>
        <v/>
      </c>
    </row>
    <row r="1236">
      <c r="A1236" s="53" t="inlineStr">
        <is>
          <t>108074</t>
        </is>
      </c>
      <c r="B1236" s="53" t="inlineStr">
        <is>
          <t>Palettenbox SPGr16 SVC1</t>
        </is>
      </c>
      <c r="C1236" s="53" t="inlineStr">
        <is>
          <t>G</t>
        </is>
      </c>
      <c r="D1236" s="53" t="inlineStr">
        <is>
          <t>PAL</t>
        </is>
      </c>
      <c r="E1236" s="53" t="inlineStr">
        <is>
          <t>C</t>
        </is>
      </c>
      <c r="F1236" s="54" t="n">
        <v>67.89</v>
      </c>
      <c r="G1236" s="55">
        <f>MAX(0,IF(Parameter!$B$20="Jahresanfang 2025 + Export",BG1236+BF1236,BF1236))</f>
        <v/>
      </c>
      <c r="H1236" s="55">
        <f>G1236*F1236</f>
        <v/>
      </c>
      <c r="I1236" s="55">
        <f>BI1236*Parameter!$B$18</f>
        <v/>
      </c>
      <c r="J1236" s="56" t="n">
        <v>5</v>
      </c>
      <c r="K1236" s="57" t="n">
        <v>0</v>
      </c>
      <c r="L1236" s="55" t="n">
        <v>0</v>
      </c>
      <c r="M1236" s="55" t="n">
        <v>1</v>
      </c>
      <c r="N1236" s="58" t="n">
        <v>56</v>
      </c>
      <c r="O1236" s="53" t="inlineStr">
        <is>
          <t>LOSE</t>
        </is>
      </c>
      <c r="P1236" s="55" t="n"/>
      <c r="Q1236" s="59">
        <f>IF(BO1236=1,0,IFERROR(VLOOKUP(BM1236,'Gebinde-Kategorie'!$A$5:$G$45,6,0)+0,0))</f>
        <v/>
      </c>
      <c r="R1236" s="60" t="n"/>
      <c r="S1236" s="61" t="n"/>
      <c r="T1236" s="61" t="n"/>
      <c r="U1236" s="53">
        <f>IF(A1236="","",IF(IFERROR(VLOOKUP(D1236,Parameter!$A$35:$C$64,2,0),"Nein")="2+3",IF(ISNUMBER(SEARCH("grosser Artikel",BJ1236)),2,IFERROR(VLOOKUP(BM1236,Parameter!$F$35:$G$64,2,0),2)),IF(OR(IFERROR(VLOOKUP(D1236,Parameter!$A$35:$C$64,2,0),"Nein")="Nein",IFERROR(VLOOKUP(D1236,Parameter!$A$35:$C$64,2,0),"Nein")=""),"-",VLOOKUP(D1236,Parameter!$A$35:$C$64,2,0))))</f>
        <v/>
      </c>
      <c r="V1236" s="61" t="n"/>
      <c r="W1236" s="62" t="n"/>
      <c r="X1236" s="55">
        <f>AM1236</f>
        <v/>
      </c>
      <c r="Y1236" s="55">
        <f>MAX(AM1236,G1236)</f>
        <v/>
      </c>
      <c r="Z1236" s="63" t="n"/>
      <c r="AA1236" s="55">
        <f>IF(LEFT(Cockpit!$C$5,1)="A",G1236,IF(BT1236=1,BU1236,IF(LEFT(Cockpit!$C$5,1)="B",AE1236,MAX(AE1236,G1236))))</f>
        <v/>
      </c>
      <c r="AB1236" s="55">
        <f>IF(BO1236=1,0,ROUNDUP(AA1236/BN1236,0))</f>
        <v/>
      </c>
      <c r="AC1236" s="64">
        <f>IF(BO1236=1,IF(AA1236&lt;=0,0,BP1236*MAX(1,IF(G1236&gt;0,AA1236/G1236,1))),AB1236*Q1236)</f>
        <v/>
      </c>
      <c r="AD1236" s="55">
        <f>AA1236*F1236</f>
        <v/>
      </c>
      <c r="AE1236" s="55">
        <f>ROUNDUP(MAX(I1236/IF(BS1236&gt;0,BS1236,MAX(0.1,N(Cockpit!$C$6))),BV1236)/BN1236,0)*BN1236</f>
        <v/>
      </c>
      <c r="AF1236" s="56">
        <f>IF(AC1236&gt;0,I1236/AC1236,-1)</f>
        <v/>
      </c>
      <c r="AG1236" s="56">
        <f>IF(AND(OR(BR1236="L1",BR1236="L23"),AC1236&gt;0),SUMIFS($AC$7:$AC$1570,$BR$7:$BR$1570,BR1236,$AF$7:$AF$1570,"&gt;"&amp;AF1236)+SUMIFS($AC$7:$AC$1570,$BR$7:$BR$1570,BR1236,$AF$7:$AF$1570,AF1236,$BL$7:$BL$1570,"&lt;="&amp;BL1236),"")</f>
        <v/>
      </c>
      <c r="AH1236" s="65">
        <f>IF(AG1236="",0,MAX(0,MIN(1,(IF(BR1236="L1",Parameter!$K$5,Parameter!$K$6+Parameter!$K$7)-(AG1236-AC1236))/AC1236)))</f>
        <v/>
      </c>
      <c r="AI1236" s="55">
        <f>IF(LEFT(Cockpit!$I$5,1)="A",G1236,IF(BT1236=1,BU1236,IF(LEFT(Cockpit!$I$5,1)="B",AM1236,MAX(AM1236,G1236))))</f>
        <v/>
      </c>
      <c r="AJ1236" s="55">
        <f>IF(BO1236=1,0,ROUNDUP(AI1236/BN1236,0))</f>
        <v/>
      </c>
      <c r="AK1236" s="64">
        <f>IF(BO1236=1,IF(AI1236&lt;=0,0,BP1236*MAX(1,IF(G1236&gt;0,AI1236/G1236,1))),AJ1236*Q1236)</f>
        <v/>
      </c>
      <c r="AL1236" s="55">
        <f>AI1236*F1236</f>
        <v/>
      </c>
      <c r="AM1236" s="55">
        <f>ROUNDUP(MAX(I1236/IF(BS1236&gt;0,BS1236,MAX(0.1,N(Cockpit!$I$6))),BV1236)/BN1236,0)*BN1236</f>
        <v/>
      </c>
      <c r="AN1236" s="56">
        <f>IF(AK1236&gt;0,I1236/AK1236,-1)</f>
        <v/>
      </c>
      <c r="AO1236" s="56">
        <f>IF(AND(OR(BR1236="L1",BR1236="L23"),AK1236&gt;0),SUMIFS($AK$7:$AK$1570,$BR$7:$BR$1570,BR1236,$AN$7:$AN$1570,"&gt;"&amp;AN1236)+SUMIFS($AK$7:$AK$1570,$BR$7:$BR$1570,BR1236,$AN$7:$AN$1570,AN1236,$BL$7:$BL$1570,"&lt;="&amp;BL1236),"")</f>
        <v/>
      </c>
      <c r="AP1236" s="65">
        <f>IF(AO1236="",0,MAX(0,MIN(1,(IF(BR1236="L1",Parameter!$K$5,Parameter!$K$6+Parameter!$K$7)-(AO1236-AK1236))/AK1236)))</f>
        <v/>
      </c>
      <c r="AQ1236" s="55">
        <f>IF(LEFT(Cockpit!$O$5,1)="A",G1236,IF(BT1236=1,BU1236,IF(LEFT(Cockpit!$O$5,1)="B",AU1236,MAX(AU1236,G1236))))</f>
        <v/>
      </c>
      <c r="AR1236" s="55">
        <f>IF(BO1236=1,0,ROUNDUP(AQ1236/BN1236,0))</f>
        <v/>
      </c>
      <c r="AS1236" s="64">
        <f>IF(BO1236=1,IF(AQ1236&lt;=0,0,BP1236*MAX(1,IF(G1236&gt;0,AQ1236/G1236,1))),AR1236*Q1236)</f>
        <v/>
      </c>
      <c r="AT1236" s="55">
        <f>AQ1236*F1236</f>
        <v/>
      </c>
      <c r="AU1236" s="55">
        <f>ROUNDUP(MAX(I1236/IF(BS1236&gt;0,BS1236,MAX(0.1,N(Cockpit!$O$6))),BV1236)/BN1236,0)*BN1236</f>
        <v/>
      </c>
      <c r="AV1236" s="56">
        <f>IF(AS1236&gt;0,I1236/AS1236,-1)</f>
        <v/>
      </c>
      <c r="AW1236" s="56">
        <f>IF(AND(OR(BR1236="L1",BR1236="L23"),AS1236&gt;0),SUMIFS($AS$7:$AS$1570,$BR$7:$BR$1570,BR1236,$AV$7:$AV$1570,"&gt;"&amp;AV1236)+SUMIFS($AS$7:$AS$1570,$BR$7:$BR$1570,BR1236,$AV$7:$AV$1570,AV1236,$BL$7:$BL$1570,"&lt;="&amp;BL1236),"")</f>
        <v/>
      </c>
      <c r="AX1236" s="65">
        <f>IF(AW1236="",0,MAX(0,MIN(1,(IF(BR1236="L1",Parameter!$K$5,Parameter!$K$6+Parameter!$K$7)-(AW1236-AS1236))/AS1236)))</f>
        <v/>
      </c>
      <c r="AY1236" s="53">
        <f>IF(AC1236&lt;=0,"",IF(BR1236="Aussen","Aussenlager",IF(BR1236="-","Nicht im Lift",IF(AH1236&gt;=1,"Lift",IF(AH1236&lt;=0,"Aussenlager","teilweise")))))</f>
        <v/>
      </c>
      <c r="AZ1236" s="53">
        <f>IF(AK1236&lt;=0,"",IF(BR1236="Aussen","Aussenlager",IF(BR1236="-","Nicht im Lift",IF(AP1236&gt;=1,"Lift",IF(AP1236&lt;=0,"Aussenlager","teilweise")))))</f>
        <v/>
      </c>
      <c r="BA1236" s="53">
        <f>IF(AS1236&lt;=0,"",IF(BR1236="Aussen","Aussenlager",IF(BR1236="-","Nicht im Lift",IF(AX1236&gt;=1,"Lift",IF(AX1236&lt;=0,"Aussenlager","teilweise")))))</f>
        <v/>
      </c>
      <c r="BB1236" s="53">
        <f>IF(A1236="","",IF(BK1236=1,"Neu; ","")&amp;IF(AND(BK1236=0,BF1236&lt;0),"negativer Bestand (Export "&amp;BF1236&amp;"); ","")&amp;IF(I1236&lt;=0,"Kein Verbrauch; ","")&amp;IF(BO1236=1,"Lose – Fläche geschätzt; ","")&amp;IF(G1236&gt;AM1236,"Überbestand "&amp;ROUND(G1236-AM1236,0)&amp;" Stk / CHF "&amp;ROUND((G1236-AM1236)*F1236,0)&amp;"; ","")&amp;IF(AND(BT1236=1,BU1236&lt;BV1236),"MAX &lt; MB+LG; ","")&amp;IF(AND(BZ1236&gt;0,BY1236*10&gt;BZ1236),"zu hoch für Tablar; ","")&amp;IF(AND(BK1236=0,OR(BT1236=1,V1236&lt;&gt;"",S1236&lt;&gt;"",T1236&lt;&gt;"",W1236&lt;&gt;"")),"manuell übersteuert; ","")&amp;IF(AND(BO1236=0,Q1236=0),"Gebinde unbekannt; ","")&amp;IF(AND(BO1236=0,N(T1236)&lt;=0,N(P1236)&lt;=0),"Menge pro Gebinde fehlt (Ist = 1 Gebinde); ","")&amp;BJ1236)</f>
        <v/>
      </c>
      <c r="BC1236" s="53" t="n"/>
      <c r="BD1236" s="53" t="n"/>
      <c r="BE1236" s="61" t="n"/>
      <c r="BF1236" s="55" t="n">
        <v>-10</v>
      </c>
      <c r="BG1236" s="55" t="n">
        <v>10</v>
      </c>
      <c r="BH1236" s="54" t="n">
        <v>-678.9</v>
      </c>
      <c r="BI1236" s="55" t="n">
        <v>0</v>
      </c>
      <c r="BJ1236" s="53" t="inlineStr"/>
      <c r="BK1236" s="58" t="n">
        <v>0</v>
      </c>
      <c r="BL1236" s="58" t="n">
        <v>1236</v>
      </c>
      <c r="BM1236" s="53">
        <f>IF(S1236&lt;&gt;"",UPPER(TRIM(S1236)),IF(O1236="","LOSE",O1236))</f>
        <v/>
      </c>
      <c r="BN1236" s="55">
        <f>IF(BM1236="LOSE",1,IF(N(T1236)&gt;0,T1236,IF(N(P1236)&gt;0,P1236,MAX(1,G1236))))</f>
        <v/>
      </c>
      <c r="BO1236" s="58">
        <f>IF(BM1236="LOSE",1,0)</f>
        <v/>
      </c>
      <c r="BP1236" s="64">
        <f>IF(BO1236=0,0,IF(N(R1236)&gt;0,R1236,IFERROR(VLOOKUP(D1236,Parameter!$A$35:$C$64,3,0)+0,0)))</f>
        <v/>
      </c>
      <c r="BQ1236" s="53">
        <f>IF(V1236&lt;&gt;"",V1236,U1236)</f>
        <v/>
      </c>
      <c r="BR1236" s="53">
        <f>IF(BQ1236=1,"L1",IF(OR(BQ1236=2,BQ1236=3),"L23",IF(BQ1236="Aussen","Aussen","-")))</f>
        <v/>
      </c>
      <c r="BS1236" s="66">
        <f>IF(N(W1236)&gt;0,W1236,0)</f>
        <v/>
      </c>
      <c r="BT1236" s="58">
        <f>IF(ISNUMBER(Z1236),1,0)</f>
        <v/>
      </c>
      <c r="BU1236" s="55">
        <f>N(Z1236)</f>
        <v/>
      </c>
      <c r="BV1236" s="55">
        <f>N(L1236)+N(M1236)</f>
        <v/>
      </c>
      <c r="BW1236" s="55">
        <f>ROUNDUP(G1236/BN1236,0)</f>
        <v/>
      </c>
      <c r="BX1236" s="55">
        <f>ROUNDUP(BU1236/BN1236,0)</f>
        <v/>
      </c>
      <c r="BY1236" s="58">
        <f>IF(BO1236=1,0,IFERROR(VLOOKUP(BM1236,'Gebinde-Kategorie'!$A$5:$G$45,5,0)+0,0))</f>
        <v/>
      </c>
      <c r="BZ1236" s="58">
        <f>IFERROR(IF(OR(BQ1236=1,BQ1236=2,BQ1236=3),N(INDEX(Parameter!$I$5:$I$7,BQ1236)),0),0)</f>
        <v/>
      </c>
    </row>
    <row r="1237">
      <c r="A1237" s="53" t="inlineStr">
        <is>
          <t>109199</t>
        </is>
      </c>
      <c r="B1237" s="53" t="inlineStr">
        <is>
          <t>Kranbahnprofil GISKB II</t>
        </is>
      </c>
      <c r="C1237" s="53" t="inlineStr">
        <is>
          <t>F</t>
        </is>
      </c>
      <c r="D1237" s="53" t="inlineStr">
        <is>
          <t>PAL</t>
        </is>
      </c>
      <c r="E1237" s="53" t="inlineStr">
        <is>
          <t>C</t>
        </is>
      </c>
      <c r="F1237" s="54" t="n">
        <v>201.92</v>
      </c>
      <c r="G1237" s="55">
        <f>MAX(0,IF(Parameter!$B$20="Jahresanfang 2025 + Export",BG1237+BF1237,BF1237))</f>
        <v/>
      </c>
      <c r="H1237" s="55">
        <f>G1237*F1237</f>
        <v/>
      </c>
      <c r="I1237" s="55">
        <f>BI1237*Parameter!$B$18</f>
        <v/>
      </c>
      <c r="J1237" s="56" t="n">
        <v>17.5</v>
      </c>
      <c r="K1237" s="57" t="n">
        <v>3.142857142857143</v>
      </c>
      <c r="L1237" s="55" t="n">
        <v>5</v>
      </c>
      <c r="M1237" s="55" t="n">
        <v>10</v>
      </c>
      <c r="N1237" s="58" t="n">
        <v>28</v>
      </c>
      <c r="O1237" s="53" t="inlineStr">
        <is>
          <t>LOSE</t>
        </is>
      </c>
      <c r="P1237" s="55" t="n"/>
      <c r="Q1237" s="59">
        <f>IF(BO1237=1,0,IFERROR(VLOOKUP(BM1237,'Gebinde-Kategorie'!$A$5:$G$45,6,0)+0,0))</f>
        <v/>
      </c>
      <c r="R1237" s="60" t="n"/>
      <c r="S1237" s="61" t="n"/>
      <c r="T1237" s="61" t="n"/>
      <c r="U1237" s="53">
        <f>IF(A1237="","",IF(IFERROR(VLOOKUP(D1237,Parameter!$A$35:$C$64,2,0),"Nein")="2+3",IF(ISNUMBER(SEARCH("grosser Artikel",BJ1237)),2,IFERROR(VLOOKUP(BM1237,Parameter!$F$35:$G$64,2,0),2)),IF(OR(IFERROR(VLOOKUP(D1237,Parameter!$A$35:$C$64,2,0),"Nein")="Nein",IFERROR(VLOOKUP(D1237,Parameter!$A$35:$C$64,2,0),"Nein")=""),"-",VLOOKUP(D1237,Parameter!$A$35:$C$64,2,0))))</f>
        <v/>
      </c>
      <c r="V1237" s="61" t="n"/>
      <c r="W1237" s="62" t="n"/>
      <c r="X1237" s="55">
        <f>AM1237</f>
        <v/>
      </c>
      <c r="Y1237" s="55">
        <f>MAX(AM1237,G1237)</f>
        <v/>
      </c>
      <c r="Z1237" s="63" t="n"/>
      <c r="AA1237" s="55">
        <f>IF(LEFT(Cockpit!$C$5,1)="A",G1237,IF(BT1237=1,BU1237,IF(LEFT(Cockpit!$C$5,1)="B",AE1237,MAX(AE1237,G1237))))</f>
        <v/>
      </c>
      <c r="AB1237" s="55">
        <f>IF(BO1237=1,0,ROUNDUP(AA1237/BN1237,0))</f>
        <v/>
      </c>
      <c r="AC1237" s="64">
        <f>IF(BO1237=1,IF(AA1237&lt;=0,0,BP1237*MAX(1,IF(G1237&gt;0,AA1237/G1237,1))),AB1237*Q1237)</f>
        <v/>
      </c>
      <c r="AD1237" s="55">
        <f>AA1237*F1237</f>
        <v/>
      </c>
      <c r="AE1237" s="55">
        <f>ROUNDUP(MAX(I1237/IF(BS1237&gt;0,BS1237,MAX(0.1,N(Cockpit!$C$6))),BV1237)/BN1237,0)*BN1237</f>
        <v/>
      </c>
      <c r="AF1237" s="56">
        <f>IF(AC1237&gt;0,I1237/AC1237,-1)</f>
        <v/>
      </c>
      <c r="AG1237" s="56">
        <f>IF(AND(OR(BR1237="L1",BR1237="L23"),AC1237&gt;0),SUMIFS($AC$7:$AC$1570,$BR$7:$BR$1570,BR1237,$AF$7:$AF$1570,"&gt;"&amp;AF1237)+SUMIFS($AC$7:$AC$1570,$BR$7:$BR$1570,BR1237,$AF$7:$AF$1570,AF1237,$BL$7:$BL$1570,"&lt;="&amp;BL1237),"")</f>
        <v/>
      </c>
      <c r="AH1237" s="65">
        <f>IF(AG1237="",0,MAX(0,MIN(1,(IF(BR1237="L1",Parameter!$K$5,Parameter!$K$6+Parameter!$K$7)-(AG1237-AC1237))/AC1237)))</f>
        <v/>
      </c>
      <c r="AI1237" s="55">
        <f>IF(LEFT(Cockpit!$I$5,1)="A",G1237,IF(BT1237=1,BU1237,IF(LEFT(Cockpit!$I$5,1)="B",AM1237,MAX(AM1237,G1237))))</f>
        <v/>
      </c>
      <c r="AJ1237" s="55">
        <f>IF(BO1237=1,0,ROUNDUP(AI1237/BN1237,0))</f>
        <v/>
      </c>
      <c r="AK1237" s="64">
        <f>IF(BO1237=1,IF(AI1237&lt;=0,0,BP1237*MAX(1,IF(G1237&gt;0,AI1237/G1237,1))),AJ1237*Q1237)</f>
        <v/>
      </c>
      <c r="AL1237" s="55">
        <f>AI1237*F1237</f>
        <v/>
      </c>
      <c r="AM1237" s="55">
        <f>ROUNDUP(MAX(I1237/IF(BS1237&gt;0,BS1237,MAX(0.1,N(Cockpit!$I$6))),BV1237)/BN1237,0)*BN1237</f>
        <v/>
      </c>
      <c r="AN1237" s="56">
        <f>IF(AK1237&gt;0,I1237/AK1237,-1)</f>
        <v/>
      </c>
      <c r="AO1237" s="56">
        <f>IF(AND(OR(BR1237="L1",BR1237="L23"),AK1237&gt;0),SUMIFS($AK$7:$AK$1570,$BR$7:$BR$1570,BR1237,$AN$7:$AN$1570,"&gt;"&amp;AN1237)+SUMIFS($AK$7:$AK$1570,$BR$7:$BR$1570,BR1237,$AN$7:$AN$1570,AN1237,$BL$7:$BL$1570,"&lt;="&amp;BL1237),"")</f>
        <v/>
      </c>
      <c r="AP1237" s="65">
        <f>IF(AO1237="",0,MAX(0,MIN(1,(IF(BR1237="L1",Parameter!$K$5,Parameter!$K$6+Parameter!$K$7)-(AO1237-AK1237))/AK1237)))</f>
        <v/>
      </c>
      <c r="AQ1237" s="55">
        <f>IF(LEFT(Cockpit!$O$5,1)="A",G1237,IF(BT1237=1,BU1237,IF(LEFT(Cockpit!$O$5,1)="B",AU1237,MAX(AU1237,G1237))))</f>
        <v/>
      </c>
      <c r="AR1237" s="55">
        <f>IF(BO1237=1,0,ROUNDUP(AQ1237/BN1237,0))</f>
        <v/>
      </c>
      <c r="AS1237" s="64">
        <f>IF(BO1237=1,IF(AQ1237&lt;=0,0,BP1237*MAX(1,IF(G1237&gt;0,AQ1237/G1237,1))),AR1237*Q1237)</f>
        <v/>
      </c>
      <c r="AT1237" s="55">
        <f>AQ1237*F1237</f>
        <v/>
      </c>
      <c r="AU1237" s="55">
        <f>ROUNDUP(MAX(I1237/IF(BS1237&gt;0,BS1237,MAX(0.1,N(Cockpit!$O$6))),BV1237)/BN1237,0)*BN1237</f>
        <v/>
      </c>
      <c r="AV1237" s="56">
        <f>IF(AS1237&gt;0,I1237/AS1237,-1)</f>
        <v/>
      </c>
      <c r="AW1237" s="56">
        <f>IF(AND(OR(BR1237="L1",BR1237="L23"),AS1237&gt;0),SUMIFS($AS$7:$AS$1570,$BR$7:$BR$1570,BR1237,$AV$7:$AV$1570,"&gt;"&amp;AV1237)+SUMIFS($AS$7:$AS$1570,$BR$7:$BR$1570,BR1237,$AV$7:$AV$1570,AV1237,$BL$7:$BL$1570,"&lt;="&amp;BL1237),"")</f>
        <v/>
      </c>
      <c r="AX1237" s="65">
        <f>IF(AW1237="",0,MAX(0,MIN(1,(IF(BR1237="L1",Parameter!$K$5,Parameter!$K$6+Parameter!$K$7)-(AW1237-AS1237))/AS1237)))</f>
        <v/>
      </c>
      <c r="AY1237" s="53">
        <f>IF(AC1237&lt;=0,"",IF(BR1237="Aussen","Aussenlager",IF(BR1237="-","Nicht im Lift",IF(AH1237&gt;=1,"Lift",IF(AH1237&lt;=0,"Aussenlager","teilweise")))))</f>
        <v/>
      </c>
      <c r="AZ1237" s="53">
        <f>IF(AK1237&lt;=0,"",IF(BR1237="Aussen","Aussenlager",IF(BR1237="-","Nicht im Lift",IF(AP1237&gt;=1,"Lift",IF(AP1237&lt;=0,"Aussenlager","teilweise")))))</f>
        <v/>
      </c>
      <c r="BA1237" s="53">
        <f>IF(AS1237&lt;=0,"",IF(BR1237="Aussen","Aussenlager",IF(BR1237="-","Nicht im Lift",IF(AX1237&gt;=1,"Lift",IF(AX1237&lt;=0,"Aussenlager","teilweise")))))</f>
        <v/>
      </c>
      <c r="BB1237" s="53">
        <f>IF(A1237="","",IF(BK1237=1,"Neu; ","")&amp;IF(AND(BK1237=0,BF1237&lt;0),"negativer Bestand (Export "&amp;BF1237&amp;"); ","")&amp;IF(I1237&lt;=0,"Kein Verbrauch; ","")&amp;IF(BO1237=1,"Lose – Fläche geschätzt; ","")&amp;IF(G1237&gt;AM1237,"Überbestand "&amp;ROUND(G1237-AM1237,0)&amp;" Stk / CHF "&amp;ROUND((G1237-AM1237)*F1237,0)&amp;"; ","")&amp;IF(AND(BT1237=1,BU1237&lt;BV1237),"MAX &lt; MB+LG; ","")&amp;IF(AND(BZ1237&gt;0,BY1237*10&gt;BZ1237),"zu hoch für Tablar; ","")&amp;IF(AND(BK1237=0,OR(BT1237=1,V1237&lt;&gt;"",S1237&lt;&gt;"",T1237&lt;&gt;"",W1237&lt;&gt;"")),"manuell übersteuert; ","")&amp;IF(AND(BO1237=0,Q1237=0),"Gebinde unbekannt; ","")&amp;IF(AND(BO1237=0,N(T1237)&lt;=0,N(P1237)&lt;=0),"Menge pro Gebinde fehlt (Ist = 1 Gebinde); ","")&amp;BJ1237)</f>
        <v/>
      </c>
      <c r="BC1237" s="53" t="n"/>
      <c r="BD1237" s="53" t="n"/>
      <c r="BE1237" s="61" t="n"/>
      <c r="BF1237" s="55" t="n">
        <v>-3</v>
      </c>
      <c r="BG1237" s="55" t="n">
        <v>15</v>
      </c>
      <c r="BH1237" s="54" t="n">
        <v>-687.9600000000037</v>
      </c>
      <c r="BI1237" s="55" t="n">
        <v>55</v>
      </c>
      <c r="BJ1237" s="53" t="inlineStr"/>
      <c r="BK1237" s="58" t="n">
        <v>0</v>
      </c>
      <c r="BL1237" s="58" t="n">
        <v>1237</v>
      </c>
      <c r="BM1237" s="53">
        <f>IF(S1237&lt;&gt;"",UPPER(TRIM(S1237)),IF(O1237="","LOSE",O1237))</f>
        <v/>
      </c>
      <c r="BN1237" s="55">
        <f>IF(BM1237="LOSE",1,IF(N(T1237)&gt;0,T1237,IF(N(P1237)&gt;0,P1237,MAX(1,G1237))))</f>
        <v/>
      </c>
      <c r="BO1237" s="58">
        <f>IF(BM1237="LOSE",1,0)</f>
        <v/>
      </c>
      <c r="BP1237" s="64">
        <f>IF(BO1237=0,0,IF(N(R1237)&gt;0,R1237,IFERROR(VLOOKUP(D1237,Parameter!$A$35:$C$64,3,0)+0,0)))</f>
        <v/>
      </c>
      <c r="BQ1237" s="53">
        <f>IF(V1237&lt;&gt;"",V1237,U1237)</f>
        <v/>
      </c>
      <c r="BR1237" s="53">
        <f>IF(BQ1237=1,"L1",IF(OR(BQ1237=2,BQ1237=3),"L23",IF(BQ1237="Aussen","Aussen","-")))</f>
        <v/>
      </c>
      <c r="BS1237" s="66">
        <f>IF(N(W1237)&gt;0,W1237,0)</f>
        <v/>
      </c>
      <c r="BT1237" s="58">
        <f>IF(ISNUMBER(Z1237),1,0)</f>
        <v/>
      </c>
      <c r="BU1237" s="55">
        <f>N(Z1237)</f>
        <v/>
      </c>
      <c r="BV1237" s="55">
        <f>N(L1237)+N(M1237)</f>
        <v/>
      </c>
      <c r="BW1237" s="55">
        <f>ROUNDUP(G1237/BN1237,0)</f>
        <v/>
      </c>
      <c r="BX1237" s="55">
        <f>ROUNDUP(BU1237/BN1237,0)</f>
        <v/>
      </c>
      <c r="BY1237" s="58">
        <f>IF(BO1237=1,0,IFERROR(VLOOKUP(BM1237,'Gebinde-Kategorie'!$A$5:$G$45,5,0)+0,0))</f>
        <v/>
      </c>
      <c r="BZ1237" s="58">
        <f>IFERROR(IF(OR(BQ1237=1,BQ1237=2,BQ1237=3),N(INDEX(Parameter!$I$5:$I$7,BQ1237)),0),0)</f>
        <v/>
      </c>
    </row>
    <row r="1238">
      <c r="A1238" s="53" t="inlineStr">
        <is>
          <t>109173</t>
        </is>
      </c>
      <c r="B1238" s="53" t="inlineStr">
        <is>
          <t>Basisschlauch für Bündelanschluss</t>
        </is>
      </c>
      <c r="C1238" s="53" t="inlineStr">
        <is>
          <t>F</t>
        </is>
      </c>
      <c r="D1238" s="53" t="inlineStr">
        <is>
          <t>PAL</t>
        </is>
      </c>
      <c r="E1238" s="53" t="inlineStr">
        <is>
          <t>C</t>
        </is>
      </c>
      <c r="F1238" s="54" t="n">
        <v>185.97</v>
      </c>
      <c r="G1238" s="55">
        <f>MAX(0,IF(Parameter!$B$20="Jahresanfang 2025 + Export",BG1238+BF1238,BF1238))</f>
        <v/>
      </c>
      <c r="H1238" s="55">
        <f>G1238*F1238</f>
        <v/>
      </c>
      <c r="I1238" s="55">
        <f>BI1238*Parameter!$B$18</f>
        <v/>
      </c>
      <c r="J1238" s="56" t="n">
        <v>6</v>
      </c>
      <c r="K1238" s="57" t="n">
        <v>1.5</v>
      </c>
      <c r="L1238" s="55" t="n">
        <v>0</v>
      </c>
      <c r="M1238" s="55" t="n">
        <v>10</v>
      </c>
      <c r="N1238" s="58" t="n">
        <v>35</v>
      </c>
      <c r="O1238" s="53" t="inlineStr">
        <is>
          <t>S71</t>
        </is>
      </c>
      <c r="P1238" s="55" t="n">
        <v>10</v>
      </c>
      <c r="Q1238" s="59">
        <f>IF(BO1238=1,0,IFERROR(VLOOKUP(BM1238,'Gebinde-Kategorie'!$A$5:$G$45,6,0)+0,0))</f>
        <v/>
      </c>
      <c r="R1238" s="60" t="n"/>
      <c r="S1238" s="61" t="n"/>
      <c r="T1238" s="61" t="n"/>
      <c r="U1238" s="53">
        <f>IF(A1238="","",IF(IFERROR(VLOOKUP(D1238,Parameter!$A$35:$C$64,2,0),"Nein")="2+3",IF(ISNUMBER(SEARCH("grosser Artikel",BJ1238)),2,IFERROR(VLOOKUP(BM1238,Parameter!$F$35:$G$64,2,0),2)),IF(OR(IFERROR(VLOOKUP(D1238,Parameter!$A$35:$C$64,2,0),"Nein")="Nein",IFERROR(VLOOKUP(D1238,Parameter!$A$35:$C$64,2,0),"Nein")=""),"-",VLOOKUP(D1238,Parameter!$A$35:$C$64,2,0))))</f>
        <v/>
      </c>
      <c r="V1238" s="61" t="n"/>
      <c r="W1238" s="62" t="n"/>
      <c r="X1238" s="55">
        <f>AM1238</f>
        <v/>
      </c>
      <c r="Y1238" s="55">
        <f>MAX(AM1238,G1238)</f>
        <v/>
      </c>
      <c r="Z1238" s="63" t="n"/>
      <c r="AA1238" s="55">
        <f>IF(LEFT(Cockpit!$C$5,1)="A",G1238,IF(BT1238=1,BU1238,IF(LEFT(Cockpit!$C$5,1)="B",AE1238,MAX(AE1238,G1238))))</f>
        <v/>
      </c>
      <c r="AB1238" s="55">
        <f>IF(BO1238=1,0,ROUNDUP(AA1238/BN1238,0))</f>
        <v/>
      </c>
      <c r="AC1238" s="64">
        <f>IF(BO1238=1,IF(AA1238&lt;=0,0,BP1238*MAX(1,IF(G1238&gt;0,AA1238/G1238,1))),AB1238*Q1238)</f>
        <v/>
      </c>
      <c r="AD1238" s="55">
        <f>AA1238*F1238</f>
        <v/>
      </c>
      <c r="AE1238" s="55">
        <f>ROUNDUP(MAX(I1238/IF(BS1238&gt;0,BS1238,MAX(0.1,N(Cockpit!$C$6))),BV1238)/BN1238,0)*BN1238</f>
        <v/>
      </c>
      <c r="AF1238" s="56">
        <f>IF(AC1238&gt;0,I1238/AC1238,-1)</f>
        <v/>
      </c>
      <c r="AG1238" s="56">
        <f>IF(AND(OR(BR1238="L1",BR1238="L23"),AC1238&gt;0),SUMIFS($AC$7:$AC$1570,$BR$7:$BR$1570,BR1238,$AF$7:$AF$1570,"&gt;"&amp;AF1238)+SUMIFS($AC$7:$AC$1570,$BR$7:$BR$1570,BR1238,$AF$7:$AF$1570,AF1238,$BL$7:$BL$1570,"&lt;="&amp;BL1238),"")</f>
        <v/>
      </c>
      <c r="AH1238" s="65">
        <f>IF(AG1238="",0,MAX(0,MIN(1,(IF(BR1238="L1",Parameter!$K$5,Parameter!$K$6+Parameter!$K$7)-(AG1238-AC1238))/AC1238)))</f>
        <v/>
      </c>
      <c r="AI1238" s="55">
        <f>IF(LEFT(Cockpit!$I$5,1)="A",G1238,IF(BT1238=1,BU1238,IF(LEFT(Cockpit!$I$5,1)="B",AM1238,MAX(AM1238,G1238))))</f>
        <v/>
      </c>
      <c r="AJ1238" s="55">
        <f>IF(BO1238=1,0,ROUNDUP(AI1238/BN1238,0))</f>
        <v/>
      </c>
      <c r="AK1238" s="64">
        <f>IF(BO1238=1,IF(AI1238&lt;=0,0,BP1238*MAX(1,IF(G1238&gt;0,AI1238/G1238,1))),AJ1238*Q1238)</f>
        <v/>
      </c>
      <c r="AL1238" s="55">
        <f>AI1238*F1238</f>
        <v/>
      </c>
      <c r="AM1238" s="55">
        <f>ROUNDUP(MAX(I1238/IF(BS1238&gt;0,BS1238,MAX(0.1,N(Cockpit!$I$6))),BV1238)/BN1238,0)*BN1238</f>
        <v/>
      </c>
      <c r="AN1238" s="56">
        <f>IF(AK1238&gt;0,I1238/AK1238,-1)</f>
        <v/>
      </c>
      <c r="AO1238" s="56">
        <f>IF(AND(OR(BR1238="L1",BR1238="L23"),AK1238&gt;0),SUMIFS($AK$7:$AK$1570,$BR$7:$BR$1570,BR1238,$AN$7:$AN$1570,"&gt;"&amp;AN1238)+SUMIFS($AK$7:$AK$1570,$BR$7:$BR$1570,BR1238,$AN$7:$AN$1570,AN1238,$BL$7:$BL$1570,"&lt;="&amp;BL1238),"")</f>
        <v/>
      </c>
      <c r="AP1238" s="65">
        <f>IF(AO1238="",0,MAX(0,MIN(1,(IF(BR1238="L1",Parameter!$K$5,Parameter!$K$6+Parameter!$K$7)-(AO1238-AK1238))/AK1238)))</f>
        <v/>
      </c>
      <c r="AQ1238" s="55">
        <f>IF(LEFT(Cockpit!$O$5,1)="A",G1238,IF(BT1238=1,BU1238,IF(LEFT(Cockpit!$O$5,1)="B",AU1238,MAX(AU1238,G1238))))</f>
        <v/>
      </c>
      <c r="AR1238" s="55">
        <f>IF(BO1238=1,0,ROUNDUP(AQ1238/BN1238,0))</f>
        <v/>
      </c>
      <c r="AS1238" s="64">
        <f>IF(BO1238=1,IF(AQ1238&lt;=0,0,BP1238*MAX(1,IF(G1238&gt;0,AQ1238/G1238,1))),AR1238*Q1238)</f>
        <v/>
      </c>
      <c r="AT1238" s="55">
        <f>AQ1238*F1238</f>
        <v/>
      </c>
      <c r="AU1238" s="55">
        <f>ROUNDUP(MAX(I1238/IF(BS1238&gt;0,BS1238,MAX(0.1,N(Cockpit!$O$6))),BV1238)/BN1238,0)*BN1238</f>
        <v/>
      </c>
      <c r="AV1238" s="56">
        <f>IF(AS1238&gt;0,I1238/AS1238,-1)</f>
        <v/>
      </c>
      <c r="AW1238" s="56">
        <f>IF(AND(OR(BR1238="L1",BR1238="L23"),AS1238&gt;0),SUMIFS($AS$7:$AS$1570,$BR$7:$BR$1570,BR1238,$AV$7:$AV$1570,"&gt;"&amp;AV1238)+SUMIFS($AS$7:$AS$1570,$BR$7:$BR$1570,BR1238,$AV$7:$AV$1570,AV1238,$BL$7:$BL$1570,"&lt;="&amp;BL1238),"")</f>
        <v/>
      </c>
      <c r="AX1238" s="65">
        <f>IF(AW1238="",0,MAX(0,MIN(1,(IF(BR1238="L1",Parameter!$K$5,Parameter!$K$6+Parameter!$K$7)-(AW1238-AS1238))/AS1238)))</f>
        <v/>
      </c>
      <c r="AY1238" s="53">
        <f>IF(AC1238&lt;=0,"",IF(BR1238="Aussen","Aussenlager",IF(BR1238="-","Nicht im Lift",IF(AH1238&gt;=1,"Lift",IF(AH1238&lt;=0,"Aussenlager","teilweise")))))</f>
        <v/>
      </c>
      <c r="AZ1238" s="53">
        <f>IF(AK1238&lt;=0,"",IF(BR1238="Aussen","Aussenlager",IF(BR1238="-","Nicht im Lift",IF(AP1238&gt;=1,"Lift",IF(AP1238&lt;=0,"Aussenlager","teilweise")))))</f>
        <v/>
      </c>
      <c r="BA1238" s="53">
        <f>IF(AS1238&lt;=0,"",IF(BR1238="Aussen","Aussenlager",IF(BR1238="-","Nicht im Lift",IF(AX1238&gt;=1,"Lift",IF(AX1238&lt;=0,"Aussenlager","teilweise")))))</f>
        <v/>
      </c>
      <c r="BB1238" s="53">
        <f>IF(A1238="","",IF(BK1238=1,"Neu; ","")&amp;IF(AND(BK1238=0,BF1238&lt;0),"negativer Bestand (Export "&amp;BF1238&amp;"); ","")&amp;IF(I1238&lt;=0,"Kein Verbrauch; ","")&amp;IF(BO1238=1,"Lose – Fläche geschätzt; ","")&amp;IF(G1238&gt;AM1238,"Überbestand "&amp;ROUND(G1238-AM1238,0)&amp;" Stk / CHF "&amp;ROUND((G1238-AM1238)*F1238,0)&amp;"; ","")&amp;IF(AND(BT1238=1,BU1238&lt;BV1238),"MAX &lt; MB+LG; ","")&amp;IF(AND(BZ1238&gt;0,BY1238*10&gt;BZ1238),"zu hoch für Tablar; ","")&amp;IF(AND(BK1238=0,OR(BT1238=1,V1238&lt;&gt;"",S1238&lt;&gt;"",T1238&lt;&gt;"",W1238&lt;&gt;"")),"manuell übersteuert; ","")&amp;IF(AND(BO1238=0,Q1238=0),"Gebinde unbekannt; ","")&amp;IF(AND(BO1238=0,N(T1238)&lt;=0,N(P1238)&lt;=0),"Menge pro Gebinde fehlt (Ist = 1 Gebinde); ","")&amp;BJ1238)</f>
        <v/>
      </c>
      <c r="BC1238" s="53" t="n"/>
      <c r="BD1238" s="53" t="n"/>
      <c r="BE1238" s="61" t="n"/>
      <c r="BF1238" s="55" t="n">
        <v>-4</v>
      </c>
      <c r="BG1238" s="55" t="n">
        <v>6</v>
      </c>
      <c r="BH1238" s="54" t="n">
        <v>-689.1599999999997</v>
      </c>
      <c r="BI1238" s="55" t="n">
        <v>9</v>
      </c>
      <c r="BJ1238" s="53" t="inlineStr"/>
      <c r="BK1238" s="58" t="n">
        <v>0</v>
      </c>
      <c r="BL1238" s="58" t="n">
        <v>1238</v>
      </c>
      <c r="BM1238" s="53">
        <f>IF(S1238&lt;&gt;"",UPPER(TRIM(S1238)),IF(O1238="","LOSE",O1238))</f>
        <v/>
      </c>
      <c r="BN1238" s="55">
        <f>IF(BM1238="LOSE",1,IF(N(T1238)&gt;0,T1238,IF(N(P1238)&gt;0,P1238,MAX(1,G1238))))</f>
        <v/>
      </c>
      <c r="BO1238" s="58">
        <f>IF(BM1238="LOSE",1,0)</f>
        <v/>
      </c>
      <c r="BP1238" s="64">
        <f>IF(BO1238=0,0,IF(N(R1238)&gt;0,R1238,IFERROR(VLOOKUP(D1238,Parameter!$A$35:$C$64,3,0)+0,0)))</f>
        <v/>
      </c>
      <c r="BQ1238" s="53">
        <f>IF(V1238&lt;&gt;"",V1238,U1238)</f>
        <v/>
      </c>
      <c r="BR1238" s="53">
        <f>IF(BQ1238=1,"L1",IF(OR(BQ1238=2,BQ1238=3),"L23",IF(BQ1238="Aussen","Aussen","-")))</f>
        <v/>
      </c>
      <c r="BS1238" s="66">
        <f>IF(N(W1238)&gt;0,W1238,0)</f>
        <v/>
      </c>
      <c r="BT1238" s="58">
        <f>IF(ISNUMBER(Z1238),1,0)</f>
        <v/>
      </c>
      <c r="BU1238" s="55">
        <f>N(Z1238)</f>
        <v/>
      </c>
      <c r="BV1238" s="55">
        <f>N(L1238)+N(M1238)</f>
        <v/>
      </c>
      <c r="BW1238" s="55">
        <f>ROUNDUP(G1238/BN1238,0)</f>
        <v/>
      </c>
      <c r="BX1238" s="55">
        <f>ROUNDUP(BU1238/BN1238,0)</f>
        <v/>
      </c>
      <c r="BY1238" s="58">
        <f>IF(BO1238=1,0,IFERROR(VLOOKUP(BM1238,'Gebinde-Kategorie'!$A$5:$G$45,5,0)+0,0))</f>
        <v/>
      </c>
      <c r="BZ1238" s="58">
        <f>IFERROR(IF(OR(BQ1238=1,BQ1238=2,BQ1238=3),N(INDEX(Parameter!$I$5:$I$7,BQ1238)),0),0)</f>
        <v/>
      </c>
    </row>
    <row r="1239">
      <c r="A1239" s="53" t="inlineStr">
        <is>
          <t>106994</t>
        </is>
      </c>
      <c r="B1239" s="53" t="inlineStr">
        <is>
          <t>Leitungsschutzschalter</t>
        </is>
      </c>
      <c r="C1239" s="53" t="inlineStr">
        <is>
          <t>F</t>
        </is>
      </c>
      <c r="D1239" s="53" t="inlineStr">
        <is>
          <t>KTL</t>
        </is>
      </c>
      <c r="E1239" s="53" t="inlineStr">
        <is>
          <t>C</t>
        </is>
      </c>
      <c r="F1239" s="54" t="n">
        <v>63.53</v>
      </c>
      <c r="G1239" s="55">
        <f>MAX(0,IF(Parameter!$B$20="Jahresanfang 2025 + Export",BG1239+BF1239,BF1239))</f>
        <v/>
      </c>
      <c r="H1239" s="55">
        <f>G1239*F1239</f>
        <v/>
      </c>
      <c r="I1239" s="55">
        <f>BI1239*Parameter!$B$18</f>
        <v/>
      </c>
      <c r="J1239" s="56" t="n">
        <v>32.5</v>
      </c>
      <c r="K1239" s="57" t="n">
        <v>0.5846153846153846</v>
      </c>
      <c r="L1239" s="55" t="n">
        <v>1</v>
      </c>
      <c r="M1239" s="55" t="n">
        <v>25</v>
      </c>
      <c r="N1239" s="58" t="n">
        <v>21</v>
      </c>
      <c r="O1239" s="53" t="inlineStr">
        <is>
          <t>S62</t>
        </is>
      </c>
      <c r="P1239" s="55" t="n">
        <v>60</v>
      </c>
      <c r="Q1239" s="59">
        <f>IF(BO1239=1,0,IFERROR(VLOOKUP(BM1239,'Gebinde-Kategorie'!$A$5:$G$45,6,0)+0,0))</f>
        <v/>
      </c>
      <c r="R1239" s="60" t="n"/>
      <c r="S1239" s="61" t="n"/>
      <c r="T1239" s="61" t="n"/>
      <c r="U1239" s="53">
        <f>IF(A1239="","",IF(IFERROR(VLOOKUP(D1239,Parameter!$A$35:$C$64,2,0),"Nein")="2+3",IF(ISNUMBER(SEARCH("grosser Artikel",BJ1239)),2,IFERROR(VLOOKUP(BM1239,Parameter!$F$35:$G$64,2,0),2)),IF(OR(IFERROR(VLOOKUP(D1239,Parameter!$A$35:$C$64,2,0),"Nein")="Nein",IFERROR(VLOOKUP(D1239,Parameter!$A$35:$C$64,2,0),"Nein")=""),"-",VLOOKUP(D1239,Parameter!$A$35:$C$64,2,0))))</f>
        <v/>
      </c>
      <c r="V1239" s="61" t="n"/>
      <c r="W1239" s="62" t="n"/>
      <c r="X1239" s="55">
        <f>AM1239</f>
        <v/>
      </c>
      <c r="Y1239" s="55">
        <f>MAX(AM1239,G1239)</f>
        <v/>
      </c>
      <c r="Z1239" s="63" t="n"/>
      <c r="AA1239" s="55">
        <f>IF(LEFT(Cockpit!$C$5,1)="A",G1239,IF(BT1239=1,BU1239,IF(LEFT(Cockpit!$C$5,1)="B",AE1239,MAX(AE1239,G1239))))</f>
        <v/>
      </c>
      <c r="AB1239" s="55">
        <f>IF(BO1239=1,0,ROUNDUP(AA1239/BN1239,0))</f>
        <v/>
      </c>
      <c r="AC1239" s="64">
        <f>IF(BO1239=1,IF(AA1239&lt;=0,0,BP1239*MAX(1,IF(G1239&gt;0,AA1239/G1239,1))),AB1239*Q1239)</f>
        <v/>
      </c>
      <c r="AD1239" s="55">
        <f>AA1239*F1239</f>
        <v/>
      </c>
      <c r="AE1239" s="55">
        <f>ROUNDUP(MAX(I1239/IF(BS1239&gt;0,BS1239,MAX(0.1,N(Cockpit!$C$6))),BV1239)/BN1239,0)*BN1239</f>
        <v/>
      </c>
      <c r="AF1239" s="56">
        <f>IF(AC1239&gt;0,I1239/AC1239,-1)</f>
        <v/>
      </c>
      <c r="AG1239" s="56">
        <f>IF(AND(OR(BR1239="L1",BR1239="L23"),AC1239&gt;0),SUMIFS($AC$7:$AC$1570,$BR$7:$BR$1570,BR1239,$AF$7:$AF$1570,"&gt;"&amp;AF1239)+SUMIFS($AC$7:$AC$1570,$BR$7:$BR$1570,BR1239,$AF$7:$AF$1570,AF1239,$BL$7:$BL$1570,"&lt;="&amp;BL1239),"")</f>
        <v/>
      </c>
      <c r="AH1239" s="65">
        <f>IF(AG1239="",0,MAX(0,MIN(1,(IF(BR1239="L1",Parameter!$K$5,Parameter!$K$6+Parameter!$K$7)-(AG1239-AC1239))/AC1239)))</f>
        <v/>
      </c>
      <c r="AI1239" s="55">
        <f>IF(LEFT(Cockpit!$I$5,1)="A",G1239,IF(BT1239=1,BU1239,IF(LEFT(Cockpit!$I$5,1)="B",AM1239,MAX(AM1239,G1239))))</f>
        <v/>
      </c>
      <c r="AJ1239" s="55">
        <f>IF(BO1239=1,0,ROUNDUP(AI1239/BN1239,0))</f>
        <v/>
      </c>
      <c r="AK1239" s="64">
        <f>IF(BO1239=1,IF(AI1239&lt;=0,0,BP1239*MAX(1,IF(G1239&gt;0,AI1239/G1239,1))),AJ1239*Q1239)</f>
        <v/>
      </c>
      <c r="AL1239" s="55">
        <f>AI1239*F1239</f>
        <v/>
      </c>
      <c r="AM1239" s="55">
        <f>ROUNDUP(MAX(I1239/IF(BS1239&gt;0,BS1239,MAX(0.1,N(Cockpit!$I$6))),BV1239)/BN1239,0)*BN1239</f>
        <v/>
      </c>
      <c r="AN1239" s="56">
        <f>IF(AK1239&gt;0,I1239/AK1239,-1)</f>
        <v/>
      </c>
      <c r="AO1239" s="56">
        <f>IF(AND(OR(BR1239="L1",BR1239="L23"),AK1239&gt;0),SUMIFS($AK$7:$AK$1570,$BR$7:$BR$1570,BR1239,$AN$7:$AN$1570,"&gt;"&amp;AN1239)+SUMIFS($AK$7:$AK$1570,$BR$7:$BR$1570,BR1239,$AN$7:$AN$1570,AN1239,$BL$7:$BL$1570,"&lt;="&amp;BL1239),"")</f>
        <v/>
      </c>
      <c r="AP1239" s="65">
        <f>IF(AO1239="",0,MAX(0,MIN(1,(IF(BR1239="L1",Parameter!$K$5,Parameter!$K$6+Parameter!$K$7)-(AO1239-AK1239))/AK1239)))</f>
        <v/>
      </c>
      <c r="AQ1239" s="55">
        <f>IF(LEFT(Cockpit!$O$5,1)="A",G1239,IF(BT1239=1,BU1239,IF(LEFT(Cockpit!$O$5,1)="B",AU1239,MAX(AU1239,G1239))))</f>
        <v/>
      </c>
      <c r="AR1239" s="55">
        <f>IF(BO1239=1,0,ROUNDUP(AQ1239/BN1239,0))</f>
        <v/>
      </c>
      <c r="AS1239" s="64">
        <f>IF(BO1239=1,IF(AQ1239&lt;=0,0,BP1239*MAX(1,IF(G1239&gt;0,AQ1239/G1239,1))),AR1239*Q1239)</f>
        <v/>
      </c>
      <c r="AT1239" s="55">
        <f>AQ1239*F1239</f>
        <v/>
      </c>
      <c r="AU1239" s="55">
        <f>ROUNDUP(MAX(I1239/IF(BS1239&gt;0,BS1239,MAX(0.1,N(Cockpit!$O$6))),BV1239)/BN1239,0)*BN1239</f>
        <v/>
      </c>
      <c r="AV1239" s="56">
        <f>IF(AS1239&gt;0,I1239/AS1239,-1)</f>
        <v/>
      </c>
      <c r="AW1239" s="56">
        <f>IF(AND(OR(BR1239="L1",BR1239="L23"),AS1239&gt;0),SUMIFS($AS$7:$AS$1570,$BR$7:$BR$1570,BR1239,$AV$7:$AV$1570,"&gt;"&amp;AV1239)+SUMIFS($AS$7:$AS$1570,$BR$7:$BR$1570,BR1239,$AV$7:$AV$1570,AV1239,$BL$7:$BL$1570,"&lt;="&amp;BL1239),"")</f>
        <v/>
      </c>
      <c r="AX1239" s="65">
        <f>IF(AW1239="",0,MAX(0,MIN(1,(IF(BR1239="L1",Parameter!$K$5,Parameter!$K$6+Parameter!$K$7)-(AW1239-AS1239))/AS1239)))</f>
        <v/>
      </c>
      <c r="AY1239" s="53">
        <f>IF(AC1239&lt;=0,"",IF(BR1239="Aussen","Aussenlager",IF(BR1239="-","Nicht im Lift",IF(AH1239&gt;=1,"Lift",IF(AH1239&lt;=0,"Aussenlager","teilweise")))))</f>
        <v/>
      </c>
      <c r="AZ1239" s="53">
        <f>IF(AK1239&lt;=0,"",IF(BR1239="Aussen","Aussenlager",IF(BR1239="-","Nicht im Lift",IF(AP1239&gt;=1,"Lift",IF(AP1239&lt;=0,"Aussenlager","teilweise")))))</f>
        <v/>
      </c>
      <c r="BA1239" s="53">
        <f>IF(AS1239&lt;=0,"",IF(BR1239="Aussen","Aussenlager",IF(BR1239="-","Nicht im Lift",IF(AX1239&gt;=1,"Lift",IF(AX1239&lt;=0,"Aussenlager","teilweise")))))</f>
        <v/>
      </c>
      <c r="BB1239" s="53">
        <f>IF(A1239="","",IF(BK1239=1,"Neu; ","")&amp;IF(AND(BK1239=0,BF1239&lt;0),"negativer Bestand (Export "&amp;BF1239&amp;"); ","")&amp;IF(I1239&lt;=0,"Kein Verbrauch; ","")&amp;IF(BO1239=1,"Lose – Fläche geschätzt; ","")&amp;IF(G1239&gt;AM1239,"Überbestand "&amp;ROUND(G1239-AM1239,0)&amp;" Stk / CHF "&amp;ROUND((G1239-AM1239)*F1239,0)&amp;"; ","")&amp;IF(AND(BT1239=1,BU1239&lt;BV1239),"MAX &lt; MB+LG; ","")&amp;IF(AND(BZ1239&gt;0,BY1239*10&gt;BZ1239),"zu hoch für Tablar; ","")&amp;IF(AND(BK1239=0,OR(BT1239=1,V1239&lt;&gt;"",S1239&lt;&gt;"",T1239&lt;&gt;"",W1239&lt;&gt;"")),"manuell übersteuert; ","")&amp;IF(AND(BO1239=0,Q1239=0),"Gebinde unbekannt; ","")&amp;IF(AND(BO1239=0,N(T1239)&lt;=0,N(P1239)&lt;=0),"Menge pro Gebinde fehlt (Ist = 1 Gebinde); ","")&amp;BJ1239)</f>
        <v/>
      </c>
      <c r="BC1239" s="53" t="n"/>
      <c r="BD1239" s="53" t="n"/>
      <c r="BE1239" s="61" t="n"/>
      <c r="BF1239" s="55" t="n">
        <v>-20</v>
      </c>
      <c r="BG1239" s="55" t="n">
        <v>36</v>
      </c>
      <c r="BH1239" s="54" t="n">
        <v>-693.8800000000001</v>
      </c>
      <c r="BI1239" s="55" t="n">
        <v>19</v>
      </c>
      <c r="BJ1239" s="53" t="inlineStr">
        <is>
          <t>B&amp;R</t>
        </is>
      </c>
      <c r="BK1239" s="58" t="n">
        <v>0</v>
      </c>
      <c r="BL1239" s="58" t="n">
        <v>1239</v>
      </c>
      <c r="BM1239" s="53">
        <f>IF(S1239&lt;&gt;"",UPPER(TRIM(S1239)),IF(O1239="","LOSE",O1239))</f>
        <v/>
      </c>
      <c r="BN1239" s="55">
        <f>IF(BM1239="LOSE",1,IF(N(T1239)&gt;0,T1239,IF(N(P1239)&gt;0,P1239,MAX(1,G1239))))</f>
        <v/>
      </c>
      <c r="BO1239" s="58">
        <f>IF(BM1239="LOSE",1,0)</f>
        <v/>
      </c>
      <c r="BP1239" s="64">
        <f>IF(BO1239=0,0,IF(N(R1239)&gt;0,R1239,IFERROR(VLOOKUP(D1239,Parameter!$A$35:$C$64,3,0)+0,0)))</f>
        <v/>
      </c>
      <c r="BQ1239" s="53">
        <f>IF(V1239&lt;&gt;"",V1239,U1239)</f>
        <v/>
      </c>
      <c r="BR1239" s="53">
        <f>IF(BQ1239=1,"L1",IF(OR(BQ1239=2,BQ1239=3),"L23",IF(BQ1239="Aussen","Aussen","-")))</f>
        <v/>
      </c>
      <c r="BS1239" s="66">
        <f>IF(N(W1239)&gt;0,W1239,0)</f>
        <v/>
      </c>
      <c r="BT1239" s="58">
        <f>IF(ISNUMBER(Z1239),1,0)</f>
        <v/>
      </c>
      <c r="BU1239" s="55">
        <f>N(Z1239)</f>
        <v/>
      </c>
      <c r="BV1239" s="55">
        <f>N(L1239)+N(M1239)</f>
        <v/>
      </c>
      <c r="BW1239" s="55">
        <f>ROUNDUP(G1239/BN1239,0)</f>
        <v/>
      </c>
      <c r="BX1239" s="55">
        <f>ROUNDUP(BU1239/BN1239,0)</f>
        <v/>
      </c>
      <c r="BY1239" s="58">
        <f>IF(BO1239=1,0,IFERROR(VLOOKUP(BM1239,'Gebinde-Kategorie'!$A$5:$G$45,5,0)+0,0))</f>
        <v/>
      </c>
      <c r="BZ1239" s="58">
        <f>IFERROR(IF(OR(BQ1239=1,BQ1239=2,BQ1239=3),N(INDEX(Parameter!$I$5:$I$7,BQ1239)),0),0)</f>
        <v/>
      </c>
    </row>
    <row r="1240">
      <c r="A1240" s="53" t="inlineStr">
        <is>
          <t>106962</t>
        </is>
      </c>
      <c r="B1240" s="53" t="inlineStr">
        <is>
          <t>Sicheres digtales Ausgangsmodul</t>
        </is>
      </c>
      <c r="C1240" s="53" t="inlineStr">
        <is>
          <t>F</t>
        </is>
      </c>
      <c r="D1240" s="53" t="inlineStr">
        <is>
          <t>KTL</t>
        </is>
      </c>
      <c r="E1240" s="53" t="inlineStr">
        <is>
          <t>C</t>
        </is>
      </c>
      <c r="F1240" s="54" t="n">
        <v>139.36</v>
      </c>
      <c r="G1240" s="55">
        <f>MAX(0,IF(Parameter!$B$20="Jahresanfang 2025 + Export",BG1240+BF1240,BF1240))</f>
        <v/>
      </c>
      <c r="H1240" s="55">
        <f>G1240*F1240</f>
        <v/>
      </c>
      <c r="I1240" s="55">
        <f>BI1240*Parameter!$B$18</f>
        <v/>
      </c>
      <c r="J1240" s="56" t="n">
        <v>110.5</v>
      </c>
      <c r="K1240" s="57" t="n">
        <v>0.02714932126696833</v>
      </c>
      <c r="L1240" s="55" t="n">
        <v>0</v>
      </c>
      <c r="M1240" s="55" t="n">
        <v>5</v>
      </c>
      <c r="N1240" s="58" t="n">
        <v>63</v>
      </c>
      <c r="O1240" s="53" t="inlineStr">
        <is>
          <t>S62</t>
        </is>
      </c>
      <c r="P1240" s="55" t="n">
        <v>110</v>
      </c>
      <c r="Q1240" s="59">
        <f>IF(BO1240=1,0,IFERROR(VLOOKUP(BM1240,'Gebinde-Kategorie'!$A$5:$G$45,6,0)+0,0))</f>
        <v/>
      </c>
      <c r="R1240" s="60" t="n"/>
      <c r="S1240" s="61" t="n"/>
      <c r="T1240" s="61" t="n"/>
      <c r="U1240" s="53">
        <f>IF(A1240="","",IF(IFERROR(VLOOKUP(D1240,Parameter!$A$35:$C$64,2,0),"Nein")="2+3",IF(ISNUMBER(SEARCH("grosser Artikel",BJ1240)),2,IFERROR(VLOOKUP(BM1240,Parameter!$F$35:$G$64,2,0),2)),IF(OR(IFERROR(VLOOKUP(D1240,Parameter!$A$35:$C$64,2,0),"Nein")="Nein",IFERROR(VLOOKUP(D1240,Parameter!$A$35:$C$64,2,0),"Nein")=""),"-",VLOOKUP(D1240,Parameter!$A$35:$C$64,2,0))))</f>
        <v/>
      </c>
      <c r="V1240" s="61" t="n"/>
      <c r="W1240" s="62" t="n"/>
      <c r="X1240" s="55">
        <f>AM1240</f>
        <v/>
      </c>
      <c r="Y1240" s="55">
        <f>MAX(AM1240,G1240)</f>
        <v/>
      </c>
      <c r="Z1240" s="63" t="n"/>
      <c r="AA1240" s="55">
        <f>IF(LEFT(Cockpit!$C$5,1)="A",G1240,IF(BT1240=1,BU1240,IF(LEFT(Cockpit!$C$5,1)="B",AE1240,MAX(AE1240,G1240))))</f>
        <v/>
      </c>
      <c r="AB1240" s="55">
        <f>IF(BO1240=1,0,ROUNDUP(AA1240/BN1240,0))</f>
        <v/>
      </c>
      <c r="AC1240" s="64">
        <f>IF(BO1240=1,IF(AA1240&lt;=0,0,BP1240*MAX(1,IF(G1240&gt;0,AA1240/G1240,1))),AB1240*Q1240)</f>
        <v/>
      </c>
      <c r="AD1240" s="55">
        <f>AA1240*F1240</f>
        <v/>
      </c>
      <c r="AE1240" s="55">
        <f>ROUNDUP(MAX(I1240/IF(BS1240&gt;0,BS1240,MAX(0.1,N(Cockpit!$C$6))),BV1240)/BN1240,0)*BN1240</f>
        <v/>
      </c>
      <c r="AF1240" s="56">
        <f>IF(AC1240&gt;0,I1240/AC1240,-1)</f>
        <v/>
      </c>
      <c r="AG1240" s="56">
        <f>IF(AND(OR(BR1240="L1",BR1240="L23"),AC1240&gt;0),SUMIFS($AC$7:$AC$1570,$BR$7:$BR$1570,BR1240,$AF$7:$AF$1570,"&gt;"&amp;AF1240)+SUMIFS($AC$7:$AC$1570,$BR$7:$BR$1570,BR1240,$AF$7:$AF$1570,AF1240,$BL$7:$BL$1570,"&lt;="&amp;BL1240),"")</f>
        <v/>
      </c>
      <c r="AH1240" s="65">
        <f>IF(AG1240="",0,MAX(0,MIN(1,(IF(BR1240="L1",Parameter!$K$5,Parameter!$K$6+Parameter!$K$7)-(AG1240-AC1240))/AC1240)))</f>
        <v/>
      </c>
      <c r="AI1240" s="55">
        <f>IF(LEFT(Cockpit!$I$5,1)="A",G1240,IF(BT1240=1,BU1240,IF(LEFT(Cockpit!$I$5,1)="B",AM1240,MAX(AM1240,G1240))))</f>
        <v/>
      </c>
      <c r="AJ1240" s="55">
        <f>IF(BO1240=1,0,ROUNDUP(AI1240/BN1240,0))</f>
        <v/>
      </c>
      <c r="AK1240" s="64">
        <f>IF(BO1240=1,IF(AI1240&lt;=0,0,BP1240*MAX(1,IF(G1240&gt;0,AI1240/G1240,1))),AJ1240*Q1240)</f>
        <v/>
      </c>
      <c r="AL1240" s="55">
        <f>AI1240*F1240</f>
        <v/>
      </c>
      <c r="AM1240" s="55">
        <f>ROUNDUP(MAX(I1240/IF(BS1240&gt;0,BS1240,MAX(0.1,N(Cockpit!$I$6))),BV1240)/BN1240,0)*BN1240</f>
        <v/>
      </c>
      <c r="AN1240" s="56">
        <f>IF(AK1240&gt;0,I1240/AK1240,-1)</f>
        <v/>
      </c>
      <c r="AO1240" s="56">
        <f>IF(AND(OR(BR1240="L1",BR1240="L23"),AK1240&gt;0),SUMIFS($AK$7:$AK$1570,$BR$7:$BR$1570,BR1240,$AN$7:$AN$1570,"&gt;"&amp;AN1240)+SUMIFS($AK$7:$AK$1570,$BR$7:$BR$1570,BR1240,$AN$7:$AN$1570,AN1240,$BL$7:$BL$1570,"&lt;="&amp;BL1240),"")</f>
        <v/>
      </c>
      <c r="AP1240" s="65">
        <f>IF(AO1240="",0,MAX(0,MIN(1,(IF(BR1240="L1",Parameter!$K$5,Parameter!$K$6+Parameter!$K$7)-(AO1240-AK1240))/AK1240)))</f>
        <v/>
      </c>
      <c r="AQ1240" s="55">
        <f>IF(LEFT(Cockpit!$O$5,1)="A",G1240,IF(BT1240=1,BU1240,IF(LEFT(Cockpit!$O$5,1)="B",AU1240,MAX(AU1240,G1240))))</f>
        <v/>
      </c>
      <c r="AR1240" s="55">
        <f>IF(BO1240=1,0,ROUNDUP(AQ1240/BN1240,0))</f>
        <v/>
      </c>
      <c r="AS1240" s="64">
        <f>IF(BO1240=1,IF(AQ1240&lt;=0,0,BP1240*MAX(1,IF(G1240&gt;0,AQ1240/G1240,1))),AR1240*Q1240)</f>
        <v/>
      </c>
      <c r="AT1240" s="55">
        <f>AQ1240*F1240</f>
        <v/>
      </c>
      <c r="AU1240" s="55">
        <f>ROUNDUP(MAX(I1240/IF(BS1240&gt;0,BS1240,MAX(0.1,N(Cockpit!$O$6))),BV1240)/BN1240,0)*BN1240</f>
        <v/>
      </c>
      <c r="AV1240" s="56">
        <f>IF(AS1240&gt;0,I1240/AS1240,-1)</f>
        <v/>
      </c>
      <c r="AW1240" s="56">
        <f>IF(AND(OR(BR1240="L1",BR1240="L23"),AS1240&gt;0),SUMIFS($AS$7:$AS$1570,$BR$7:$BR$1570,BR1240,$AV$7:$AV$1570,"&gt;"&amp;AV1240)+SUMIFS($AS$7:$AS$1570,$BR$7:$BR$1570,BR1240,$AV$7:$AV$1570,AV1240,$BL$7:$BL$1570,"&lt;="&amp;BL1240),"")</f>
        <v/>
      </c>
      <c r="AX1240" s="65">
        <f>IF(AW1240="",0,MAX(0,MIN(1,(IF(BR1240="L1",Parameter!$K$5,Parameter!$K$6+Parameter!$K$7)-(AW1240-AS1240))/AS1240)))</f>
        <v/>
      </c>
      <c r="AY1240" s="53">
        <f>IF(AC1240&lt;=0,"",IF(BR1240="Aussen","Aussenlager",IF(BR1240="-","Nicht im Lift",IF(AH1240&gt;=1,"Lift",IF(AH1240&lt;=0,"Aussenlager","teilweise")))))</f>
        <v/>
      </c>
      <c r="AZ1240" s="53">
        <f>IF(AK1240&lt;=0,"",IF(BR1240="Aussen","Aussenlager",IF(BR1240="-","Nicht im Lift",IF(AP1240&gt;=1,"Lift",IF(AP1240&lt;=0,"Aussenlager","teilweise")))))</f>
        <v/>
      </c>
      <c r="BA1240" s="53">
        <f>IF(AS1240&lt;=0,"",IF(BR1240="Aussen","Aussenlager",IF(BR1240="-","Nicht im Lift",IF(AX1240&gt;=1,"Lift",IF(AX1240&lt;=0,"Aussenlager","teilweise")))))</f>
        <v/>
      </c>
      <c r="BB1240" s="53">
        <f>IF(A1240="","",IF(BK1240=1,"Neu; ","")&amp;IF(AND(BK1240=0,BF1240&lt;0),"negativer Bestand (Export "&amp;BF1240&amp;"); ","")&amp;IF(I1240&lt;=0,"Kein Verbrauch; ","")&amp;IF(BO1240=1,"Lose – Fläche geschätzt; ","")&amp;IF(G1240&gt;AM1240,"Überbestand "&amp;ROUND(G1240-AM1240,0)&amp;" Stk / CHF "&amp;ROUND((G1240-AM1240)*F1240,0)&amp;"; ","")&amp;IF(AND(BT1240=1,BU1240&lt;BV1240),"MAX &lt; MB+LG; ","")&amp;IF(AND(BZ1240&gt;0,BY1240*10&gt;BZ1240),"zu hoch für Tablar; ","")&amp;IF(AND(BK1240=0,OR(BT1240=1,V1240&lt;&gt;"",S1240&lt;&gt;"",T1240&lt;&gt;"",W1240&lt;&gt;"")),"manuell übersteuert; ","")&amp;IF(AND(BO1240=0,Q1240=0),"Gebinde unbekannt; ","")&amp;IF(AND(BO1240=0,N(T1240)&lt;=0,N(P1240)&lt;=0),"Menge pro Gebinde fehlt (Ist = 1 Gebinde); ","")&amp;BJ1240)</f>
        <v/>
      </c>
      <c r="BC1240" s="53" t="n"/>
      <c r="BD1240" s="53" t="n"/>
      <c r="BE1240" s="61" t="n"/>
      <c r="BF1240" s="55" t="n">
        <v>-5</v>
      </c>
      <c r="BG1240" s="55" t="n">
        <v>112</v>
      </c>
      <c r="BH1240" s="54" t="n">
        <v>-696.8000000000001</v>
      </c>
      <c r="BI1240" s="55" t="n">
        <v>3</v>
      </c>
      <c r="BJ1240" s="53" t="inlineStr">
        <is>
          <t>i.o</t>
        </is>
      </c>
      <c r="BK1240" s="58" t="n">
        <v>0</v>
      </c>
      <c r="BL1240" s="58" t="n">
        <v>1240</v>
      </c>
      <c r="BM1240" s="53">
        <f>IF(S1240&lt;&gt;"",UPPER(TRIM(S1240)),IF(O1240="","LOSE",O1240))</f>
        <v/>
      </c>
      <c r="BN1240" s="55">
        <f>IF(BM1240="LOSE",1,IF(N(T1240)&gt;0,T1240,IF(N(P1240)&gt;0,P1240,MAX(1,G1240))))</f>
        <v/>
      </c>
      <c r="BO1240" s="58">
        <f>IF(BM1240="LOSE",1,0)</f>
        <v/>
      </c>
      <c r="BP1240" s="64">
        <f>IF(BO1240=0,0,IF(N(R1240)&gt;0,R1240,IFERROR(VLOOKUP(D1240,Parameter!$A$35:$C$64,3,0)+0,0)))</f>
        <v/>
      </c>
      <c r="BQ1240" s="53">
        <f>IF(V1240&lt;&gt;"",V1240,U1240)</f>
        <v/>
      </c>
      <c r="BR1240" s="53">
        <f>IF(BQ1240=1,"L1",IF(OR(BQ1240=2,BQ1240=3),"L23",IF(BQ1240="Aussen","Aussen","-")))</f>
        <v/>
      </c>
      <c r="BS1240" s="66">
        <f>IF(N(W1240)&gt;0,W1240,0)</f>
        <v/>
      </c>
      <c r="BT1240" s="58">
        <f>IF(ISNUMBER(Z1240),1,0)</f>
        <v/>
      </c>
      <c r="BU1240" s="55">
        <f>N(Z1240)</f>
        <v/>
      </c>
      <c r="BV1240" s="55">
        <f>N(L1240)+N(M1240)</f>
        <v/>
      </c>
      <c r="BW1240" s="55">
        <f>ROUNDUP(G1240/BN1240,0)</f>
        <v/>
      </c>
      <c r="BX1240" s="55">
        <f>ROUNDUP(BU1240/BN1240,0)</f>
        <v/>
      </c>
      <c r="BY1240" s="58">
        <f>IF(BO1240=1,0,IFERROR(VLOOKUP(BM1240,'Gebinde-Kategorie'!$A$5:$G$45,5,0)+0,0))</f>
        <v/>
      </c>
      <c r="BZ1240" s="58">
        <f>IFERROR(IF(OR(BQ1240=1,BQ1240=2,BQ1240=3),N(INDEX(Parameter!$I$5:$I$7,BQ1240)),0),0)</f>
        <v/>
      </c>
    </row>
    <row r="1241">
      <c r="A1241" s="53" t="inlineStr">
        <is>
          <t>109788</t>
        </is>
      </c>
      <c r="B1241" s="53" t="inlineStr">
        <is>
          <t>Gasvorwärmer</t>
        </is>
      </c>
      <c r="C1241" s="53" t="inlineStr">
        <is>
          <t>F</t>
        </is>
      </c>
      <c r="D1241" s="53" t="inlineStr">
        <is>
          <t>PAL</t>
        </is>
      </c>
      <c r="E1241" s="53" t="inlineStr">
        <is>
          <t>C</t>
        </is>
      </c>
      <c r="F1241" s="54" t="n">
        <v>348.62</v>
      </c>
      <c r="G1241" s="55">
        <f>MAX(0,IF(Parameter!$B$20="Jahresanfang 2025 + Export",BG1241+BF1241,BF1241))</f>
        <v/>
      </c>
      <c r="H1241" s="55">
        <f>G1241*F1241</f>
        <v/>
      </c>
      <c r="I1241" s="55">
        <f>BI1241*Parameter!$B$18</f>
        <v/>
      </c>
      <c r="J1241" s="56" t="n">
        <v>7.5</v>
      </c>
      <c r="K1241" s="57" t="n">
        <v>0.1333333333333333</v>
      </c>
      <c r="L1241" s="55" t="n">
        <v>0</v>
      </c>
      <c r="M1241" s="55" t="n">
        <v>1</v>
      </c>
      <c r="N1241" s="58" t="n">
        <v>35</v>
      </c>
      <c r="O1241" s="53" t="inlineStr">
        <is>
          <t>LOSE</t>
        </is>
      </c>
      <c r="P1241" s="55" t="n"/>
      <c r="Q1241" s="59">
        <f>IF(BO1241=1,0,IFERROR(VLOOKUP(BM1241,'Gebinde-Kategorie'!$A$5:$G$45,6,0)+0,0))</f>
        <v/>
      </c>
      <c r="R1241" s="60" t="n"/>
      <c r="S1241" s="61" t="n"/>
      <c r="T1241" s="61" t="n"/>
      <c r="U1241" s="53">
        <f>IF(A1241="","",IF(IFERROR(VLOOKUP(D1241,Parameter!$A$35:$C$64,2,0),"Nein")="2+3",IF(ISNUMBER(SEARCH("grosser Artikel",BJ1241)),2,IFERROR(VLOOKUP(BM1241,Parameter!$F$35:$G$64,2,0),2)),IF(OR(IFERROR(VLOOKUP(D1241,Parameter!$A$35:$C$64,2,0),"Nein")="Nein",IFERROR(VLOOKUP(D1241,Parameter!$A$35:$C$64,2,0),"Nein")=""),"-",VLOOKUP(D1241,Parameter!$A$35:$C$64,2,0))))</f>
        <v/>
      </c>
      <c r="V1241" s="61" t="n"/>
      <c r="W1241" s="62" t="n"/>
      <c r="X1241" s="55">
        <f>AM1241</f>
        <v/>
      </c>
      <c r="Y1241" s="55">
        <f>MAX(AM1241,G1241)</f>
        <v/>
      </c>
      <c r="Z1241" s="63" t="n"/>
      <c r="AA1241" s="55">
        <f>IF(LEFT(Cockpit!$C$5,1)="A",G1241,IF(BT1241=1,BU1241,IF(LEFT(Cockpit!$C$5,1)="B",AE1241,MAX(AE1241,G1241))))</f>
        <v/>
      </c>
      <c r="AB1241" s="55">
        <f>IF(BO1241=1,0,ROUNDUP(AA1241/BN1241,0))</f>
        <v/>
      </c>
      <c r="AC1241" s="64">
        <f>IF(BO1241=1,IF(AA1241&lt;=0,0,BP1241*MAX(1,IF(G1241&gt;0,AA1241/G1241,1))),AB1241*Q1241)</f>
        <v/>
      </c>
      <c r="AD1241" s="55">
        <f>AA1241*F1241</f>
        <v/>
      </c>
      <c r="AE1241" s="55">
        <f>ROUNDUP(MAX(I1241/IF(BS1241&gt;0,BS1241,MAX(0.1,N(Cockpit!$C$6))),BV1241)/BN1241,0)*BN1241</f>
        <v/>
      </c>
      <c r="AF1241" s="56">
        <f>IF(AC1241&gt;0,I1241/AC1241,-1)</f>
        <v/>
      </c>
      <c r="AG1241" s="56">
        <f>IF(AND(OR(BR1241="L1",BR1241="L23"),AC1241&gt;0),SUMIFS($AC$7:$AC$1570,$BR$7:$BR$1570,BR1241,$AF$7:$AF$1570,"&gt;"&amp;AF1241)+SUMIFS($AC$7:$AC$1570,$BR$7:$BR$1570,BR1241,$AF$7:$AF$1570,AF1241,$BL$7:$BL$1570,"&lt;="&amp;BL1241),"")</f>
        <v/>
      </c>
      <c r="AH1241" s="65">
        <f>IF(AG1241="",0,MAX(0,MIN(1,(IF(BR1241="L1",Parameter!$K$5,Parameter!$K$6+Parameter!$K$7)-(AG1241-AC1241))/AC1241)))</f>
        <v/>
      </c>
      <c r="AI1241" s="55">
        <f>IF(LEFT(Cockpit!$I$5,1)="A",G1241,IF(BT1241=1,BU1241,IF(LEFT(Cockpit!$I$5,1)="B",AM1241,MAX(AM1241,G1241))))</f>
        <v/>
      </c>
      <c r="AJ1241" s="55">
        <f>IF(BO1241=1,0,ROUNDUP(AI1241/BN1241,0))</f>
        <v/>
      </c>
      <c r="AK1241" s="64">
        <f>IF(BO1241=1,IF(AI1241&lt;=0,0,BP1241*MAX(1,IF(G1241&gt;0,AI1241/G1241,1))),AJ1241*Q1241)</f>
        <v/>
      </c>
      <c r="AL1241" s="55">
        <f>AI1241*F1241</f>
        <v/>
      </c>
      <c r="AM1241" s="55">
        <f>ROUNDUP(MAX(I1241/IF(BS1241&gt;0,BS1241,MAX(0.1,N(Cockpit!$I$6))),BV1241)/BN1241,0)*BN1241</f>
        <v/>
      </c>
      <c r="AN1241" s="56">
        <f>IF(AK1241&gt;0,I1241/AK1241,-1)</f>
        <v/>
      </c>
      <c r="AO1241" s="56">
        <f>IF(AND(OR(BR1241="L1",BR1241="L23"),AK1241&gt;0),SUMIFS($AK$7:$AK$1570,$BR$7:$BR$1570,BR1241,$AN$7:$AN$1570,"&gt;"&amp;AN1241)+SUMIFS($AK$7:$AK$1570,$BR$7:$BR$1570,BR1241,$AN$7:$AN$1570,AN1241,$BL$7:$BL$1570,"&lt;="&amp;BL1241),"")</f>
        <v/>
      </c>
      <c r="AP1241" s="65">
        <f>IF(AO1241="",0,MAX(0,MIN(1,(IF(BR1241="L1",Parameter!$K$5,Parameter!$K$6+Parameter!$K$7)-(AO1241-AK1241))/AK1241)))</f>
        <v/>
      </c>
      <c r="AQ1241" s="55">
        <f>IF(LEFT(Cockpit!$O$5,1)="A",G1241,IF(BT1241=1,BU1241,IF(LEFT(Cockpit!$O$5,1)="B",AU1241,MAX(AU1241,G1241))))</f>
        <v/>
      </c>
      <c r="AR1241" s="55">
        <f>IF(BO1241=1,0,ROUNDUP(AQ1241/BN1241,0))</f>
        <v/>
      </c>
      <c r="AS1241" s="64">
        <f>IF(BO1241=1,IF(AQ1241&lt;=0,0,BP1241*MAX(1,IF(G1241&gt;0,AQ1241/G1241,1))),AR1241*Q1241)</f>
        <v/>
      </c>
      <c r="AT1241" s="55">
        <f>AQ1241*F1241</f>
        <v/>
      </c>
      <c r="AU1241" s="55">
        <f>ROUNDUP(MAX(I1241/IF(BS1241&gt;0,BS1241,MAX(0.1,N(Cockpit!$O$6))),BV1241)/BN1241,0)*BN1241</f>
        <v/>
      </c>
      <c r="AV1241" s="56">
        <f>IF(AS1241&gt;0,I1241/AS1241,-1)</f>
        <v/>
      </c>
      <c r="AW1241" s="56">
        <f>IF(AND(OR(BR1241="L1",BR1241="L23"),AS1241&gt;0),SUMIFS($AS$7:$AS$1570,$BR$7:$BR$1570,BR1241,$AV$7:$AV$1570,"&gt;"&amp;AV1241)+SUMIFS($AS$7:$AS$1570,$BR$7:$BR$1570,BR1241,$AV$7:$AV$1570,AV1241,$BL$7:$BL$1570,"&lt;="&amp;BL1241),"")</f>
        <v/>
      </c>
      <c r="AX1241" s="65">
        <f>IF(AW1241="",0,MAX(0,MIN(1,(IF(BR1241="L1",Parameter!$K$5,Parameter!$K$6+Parameter!$K$7)-(AW1241-AS1241))/AS1241)))</f>
        <v/>
      </c>
      <c r="AY1241" s="53">
        <f>IF(AC1241&lt;=0,"",IF(BR1241="Aussen","Aussenlager",IF(BR1241="-","Nicht im Lift",IF(AH1241&gt;=1,"Lift",IF(AH1241&lt;=0,"Aussenlager","teilweise")))))</f>
        <v/>
      </c>
      <c r="AZ1241" s="53">
        <f>IF(AK1241&lt;=0,"",IF(BR1241="Aussen","Aussenlager",IF(BR1241="-","Nicht im Lift",IF(AP1241&gt;=1,"Lift",IF(AP1241&lt;=0,"Aussenlager","teilweise")))))</f>
        <v/>
      </c>
      <c r="BA1241" s="53">
        <f>IF(AS1241&lt;=0,"",IF(BR1241="Aussen","Aussenlager",IF(BR1241="-","Nicht im Lift",IF(AX1241&gt;=1,"Lift",IF(AX1241&lt;=0,"Aussenlager","teilweise")))))</f>
        <v/>
      </c>
      <c r="BB1241" s="53">
        <f>IF(A1241="","",IF(BK1241=1,"Neu; ","")&amp;IF(AND(BK1241=0,BF1241&lt;0),"negativer Bestand (Export "&amp;BF1241&amp;"); ","")&amp;IF(I1241&lt;=0,"Kein Verbrauch; ","")&amp;IF(BO1241=1,"Lose – Fläche geschätzt; ","")&amp;IF(G1241&gt;AM1241,"Überbestand "&amp;ROUND(G1241-AM1241,0)&amp;" Stk / CHF "&amp;ROUND((G1241-AM1241)*F1241,0)&amp;"; ","")&amp;IF(AND(BT1241=1,BU1241&lt;BV1241),"MAX &lt; MB+LG; ","")&amp;IF(AND(BZ1241&gt;0,BY1241*10&gt;BZ1241),"zu hoch für Tablar; ","")&amp;IF(AND(BK1241=0,OR(BT1241=1,V1241&lt;&gt;"",S1241&lt;&gt;"",T1241&lt;&gt;"",W1241&lt;&gt;"")),"manuell übersteuert; ","")&amp;IF(AND(BO1241=0,Q1241=0),"Gebinde unbekannt; ","")&amp;IF(AND(BO1241=0,N(T1241)&lt;=0,N(P1241)&lt;=0),"Menge pro Gebinde fehlt (Ist = 1 Gebinde); ","")&amp;BJ1241)</f>
        <v/>
      </c>
      <c r="BC1241" s="53" t="n"/>
      <c r="BD1241" s="53" t="n"/>
      <c r="BE1241" s="61" t="n"/>
      <c r="BF1241" s="55" t="n">
        <v>-2</v>
      </c>
      <c r="BG1241" s="55" t="n">
        <v>8</v>
      </c>
      <c r="BH1241" s="54" t="n">
        <v>-697.24</v>
      </c>
      <c r="BI1241" s="55" t="n">
        <v>1</v>
      </c>
      <c r="BJ1241" s="53" t="inlineStr"/>
      <c r="BK1241" s="58" t="n">
        <v>0</v>
      </c>
      <c r="BL1241" s="58" t="n">
        <v>1241</v>
      </c>
      <c r="BM1241" s="53">
        <f>IF(S1241&lt;&gt;"",UPPER(TRIM(S1241)),IF(O1241="","LOSE",O1241))</f>
        <v/>
      </c>
      <c r="BN1241" s="55">
        <f>IF(BM1241="LOSE",1,IF(N(T1241)&gt;0,T1241,IF(N(P1241)&gt;0,P1241,MAX(1,G1241))))</f>
        <v/>
      </c>
      <c r="BO1241" s="58">
        <f>IF(BM1241="LOSE",1,0)</f>
        <v/>
      </c>
      <c r="BP1241" s="64">
        <f>IF(BO1241=0,0,IF(N(R1241)&gt;0,R1241,IFERROR(VLOOKUP(D1241,Parameter!$A$35:$C$64,3,0)+0,0)))</f>
        <v/>
      </c>
      <c r="BQ1241" s="53">
        <f>IF(V1241&lt;&gt;"",V1241,U1241)</f>
        <v/>
      </c>
      <c r="BR1241" s="53">
        <f>IF(BQ1241=1,"L1",IF(OR(BQ1241=2,BQ1241=3),"L23",IF(BQ1241="Aussen","Aussen","-")))</f>
        <v/>
      </c>
      <c r="BS1241" s="66">
        <f>IF(N(W1241)&gt;0,W1241,0)</f>
        <v/>
      </c>
      <c r="BT1241" s="58">
        <f>IF(ISNUMBER(Z1241),1,0)</f>
        <v/>
      </c>
      <c r="BU1241" s="55">
        <f>N(Z1241)</f>
        <v/>
      </c>
      <c r="BV1241" s="55">
        <f>N(L1241)+N(M1241)</f>
        <v/>
      </c>
      <c r="BW1241" s="55">
        <f>ROUNDUP(G1241/BN1241,0)</f>
        <v/>
      </c>
      <c r="BX1241" s="55">
        <f>ROUNDUP(BU1241/BN1241,0)</f>
        <v/>
      </c>
      <c r="BY1241" s="58">
        <f>IF(BO1241=1,0,IFERROR(VLOOKUP(BM1241,'Gebinde-Kategorie'!$A$5:$G$45,5,0)+0,0))</f>
        <v/>
      </c>
      <c r="BZ1241" s="58">
        <f>IFERROR(IF(OR(BQ1241=1,BQ1241=2,BQ1241=3),N(INDEX(Parameter!$I$5:$I$7,BQ1241)),0),0)</f>
        <v/>
      </c>
    </row>
    <row r="1242">
      <c r="A1242" s="53" t="inlineStr">
        <is>
          <t>109155</t>
        </is>
      </c>
      <c r="B1242" s="53" t="inlineStr">
        <is>
          <t>Kugelhahn</t>
        </is>
      </c>
      <c r="C1242" s="53" t="inlineStr">
        <is>
          <t>F</t>
        </is>
      </c>
      <c r="D1242" s="53" t="inlineStr">
        <is>
          <t>KTL</t>
        </is>
      </c>
      <c r="E1242" s="53" t="inlineStr">
        <is>
          <t>C</t>
        </is>
      </c>
      <c r="F1242" s="54" t="n">
        <v>77.59</v>
      </c>
      <c r="G1242" s="55">
        <f>MAX(0,IF(Parameter!$B$20="Jahresanfang 2025 + Export",BG1242+BF1242,BF1242))</f>
        <v/>
      </c>
      <c r="H1242" s="55">
        <f>G1242*F1242</f>
        <v/>
      </c>
      <c r="I1242" s="55">
        <f>BI1242*Parameter!$B$18</f>
        <v/>
      </c>
      <c r="J1242" s="56" t="n">
        <v>24</v>
      </c>
      <c r="K1242" s="57" t="n">
        <v>0.1666666666666667</v>
      </c>
      <c r="L1242" s="55" t="n">
        <v>0</v>
      </c>
      <c r="M1242" s="55" t="n">
        <v>5</v>
      </c>
      <c r="N1242" s="58" t="n">
        <v>35</v>
      </c>
      <c r="O1242" s="53" t="inlineStr">
        <is>
          <t>LOSE</t>
        </is>
      </c>
      <c r="P1242" s="55" t="n"/>
      <c r="Q1242" s="59">
        <f>IF(BO1242=1,0,IFERROR(VLOOKUP(BM1242,'Gebinde-Kategorie'!$A$5:$G$45,6,0)+0,0))</f>
        <v/>
      </c>
      <c r="R1242" s="60" t="n"/>
      <c r="S1242" s="61" t="n"/>
      <c r="T1242" s="61" t="n"/>
      <c r="U1242" s="53">
        <f>IF(A1242="","",IF(IFERROR(VLOOKUP(D1242,Parameter!$A$35:$C$64,2,0),"Nein")="2+3",IF(ISNUMBER(SEARCH("grosser Artikel",BJ1242)),2,IFERROR(VLOOKUP(BM1242,Parameter!$F$35:$G$64,2,0),2)),IF(OR(IFERROR(VLOOKUP(D1242,Parameter!$A$35:$C$64,2,0),"Nein")="Nein",IFERROR(VLOOKUP(D1242,Parameter!$A$35:$C$64,2,0),"Nein")=""),"-",VLOOKUP(D1242,Parameter!$A$35:$C$64,2,0))))</f>
        <v/>
      </c>
      <c r="V1242" s="61" t="n"/>
      <c r="W1242" s="62" t="n"/>
      <c r="X1242" s="55">
        <f>AM1242</f>
        <v/>
      </c>
      <c r="Y1242" s="55">
        <f>MAX(AM1242,G1242)</f>
        <v/>
      </c>
      <c r="Z1242" s="63" t="n"/>
      <c r="AA1242" s="55">
        <f>IF(LEFT(Cockpit!$C$5,1)="A",G1242,IF(BT1242=1,BU1242,IF(LEFT(Cockpit!$C$5,1)="B",AE1242,MAX(AE1242,G1242))))</f>
        <v/>
      </c>
      <c r="AB1242" s="55">
        <f>IF(BO1242=1,0,ROUNDUP(AA1242/BN1242,0))</f>
        <v/>
      </c>
      <c r="AC1242" s="64">
        <f>IF(BO1242=1,IF(AA1242&lt;=0,0,BP1242*MAX(1,IF(G1242&gt;0,AA1242/G1242,1))),AB1242*Q1242)</f>
        <v/>
      </c>
      <c r="AD1242" s="55">
        <f>AA1242*F1242</f>
        <v/>
      </c>
      <c r="AE1242" s="55">
        <f>ROUNDUP(MAX(I1242/IF(BS1242&gt;0,BS1242,MAX(0.1,N(Cockpit!$C$6))),BV1242)/BN1242,0)*BN1242</f>
        <v/>
      </c>
      <c r="AF1242" s="56">
        <f>IF(AC1242&gt;0,I1242/AC1242,-1)</f>
        <v/>
      </c>
      <c r="AG1242" s="56">
        <f>IF(AND(OR(BR1242="L1",BR1242="L23"),AC1242&gt;0),SUMIFS($AC$7:$AC$1570,$BR$7:$BR$1570,BR1242,$AF$7:$AF$1570,"&gt;"&amp;AF1242)+SUMIFS($AC$7:$AC$1570,$BR$7:$BR$1570,BR1242,$AF$7:$AF$1570,AF1242,$BL$7:$BL$1570,"&lt;="&amp;BL1242),"")</f>
        <v/>
      </c>
      <c r="AH1242" s="65">
        <f>IF(AG1242="",0,MAX(0,MIN(1,(IF(BR1242="L1",Parameter!$K$5,Parameter!$K$6+Parameter!$K$7)-(AG1242-AC1242))/AC1242)))</f>
        <v/>
      </c>
      <c r="AI1242" s="55">
        <f>IF(LEFT(Cockpit!$I$5,1)="A",G1242,IF(BT1242=1,BU1242,IF(LEFT(Cockpit!$I$5,1)="B",AM1242,MAX(AM1242,G1242))))</f>
        <v/>
      </c>
      <c r="AJ1242" s="55">
        <f>IF(BO1242=1,0,ROUNDUP(AI1242/BN1242,0))</f>
        <v/>
      </c>
      <c r="AK1242" s="64">
        <f>IF(BO1242=1,IF(AI1242&lt;=0,0,BP1242*MAX(1,IF(G1242&gt;0,AI1242/G1242,1))),AJ1242*Q1242)</f>
        <v/>
      </c>
      <c r="AL1242" s="55">
        <f>AI1242*F1242</f>
        <v/>
      </c>
      <c r="AM1242" s="55">
        <f>ROUNDUP(MAX(I1242/IF(BS1242&gt;0,BS1242,MAX(0.1,N(Cockpit!$I$6))),BV1242)/BN1242,0)*BN1242</f>
        <v/>
      </c>
      <c r="AN1242" s="56">
        <f>IF(AK1242&gt;0,I1242/AK1242,-1)</f>
        <v/>
      </c>
      <c r="AO1242" s="56">
        <f>IF(AND(OR(BR1242="L1",BR1242="L23"),AK1242&gt;0),SUMIFS($AK$7:$AK$1570,$BR$7:$BR$1570,BR1242,$AN$7:$AN$1570,"&gt;"&amp;AN1242)+SUMIFS($AK$7:$AK$1570,$BR$7:$BR$1570,BR1242,$AN$7:$AN$1570,AN1242,$BL$7:$BL$1570,"&lt;="&amp;BL1242),"")</f>
        <v/>
      </c>
      <c r="AP1242" s="65">
        <f>IF(AO1242="",0,MAX(0,MIN(1,(IF(BR1242="L1",Parameter!$K$5,Parameter!$K$6+Parameter!$K$7)-(AO1242-AK1242))/AK1242)))</f>
        <v/>
      </c>
      <c r="AQ1242" s="55">
        <f>IF(LEFT(Cockpit!$O$5,1)="A",G1242,IF(BT1242=1,BU1242,IF(LEFT(Cockpit!$O$5,1)="B",AU1242,MAX(AU1242,G1242))))</f>
        <v/>
      </c>
      <c r="AR1242" s="55">
        <f>IF(BO1242=1,0,ROUNDUP(AQ1242/BN1242,0))</f>
        <v/>
      </c>
      <c r="AS1242" s="64">
        <f>IF(BO1242=1,IF(AQ1242&lt;=0,0,BP1242*MAX(1,IF(G1242&gt;0,AQ1242/G1242,1))),AR1242*Q1242)</f>
        <v/>
      </c>
      <c r="AT1242" s="55">
        <f>AQ1242*F1242</f>
        <v/>
      </c>
      <c r="AU1242" s="55">
        <f>ROUNDUP(MAX(I1242/IF(BS1242&gt;0,BS1242,MAX(0.1,N(Cockpit!$O$6))),BV1242)/BN1242,0)*BN1242</f>
        <v/>
      </c>
      <c r="AV1242" s="56">
        <f>IF(AS1242&gt;0,I1242/AS1242,-1)</f>
        <v/>
      </c>
      <c r="AW1242" s="56">
        <f>IF(AND(OR(BR1242="L1",BR1242="L23"),AS1242&gt;0),SUMIFS($AS$7:$AS$1570,$BR$7:$BR$1570,BR1242,$AV$7:$AV$1570,"&gt;"&amp;AV1242)+SUMIFS($AS$7:$AS$1570,$BR$7:$BR$1570,BR1242,$AV$7:$AV$1570,AV1242,$BL$7:$BL$1570,"&lt;="&amp;BL1242),"")</f>
        <v/>
      </c>
      <c r="AX1242" s="65">
        <f>IF(AW1242="",0,MAX(0,MIN(1,(IF(BR1242="L1",Parameter!$K$5,Parameter!$K$6+Parameter!$K$7)-(AW1242-AS1242))/AS1242)))</f>
        <v/>
      </c>
      <c r="AY1242" s="53">
        <f>IF(AC1242&lt;=0,"",IF(BR1242="Aussen","Aussenlager",IF(BR1242="-","Nicht im Lift",IF(AH1242&gt;=1,"Lift",IF(AH1242&lt;=0,"Aussenlager","teilweise")))))</f>
        <v/>
      </c>
      <c r="AZ1242" s="53">
        <f>IF(AK1242&lt;=0,"",IF(BR1242="Aussen","Aussenlager",IF(BR1242="-","Nicht im Lift",IF(AP1242&gt;=1,"Lift",IF(AP1242&lt;=0,"Aussenlager","teilweise")))))</f>
        <v/>
      </c>
      <c r="BA1242" s="53">
        <f>IF(AS1242&lt;=0,"",IF(BR1242="Aussen","Aussenlager",IF(BR1242="-","Nicht im Lift",IF(AX1242&gt;=1,"Lift",IF(AX1242&lt;=0,"Aussenlager","teilweise")))))</f>
        <v/>
      </c>
      <c r="BB1242" s="53">
        <f>IF(A1242="","",IF(BK1242=1,"Neu; ","")&amp;IF(AND(BK1242=0,BF1242&lt;0),"negativer Bestand (Export "&amp;BF1242&amp;"); ","")&amp;IF(I1242&lt;=0,"Kein Verbrauch; ","")&amp;IF(BO1242=1,"Lose – Fläche geschätzt; ","")&amp;IF(G1242&gt;AM1242,"Überbestand "&amp;ROUND(G1242-AM1242,0)&amp;" Stk / CHF "&amp;ROUND((G1242-AM1242)*F1242,0)&amp;"; ","")&amp;IF(AND(BT1242=1,BU1242&lt;BV1242),"MAX &lt; MB+LG; ","")&amp;IF(AND(BZ1242&gt;0,BY1242*10&gt;BZ1242),"zu hoch für Tablar; ","")&amp;IF(AND(BK1242=0,OR(BT1242=1,V1242&lt;&gt;"",S1242&lt;&gt;"",T1242&lt;&gt;"",W1242&lt;&gt;"")),"manuell übersteuert; ","")&amp;IF(AND(BO1242=0,Q1242=0),"Gebinde unbekannt; ","")&amp;IF(AND(BO1242=0,N(T1242)&lt;=0,N(P1242)&lt;=0),"Menge pro Gebinde fehlt (Ist = 1 Gebinde); ","")&amp;BJ1242)</f>
        <v/>
      </c>
      <c r="BC1242" s="53" t="n"/>
      <c r="BD1242" s="53" t="n"/>
      <c r="BE1242" s="61" t="n"/>
      <c r="BF1242" s="55" t="n">
        <v>-9</v>
      </c>
      <c r="BG1242" s="55" t="n">
        <v>26</v>
      </c>
      <c r="BH1242" s="54" t="n">
        <v>-698.3100000000001</v>
      </c>
      <c r="BI1242" s="55" t="n">
        <v>4</v>
      </c>
      <c r="BJ1242" s="53" t="inlineStr"/>
      <c r="BK1242" s="58" t="n">
        <v>0</v>
      </c>
      <c r="BL1242" s="58" t="n">
        <v>1242</v>
      </c>
      <c r="BM1242" s="53">
        <f>IF(S1242&lt;&gt;"",UPPER(TRIM(S1242)),IF(O1242="","LOSE",O1242))</f>
        <v/>
      </c>
      <c r="BN1242" s="55">
        <f>IF(BM1242="LOSE",1,IF(N(T1242)&gt;0,T1242,IF(N(P1242)&gt;0,P1242,MAX(1,G1242))))</f>
        <v/>
      </c>
      <c r="BO1242" s="58">
        <f>IF(BM1242="LOSE",1,0)</f>
        <v/>
      </c>
      <c r="BP1242" s="64">
        <f>IF(BO1242=0,0,IF(N(R1242)&gt;0,R1242,IFERROR(VLOOKUP(D1242,Parameter!$A$35:$C$64,3,0)+0,0)))</f>
        <v/>
      </c>
      <c r="BQ1242" s="53">
        <f>IF(V1242&lt;&gt;"",V1242,U1242)</f>
        <v/>
      </c>
      <c r="BR1242" s="53">
        <f>IF(BQ1242=1,"L1",IF(OR(BQ1242=2,BQ1242=3),"L23",IF(BQ1242="Aussen","Aussen","-")))</f>
        <v/>
      </c>
      <c r="BS1242" s="66">
        <f>IF(N(W1242)&gt;0,W1242,0)</f>
        <v/>
      </c>
      <c r="BT1242" s="58">
        <f>IF(ISNUMBER(Z1242),1,0)</f>
        <v/>
      </c>
      <c r="BU1242" s="55">
        <f>N(Z1242)</f>
        <v/>
      </c>
      <c r="BV1242" s="55">
        <f>N(L1242)+N(M1242)</f>
        <v/>
      </c>
      <c r="BW1242" s="55">
        <f>ROUNDUP(G1242/BN1242,0)</f>
        <v/>
      </c>
      <c r="BX1242" s="55">
        <f>ROUNDUP(BU1242/BN1242,0)</f>
        <v/>
      </c>
      <c r="BY1242" s="58">
        <f>IF(BO1242=1,0,IFERROR(VLOOKUP(BM1242,'Gebinde-Kategorie'!$A$5:$G$45,5,0)+0,0))</f>
        <v/>
      </c>
      <c r="BZ1242" s="58">
        <f>IFERROR(IF(OR(BQ1242=1,BQ1242=2,BQ1242=3),N(INDEX(Parameter!$I$5:$I$7,BQ1242)),0),0)</f>
        <v/>
      </c>
    </row>
    <row r="1243">
      <c r="A1243" s="53" t="inlineStr">
        <is>
          <t>106939</t>
        </is>
      </c>
      <c r="B1243" s="53" t="inlineStr">
        <is>
          <t>Basis Busmodul</t>
        </is>
      </c>
      <c r="C1243" s="53" t="inlineStr">
        <is>
          <t>F</t>
        </is>
      </c>
      <c r="D1243" s="53" t="inlineStr">
        <is>
          <t>KTL</t>
        </is>
      </c>
      <c r="E1243" s="53" t="inlineStr">
        <is>
          <t>C</t>
        </is>
      </c>
      <c r="F1243" s="54" t="n">
        <v>16.2</v>
      </c>
      <c r="G1243" s="55">
        <f>MAX(0,IF(Parameter!$B$20="Jahresanfang 2025 + Export",BG1243+BF1243,BF1243))</f>
        <v/>
      </c>
      <c r="H1243" s="55">
        <f>G1243*F1243</f>
        <v/>
      </c>
      <c r="I1243" s="55">
        <f>BI1243*Parameter!$B$18</f>
        <v/>
      </c>
      <c r="J1243" s="56" t="n">
        <v>59.5</v>
      </c>
      <c r="K1243" s="57" t="n">
        <v>0.03361344537815126</v>
      </c>
      <c r="L1243" s="55" t="n">
        <v>0</v>
      </c>
      <c r="M1243" s="55" t="n">
        <v>1</v>
      </c>
      <c r="N1243" s="58" t="n">
        <v>28</v>
      </c>
      <c r="O1243" s="53" t="inlineStr">
        <is>
          <t>S61</t>
        </is>
      </c>
      <c r="P1243" s="55" t="n">
        <v>40</v>
      </c>
      <c r="Q1243" s="59">
        <f>IF(BO1243=1,0,IFERROR(VLOOKUP(BM1243,'Gebinde-Kategorie'!$A$5:$G$45,6,0)+0,0))</f>
        <v/>
      </c>
      <c r="R1243" s="60" t="n"/>
      <c r="S1243" s="61" t="n"/>
      <c r="T1243" s="61" t="n"/>
      <c r="U1243" s="53">
        <f>IF(A1243="","",IF(IFERROR(VLOOKUP(D1243,Parameter!$A$35:$C$64,2,0),"Nein")="2+3",IF(ISNUMBER(SEARCH("grosser Artikel",BJ1243)),2,IFERROR(VLOOKUP(BM1243,Parameter!$F$35:$G$64,2,0),2)),IF(OR(IFERROR(VLOOKUP(D1243,Parameter!$A$35:$C$64,2,0),"Nein")="Nein",IFERROR(VLOOKUP(D1243,Parameter!$A$35:$C$64,2,0),"Nein")=""),"-",VLOOKUP(D1243,Parameter!$A$35:$C$64,2,0))))</f>
        <v/>
      </c>
      <c r="V1243" s="61" t="n"/>
      <c r="W1243" s="62" t="n"/>
      <c r="X1243" s="55">
        <f>AM1243</f>
        <v/>
      </c>
      <c r="Y1243" s="55">
        <f>MAX(AM1243,G1243)</f>
        <v/>
      </c>
      <c r="Z1243" s="63" t="n"/>
      <c r="AA1243" s="55">
        <f>IF(LEFT(Cockpit!$C$5,1)="A",G1243,IF(BT1243=1,BU1243,IF(LEFT(Cockpit!$C$5,1)="B",AE1243,MAX(AE1243,G1243))))</f>
        <v/>
      </c>
      <c r="AB1243" s="55">
        <f>IF(BO1243=1,0,ROUNDUP(AA1243/BN1243,0))</f>
        <v/>
      </c>
      <c r="AC1243" s="64">
        <f>IF(BO1243=1,IF(AA1243&lt;=0,0,BP1243*MAX(1,IF(G1243&gt;0,AA1243/G1243,1))),AB1243*Q1243)</f>
        <v/>
      </c>
      <c r="AD1243" s="55">
        <f>AA1243*F1243</f>
        <v/>
      </c>
      <c r="AE1243" s="55">
        <f>ROUNDUP(MAX(I1243/IF(BS1243&gt;0,BS1243,MAX(0.1,N(Cockpit!$C$6))),BV1243)/BN1243,0)*BN1243</f>
        <v/>
      </c>
      <c r="AF1243" s="56">
        <f>IF(AC1243&gt;0,I1243/AC1243,-1)</f>
        <v/>
      </c>
      <c r="AG1243" s="56">
        <f>IF(AND(OR(BR1243="L1",BR1243="L23"),AC1243&gt;0),SUMIFS($AC$7:$AC$1570,$BR$7:$BR$1570,BR1243,$AF$7:$AF$1570,"&gt;"&amp;AF1243)+SUMIFS($AC$7:$AC$1570,$BR$7:$BR$1570,BR1243,$AF$7:$AF$1570,AF1243,$BL$7:$BL$1570,"&lt;="&amp;BL1243),"")</f>
        <v/>
      </c>
      <c r="AH1243" s="65">
        <f>IF(AG1243="",0,MAX(0,MIN(1,(IF(BR1243="L1",Parameter!$K$5,Parameter!$K$6+Parameter!$K$7)-(AG1243-AC1243))/AC1243)))</f>
        <v/>
      </c>
      <c r="AI1243" s="55">
        <f>IF(LEFT(Cockpit!$I$5,1)="A",G1243,IF(BT1243=1,BU1243,IF(LEFT(Cockpit!$I$5,1)="B",AM1243,MAX(AM1243,G1243))))</f>
        <v/>
      </c>
      <c r="AJ1243" s="55">
        <f>IF(BO1243=1,0,ROUNDUP(AI1243/BN1243,0))</f>
        <v/>
      </c>
      <c r="AK1243" s="64">
        <f>IF(BO1243=1,IF(AI1243&lt;=0,0,BP1243*MAX(1,IF(G1243&gt;0,AI1243/G1243,1))),AJ1243*Q1243)</f>
        <v/>
      </c>
      <c r="AL1243" s="55">
        <f>AI1243*F1243</f>
        <v/>
      </c>
      <c r="AM1243" s="55">
        <f>ROUNDUP(MAX(I1243/IF(BS1243&gt;0,BS1243,MAX(0.1,N(Cockpit!$I$6))),BV1243)/BN1243,0)*BN1243</f>
        <v/>
      </c>
      <c r="AN1243" s="56">
        <f>IF(AK1243&gt;0,I1243/AK1243,-1)</f>
        <v/>
      </c>
      <c r="AO1243" s="56">
        <f>IF(AND(OR(BR1243="L1",BR1243="L23"),AK1243&gt;0),SUMIFS($AK$7:$AK$1570,$BR$7:$BR$1570,BR1243,$AN$7:$AN$1570,"&gt;"&amp;AN1243)+SUMIFS($AK$7:$AK$1570,$BR$7:$BR$1570,BR1243,$AN$7:$AN$1570,AN1243,$BL$7:$BL$1570,"&lt;="&amp;BL1243),"")</f>
        <v/>
      </c>
      <c r="AP1243" s="65">
        <f>IF(AO1243="",0,MAX(0,MIN(1,(IF(BR1243="L1",Parameter!$K$5,Parameter!$K$6+Parameter!$K$7)-(AO1243-AK1243))/AK1243)))</f>
        <v/>
      </c>
      <c r="AQ1243" s="55">
        <f>IF(LEFT(Cockpit!$O$5,1)="A",G1243,IF(BT1243=1,BU1243,IF(LEFT(Cockpit!$O$5,1)="B",AU1243,MAX(AU1243,G1243))))</f>
        <v/>
      </c>
      <c r="AR1243" s="55">
        <f>IF(BO1243=1,0,ROUNDUP(AQ1243/BN1243,0))</f>
        <v/>
      </c>
      <c r="AS1243" s="64">
        <f>IF(BO1243=1,IF(AQ1243&lt;=0,0,BP1243*MAX(1,IF(G1243&gt;0,AQ1243/G1243,1))),AR1243*Q1243)</f>
        <v/>
      </c>
      <c r="AT1243" s="55">
        <f>AQ1243*F1243</f>
        <v/>
      </c>
      <c r="AU1243" s="55">
        <f>ROUNDUP(MAX(I1243/IF(BS1243&gt;0,BS1243,MAX(0.1,N(Cockpit!$O$6))),BV1243)/BN1243,0)*BN1243</f>
        <v/>
      </c>
      <c r="AV1243" s="56">
        <f>IF(AS1243&gt;0,I1243/AS1243,-1)</f>
        <v/>
      </c>
      <c r="AW1243" s="56">
        <f>IF(AND(OR(BR1243="L1",BR1243="L23"),AS1243&gt;0),SUMIFS($AS$7:$AS$1570,$BR$7:$BR$1570,BR1243,$AV$7:$AV$1570,"&gt;"&amp;AV1243)+SUMIFS($AS$7:$AS$1570,$BR$7:$BR$1570,BR1243,$AV$7:$AV$1570,AV1243,$BL$7:$BL$1570,"&lt;="&amp;BL1243),"")</f>
        <v/>
      </c>
      <c r="AX1243" s="65">
        <f>IF(AW1243="",0,MAX(0,MIN(1,(IF(BR1243="L1",Parameter!$K$5,Parameter!$K$6+Parameter!$K$7)-(AW1243-AS1243))/AS1243)))</f>
        <v/>
      </c>
      <c r="AY1243" s="53">
        <f>IF(AC1243&lt;=0,"",IF(BR1243="Aussen","Aussenlager",IF(BR1243="-","Nicht im Lift",IF(AH1243&gt;=1,"Lift",IF(AH1243&lt;=0,"Aussenlager","teilweise")))))</f>
        <v/>
      </c>
      <c r="AZ1243" s="53">
        <f>IF(AK1243&lt;=0,"",IF(BR1243="Aussen","Aussenlager",IF(BR1243="-","Nicht im Lift",IF(AP1243&gt;=1,"Lift",IF(AP1243&lt;=0,"Aussenlager","teilweise")))))</f>
        <v/>
      </c>
      <c r="BA1243" s="53">
        <f>IF(AS1243&lt;=0,"",IF(BR1243="Aussen","Aussenlager",IF(BR1243="-","Nicht im Lift",IF(AX1243&gt;=1,"Lift",IF(AX1243&lt;=0,"Aussenlager","teilweise")))))</f>
        <v/>
      </c>
      <c r="BB1243" s="53">
        <f>IF(A1243="","",IF(BK1243=1,"Neu; ","")&amp;IF(AND(BK1243=0,BF1243&lt;0),"negativer Bestand (Export "&amp;BF1243&amp;"); ","")&amp;IF(I1243&lt;=0,"Kein Verbrauch; ","")&amp;IF(BO1243=1,"Lose – Fläche geschätzt; ","")&amp;IF(G1243&gt;AM1243,"Überbestand "&amp;ROUND(G1243-AM1243,0)&amp;" Stk / CHF "&amp;ROUND((G1243-AM1243)*F1243,0)&amp;"; ","")&amp;IF(AND(BT1243=1,BU1243&lt;BV1243),"MAX &lt; MB+LG; ","")&amp;IF(AND(BZ1243&gt;0,BY1243*10&gt;BZ1243),"zu hoch für Tablar; ","")&amp;IF(AND(BK1243=0,OR(BT1243=1,V1243&lt;&gt;"",S1243&lt;&gt;"",T1243&lt;&gt;"",W1243&lt;&gt;"")),"manuell übersteuert; ","")&amp;IF(AND(BO1243=0,Q1243=0),"Gebinde unbekannt; ","")&amp;IF(AND(BO1243=0,N(T1243)&lt;=0,N(P1243)&lt;=0),"Menge pro Gebinde fehlt (Ist = 1 Gebinde); ","")&amp;BJ1243)</f>
        <v/>
      </c>
      <c r="BC1243" s="53" t="n"/>
      <c r="BD1243" s="53" t="n"/>
      <c r="BE1243" s="61" t="n"/>
      <c r="BF1243" s="55" t="n">
        <v>-44</v>
      </c>
      <c r="BG1243" s="55" t="n">
        <v>61</v>
      </c>
      <c r="BH1243" s="54" t="n">
        <v>-712.8000000000001</v>
      </c>
      <c r="BI1243" s="55" t="n">
        <v>2</v>
      </c>
      <c r="BJ1243" s="53" t="inlineStr"/>
      <c r="BK1243" s="58" t="n">
        <v>0</v>
      </c>
      <c r="BL1243" s="58" t="n">
        <v>1243</v>
      </c>
      <c r="BM1243" s="53">
        <f>IF(S1243&lt;&gt;"",UPPER(TRIM(S1243)),IF(O1243="","LOSE",O1243))</f>
        <v/>
      </c>
      <c r="BN1243" s="55">
        <f>IF(BM1243="LOSE",1,IF(N(T1243)&gt;0,T1243,IF(N(P1243)&gt;0,P1243,MAX(1,G1243))))</f>
        <v/>
      </c>
      <c r="BO1243" s="58">
        <f>IF(BM1243="LOSE",1,0)</f>
        <v/>
      </c>
      <c r="BP1243" s="64">
        <f>IF(BO1243=0,0,IF(N(R1243)&gt;0,R1243,IFERROR(VLOOKUP(D1243,Parameter!$A$35:$C$64,3,0)+0,0)))</f>
        <v/>
      </c>
      <c r="BQ1243" s="53">
        <f>IF(V1243&lt;&gt;"",V1243,U1243)</f>
        <v/>
      </c>
      <c r="BR1243" s="53">
        <f>IF(BQ1243=1,"L1",IF(OR(BQ1243=2,BQ1243=3),"L23",IF(BQ1243="Aussen","Aussen","-")))</f>
        <v/>
      </c>
      <c r="BS1243" s="66">
        <f>IF(N(W1243)&gt;0,W1243,0)</f>
        <v/>
      </c>
      <c r="BT1243" s="58">
        <f>IF(ISNUMBER(Z1243),1,0)</f>
        <v/>
      </c>
      <c r="BU1243" s="55">
        <f>N(Z1243)</f>
        <v/>
      </c>
      <c r="BV1243" s="55">
        <f>N(L1243)+N(M1243)</f>
        <v/>
      </c>
      <c r="BW1243" s="55">
        <f>ROUNDUP(G1243/BN1243,0)</f>
        <v/>
      </c>
      <c r="BX1243" s="55">
        <f>ROUNDUP(BU1243/BN1243,0)</f>
        <v/>
      </c>
      <c r="BY1243" s="58">
        <f>IF(BO1243=1,0,IFERROR(VLOOKUP(BM1243,'Gebinde-Kategorie'!$A$5:$G$45,5,0)+0,0))</f>
        <v/>
      </c>
      <c r="BZ1243" s="58">
        <f>IFERROR(IF(OR(BQ1243=1,BQ1243=2,BQ1243=3),N(INDEX(Parameter!$I$5:$I$7,BQ1243)),0),0)</f>
        <v/>
      </c>
    </row>
    <row r="1244">
      <c r="A1244" s="53" t="inlineStr">
        <is>
          <t>109154</t>
        </is>
      </c>
      <c r="B1244" s="53" t="inlineStr">
        <is>
          <t>Drehabsperr-Ventil</t>
        </is>
      </c>
      <c r="C1244" s="53" t="inlineStr">
        <is>
          <t>F</t>
        </is>
      </c>
      <c r="D1244" s="53" t="inlineStr">
        <is>
          <t>KTL</t>
        </is>
      </c>
      <c r="E1244" s="53" t="inlineStr">
        <is>
          <t>C</t>
        </is>
      </c>
      <c r="F1244" s="54" t="n">
        <v>79.39</v>
      </c>
      <c r="G1244" s="55">
        <f>MAX(0,IF(Parameter!$B$20="Jahresanfang 2025 + Export",BG1244+BF1244,BF1244))</f>
        <v/>
      </c>
      <c r="H1244" s="55">
        <f>G1244*F1244</f>
        <v/>
      </c>
      <c r="I1244" s="55">
        <f>BI1244*Parameter!$B$18</f>
        <v/>
      </c>
      <c r="J1244" s="56" t="n">
        <v>6.5</v>
      </c>
      <c r="K1244" s="57" t="n">
        <v>0.4615384615384616</v>
      </c>
      <c r="L1244" s="55" t="n">
        <v>0</v>
      </c>
      <c r="M1244" s="55" t="n">
        <v>5</v>
      </c>
      <c r="N1244" s="58" t="n">
        <v>35</v>
      </c>
      <c r="O1244" s="53" t="inlineStr">
        <is>
          <t>LOSE</t>
        </is>
      </c>
      <c r="P1244" s="55" t="n"/>
      <c r="Q1244" s="59">
        <f>IF(BO1244=1,0,IFERROR(VLOOKUP(BM1244,'Gebinde-Kategorie'!$A$5:$G$45,6,0)+0,0))</f>
        <v/>
      </c>
      <c r="R1244" s="60" t="n"/>
      <c r="S1244" s="61" t="n"/>
      <c r="T1244" s="61" t="n"/>
      <c r="U1244" s="53">
        <f>IF(A1244="","",IF(IFERROR(VLOOKUP(D1244,Parameter!$A$35:$C$64,2,0),"Nein")="2+3",IF(ISNUMBER(SEARCH("grosser Artikel",BJ1244)),2,IFERROR(VLOOKUP(BM1244,Parameter!$F$35:$G$64,2,0),2)),IF(OR(IFERROR(VLOOKUP(D1244,Parameter!$A$35:$C$64,2,0),"Nein")="Nein",IFERROR(VLOOKUP(D1244,Parameter!$A$35:$C$64,2,0),"Nein")=""),"-",VLOOKUP(D1244,Parameter!$A$35:$C$64,2,0))))</f>
        <v/>
      </c>
      <c r="V1244" s="61" t="n"/>
      <c r="W1244" s="62" t="n"/>
      <c r="X1244" s="55">
        <f>AM1244</f>
        <v/>
      </c>
      <c r="Y1244" s="55">
        <f>MAX(AM1244,G1244)</f>
        <v/>
      </c>
      <c r="Z1244" s="63" t="n"/>
      <c r="AA1244" s="55">
        <f>IF(LEFT(Cockpit!$C$5,1)="A",G1244,IF(BT1244=1,BU1244,IF(LEFT(Cockpit!$C$5,1)="B",AE1244,MAX(AE1244,G1244))))</f>
        <v/>
      </c>
      <c r="AB1244" s="55">
        <f>IF(BO1244=1,0,ROUNDUP(AA1244/BN1244,0))</f>
        <v/>
      </c>
      <c r="AC1244" s="64">
        <f>IF(BO1244=1,IF(AA1244&lt;=0,0,BP1244*MAX(1,IF(G1244&gt;0,AA1244/G1244,1))),AB1244*Q1244)</f>
        <v/>
      </c>
      <c r="AD1244" s="55">
        <f>AA1244*F1244</f>
        <v/>
      </c>
      <c r="AE1244" s="55">
        <f>ROUNDUP(MAX(I1244/IF(BS1244&gt;0,BS1244,MAX(0.1,N(Cockpit!$C$6))),BV1244)/BN1244,0)*BN1244</f>
        <v/>
      </c>
      <c r="AF1244" s="56">
        <f>IF(AC1244&gt;0,I1244/AC1244,-1)</f>
        <v/>
      </c>
      <c r="AG1244" s="56">
        <f>IF(AND(OR(BR1244="L1",BR1244="L23"),AC1244&gt;0),SUMIFS($AC$7:$AC$1570,$BR$7:$BR$1570,BR1244,$AF$7:$AF$1570,"&gt;"&amp;AF1244)+SUMIFS($AC$7:$AC$1570,$BR$7:$BR$1570,BR1244,$AF$7:$AF$1570,AF1244,$BL$7:$BL$1570,"&lt;="&amp;BL1244),"")</f>
        <v/>
      </c>
      <c r="AH1244" s="65">
        <f>IF(AG1244="",0,MAX(0,MIN(1,(IF(BR1244="L1",Parameter!$K$5,Parameter!$K$6+Parameter!$K$7)-(AG1244-AC1244))/AC1244)))</f>
        <v/>
      </c>
      <c r="AI1244" s="55">
        <f>IF(LEFT(Cockpit!$I$5,1)="A",G1244,IF(BT1244=1,BU1244,IF(LEFT(Cockpit!$I$5,1)="B",AM1244,MAX(AM1244,G1244))))</f>
        <v/>
      </c>
      <c r="AJ1244" s="55">
        <f>IF(BO1244=1,0,ROUNDUP(AI1244/BN1244,0))</f>
        <v/>
      </c>
      <c r="AK1244" s="64">
        <f>IF(BO1244=1,IF(AI1244&lt;=0,0,BP1244*MAX(1,IF(G1244&gt;0,AI1244/G1244,1))),AJ1244*Q1244)</f>
        <v/>
      </c>
      <c r="AL1244" s="55">
        <f>AI1244*F1244</f>
        <v/>
      </c>
      <c r="AM1244" s="55">
        <f>ROUNDUP(MAX(I1244/IF(BS1244&gt;0,BS1244,MAX(0.1,N(Cockpit!$I$6))),BV1244)/BN1244,0)*BN1244</f>
        <v/>
      </c>
      <c r="AN1244" s="56">
        <f>IF(AK1244&gt;0,I1244/AK1244,-1)</f>
        <v/>
      </c>
      <c r="AO1244" s="56">
        <f>IF(AND(OR(BR1244="L1",BR1244="L23"),AK1244&gt;0),SUMIFS($AK$7:$AK$1570,$BR$7:$BR$1570,BR1244,$AN$7:$AN$1570,"&gt;"&amp;AN1244)+SUMIFS($AK$7:$AK$1570,$BR$7:$BR$1570,BR1244,$AN$7:$AN$1570,AN1244,$BL$7:$BL$1570,"&lt;="&amp;BL1244),"")</f>
        <v/>
      </c>
      <c r="AP1244" s="65">
        <f>IF(AO1244="",0,MAX(0,MIN(1,(IF(BR1244="L1",Parameter!$K$5,Parameter!$K$6+Parameter!$K$7)-(AO1244-AK1244))/AK1244)))</f>
        <v/>
      </c>
      <c r="AQ1244" s="55">
        <f>IF(LEFT(Cockpit!$O$5,1)="A",G1244,IF(BT1244=1,BU1244,IF(LEFT(Cockpit!$O$5,1)="B",AU1244,MAX(AU1244,G1244))))</f>
        <v/>
      </c>
      <c r="AR1244" s="55">
        <f>IF(BO1244=1,0,ROUNDUP(AQ1244/BN1244,0))</f>
        <v/>
      </c>
      <c r="AS1244" s="64">
        <f>IF(BO1244=1,IF(AQ1244&lt;=0,0,BP1244*MAX(1,IF(G1244&gt;0,AQ1244/G1244,1))),AR1244*Q1244)</f>
        <v/>
      </c>
      <c r="AT1244" s="55">
        <f>AQ1244*F1244</f>
        <v/>
      </c>
      <c r="AU1244" s="55">
        <f>ROUNDUP(MAX(I1244/IF(BS1244&gt;0,BS1244,MAX(0.1,N(Cockpit!$O$6))),BV1244)/BN1244,0)*BN1244</f>
        <v/>
      </c>
      <c r="AV1244" s="56">
        <f>IF(AS1244&gt;0,I1244/AS1244,-1)</f>
        <v/>
      </c>
      <c r="AW1244" s="56">
        <f>IF(AND(OR(BR1244="L1",BR1244="L23"),AS1244&gt;0),SUMIFS($AS$7:$AS$1570,$BR$7:$BR$1570,BR1244,$AV$7:$AV$1570,"&gt;"&amp;AV1244)+SUMIFS($AS$7:$AS$1570,$BR$7:$BR$1570,BR1244,$AV$7:$AV$1570,AV1244,$BL$7:$BL$1570,"&lt;="&amp;BL1244),"")</f>
        <v/>
      </c>
      <c r="AX1244" s="65">
        <f>IF(AW1244="",0,MAX(0,MIN(1,(IF(BR1244="L1",Parameter!$K$5,Parameter!$K$6+Parameter!$K$7)-(AW1244-AS1244))/AS1244)))</f>
        <v/>
      </c>
      <c r="AY1244" s="53">
        <f>IF(AC1244&lt;=0,"",IF(BR1244="Aussen","Aussenlager",IF(BR1244="-","Nicht im Lift",IF(AH1244&gt;=1,"Lift",IF(AH1244&lt;=0,"Aussenlager","teilweise")))))</f>
        <v/>
      </c>
      <c r="AZ1244" s="53">
        <f>IF(AK1244&lt;=0,"",IF(BR1244="Aussen","Aussenlager",IF(BR1244="-","Nicht im Lift",IF(AP1244&gt;=1,"Lift",IF(AP1244&lt;=0,"Aussenlager","teilweise")))))</f>
        <v/>
      </c>
      <c r="BA1244" s="53">
        <f>IF(AS1244&lt;=0,"",IF(BR1244="Aussen","Aussenlager",IF(BR1244="-","Nicht im Lift",IF(AX1244&gt;=1,"Lift",IF(AX1244&lt;=0,"Aussenlager","teilweise")))))</f>
        <v/>
      </c>
      <c r="BB1244" s="53">
        <f>IF(A1244="","",IF(BK1244=1,"Neu; ","")&amp;IF(AND(BK1244=0,BF1244&lt;0),"negativer Bestand (Export "&amp;BF1244&amp;"); ","")&amp;IF(I1244&lt;=0,"Kein Verbrauch; ","")&amp;IF(BO1244=1,"Lose – Fläche geschätzt; ","")&amp;IF(G1244&gt;AM1244,"Überbestand "&amp;ROUND(G1244-AM1244,0)&amp;" Stk / CHF "&amp;ROUND((G1244-AM1244)*F1244,0)&amp;"; ","")&amp;IF(AND(BT1244=1,BU1244&lt;BV1244),"MAX &lt; MB+LG; ","")&amp;IF(AND(BZ1244&gt;0,BY1244*10&gt;BZ1244),"zu hoch für Tablar; ","")&amp;IF(AND(BK1244=0,OR(BT1244=1,V1244&lt;&gt;"",S1244&lt;&gt;"",T1244&lt;&gt;"",W1244&lt;&gt;"")),"manuell übersteuert; ","")&amp;IF(AND(BO1244=0,Q1244=0),"Gebinde unbekannt; ","")&amp;IF(AND(BO1244=0,N(T1244)&lt;=0,N(P1244)&lt;=0),"Menge pro Gebinde fehlt (Ist = 1 Gebinde); ","")&amp;BJ1244)</f>
        <v/>
      </c>
      <c r="BC1244" s="53" t="n"/>
      <c r="BD1244" s="53" t="n"/>
      <c r="BE1244" s="61" t="n"/>
      <c r="BF1244" s="55" t="n">
        <v>-9</v>
      </c>
      <c r="BG1244" s="55" t="n">
        <v>9</v>
      </c>
      <c r="BH1244" s="54" t="n">
        <v>-714.5100000000001</v>
      </c>
      <c r="BI1244" s="55" t="n">
        <v>3</v>
      </c>
      <c r="BJ1244" s="53" t="inlineStr"/>
      <c r="BK1244" s="58" t="n">
        <v>0</v>
      </c>
      <c r="BL1244" s="58" t="n">
        <v>1244</v>
      </c>
      <c r="BM1244" s="53">
        <f>IF(S1244&lt;&gt;"",UPPER(TRIM(S1244)),IF(O1244="","LOSE",O1244))</f>
        <v/>
      </c>
      <c r="BN1244" s="55">
        <f>IF(BM1244="LOSE",1,IF(N(T1244)&gt;0,T1244,IF(N(P1244)&gt;0,P1244,MAX(1,G1244))))</f>
        <v/>
      </c>
      <c r="BO1244" s="58">
        <f>IF(BM1244="LOSE",1,0)</f>
        <v/>
      </c>
      <c r="BP1244" s="64">
        <f>IF(BO1244=0,0,IF(N(R1244)&gt;0,R1244,IFERROR(VLOOKUP(D1244,Parameter!$A$35:$C$64,3,0)+0,0)))</f>
        <v/>
      </c>
      <c r="BQ1244" s="53">
        <f>IF(V1244&lt;&gt;"",V1244,U1244)</f>
        <v/>
      </c>
      <c r="BR1244" s="53">
        <f>IF(BQ1244=1,"L1",IF(OR(BQ1244=2,BQ1244=3),"L23",IF(BQ1244="Aussen","Aussen","-")))</f>
        <v/>
      </c>
      <c r="BS1244" s="66">
        <f>IF(N(W1244)&gt;0,W1244,0)</f>
        <v/>
      </c>
      <c r="BT1244" s="58">
        <f>IF(ISNUMBER(Z1244),1,0)</f>
        <v/>
      </c>
      <c r="BU1244" s="55">
        <f>N(Z1244)</f>
        <v/>
      </c>
      <c r="BV1244" s="55">
        <f>N(L1244)+N(M1244)</f>
        <v/>
      </c>
      <c r="BW1244" s="55">
        <f>ROUNDUP(G1244/BN1244,0)</f>
        <v/>
      </c>
      <c r="BX1244" s="55">
        <f>ROUNDUP(BU1244/BN1244,0)</f>
        <v/>
      </c>
      <c r="BY1244" s="58">
        <f>IF(BO1244=1,0,IFERROR(VLOOKUP(BM1244,'Gebinde-Kategorie'!$A$5:$G$45,5,0)+0,0))</f>
        <v/>
      </c>
      <c r="BZ1244" s="58">
        <f>IFERROR(IF(OR(BQ1244=1,BQ1244=2,BQ1244=3),N(INDEX(Parameter!$I$5:$I$7,BQ1244)),0),0)</f>
        <v/>
      </c>
    </row>
    <row r="1245">
      <c r="A1245" s="53" t="inlineStr">
        <is>
          <t>005279</t>
        </is>
      </c>
      <c r="B1245" s="53" t="inlineStr">
        <is>
          <t>Schallsensor</t>
        </is>
      </c>
      <c r="C1245" s="53" t="inlineStr">
        <is>
          <t>F</t>
        </is>
      </c>
      <c r="D1245" s="53" t="inlineStr">
        <is>
          <t>KTL</t>
        </is>
      </c>
      <c r="E1245" s="53" t="inlineStr">
        <is>
          <t>C</t>
        </is>
      </c>
      <c r="F1245" s="54" t="n">
        <v>51.08</v>
      </c>
      <c r="G1245" s="55">
        <f>MAX(0,IF(Parameter!$B$20="Jahresanfang 2025 + Export",BG1245+BF1245,BF1245))</f>
        <v/>
      </c>
      <c r="H1245" s="55">
        <f>G1245*F1245</f>
        <v/>
      </c>
      <c r="I1245" s="55">
        <f>BI1245*Parameter!$B$18</f>
        <v/>
      </c>
      <c r="J1245" s="56" t="n">
        <v>63.5</v>
      </c>
      <c r="K1245" s="57" t="n">
        <v>0.07874015748031496</v>
      </c>
      <c r="L1245" s="55" t="n">
        <v>0</v>
      </c>
      <c r="M1245" s="55" t="n">
        <v>5</v>
      </c>
      <c r="N1245" s="58" t="n">
        <v>21</v>
      </c>
      <c r="O1245" s="53" t="inlineStr">
        <is>
          <t>S63</t>
        </is>
      </c>
      <c r="P1245" s="55" t="n">
        <v>71</v>
      </c>
      <c r="Q1245" s="59">
        <f>IF(BO1245=1,0,IFERROR(VLOOKUP(BM1245,'Gebinde-Kategorie'!$A$5:$G$45,6,0)+0,0))</f>
        <v/>
      </c>
      <c r="R1245" s="60" t="n"/>
      <c r="S1245" s="61" t="n"/>
      <c r="T1245" s="61" t="n"/>
      <c r="U1245" s="53">
        <f>IF(A1245="","",IF(IFERROR(VLOOKUP(D1245,Parameter!$A$35:$C$64,2,0),"Nein")="2+3",IF(ISNUMBER(SEARCH("grosser Artikel",BJ1245)),2,IFERROR(VLOOKUP(BM1245,Parameter!$F$35:$G$64,2,0),2)),IF(OR(IFERROR(VLOOKUP(D1245,Parameter!$A$35:$C$64,2,0),"Nein")="Nein",IFERROR(VLOOKUP(D1245,Parameter!$A$35:$C$64,2,0),"Nein")=""),"-",VLOOKUP(D1245,Parameter!$A$35:$C$64,2,0))))</f>
        <v/>
      </c>
      <c r="V1245" s="61" t="n"/>
      <c r="W1245" s="62" t="n"/>
      <c r="X1245" s="55">
        <f>AM1245</f>
        <v/>
      </c>
      <c r="Y1245" s="55">
        <f>MAX(AM1245,G1245)</f>
        <v/>
      </c>
      <c r="Z1245" s="63" t="n"/>
      <c r="AA1245" s="55">
        <f>IF(LEFT(Cockpit!$C$5,1)="A",G1245,IF(BT1245=1,BU1245,IF(LEFT(Cockpit!$C$5,1)="B",AE1245,MAX(AE1245,G1245))))</f>
        <v/>
      </c>
      <c r="AB1245" s="55">
        <f>IF(BO1245=1,0,ROUNDUP(AA1245/BN1245,0))</f>
        <v/>
      </c>
      <c r="AC1245" s="64">
        <f>IF(BO1245=1,IF(AA1245&lt;=0,0,BP1245*MAX(1,IF(G1245&gt;0,AA1245/G1245,1))),AB1245*Q1245)</f>
        <v/>
      </c>
      <c r="AD1245" s="55">
        <f>AA1245*F1245</f>
        <v/>
      </c>
      <c r="AE1245" s="55">
        <f>ROUNDUP(MAX(I1245/IF(BS1245&gt;0,BS1245,MAX(0.1,N(Cockpit!$C$6))),BV1245)/BN1245,0)*BN1245</f>
        <v/>
      </c>
      <c r="AF1245" s="56">
        <f>IF(AC1245&gt;0,I1245/AC1245,-1)</f>
        <v/>
      </c>
      <c r="AG1245" s="56">
        <f>IF(AND(OR(BR1245="L1",BR1245="L23"),AC1245&gt;0),SUMIFS($AC$7:$AC$1570,$BR$7:$BR$1570,BR1245,$AF$7:$AF$1570,"&gt;"&amp;AF1245)+SUMIFS($AC$7:$AC$1570,$BR$7:$BR$1570,BR1245,$AF$7:$AF$1570,AF1245,$BL$7:$BL$1570,"&lt;="&amp;BL1245),"")</f>
        <v/>
      </c>
      <c r="AH1245" s="65">
        <f>IF(AG1245="",0,MAX(0,MIN(1,(IF(BR1245="L1",Parameter!$K$5,Parameter!$K$6+Parameter!$K$7)-(AG1245-AC1245))/AC1245)))</f>
        <v/>
      </c>
      <c r="AI1245" s="55">
        <f>IF(LEFT(Cockpit!$I$5,1)="A",G1245,IF(BT1245=1,BU1245,IF(LEFT(Cockpit!$I$5,1)="B",AM1245,MAX(AM1245,G1245))))</f>
        <v/>
      </c>
      <c r="AJ1245" s="55">
        <f>IF(BO1245=1,0,ROUNDUP(AI1245/BN1245,0))</f>
        <v/>
      </c>
      <c r="AK1245" s="64">
        <f>IF(BO1245=1,IF(AI1245&lt;=0,0,BP1245*MAX(1,IF(G1245&gt;0,AI1245/G1245,1))),AJ1245*Q1245)</f>
        <v/>
      </c>
      <c r="AL1245" s="55">
        <f>AI1245*F1245</f>
        <v/>
      </c>
      <c r="AM1245" s="55">
        <f>ROUNDUP(MAX(I1245/IF(BS1245&gt;0,BS1245,MAX(0.1,N(Cockpit!$I$6))),BV1245)/BN1245,0)*BN1245</f>
        <v/>
      </c>
      <c r="AN1245" s="56">
        <f>IF(AK1245&gt;0,I1245/AK1245,-1)</f>
        <v/>
      </c>
      <c r="AO1245" s="56">
        <f>IF(AND(OR(BR1245="L1",BR1245="L23"),AK1245&gt;0),SUMIFS($AK$7:$AK$1570,$BR$7:$BR$1570,BR1245,$AN$7:$AN$1570,"&gt;"&amp;AN1245)+SUMIFS($AK$7:$AK$1570,$BR$7:$BR$1570,BR1245,$AN$7:$AN$1570,AN1245,$BL$7:$BL$1570,"&lt;="&amp;BL1245),"")</f>
        <v/>
      </c>
      <c r="AP1245" s="65">
        <f>IF(AO1245="",0,MAX(0,MIN(1,(IF(BR1245="L1",Parameter!$K$5,Parameter!$K$6+Parameter!$K$7)-(AO1245-AK1245))/AK1245)))</f>
        <v/>
      </c>
      <c r="AQ1245" s="55">
        <f>IF(LEFT(Cockpit!$O$5,1)="A",G1245,IF(BT1245=1,BU1245,IF(LEFT(Cockpit!$O$5,1)="B",AU1245,MAX(AU1245,G1245))))</f>
        <v/>
      </c>
      <c r="AR1245" s="55">
        <f>IF(BO1245=1,0,ROUNDUP(AQ1245/BN1245,0))</f>
        <v/>
      </c>
      <c r="AS1245" s="64">
        <f>IF(BO1245=1,IF(AQ1245&lt;=0,0,BP1245*MAX(1,IF(G1245&gt;0,AQ1245/G1245,1))),AR1245*Q1245)</f>
        <v/>
      </c>
      <c r="AT1245" s="55">
        <f>AQ1245*F1245</f>
        <v/>
      </c>
      <c r="AU1245" s="55">
        <f>ROUNDUP(MAX(I1245/IF(BS1245&gt;0,BS1245,MAX(0.1,N(Cockpit!$O$6))),BV1245)/BN1245,0)*BN1245</f>
        <v/>
      </c>
      <c r="AV1245" s="56">
        <f>IF(AS1245&gt;0,I1245/AS1245,-1)</f>
        <v/>
      </c>
      <c r="AW1245" s="56">
        <f>IF(AND(OR(BR1245="L1",BR1245="L23"),AS1245&gt;0),SUMIFS($AS$7:$AS$1570,$BR$7:$BR$1570,BR1245,$AV$7:$AV$1570,"&gt;"&amp;AV1245)+SUMIFS($AS$7:$AS$1570,$BR$7:$BR$1570,BR1245,$AV$7:$AV$1570,AV1245,$BL$7:$BL$1570,"&lt;="&amp;BL1245),"")</f>
        <v/>
      </c>
      <c r="AX1245" s="65">
        <f>IF(AW1245="",0,MAX(0,MIN(1,(IF(BR1245="L1",Parameter!$K$5,Parameter!$K$6+Parameter!$K$7)-(AW1245-AS1245))/AS1245)))</f>
        <v/>
      </c>
      <c r="AY1245" s="53">
        <f>IF(AC1245&lt;=0,"",IF(BR1245="Aussen","Aussenlager",IF(BR1245="-","Nicht im Lift",IF(AH1245&gt;=1,"Lift",IF(AH1245&lt;=0,"Aussenlager","teilweise")))))</f>
        <v/>
      </c>
      <c r="AZ1245" s="53">
        <f>IF(AK1245&lt;=0,"",IF(BR1245="Aussen","Aussenlager",IF(BR1245="-","Nicht im Lift",IF(AP1245&gt;=1,"Lift",IF(AP1245&lt;=0,"Aussenlager","teilweise")))))</f>
        <v/>
      </c>
      <c r="BA1245" s="53">
        <f>IF(AS1245&lt;=0,"",IF(BR1245="Aussen","Aussenlager",IF(BR1245="-","Nicht im Lift",IF(AX1245&gt;=1,"Lift",IF(AX1245&lt;=0,"Aussenlager","teilweise")))))</f>
        <v/>
      </c>
      <c r="BB1245" s="53">
        <f>IF(A1245="","",IF(BK1245=1,"Neu; ","")&amp;IF(AND(BK1245=0,BF1245&lt;0),"negativer Bestand (Export "&amp;BF1245&amp;"); ","")&amp;IF(I1245&lt;=0,"Kein Verbrauch; ","")&amp;IF(BO1245=1,"Lose – Fläche geschätzt; ","")&amp;IF(G1245&gt;AM1245,"Überbestand "&amp;ROUND(G1245-AM1245,0)&amp;" Stk / CHF "&amp;ROUND((G1245-AM1245)*F1245,0)&amp;"; ","")&amp;IF(AND(BT1245=1,BU1245&lt;BV1245),"MAX &lt; MB+LG; ","")&amp;IF(AND(BZ1245&gt;0,BY1245*10&gt;BZ1245),"zu hoch für Tablar; ","")&amp;IF(AND(BK1245=0,OR(BT1245=1,V1245&lt;&gt;"",S1245&lt;&gt;"",T1245&lt;&gt;"",W1245&lt;&gt;"")),"manuell übersteuert; ","")&amp;IF(AND(BO1245=0,Q1245=0),"Gebinde unbekannt; ","")&amp;IF(AND(BO1245=0,N(T1245)&lt;=0,N(P1245)&lt;=0),"Menge pro Gebinde fehlt (Ist = 1 Gebinde); ","")&amp;BJ1245)</f>
        <v/>
      </c>
      <c r="BC1245" s="53" t="n"/>
      <c r="BD1245" s="53" t="n"/>
      <c r="BE1245" s="61" t="n"/>
      <c r="BF1245" s="55" t="n">
        <v>-14</v>
      </c>
      <c r="BG1245" s="55" t="n">
        <v>67</v>
      </c>
      <c r="BH1245" s="54" t="n">
        <v>-715.1199999999999</v>
      </c>
      <c r="BI1245" s="55" t="n">
        <v>5</v>
      </c>
      <c r="BJ1245" s="53" t="inlineStr">
        <is>
          <t>Überbestand; Braucht es diesen Artikel ?</t>
        </is>
      </c>
      <c r="BK1245" s="58" t="n">
        <v>0</v>
      </c>
      <c r="BL1245" s="58" t="n">
        <v>1245</v>
      </c>
      <c r="BM1245" s="53">
        <f>IF(S1245&lt;&gt;"",UPPER(TRIM(S1245)),IF(O1245="","LOSE",O1245))</f>
        <v/>
      </c>
      <c r="BN1245" s="55">
        <f>IF(BM1245="LOSE",1,IF(N(T1245)&gt;0,T1245,IF(N(P1245)&gt;0,P1245,MAX(1,G1245))))</f>
        <v/>
      </c>
      <c r="BO1245" s="58">
        <f>IF(BM1245="LOSE",1,0)</f>
        <v/>
      </c>
      <c r="BP1245" s="64">
        <f>IF(BO1245=0,0,IF(N(R1245)&gt;0,R1245,IFERROR(VLOOKUP(D1245,Parameter!$A$35:$C$64,3,0)+0,0)))</f>
        <v/>
      </c>
      <c r="BQ1245" s="53">
        <f>IF(V1245&lt;&gt;"",V1245,U1245)</f>
        <v/>
      </c>
      <c r="BR1245" s="53">
        <f>IF(BQ1245=1,"L1",IF(OR(BQ1245=2,BQ1245=3),"L23",IF(BQ1245="Aussen","Aussen","-")))</f>
        <v/>
      </c>
      <c r="BS1245" s="66">
        <f>IF(N(W1245)&gt;0,W1245,0)</f>
        <v/>
      </c>
      <c r="BT1245" s="58">
        <f>IF(ISNUMBER(Z1245),1,0)</f>
        <v/>
      </c>
      <c r="BU1245" s="55">
        <f>N(Z1245)</f>
        <v/>
      </c>
      <c r="BV1245" s="55">
        <f>N(L1245)+N(M1245)</f>
        <v/>
      </c>
      <c r="BW1245" s="55">
        <f>ROUNDUP(G1245/BN1245,0)</f>
        <v/>
      </c>
      <c r="BX1245" s="55">
        <f>ROUNDUP(BU1245/BN1245,0)</f>
        <v/>
      </c>
      <c r="BY1245" s="58">
        <f>IF(BO1245=1,0,IFERROR(VLOOKUP(BM1245,'Gebinde-Kategorie'!$A$5:$G$45,5,0)+0,0))</f>
        <v/>
      </c>
      <c r="BZ1245" s="58">
        <f>IFERROR(IF(OR(BQ1245=1,BQ1245=2,BQ1245=3),N(INDEX(Parameter!$I$5:$I$7,BQ1245)),0),0)</f>
        <v/>
      </c>
    </row>
    <row r="1246">
      <c r="A1246" s="53" t="inlineStr">
        <is>
          <t>108073</t>
        </is>
      </c>
      <c r="B1246" s="53" t="inlineStr">
        <is>
          <t>Palettenbox SPGr10 SVC2</t>
        </is>
      </c>
      <c r="C1246" s="53" t="inlineStr">
        <is>
          <t>G</t>
        </is>
      </c>
      <c r="D1246" s="53" t="inlineStr">
        <is>
          <t>PAL</t>
        </is>
      </c>
      <c r="E1246" s="53" t="inlineStr">
        <is>
          <t>C</t>
        </is>
      </c>
      <c r="F1246" s="54" t="n">
        <v>72.59999999999999</v>
      </c>
      <c r="G1246" s="55">
        <f>MAX(0,IF(Parameter!$B$20="Jahresanfang 2025 + Export",BG1246+BF1246,BF1246))</f>
        <v/>
      </c>
      <c r="H1246" s="55">
        <f>G1246*F1246</f>
        <v/>
      </c>
      <c r="I1246" s="55">
        <f>BI1246*Parameter!$B$18</f>
        <v/>
      </c>
      <c r="J1246" s="56" t="n">
        <v>5</v>
      </c>
      <c r="K1246" s="57" t="n">
        <v>0</v>
      </c>
      <c r="L1246" s="55" t="n">
        <v>0</v>
      </c>
      <c r="M1246" s="55" t="n">
        <v>1</v>
      </c>
      <c r="N1246" s="58" t="n">
        <v>56</v>
      </c>
      <c r="O1246" s="53" t="inlineStr">
        <is>
          <t>LOSE</t>
        </is>
      </c>
      <c r="P1246" s="55" t="n"/>
      <c r="Q1246" s="59">
        <f>IF(BO1246=1,0,IFERROR(VLOOKUP(BM1246,'Gebinde-Kategorie'!$A$5:$G$45,6,0)+0,0))</f>
        <v/>
      </c>
      <c r="R1246" s="60" t="n"/>
      <c r="S1246" s="61" t="n"/>
      <c r="T1246" s="61" t="n"/>
      <c r="U1246" s="53">
        <f>IF(A1246="","",IF(IFERROR(VLOOKUP(D1246,Parameter!$A$35:$C$64,2,0),"Nein")="2+3",IF(ISNUMBER(SEARCH("grosser Artikel",BJ1246)),2,IFERROR(VLOOKUP(BM1246,Parameter!$F$35:$G$64,2,0),2)),IF(OR(IFERROR(VLOOKUP(D1246,Parameter!$A$35:$C$64,2,0),"Nein")="Nein",IFERROR(VLOOKUP(D1246,Parameter!$A$35:$C$64,2,0),"Nein")=""),"-",VLOOKUP(D1246,Parameter!$A$35:$C$64,2,0))))</f>
        <v/>
      </c>
      <c r="V1246" s="61" t="n"/>
      <c r="W1246" s="62" t="n"/>
      <c r="X1246" s="55">
        <f>AM1246</f>
        <v/>
      </c>
      <c r="Y1246" s="55">
        <f>MAX(AM1246,G1246)</f>
        <v/>
      </c>
      <c r="Z1246" s="63" t="n"/>
      <c r="AA1246" s="55">
        <f>IF(LEFT(Cockpit!$C$5,1)="A",G1246,IF(BT1246=1,BU1246,IF(LEFT(Cockpit!$C$5,1)="B",AE1246,MAX(AE1246,G1246))))</f>
        <v/>
      </c>
      <c r="AB1246" s="55">
        <f>IF(BO1246=1,0,ROUNDUP(AA1246/BN1246,0))</f>
        <v/>
      </c>
      <c r="AC1246" s="64">
        <f>IF(BO1246=1,IF(AA1246&lt;=0,0,BP1246*MAX(1,IF(G1246&gt;0,AA1246/G1246,1))),AB1246*Q1246)</f>
        <v/>
      </c>
      <c r="AD1246" s="55">
        <f>AA1246*F1246</f>
        <v/>
      </c>
      <c r="AE1246" s="55">
        <f>ROUNDUP(MAX(I1246/IF(BS1246&gt;0,BS1246,MAX(0.1,N(Cockpit!$C$6))),BV1246)/BN1246,0)*BN1246</f>
        <v/>
      </c>
      <c r="AF1246" s="56">
        <f>IF(AC1246&gt;0,I1246/AC1246,-1)</f>
        <v/>
      </c>
      <c r="AG1246" s="56">
        <f>IF(AND(OR(BR1246="L1",BR1246="L23"),AC1246&gt;0),SUMIFS($AC$7:$AC$1570,$BR$7:$BR$1570,BR1246,$AF$7:$AF$1570,"&gt;"&amp;AF1246)+SUMIFS($AC$7:$AC$1570,$BR$7:$BR$1570,BR1246,$AF$7:$AF$1570,AF1246,$BL$7:$BL$1570,"&lt;="&amp;BL1246),"")</f>
        <v/>
      </c>
      <c r="AH1246" s="65">
        <f>IF(AG1246="",0,MAX(0,MIN(1,(IF(BR1246="L1",Parameter!$K$5,Parameter!$K$6+Parameter!$K$7)-(AG1246-AC1246))/AC1246)))</f>
        <v/>
      </c>
      <c r="AI1246" s="55">
        <f>IF(LEFT(Cockpit!$I$5,1)="A",G1246,IF(BT1246=1,BU1246,IF(LEFT(Cockpit!$I$5,1)="B",AM1246,MAX(AM1246,G1246))))</f>
        <v/>
      </c>
      <c r="AJ1246" s="55">
        <f>IF(BO1246=1,0,ROUNDUP(AI1246/BN1246,0))</f>
        <v/>
      </c>
      <c r="AK1246" s="64">
        <f>IF(BO1246=1,IF(AI1246&lt;=0,0,BP1246*MAX(1,IF(G1246&gt;0,AI1246/G1246,1))),AJ1246*Q1246)</f>
        <v/>
      </c>
      <c r="AL1246" s="55">
        <f>AI1246*F1246</f>
        <v/>
      </c>
      <c r="AM1246" s="55">
        <f>ROUNDUP(MAX(I1246/IF(BS1246&gt;0,BS1246,MAX(0.1,N(Cockpit!$I$6))),BV1246)/BN1246,0)*BN1246</f>
        <v/>
      </c>
      <c r="AN1246" s="56">
        <f>IF(AK1246&gt;0,I1246/AK1246,-1)</f>
        <v/>
      </c>
      <c r="AO1246" s="56">
        <f>IF(AND(OR(BR1246="L1",BR1246="L23"),AK1246&gt;0),SUMIFS($AK$7:$AK$1570,$BR$7:$BR$1570,BR1246,$AN$7:$AN$1570,"&gt;"&amp;AN1246)+SUMIFS($AK$7:$AK$1570,$BR$7:$BR$1570,BR1246,$AN$7:$AN$1570,AN1246,$BL$7:$BL$1570,"&lt;="&amp;BL1246),"")</f>
        <v/>
      </c>
      <c r="AP1246" s="65">
        <f>IF(AO1246="",0,MAX(0,MIN(1,(IF(BR1246="L1",Parameter!$K$5,Parameter!$K$6+Parameter!$K$7)-(AO1246-AK1246))/AK1246)))</f>
        <v/>
      </c>
      <c r="AQ1246" s="55">
        <f>IF(LEFT(Cockpit!$O$5,1)="A",G1246,IF(BT1246=1,BU1246,IF(LEFT(Cockpit!$O$5,1)="B",AU1246,MAX(AU1246,G1246))))</f>
        <v/>
      </c>
      <c r="AR1246" s="55">
        <f>IF(BO1246=1,0,ROUNDUP(AQ1246/BN1246,0))</f>
        <v/>
      </c>
      <c r="AS1246" s="64">
        <f>IF(BO1246=1,IF(AQ1246&lt;=0,0,BP1246*MAX(1,IF(G1246&gt;0,AQ1246/G1246,1))),AR1246*Q1246)</f>
        <v/>
      </c>
      <c r="AT1246" s="55">
        <f>AQ1246*F1246</f>
        <v/>
      </c>
      <c r="AU1246" s="55">
        <f>ROUNDUP(MAX(I1246/IF(BS1246&gt;0,BS1246,MAX(0.1,N(Cockpit!$O$6))),BV1246)/BN1246,0)*BN1246</f>
        <v/>
      </c>
      <c r="AV1246" s="56">
        <f>IF(AS1246&gt;0,I1246/AS1246,-1)</f>
        <v/>
      </c>
      <c r="AW1246" s="56">
        <f>IF(AND(OR(BR1246="L1",BR1246="L23"),AS1246&gt;0),SUMIFS($AS$7:$AS$1570,$BR$7:$BR$1570,BR1246,$AV$7:$AV$1570,"&gt;"&amp;AV1246)+SUMIFS($AS$7:$AS$1570,$BR$7:$BR$1570,BR1246,$AV$7:$AV$1570,AV1246,$BL$7:$BL$1570,"&lt;="&amp;BL1246),"")</f>
        <v/>
      </c>
      <c r="AX1246" s="65">
        <f>IF(AW1246="",0,MAX(0,MIN(1,(IF(BR1246="L1",Parameter!$K$5,Parameter!$K$6+Parameter!$K$7)-(AW1246-AS1246))/AS1246)))</f>
        <v/>
      </c>
      <c r="AY1246" s="53">
        <f>IF(AC1246&lt;=0,"",IF(BR1246="Aussen","Aussenlager",IF(BR1246="-","Nicht im Lift",IF(AH1246&gt;=1,"Lift",IF(AH1246&lt;=0,"Aussenlager","teilweise")))))</f>
        <v/>
      </c>
      <c r="AZ1246" s="53">
        <f>IF(AK1246&lt;=0,"",IF(BR1246="Aussen","Aussenlager",IF(BR1246="-","Nicht im Lift",IF(AP1246&gt;=1,"Lift",IF(AP1246&lt;=0,"Aussenlager","teilweise")))))</f>
        <v/>
      </c>
      <c r="BA1246" s="53">
        <f>IF(AS1246&lt;=0,"",IF(BR1246="Aussen","Aussenlager",IF(BR1246="-","Nicht im Lift",IF(AX1246&gt;=1,"Lift",IF(AX1246&lt;=0,"Aussenlager","teilweise")))))</f>
        <v/>
      </c>
      <c r="BB1246" s="53">
        <f>IF(A1246="","",IF(BK1246=1,"Neu; ","")&amp;IF(AND(BK1246=0,BF1246&lt;0),"negativer Bestand (Export "&amp;BF1246&amp;"); ","")&amp;IF(I1246&lt;=0,"Kein Verbrauch; ","")&amp;IF(BO1246=1,"Lose – Fläche geschätzt; ","")&amp;IF(G1246&gt;AM1246,"Überbestand "&amp;ROUND(G1246-AM1246,0)&amp;" Stk / CHF "&amp;ROUND((G1246-AM1246)*F1246,0)&amp;"; ","")&amp;IF(AND(BT1246=1,BU1246&lt;BV1246),"MAX &lt; MB+LG; ","")&amp;IF(AND(BZ1246&gt;0,BY1246*10&gt;BZ1246),"zu hoch für Tablar; ","")&amp;IF(AND(BK1246=0,OR(BT1246=1,V1246&lt;&gt;"",S1246&lt;&gt;"",T1246&lt;&gt;"",W1246&lt;&gt;"")),"manuell übersteuert; ","")&amp;IF(AND(BO1246=0,Q1246=0),"Gebinde unbekannt; ","")&amp;IF(AND(BO1246=0,N(T1246)&lt;=0,N(P1246)&lt;=0),"Menge pro Gebinde fehlt (Ist = 1 Gebinde); ","")&amp;BJ1246)</f>
        <v/>
      </c>
      <c r="BC1246" s="53" t="n"/>
      <c r="BD1246" s="53" t="n"/>
      <c r="BE1246" s="61" t="n"/>
      <c r="BF1246" s="55" t="n">
        <v>-10</v>
      </c>
      <c r="BG1246" s="55" t="n">
        <v>10</v>
      </c>
      <c r="BH1246" s="54" t="n">
        <v>-726</v>
      </c>
      <c r="BI1246" s="55" t="n">
        <v>0</v>
      </c>
      <c r="BJ1246" s="53" t="inlineStr">
        <is>
          <t>Neu</t>
        </is>
      </c>
      <c r="BK1246" s="58" t="n">
        <v>0</v>
      </c>
      <c r="BL1246" s="58" t="n">
        <v>1246</v>
      </c>
      <c r="BM1246" s="53">
        <f>IF(S1246&lt;&gt;"",UPPER(TRIM(S1246)),IF(O1246="","LOSE",O1246))</f>
        <v/>
      </c>
      <c r="BN1246" s="55">
        <f>IF(BM1246="LOSE",1,IF(N(T1246)&gt;0,T1246,IF(N(P1246)&gt;0,P1246,MAX(1,G1246))))</f>
        <v/>
      </c>
      <c r="BO1246" s="58">
        <f>IF(BM1246="LOSE",1,0)</f>
        <v/>
      </c>
      <c r="BP1246" s="64">
        <f>IF(BO1246=0,0,IF(N(R1246)&gt;0,R1246,IFERROR(VLOOKUP(D1246,Parameter!$A$35:$C$64,3,0)+0,0)))</f>
        <v/>
      </c>
      <c r="BQ1246" s="53">
        <f>IF(V1246&lt;&gt;"",V1246,U1246)</f>
        <v/>
      </c>
      <c r="BR1246" s="53">
        <f>IF(BQ1246=1,"L1",IF(OR(BQ1246=2,BQ1246=3),"L23",IF(BQ1246="Aussen","Aussen","-")))</f>
        <v/>
      </c>
      <c r="BS1246" s="66">
        <f>IF(N(W1246)&gt;0,W1246,0)</f>
        <v/>
      </c>
      <c r="BT1246" s="58">
        <f>IF(ISNUMBER(Z1246),1,0)</f>
        <v/>
      </c>
      <c r="BU1246" s="55">
        <f>N(Z1246)</f>
        <v/>
      </c>
      <c r="BV1246" s="55">
        <f>N(L1246)+N(M1246)</f>
        <v/>
      </c>
      <c r="BW1246" s="55">
        <f>ROUNDUP(G1246/BN1246,0)</f>
        <v/>
      </c>
      <c r="BX1246" s="55">
        <f>ROUNDUP(BU1246/BN1246,0)</f>
        <v/>
      </c>
      <c r="BY1246" s="58">
        <f>IF(BO1246=1,0,IFERROR(VLOOKUP(BM1246,'Gebinde-Kategorie'!$A$5:$G$45,5,0)+0,0))</f>
        <v/>
      </c>
      <c r="BZ1246" s="58">
        <f>IFERROR(IF(OR(BQ1246=1,BQ1246=2,BQ1246=3),N(INDEX(Parameter!$I$5:$I$7,BQ1246)),0),0)</f>
        <v/>
      </c>
    </row>
    <row r="1247">
      <c r="A1247" s="53" t="inlineStr">
        <is>
          <t>108119</t>
        </is>
      </c>
      <c r="B1247" s="53" t="inlineStr">
        <is>
          <t>HMI GT2505-VTBD</t>
        </is>
      </c>
      <c r="C1247" s="53" t="inlineStr">
        <is>
          <t>F</t>
        </is>
      </c>
      <c r="D1247" s="53" t="inlineStr">
        <is>
          <t>KTL</t>
        </is>
      </c>
      <c r="E1247" s="53" t="inlineStr">
        <is>
          <t>C</t>
        </is>
      </c>
      <c r="F1247" s="54" t="n">
        <v>731.7</v>
      </c>
      <c r="G1247" s="55">
        <f>MAX(0,IF(Parameter!$B$20="Jahresanfang 2025 + Export",BG1247+BF1247,BF1247))</f>
        <v/>
      </c>
      <c r="H1247" s="55">
        <f>G1247*F1247</f>
        <v/>
      </c>
      <c r="I1247" s="55">
        <f>BI1247*Parameter!$B$18</f>
        <v/>
      </c>
      <c r="J1247" s="56" t="n">
        <v>5</v>
      </c>
      <c r="K1247" s="57" t="n">
        <v>0</v>
      </c>
      <c r="L1247" s="55" t="n">
        <v>0</v>
      </c>
      <c r="M1247" s="55" t="n">
        <v>1</v>
      </c>
      <c r="N1247" s="58" t="n">
        <v>14</v>
      </c>
      <c r="O1247" s="53" t="inlineStr">
        <is>
          <t>S52</t>
        </is>
      </c>
      <c r="P1247" s="55" t="n">
        <v>4</v>
      </c>
      <c r="Q1247" s="59">
        <f>IF(BO1247=1,0,IFERROR(VLOOKUP(BM1247,'Gebinde-Kategorie'!$A$5:$G$45,6,0)+0,0))</f>
        <v/>
      </c>
      <c r="R1247" s="60" t="n"/>
      <c r="S1247" s="61" t="n"/>
      <c r="T1247" s="61" t="n"/>
      <c r="U1247" s="53">
        <f>IF(A1247="","",IF(IFERROR(VLOOKUP(D1247,Parameter!$A$35:$C$64,2,0),"Nein")="2+3",IF(ISNUMBER(SEARCH("grosser Artikel",BJ1247)),2,IFERROR(VLOOKUP(BM1247,Parameter!$F$35:$G$64,2,0),2)),IF(OR(IFERROR(VLOOKUP(D1247,Parameter!$A$35:$C$64,2,0),"Nein")="Nein",IFERROR(VLOOKUP(D1247,Parameter!$A$35:$C$64,2,0),"Nein")=""),"-",VLOOKUP(D1247,Parameter!$A$35:$C$64,2,0))))</f>
        <v/>
      </c>
      <c r="V1247" s="61" t="n"/>
      <c r="W1247" s="62" t="n"/>
      <c r="X1247" s="55">
        <f>AM1247</f>
        <v/>
      </c>
      <c r="Y1247" s="55">
        <f>MAX(AM1247,G1247)</f>
        <v/>
      </c>
      <c r="Z1247" s="63" t="n"/>
      <c r="AA1247" s="55">
        <f>IF(LEFT(Cockpit!$C$5,1)="A",G1247,IF(BT1247=1,BU1247,IF(LEFT(Cockpit!$C$5,1)="B",AE1247,MAX(AE1247,G1247))))</f>
        <v/>
      </c>
      <c r="AB1247" s="55">
        <f>IF(BO1247=1,0,ROUNDUP(AA1247/BN1247,0))</f>
        <v/>
      </c>
      <c r="AC1247" s="64">
        <f>IF(BO1247=1,IF(AA1247&lt;=0,0,BP1247*MAX(1,IF(G1247&gt;0,AA1247/G1247,1))),AB1247*Q1247)</f>
        <v/>
      </c>
      <c r="AD1247" s="55">
        <f>AA1247*F1247</f>
        <v/>
      </c>
      <c r="AE1247" s="55">
        <f>ROUNDUP(MAX(I1247/IF(BS1247&gt;0,BS1247,MAX(0.1,N(Cockpit!$C$6))),BV1247)/BN1247,0)*BN1247</f>
        <v/>
      </c>
      <c r="AF1247" s="56">
        <f>IF(AC1247&gt;0,I1247/AC1247,-1)</f>
        <v/>
      </c>
      <c r="AG1247" s="56">
        <f>IF(AND(OR(BR1247="L1",BR1247="L23"),AC1247&gt;0),SUMIFS($AC$7:$AC$1570,$BR$7:$BR$1570,BR1247,$AF$7:$AF$1570,"&gt;"&amp;AF1247)+SUMIFS($AC$7:$AC$1570,$BR$7:$BR$1570,BR1247,$AF$7:$AF$1570,AF1247,$BL$7:$BL$1570,"&lt;="&amp;BL1247),"")</f>
        <v/>
      </c>
      <c r="AH1247" s="65">
        <f>IF(AG1247="",0,MAX(0,MIN(1,(IF(BR1247="L1",Parameter!$K$5,Parameter!$K$6+Parameter!$K$7)-(AG1247-AC1247))/AC1247)))</f>
        <v/>
      </c>
      <c r="AI1247" s="55">
        <f>IF(LEFT(Cockpit!$I$5,1)="A",G1247,IF(BT1247=1,BU1247,IF(LEFT(Cockpit!$I$5,1)="B",AM1247,MAX(AM1247,G1247))))</f>
        <v/>
      </c>
      <c r="AJ1247" s="55">
        <f>IF(BO1247=1,0,ROUNDUP(AI1247/BN1247,0))</f>
        <v/>
      </c>
      <c r="AK1247" s="64">
        <f>IF(BO1247=1,IF(AI1247&lt;=0,0,BP1247*MAX(1,IF(G1247&gt;0,AI1247/G1247,1))),AJ1247*Q1247)</f>
        <v/>
      </c>
      <c r="AL1247" s="55">
        <f>AI1247*F1247</f>
        <v/>
      </c>
      <c r="AM1247" s="55">
        <f>ROUNDUP(MAX(I1247/IF(BS1247&gt;0,BS1247,MAX(0.1,N(Cockpit!$I$6))),BV1247)/BN1247,0)*BN1247</f>
        <v/>
      </c>
      <c r="AN1247" s="56">
        <f>IF(AK1247&gt;0,I1247/AK1247,-1)</f>
        <v/>
      </c>
      <c r="AO1247" s="56">
        <f>IF(AND(OR(BR1247="L1",BR1247="L23"),AK1247&gt;0),SUMIFS($AK$7:$AK$1570,$BR$7:$BR$1570,BR1247,$AN$7:$AN$1570,"&gt;"&amp;AN1247)+SUMIFS($AK$7:$AK$1570,$BR$7:$BR$1570,BR1247,$AN$7:$AN$1570,AN1247,$BL$7:$BL$1570,"&lt;="&amp;BL1247),"")</f>
        <v/>
      </c>
      <c r="AP1247" s="65">
        <f>IF(AO1247="",0,MAX(0,MIN(1,(IF(BR1247="L1",Parameter!$K$5,Parameter!$K$6+Parameter!$K$7)-(AO1247-AK1247))/AK1247)))</f>
        <v/>
      </c>
      <c r="AQ1247" s="55">
        <f>IF(LEFT(Cockpit!$O$5,1)="A",G1247,IF(BT1247=1,BU1247,IF(LEFT(Cockpit!$O$5,1)="B",AU1247,MAX(AU1247,G1247))))</f>
        <v/>
      </c>
      <c r="AR1247" s="55">
        <f>IF(BO1247=1,0,ROUNDUP(AQ1247/BN1247,0))</f>
        <v/>
      </c>
      <c r="AS1247" s="64">
        <f>IF(BO1247=1,IF(AQ1247&lt;=0,0,BP1247*MAX(1,IF(G1247&gt;0,AQ1247/G1247,1))),AR1247*Q1247)</f>
        <v/>
      </c>
      <c r="AT1247" s="55">
        <f>AQ1247*F1247</f>
        <v/>
      </c>
      <c r="AU1247" s="55">
        <f>ROUNDUP(MAX(I1247/IF(BS1247&gt;0,BS1247,MAX(0.1,N(Cockpit!$O$6))),BV1247)/BN1247,0)*BN1247</f>
        <v/>
      </c>
      <c r="AV1247" s="56">
        <f>IF(AS1247&gt;0,I1247/AS1247,-1)</f>
        <v/>
      </c>
      <c r="AW1247" s="56">
        <f>IF(AND(OR(BR1247="L1",BR1247="L23"),AS1247&gt;0),SUMIFS($AS$7:$AS$1570,$BR$7:$BR$1570,BR1247,$AV$7:$AV$1570,"&gt;"&amp;AV1247)+SUMIFS($AS$7:$AS$1570,$BR$7:$BR$1570,BR1247,$AV$7:$AV$1570,AV1247,$BL$7:$BL$1570,"&lt;="&amp;BL1247),"")</f>
        <v/>
      </c>
      <c r="AX1247" s="65">
        <f>IF(AW1247="",0,MAX(0,MIN(1,(IF(BR1247="L1",Parameter!$K$5,Parameter!$K$6+Parameter!$K$7)-(AW1247-AS1247))/AS1247)))</f>
        <v/>
      </c>
      <c r="AY1247" s="53">
        <f>IF(AC1247&lt;=0,"",IF(BR1247="Aussen","Aussenlager",IF(BR1247="-","Nicht im Lift",IF(AH1247&gt;=1,"Lift",IF(AH1247&lt;=0,"Aussenlager","teilweise")))))</f>
        <v/>
      </c>
      <c r="AZ1247" s="53">
        <f>IF(AK1247&lt;=0,"",IF(BR1247="Aussen","Aussenlager",IF(BR1247="-","Nicht im Lift",IF(AP1247&gt;=1,"Lift",IF(AP1247&lt;=0,"Aussenlager","teilweise")))))</f>
        <v/>
      </c>
      <c r="BA1247" s="53">
        <f>IF(AS1247&lt;=0,"",IF(BR1247="Aussen","Aussenlager",IF(BR1247="-","Nicht im Lift",IF(AX1247&gt;=1,"Lift",IF(AX1247&lt;=0,"Aussenlager","teilweise")))))</f>
        <v/>
      </c>
      <c r="BB1247" s="53">
        <f>IF(A1247="","",IF(BK1247=1,"Neu; ","")&amp;IF(AND(BK1247=0,BF1247&lt;0),"negativer Bestand (Export "&amp;BF1247&amp;"); ","")&amp;IF(I1247&lt;=0,"Kein Verbrauch; ","")&amp;IF(BO1247=1,"Lose – Fläche geschätzt; ","")&amp;IF(G1247&gt;AM1247,"Überbestand "&amp;ROUND(G1247-AM1247,0)&amp;" Stk / CHF "&amp;ROUND((G1247-AM1247)*F1247,0)&amp;"; ","")&amp;IF(AND(BT1247=1,BU1247&lt;BV1247),"MAX &lt; MB+LG; ","")&amp;IF(AND(BZ1247&gt;0,BY1247*10&gt;BZ1247),"zu hoch für Tablar; ","")&amp;IF(AND(BK1247=0,OR(BT1247=1,V1247&lt;&gt;"",S1247&lt;&gt;"",T1247&lt;&gt;"",W1247&lt;&gt;"")),"manuell übersteuert; ","")&amp;IF(AND(BO1247=0,Q1247=0),"Gebinde unbekannt; ","")&amp;IF(AND(BO1247=0,N(T1247)&lt;=0,N(P1247)&lt;=0),"Menge pro Gebinde fehlt (Ist = 1 Gebinde); ","")&amp;BJ1247)</f>
        <v/>
      </c>
      <c r="BC1247" s="53" t="n"/>
      <c r="BD1247" s="53" t="n"/>
      <c r="BE1247" s="61" t="n"/>
      <c r="BF1247" s="55" t="n">
        <v>-1</v>
      </c>
      <c r="BG1247" s="55" t="n">
        <v>5</v>
      </c>
      <c r="BH1247" s="54" t="n">
        <v>-731.7</v>
      </c>
      <c r="BI1247" s="55" t="n">
        <v>0</v>
      </c>
      <c r="BJ1247" s="53" t="inlineStr"/>
      <c r="BK1247" s="58" t="n">
        <v>0</v>
      </c>
      <c r="BL1247" s="58" t="n">
        <v>1247</v>
      </c>
      <c r="BM1247" s="53">
        <f>IF(S1247&lt;&gt;"",UPPER(TRIM(S1247)),IF(O1247="","LOSE",O1247))</f>
        <v/>
      </c>
      <c r="BN1247" s="55">
        <f>IF(BM1247="LOSE",1,IF(N(T1247)&gt;0,T1247,IF(N(P1247)&gt;0,P1247,MAX(1,G1247))))</f>
        <v/>
      </c>
      <c r="BO1247" s="58">
        <f>IF(BM1247="LOSE",1,0)</f>
        <v/>
      </c>
      <c r="BP1247" s="64">
        <f>IF(BO1247=0,0,IF(N(R1247)&gt;0,R1247,IFERROR(VLOOKUP(D1247,Parameter!$A$35:$C$64,3,0)+0,0)))</f>
        <v/>
      </c>
      <c r="BQ1247" s="53">
        <f>IF(V1247&lt;&gt;"",V1247,U1247)</f>
        <v/>
      </c>
      <c r="BR1247" s="53">
        <f>IF(BQ1247=1,"L1",IF(OR(BQ1247=2,BQ1247=3),"L23",IF(BQ1247="Aussen","Aussen","-")))</f>
        <v/>
      </c>
      <c r="BS1247" s="66">
        <f>IF(N(W1247)&gt;0,W1247,0)</f>
        <v/>
      </c>
      <c r="BT1247" s="58">
        <f>IF(ISNUMBER(Z1247),1,0)</f>
        <v/>
      </c>
      <c r="BU1247" s="55">
        <f>N(Z1247)</f>
        <v/>
      </c>
      <c r="BV1247" s="55">
        <f>N(L1247)+N(M1247)</f>
        <v/>
      </c>
      <c r="BW1247" s="55">
        <f>ROUNDUP(G1247/BN1247,0)</f>
        <v/>
      </c>
      <c r="BX1247" s="55">
        <f>ROUNDUP(BU1247/BN1247,0)</f>
        <v/>
      </c>
      <c r="BY1247" s="58">
        <f>IF(BO1247=1,0,IFERROR(VLOOKUP(BM1247,'Gebinde-Kategorie'!$A$5:$G$45,5,0)+0,0))</f>
        <v/>
      </c>
      <c r="BZ1247" s="58">
        <f>IFERROR(IF(OR(BQ1247=1,BQ1247=2,BQ1247=3),N(INDEX(Parameter!$I$5:$I$7,BQ1247)),0),0)</f>
        <v/>
      </c>
    </row>
    <row r="1248">
      <c r="A1248" s="53" t="inlineStr">
        <is>
          <t>107251</t>
        </is>
      </c>
      <c r="B1248" s="53" t="inlineStr">
        <is>
          <t>Transfermagnetventil Spule CH4</t>
        </is>
      </c>
      <c r="C1248" s="53" t="inlineStr">
        <is>
          <t>F</t>
        </is>
      </c>
      <c r="D1248" s="53" t="inlineStr">
        <is>
          <t>PAL</t>
        </is>
      </c>
      <c r="E1248" s="53" t="inlineStr">
        <is>
          <t>C</t>
        </is>
      </c>
      <c r="F1248" s="54" t="n">
        <v>183.46</v>
      </c>
      <c r="G1248" s="55">
        <f>MAX(0,IF(Parameter!$B$20="Jahresanfang 2025 + Export",BG1248+BF1248,BF1248))</f>
        <v/>
      </c>
      <c r="H1248" s="55">
        <f>G1248*F1248</f>
        <v/>
      </c>
      <c r="I1248" s="55">
        <f>BI1248*Parameter!$B$18</f>
        <v/>
      </c>
      <c r="J1248" s="56" t="n">
        <v>18.5</v>
      </c>
      <c r="K1248" s="57" t="n">
        <v>3.621621621621621</v>
      </c>
      <c r="L1248" s="55" t="n">
        <v>10</v>
      </c>
      <c r="M1248" s="55" t="n">
        <v>30</v>
      </c>
      <c r="N1248" s="58" t="n">
        <v>44</v>
      </c>
      <c r="O1248" s="53" t="inlineStr">
        <is>
          <t>S71</t>
        </is>
      </c>
      <c r="P1248" s="55" t="n">
        <v>18</v>
      </c>
      <c r="Q1248" s="59">
        <f>IF(BO1248=1,0,IFERROR(VLOOKUP(BM1248,'Gebinde-Kategorie'!$A$5:$G$45,6,0)+0,0))</f>
        <v/>
      </c>
      <c r="R1248" s="60" t="n"/>
      <c r="S1248" s="61" t="n"/>
      <c r="T1248" s="61" t="n"/>
      <c r="U1248" s="53">
        <f>IF(A1248="","",IF(IFERROR(VLOOKUP(D1248,Parameter!$A$35:$C$64,2,0),"Nein")="2+3",IF(ISNUMBER(SEARCH("grosser Artikel",BJ1248)),2,IFERROR(VLOOKUP(BM1248,Parameter!$F$35:$G$64,2,0),2)),IF(OR(IFERROR(VLOOKUP(D1248,Parameter!$A$35:$C$64,2,0),"Nein")="Nein",IFERROR(VLOOKUP(D1248,Parameter!$A$35:$C$64,2,0),"Nein")=""),"-",VLOOKUP(D1248,Parameter!$A$35:$C$64,2,0))))</f>
        <v/>
      </c>
      <c r="V1248" s="61" t="n"/>
      <c r="W1248" s="62" t="n"/>
      <c r="X1248" s="55">
        <f>AM1248</f>
        <v/>
      </c>
      <c r="Y1248" s="55">
        <f>MAX(AM1248,G1248)</f>
        <v/>
      </c>
      <c r="Z1248" s="63" t="n"/>
      <c r="AA1248" s="55">
        <f>IF(LEFT(Cockpit!$C$5,1)="A",G1248,IF(BT1248=1,BU1248,IF(LEFT(Cockpit!$C$5,1)="B",AE1248,MAX(AE1248,G1248))))</f>
        <v/>
      </c>
      <c r="AB1248" s="55">
        <f>IF(BO1248=1,0,ROUNDUP(AA1248/BN1248,0))</f>
        <v/>
      </c>
      <c r="AC1248" s="64">
        <f>IF(BO1248=1,IF(AA1248&lt;=0,0,BP1248*MAX(1,IF(G1248&gt;0,AA1248/G1248,1))),AB1248*Q1248)</f>
        <v/>
      </c>
      <c r="AD1248" s="55">
        <f>AA1248*F1248</f>
        <v/>
      </c>
      <c r="AE1248" s="55">
        <f>ROUNDUP(MAX(I1248/IF(BS1248&gt;0,BS1248,MAX(0.1,N(Cockpit!$C$6))),BV1248)/BN1248,0)*BN1248</f>
        <v/>
      </c>
      <c r="AF1248" s="56">
        <f>IF(AC1248&gt;0,I1248/AC1248,-1)</f>
        <v/>
      </c>
      <c r="AG1248" s="56">
        <f>IF(AND(OR(BR1248="L1",BR1248="L23"),AC1248&gt;0),SUMIFS($AC$7:$AC$1570,$BR$7:$BR$1570,BR1248,$AF$7:$AF$1570,"&gt;"&amp;AF1248)+SUMIFS($AC$7:$AC$1570,$BR$7:$BR$1570,BR1248,$AF$7:$AF$1570,AF1248,$BL$7:$BL$1570,"&lt;="&amp;BL1248),"")</f>
        <v/>
      </c>
      <c r="AH1248" s="65">
        <f>IF(AG1248="",0,MAX(0,MIN(1,(IF(BR1248="L1",Parameter!$K$5,Parameter!$K$6+Parameter!$K$7)-(AG1248-AC1248))/AC1248)))</f>
        <v/>
      </c>
      <c r="AI1248" s="55">
        <f>IF(LEFT(Cockpit!$I$5,1)="A",G1248,IF(BT1248=1,BU1248,IF(LEFT(Cockpit!$I$5,1)="B",AM1248,MAX(AM1248,G1248))))</f>
        <v/>
      </c>
      <c r="AJ1248" s="55">
        <f>IF(BO1248=1,0,ROUNDUP(AI1248/BN1248,0))</f>
        <v/>
      </c>
      <c r="AK1248" s="64">
        <f>IF(BO1248=1,IF(AI1248&lt;=0,0,BP1248*MAX(1,IF(G1248&gt;0,AI1248/G1248,1))),AJ1248*Q1248)</f>
        <v/>
      </c>
      <c r="AL1248" s="55">
        <f>AI1248*F1248</f>
        <v/>
      </c>
      <c r="AM1248" s="55">
        <f>ROUNDUP(MAX(I1248/IF(BS1248&gt;0,BS1248,MAX(0.1,N(Cockpit!$I$6))),BV1248)/BN1248,0)*BN1248</f>
        <v/>
      </c>
      <c r="AN1248" s="56">
        <f>IF(AK1248&gt;0,I1248/AK1248,-1)</f>
        <v/>
      </c>
      <c r="AO1248" s="56">
        <f>IF(AND(OR(BR1248="L1",BR1248="L23"),AK1248&gt;0),SUMIFS($AK$7:$AK$1570,$BR$7:$BR$1570,BR1248,$AN$7:$AN$1570,"&gt;"&amp;AN1248)+SUMIFS($AK$7:$AK$1570,$BR$7:$BR$1570,BR1248,$AN$7:$AN$1570,AN1248,$BL$7:$BL$1570,"&lt;="&amp;BL1248),"")</f>
        <v/>
      </c>
      <c r="AP1248" s="65">
        <f>IF(AO1248="",0,MAX(0,MIN(1,(IF(BR1248="L1",Parameter!$K$5,Parameter!$K$6+Parameter!$K$7)-(AO1248-AK1248))/AK1248)))</f>
        <v/>
      </c>
      <c r="AQ1248" s="55">
        <f>IF(LEFT(Cockpit!$O$5,1)="A",G1248,IF(BT1248=1,BU1248,IF(LEFT(Cockpit!$O$5,1)="B",AU1248,MAX(AU1248,G1248))))</f>
        <v/>
      </c>
      <c r="AR1248" s="55">
        <f>IF(BO1248=1,0,ROUNDUP(AQ1248/BN1248,0))</f>
        <v/>
      </c>
      <c r="AS1248" s="64">
        <f>IF(BO1248=1,IF(AQ1248&lt;=0,0,BP1248*MAX(1,IF(G1248&gt;0,AQ1248/G1248,1))),AR1248*Q1248)</f>
        <v/>
      </c>
      <c r="AT1248" s="55">
        <f>AQ1248*F1248</f>
        <v/>
      </c>
      <c r="AU1248" s="55">
        <f>ROUNDUP(MAX(I1248/IF(BS1248&gt;0,BS1248,MAX(0.1,N(Cockpit!$O$6))),BV1248)/BN1248,0)*BN1248</f>
        <v/>
      </c>
      <c r="AV1248" s="56">
        <f>IF(AS1248&gt;0,I1248/AS1248,-1)</f>
        <v/>
      </c>
      <c r="AW1248" s="56">
        <f>IF(AND(OR(BR1248="L1",BR1248="L23"),AS1248&gt;0),SUMIFS($AS$7:$AS$1570,$BR$7:$BR$1570,BR1248,$AV$7:$AV$1570,"&gt;"&amp;AV1248)+SUMIFS($AS$7:$AS$1570,$BR$7:$BR$1570,BR1248,$AV$7:$AV$1570,AV1248,$BL$7:$BL$1570,"&lt;="&amp;BL1248),"")</f>
        <v/>
      </c>
      <c r="AX1248" s="65">
        <f>IF(AW1248="",0,MAX(0,MIN(1,(IF(BR1248="L1",Parameter!$K$5,Parameter!$K$6+Parameter!$K$7)-(AW1248-AS1248))/AS1248)))</f>
        <v/>
      </c>
      <c r="AY1248" s="53">
        <f>IF(AC1248&lt;=0,"",IF(BR1248="Aussen","Aussenlager",IF(BR1248="-","Nicht im Lift",IF(AH1248&gt;=1,"Lift",IF(AH1248&lt;=0,"Aussenlager","teilweise")))))</f>
        <v/>
      </c>
      <c r="AZ1248" s="53">
        <f>IF(AK1248&lt;=0,"",IF(BR1248="Aussen","Aussenlager",IF(BR1248="-","Nicht im Lift",IF(AP1248&gt;=1,"Lift",IF(AP1248&lt;=0,"Aussenlager","teilweise")))))</f>
        <v/>
      </c>
      <c r="BA1248" s="53">
        <f>IF(AS1248&lt;=0,"",IF(BR1248="Aussen","Aussenlager",IF(BR1248="-","Nicht im Lift",IF(AX1248&gt;=1,"Lift",IF(AX1248&lt;=0,"Aussenlager","teilweise")))))</f>
        <v/>
      </c>
      <c r="BB1248" s="53">
        <f>IF(A1248="","",IF(BK1248=1,"Neu; ","")&amp;IF(AND(BK1248=0,BF1248&lt;0),"negativer Bestand (Export "&amp;BF1248&amp;"); ","")&amp;IF(I1248&lt;=0,"Kein Verbrauch; ","")&amp;IF(BO1248=1,"Lose – Fläche geschätzt; ","")&amp;IF(G1248&gt;AM1248,"Überbestand "&amp;ROUND(G1248-AM1248,0)&amp;" Stk / CHF "&amp;ROUND((G1248-AM1248)*F1248,0)&amp;"; ","")&amp;IF(AND(BT1248=1,BU1248&lt;BV1248),"MAX &lt; MB+LG; ","")&amp;IF(AND(BZ1248&gt;0,BY1248*10&gt;BZ1248),"zu hoch für Tablar; ","")&amp;IF(AND(BK1248=0,OR(BT1248=1,V1248&lt;&gt;"",S1248&lt;&gt;"",T1248&lt;&gt;"",W1248&lt;&gt;"")),"manuell übersteuert; ","")&amp;IF(AND(BO1248=0,Q1248=0),"Gebinde unbekannt; ","")&amp;IF(AND(BO1248=0,N(T1248)&lt;=0,N(P1248)&lt;=0),"Menge pro Gebinde fehlt (Ist = 1 Gebinde); ","")&amp;BJ1248)</f>
        <v/>
      </c>
      <c r="BC1248" s="53" t="n"/>
      <c r="BD1248" s="53" t="n"/>
      <c r="BE1248" s="61" t="n"/>
      <c r="BF1248" s="55" t="n">
        <v>-5</v>
      </c>
      <c r="BG1248" s="55" t="n">
        <v>12</v>
      </c>
      <c r="BH1248" s="54" t="n">
        <v>-731.7799999999997</v>
      </c>
      <c r="BI1248" s="55" t="n">
        <v>67</v>
      </c>
      <c r="BJ1248" s="53" t="inlineStr">
        <is>
          <t>grosser Artikel &amp; nicht im KTL</t>
        </is>
      </c>
      <c r="BK1248" s="58" t="n">
        <v>0</v>
      </c>
      <c r="BL1248" s="58" t="n">
        <v>1248</v>
      </c>
      <c r="BM1248" s="53">
        <f>IF(S1248&lt;&gt;"",UPPER(TRIM(S1248)),IF(O1248="","LOSE",O1248))</f>
        <v/>
      </c>
      <c r="BN1248" s="55">
        <f>IF(BM1248="LOSE",1,IF(N(T1248)&gt;0,T1248,IF(N(P1248)&gt;0,P1248,MAX(1,G1248))))</f>
        <v/>
      </c>
      <c r="BO1248" s="58">
        <f>IF(BM1248="LOSE",1,0)</f>
        <v/>
      </c>
      <c r="BP1248" s="64">
        <f>IF(BO1248=0,0,IF(N(R1248)&gt;0,R1248,IFERROR(VLOOKUP(D1248,Parameter!$A$35:$C$64,3,0)+0,0)))</f>
        <v/>
      </c>
      <c r="BQ1248" s="53">
        <f>IF(V1248&lt;&gt;"",V1248,U1248)</f>
        <v/>
      </c>
      <c r="BR1248" s="53">
        <f>IF(BQ1248=1,"L1",IF(OR(BQ1248=2,BQ1248=3),"L23",IF(BQ1248="Aussen","Aussen","-")))</f>
        <v/>
      </c>
      <c r="BS1248" s="66">
        <f>IF(N(W1248)&gt;0,W1248,0)</f>
        <v/>
      </c>
      <c r="BT1248" s="58">
        <f>IF(ISNUMBER(Z1248),1,0)</f>
        <v/>
      </c>
      <c r="BU1248" s="55">
        <f>N(Z1248)</f>
        <v/>
      </c>
      <c r="BV1248" s="55">
        <f>N(L1248)+N(M1248)</f>
        <v/>
      </c>
      <c r="BW1248" s="55">
        <f>ROUNDUP(G1248/BN1248,0)</f>
        <v/>
      </c>
      <c r="BX1248" s="55">
        <f>ROUNDUP(BU1248/BN1248,0)</f>
        <v/>
      </c>
      <c r="BY1248" s="58">
        <f>IF(BO1248=1,0,IFERROR(VLOOKUP(BM1248,'Gebinde-Kategorie'!$A$5:$G$45,5,0)+0,0))</f>
        <v/>
      </c>
      <c r="BZ1248" s="58">
        <f>IFERROR(IF(OR(BQ1248=1,BQ1248=2,BQ1248=3),N(INDEX(Parameter!$I$5:$I$7,BQ1248)),0),0)</f>
        <v/>
      </c>
    </row>
    <row r="1249">
      <c r="A1249" s="53" t="inlineStr">
        <is>
          <t>108089</t>
        </is>
      </c>
      <c r="B1249" s="53" t="inlineStr">
        <is>
          <t>Innenbox SPGr16 SVC2 4/4</t>
        </is>
      </c>
      <c r="C1249" s="53" t="inlineStr">
        <is>
          <t>G</t>
        </is>
      </c>
      <c r="D1249" s="53" t="inlineStr">
        <is>
          <t>PAL</t>
        </is>
      </c>
      <c r="E1249" s="53" t="inlineStr">
        <is>
          <t>C</t>
        </is>
      </c>
      <c r="F1249" s="54" t="n">
        <v>104.82</v>
      </c>
      <c r="G1249" s="55">
        <f>MAX(0,IF(Parameter!$B$20="Jahresanfang 2025 + Export",BG1249+BF1249,BF1249))</f>
        <v/>
      </c>
      <c r="H1249" s="55">
        <f>G1249*F1249</f>
        <v/>
      </c>
      <c r="I1249" s="55">
        <f>BI1249*Parameter!$B$18</f>
        <v/>
      </c>
      <c r="J1249" s="56" t="n">
        <v>3.5</v>
      </c>
      <c r="K1249" s="57" t="n">
        <v>0</v>
      </c>
      <c r="L1249" s="55" t="n">
        <v>0</v>
      </c>
      <c r="M1249" s="55" t="n">
        <v>1</v>
      </c>
      <c r="N1249" s="58" t="n">
        <v>56</v>
      </c>
      <c r="O1249" s="53" t="inlineStr">
        <is>
          <t>LOSE</t>
        </is>
      </c>
      <c r="P1249" s="55" t="n"/>
      <c r="Q1249" s="59">
        <f>IF(BO1249=1,0,IFERROR(VLOOKUP(BM1249,'Gebinde-Kategorie'!$A$5:$G$45,6,0)+0,0))</f>
        <v/>
      </c>
      <c r="R1249" s="60" t="n"/>
      <c r="S1249" s="61" t="n"/>
      <c r="T1249" s="61" t="n"/>
      <c r="U1249" s="53">
        <f>IF(A1249="","",IF(IFERROR(VLOOKUP(D1249,Parameter!$A$35:$C$64,2,0),"Nein")="2+3",IF(ISNUMBER(SEARCH("grosser Artikel",BJ1249)),2,IFERROR(VLOOKUP(BM1249,Parameter!$F$35:$G$64,2,0),2)),IF(OR(IFERROR(VLOOKUP(D1249,Parameter!$A$35:$C$64,2,0),"Nein")="Nein",IFERROR(VLOOKUP(D1249,Parameter!$A$35:$C$64,2,0),"Nein")=""),"-",VLOOKUP(D1249,Parameter!$A$35:$C$64,2,0))))</f>
        <v/>
      </c>
      <c r="V1249" s="61" t="n"/>
      <c r="W1249" s="62" t="n"/>
      <c r="X1249" s="55">
        <f>AM1249</f>
        <v/>
      </c>
      <c r="Y1249" s="55">
        <f>MAX(AM1249,G1249)</f>
        <v/>
      </c>
      <c r="Z1249" s="63" t="n"/>
      <c r="AA1249" s="55">
        <f>IF(LEFT(Cockpit!$C$5,1)="A",G1249,IF(BT1249=1,BU1249,IF(LEFT(Cockpit!$C$5,1)="B",AE1249,MAX(AE1249,G1249))))</f>
        <v/>
      </c>
      <c r="AB1249" s="55">
        <f>IF(BO1249=1,0,ROUNDUP(AA1249/BN1249,0))</f>
        <v/>
      </c>
      <c r="AC1249" s="64">
        <f>IF(BO1249=1,IF(AA1249&lt;=0,0,BP1249*MAX(1,IF(G1249&gt;0,AA1249/G1249,1))),AB1249*Q1249)</f>
        <v/>
      </c>
      <c r="AD1249" s="55">
        <f>AA1249*F1249</f>
        <v/>
      </c>
      <c r="AE1249" s="55">
        <f>ROUNDUP(MAX(I1249/IF(BS1249&gt;0,BS1249,MAX(0.1,N(Cockpit!$C$6))),BV1249)/BN1249,0)*BN1249</f>
        <v/>
      </c>
      <c r="AF1249" s="56">
        <f>IF(AC1249&gt;0,I1249/AC1249,-1)</f>
        <v/>
      </c>
      <c r="AG1249" s="56">
        <f>IF(AND(OR(BR1249="L1",BR1249="L23"),AC1249&gt;0),SUMIFS($AC$7:$AC$1570,$BR$7:$BR$1570,BR1249,$AF$7:$AF$1570,"&gt;"&amp;AF1249)+SUMIFS($AC$7:$AC$1570,$BR$7:$BR$1570,BR1249,$AF$7:$AF$1570,AF1249,$BL$7:$BL$1570,"&lt;="&amp;BL1249),"")</f>
        <v/>
      </c>
      <c r="AH1249" s="65">
        <f>IF(AG1249="",0,MAX(0,MIN(1,(IF(BR1249="L1",Parameter!$K$5,Parameter!$K$6+Parameter!$K$7)-(AG1249-AC1249))/AC1249)))</f>
        <v/>
      </c>
      <c r="AI1249" s="55">
        <f>IF(LEFT(Cockpit!$I$5,1)="A",G1249,IF(BT1249=1,BU1249,IF(LEFT(Cockpit!$I$5,1)="B",AM1249,MAX(AM1249,G1249))))</f>
        <v/>
      </c>
      <c r="AJ1249" s="55">
        <f>IF(BO1249=1,0,ROUNDUP(AI1249/BN1249,0))</f>
        <v/>
      </c>
      <c r="AK1249" s="64">
        <f>IF(BO1249=1,IF(AI1249&lt;=0,0,BP1249*MAX(1,IF(G1249&gt;0,AI1249/G1249,1))),AJ1249*Q1249)</f>
        <v/>
      </c>
      <c r="AL1249" s="55">
        <f>AI1249*F1249</f>
        <v/>
      </c>
      <c r="AM1249" s="55">
        <f>ROUNDUP(MAX(I1249/IF(BS1249&gt;0,BS1249,MAX(0.1,N(Cockpit!$I$6))),BV1249)/BN1249,0)*BN1249</f>
        <v/>
      </c>
      <c r="AN1249" s="56">
        <f>IF(AK1249&gt;0,I1249/AK1249,-1)</f>
        <v/>
      </c>
      <c r="AO1249" s="56">
        <f>IF(AND(OR(BR1249="L1",BR1249="L23"),AK1249&gt;0),SUMIFS($AK$7:$AK$1570,$BR$7:$BR$1570,BR1249,$AN$7:$AN$1570,"&gt;"&amp;AN1249)+SUMIFS($AK$7:$AK$1570,$BR$7:$BR$1570,BR1249,$AN$7:$AN$1570,AN1249,$BL$7:$BL$1570,"&lt;="&amp;BL1249),"")</f>
        <v/>
      </c>
      <c r="AP1249" s="65">
        <f>IF(AO1249="",0,MAX(0,MIN(1,(IF(BR1249="L1",Parameter!$K$5,Parameter!$K$6+Parameter!$K$7)-(AO1249-AK1249))/AK1249)))</f>
        <v/>
      </c>
      <c r="AQ1249" s="55">
        <f>IF(LEFT(Cockpit!$O$5,1)="A",G1249,IF(BT1249=1,BU1249,IF(LEFT(Cockpit!$O$5,1)="B",AU1249,MAX(AU1249,G1249))))</f>
        <v/>
      </c>
      <c r="AR1249" s="55">
        <f>IF(BO1249=1,0,ROUNDUP(AQ1249/BN1249,0))</f>
        <v/>
      </c>
      <c r="AS1249" s="64">
        <f>IF(BO1249=1,IF(AQ1249&lt;=0,0,BP1249*MAX(1,IF(G1249&gt;0,AQ1249/G1249,1))),AR1249*Q1249)</f>
        <v/>
      </c>
      <c r="AT1249" s="55">
        <f>AQ1249*F1249</f>
        <v/>
      </c>
      <c r="AU1249" s="55">
        <f>ROUNDUP(MAX(I1249/IF(BS1249&gt;0,BS1249,MAX(0.1,N(Cockpit!$O$6))),BV1249)/BN1249,0)*BN1249</f>
        <v/>
      </c>
      <c r="AV1249" s="56">
        <f>IF(AS1249&gt;0,I1249/AS1249,-1)</f>
        <v/>
      </c>
      <c r="AW1249" s="56">
        <f>IF(AND(OR(BR1249="L1",BR1249="L23"),AS1249&gt;0),SUMIFS($AS$7:$AS$1570,$BR$7:$BR$1570,BR1249,$AV$7:$AV$1570,"&gt;"&amp;AV1249)+SUMIFS($AS$7:$AS$1570,$BR$7:$BR$1570,BR1249,$AV$7:$AV$1570,AV1249,$BL$7:$BL$1570,"&lt;="&amp;BL1249),"")</f>
        <v/>
      </c>
      <c r="AX1249" s="65">
        <f>IF(AW1249="",0,MAX(0,MIN(1,(IF(BR1249="L1",Parameter!$K$5,Parameter!$K$6+Parameter!$K$7)-(AW1249-AS1249))/AS1249)))</f>
        <v/>
      </c>
      <c r="AY1249" s="53">
        <f>IF(AC1249&lt;=0,"",IF(BR1249="Aussen","Aussenlager",IF(BR1249="-","Nicht im Lift",IF(AH1249&gt;=1,"Lift",IF(AH1249&lt;=0,"Aussenlager","teilweise")))))</f>
        <v/>
      </c>
      <c r="AZ1249" s="53">
        <f>IF(AK1249&lt;=0,"",IF(BR1249="Aussen","Aussenlager",IF(BR1249="-","Nicht im Lift",IF(AP1249&gt;=1,"Lift",IF(AP1249&lt;=0,"Aussenlager","teilweise")))))</f>
        <v/>
      </c>
      <c r="BA1249" s="53">
        <f>IF(AS1249&lt;=0,"",IF(BR1249="Aussen","Aussenlager",IF(BR1249="-","Nicht im Lift",IF(AX1249&gt;=1,"Lift",IF(AX1249&lt;=0,"Aussenlager","teilweise")))))</f>
        <v/>
      </c>
      <c r="BB1249" s="53">
        <f>IF(A1249="","",IF(BK1249=1,"Neu; ","")&amp;IF(AND(BK1249=0,BF1249&lt;0),"negativer Bestand (Export "&amp;BF1249&amp;"); ","")&amp;IF(I1249&lt;=0,"Kein Verbrauch; ","")&amp;IF(BO1249=1,"Lose – Fläche geschätzt; ","")&amp;IF(G1249&gt;AM1249,"Überbestand "&amp;ROUND(G1249-AM1249,0)&amp;" Stk / CHF "&amp;ROUND((G1249-AM1249)*F1249,0)&amp;"; ","")&amp;IF(AND(BT1249=1,BU1249&lt;BV1249),"MAX &lt; MB+LG; ","")&amp;IF(AND(BZ1249&gt;0,BY1249*10&gt;BZ1249),"zu hoch für Tablar; ","")&amp;IF(AND(BK1249=0,OR(BT1249=1,V1249&lt;&gt;"",S1249&lt;&gt;"",T1249&lt;&gt;"",W1249&lt;&gt;"")),"manuell übersteuert; ","")&amp;IF(AND(BO1249=0,Q1249=0),"Gebinde unbekannt; ","")&amp;IF(AND(BO1249=0,N(T1249)&lt;=0,N(P1249)&lt;=0),"Menge pro Gebinde fehlt (Ist = 1 Gebinde); ","")&amp;BJ1249)</f>
        <v/>
      </c>
      <c r="BC1249" s="53" t="n"/>
      <c r="BD1249" s="53" t="n"/>
      <c r="BE1249" s="61" t="n"/>
      <c r="BF1249" s="55" t="n">
        <v>-7</v>
      </c>
      <c r="BG1249" s="55" t="n">
        <v>7</v>
      </c>
      <c r="BH1249" s="54" t="n">
        <v>-733.74</v>
      </c>
      <c r="BI1249" s="55" t="n">
        <v>0</v>
      </c>
      <c r="BJ1249" s="53" t="inlineStr">
        <is>
          <t>Neuer Art.</t>
        </is>
      </c>
      <c r="BK1249" s="58" t="n">
        <v>0</v>
      </c>
      <c r="BL1249" s="58" t="n">
        <v>1249</v>
      </c>
      <c r="BM1249" s="53">
        <f>IF(S1249&lt;&gt;"",UPPER(TRIM(S1249)),IF(O1249="","LOSE",O1249))</f>
        <v/>
      </c>
      <c r="BN1249" s="55">
        <f>IF(BM1249="LOSE",1,IF(N(T1249)&gt;0,T1249,IF(N(P1249)&gt;0,P1249,MAX(1,G1249))))</f>
        <v/>
      </c>
      <c r="BO1249" s="58">
        <f>IF(BM1249="LOSE",1,0)</f>
        <v/>
      </c>
      <c r="BP1249" s="64">
        <f>IF(BO1249=0,0,IF(N(R1249)&gt;0,R1249,IFERROR(VLOOKUP(D1249,Parameter!$A$35:$C$64,3,0)+0,0)))</f>
        <v/>
      </c>
      <c r="BQ1249" s="53">
        <f>IF(V1249&lt;&gt;"",V1249,U1249)</f>
        <v/>
      </c>
      <c r="BR1249" s="53">
        <f>IF(BQ1249=1,"L1",IF(OR(BQ1249=2,BQ1249=3),"L23",IF(BQ1249="Aussen","Aussen","-")))</f>
        <v/>
      </c>
      <c r="BS1249" s="66">
        <f>IF(N(W1249)&gt;0,W1249,0)</f>
        <v/>
      </c>
      <c r="BT1249" s="58">
        <f>IF(ISNUMBER(Z1249),1,0)</f>
        <v/>
      </c>
      <c r="BU1249" s="55">
        <f>N(Z1249)</f>
        <v/>
      </c>
      <c r="BV1249" s="55">
        <f>N(L1249)+N(M1249)</f>
        <v/>
      </c>
      <c r="BW1249" s="55">
        <f>ROUNDUP(G1249/BN1249,0)</f>
        <v/>
      </c>
      <c r="BX1249" s="55">
        <f>ROUNDUP(BU1249/BN1249,0)</f>
        <v/>
      </c>
      <c r="BY1249" s="58">
        <f>IF(BO1249=1,0,IFERROR(VLOOKUP(BM1249,'Gebinde-Kategorie'!$A$5:$G$45,5,0)+0,0))</f>
        <v/>
      </c>
      <c r="BZ1249" s="58">
        <f>IFERROR(IF(OR(BQ1249=1,BQ1249=2,BQ1249=3),N(INDEX(Parameter!$I$5:$I$7,BQ1249)),0),0)</f>
        <v/>
      </c>
    </row>
    <row r="1250">
      <c r="A1250" s="53" t="inlineStr">
        <is>
          <t>100788</t>
        </is>
      </c>
      <c r="B1250" s="53" t="inlineStr">
        <is>
          <t>Pilot Magnetventil CH4 komplett</t>
        </is>
      </c>
      <c r="C1250" s="53" t="inlineStr">
        <is>
          <t>F</t>
        </is>
      </c>
      <c r="D1250" s="53" t="inlineStr">
        <is>
          <t>KTL</t>
        </is>
      </c>
      <c r="E1250" s="53" t="inlineStr">
        <is>
          <t>C</t>
        </is>
      </c>
      <c r="F1250" s="54" t="n">
        <v>148.8</v>
      </c>
      <c r="G1250" s="55">
        <f>MAX(0,IF(Parameter!$B$20="Jahresanfang 2025 + Export",BG1250+BF1250,BF1250))</f>
        <v/>
      </c>
      <c r="H1250" s="55">
        <f>G1250*F1250</f>
        <v/>
      </c>
      <c r="I1250" s="55">
        <f>BI1250*Parameter!$B$18</f>
        <v/>
      </c>
      <c r="J1250" s="56" t="n">
        <v>19</v>
      </c>
      <c r="K1250" s="57" t="n">
        <v>1.526315789473684</v>
      </c>
      <c r="L1250" s="55" t="n">
        <v>3</v>
      </c>
      <c r="M1250" s="55" t="n">
        <v>20</v>
      </c>
      <c r="N1250" s="58" t="n">
        <v>31</v>
      </c>
      <c r="O1250" s="53" t="inlineStr">
        <is>
          <t>S33</t>
        </is>
      </c>
      <c r="P1250" s="55" t="n">
        <v>37</v>
      </c>
      <c r="Q1250" s="59">
        <f>IF(BO1250=1,0,IFERROR(VLOOKUP(BM1250,'Gebinde-Kategorie'!$A$5:$G$45,6,0)+0,0))</f>
        <v/>
      </c>
      <c r="R1250" s="60" t="n"/>
      <c r="S1250" s="61" t="n"/>
      <c r="T1250" s="61" t="n"/>
      <c r="U1250" s="53">
        <f>IF(A1250="","",IF(IFERROR(VLOOKUP(D1250,Parameter!$A$35:$C$64,2,0),"Nein")="2+3",IF(ISNUMBER(SEARCH("grosser Artikel",BJ1250)),2,IFERROR(VLOOKUP(BM1250,Parameter!$F$35:$G$64,2,0),2)),IF(OR(IFERROR(VLOOKUP(D1250,Parameter!$A$35:$C$64,2,0),"Nein")="Nein",IFERROR(VLOOKUP(D1250,Parameter!$A$35:$C$64,2,0),"Nein")=""),"-",VLOOKUP(D1250,Parameter!$A$35:$C$64,2,0))))</f>
        <v/>
      </c>
      <c r="V1250" s="61" t="n"/>
      <c r="W1250" s="62" t="n"/>
      <c r="X1250" s="55">
        <f>AM1250</f>
        <v/>
      </c>
      <c r="Y1250" s="55">
        <f>MAX(AM1250,G1250)</f>
        <v/>
      </c>
      <c r="Z1250" s="63" t="n"/>
      <c r="AA1250" s="55">
        <f>IF(LEFT(Cockpit!$C$5,1)="A",G1250,IF(BT1250=1,BU1250,IF(LEFT(Cockpit!$C$5,1)="B",AE1250,MAX(AE1250,G1250))))</f>
        <v/>
      </c>
      <c r="AB1250" s="55">
        <f>IF(BO1250=1,0,ROUNDUP(AA1250/BN1250,0))</f>
        <v/>
      </c>
      <c r="AC1250" s="64">
        <f>IF(BO1250=1,IF(AA1250&lt;=0,0,BP1250*MAX(1,IF(G1250&gt;0,AA1250/G1250,1))),AB1250*Q1250)</f>
        <v/>
      </c>
      <c r="AD1250" s="55">
        <f>AA1250*F1250</f>
        <v/>
      </c>
      <c r="AE1250" s="55">
        <f>ROUNDUP(MAX(I1250/IF(BS1250&gt;0,BS1250,MAX(0.1,N(Cockpit!$C$6))),BV1250)/BN1250,0)*BN1250</f>
        <v/>
      </c>
      <c r="AF1250" s="56">
        <f>IF(AC1250&gt;0,I1250/AC1250,-1)</f>
        <v/>
      </c>
      <c r="AG1250" s="56">
        <f>IF(AND(OR(BR1250="L1",BR1250="L23"),AC1250&gt;0),SUMIFS($AC$7:$AC$1570,$BR$7:$BR$1570,BR1250,$AF$7:$AF$1570,"&gt;"&amp;AF1250)+SUMIFS($AC$7:$AC$1570,$BR$7:$BR$1570,BR1250,$AF$7:$AF$1570,AF1250,$BL$7:$BL$1570,"&lt;="&amp;BL1250),"")</f>
        <v/>
      </c>
      <c r="AH1250" s="65">
        <f>IF(AG1250="",0,MAX(0,MIN(1,(IF(BR1250="L1",Parameter!$K$5,Parameter!$K$6+Parameter!$K$7)-(AG1250-AC1250))/AC1250)))</f>
        <v/>
      </c>
      <c r="AI1250" s="55">
        <f>IF(LEFT(Cockpit!$I$5,1)="A",G1250,IF(BT1250=1,BU1250,IF(LEFT(Cockpit!$I$5,1)="B",AM1250,MAX(AM1250,G1250))))</f>
        <v/>
      </c>
      <c r="AJ1250" s="55">
        <f>IF(BO1250=1,0,ROUNDUP(AI1250/BN1250,0))</f>
        <v/>
      </c>
      <c r="AK1250" s="64">
        <f>IF(BO1250=1,IF(AI1250&lt;=0,0,BP1250*MAX(1,IF(G1250&gt;0,AI1250/G1250,1))),AJ1250*Q1250)</f>
        <v/>
      </c>
      <c r="AL1250" s="55">
        <f>AI1250*F1250</f>
        <v/>
      </c>
      <c r="AM1250" s="55">
        <f>ROUNDUP(MAX(I1250/IF(BS1250&gt;0,BS1250,MAX(0.1,N(Cockpit!$I$6))),BV1250)/BN1250,0)*BN1250</f>
        <v/>
      </c>
      <c r="AN1250" s="56">
        <f>IF(AK1250&gt;0,I1250/AK1250,-1)</f>
        <v/>
      </c>
      <c r="AO1250" s="56">
        <f>IF(AND(OR(BR1250="L1",BR1250="L23"),AK1250&gt;0),SUMIFS($AK$7:$AK$1570,$BR$7:$BR$1570,BR1250,$AN$7:$AN$1570,"&gt;"&amp;AN1250)+SUMIFS($AK$7:$AK$1570,$BR$7:$BR$1570,BR1250,$AN$7:$AN$1570,AN1250,$BL$7:$BL$1570,"&lt;="&amp;BL1250),"")</f>
        <v/>
      </c>
      <c r="AP1250" s="65">
        <f>IF(AO1250="",0,MAX(0,MIN(1,(IF(BR1250="L1",Parameter!$K$5,Parameter!$K$6+Parameter!$K$7)-(AO1250-AK1250))/AK1250)))</f>
        <v/>
      </c>
      <c r="AQ1250" s="55">
        <f>IF(LEFT(Cockpit!$O$5,1)="A",G1250,IF(BT1250=1,BU1250,IF(LEFT(Cockpit!$O$5,1)="B",AU1250,MAX(AU1250,G1250))))</f>
        <v/>
      </c>
      <c r="AR1250" s="55">
        <f>IF(BO1250=1,0,ROUNDUP(AQ1250/BN1250,0))</f>
        <v/>
      </c>
      <c r="AS1250" s="64">
        <f>IF(BO1250=1,IF(AQ1250&lt;=0,0,BP1250*MAX(1,IF(G1250&gt;0,AQ1250/G1250,1))),AR1250*Q1250)</f>
        <v/>
      </c>
      <c r="AT1250" s="55">
        <f>AQ1250*F1250</f>
        <v/>
      </c>
      <c r="AU1250" s="55">
        <f>ROUNDUP(MAX(I1250/IF(BS1250&gt;0,BS1250,MAX(0.1,N(Cockpit!$O$6))),BV1250)/BN1250,0)*BN1250</f>
        <v/>
      </c>
      <c r="AV1250" s="56">
        <f>IF(AS1250&gt;0,I1250/AS1250,-1)</f>
        <v/>
      </c>
      <c r="AW1250" s="56">
        <f>IF(AND(OR(BR1250="L1",BR1250="L23"),AS1250&gt;0),SUMIFS($AS$7:$AS$1570,$BR$7:$BR$1570,BR1250,$AV$7:$AV$1570,"&gt;"&amp;AV1250)+SUMIFS($AS$7:$AS$1570,$BR$7:$BR$1570,BR1250,$AV$7:$AV$1570,AV1250,$BL$7:$BL$1570,"&lt;="&amp;BL1250),"")</f>
        <v/>
      </c>
      <c r="AX1250" s="65">
        <f>IF(AW1250="",0,MAX(0,MIN(1,(IF(BR1250="L1",Parameter!$K$5,Parameter!$K$6+Parameter!$K$7)-(AW1250-AS1250))/AS1250)))</f>
        <v/>
      </c>
      <c r="AY1250" s="53">
        <f>IF(AC1250&lt;=0,"",IF(BR1250="Aussen","Aussenlager",IF(BR1250="-","Nicht im Lift",IF(AH1250&gt;=1,"Lift",IF(AH1250&lt;=0,"Aussenlager","teilweise")))))</f>
        <v/>
      </c>
      <c r="AZ1250" s="53">
        <f>IF(AK1250&lt;=0,"",IF(BR1250="Aussen","Aussenlager",IF(BR1250="-","Nicht im Lift",IF(AP1250&gt;=1,"Lift",IF(AP1250&lt;=0,"Aussenlager","teilweise")))))</f>
        <v/>
      </c>
      <c r="BA1250" s="53">
        <f>IF(AS1250&lt;=0,"",IF(BR1250="Aussen","Aussenlager",IF(BR1250="-","Nicht im Lift",IF(AX1250&gt;=1,"Lift",IF(AX1250&lt;=0,"Aussenlager","teilweise")))))</f>
        <v/>
      </c>
      <c r="BB1250" s="53">
        <f>IF(A1250="","",IF(BK1250=1,"Neu; ","")&amp;IF(AND(BK1250=0,BF1250&lt;0),"negativer Bestand (Export "&amp;BF1250&amp;"); ","")&amp;IF(I1250&lt;=0,"Kein Verbrauch; ","")&amp;IF(BO1250=1,"Lose – Fläche geschätzt; ","")&amp;IF(G1250&gt;AM1250,"Überbestand "&amp;ROUND(G1250-AM1250,0)&amp;" Stk / CHF "&amp;ROUND((G1250-AM1250)*F1250,0)&amp;"; ","")&amp;IF(AND(BT1250=1,BU1250&lt;BV1250),"MAX &lt; MB+LG; ","")&amp;IF(AND(BZ1250&gt;0,BY1250*10&gt;BZ1250),"zu hoch für Tablar; ","")&amp;IF(AND(BK1250=0,OR(BT1250=1,V1250&lt;&gt;"",S1250&lt;&gt;"",T1250&lt;&gt;"",W1250&lt;&gt;"")),"manuell übersteuert; ","")&amp;IF(AND(BO1250=0,Q1250=0),"Gebinde unbekannt; ","")&amp;IF(AND(BO1250=0,N(T1250)&lt;=0,N(P1250)&lt;=0),"Menge pro Gebinde fehlt (Ist = 1 Gebinde); ","")&amp;BJ1250)</f>
        <v/>
      </c>
      <c r="BC1250" s="53" t="n"/>
      <c r="BD1250" s="53" t="n"/>
      <c r="BE1250" s="61" t="n"/>
      <c r="BF1250" s="55" t="n">
        <v>-5</v>
      </c>
      <c r="BG1250" s="55" t="n">
        <v>24</v>
      </c>
      <c r="BH1250" s="54" t="n">
        <v>-738.0000000000007</v>
      </c>
      <c r="BI1250" s="55" t="n">
        <v>29</v>
      </c>
      <c r="BJ1250" s="53" t="inlineStr"/>
      <c r="BK1250" s="58" t="n">
        <v>0</v>
      </c>
      <c r="BL1250" s="58" t="n">
        <v>1250</v>
      </c>
      <c r="BM1250" s="53">
        <f>IF(S1250&lt;&gt;"",UPPER(TRIM(S1250)),IF(O1250="","LOSE",O1250))</f>
        <v/>
      </c>
      <c r="BN1250" s="55">
        <f>IF(BM1250="LOSE",1,IF(N(T1250)&gt;0,T1250,IF(N(P1250)&gt;0,P1250,MAX(1,G1250))))</f>
        <v/>
      </c>
      <c r="BO1250" s="58">
        <f>IF(BM1250="LOSE",1,0)</f>
        <v/>
      </c>
      <c r="BP1250" s="64">
        <f>IF(BO1250=0,0,IF(N(R1250)&gt;0,R1250,IFERROR(VLOOKUP(D1250,Parameter!$A$35:$C$64,3,0)+0,0)))</f>
        <v/>
      </c>
      <c r="BQ1250" s="53">
        <f>IF(V1250&lt;&gt;"",V1250,U1250)</f>
        <v/>
      </c>
      <c r="BR1250" s="53">
        <f>IF(BQ1250=1,"L1",IF(OR(BQ1250=2,BQ1250=3),"L23",IF(BQ1250="Aussen","Aussen","-")))</f>
        <v/>
      </c>
      <c r="BS1250" s="66">
        <f>IF(N(W1250)&gt;0,W1250,0)</f>
        <v/>
      </c>
      <c r="BT1250" s="58">
        <f>IF(ISNUMBER(Z1250),1,0)</f>
        <v/>
      </c>
      <c r="BU1250" s="55">
        <f>N(Z1250)</f>
        <v/>
      </c>
      <c r="BV1250" s="55">
        <f>N(L1250)+N(M1250)</f>
        <v/>
      </c>
      <c r="BW1250" s="55">
        <f>ROUNDUP(G1250/BN1250,0)</f>
        <v/>
      </c>
      <c r="BX1250" s="55">
        <f>ROUNDUP(BU1250/BN1250,0)</f>
        <v/>
      </c>
      <c r="BY1250" s="58">
        <f>IF(BO1250=1,0,IFERROR(VLOOKUP(BM1250,'Gebinde-Kategorie'!$A$5:$G$45,5,0)+0,0))</f>
        <v/>
      </c>
      <c r="BZ1250" s="58">
        <f>IFERROR(IF(OR(BQ1250=1,BQ1250=2,BQ1250=3),N(INDEX(Parameter!$I$5:$I$7,BQ1250)),0),0)</f>
        <v/>
      </c>
    </row>
    <row r="1251">
      <c r="A1251" s="53" t="inlineStr">
        <is>
          <t>107367</t>
        </is>
      </c>
      <c r="B1251" s="53" t="inlineStr">
        <is>
          <t>Aufkleber SPGr</t>
        </is>
      </c>
      <c r="C1251" s="53" t="inlineStr">
        <is>
          <t>F</t>
        </is>
      </c>
      <c r="D1251" s="53" t="inlineStr">
        <is>
          <t>KTL</t>
        </is>
      </c>
      <c r="E1251" s="53" t="inlineStr">
        <is>
          <t>C</t>
        </is>
      </c>
      <c r="F1251" s="54" t="n">
        <v>59.75</v>
      </c>
      <c r="G1251" s="55">
        <f>MAX(0,IF(Parameter!$B$20="Jahresanfang 2025 + Export",BG1251+BF1251,BF1251))</f>
        <v/>
      </c>
      <c r="H1251" s="55">
        <f>G1251*F1251</f>
        <v/>
      </c>
      <c r="I1251" s="55">
        <f>BI1251*Parameter!$B$18</f>
        <v/>
      </c>
      <c r="J1251" s="56" t="n">
        <v>77.5</v>
      </c>
      <c r="K1251" s="57" t="n">
        <v>0.3741935483870968</v>
      </c>
      <c r="L1251" s="55" t="n">
        <v>4</v>
      </c>
      <c r="M1251" s="55" t="n">
        <v>30</v>
      </c>
      <c r="N1251" s="58" t="n">
        <v>21</v>
      </c>
      <c r="O1251" s="53" t="inlineStr">
        <is>
          <t>S52</t>
        </is>
      </c>
      <c r="P1251" s="55" t="n">
        <v>90</v>
      </c>
      <c r="Q1251" s="59">
        <f>IF(BO1251=1,0,IFERROR(VLOOKUP(BM1251,'Gebinde-Kategorie'!$A$5:$G$45,6,0)+0,0))</f>
        <v/>
      </c>
      <c r="R1251" s="60" t="n"/>
      <c r="S1251" s="61" t="n"/>
      <c r="T1251" s="61" t="n"/>
      <c r="U1251" s="53">
        <f>IF(A1251="","",IF(IFERROR(VLOOKUP(D1251,Parameter!$A$35:$C$64,2,0),"Nein")="2+3",IF(ISNUMBER(SEARCH("grosser Artikel",BJ1251)),2,IFERROR(VLOOKUP(BM1251,Parameter!$F$35:$G$64,2,0),2)),IF(OR(IFERROR(VLOOKUP(D1251,Parameter!$A$35:$C$64,2,0),"Nein")="Nein",IFERROR(VLOOKUP(D1251,Parameter!$A$35:$C$64,2,0),"Nein")=""),"-",VLOOKUP(D1251,Parameter!$A$35:$C$64,2,0))))</f>
        <v/>
      </c>
      <c r="V1251" s="61" t="n"/>
      <c r="W1251" s="62" t="n"/>
      <c r="X1251" s="55">
        <f>AM1251</f>
        <v/>
      </c>
      <c r="Y1251" s="55">
        <f>MAX(AM1251,G1251)</f>
        <v/>
      </c>
      <c r="Z1251" s="63" t="n"/>
      <c r="AA1251" s="55">
        <f>IF(LEFT(Cockpit!$C$5,1)="A",G1251,IF(BT1251=1,BU1251,IF(LEFT(Cockpit!$C$5,1)="B",AE1251,MAX(AE1251,G1251))))</f>
        <v/>
      </c>
      <c r="AB1251" s="55">
        <f>IF(BO1251=1,0,ROUNDUP(AA1251/BN1251,0))</f>
        <v/>
      </c>
      <c r="AC1251" s="64">
        <f>IF(BO1251=1,IF(AA1251&lt;=0,0,BP1251*MAX(1,IF(G1251&gt;0,AA1251/G1251,1))),AB1251*Q1251)</f>
        <v/>
      </c>
      <c r="AD1251" s="55">
        <f>AA1251*F1251</f>
        <v/>
      </c>
      <c r="AE1251" s="55">
        <f>ROUNDUP(MAX(I1251/IF(BS1251&gt;0,BS1251,MAX(0.1,N(Cockpit!$C$6))),BV1251)/BN1251,0)*BN1251</f>
        <v/>
      </c>
      <c r="AF1251" s="56">
        <f>IF(AC1251&gt;0,I1251/AC1251,-1)</f>
        <v/>
      </c>
      <c r="AG1251" s="56">
        <f>IF(AND(OR(BR1251="L1",BR1251="L23"),AC1251&gt;0),SUMIFS($AC$7:$AC$1570,$BR$7:$BR$1570,BR1251,$AF$7:$AF$1570,"&gt;"&amp;AF1251)+SUMIFS($AC$7:$AC$1570,$BR$7:$BR$1570,BR1251,$AF$7:$AF$1570,AF1251,$BL$7:$BL$1570,"&lt;="&amp;BL1251),"")</f>
        <v/>
      </c>
      <c r="AH1251" s="65">
        <f>IF(AG1251="",0,MAX(0,MIN(1,(IF(BR1251="L1",Parameter!$K$5,Parameter!$K$6+Parameter!$K$7)-(AG1251-AC1251))/AC1251)))</f>
        <v/>
      </c>
      <c r="AI1251" s="55">
        <f>IF(LEFT(Cockpit!$I$5,1)="A",G1251,IF(BT1251=1,BU1251,IF(LEFT(Cockpit!$I$5,1)="B",AM1251,MAX(AM1251,G1251))))</f>
        <v/>
      </c>
      <c r="AJ1251" s="55">
        <f>IF(BO1251=1,0,ROUNDUP(AI1251/BN1251,0))</f>
        <v/>
      </c>
      <c r="AK1251" s="64">
        <f>IF(BO1251=1,IF(AI1251&lt;=0,0,BP1251*MAX(1,IF(G1251&gt;0,AI1251/G1251,1))),AJ1251*Q1251)</f>
        <v/>
      </c>
      <c r="AL1251" s="55">
        <f>AI1251*F1251</f>
        <v/>
      </c>
      <c r="AM1251" s="55">
        <f>ROUNDUP(MAX(I1251/IF(BS1251&gt;0,BS1251,MAX(0.1,N(Cockpit!$I$6))),BV1251)/BN1251,0)*BN1251</f>
        <v/>
      </c>
      <c r="AN1251" s="56">
        <f>IF(AK1251&gt;0,I1251/AK1251,-1)</f>
        <v/>
      </c>
      <c r="AO1251" s="56">
        <f>IF(AND(OR(BR1251="L1",BR1251="L23"),AK1251&gt;0),SUMIFS($AK$7:$AK$1570,$BR$7:$BR$1570,BR1251,$AN$7:$AN$1570,"&gt;"&amp;AN1251)+SUMIFS($AK$7:$AK$1570,$BR$7:$BR$1570,BR1251,$AN$7:$AN$1570,AN1251,$BL$7:$BL$1570,"&lt;="&amp;BL1251),"")</f>
        <v/>
      </c>
      <c r="AP1251" s="65">
        <f>IF(AO1251="",0,MAX(0,MIN(1,(IF(BR1251="L1",Parameter!$K$5,Parameter!$K$6+Parameter!$K$7)-(AO1251-AK1251))/AK1251)))</f>
        <v/>
      </c>
      <c r="AQ1251" s="55">
        <f>IF(LEFT(Cockpit!$O$5,1)="A",G1251,IF(BT1251=1,BU1251,IF(LEFT(Cockpit!$O$5,1)="B",AU1251,MAX(AU1251,G1251))))</f>
        <v/>
      </c>
      <c r="AR1251" s="55">
        <f>IF(BO1251=1,0,ROUNDUP(AQ1251/BN1251,0))</f>
        <v/>
      </c>
      <c r="AS1251" s="64">
        <f>IF(BO1251=1,IF(AQ1251&lt;=0,0,BP1251*MAX(1,IF(G1251&gt;0,AQ1251/G1251,1))),AR1251*Q1251)</f>
        <v/>
      </c>
      <c r="AT1251" s="55">
        <f>AQ1251*F1251</f>
        <v/>
      </c>
      <c r="AU1251" s="55">
        <f>ROUNDUP(MAX(I1251/IF(BS1251&gt;0,BS1251,MAX(0.1,N(Cockpit!$O$6))),BV1251)/BN1251,0)*BN1251</f>
        <v/>
      </c>
      <c r="AV1251" s="56">
        <f>IF(AS1251&gt;0,I1251/AS1251,-1)</f>
        <v/>
      </c>
      <c r="AW1251" s="56">
        <f>IF(AND(OR(BR1251="L1",BR1251="L23"),AS1251&gt;0),SUMIFS($AS$7:$AS$1570,$BR$7:$BR$1570,BR1251,$AV$7:$AV$1570,"&gt;"&amp;AV1251)+SUMIFS($AS$7:$AS$1570,$BR$7:$BR$1570,BR1251,$AV$7:$AV$1570,AV1251,$BL$7:$BL$1570,"&lt;="&amp;BL1251),"")</f>
        <v/>
      </c>
      <c r="AX1251" s="65">
        <f>IF(AW1251="",0,MAX(0,MIN(1,(IF(BR1251="L1",Parameter!$K$5,Parameter!$K$6+Parameter!$K$7)-(AW1251-AS1251))/AS1251)))</f>
        <v/>
      </c>
      <c r="AY1251" s="53">
        <f>IF(AC1251&lt;=0,"",IF(BR1251="Aussen","Aussenlager",IF(BR1251="-","Nicht im Lift",IF(AH1251&gt;=1,"Lift",IF(AH1251&lt;=0,"Aussenlager","teilweise")))))</f>
        <v/>
      </c>
      <c r="AZ1251" s="53">
        <f>IF(AK1251&lt;=0,"",IF(BR1251="Aussen","Aussenlager",IF(BR1251="-","Nicht im Lift",IF(AP1251&gt;=1,"Lift",IF(AP1251&lt;=0,"Aussenlager","teilweise")))))</f>
        <v/>
      </c>
      <c r="BA1251" s="53">
        <f>IF(AS1251&lt;=0,"",IF(BR1251="Aussen","Aussenlager",IF(BR1251="-","Nicht im Lift",IF(AX1251&gt;=1,"Lift",IF(AX1251&lt;=0,"Aussenlager","teilweise")))))</f>
        <v/>
      </c>
      <c r="BB1251" s="53">
        <f>IF(A1251="","",IF(BK1251=1,"Neu; ","")&amp;IF(AND(BK1251=0,BF1251&lt;0),"negativer Bestand (Export "&amp;BF1251&amp;"); ","")&amp;IF(I1251&lt;=0,"Kein Verbrauch; ","")&amp;IF(BO1251=1,"Lose – Fläche geschätzt; ","")&amp;IF(G1251&gt;AM1251,"Überbestand "&amp;ROUND(G1251-AM1251,0)&amp;" Stk / CHF "&amp;ROUND((G1251-AM1251)*F1251,0)&amp;"; ","")&amp;IF(AND(BT1251=1,BU1251&lt;BV1251),"MAX &lt; MB+LG; ","")&amp;IF(AND(BZ1251&gt;0,BY1251*10&gt;BZ1251),"zu hoch für Tablar; ","")&amp;IF(AND(BK1251=0,OR(BT1251=1,V1251&lt;&gt;"",S1251&lt;&gt;"",T1251&lt;&gt;"",W1251&lt;&gt;"")),"manuell übersteuert; ","")&amp;IF(AND(BO1251=0,Q1251=0),"Gebinde unbekannt; ","")&amp;IF(AND(BO1251=0,N(T1251)&lt;=0,N(P1251)&lt;=0),"Menge pro Gebinde fehlt (Ist = 1 Gebinde); ","")&amp;BJ1251)</f>
        <v/>
      </c>
      <c r="BC1251" s="53" t="n"/>
      <c r="BD1251" s="53" t="n"/>
      <c r="BE1251" s="61" t="n"/>
      <c r="BF1251" s="55" t="n">
        <v>-13</v>
      </c>
      <c r="BG1251" s="55" t="n">
        <v>83</v>
      </c>
      <c r="BH1251" s="54" t="n">
        <v>-750.1900000000006</v>
      </c>
      <c r="BI1251" s="55" t="n">
        <v>29</v>
      </c>
      <c r="BJ1251" s="53" t="inlineStr"/>
      <c r="BK1251" s="58" t="n">
        <v>0</v>
      </c>
      <c r="BL1251" s="58" t="n">
        <v>1251</v>
      </c>
      <c r="BM1251" s="53">
        <f>IF(S1251&lt;&gt;"",UPPER(TRIM(S1251)),IF(O1251="","LOSE",O1251))</f>
        <v/>
      </c>
      <c r="BN1251" s="55">
        <f>IF(BM1251="LOSE",1,IF(N(T1251)&gt;0,T1251,IF(N(P1251)&gt;0,P1251,MAX(1,G1251))))</f>
        <v/>
      </c>
      <c r="BO1251" s="58">
        <f>IF(BM1251="LOSE",1,0)</f>
        <v/>
      </c>
      <c r="BP1251" s="64">
        <f>IF(BO1251=0,0,IF(N(R1251)&gt;0,R1251,IFERROR(VLOOKUP(D1251,Parameter!$A$35:$C$64,3,0)+0,0)))</f>
        <v/>
      </c>
      <c r="BQ1251" s="53">
        <f>IF(V1251&lt;&gt;"",V1251,U1251)</f>
        <v/>
      </c>
      <c r="BR1251" s="53">
        <f>IF(BQ1251=1,"L1",IF(OR(BQ1251=2,BQ1251=3),"L23",IF(BQ1251="Aussen","Aussen","-")))</f>
        <v/>
      </c>
      <c r="BS1251" s="66">
        <f>IF(N(W1251)&gt;0,W1251,0)</f>
        <v/>
      </c>
      <c r="BT1251" s="58">
        <f>IF(ISNUMBER(Z1251),1,0)</f>
        <v/>
      </c>
      <c r="BU1251" s="55">
        <f>N(Z1251)</f>
        <v/>
      </c>
      <c r="BV1251" s="55">
        <f>N(L1251)+N(M1251)</f>
        <v/>
      </c>
      <c r="BW1251" s="55">
        <f>ROUNDUP(G1251/BN1251,0)</f>
        <v/>
      </c>
      <c r="BX1251" s="55">
        <f>ROUNDUP(BU1251/BN1251,0)</f>
        <v/>
      </c>
      <c r="BY1251" s="58">
        <f>IF(BO1251=1,0,IFERROR(VLOOKUP(BM1251,'Gebinde-Kategorie'!$A$5:$G$45,5,0)+0,0))</f>
        <v/>
      </c>
      <c r="BZ1251" s="58">
        <f>IFERROR(IF(OR(BQ1251=1,BQ1251=2,BQ1251=3),N(INDEX(Parameter!$I$5:$I$7,BQ1251)),0),0)</f>
        <v/>
      </c>
    </row>
    <row r="1252">
      <c r="A1252" s="53" t="inlineStr">
        <is>
          <t>109328</t>
        </is>
      </c>
      <c r="B1252" s="53" t="inlineStr">
        <is>
          <t>Sechskantmutter kugelig</t>
        </is>
      </c>
      <c r="C1252" s="53" t="inlineStr">
        <is>
          <t>F</t>
        </is>
      </c>
      <c r="D1252" s="53" t="inlineStr">
        <is>
          <t>KTL</t>
        </is>
      </c>
      <c r="E1252" s="53" t="inlineStr">
        <is>
          <t>C</t>
        </is>
      </c>
      <c r="F1252" s="54" t="n">
        <v>1.67</v>
      </c>
      <c r="G1252" s="55">
        <f>MAX(0,IF(Parameter!$B$20="Jahresanfang 2025 + Export",BG1252+BF1252,BF1252))</f>
        <v/>
      </c>
      <c r="H1252" s="55">
        <f>G1252*F1252</f>
        <v/>
      </c>
      <c r="I1252" s="55">
        <f>BI1252*Parameter!$B$18</f>
        <v/>
      </c>
      <c r="J1252" s="56" t="n">
        <v>397.5</v>
      </c>
      <c r="K1252" s="57" t="n">
        <v>0.5182389937106918</v>
      </c>
      <c r="L1252" s="55" t="n">
        <v>12</v>
      </c>
      <c r="M1252" s="55" t="n">
        <v>250</v>
      </c>
      <c r="N1252" s="58" t="n">
        <v>105</v>
      </c>
      <c r="O1252" s="53" t="inlineStr">
        <is>
          <t>LOSE</t>
        </is>
      </c>
      <c r="P1252" s="55" t="n"/>
      <c r="Q1252" s="59">
        <f>IF(BO1252=1,0,IFERROR(VLOOKUP(BM1252,'Gebinde-Kategorie'!$A$5:$G$45,6,0)+0,0))</f>
        <v/>
      </c>
      <c r="R1252" s="60" t="n"/>
      <c r="S1252" s="61" t="n"/>
      <c r="T1252" s="61" t="n"/>
      <c r="U1252" s="53">
        <f>IF(A1252="","",IF(IFERROR(VLOOKUP(D1252,Parameter!$A$35:$C$64,2,0),"Nein")="2+3",IF(ISNUMBER(SEARCH("grosser Artikel",BJ1252)),2,IFERROR(VLOOKUP(BM1252,Parameter!$F$35:$G$64,2,0),2)),IF(OR(IFERROR(VLOOKUP(D1252,Parameter!$A$35:$C$64,2,0),"Nein")="Nein",IFERROR(VLOOKUP(D1252,Parameter!$A$35:$C$64,2,0),"Nein")=""),"-",VLOOKUP(D1252,Parameter!$A$35:$C$64,2,0))))</f>
        <v/>
      </c>
      <c r="V1252" s="61" t="n"/>
      <c r="W1252" s="62" t="n"/>
      <c r="X1252" s="55">
        <f>AM1252</f>
        <v/>
      </c>
      <c r="Y1252" s="55">
        <f>MAX(AM1252,G1252)</f>
        <v/>
      </c>
      <c r="Z1252" s="63" t="n"/>
      <c r="AA1252" s="55">
        <f>IF(LEFT(Cockpit!$C$5,1)="A",G1252,IF(BT1252=1,BU1252,IF(LEFT(Cockpit!$C$5,1)="B",AE1252,MAX(AE1252,G1252))))</f>
        <v/>
      </c>
      <c r="AB1252" s="55">
        <f>IF(BO1252=1,0,ROUNDUP(AA1252/BN1252,0))</f>
        <v/>
      </c>
      <c r="AC1252" s="64">
        <f>IF(BO1252=1,IF(AA1252&lt;=0,0,BP1252*MAX(1,IF(G1252&gt;0,AA1252/G1252,1))),AB1252*Q1252)</f>
        <v/>
      </c>
      <c r="AD1252" s="55">
        <f>AA1252*F1252</f>
        <v/>
      </c>
      <c r="AE1252" s="55">
        <f>ROUNDUP(MAX(I1252/IF(BS1252&gt;0,BS1252,MAX(0.1,N(Cockpit!$C$6))),BV1252)/BN1252,0)*BN1252</f>
        <v/>
      </c>
      <c r="AF1252" s="56">
        <f>IF(AC1252&gt;0,I1252/AC1252,-1)</f>
        <v/>
      </c>
      <c r="AG1252" s="56">
        <f>IF(AND(OR(BR1252="L1",BR1252="L23"),AC1252&gt;0),SUMIFS($AC$7:$AC$1570,$BR$7:$BR$1570,BR1252,$AF$7:$AF$1570,"&gt;"&amp;AF1252)+SUMIFS($AC$7:$AC$1570,$BR$7:$BR$1570,BR1252,$AF$7:$AF$1570,AF1252,$BL$7:$BL$1570,"&lt;="&amp;BL1252),"")</f>
        <v/>
      </c>
      <c r="AH1252" s="65">
        <f>IF(AG1252="",0,MAX(0,MIN(1,(IF(BR1252="L1",Parameter!$K$5,Parameter!$K$6+Parameter!$K$7)-(AG1252-AC1252))/AC1252)))</f>
        <v/>
      </c>
      <c r="AI1252" s="55">
        <f>IF(LEFT(Cockpit!$I$5,1)="A",G1252,IF(BT1252=1,BU1252,IF(LEFT(Cockpit!$I$5,1)="B",AM1252,MAX(AM1252,G1252))))</f>
        <v/>
      </c>
      <c r="AJ1252" s="55">
        <f>IF(BO1252=1,0,ROUNDUP(AI1252/BN1252,0))</f>
        <v/>
      </c>
      <c r="AK1252" s="64">
        <f>IF(BO1252=1,IF(AI1252&lt;=0,0,BP1252*MAX(1,IF(G1252&gt;0,AI1252/G1252,1))),AJ1252*Q1252)</f>
        <v/>
      </c>
      <c r="AL1252" s="55">
        <f>AI1252*F1252</f>
        <v/>
      </c>
      <c r="AM1252" s="55">
        <f>ROUNDUP(MAX(I1252/IF(BS1252&gt;0,BS1252,MAX(0.1,N(Cockpit!$I$6))),BV1252)/BN1252,0)*BN1252</f>
        <v/>
      </c>
      <c r="AN1252" s="56">
        <f>IF(AK1252&gt;0,I1252/AK1252,-1)</f>
        <v/>
      </c>
      <c r="AO1252" s="56">
        <f>IF(AND(OR(BR1252="L1",BR1252="L23"),AK1252&gt;0),SUMIFS($AK$7:$AK$1570,$BR$7:$BR$1570,BR1252,$AN$7:$AN$1570,"&gt;"&amp;AN1252)+SUMIFS($AK$7:$AK$1570,$BR$7:$BR$1570,BR1252,$AN$7:$AN$1570,AN1252,$BL$7:$BL$1570,"&lt;="&amp;BL1252),"")</f>
        <v/>
      </c>
      <c r="AP1252" s="65">
        <f>IF(AO1252="",0,MAX(0,MIN(1,(IF(BR1252="L1",Parameter!$K$5,Parameter!$K$6+Parameter!$K$7)-(AO1252-AK1252))/AK1252)))</f>
        <v/>
      </c>
      <c r="AQ1252" s="55">
        <f>IF(LEFT(Cockpit!$O$5,1)="A",G1252,IF(BT1252=1,BU1252,IF(LEFT(Cockpit!$O$5,1)="B",AU1252,MAX(AU1252,G1252))))</f>
        <v/>
      </c>
      <c r="AR1252" s="55">
        <f>IF(BO1252=1,0,ROUNDUP(AQ1252/BN1252,0))</f>
        <v/>
      </c>
      <c r="AS1252" s="64">
        <f>IF(BO1252=1,IF(AQ1252&lt;=0,0,BP1252*MAX(1,IF(G1252&gt;0,AQ1252/G1252,1))),AR1252*Q1252)</f>
        <v/>
      </c>
      <c r="AT1252" s="55">
        <f>AQ1252*F1252</f>
        <v/>
      </c>
      <c r="AU1252" s="55">
        <f>ROUNDUP(MAX(I1252/IF(BS1252&gt;0,BS1252,MAX(0.1,N(Cockpit!$O$6))),BV1252)/BN1252,0)*BN1252</f>
        <v/>
      </c>
      <c r="AV1252" s="56">
        <f>IF(AS1252&gt;0,I1252/AS1252,-1)</f>
        <v/>
      </c>
      <c r="AW1252" s="56">
        <f>IF(AND(OR(BR1252="L1",BR1252="L23"),AS1252&gt;0),SUMIFS($AS$7:$AS$1570,$BR$7:$BR$1570,BR1252,$AV$7:$AV$1570,"&gt;"&amp;AV1252)+SUMIFS($AS$7:$AS$1570,$BR$7:$BR$1570,BR1252,$AV$7:$AV$1570,AV1252,$BL$7:$BL$1570,"&lt;="&amp;BL1252),"")</f>
        <v/>
      </c>
      <c r="AX1252" s="65">
        <f>IF(AW1252="",0,MAX(0,MIN(1,(IF(BR1252="L1",Parameter!$K$5,Parameter!$K$6+Parameter!$K$7)-(AW1252-AS1252))/AS1252)))</f>
        <v/>
      </c>
      <c r="AY1252" s="53">
        <f>IF(AC1252&lt;=0,"",IF(BR1252="Aussen","Aussenlager",IF(BR1252="-","Nicht im Lift",IF(AH1252&gt;=1,"Lift",IF(AH1252&lt;=0,"Aussenlager","teilweise")))))</f>
        <v/>
      </c>
      <c r="AZ1252" s="53">
        <f>IF(AK1252&lt;=0,"",IF(BR1252="Aussen","Aussenlager",IF(BR1252="-","Nicht im Lift",IF(AP1252&gt;=1,"Lift",IF(AP1252&lt;=0,"Aussenlager","teilweise")))))</f>
        <v/>
      </c>
      <c r="BA1252" s="53">
        <f>IF(AS1252&lt;=0,"",IF(BR1252="Aussen","Aussenlager",IF(BR1252="-","Nicht im Lift",IF(AX1252&gt;=1,"Lift",IF(AX1252&lt;=0,"Aussenlager","teilweise")))))</f>
        <v/>
      </c>
      <c r="BB1252" s="53">
        <f>IF(A1252="","",IF(BK1252=1,"Neu; ","")&amp;IF(AND(BK1252=0,BF1252&lt;0),"negativer Bestand (Export "&amp;BF1252&amp;"); ","")&amp;IF(I1252&lt;=0,"Kein Verbrauch; ","")&amp;IF(BO1252=1,"Lose – Fläche geschätzt; ","")&amp;IF(G1252&gt;AM1252,"Überbestand "&amp;ROUND(G1252-AM1252,0)&amp;" Stk / CHF "&amp;ROUND((G1252-AM1252)*F1252,0)&amp;"; ","")&amp;IF(AND(BT1252=1,BU1252&lt;BV1252),"MAX &lt; MB+LG; ","")&amp;IF(AND(BZ1252&gt;0,BY1252*10&gt;BZ1252),"zu hoch für Tablar; ","")&amp;IF(AND(BK1252=0,OR(BT1252=1,V1252&lt;&gt;"",S1252&lt;&gt;"",T1252&lt;&gt;"",W1252&lt;&gt;"")),"manuell übersteuert; ","")&amp;IF(AND(BO1252=0,Q1252=0),"Gebinde unbekannt; ","")&amp;IF(AND(BO1252=0,N(T1252)&lt;=0,N(P1252)&lt;=0),"Menge pro Gebinde fehlt (Ist = 1 Gebinde); ","")&amp;BJ1252)</f>
        <v/>
      </c>
      <c r="BC1252" s="53" t="n"/>
      <c r="BD1252" s="53" t="n"/>
      <c r="BE1252" s="61" t="n"/>
      <c r="BF1252" s="55" t="n">
        <v>-452</v>
      </c>
      <c r="BG1252" s="55" t="n">
        <v>500</v>
      </c>
      <c r="BH1252" s="54" t="n">
        <v>-754.8399999999999</v>
      </c>
      <c r="BI1252" s="55" t="n">
        <v>206</v>
      </c>
      <c r="BJ1252" s="53" t="inlineStr"/>
      <c r="BK1252" s="58" t="n">
        <v>0</v>
      </c>
      <c r="BL1252" s="58" t="n">
        <v>1252</v>
      </c>
      <c r="BM1252" s="53">
        <f>IF(S1252&lt;&gt;"",UPPER(TRIM(S1252)),IF(O1252="","LOSE",O1252))</f>
        <v/>
      </c>
      <c r="BN1252" s="55">
        <f>IF(BM1252="LOSE",1,IF(N(T1252)&gt;0,T1252,IF(N(P1252)&gt;0,P1252,MAX(1,G1252))))</f>
        <v/>
      </c>
      <c r="BO1252" s="58">
        <f>IF(BM1252="LOSE",1,0)</f>
        <v/>
      </c>
      <c r="BP1252" s="64">
        <f>IF(BO1252=0,0,IF(N(R1252)&gt;0,R1252,IFERROR(VLOOKUP(D1252,Parameter!$A$35:$C$64,3,0)+0,0)))</f>
        <v/>
      </c>
      <c r="BQ1252" s="53">
        <f>IF(V1252&lt;&gt;"",V1252,U1252)</f>
        <v/>
      </c>
      <c r="BR1252" s="53">
        <f>IF(BQ1252=1,"L1",IF(OR(BQ1252=2,BQ1252=3),"L23",IF(BQ1252="Aussen","Aussen","-")))</f>
        <v/>
      </c>
      <c r="BS1252" s="66">
        <f>IF(N(W1252)&gt;0,W1252,0)</f>
        <v/>
      </c>
      <c r="BT1252" s="58">
        <f>IF(ISNUMBER(Z1252),1,0)</f>
        <v/>
      </c>
      <c r="BU1252" s="55">
        <f>N(Z1252)</f>
        <v/>
      </c>
      <c r="BV1252" s="55">
        <f>N(L1252)+N(M1252)</f>
        <v/>
      </c>
      <c r="BW1252" s="55">
        <f>ROUNDUP(G1252/BN1252,0)</f>
        <v/>
      </c>
      <c r="BX1252" s="55">
        <f>ROUNDUP(BU1252/BN1252,0)</f>
        <v/>
      </c>
      <c r="BY1252" s="58">
        <f>IF(BO1252=1,0,IFERROR(VLOOKUP(BM1252,'Gebinde-Kategorie'!$A$5:$G$45,5,0)+0,0))</f>
        <v/>
      </c>
      <c r="BZ1252" s="58">
        <f>IFERROR(IF(OR(BQ1252=1,BQ1252=2,BQ1252=3),N(INDEX(Parameter!$I$5:$I$7,BQ1252)),0),0)</f>
        <v/>
      </c>
    </row>
    <row r="1253">
      <c r="A1253" s="53" t="inlineStr">
        <is>
          <t>108849</t>
        </is>
      </c>
      <c r="B1253" s="53" t="inlineStr">
        <is>
          <t>Hochtemperatur-Hydraulikschlauch</t>
        </is>
      </c>
      <c r="C1253" s="53" t="inlineStr">
        <is>
          <t>F</t>
        </is>
      </c>
      <c r="D1253" s="53" t="inlineStr">
        <is>
          <t>PAL</t>
        </is>
      </c>
      <c r="E1253" s="53" t="inlineStr">
        <is>
          <t>C</t>
        </is>
      </c>
      <c r="F1253" s="54" t="n">
        <v>118.58</v>
      </c>
      <c r="G1253" s="55">
        <f>MAX(0,IF(Parameter!$B$20="Jahresanfang 2025 + Export",BG1253+BF1253,BF1253))</f>
        <v/>
      </c>
      <c r="H1253" s="55">
        <f>G1253*F1253</f>
        <v/>
      </c>
      <c r="I1253" s="55">
        <f>BI1253*Parameter!$B$18</f>
        <v/>
      </c>
      <c r="J1253" s="56" t="n">
        <v>18</v>
      </c>
      <c r="K1253" s="57" t="n">
        <v>0.9444444444444444</v>
      </c>
      <c r="L1253" s="55" t="n">
        <v>0</v>
      </c>
      <c r="M1253" s="55" t="n">
        <v>15</v>
      </c>
      <c r="N1253" s="58" t="n">
        <v>21</v>
      </c>
      <c r="O1253" s="53" t="inlineStr">
        <is>
          <t>S81</t>
        </is>
      </c>
      <c r="P1253" s="55" t="n">
        <v>40</v>
      </c>
      <c r="Q1253" s="59">
        <f>IF(BO1253=1,0,IFERROR(VLOOKUP(BM1253,'Gebinde-Kategorie'!$A$5:$G$45,6,0)+0,0))</f>
        <v/>
      </c>
      <c r="R1253" s="60" t="n"/>
      <c r="S1253" s="61" t="n"/>
      <c r="T1253" s="61" t="n"/>
      <c r="U1253" s="53">
        <f>IF(A1253="","",IF(IFERROR(VLOOKUP(D1253,Parameter!$A$35:$C$64,2,0),"Nein")="2+3",IF(ISNUMBER(SEARCH("grosser Artikel",BJ1253)),2,IFERROR(VLOOKUP(BM1253,Parameter!$F$35:$G$64,2,0),2)),IF(OR(IFERROR(VLOOKUP(D1253,Parameter!$A$35:$C$64,2,0),"Nein")="Nein",IFERROR(VLOOKUP(D1253,Parameter!$A$35:$C$64,2,0),"Nein")=""),"-",VLOOKUP(D1253,Parameter!$A$35:$C$64,2,0))))</f>
        <v/>
      </c>
      <c r="V1253" s="61" t="n"/>
      <c r="W1253" s="62" t="n"/>
      <c r="X1253" s="55">
        <f>AM1253</f>
        <v/>
      </c>
      <c r="Y1253" s="55">
        <f>MAX(AM1253,G1253)</f>
        <v/>
      </c>
      <c r="Z1253" s="63" t="n"/>
      <c r="AA1253" s="55">
        <f>IF(LEFT(Cockpit!$C$5,1)="A",G1253,IF(BT1253=1,BU1253,IF(LEFT(Cockpit!$C$5,1)="B",AE1253,MAX(AE1253,G1253))))</f>
        <v/>
      </c>
      <c r="AB1253" s="55">
        <f>IF(BO1253=1,0,ROUNDUP(AA1253/BN1253,0))</f>
        <v/>
      </c>
      <c r="AC1253" s="64">
        <f>IF(BO1253=1,IF(AA1253&lt;=0,0,BP1253*MAX(1,IF(G1253&gt;0,AA1253/G1253,1))),AB1253*Q1253)</f>
        <v/>
      </c>
      <c r="AD1253" s="55">
        <f>AA1253*F1253</f>
        <v/>
      </c>
      <c r="AE1253" s="55">
        <f>ROUNDUP(MAX(I1253/IF(BS1253&gt;0,BS1253,MAX(0.1,N(Cockpit!$C$6))),BV1253)/BN1253,0)*BN1253</f>
        <v/>
      </c>
      <c r="AF1253" s="56">
        <f>IF(AC1253&gt;0,I1253/AC1253,-1)</f>
        <v/>
      </c>
      <c r="AG1253" s="56">
        <f>IF(AND(OR(BR1253="L1",BR1253="L23"),AC1253&gt;0),SUMIFS($AC$7:$AC$1570,$BR$7:$BR$1570,BR1253,$AF$7:$AF$1570,"&gt;"&amp;AF1253)+SUMIFS($AC$7:$AC$1570,$BR$7:$BR$1570,BR1253,$AF$7:$AF$1570,AF1253,$BL$7:$BL$1570,"&lt;="&amp;BL1253),"")</f>
        <v/>
      </c>
      <c r="AH1253" s="65">
        <f>IF(AG1253="",0,MAX(0,MIN(1,(IF(BR1253="L1",Parameter!$K$5,Parameter!$K$6+Parameter!$K$7)-(AG1253-AC1253))/AC1253)))</f>
        <v/>
      </c>
      <c r="AI1253" s="55">
        <f>IF(LEFT(Cockpit!$I$5,1)="A",G1253,IF(BT1253=1,BU1253,IF(LEFT(Cockpit!$I$5,1)="B",AM1253,MAX(AM1253,G1253))))</f>
        <v/>
      </c>
      <c r="AJ1253" s="55">
        <f>IF(BO1253=1,0,ROUNDUP(AI1253/BN1253,0))</f>
        <v/>
      </c>
      <c r="AK1253" s="64">
        <f>IF(BO1253=1,IF(AI1253&lt;=0,0,BP1253*MAX(1,IF(G1253&gt;0,AI1253/G1253,1))),AJ1253*Q1253)</f>
        <v/>
      </c>
      <c r="AL1253" s="55">
        <f>AI1253*F1253</f>
        <v/>
      </c>
      <c r="AM1253" s="55">
        <f>ROUNDUP(MAX(I1253/IF(BS1253&gt;0,BS1253,MAX(0.1,N(Cockpit!$I$6))),BV1253)/BN1253,0)*BN1253</f>
        <v/>
      </c>
      <c r="AN1253" s="56">
        <f>IF(AK1253&gt;0,I1253/AK1253,-1)</f>
        <v/>
      </c>
      <c r="AO1253" s="56">
        <f>IF(AND(OR(BR1253="L1",BR1253="L23"),AK1253&gt;0),SUMIFS($AK$7:$AK$1570,$BR$7:$BR$1570,BR1253,$AN$7:$AN$1570,"&gt;"&amp;AN1253)+SUMIFS($AK$7:$AK$1570,$BR$7:$BR$1570,BR1253,$AN$7:$AN$1570,AN1253,$BL$7:$BL$1570,"&lt;="&amp;BL1253),"")</f>
        <v/>
      </c>
      <c r="AP1253" s="65">
        <f>IF(AO1253="",0,MAX(0,MIN(1,(IF(BR1253="L1",Parameter!$K$5,Parameter!$K$6+Parameter!$K$7)-(AO1253-AK1253))/AK1253)))</f>
        <v/>
      </c>
      <c r="AQ1253" s="55">
        <f>IF(LEFT(Cockpit!$O$5,1)="A",G1253,IF(BT1253=1,BU1253,IF(LEFT(Cockpit!$O$5,1)="B",AU1253,MAX(AU1253,G1253))))</f>
        <v/>
      </c>
      <c r="AR1253" s="55">
        <f>IF(BO1253=1,0,ROUNDUP(AQ1253/BN1253,0))</f>
        <v/>
      </c>
      <c r="AS1253" s="64">
        <f>IF(BO1253=1,IF(AQ1253&lt;=0,0,BP1253*MAX(1,IF(G1253&gt;0,AQ1253/G1253,1))),AR1253*Q1253)</f>
        <v/>
      </c>
      <c r="AT1253" s="55">
        <f>AQ1253*F1253</f>
        <v/>
      </c>
      <c r="AU1253" s="55">
        <f>ROUNDUP(MAX(I1253/IF(BS1253&gt;0,BS1253,MAX(0.1,N(Cockpit!$O$6))),BV1253)/BN1253,0)*BN1253</f>
        <v/>
      </c>
      <c r="AV1253" s="56">
        <f>IF(AS1253&gt;0,I1253/AS1253,-1)</f>
        <v/>
      </c>
      <c r="AW1253" s="56">
        <f>IF(AND(OR(BR1253="L1",BR1253="L23"),AS1253&gt;0),SUMIFS($AS$7:$AS$1570,$BR$7:$BR$1570,BR1253,$AV$7:$AV$1570,"&gt;"&amp;AV1253)+SUMIFS($AS$7:$AS$1570,$BR$7:$BR$1570,BR1253,$AV$7:$AV$1570,AV1253,$BL$7:$BL$1570,"&lt;="&amp;BL1253),"")</f>
        <v/>
      </c>
      <c r="AX1253" s="65">
        <f>IF(AW1253="",0,MAX(0,MIN(1,(IF(BR1253="L1",Parameter!$K$5,Parameter!$K$6+Parameter!$K$7)-(AW1253-AS1253))/AS1253)))</f>
        <v/>
      </c>
      <c r="AY1253" s="53">
        <f>IF(AC1253&lt;=0,"",IF(BR1253="Aussen","Aussenlager",IF(BR1253="-","Nicht im Lift",IF(AH1253&gt;=1,"Lift",IF(AH1253&lt;=0,"Aussenlager","teilweise")))))</f>
        <v/>
      </c>
      <c r="AZ1253" s="53">
        <f>IF(AK1253&lt;=0,"",IF(BR1253="Aussen","Aussenlager",IF(BR1253="-","Nicht im Lift",IF(AP1253&gt;=1,"Lift",IF(AP1253&lt;=0,"Aussenlager","teilweise")))))</f>
        <v/>
      </c>
      <c r="BA1253" s="53">
        <f>IF(AS1253&lt;=0,"",IF(BR1253="Aussen","Aussenlager",IF(BR1253="-","Nicht im Lift",IF(AX1253&gt;=1,"Lift",IF(AX1253&lt;=0,"Aussenlager","teilweise")))))</f>
        <v/>
      </c>
      <c r="BB1253" s="53">
        <f>IF(A1253="","",IF(BK1253=1,"Neu; ","")&amp;IF(AND(BK1253=0,BF1253&lt;0),"negativer Bestand (Export "&amp;BF1253&amp;"); ","")&amp;IF(I1253&lt;=0,"Kein Verbrauch; ","")&amp;IF(BO1253=1,"Lose – Fläche geschätzt; ","")&amp;IF(G1253&gt;AM1253,"Überbestand "&amp;ROUND(G1253-AM1253,0)&amp;" Stk / CHF "&amp;ROUND((G1253-AM1253)*F1253,0)&amp;"; ","")&amp;IF(AND(BT1253=1,BU1253&lt;BV1253),"MAX &lt; MB+LG; ","")&amp;IF(AND(BZ1253&gt;0,BY1253*10&gt;BZ1253),"zu hoch für Tablar; ","")&amp;IF(AND(BK1253=0,OR(BT1253=1,V1253&lt;&gt;"",S1253&lt;&gt;"",T1253&lt;&gt;"",W1253&lt;&gt;"")),"manuell übersteuert; ","")&amp;IF(AND(BO1253=0,Q1253=0),"Gebinde unbekannt; ","")&amp;IF(AND(BO1253=0,N(T1253)&lt;=0,N(P1253)&lt;=0),"Menge pro Gebinde fehlt (Ist = 1 Gebinde); ","")&amp;BJ1253)</f>
        <v/>
      </c>
      <c r="BC1253" s="53" t="n"/>
      <c r="BD1253" s="53" t="n"/>
      <c r="BE1253" s="61" t="n"/>
      <c r="BF1253" s="55" t="n">
        <v>-3</v>
      </c>
      <c r="BG1253" s="55" t="n">
        <v>19</v>
      </c>
      <c r="BH1253" s="54" t="n">
        <v>-755.3099999999993</v>
      </c>
      <c r="BI1253" s="55" t="n">
        <v>17</v>
      </c>
      <c r="BJ1253" s="53" t="inlineStr"/>
      <c r="BK1253" s="58" t="n">
        <v>0</v>
      </c>
      <c r="BL1253" s="58" t="n">
        <v>1253</v>
      </c>
      <c r="BM1253" s="53">
        <f>IF(S1253&lt;&gt;"",UPPER(TRIM(S1253)),IF(O1253="","LOSE",O1253))</f>
        <v/>
      </c>
      <c r="BN1253" s="55">
        <f>IF(BM1253="LOSE",1,IF(N(T1253)&gt;0,T1253,IF(N(P1253)&gt;0,P1253,MAX(1,G1253))))</f>
        <v/>
      </c>
      <c r="BO1253" s="58">
        <f>IF(BM1253="LOSE",1,0)</f>
        <v/>
      </c>
      <c r="BP1253" s="64">
        <f>IF(BO1253=0,0,IF(N(R1253)&gt;0,R1253,IFERROR(VLOOKUP(D1253,Parameter!$A$35:$C$64,3,0)+0,0)))</f>
        <v/>
      </c>
      <c r="BQ1253" s="53">
        <f>IF(V1253&lt;&gt;"",V1253,U1253)</f>
        <v/>
      </c>
      <c r="BR1253" s="53">
        <f>IF(BQ1253=1,"L1",IF(OR(BQ1253=2,BQ1253=3),"L23",IF(BQ1253="Aussen","Aussen","-")))</f>
        <v/>
      </c>
      <c r="BS1253" s="66">
        <f>IF(N(W1253)&gt;0,W1253,0)</f>
        <v/>
      </c>
      <c r="BT1253" s="58">
        <f>IF(ISNUMBER(Z1253),1,0)</f>
        <v/>
      </c>
      <c r="BU1253" s="55">
        <f>N(Z1253)</f>
        <v/>
      </c>
      <c r="BV1253" s="55">
        <f>N(L1253)+N(M1253)</f>
        <v/>
      </c>
      <c r="BW1253" s="55">
        <f>ROUNDUP(G1253/BN1253,0)</f>
        <v/>
      </c>
      <c r="BX1253" s="55">
        <f>ROUNDUP(BU1253/BN1253,0)</f>
        <v/>
      </c>
      <c r="BY1253" s="58">
        <f>IF(BO1253=1,0,IFERROR(VLOOKUP(BM1253,'Gebinde-Kategorie'!$A$5:$G$45,5,0)+0,0))</f>
        <v/>
      </c>
      <c r="BZ1253" s="58">
        <f>IFERROR(IF(OR(BQ1253=1,BQ1253=2,BQ1253=3),N(INDEX(Parameter!$I$5:$I$7,BQ1253)),0),0)</f>
        <v/>
      </c>
    </row>
    <row r="1254">
      <c r="A1254" s="53" t="inlineStr">
        <is>
          <t>005084</t>
        </is>
      </c>
      <c r="B1254" s="53" t="inlineStr">
        <is>
          <t>SPS Grundgerät EG101</t>
        </is>
      </c>
      <c r="C1254" s="53" t="inlineStr">
        <is>
          <t>F</t>
        </is>
      </c>
      <c r="D1254" s="53" t="inlineStr">
        <is>
          <t>KTL</t>
        </is>
      </c>
      <c r="E1254" s="53" t="inlineStr">
        <is>
          <t>C</t>
        </is>
      </c>
      <c r="F1254" s="54" t="n">
        <v>292.14</v>
      </c>
      <c r="G1254" s="55">
        <f>MAX(0,IF(Parameter!$B$20="Jahresanfang 2025 + Export",BG1254+BF1254,BF1254))</f>
        <v/>
      </c>
      <c r="H1254" s="55">
        <f>G1254*F1254</f>
        <v/>
      </c>
      <c r="I1254" s="55">
        <f>BI1254*Parameter!$B$18</f>
        <v/>
      </c>
      <c r="J1254" s="56" t="n">
        <v>2.5</v>
      </c>
      <c r="K1254" s="57" t="n">
        <v>1.2</v>
      </c>
      <c r="L1254" s="55" t="n">
        <v>0</v>
      </c>
      <c r="M1254" s="55" t="n">
        <v>5</v>
      </c>
      <c r="N1254" s="58" t="n">
        <v>28</v>
      </c>
      <c r="O1254" s="53" t="inlineStr">
        <is>
          <t>LOSE</t>
        </is>
      </c>
      <c r="P1254" s="55" t="n"/>
      <c r="Q1254" s="59">
        <f>IF(BO1254=1,0,IFERROR(VLOOKUP(BM1254,'Gebinde-Kategorie'!$A$5:$G$45,6,0)+0,0))</f>
        <v/>
      </c>
      <c r="R1254" s="60" t="n"/>
      <c r="S1254" s="61" t="n"/>
      <c r="T1254" s="61" t="n"/>
      <c r="U1254" s="53">
        <f>IF(A1254="","",IF(IFERROR(VLOOKUP(D1254,Parameter!$A$35:$C$64,2,0),"Nein")="2+3",IF(ISNUMBER(SEARCH("grosser Artikel",BJ1254)),2,IFERROR(VLOOKUP(BM1254,Parameter!$F$35:$G$64,2,0),2)),IF(OR(IFERROR(VLOOKUP(D1254,Parameter!$A$35:$C$64,2,0),"Nein")="Nein",IFERROR(VLOOKUP(D1254,Parameter!$A$35:$C$64,2,0),"Nein")=""),"-",VLOOKUP(D1254,Parameter!$A$35:$C$64,2,0))))</f>
        <v/>
      </c>
      <c r="V1254" s="61" t="n"/>
      <c r="W1254" s="62" t="n"/>
      <c r="X1254" s="55">
        <f>AM1254</f>
        <v/>
      </c>
      <c r="Y1254" s="55">
        <f>MAX(AM1254,G1254)</f>
        <v/>
      </c>
      <c r="Z1254" s="63" t="n"/>
      <c r="AA1254" s="55">
        <f>IF(LEFT(Cockpit!$C$5,1)="A",G1254,IF(BT1254=1,BU1254,IF(LEFT(Cockpit!$C$5,1)="B",AE1254,MAX(AE1254,G1254))))</f>
        <v/>
      </c>
      <c r="AB1254" s="55">
        <f>IF(BO1254=1,0,ROUNDUP(AA1254/BN1254,0))</f>
        <v/>
      </c>
      <c r="AC1254" s="64">
        <f>IF(BO1254=1,IF(AA1254&lt;=0,0,BP1254*MAX(1,IF(G1254&gt;0,AA1254/G1254,1))),AB1254*Q1254)</f>
        <v/>
      </c>
      <c r="AD1254" s="55">
        <f>AA1254*F1254</f>
        <v/>
      </c>
      <c r="AE1254" s="55">
        <f>ROUNDUP(MAX(I1254/IF(BS1254&gt;0,BS1254,MAX(0.1,N(Cockpit!$C$6))),BV1254)/BN1254,0)*BN1254</f>
        <v/>
      </c>
      <c r="AF1254" s="56">
        <f>IF(AC1254&gt;0,I1254/AC1254,-1)</f>
        <v/>
      </c>
      <c r="AG1254" s="56">
        <f>IF(AND(OR(BR1254="L1",BR1254="L23"),AC1254&gt;0),SUMIFS($AC$7:$AC$1570,$BR$7:$BR$1570,BR1254,$AF$7:$AF$1570,"&gt;"&amp;AF1254)+SUMIFS($AC$7:$AC$1570,$BR$7:$BR$1570,BR1254,$AF$7:$AF$1570,AF1254,$BL$7:$BL$1570,"&lt;="&amp;BL1254),"")</f>
        <v/>
      </c>
      <c r="AH1254" s="65">
        <f>IF(AG1254="",0,MAX(0,MIN(1,(IF(BR1254="L1",Parameter!$K$5,Parameter!$K$6+Parameter!$K$7)-(AG1254-AC1254))/AC1254)))</f>
        <v/>
      </c>
      <c r="AI1254" s="55">
        <f>IF(LEFT(Cockpit!$I$5,1)="A",G1254,IF(BT1254=1,BU1254,IF(LEFT(Cockpit!$I$5,1)="B",AM1254,MAX(AM1254,G1254))))</f>
        <v/>
      </c>
      <c r="AJ1254" s="55">
        <f>IF(BO1254=1,0,ROUNDUP(AI1254/BN1254,0))</f>
        <v/>
      </c>
      <c r="AK1254" s="64">
        <f>IF(BO1254=1,IF(AI1254&lt;=0,0,BP1254*MAX(1,IF(G1254&gt;0,AI1254/G1254,1))),AJ1254*Q1254)</f>
        <v/>
      </c>
      <c r="AL1254" s="55">
        <f>AI1254*F1254</f>
        <v/>
      </c>
      <c r="AM1254" s="55">
        <f>ROUNDUP(MAX(I1254/IF(BS1254&gt;0,BS1254,MAX(0.1,N(Cockpit!$I$6))),BV1254)/BN1254,0)*BN1254</f>
        <v/>
      </c>
      <c r="AN1254" s="56">
        <f>IF(AK1254&gt;0,I1254/AK1254,-1)</f>
        <v/>
      </c>
      <c r="AO1254" s="56">
        <f>IF(AND(OR(BR1254="L1",BR1254="L23"),AK1254&gt;0),SUMIFS($AK$7:$AK$1570,$BR$7:$BR$1570,BR1254,$AN$7:$AN$1570,"&gt;"&amp;AN1254)+SUMIFS($AK$7:$AK$1570,$BR$7:$BR$1570,BR1254,$AN$7:$AN$1570,AN1254,$BL$7:$BL$1570,"&lt;="&amp;BL1254),"")</f>
        <v/>
      </c>
      <c r="AP1254" s="65">
        <f>IF(AO1254="",0,MAX(0,MIN(1,(IF(BR1254="L1",Parameter!$K$5,Parameter!$K$6+Parameter!$K$7)-(AO1254-AK1254))/AK1254)))</f>
        <v/>
      </c>
      <c r="AQ1254" s="55">
        <f>IF(LEFT(Cockpit!$O$5,1)="A",G1254,IF(BT1254=1,BU1254,IF(LEFT(Cockpit!$O$5,1)="B",AU1254,MAX(AU1254,G1254))))</f>
        <v/>
      </c>
      <c r="AR1254" s="55">
        <f>IF(BO1254=1,0,ROUNDUP(AQ1254/BN1254,0))</f>
        <v/>
      </c>
      <c r="AS1254" s="64">
        <f>IF(BO1254=1,IF(AQ1254&lt;=0,0,BP1254*MAX(1,IF(G1254&gt;0,AQ1254/G1254,1))),AR1254*Q1254)</f>
        <v/>
      </c>
      <c r="AT1254" s="55">
        <f>AQ1254*F1254</f>
        <v/>
      </c>
      <c r="AU1254" s="55">
        <f>ROUNDUP(MAX(I1254/IF(BS1254&gt;0,BS1254,MAX(0.1,N(Cockpit!$O$6))),BV1254)/BN1254,0)*BN1254</f>
        <v/>
      </c>
      <c r="AV1254" s="56">
        <f>IF(AS1254&gt;0,I1254/AS1254,-1)</f>
        <v/>
      </c>
      <c r="AW1254" s="56">
        <f>IF(AND(OR(BR1254="L1",BR1254="L23"),AS1254&gt;0),SUMIFS($AS$7:$AS$1570,$BR$7:$BR$1570,BR1254,$AV$7:$AV$1570,"&gt;"&amp;AV1254)+SUMIFS($AS$7:$AS$1570,$BR$7:$BR$1570,BR1254,$AV$7:$AV$1570,AV1254,$BL$7:$BL$1570,"&lt;="&amp;BL1254),"")</f>
        <v/>
      </c>
      <c r="AX1254" s="65">
        <f>IF(AW1254="",0,MAX(0,MIN(1,(IF(BR1254="L1",Parameter!$K$5,Parameter!$K$6+Parameter!$K$7)-(AW1254-AS1254))/AS1254)))</f>
        <v/>
      </c>
      <c r="AY1254" s="53">
        <f>IF(AC1254&lt;=0,"",IF(BR1254="Aussen","Aussenlager",IF(BR1254="-","Nicht im Lift",IF(AH1254&gt;=1,"Lift",IF(AH1254&lt;=0,"Aussenlager","teilweise")))))</f>
        <v/>
      </c>
      <c r="AZ1254" s="53">
        <f>IF(AK1254&lt;=0,"",IF(BR1254="Aussen","Aussenlager",IF(BR1254="-","Nicht im Lift",IF(AP1254&gt;=1,"Lift",IF(AP1254&lt;=0,"Aussenlager","teilweise")))))</f>
        <v/>
      </c>
      <c r="BA1254" s="53">
        <f>IF(AS1254&lt;=0,"",IF(BR1254="Aussen","Aussenlager",IF(BR1254="-","Nicht im Lift",IF(AX1254&gt;=1,"Lift",IF(AX1254&lt;=0,"Aussenlager","teilweise")))))</f>
        <v/>
      </c>
      <c r="BB1254" s="53">
        <f>IF(A1254="","",IF(BK1254=1,"Neu; ","")&amp;IF(AND(BK1254=0,BF1254&lt;0),"negativer Bestand (Export "&amp;BF1254&amp;"); ","")&amp;IF(I1254&lt;=0,"Kein Verbrauch; ","")&amp;IF(BO1254=1,"Lose – Fläche geschätzt; ","")&amp;IF(G1254&gt;AM1254,"Überbestand "&amp;ROUND(G1254-AM1254,0)&amp;" Stk / CHF "&amp;ROUND((G1254-AM1254)*F1254,0)&amp;"; ","")&amp;IF(AND(BT1254=1,BU1254&lt;BV1254),"MAX &lt; MB+LG; ","")&amp;IF(AND(BZ1254&gt;0,BY1254*10&gt;BZ1254),"zu hoch für Tablar; ","")&amp;IF(AND(BK1254=0,OR(BT1254=1,V1254&lt;&gt;"",S1254&lt;&gt;"",T1254&lt;&gt;"",W1254&lt;&gt;"")),"manuell übersteuert; ","")&amp;IF(AND(BO1254=0,Q1254=0),"Gebinde unbekannt; ","")&amp;IF(AND(BO1254=0,N(T1254)&lt;=0,N(P1254)&lt;=0),"Menge pro Gebinde fehlt (Ist = 1 Gebinde); ","")&amp;BJ1254)</f>
        <v/>
      </c>
      <c r="BC1254" s="53" t="n"/>
      <c r="BD1254" s="53" t="n"/>
      <c r="BE1254" s="61" t="n"/>
      <c r="BF1254" s="55" t="n">
        <v>-3</v>
      </c>
      <c r="BG1254" s="55" t="n">
        <v>4</v>
      </c>
      <c r="BH1254" s="54" t="n">
        <v>-758.74</v>
      </c>
      <c r="BI1254" s="55" t="n">
        <v>3</v>
      </c>
      <c r="BJ1254" s="53" t="inlineStr"/>
      <c r="BK1254" s="58" t="n">
        <v>0</v>
      </c>
      <c r="BL1254" s="58" t="n">
        <v>1254</v>
      </c>
      <c r="BM1254" s="53">
        <f>IF(S1254&lt;&gt;"",UPPER(TRIM(S1254)),IF(O1254="","LOSE",O1254))</f>
        <v/>
      </c>
      <c r="BN1254" s="55">
        <f>IF(BM1254="LOSE",1,IF(N(T1254)&gt;0,T1254,IF(N(P1254)&gt;0,P1254,MAX(1,G1254))))</f>
        <v/>
      </c>
      <c r="BO1254" s="58">
        <f>IF(BM1254="LOSE",1,0)</f>
        <v/>
      </c>
      <c r="BP1254" s="64">
        <f>IF(BO1254=0,0,IF(N(R1254)&gt;0,R1254,IFERROR(VLOOKUP(D1254,Parameter!$A$35:$C$64,3,0)+0,0)))</f>
        <v/>
      </c>
      <c r="BQ1254" s="53">
        <f>IF(V1254&lt;&gt;"",V1254,U1254)</f>
        <v/>
      </c>
      <c r="BR1254" s="53">
        <f>IF(BQ1254=1,"L1",IF(OR(BQ1254=2,BQ1254=3),"L23",IF(BQ1254="Aussen","Aussen","-")))</f>
        <v/>
      </c>
      <c r="BS1254" s="66">
        <f>IF(N(W1254)&gt;0,W1254,0)</f>
        <v/>
      </c>
      <c r="BT1254" s="58">
        <f>IF(ISNUMBER(Z1254),1,0)</f>
        <v/>
      </c>
      <c r="BU1254" s="55">
        <f>N(Z1254)</f>
        <v/>
      </c>
      <c r="BV1254" s="55">
        <f>N(L1254)+N(M1254)</f>
        <v/>
      </c>
      <c r="BW1254" s="55">
        <f>ROUNDUP(G1254/BN1254,0)</f>
        <v/>
      </c>
      <c r="BX1254" s="55">
        <f>ROUNDUP(BU1254/BN1254,0)</f>
        <v/>
      </c>
      <c r="BY1254" s="58">
        <f>IF(BO1254=1,0,IFERROR(VLOOKUP(BM1254,'Gebinde-Kategorie'!$A$5:$G$45,5,0)+0,0))</f>
        <v/>
      </c>
      <c r="BZ1254" s="58">
        <f>IFERROR(IF(OR(BQ1254=1,BQ1254=2,BQ1254=3),N(INDEX(Parameter!$I$5:$I$7,BQ1254)),0),0)</f>
        <v/>
      </c>
    </row>
    <row r="1255">
      <c r="A1255" s="53" t="inlineStr">
        <is>
          <t>108220</t>
        </is>
      </c>
      <c r="B1255" s="53" t="inlineStr">
        <is>
          <t>Zwischenflansch SPGr10</t>
        </is>
      </c>
      <c r="C1255" s="53" t="inlineStr">
        <is>
          <t>F</t>
        </is>
      </c>
      <c r="D1255" s="53" t="inlineStr">
        <is>
          <t>PAL</t>
        </is>
      </c>
      <c r="E1255" s="53" t="inlineStr">
        <is>
          <t>C</t>
        </is>
      </c>
      <c r="F1255" s="54" t="n">
        <v>380</v>
      </c>
      <c r="G1255" s="55">
        <f>MAX(0,IF(Parameter!$B$20="Jahresanfang 2025 + Export",BG1255+BF1255,BF1255))</f>
        <v/>
      </c>
      <c r="H1255" s="55">
        <f>G1255*F1255</f>
        <v/>
      </c>
      <c r="I1255" s="55">
        <f>BI1255*Parameter!$B$18</f>
        <v/>
      </c>
      <c r="J1255" s="56" t="n">
        <v>10</v>
      </c>
      <c r="K1255" s="57" t="n">
        <v>0.2</v>
      </c>
      <c r="L1255" s="55" t="n">
        <v>0</v>
      </c>
      <c r="M1255" s="55" t="n">
        <v>1</v>
      </c>
      <c r="N1255" s="58" t="n">
        <v>35</v>
      </c>
      <c r="O1255" s="53" t="inlineStr">
        <is>
          <t>S52</t>
        </is>
      </c>
      <c r="P1255" s="55" t="n">
        <v>10</v>
      </c>
      <c r="Q1255" s="59">
        <f>IF(BO1255=1,0,IFERROR(VLOOKUP(BM1255,'Gebinde-Kategorie'!$A$5:$G$45,6,0)+0,0))</f>
        <v/>
      </c>
      <c r="R1255" s="60" t="n"/>
      <c r="S1255" s="61" t="n"/>
      <c r="T1255" s="61" t="n"/>
      <c r="U1255" s="53">
        <f>IF(A1255="","",IF(IFERROR(VLOOKUP(D1255,Parameter!$A$35:$C$64,2,0),"Nein")="2+3",IF(ISNUMBER(SEARCH("grosser Artikel",BJ1255)),2,IFERROR(VLOOKUP(BM1255,Parameter!$F$35:$G$64,2,0),2)),IF(OR(IFERROR(VLOOKUP(D1255,Parameter!$A$35:$C$64,2,0),"Nein")="Nein",IFERROR(VLOOKUP(D1255,Parameter!$A$35:$C$64,2,0),"Nein")=""),"-",VLOOKUP(D1255,Parameter!$A$35:$C$64,2,0))))</f>
        <v/>
      </c>
      <c r="V1255" s="61" t="n"/>
      <c r="W1255" s="62" t="n"/>
      <c r="X1255" s="55">
        <f>AM1255</f>
        <v/>
      </c>
      <c r="Y1255" s="55">
        <f>MAX(AM1255,G1255)</f>
        <v/>
      </c>
      <c r="Z1255" s="63" t="n"/>
      <c r="AA1255" s="55">
        <f>IF(LEFT(Cockpit!$C$5,1)="A",G1255,IF(BT1255=1,BU1255,IF(LEFT(Cockpit!$C$5,1)="B",AE1255,MAX(AE1255,G1255))))</f>
        <v/>
      </c>
      <c r="AB1255" s="55">
        <f>IF(BO1255=1,0,ROUNDUP(AA1255/BN1255,0))</f>
        <v/>
      </c>
      <c r="AC1255" s="64">
        <f>IF(BO1255=1,IF(AA1255&lt;=0,0,BP1255*MAX(1,IF(G1255&gt;0,AA1255/G1255,1))),AB1255*Q1255)</f>
        <v/>
      </c>
      <c r="AD1255" s="55">
        <f>AA1255*F1255</f>
        <v/>
      </c>
      <c r="AE1255" s="55">
        <f>ROUNDUP(MAX(I1255/IF(BS1255&gt;0,BS1255,MAX(0.1,N(Cockpit!$C$6))),BV1255)/BN1255,0)*BN1255</f>
        <v/>
      </c>
      <c r="AF1255" s="56">
        <f>IF(AC1255&gt;0,I1255/AC1255,-1)</f>
        <v/>
      </c>
      <c r="AG1255" s="56">
        <f>IF(AND(OR(BR1255="L1",BR1255="L23"),AC1255&gt;0),SUMIFS($AC$7:$AC$1570,$BR$7:$BR$1570,BR1255,$AF$7:$AF$1570,"&gt;"&amp;AF1255)+SUMIFS($AC$7:$AC$1570,$BR$7:$BR$1570,BR1255,$AF$7:$AF$1570,AF1255,$BL$7:$BL$1570,"&lt;="&amp;BL1255),"")</f>
        <v/>
      </c>
      <c r="AH1255" s="65">
        <f>IF(AG1255="",0,MAX(0,MIN(1,(IF(BR1255="L1",Parameter!$K$5,Parameter!$K$6+Parameter!$K$7)-(AG1255-AC1255))/AC1255)))</f>
        <v/>
      </c>
      <c r="AI1255" s="55">
        <f>IF(LEFT(Cockpit!$I$5,1)="A",G1255,IF(BT1255=1,BU1255,IF(LEFT(Cockpit!$I$5,1)="B",AM1255,MAX(AM1255,G1255))))</f>
        <v/>
      </c>
      <c r="AJ1255" s="55">
        <f>IF(BO1255=1,0,ROUNDUP(AI1255/BN1255,0))</f>
        <v/>
      </c>
      <c r="AK1255" s="64">
        <f>IF(BO1255=1,IF(AI1255&lt;=0,0,BP1255*MAX(1,IF(G1255&gt;0,AI1255/G1255,1))),AJ1255*Q1255)</f>
        <v/>
      </c>
      <c r="AL1255" s="55">
        <f>AI1255*F1255</f>
        <v/>
      </c>
      <c r="AM1255" s="55">
        <f>ROUNDUP(MAX(I1255/IF(BS1255&gt;0,BS1255,MAX(0.1,N(Cockpit!$I$6))),BV1255)/BN1255,0)*BN1255</f>
        <v/>
      </c>
      <c r="AN1255" s="56">
        <f>IF(AK1255&gt;0,I1255/AK1255,-1)</f>
        <v/>
      </c>
      <c r="AO1255" s="56">
        <f>IF(AND(OR(BR1255="L1",BR1255="L23"),AK1255&gt;0),SUMIFS($AK$7:$AK$1570,$BR$7:$BR$1570,BR1255,$AN$7:$AN$1570,"&gt;"&amp;AN1255)+SUMIFS($AK$7:$AK$1570,$BR$7:$BR$1570,BR1255,$AN$7:$AN$1570,AN1255,$BL$7:$BL$1570,"&lt;="&amp;BL1255),"")</f>
        <v/>
      </c>
      <c r="AP1255" s="65">
        <f>IF(AO1255="",0,MAX(0,MIN(1,(IF(BR1255="L1",Parameter!$K$5,Parameter!$K$6+Parameter!$K$7)-(AO1255-AK1255))/AK1255)))</f>
        <v/>
      </c>
      <c r="AQ1255" s="55">
        <f>IF(LEFT(Cockpit!$O$5,1)="A",G1255,IF(BT1255=1,BU1255,IF(LEFT(Cockpit!$O$5,1)="B",AU1255,MAX(AU1255,G1255))))</f>
        <v/>
      </c>
      <c r="AR1255" s="55">
        <f>IF(BO1255=1,0,ROUNDUP(AQ1255/BN1255,0))</f>
        <v/>
      </c>
      <c r="AS1255" s="64">
        <f>IF(BO1255=1,IF(AQ1255&lt;=0,0,BP1255*MAX(1,IF(G1255&gt;0,AQ1255/G1255,1))),AR1255*Q1255)</f>
        <v/>
      </c>
      <c r="AT1255" s="55">
        <f>AQ1255*F1255</f>
        <v/>
      </c>
      <c r="AU1255" s="55">
        <f>ROUNDUP(MAX(I1255/IF(BS1255&gt;0,BS1255,MAX(0.1,N(Cockpit!$O$6))),BV1255)/BN1255,0)*BN1255</f>
        <v/>
      </c>
      <c r="AV1255" s="56">
        <f>IF(AS1255&gt;0,I1255/AS1255,-1)</f>
        <v/>
      </c>
      <c r="AW1255" s="56">
        <f>IF(AND(OR(BR1255="L1",BR1255="L23"),AS1255&gt;0),SUMIFS($AS$7:$AS$1570,$BR$7:$BR$1570,BR1255,$AV$7:$AV$1570,"&gt;"&amp;AV1255)+SUMIFS($AS$7:$AS$1570,$BR$7:$BR$1570,BR1255,$AV$7:$AV$1570,AV1255,$BL$7:$BL$1570,"&lt;="&amp;BL1255),"")</f>
        <v/>
      </c>
      <c r="AX1255" s="65">
        <f>IF(AW1255="",0,MAX(0,MIN(1,(IF(BR1255="L1",Parameter!$K$5,Parameter!$K$6+Parameter!$K$7)-(AW1255-AS1255))/AS1255)))</f>
        <v/>
      </c>
      <c r="AY1255" s="53">
        <f>IF(AC1255&lt;=0,"",IF(BR1255="Aussen","Aussenlager",IF(BR1255="-","Nicht im Lift",IF(AH1255&gt;=1,"Lift",IF(AH1255&lt;=0,"Aussenlager","teilweise")))))</f>
        <v/>
      </c>
      <c r="AZ1255" s="53">
        <f>IF(AK1255&lt;=0,"",IF(BR1255="Aussen","Aussenlager",IF(BR1255="-","Nicht im Lift",IF(AP1255&gt;=1,"Lift",IF(AP1255&lt;=0,"Aussenlager","teilweise")))))</f>
        <v/>
      </c>
      <c r="BA1255" s="53">
        <f>IF(AS1255&lt;=0,"",IF(BR1255="Aussen","Aussenlager",IF(BR1255="-","Nicht im Lift",IF(AX1255&gt;=1,"Lift",IF(AX1255&lt;=0,"Aussenlager","teilweise")))))</f>
        <v/>
      </c>
      <c r="BB1255" s="53">
        <f>IF(A1255="","",IF(BK1255=1,"Neu; ","")&amp;IF(AND(BK1255=0,BF1255&lt;0),"negativer Bestand (Export "&amp;BF1255&amp;"); ","")&amp;IF(I1255&lt;=0,"Kein Verbrauch; ","")&amp;IF(BO1255=1,"Lose – Fläche geschätzt; ","")&amp;IF(G1255&gt;AM1255,"Überbestand "&amp;ROUND(G1255-AM1255,0)&amp;" Stk / CHF "&amp;ROUND((G1255-AM1255)*F1255,0)&amp;"; ","")&amp;IF(AND(BT1255=1,BU1255&lt;BV1255),"MAX &lt; MB+LG; ","")&amp;IF(AND(BZ1255&gt;0,BY1255*10&gt;BZ1255),"zu hoch für Tablar; ","")&amp;IF(AND(BK1255=0,OR(BT1255=1,V1255&lt;&gt;"",S1255&lt;&gt;"",T1255&lt;&gt;"",W1255&lt;&gt;"")),"manuell übersteuert; ","")&amp;IF(AND(BO1255=0,Q1255=0),"Gebinde unbekannt; ","")&amp;IF(AND(BO1255=0,N(T1255)&lt;=0,N(P1255)&lt;=0),"Menge pro Gebinde fehlt (Ist = 1 Gebinde); ","")&amp;BJ1255)</f>
        <v/>
      </c>
      <c r="BC1255" s="53" t="n"/>
      <c r="BD1255" s="53" t="n"/>
      <c r="BE1255" s="61" t="n"/>
      <c r="BF1255" s="55" t="n">
        <v>-2</v>
      </c>
      <c r="BG1255" s="55" t="n">
        <v>11</v>
      </c>
      <c r="BH1255" s="54" t="n">
        <v>-760</v>
      </c>
      <c r="BI1255" s="55" t="n">
        <v>2</v>
      </c>
      <c r="BJ1255" s="53" t="inlineStr"/>
      <c r="BK1255" s="58" t="n">
        <v>0</v>
      </c>
      <c r="BL1255" s="58" t="n">
        <v>1255</v>
      </c>
      <c r="BM1255" s="53">
        <f>IF(S1255&lt;&gt;"",UPPER(TRIM(S1255)),IF(O1255="","LOSE",O1255))</f>
        <v/>
      </c>
      <c r="BN1255" s="55">
        <f>IF(BM1255="LOSE",1,IF(N(T1255)&gt;0,T1255,IF(N(P1255)&gt;0,P1255,MAX(1,G1255))))</f>
        <v/>
      </c>
      <c r="BO1255" s="58">
        <f>IF(BM1255="LOSE",1,0)</f>
        <v/>
      </c>
      <c r="BP1255" s="64">
        <f>IF(BO1255=0,0,IF(N(R1255)&gt;0,R1255,IFERROR(VLOOKUP(D1255,Parameter!$A$35:$C$64,3,0)+0,0)))</f>
        <v/>
      </c>
      <c r="BQ1255" s="53">
        <f>IF(V1255&lt;&gt;"",V1255,U1255)</f>
        <v/>
      </c>
      <c r="BR1255" s="53">
        <f>IF(BQ1255=1,"L1",IF(OR(BQ1255=2,BQ1255=3),"L23",IF(BQ1255="Aussen","Aussen","-")))</f>
        <v/>
      </c>
      <c r="BS1255" s="66">
        <f>IF(N(W1255)&gt;0,W1255,0)</f>
        <v/>
      </c>
      <c r="BT1255" s="58">
        <f>IF(ISNUMBER(Z1255),1,0)</f>
        <v/>
      </c>
      <c r="BU1255" s="55">
        <f>N(Z1255)</f>
        <v/>
      </c>
      <c r="BV1255" s="55">
        <f>N(L1255)+N(M1255)</f>
        <v/>
      </c>
      <c r="BW1255" s="55">
        <f>ROUNDUP(G1255/BN1255,0)</f>
        <v/>
      </c>
      <c r="BX1255" s="55">
        <f>ROUNDUP(BU1255/BN1255,0)</f>
        <v/>
      </c>
      <c r="BY1255" s="58">
        <f>IF(BO1255=1,0,IFERROR(VLOOKUP(BM1255,'Gebinde-Kategorie'!$A$5:$G$45,5,0)+0,0))</f>
        <v/>
      </c>
      <c r="BZ1255" s="58">
        <f>IFERROR(IF(OR(BQ1255=1,BQ1255=2,BQ1255=3),N(INDEX(Parameter!$I$5:$I$7,BQ1255)),0),0)</f>
        <v/>
      </c>
    </row>
    <row r="1256">
      <c r="A1256" s="53" t="inlineStr">
        <is>
          <t>103919</t>
        </is>
      </c>
      <c r="B1256" s="53" t="inlineStr">
        <is>
          <t>Drucktransmitter</t>
        </is>
      </c>
      <c r="C1256" s="53" t="inlineStr">
        <is>
          <t>F</t>
        </is>
      </c>
      <c r="D1256" s="53" t="inlineStr">
        <is>
          <t>KTL</t>
        </is>
      </c>
      <c r="E1256" s="53" t="inlineStr">
        <is>
          <t>C</t>
        </is>
      </c>
      <c r="F1256" s="54" t="n">
        <v>104.71</v>
      </c>
      <c r="G1256" s="55">
        <f>MAX(0,IF(Parameter!$B$20="Jahresanfang 2025 + Export",BG1256+BF1256,BF1256))</f>
        <v/>
      </c>
      <c r="H1256" s="55">
        <f>G1256*F1256</f>
        <v/>
      </c>
      <c r="I1256" s="55">
        <f>BI1256*Parameter!$B$18</f>
        <v/>
      </c>
      <c r="J1256" s="56" t="n">
        <v>60</v>
      </c>
      <c r="K1256" s="57" t="n">
        <v>2.383333333333333</v>
      </c>
      <c r="L1256" s="55" t="n">
        <v>20</v>
      </c>
      <c r="M1256" s="55" t="n">
        <v>50</v>
      </c>
      <c r="N1256" s="58" t="n">
        <v>56</v>
      </c>
      <c r="O1256" s="53" t="inlineStr">
        <is>
          <t>S63</t>
        </is>
      </c>
      <c r="P1256" s="55" t="n">
        <v>154</v>
      </c>
      <c r="Q1256" s="59">
        <f>IF(BO1256=1,0,IFERROR(VLOOKUP(BM1256,'Gebinde-Kategorie'!$A$5:$G$45,6,0)+0,0))</f>
        <v/>
      </c>
      <c r="R1256" s="60" t="n"/>
      <c r="S1256" s="61" t="n"/>
      <c r="T1256" s="61" t="n"/>
      <c r="U1256" s="53">
        <f>IF(A1256="","",IF(IFERROR(VLOOKUP(D1256,Parameter!$A$35:$C$64,2,0),"Nein")="2+3",IF(ISNUMBER(SEARCH("grosser Artikel",BJ1256)),2,IFERROR(VLOOKUP(BM1256,Parameter!$F$35:$G$64,2,0),2)),IF(OR(IFERROR(VLOOKUP(D1256,Parameter!$A$35:$C$64,2,0),"Nein")="Nein",IFERROR(VLOOKUP(D1256,Parameter!$A$35:$C$64,2,0),"Nein")=""),"-",VLOOKUP(D1256,Parameter!$A$35:$C$64,2,0))))</f>
        <v/>
      </c>
      <c r="V1256" s="61" t="n"/>
      <c r="W1256" s="62" t="n"/>
      <c r="X1256" s="55">
        <f>AM1256</f>
        <v/>
      </c>
      <c r="Y1256" s="55">
        <f>MAX(AM1256,G1256)</f>
        <v/>
      </c>
      <c r="Z1256" s="63" t="n"/>
      <c r="AA1256" s="55">
        <f>IF(LEFT(Cockpit!$C$5,1)="A",G1256,IF(BT1256=1,BU1256,IF(LEFT(Cockpit!$C$5,1)="B",AE1256,MAX(AE1256,G1256))))</f>
        <v/>
      </c>
      <c r="AB1256" s="55">
        <f>IF(BO1256=1,0,ROUNDUP(AA1256/BN1256,0))</f>
        <v/>
      </c>
      <c r="AC1256" s="64">
        <f>IF(BO1256=1,IF(AA1256&lt;=0,0,BP1256*MAX(1,IF(G1256&gt;0,AA1256/G1256,1))),AB1256*Q1256)</f>
        <v/>
      </c>
      <c r="AD1256" s="55">
        <f>AA1256*F1256</f>
        <v/>
      </c>
      <c r="AE1256" s="55">
        <f>ROUNDUP(MAX(I1256/IF(BS1256&gt;0,BS1256,MAX(0.1,N(Cockpit!$C$6))),BV1256)/BN1256,0)*BN1256</f>
        <v/>
      </c>
      <c r="AF1256" s="56">
        <f>IF(AC1256&gt;0,I1256/AC1256,-1)</f>
        <v/>
      </c>
      <c r="AG1256" s="56">
        <f>IF(AND(OR(BR1256="L1",BR1256="L23"),AC1256&gt;0),SUMIFS($AC$7:$AC$1570,$BR$7:$BR$1570,BR1256,$AF$7:$AF$1570,"&gt;"&amp;AF1256)+SUMIFS($AC$7:$AC$1570,$BR$7:$BR$1570,BR1256,$AF$7:$AF$1570,AF1256,$BL$7:$BL$1570,"&lt;="&amp;BL1256),"")</f>
        <v/>
      </c>
      <c r="AH1256" s="65">
        <f>IF(AG1256="",0,MAX(0,MIN(1,(IF(BR1256="L1",Parameter!$K$5,Parameter!$K$6+Parameter!$K$7)-(AG1256-AC1256))/AC1256)))</f>
        <v/>
      </c>
      <c r="AI1256" s="55">
        <f>IF(LEFT(Cockpit!$I$5,1)="A",G1256,IF(BT1256=1,BU1256,IF(LEFT(Cockpit!$I$5,1)="B",AM1256,MAX(AM1256,G1256))))</f>
        <v/>
      </c>
      <c r="AJ1256" s="55">
        <f>IF(BO1256=1,0,ROUNDUP(AI1256/BN1256,0))</f>
        <v/>
      </c>
      <c r="AK1256" s="64">
        <f>IF(BO1256=1,IF(AI1256&lt;=0,0,BP1256*MAX(1,IF(G1256&gt;0,AI1256/G1256,1))),AJ1256*Q1256)</f>
        <v/>
      </c>
      <c r="AL1256" s="55">
        <f>AI1256*F1256</f>
        <v/>
      </c>
      <c r="AM1256" s="55">
        <f>ROUNDUP(MAX(I1256/IF(BS1256&gt;0,BS1256,MAX(0.1,N(Cockpit!$I$6))),BV1256)/BN1256,0)*BN1256</f>
        <v/>
      </c>
      <c r="AN1256" s="56">
        <f>IF(AK1256&gt;0,I1256/AK1256,-1)</f>
        <v/>
      </c>
      <c r="AO1256" s="56">
        <f>IF(AND(OR(BR1256="L1",BR1256="L23"),AK1256&gt;0),SUMIFS($AK$7:$AK$1570,$BR$7:$BR$1570,BR1256,$AN$7:$AN$1570,"&gt;"&amp;AN1256)+SUMIFS($AK$7:$AK$1570,$BR$7:$BR$1570,BR1256,$AN$7:$AN$1570,AN1256,$BL$7:$BL$1570,"&lt;="&amp;BL1256),"")</f>
        <v/>
      </c>
      <c r="AP1256" s="65">
        <f>IF(AO1256="",0,MAX(0,MIN(1,(IF(BR1256="L1",Parameter!$K$5,Parameter!$K$6+Parameter!$K$7)-(AO1256-AK1256))/AK1256)))</f>
        <v/>
      </c>
      <c r="AQ1256" s="55">
        <f>IF(LEFT(Cockpit!$O$5,1)="A",G1256,IF(BT1256=1,BU1256,IF(LEFT(Cockpit!$O$5,1)="B",AU1256,MAX(AU1256,G1256))))</f>
        <v/>
      </c>
      <c r="AR1256" s="55">
        <f>IF(BO1256=1,0,ROUNDUP(AQ1256/BN1256,0))</f>
        <v/>
      </c>
      <c r="AS1256" s="64">
        <f>IF(BO1256=1,IF(AQ1256&lt;=0,0,BP1256*MAX(1,IF(G1256&gt;0,AQ1256/G1256,1))),AR1256*Q1256)</f>
        <v/>
      </c>
      <c r="AT1256" s="55">
        <f>AQ1256*F1256</f>
        <v/>
      </c>
      <c r="AU1256" s="55">
        <f>ROUNDUP(MAX(I1256/IF(BS1256&gt;0,BS1256,MAX(0.1,N(Cockpit!$O$6))),BV1256)/BN1256,0)*BN1256</f>
        <v/>
      </c>
      <c r="AV1256" s="56">
        <f>IF(AS1256&gt;0,I1256/AS1256,-1)</f>
        <v/>
      </c>
      <c r="AW1256" s="56">
        <f>IF(AND(OR(BR1256="L1",BR1256="L23"),AS1256&gt;0),SUMIFS($AS$7:$AS$1570,$BR$7:$BR$1570,BR1256,$AV$7:$AV$1570,"&gt;"&amp;AV1256)+SUMIFS($AS$7:$AS$1570,$BR$7:$BR$1570,BR1256,$AV$7:$AV$1570,AV1256,$BL$7:$BL$1570,"&lt;="&amp;BL1256),"")</f>
        <v/>
      </c>
      <c r="AX1256" s="65">
        <f>IF(AW1256="",0,MAX(0,MIN(1,(IF(BR1256="L1",Parameter!$K$5,Parameter!$K$6+Parameter!$K$7)-(AW1256-AS1256))/AS1256)))</f>
        <v/>
      </c>
      <c r="AY1256" s="53">
        <f>IF(AC1256&lt;=0,"",IF(BR1256="Aussen","Aussenlager",IF(BR1256="-","Nicht im Lift",IF(AH1256&gt;=1,"Lift",IF(AH1256&lt;=0,"Aussenlager","teilweise")))))</f>
        <v/>
      </c>
      <c r="AZ1256" s="53">
        <f>IF(AK1256&lt;=0,"",IF(BR1256="Aussen","Aussenlager",IF(BR1256="-","Nicht im Lift",IF(AP1256&gt;=1,"Lift",IF(AP1256&lt;=0,"Aussenlager","teilweise")))))</f>
        <v/>
      </c>
      <c r="BA1256" s="53">
        <f>IF(AS1256&lt;=0,"",IF(BR1256="Aussen","Aussenlager",IF(BR1256="-","Nicht im Lift",IF(AX1256&gt;=1,"Lift",IF(AX1256&lt;=0,"Aussenlager","teilweise")))))</f>
        <v/>
      </c>
      <c r="BB1256" s="53">
        <f>IF(A1256="","",IF(BK1256=1,"Neu; ","")&amp;IF(AND(BK1256=0,BF1256&lt;0),"negativer Bestand (Export "&amp;BF1256&amp;"); ","")&amp;IF(I1256&lt;=0,"Kein Verbrauch; ","")&amp;IF(BO1256=1,"Lose – Fläche geschätzt; ","")&amp;IF(G1256&gt;AM1256,"Überbestand "&amp;ROUND(G1256-AM1256,0)&amp;" Stk / CHF "&amp;ROUND((G1256-AM1256)*F1256,0)&amp;"; ","")&amp;IF(AND(BT1256=1,BU1256&lt;BV1256),"MAX &lt; MB+LG; ","")&amp;IF(AND(BZ1256&gt;0,BY1256*10&gt;BZ1256),"zu hoch für Tablar; ","")&amp;IF(AND(BK1256=0,OR(BT1256=1,V1256&lt;&gt;"",S1256&lt;&gt;"",T1256&lt;&gt;"",W1256&lt;&gt;"")),"manuell übersteuert; ","")&amp;IF(AND(BO1256=0,Q1256=0),"Gebinde unbekannt; ","")&amp;IF(AND(BO1256=0,N(T1256)&lt;=0,N(P1256)&lt;=0),"Menge pro Gebinde fehlt (Ist = 1 Gebinde); ","")&amp;BJ1256)</f>
        <v/>
      </c>
      <c r="BC1256" s="53" t="n"/>
      <c r="BD1256" s="53" t="n"/>
      <c r="BE1256" s="61" t="n"/>
      <c r="BF1256" s="55" t="n">
        <v>-27</v>
      </c>
      <c r="BG1256" s="55" t="n">
        <v>77</v>
      </c>
      <c r="BH1256" s="54" t="n">
        <v>-762.7999999999997</v>
      </c>
      <c r="BI1256" s="55" t="n">
        <v>143</v>
      </c>
      <c r="BJ1256" s="53" t="inlineStr"/>
      <c r="BK1256" s="58" t="n">
        <v>0</v>
      </c>
      <c r="BL1256" s="58" t="n">
        <v>1256</v>
      </c>
      <c r="BM1256" s="53">
        <f>IF(S1256&lt;&gt;"",UPPER(TRIM(S1256)),IF(O1256="","LOSE",O1256))</f>
        <v/>
      </c>
      <c r="BN1256" s="55">
        <f>IF(BM1256="LOSE",1,IF(N(T1256)&gt;0,T1256,IF(N(P1256)&gt;0,P1256,MAX(1,G1256))))</f>
        <v/>
      </c>
      <c r="BO1256" s="58">
        <f>IF(BM1256="LOSE",1,0)</f>
        <v/>
      </c>
      <c r="BP1256" s="64">
        <f>IF(BO1256=0,0,IF(N(R1256)&gt;0,R1256,IFERROR(VLOOKUP(D1256,Parameter!$A$35:$C$64,3,0)+0,0)))</f>
        <v/>
      </c>
      <c r="BQ1256" s="53">
        <f>IF(V1256&lt;&gt;"",V1256,U1256)</f>
        <v/>
      </c>
      <c r="BR1256" s="53">
        <f>IF(BQ1256=1,"L1",IF(OR(BQ1256=2,BQ1256=3),"L23",IF(BQ1256="Aussen","Aussen","-")))</f>
        <v/>
      </c>
      <c r="BS1256" s="66">
        <f>IF(N(W1256)&gt;0,W1256,0)</f>
        <v/>
      </c>
      <c r="BT1256" s="58">
        <f>IF(ISNUMBER(Z1256),1,0)</f>
        <v/>
      </c>
      <c r="BU1256" s="55">
        <f>N(Z1256)</f>
        <v/>
      </c>
      <c r="BV1256" s="55">
        <f>N(L1256)+N(M1256)</f>
        <v/>
      </c>
      <c r="BW1256" s="55">
        <f>ROUNDUP(G1256/BN1256,0)</f>
        <v/>
      </c>
      <c r="BX1256" s="55">
        <f>ROUNDUP(BU1256/BN1256,0)</f>
        <v/>
      </c>
      <c r="BY1256" s="58">
        <f>IF(BO1256=1,0,IFERROR(VLOOKUP(BM1256,'Gebinde-Kategorie'!$A$5:$G$45,5,0)+0,0))</f>
        <v/>
      </c>
      <c r="BZ1256" s="58">
        <f>IFERROR(IF(OR(BQ1256=1,BQ1256=2,BQ1256=3),N(INDEX(Parameter!$I$5:$I$7,BQ1256)),0),0)</f>
        <v/>
      </c>
    </row>
    <row r="1257">
      <c r="A1257" s="53" t="inlineStr">
        <is>
          <t>109158</t>
        </is>
      </c>
      <c r="B1257" s="53" t="inlineStr">
        <is>
          <t>Sicherheitsventil 40 bar</t>
        </is>
      </c>
      <c r="C1257" s="53" t="inlineStr">
        <is>
          <t>F</t>
        </is>
      </c>
      <c r="D1257" s="53" t="inlineStr">
        <is>
          <t>KTL</t>
        </is>
      </c>
      <c r="E1257" s="53" t="inlineStr">
        <is>
          <t>C</t>
        </is>
      </c>
      <c r="F1257" s="54" t="n">
        <v>95.87</v>
      </c>
      <c r="G1257" s="55">
        <f>MAX(0,IF(Parameter!$B$20="Jahresanfang 2025 + Export",BG1257+BF1257,BF1257))</f>
        <v/>
      </c>
      <c r="H1257" s="55">
        <f>G1257*F1257</f>
        <v/>
      </c>
      <c r="I1257" s="55">
        <f>BI1257*Parameter!$B$18</f>
        <v/>
      </c>
      <c r="J1257" s="56" t="n">
        <v>12</v>
      </c>
      <c r="K1257" s="57" t="n">
        <v>0.3333333333333333</v>
      </c>
      <c r="L1257" s="55" t="n">
        <v>0</v>
      </c>
      <c r="M1257" s="55" t="n">
        <v>5</v>
      </c>
      <c r="N1257" s="58" t="n">
        <v>35</v>
      </c>
      <c r="O1257" s="53" t="inlineStr">
        <is>
          <t>LOSE</t>
        </is>
      </c>
      <c r="P1257" s="55" t="n"/>
      <c r="Q1257" s="59">
        <f>IF(BO1257=1,0,IFERROR(VLOOKUP(BM1257,'Gebinde-Kategorie'!$A$5:$G$45,6,0)+0,0))</f>
        <v/>
      </c>
      <c r="R1257" s="60" t="n"/>
      <c r="S1257" s="61" t="n"/>
      <c r="T1257" s="61" t="n"/>
      <c r="U1257" s="53">
        <f>IF(A1257="","",IF(IFERROR(VLOOKUP(D1257,Parameter!$A$35:$C$64,2,0),"Nein")="2+3",IF(ISNUMBER(SEARCH("grosser Artikel",BJ1257)),2,IFERROR(VLOOKUP(BM1257,Parameter!$F$35:$G$64,2,0),2)),IF(OR(IFERROR(VLOOKUP(D1257,Parameter!$A$35:$C$64,2,0),"Nein")="Nein",IFERROR(VLOOKUP(D1257,Parameter!$A$35:$C$64,2,0),"Nein")=""),"-",VLOOKUP(D1257,Parameter!$A$35:$C$64,2,0))))</f>
        <v/>
      </c>
      <c r="V1257" s="61" t="n"/>
      <c r="W1257" s="62" t="n"/>
      <c r="X1257" s="55">
        <f>AM1257</f>
        <v/>
      </c>
      <c r="Y1257" s="55">
        <f>MAX(AM1257,G1257)</f>
        <v/>
      </c>
      <c r="Z1257" s="63" t="n"/>
      <c r="AA1257" s="55">
        <f>IF(LEFT(Cockpit!$C$5,1)="A",G1257,IF(BT1257=1,BU1257,IF(LEFT(Cockpit!$C$5,1)="B",AE1257,MAX(AE1257,G1257))))</f>
        <v/>
      </c>
      <c r="AB1257" s="55">
        <f>IF(BO1257=1,0,ROUNDUP(AA1257/BN1257,0))</f>
        <v/>
      </c>
      <c r="AC1257" s="64">
        <f>IF(BO1257=1,IF(AA1257&lt;=0,0,BP1257*MAX(1,IF(G1257&gt;0,AA1257/G1257,1))),AB1257*Q1257)</f>
        <v/>
      </c>
      <c r="AD1257" s="55">
        <f>AA1257*F1257</f>
        <v/>
      </c>
      <c r="AE1257" s="55">
        <f>ROUNDUP(MAX(I1257/IF(BS1257&gt;0,BS1257,MAX(0.1,N(Cockpit!$C$6))),BV1257)/BN1257,0)*BN1257</f>
        <v/>
      </c>
      <c r="AF1257" s="56">
        <f>IF(AC1257&gt;0,I1257/AC1257,-1)</f>
        <v/>
      </c>
      <c r="AG1257" s="56">
        <f>IF(AND(OR(BR1257="L1",BR1257="L23"),AC1257&gt;0),SUMIFS($AC$7:$AC$1570,$BR$7:$BR$1570,BR1257,$AF$7:$AF$1570,"&gt;"&amp;AF1257)+SUMIFS($AC$7:$AC$1570,$BR$7:$BR$1570,BR1257,$AF$7:$AF$1570,AF1257,$BL$7:$BL$1570,"&lt;="&amp;BL1257),"")</f>
        <v/>
      </c>
      <c r="AH1257" s="65">
        <f>IF(AG1257="",0,MAX(0,MIN(1,(IF(BR1257="L1",Parameter!$K$5,Parameter!$K$6+Parameter!$K$7)-(AG1257-AC1257))/AC1257)))</f>
        <v/>
      </c>
      <c r="AI1257" s="55">
        <f>IF(LEFT(Cockpit!$I$5,1)="A",G1257,IF(BT1257=1,BU1257,IF(LEFT(Cockpit!$I$5,1)="B",AM1257,MAX(AM1257,G1257))))</f>
        <v/>
      </c>
      <c r="AJ1257" s="55">
        <f>IF(BO1257=1,0,ROUNDUP(AI1257/BN1257,0))</f>
        <v/>
      </c>
      <c r="AK1257" s="64">
        <f>IF(BO1257=1,IF(AI1257&lt;=0,0,BP1257*MAX(1,IF(G1257&gt;0,AI1257/G1257,1))),AJ1257*Q1257)</f>
        <v/>
      </c>
      <c r="AL1257" s="55">
        <f>AI1257*F1257</f>
        <v/>
      </c>
      <c r="AM1257" s="55">
        <f>ROUNDUP(MAX(I1257/IF(BS1257&gt;0,BS1257,MAX(0.1,N(Cockpit!$I$6))),BV1257)/BN1257,0)*BN1257</f>
        <v/>
      </c>
      <c r="AN1257" s="56">
        <f>IF(AK1257&gt;0,I1257/AK1257,-1)</f>
        <v/>
      </c>
      <c r="AO1257" s="56">
        <f>IF(AND(OR(BR1257="L1",BR1257="L23"),AK1257&gt;0),SUMIFS($AK$7:$AK$1570,$BR$7:$BR$1570,BR1257,$AN$7:$AN$1570,"&gt;"&amp;AN1257)+SUMIFS($AK$7:$AK$1570,$BR$7:$BR$1570,BR1257,$AN$7:$AN$1570,AN1257,$BL$7:$BL$1570,"&lt;="&amp;BL1257),"")</f>
        <v/>
      </c>
      <c r="AP1257" s="65">
        <f>IF(AO1257="",0,MAX(0,MIN(1,(IF(BR1257="L1",Parameter!$K$5,Parameter!$K$6+Parameter!$K$7)-(AO1257-AK1257))/AK1257)))</f>
        <v/>
      </c>
      <c r="AQ1257" s="55">
        <f>IF(LEFT(Cockpit!$O$5,1)="A",G1257,IF(BT1257=1,BU1257,IF(LEFT(Cockpit!$O$5,1)="B",AU1257,MAX(AU1257,G1257))))</f>
        <v/>
      </c>
      <c r="AR1257" s="55">
        <f>IF(BO1257=1,0,ROUNDUP(AQ1257/BN1257,0))</f>
        <v/>
      </c>
      <c r="AS1257" s="64">
        <f>IF(BO1257=1,IF(AQ1257&lt;=0,0,BP1257*MAX(1,IF(G1257&gt;0,AQ1257/G1257,1))),AR1257*Q1257)</f>
        <v/>
      </c>
      <c r="AT1257" s="55">
        <f>AQ1257*F1257</f>
        <v/>
      </c>
      <c r="AU1257" s="55">
        <f>ROUNDUP(MAX(I1257/IF(BS1257&gt;0,BS1257,MAX(0.1,N(Cockpit!$O$6))),BV1257)/BN1257,0)*BN1257</f>
        <v/>
      </c>
      <c r="AV1257" s="56">
        <f>IF(AS1257&gt;0,I1257/AS1257,-1)</f>
        <v/>
      </c>
      <c r="AW1257" s="56">
        <f>IF(AND(OR(BR1257="L1",BR1257="L23"),AS1257&gt;0),SUMIFS($AS$7:$AS$1570,$BR$7:$BR$1570,BR1257,$AV$7:$AV$1570,"&gt;"&amp;AV1257)+SUMIFS($AS$7:$AS$1570,$BR$7:$BR$1570,BR1257,$AV$7:$AV$1570,AV1257,$BL$7:$BL$1570,"&lt;="&amp;BL1257),"")</f>
        <v/>
      </c>
      <c r="AX1257" s="65">
        <f>IF(AW1257="",0,MAX(0,MIN(1,(IF(BR1257="L1",Parameter!$K$5,Parameter!$K$6+Parameter!$K$7)-(AW1257-AS1257))/AS1257)))</f>
        <v/>
      </c>
      <c r="AY1257" s="53">
        <f>IF(AC1257&lt;=0,"",IF(BR1257="Aussen","Aussenlager",IF(BR1257="-","Nicht im Lift",IF(AH1257&gt;=1,"Lift",IF(AH1257&lt;=0,"Aussenlager","teilweise")))))</f>
        <v/>
      </c>
      <c r="AZ1257" s="53">
        <f>IF(AK1257&lt;=0,"",IF(BR1257="Aussen","Aussenlager",IF(BR1257="-","Nicht im Lift",IF(AP1257&gt;=1,"Lift",IF(AP1257&lt;=0,"Aussenlager","teilweise")))))</f>
        <v/>
      </c>
      <c r="BA1257" s="53">
        <f>IF(AS1257&lt;=0,"",IF(BR1257="Aussen","Aussenlager",IF(BR1257="-","Nicht im Lift",IF(AX1257&gt;=1,"Lift",IF(AX1257&lt;=0,"Aussenlager","teilweise")))))</f>
        <v/>
      </c>
      <c r="BB1257" s="53">
        <f>IF(A1257="","",IF(BK1257=1,"Neu; ","")&amp;IF(AND(BK1257=0,BF1257&lt;0),"negativer Bestand (Export "&amp;BF1257&amp;"); ","")&amp;IF(I1257&lt;=0,"Kein Verbrauch; ","")&amp;IF(BO1257=1,"Lose – Fläche geschätzt; ","")&amp;IF(G1257&gt;AM1257,"Überbestand "&amp;ROUND(G1257-AM1257,0)&amp;" Stk / CHF "&amp;ROUND((G1257-AM1257)*F1257,0)&amp;"; ","")&amp;IF(AND(BT1257=1,BU1257&lt;BV1257),"MAX &lt; MB+LG; ","")&amp;IF(AND(BZ1257&gt;0,BY1257*10&gt;BZ1257),"zu hoch für Tablar; ","")&amp;IF(AND(BK1257=0,OR(BT1257=1,V1257&lt;&gt;"",S1257&lt;&gt;"",T1257&lt;&gt;"",W1257&lt;&gt;"")),"manuell übersteuert; ","")&amp;IF(AND(BO1257=0,Q1257=0),"Gebinde unbekannt; ","")&amp;IF(AND(BO1257=0,N(T1257)&lt;=0,N(P1257)&lt;=0),"Menge pro Gebinde fehlt (Ist = 1 Gebinde); ","")&amp;BJ1257)</f>
        <v/>
      </c>
      <c r="BC1257" s="53" t="n"/>
      <c r="BD1257" s="53" t="n"/>
      <c r="BE1257" s="61" t="n"/>
      <c r="BF1257" s="55" t="n">
        <v>-8</v>
      </c>
      <c r="BG1257" s="55" t="n">
        <v>14</v>
      </c>
      <c r="BH1257" s="54" t="n">
        <v>-766.96</v>
      </c>
      <c r="BI1257" s="55" t="n">
        <v>4</v>
      </c>
      <c r="BJ1257" s="53" t="inlineStr"/>
      <c r="BK1257" s="58" t="n">
        <v>0</v>
      </c>
      <c r="BL1257" s="58" t="n">
        <v>1257</v>
      </c>
      <c r="BM1257" s="53">
        <f>IF(S1257&lt;&gt;"",UPPER(TRIM(S1257)),IF(O1257="","LOSE",O1257))</f>
        <v/>
      </c>
      <c r="BN1257" s="55">
        <f>IF(BM1257="LOSE",1,IF(N(T1257)&gt;0,T1257,IF(N(P1257)&gt;0,P1257,MAX(1,G1257))))</f>
        <v/>
      </c>
      <c r="BO1257" s="58">
        <f>IF(BM1257="LOSE",1,0)</f>
        <v/>
      </c>
      <c r="BP1257" s="64">
        <f>IF(BO1257=0,0,IF(N(R1257)&gt;0,R1257,IFERROR(VLOOKUP(D1257,Parameter!$A$35:$C$64,3,0)+0,0)))</f>
        <v/>
      </c>
      <c r="BQ1257" s="53">
        <f>IF(V1257&lt;&gt;"",V1257,U1257)</f>
        <v/>
      </c>
      <c r="BR1257" s="53">
        <f>IF(BQ1257=1,"L1",IF(OR(BQ1257=2,BQ1257=3),"L23",IF(BQ1257="Aussen","Aussen","-")))</f>
        <v/>
      </c>
      <c r="BS1257" s="66">
        <f>IF(N(W1257)&gt;0,W1257,0)</f>
        <v/>
      </c>
      <c r="BT1257" s="58">
        <f>IF(ISNUMBER(Z1257),1,0)</f>
        <v/>
      </c>
      <c r="BU1257" s="55">
        <f>N(Z1257)</f>
        <v/>
      </c>
      <c r="BV1257" s="55">
        <f>N(L1257)+N(M1257)</f>
        <v/>
      </c>
      <c r="BW1257" s="55">
        <f>ROUNDUP(G1257/BN1257,0)</f>
        <v/>
      </c>
      <c r="BX1257" s="55">
        <f>ROUNDUP(BU1257/BN1257,0)</f>
        <v/>
      </c>
      <c r="BY1257" s="58">
        <f>IF(BO1257=1,0,IFERROR(VLOOKUP(BM1257,'Gebinde-Kategorie'!$A$5:$G$45,5,0)+0,0))</f>
        <v/>
      </c>
      <c r="BZ1257" s="58">
        <f>IFERROR(IF(OR(BQ1257=1,BQ1257=2,BQ1257=3),N(INDEX(Parameter!$I$5:$I$7,BQ1257)),0),0)</f>
        <v/>
      </c>
    </row>
    <row r="1258">
      <c r="A1258" s="53" t="inlineStr">
        <is>
          <t>110378</t>
        </is>
      </c>
      <c r="B1258" s="53" t="inlineStr">
        <is>
          <t>Feldklemme</t>
        </is>
      </c>
      <c r="C1258" s="53" t="inlineStr">
        <is>
          <t>F</t>
        </is>
      </c>
      <c r="D1258" s="53" t="inlineStr">
        <is>
          <t>PAL</t>
        </is>
      </c>
      <c r="E1258" s="53" t="inlineStr">
        <is>
          <t>C</t>
        </is>
      </c>
      <c r="F1258" s="54" t="n">
        <v>5.45</v>
      </c>
      <c r="G1258" s="55">
        <f>MAX(0,IF(Parameter!$B$20="Jahresanfang 2025 + Export",BG1258+BF1258,BF1258))</f>
        <v/>
      </c>
      <c r="H1258" s="55">
        <f>G1258*F1258</f>
        <v/>
      </c>
      <c r="I1258" s="55">
        <f>BI1258*Parameter!$B$18</f>
        <v/>
      </c>
      <c r="J1258" s="56" t="n">
        <v>118.5</v>
      </c>
      <c r="K1258" s="57" t="n">
        <v>1.561181434599156</v>
      </c>
      <c r="L1258" s="55" t="n">
        <v>32</v>
      </c>
      <c r="M1258" s="55" t="n">
        <v>185</v>
      </c>
      <c r="N1258" s="58" t="n">
        <v>63</v>
      </c>
      <c r="O1258" s="53" t="inlineStr">
        <is>
          <t>LOSE</t>
        </is>
      </c>
      <c r="P1258" s="55" t="n"/>
      <c r="Q1258" s="59">
        <f>IF(BO1258=1,0,IFERROR(VLOOKUP(BM1258,'Gebinde-Kategorie'!$A$5:$G$45,6,0)+0,0))</f>
        <v/>
      </c>
      <c r="R1258" s="60" t="n"/>
      <c r="S1258" s="61" t="n"/>
      <c r="T1258" s="61" t="n"/>
      <c r="U1258" s="53">
        <f>IF(A1258="","",IF(IFERROR(VLOOKUP(D1258,Parameter!$A$35:$C$64,2,0),"Nein")="2+3",IF(ISNUMBER(SEARCH("grosser Artikel",BJ1258)),2,IFERROR(VLOOKUP(BM1258,Parameter!$F$35:$G$64,2,0),2)),IF(OR(IFERROR(VLOOKUP(D1258,Parameter!$A$35:$C$64,2,0),"Nein")="Nein",IFERROR(VLOOKUP(D1258,Parameter!$A$35:$C$64,2,0),"Nein")=""),"-",VLOOKUP(D1258,Parameter!$A$35:$C$64,2,0))))</f>
        <v/>
      </c>
      <c r="V1258" s="61" t="n"/>
      <c r="W1258" s="62" t="n"/>
      <c r="X1258" s="55">
        <f>AM1258</f>
        <v/>
      </c>
      <c r="Y1258" s="55">
        <f>MAX(AM1258,G1258)</f>
        <v/>
      </c>
      <c r="Z1258" s="63" t="n"/>
      <c r="AA1258" s="55">
        <f>IF(LEFT(Cockpit!$C$5,1)="A",G1258,IF(BT1258=1,BU1258,IF(LEFT(Cockpit!$C$5,1)="B",AE1258,MAX(AE1258,G1258))))</f>
        <v/>
      </c>
      <c r="AB1258" s="55">
        <f>IF(BO1258=1,0,ROUNDUP(AA1258/BN1258,0))</f>
        <v/>
      </c>
      <c r="AC1258" s="64">
        <f>IF(BO1258=1,IF(AA1258&lt;=0,0,BP1258*MAX(1,IF(G1258&gt;0,AA1258/G1258,1))),AB1258*Q1258)</f>
        <v/>
      </c>
      <c r="AD1258" s="55">
        <f>AA1258*F1258</f>
        <v/>
      </c>
      <c r="AE1258" s="55">
        <f>ROUNDUP(MAX(I1258/IF(BS1258&gt;0,BS1258,MAX(0.1,N(Cockpit!$C$6))),BV1258)/BN1258,0)*BN1258</f>
        <v/>
      </c>
      <c r="AF1258" s="56">
        <f>IF(AC1258&gt;0,I1258/AC1258,-1)</f>
        <v/>
      </c>
      <c r="AG1258" s="56">
        <f>IF(AND(OR(BR1258="L1",BR1258="L23"),AC1258&gt;0),SUMIFS($AC$7:$AC$1570,$BR$7:$BR$1570,BR1258,$AF$7:$AF$1570,"&gt;"&amp;AF1258)+SUMIFS($AC$7:$AC$1570,$BR$7:$BR$1570,BR1258,$AF$7:$AF$1570,AF1258,$BL$7:$BL$1570,"&lt;="&amp;BL1258),"")</f>
        <v/>
      </c>
      <c r="AH1258" s="65">
        <f>IF(AG1258="",0,MAX(0,MIN(1,(IF(BR1258="L1",Parameter!$K$5,Parameter!$K$6+Parameter!$K$7)-(AG1258-AC1258))/AC1258)))</f>
        <v/>
      </c>
      <c r="AI1258" s="55">
        <f>IF(LEFT(Cockpit!$I$5,1)="A",G1258,IF(BT1258=1,BU1258,IF(LEFT(Cockpit!$I$5,1)="B",AM1258,MAX(AM1258,G1258))))</f>
        <v/>
      </c>
      <c r="AJ1258" s="55">
        <f>IF(BO1258=1,0,ROUNDUP(AI1258/BN1258,0))</f>
        <v/>
      </c>
      <c r="AK1258" s="64">
        <f>IF(BO1258=1,IF(AI1258&lt;=0,0,BP1258*MAX(1,IF(G1258&gt;0,AI1258/G1258,1))),AJ1258*Q1258)</f>
        <v/>
      </c>
      <c r="AL1258" s="55">
        <f>AI1258*F1258</f>
        <v/>
      </c>
      <c r="AM1258" s="55">
        <f>ROUNDUP(MAX(I1258/IF(BS1258&gt;0,BS1258,MAX(0.1,N(Cockpit!$I$6))),BV1258)/BN1258,0)*BN1258</f>
        <v/>
      </c>
      <c r="AN1258" s="56">
        <f>IF(AK1258&gt;0,I1258/AK1258,-1)</f>
        <v/>
      </c>
      <c r="AO1258" s="56">
        <f>IF(AND(OR(BR1258="L1",BR1258="L23"),AK1258&gt;0),SUMIFS($AK$7:$AK$1570,$BR$7:$BR$1570,BR1258,$AN$7:$AN$1570,"&gt;"&amp;AN1258)+SUMIFS($AK$7:$AK$1570,$BR$7:$BR$1570,BR1258,$AN$7:$AN$1570,AN1258,$BL$7:$BL$1570,"&lt;="&amp;BL1258),"")</f>
        <v/>
      </c>
      <c r="AP1258" s="65">
        <f>IF(AO1258="",0,MAX(0,MIN(1,(IF(BR1258="L1",Parameter!$K$5,Parameter!$K$6+Parameter!$K$7)-(AO1258-AK1258))/AK1258)))</f>
        <v/>
      </c>
      <c r="AQ1258" s="55">
        <f>IF(LEFT(Cockpit!$O$5,1)="A",G1258,IF(BT1258=1,BU1258,IF(LEFT(Cockpit!$O$5,1)="B",AU1258,MAX(AU1258,G1258))))</f>
        <v/>
      </c>
      <c r="AR1258" s="55">
        <f>IF(BO1258=1,0,ROUNDUP(AQ1258/BN1258,0))</f>
        <v/>
      </c>
      <c r="AS1258" s="64">
        <f>IF(BO1258=1,IF(AQ1258&lt;=0,0,BP1258*MAX(1,IF(G1258&gt;0,AQ1258/G1258,1))),AR1258*Q1258)</f>
        <v/>
      </c>
      <c r="AT1258" s="55">
        <f>AQ1258*F1258</f>
        <v/>
      </c>
      <c r="AU1258" s="55">
        <f>ROUNDUP(MAX(I1258/IF(BS1258&gt;0,BS1258,MAX(0.1,N(Cockpit!$O$6))),BV1258)/BN1258,0)*BN1258</f>
        <v/>
      </c>
      <c r="AV1258" s="56">
        <f>IF(AS1258&gt;0,I1258/AS1258,-1)</f>
        <v/>
      </c>
      <c r="AW1258" s="56">
        <f>IF(AND(OR(BR1258="L1",BR1258="L23"),AS1258&gt;0),SUMIFS($AS$7:$AS$1570,$BR$7:$BR$1570,BR1258,$AV$7:$AV$1570,"&gt;"&amp;AV1258)+SUMIFS($AS$7:$AS$1570,$BR$7:$BR$1570,BR1258,$AV$7:$AV$1570,AV1258,$BL$7:$BL$1570,"&lt;="&amp;BL1258),"")</f>
        <v/>
      </c>
      <c r="AX1258" s="65">
        <f>IF(AW1258="",0,MAX(0,MIN(1,(IF(BR1258="L1",Parameter!$K$5,Parameter!$K$6+Parameter!$K$7)-(AW1258-AS1258))/AS1258)))</f>
        <v/>
      </c>
      <c r="AY1258" s="53">
        <f>IF(AC1258&lt;=0,"",IF(BR1258="Aussen","Aussenlager",IF(BR1258="-","Nicht im Lift",IF(AH1258&gt;=1,"Lift",IF(AH1258&lt;=0,"Aussenlager","teilweise")))))</f>
        <v/>
      </c>
      <c r="AZ1258" s="53">
        <f>IF(AK1258&lt;=0,"",IF(BR1258="Aussen","Aussenlager",IF(BR1258="-","Nicht im Lift",IF(AP1258&gt;=1,"Lift",IF(AP1258&lt;=0,"Aussenlager","teilweise")))))</f>
        <v/>
      </c>
      <c r="BA1258" s="53">
        <f>IF(AS1258&lt;=0,"",IF(BR1258="Aussen","Aussenlager",IF(BR1258="-","Nicht im Lift",IF(AX1258&gt;=1,"Lift",IF(AX1258&lt;=0,"Aussenlager","teilweise")))))</f>
        <v/>
      </c>
      <c r="BB1258" s="53">
        <f>IF(A1258="","",IF(BK1258=1,"Neu; ","")&amp;IF(AND(BK1258=0,BF1258&lt;0),"negativer Bestand (Export "&amp;BF1258&amp;"); ","")&amp;IF(I1258&lt;=0,"Kein Verbrauch; ","")&amp;IF(BO1258=1,"Lose – Fläche geschätzt; ","")&amp;IF(G1258&gt;AM1258,"Überbestand "&amp;ROUND(G1258-AM1258,0)&amp;" Stk / CHF "&amp;ROUND((G1258-AM1258)*F1258,0)&amp;"; ","")&amp;IF(AND(BT1258=1,BU1258&lt;BV1258),"MAX &lt; MB+LG; ","")&amp;IF(AND(BZ1258&gt;0,BY1258*10&gt;BZ1258),"zu hoch für Tablar; ","")&amp;IF(AND(BK1258=0,OR(BT1258=1,V1258&lt;&gt;"",S1258&lt;&gt;"",T1258&lt;&gt;"",W1258&lt;&gt;"")),"manuell übersteuert; ","")&amp;IF(AND(BO1258=0,Q1258=0),"Gebinde unbekannt; ","")&amp;IF(AND(BO1258=0,N(T1258)&lt;=0,N(P1258)&lt;=0),"Menge pro Gebinde fehlt (Ist = 1 Gebinde); ","")&amp;BJ1258)</f>
        <v/>
      </c>
      <c r="BC1258" s="53" t="n"/>
      <c r="BD1258" s="53" t="n"/>
      <c r="BE1258" s="61" t="n"/>
      <c r="BF1258" s="55" t="n">
        <v>-147</v>
      </c>
      <c r="BG1258" s="55" t="n">
        <v>197</v>
      </c>
      <c r="BH1258" s="54" t="n">
        <v>-793.27</v>
      </c>
      <c r="BI1258" s="55" t="n">
        <v>185</v>
      </c>
      <c r="BJ1258" s="53" t="inlineStr"/>
      <c r="BK1258" s="58" t="n">
        <v>0</v>
      </c>
      <c r="BL1258" s="58" t="n">
        <v>1258</v>
      </c>
      <c r="BM1258" s="53">
        <f>IF(S1258&lt;&gt;"",UPPER(TRIM(S1258)),IF(O1258="","LOSE",O1258))</f>
        <v/>
      </c>
      <c r="BN1258" s="55">
        <f>IF(BM1258="LOSE",1,IF(N(T1258)&gt;0,T1258,IF(N(P1258)&gt;0,P1258,MAX(1,G1258))))</f>
        <v/>
      </c>
      <c r="BO1258" s="58">
        <f>IF(BM1258="LOSE",1,0)</f>
        <v/>
      </c>
      <c r="BP1258" s="64">
        <f>IF(BO1258=0,0,IF(N(R1258)&gt;0,R1258,IFERROR(VLOOKUP(D1258,Parameter!$A$35:$C$64,3,0)+0,0)))</f>
        <v/>
      </c>
      <c r="BQ1258" s="53">
        <f>IF(V1258&lt;&gt;"",V1258,U1258)</f>
        <v/>
      </c>
      <c r="BR1258" s="53">
        <f>IF(BQ1258=1,"L1",IF(OR(BQ1258=2,BQ1258=3),"L23",IF(BQ1258="Aussen","Aussen","-")))</f>
        <v/>
      </c>
      <c r="BS1258" s="66">
        <f>IF(N(W1258)&gt;0,W1258,0)</f>
        <v/>
      </c>
      <c r="BT1258" s="58">
        <f>IF(ISNUMBER(Z1258),1,0)</f>
        <v/>
      </c>
      <c r="BU1258" s="55">
        <f>N(Z1258)</f>
        <v/>
      </c>
      <c r="BV1258" s="55">
        <f>N(L1258)+N(M1258)</f>
        <v/>
      </c>
      <c r="BW1258" s="55">
        <f>ROUNDUP(G1258/BN1258,0)</f>
        <v/>
      </c>
      <c r="BX1258" s="55">
        <f>ROUNDUP(BU1258/BN1258,0)</f>
        <v/>
      </c>
      <c r="BY1258" s="58">
        <f>IF(BO1258=1,0,IFERROR(VLOOKUP(BM1258,'Gebinde-Kategorie'!$A$5:$G$45,5,0)+0,0))</f>
        <v/>
      </c>
      <c r="BZ1258" s="58">
        <f>IFERROR(IF(OR(BQ1258=1,BQ1258=2,BQ1258=3),N(INDEX(Parameter!$I$5:$I$7,BQ1258)),0),0)</f>
        <v/>
      </c>
    </row>
    <row r="1259">
      <c r="A1259" s="53" t="inlineStr">
        <is>
          <t>OC-107710</t>
        </is>
      </c>
      <c r="B1259" s="53" t="inlineStr">
        <is>
          <t>Austrittsdüse</t>
        </is>
      </c>
      <c r="C1259" s="53" t="inlineStr">
        <is>
          <t>G</t>
        </is>
      </c>
      <c r="D1259" s="53" t="inlineStr">
        <is>
          <t>OCC</t>
        </is>
      </c>
      <c r="E1259" s="53" t="inlineStr">
        <is>
          <t>C</t>
        </is>
      </c>
      <c r="F1259" s="54" t="n">
        <v>401.72</v>
      </c>
      <c r="G1259" s="55">
        <f>MAX(0,IF(Parameter!$B$20="Jahresanfang 2025 + Export",BG1259+BF1259,BF1259))</f>
        <v/>
      </c>
      <c r="H1259" s="55">
        <f>G1259*F1259</f>
        <v/>
      </c>
      <c r="I1259" s="55">
        <f>BI1259*Parameter!$B$18</f>
        <v/>
      </c>
      <c r="J1259" s="56" t="n">
        <v>1</v>
      </c>
      <c r="K1259" s="57" t="n">
        <v>0</v>
      </c>
      <c r="L1259" s="55" t="n">
        <v>0</v>
      </c>
      <c r="M1259" s="55" t="n">
        <v>0</v>
      </c>
      <c r="N1259" s="58" t="n">
        <v>35</v>
      </c>
      <c r="O1259" s="53" t="inlineStr">
        <is>
          <t>LOSE</t>
        </is>
      </c>
      <c r="P1259" s="55" t="n"/>
      <c r="Q1259" s="59">
        <f>IF(BO1259=1,0,IFERROR(VLOOKUP(BM1259,'Gebinde-Kategorie'!$A$5:$G$45,6,0)+0,0))</f>
        <v/>
      </c>
      <c r="R1259" s="60" t="n"/>
      <c r="S1259" s="61" t="n"/>
      <c r="T1259" s="61" t="n"/>
      <c r="U1259" s="53">
        <f>IF(A1259="","",IF(IFERROR(VLOOKUP(D1259,Parameter!$A$35:$C$64,2,0),"Nein")="2+3",IF(ISNUMBER(SEARCH("grosser Artikel",BJ1259)),2,IFERROR(VLOOKUP(BM1259,Parameter!$F$35:$G$64,2,0),2)),IF(OR(IFERROR(VLOOKUP(D1259,Parameter!$A$35:$C$64,2,0),"Nein")="Nein",IFERROR(VLOOKUP(D1259,Parameter!$A$35:$C$64,2,0),"Nein")=""),"-",VLOOKUP(D1259,Parameter!$A$35:$C$64,2,0))))</f>
        <v/>
      </c>
      <c r="V1259" s="61" t="n"/>
      <c r="W1259" s="62" t="n"/>
      <c r="X1259" s="55">
        <f>AM1259</f>
        <v/>
      </c>
      <c r="Y1259" s="55">
        <f>MAX(AM1259,G1259)</f>
        <v/>
      </c>
      <c r="Z1259" s="63" t="n"/>
      <c r="AA1259" s="55">
        <f>IF(LEFT(Cockpit!$C$5,1)="A",G1259,IF(BT1259=1,BU1259,IF(LEFT(Cockpit!$C$5,1)="B",AE1259,MAX(AE1259,G1259))))</f>
        <v/>
      </c>
      <c r="AB1259" s="55">
        <f>IF(BO1259=1,0,ROUNDUP(AA1259/BN1259,0))</f>
        <v/>
      </c>
      <c r="AC1259" s="64">
        <f>IF(BO1259=1,IF(AA1259&lt;=0,0,BP1259*MAX(1,IF(G1259&gt;0,AA1259/G1259,1))),AB1259*Q1259)</f>
        <v/>
      </c>
      <c r="AD1259" s="55">
        <f>AA1259*F1259</f>
        <v/>
      </c>
      <c r="AE1259" s="55">
        <f>ROUNDUP(MAX(I1259/IF(BS1259&gt;0,BS1259,MAX(0.1,N(Cockpit!$C$6))),BV1259)/BN1259,0)*BN1259</f>
        <v/>
      </c>
      <c r="AF1259" s="56">
        <f>IF(AC1259&gt;0,I1259/AC1259,-1)</f>
        <v/>
      </c>
      <c r="AG1259" s="56">
        <f>IF(AND(OR(BR1259="L1",BR1259="L23"),AC1259&gt;0),SUMIFS($AC$7:$AC$1570,$BR$7:$BR$1570,BR1259,$AF$7:$AF$1570,"&gt;"&amp;AF1259)+SUMIFS($AC$7:$AC$1570,$BR$7:$BR$1570,BR1259,$AF$7:$AF$1570,AF1259,$BL$7:$BL$1570,"&lt;="&amp;BL1259),"")</f>
        <v/>
      </c>
      <c r="AH1259" s="65">
        <f>IF(AG1259="",0,MAX(0,MIN(1,(IF(BR1259="L1",Parameter!$K$5,Parameter!$K$6+Parameter!$K$7)-(AG1259-AC1259))/AC1259)))</f>
        <v/>
      </c>
      <c r="AI1259" s="55">
        <f>IF(LEFT(Cockpit!$I$5,1)="A",G1259,IF(BT1259=1,BU1259,IF(LEFT(Cockpit!$I$5,1)="B",AM1259,MAX(AM1259,G1259))))</f>
        <v/>
      </c>
      <c r="AJ1259" s="55">
        <f>IF(BO1259=1,0,ROUNDUP(AI1259/BN1259,0))</f>
        <v/>
      </c>
      <c r="AK1259" s="64">
        <f>IF(BO1259=1,IF(AI1259&lt;=0,0,BP1259*MAX(1,IF(G1259&gt;0,AI1259/G1259,1))),AJ1259*Q1259)</f>
        <v/>
      </c>
      <c r="AL1259" s="55">
        <f>AI1259*F1259</f>
        <v/>
      </c>
      <c r="AM1259" s="55">
        <f>ROUNDUP(MAX(I1259/IF(BS1259&gt;0,BS1259,MAX(0.1,N(Cockpit!$I$6))),BV1259)/BN1259,0)*BN1259</f>
        <v/>
      </c>
      <c r="AN1259" s="56">
        <f>IF(AK1259&gt;0,I1259/AK1259,-1)</f>
        <v/>
      </c>
      <c r="AO1259" s="56">
        <f>IF(AND(OR(BR1259="L1",BR1259="L23"),AK1259&gt;0),SUMIFS($AK$7:$AK$1570,$BR$7:$BR$1570,BR1259,$AN$7:$AN$1570,"&gt;"&amp;AN1259)+SUMIFS($AK$7:$AK$1570,$BR$7:$BR$1570,BR1259,$AN$7:$AN$1570,AN1259,$BL$7:$BL$1570,"&lt;="&amp;BL1259),"")</f>
        <v/>
      </c>
      <c r="AP1259" s="65">
        <f>IF(AO1259="",0,MAX(0,MIN(1,(IF(BR1259="L1",Parameter!$K$5,Parameter!$K$6+Parameter!$K$7)-(AO1259-AK1259))/AK1259)))</f>
        <v/>
      </c>
      <c r="AQ1259" s="55">
        <f>IF(LEFT(Cockpit!$O$5,1)="A",G1259,IF(BT1259=1,BU1259,IF(LEFT(Cockpit!$O$5,1)="B",AU1259,MAX(AU1259,G1259))))</f>
        <v/>
      </c>
      <c r="AR1259" s="55">
        <f>IF(BO1259=1,0,ROUNDUP(AQ1259/BN1259,0))</f>
        <v/>
      </c>
      <c r="AS1259" s="64">
        <f>IF(BO1259=1,IF(AQ1259&lt;=0,0,BP1259*MAX(1,IF(G1259&gt;0,AQ1259/G1259,1))),AR1259*Q1259)</f>
        <v/>
      </c>
      <c r="AT1259" s="55">
        <f>AQ1259*F1259</f>
        <v/>
      </c>
      <c r="AU1259" s="55">
        <f>ROUNDUP(MAX(I1259/IF(BS1259&gt;0,BS1259,MAX(0.1,N(Cockpit!$O$6))),BV1259)/BN1259,0)*BN1259</f>
        <v/>
      </c>
      <c r="AV1259" s="56">
        <f>IF(AS1259&gt;0,I1259/AS1259,-1)</f>
        <v/>
      </c>
      <c r="AW1259" s="56">
        <f>IF(AND(OR(BR1259="L1",BR1259="L23"),AS1259&gt;0),SUMIFS($AS$7:$AS$1570,$BR$7:$BR$1570,BR1259,$AV$7:$AV$1570,"&gt;"&amp;AV1259)+SUMIFS($AS$7:$AS$1570,$BR$7:$BR$1570,BR1259,$AV$7:$AV$1570,AV1259,$BL$7:$BL$1570,"&lt;="&amp;BL1259),"")</f>
        <v/>
      </c>
      <c r="AX1259" s="65">
        <f>IF(AW1259="",0,MAX(0,MIN(1,(IF(BR1259="L1",Parameter!$K$5,Parameter!$K$6+Parameter!$K$7)-(AW1259-AS1259))/AS1259)))</f>
        <v/>
      </c>
      <c r="AY1259" s="53">
        <f>IF(AC1259&lt;=0,"",IF(BR1259="Aussen","Aussenlager",IF(BR1259="-","Nicht im Lift",IF(AH1259&gt;=1,"Lift",IF(AH1259&lt;=0,"Aussenlager","teilweise")))))</f>
        <v/>
      </c>
      <c r="AZ1259" s="53">
        <f>IF(AK1259&lt;=0,"",IF(BR1259="Aussen","Aussenlager",IF(BR1259="-","Nicht im Lift",IF(AP1259&gt;=1,"Lift",IF(AP1259&lt;=0,"Aussenlager","teilweise")))))</f>
        <v/>
      </c>
      <c r="BA1259" s="53">
        <f>IF(AS1259&lt;=0,"",IF(BR1259="Aussen","Aussenlager",IF(BR1259="-","Nicht im Lift",IF(AX1259&gt;=1,"Lift",IF(AX1259&lt;=0,"Aussenlager","teilweise")))))</f>
        <v/>
      </c>
      <c r="BB1259" s="53">
        <f>IF(A1259="","",IF(BK1259=1,"Neu; ","")&amp;IF(AND(BK1259=0,BF1259&lt;0),"negativer Bestand (Export "&amp;BF1259&amp;"); ","")&amp;IF(I1259&lt;=0,"Kein Verbrauch; ","")&amp;IF(BO1259=1,"Lose – Fläche geschätzt; ","")&amp;IF(G1259&gt;AM1259,"Überbestand "&amp;ROUND(G1259-AM1259,0)&amp;" Stk / CHF "&amp;ROUND((G1259-AM1259)*F1259,0)&amp;"; ","")&amp;IF(AND(BT1259=1,BU1259&lt;BV1259),"MAX &lt; MB+LG; ","")&amp;IF(AND(BZ1259&gt;0,BY1259*10&gt;BZ1259),"zu hoch für Tablar; ","")&amp;IF(AND(BK1259=0,OR(BT1259=1,V1259&lt;&gt;"",S1259&lt;&gt;"",T1259&lt;&gt;"",W1259&lt;&gt;"")),"manuell übersteuert; ","")&amp;IF(AND(BO1259=0,Q1259=0),"Gebinde unbekannt; ","")&amp;IF(AND(BO1259=0,N(T1259)&lt;=0,N(P1259)&lt;=0),"Menge pro Gebinde fehlt (Ist = 1 Gebinde); ","")&amp;BJ1259)</f>
        <v/>
      </c>
      <c r="BC1259" s="53" t="n"/>
      <c r="BD1259" s="53" t="n"/>
      <c r="BE1259" s="61" t="n"/>
      <c r="BF1259" s="55" t="n">
        <v>-2</v>
      </c>
      <c r="BG1259" s="55" t="n">
        <v>2</v>
      </c>
      <c r="BH1259" s="54" t="n">
        <v>-803.4400000000001</v>
      </c>
      <c r="BI1259" s="55" t="n">
        <v>0</v>
      </c>
      <c r="BJ1259" s="53" t="inlineStr"/>
      <c r="BK1259" s="58" t="n">
        <v>0</v>
      </c>
      <c r="BL1259" s="58" t="n">
        <v>1259</v>
      </c>
      <c r="BM1259" s="53">
        <f>IF(S1259&lt;&gt;"",UPPER(TRIM(S1259)),IF(O1259="","LOSE",O1259))</f>
        <v/>
      </c>
      <c r="BN1259" s="55">
        <f>IF(BM1259="LOSE",1,IF(N(T1259)&gt;0,T1259,IF(N(P1259)&gt;0,P1259,MAX(1,G1259))))</f>
        <v/>
      </c>
      <c r="BO1259" s="58">
        <f>IF(BM1259="LOSE",1,0)</f>
        <v/>
      </c>
      <c r="BP1259" s="64">
        <f>IF(BO1259=0,0,IF(N(R1259)&gt;0,R1259,IFERROR(VLOOKUP(D1259,Parameter!$A$35:$C$64,3,0)+0,0)))</f>
        <v/>
      </c>
      <c r="BQ1259" s="53">
        <f>IF(V1259&lt;&gt;"",V1259,U1259)</f>
        <v/>
      </c>
      <c r="BR1259" s="53">
        <f>IF(BQ1259=1,"L1",IF(OR(BQ1259=2,BQ1259=3),"L23",IF(BQ1259="Aussen","Aussen","-")))</f>
        <v/>
      </c>
      <c r="BS1259" s="66">
        <f>IF(N(W1259)&gt;0,W1259,0)</f>
        <v/>
      </c>
      <c r="BT1259" s="58">
        <f>IF(ISNUMBER(Z1259),1,0)</f>
        <v/>
      </c>
      <c r="BU1259" s="55">
        <f>N(Z1259)</f>
        <v/>
      </c>
      <c r="BV1259" s="55">
        <f>N(L1259)+N(M1259)</f>
        <v/>
      </c>
      <c r="BW1259" s="55">
        <f>ROUNDUP(G1259/BN1259,0)</f>
        <v/>
      </c>
      <c r="BX1259" s="55">
        <f>ROUNDUP(BU1259/BN1259,0)</f>
        <v/>
      </c>
      <c r="BY1259" s="58">
        <f>IF(BO1259=1,0,IFERROR(VLOOKUP(BM1259,'Gebinde-Kategorie'!$A$5:$G$45,5,0)+0,0))</f>
        <v/>
      </c>
      <c r="BZ1259" s="58">
        <f>IFERROR(IF(OR(BQ1259=1,BQ1259=2,BQ1259=3),N(INDEX(Parameter!$I$5:$I$7,BQ1259)),0),0)</f>
        <v/>
      </c>
    </row>
    <row r="1260">
      <c r="A1260" s="53" t="inlineStr">
        <is>
          <t>001126</t>
        </is>
      </c>
      <c r="B1260" s="53" t="inlineStr">
        <is>
          <t>Holzkiste Steuerschrank klein</t>
        </is>
      </c>
      <c r="C1260" s="53" t="inlineStr">
        <is>
          <t>F</t>
        </is>
      </c>
      <c r="D1260" s="53" t="inlineStr">
        <is>
          <t>PAL</t>
        </is>
      </c>
      <c r="E1260" s="53" t="inlineStr">
        <is>
          <t>C</t>
        </is>
      </c>
      <c r="F1260" s="54" t="n">
        <v>176.38</v>
      </c>
      <c r="G1260" s="55">
        <f>MAX(0,IF(Parameter!$B$20="Jahresanfang 2025 + Export",BG1260+BF1260,BF1260))</f>
        <v/>
      </c>
      <c r="H1260" s="55">
        <f>G1260*F1260</f>
        <v/>
      </c>
      <c r="I1260" s="55">
        <f>BI1260*Parameter!$B$18</f>
        <v/>
      </c>
      <c r="J1260" s="56" t="n">
        <v>4</v>
      </c>
      <c r="K1260" s="57" t="n">
        <v>0.5</v>
      </c>
      <c r="L1260" s="55" t="n">
        <v>0</v>
      </c>
      <c r="M1260" s="55" t="n">
        <v>1</v>
      </c>
      <c r="N1260" s="58" t="n">
        <v>14</v>
      </c>
      <c r="O1260" s="53" t="inlineStr">
        <is>
          <t>LOSE</t>
        </is>
      </c>
      <c r="P1260" s="55" t="n"/>
      <c r="Q1260" s="59">
        <f>IF(BO1260=1,0,IFERROR(VLOOKUP(BM1260,'Gebinde-Kategorie'!$A$5:$G$45,6,0)+0,0))</f>
        <v/>
      </c>
      <c r="R1260" s="60" t="n"/>
      <c r="S1260" s="61" t="n"/>
      <c r="T1260" s="61" t="n"/>
      <c r="U1260" s="53">
        <f>IF(A1260="","",IF(IFERROR(VLOOKUP(D1260,Parameter!$A$35:$C$64,2,0),"Nein")="2+3",IF(ISNUMBER(SEARCH("grosser Artikel",BJ1260)),2,IFERROR(VLOOKUP(BM1260,Parameter!$F$35:$G$64,2,0),2)),IF(OR(IFERROR(VLOOKUP(D1260,Parameter!$A$35:$C$64,2,0),"Nein")="Nein",IFERROR(VLOOKUP(D1260,Parameter!$A$35:$C$64,2,0),"Nein")=""),"-",VLOOKUP(D1260,Parameter!$A$35:$C$64,2,0))))</f>
        <v/>
      </c>
      <c r="V1260" s="61" t="n"/>
      <c r="W1260" s="62" t="n"/>
      <c r="X1260" s="55">
        <f>AM1260</f>
        <v/>
      </c>
      <c r="Y1260" s="55">
        <f>MAX(AM1260,G1260)</f>
        <v/>
      </c>
      <c r="Z1260" s="63" t="n"/>
      <c r="AA1260" s="55">
        <f>IF(LEFT(Cockpit!$C$5,1)="A",G1260,IF(BT1260=1,BU1260,IF(LEFT(Cockpit!$C$5,1)="B",AE1260,MAX(AE1260,G1260))))</f>
        <v/>
      </c>
      <c r="AB1260" s="55">
        <f>IF(BO1260=1,0,ROUNDUP(AA1260/BN1260,0))</f>
        <v/>
      </c>
      <c r="AC1260" s="64">
        <f>IF(BO1260=1,IF(AA1260&lt;=0,0,BP1260*MAX(1,IF(G1260&gt;0,AA1260/G1260,1))),AB1260*Q1260)</f>
        <v/>
      </c>
      <c r="AD1260" s="55">
        <f>AA1260*F1260</f>
        <v/>
      </c>
      <c r="AE1260" s="55">
        <f>ROUNDUP(MAX(I1260/IF(BS1260&gt;0,BS1260,MAX(0.1,N(Cockpit!$C$6))),BV1260)/BN1260,0)*BN1260</f>
        <v/>
      </c>
      <c r="AF1260" s="56">
        <f>IF(AC1260&gt;0,I1260/AC1260,-1)</f>
        <v/>
      </c>
      <c r="AG1260" s="56">
        <f>IF(AND(OR(BR1260="L1",BR1260="L23"),AC1260&gt;0),SUMIFS($AC$7:$AC$1570,$BR$7:$BR$1570,BR1260,$AF$7:$AF$1570,"&gt;"&amp;AF1260)+SUMIFS($AC$7:$AC$1570,$BR$7:$BR$1570,BR1260,$AF$7:$AF$1570,AF1260,$BL$7:$BL$1570,"&lt;="&amp;BL1260),"")</f>
        <v/>
      </c>
      <c r="AH1260" s="65">
        <f>IF(AG1260="",0,MAX(0,MIN(1,(IF(BR1260="L1",Parameter!$K$5,Parameter!$K$6+Parameter!$K$7)-(AG1260-AC1260))/AC1260)))</f>
        <v/>
      </c>
      <c r="AI1260" s="55">
        <f>IF(LEFT(Cockpit!$I$5,1)="A",G1260,IF(BT1260=1,BU1260,IF(LEFT(Cockpit!$I$5,1)="B",AM1260,MAX(AM1260,G1260))))</f>
        <v/>
      </c>
      <c r="AJ1260" s="55">
        <f>IF(BO1260=1,0,ROUNDUP(AI1260/BN1260,0))</f>
        <v/>
      </c>
      <c r="AK1260" s="64">
        <f>IF(BO1260=1,IF(AI1260&lt;=0,0,BP1260*MAX(1,IF(G1260&gt;0,AI1260/G1260,1))),AJ1260*Q1260)</f>
        <v/>
      </c>
      <c r="AL1260" s="55">
        <f>AI1260*F1260</f>
        <v/>
      </c>
      <c r="AM1260" s="55">
        <f>ROUNDUP(MAX(I1260/IF(BS1260&gt;0,BS1260,MAX(0.1,N(Cockpit!$I$6))),BV1260)/BN1260,0)*BN1260</f>
        <v/>
      </c>
      <c r="AN1260" s="56">
        <f>IF(AK1260&gt;0,I1260/AK1260,-1)</f>
        <v/>
      </c>
      <c r="AO1260" s="56">
        <f>IF(AND(OR(BR1260="L1",BR1260="L23"),AK1260&gt;0),SUMIFS($AK$7:$AK$1570,$BR$7:$BR$1570,BR1260,$AN$7:$AN$1570,"&gt;"&amp;AN1260)+SUMIFS($AK$7:$AK$1570,$BR$7:$BR$1570,BR1260,$AN$7:$AN$1570,AN1260,$BL$7:$BL$1570,"&lt;="&amp;BL1260),"")</f>
        <v/>
      </c>
      <c r="AP1260" s="65">
        <f>IF(AO1260="",0,MAX(0,MIN(1,(IF(BR1260="L1",Parameter!$K$5,Parameter!$K$6+Parameter!$K$7)-(AO1260-AK1260))/AK1260)))</f>
        <v/>
      </c>
      <c r="AQ1260" s="55">
        <f>IF(LEFT(Cockpit!$O$5,1)="A",G1260,IF(BT1260=1,BU1260,IF(LEFT(Cockpit!$O$5,1)="B",AU1260,MAX(AU1260,G1260))))</f>
        <v/>
      </c>
      <c r="AR1260" s="55">
        <f>IF(BO1260=1,0,ROUNDUP(AQ1260/BN1260,0))</f>
        <v/>
      </c>
      <c r="AS1260" s="64">
        <f>IF(BO1260=1,IF(AQ1260&lt;=0,0,BP1260*MAX(1,IF(G1260&gt;0,AQ1260/G1260,1))),AR1260*Q1260)</f>
        <v/>
      </c>
      <c r="AT1260" s="55">
        <f>AQ1260*F1260</f>
        <v/>
      </c>
      <c r="AU1260" s="55">
        <f>ROUNDUP(MAX(I1260/IF(BS1260&gt;0,BS1260,MAX(0.1,N(Cockpit!$O$6))),BV1260)/BN1260,0)*BN1260</f>
        <v/>
      </c>
      <c r="AV1260" s="56">
        <f>IF(AS1260&gt;0,I1260/AS1260,-1)</f>
        <v/>
      </c>
      <c r="AW1260" s="56">
        <f>IF(AND(OR(BR1260="L1",BR1260="L23"),AS1260&gt;0),SUMIFS($AS$7:$AS$1570,$BR$7:$BR$1570,BR1260,$AV$7:$AV$1570,"&gt;"&amp;AV1260)+SUMIFS($AS$7:$AS$1570,$BR$7:$BR$1570,BR1260,$AV$7:$AV$1570,AV1260,$BL$7:$BL$1570,"&lt;="&amp;BL1260),"")</f>
        <v/>
      </c>
      <c r="AX1260" s="65">
        <f>IF(AW1260="",0,MAX(0,MIN(1,(IF(BR1260="L1",Parameter!$K$5,Parameter!$K$6+Parameter!$K$7)-(AW1260-AS1260))/AS1260)))</f>
        <v/>
      </c>
      <c r="AY1260" s="53">
        <f>IF(AC1260&lt;=0,"",IF(BR1260="Aussen","Aussenlager",IF(BR1260="-","Nicht im Lift",IF(AH1260&gt;=1,"Lift",IF(AH1260&lt;=0,"Aussenlager","teilweise")))))</f>
        <v/>
      </c>
      <c r="AZ1260" s="53">
        <f>IF(AK1260&lt;=0,"",IF(BR1260="Aussen","Aussenlager",IF(BR1260="-","Nicht im Lift",IF(AP1260&gt;=1,"Lift",IF(AP1260&lt;=0,"Aussenlager","teilweise")))))</f>
        <v/>
      </c>
      <c r="BA1260" s="53">
        <f>IF(AS1260&lt;=0,"",IF(BR1260="Aussen","Aussenlager",IF(BR1260="-","Nicht im Lift",IF(AX1260&gt;=1,"Lift",IF(AX1260&lt;=0,"Aussenlager","teilweise")))))</f>
        <v/>
      </c>
      <c r="BB1260" s="53">
        <f>IF(A1260="","",IF(BK1260=1,"Neu; ","")&amp;IF(AND(BK1260=0,BF1260&lt;0),"negativer Bestand (Export "&amp;BF1260&amp;"); ","")&amp;IF(I1260&lt;=0,"Kein Verbrauch; ","")&amp;IF(BO1260=1,"Lose – Fläche geschätzt; ","")&amp;IF(G1260&gt;AM1260,"Überbestand "&amp;ROUND(G1260-AM1260,0)&amp;" Stk / CHF "&amp;ROUND((G1260-AM1260)*F1260,0)&amp;"; ","")&amp;IF(AND(BT1260=1,BU1260&lt;BV1260),"MAX &lt; MB+LG; ","")&amp;IF(AND(BZ1260&gt;0,BY1260*10&gt;BZ1260),"zu hoch für Tablar; ","")&amp;IF(AND(BK1260=0,OR(BT1260=1,V1260&lt;&gt;"",S1260&lt;&gt;"",T1260&lt;&gt;"",W1260&lt;&gt;"")),"manuell übersteuert; ","")&amp;IF(AND(BO1260=0,Q1260=0),"Gebinde unbekannt; ","")&amp;IF(AND(BO1260=0,N(T1260)&lt;=0,N(P1260)&lt;=0),"Menge pro Gebinde fehlt (Ist = 1 Gebinde); ","")&amp;BJ1260)</f>
        <v/>
      </c>
      <c r="BC1260" s="53" t="n"/>
      <c r="BD1260" s="53" t="n"/>
      <c r="BE1260" s="61" t="n"/>
      <c r="BF1260" s="55" t="n">
        <v>-8</v>
      </c>
      <c r="BG1260" s="55" t="n">
        <v>8</v>
      </c>
      <c r="BH1260" s="54" t="n">
        <v>-824.48</v>
      </c>
      <c r="BI1260" s="55" t="n">
        <v>2</v>
      </c>
      <c r="BJ1260" s="53" t="inlineStr"/>
      <c r="BK1260" s="58" t="n">
        <v>0</v>
      </c>
      <c r="BL1260" s="58" t="n">
        <v>1260</v>
      </c>
      <c r="BM1260" s="53">
        <f>IF(S1260&lt;&gt;"",UPPER(TRIM(S1260)),IF(O1260="","LOSE",O1260))</f>
        <v/>
      </c>
      <c r="BN1260" s="55">
        <f>IF(BM1260="LOSE",1,IF(N(T1260)&gt;0,T1260,IF(N(P1260)&gt;0,P1260,MAX(1,G1260))))</f>
        <v/>
      </c>
      <c r="BO1260" s="58">
        <f>IF(BM1260="LOSE",1,0)</f>
        <v/>
      </c>
      <c r="BP1260" s="64">
        <f>IF(BO1260=0,0,IF(N(R1260)&gt;0,R1260,IFERROR(VLOOKUP(D1260,Parameter!$A$35:$C$64,3,0)+0,0)))</f>
        <v/>
      </c>
      <c r="BQ1260" s="53">
        <f>IF(V1260&lt;&gt;"",V1260,U1260)</f>
        <v/>
      </c>
      <c r="BR1260" s="53">
        <f>IF(BQ1260=1,"L1",IF(OR(BQ1260=2,BQ1260=3),"L23",IF(BQ1260="Aussen","Aussen","-")))</f>
        <v/>
      </c>
      <c r="BS1260" s="66">
        <f>IF(N(W1260)&gt;0,W1260,0)</f>
        <v/>
      </c>
      <c r="BT1260" s="58">
        <f>IF(ISNUMBER(Z1260),1,0)</f>
        <v/>
      </c>
      <c r="BU1260" s="55">
        <f>N(Z1260)</f>
        <v/>
      </c>
      <c r="BV1260" s="55">
        <f>N(L1260)+N(M1260)</f>
        <v/>
      </c>
      <c r="BW1260" s="55">
        <f>ROUNDUP(G1260/BN1260,0)</f>
        <v/>
      </c>
      <c r="BX1260" s="55">
        <f>ROUNDUP(BU1260/BN1260,0)</f>
        <v/>
      </c>
      <c r="BY1260" s="58">
        <f>IF(BO1260=1,0,IFERROR(VLOOKUP(BM1260,'Gebinde-Kategorie'!$A$5:$G$45,5,0)+0,0))</f>
        <v/>
      </c>
      <c r="BZ1260" s="58">
        <f>IFERROR(IF(OR(BQ1260=1,BQ1260=2,BQ1260=3),N(INDEX(Parameter!$I$5:$I$7,BQ1260)),0),0)</f>
        <v/>
      </c>
    </row>
    <row r="1261">
      <c r="A1261" s="53" t="inlineStr">
        <is>
          <t>107110</t>
        </is>
      </c>
      <c r="B1261" s="53" t="inlineStr">
        <is>
          <t>Montageschlüssel Rückschlagventile</t>
        </is>
      </c>
      <c r="C1261" s="53" t="inlineStr">
        <is>
          <t>F</t>
        </is>
      </c>
      <c r="D1261" s="53" t="inlineStr">
        <is>
          <t>KTL</t>
        </is>
      </c>
      <c r="E1261" s="53" t="inlineStr">
        <is>
          <t>C</t>
        </is>
      </c>
      <c r="F1261" s="54" t="n">
        <v>55.37</v>
      </c>
      <c r="G1261" s="55">
        <f>MAX(0,IF(Parameter!$B$20="Jahresanfang 2025 + Export",BG1261+BF1261,BF1261))</f>
        <v/>
      </c>
      <c r="H1261" s="55">
        <f>G1261*F1261</f>
        <v/>
      </c>
      <c r="I1261" s="55">
        <f>BI1261*Parameter!$B$18</f>
        <v/>
      </c>
      <c r="J1261" s="56" t="n">
        <v>29.5</v>
      </c>
      <c r="K1261" s="57" t="n">
        <v>0.4067796610169492</v>
      </c>
      <c r="L1261" s="55" t="n">
        <v>5</v>
      </c>
      <c r="M1261" s="55" t="n">
        <v>5</v>
      </c>
      <c r="N1261" s="58" t="n">
        <v>14</v>
      </c>
      <c r="O1261" s="53" t="inlineStr">
        <is>
          <t>S32</t>
        </is>
      </c>
      <c r="P1261" s="55" t="n">
        <v>38</v>
      </c>
      <c r="Q1261" s="59">
        <f>IF(BO1261=1,0,IFERROR(VLOOKUP(BM1261,'Gebinde-Kategorie'!$A$5:$G$45,6,0)+0,0))</f>
        <v/>
      </c>
      <c r="R1261" s="60" t="n"/>
      <c r="S1261" s="61" t="n"/>
      <c r="T1261" s="61" t="n"/>
      <c r="U1261" s="53">
        <f>IF(A1261="","",IF(IFERROR(VLOOKUP(D1261,Parameter!$A$35:$C$64,2,0),"Nein")="2+3",IF(ISNUMBER(SEARCH("grosser Artikel",BJ1261)),2,IFERROR(VLOOKUP(BM1261,Parameter!$F$35:$G$64,2,0),2)),IF(OR(IFERROR(VLOOKUP(D1261,Parameter!$A$35:$C$64,2,0),"Nein")="Nein",IFERROR(VLOOKUP(D1261,Parameter!$A$35:$C$64,2,0),"Nein")=""),"-",VLOOKUP(D1261,Parameter!$A$35:$C$64,2,0))))</f>
        <v/>
      </c>
      <c r="V1261" s="61" t="n"/>
      <c r="W1261" s="62" t="n"/>
      <c r="X1261" s="55">
        <f>AM1261</f>
        <v/>
      </c>
      <c r="Y1261" s="55">
        <f>MAX(AM1261,G1261)</f>
        <v/>
      </c>
      <c r="Z1261" s="63" t="n"/>
      <c r="AA1261" s="55">
        <f>IF(LEFT(Cockpit!$C$5,1)="A",G1261,IF(BT1261=1,BU1261,IF(LEFT(Cockpit!$C$5,1)="B",AE1261,MAX(AE1261,G1261))))</f>
        <v/>
      </c>
      <c r="AB1261" s="55">
        <f>IF(BO1261=1,0,ROUNDUP(AA1261/BN1261,0))</f>
        <v/>
      </c>
      <c r="AC1261" s="64">
        <f>IF(BO1261=1,IF(AA1261&lt;=0,0,BP1261*MAX(1,IF(G1261&gt;0,AA1261/G1261,1))),AB1261*Q1261)</f>
        <v/>
      </c>
      <c r="AD1261" s="55">
        <f>AA1261*F1261</f>
        <v/>
      </c>
      <c r="AE1261" s="55">
        <f>ROUNDUP(MAX(I1261/IF(BS1261&gt;0,BS1261,MAX(0.1,N(Cockpit!$C$6))),BV1261)/BN1261,0)*BN1261</f>
        <v/>
      </c>
      <c r="AF1261" s="56">
        <f>IF(AC1261&gt;0,I1261/AC1261,-1)</f>
        <v/>
      </c>
      <c r="AG1261" s="56">
        <f>IF(AND(OR(BR1261="L1",BR1261="L23"),AC1261&gt;0),SUMIFS($AC$7:$AC$1570,$BR$7:$BR$1570,BR1261,$AF$7:$AF$1570,"&gt;"&amp;AF1261)+SUMIFS($AC$7:$AC$1570,$BR$7:$BR$1570,BR1261,$AF$7:$AF$1570,AF1261,$BL$7:$BL$1570,"&lt;="&amp;BL1261),"")</f>
        <v/>
      </c>
      <c r="AH1261" s="65">
        <f>IF(AG1261="",0,MAX(0,MIN(1,(IF(BR1261="L1",Parameter!$K$5,Parameter!$K$6+Parameter!$K$7)-(AG1261-AC1261))/AC1261)))</f>
        <v/>
      </c>
      <c r="AI1261" s="55">
        <f>IF(LEFT(Cockpit!$I$5,1)="A",G1261,IF(BT1261=1,BU1261,IF(LEFT(Cockpit!$I$5,1)="B",AM1261,MAX(AM1261,G1261))))</f>
        <v/>
      </c>
      <c r="AJ1261" s="55">
        <f>IF(BO1261=1,0,ROUNDUP(AI1261/BN1261,0))</f>
        <v/>
      </c>
      <c r="AK1261" s="64">
        <f>IF(BO1261=1,IF(AI1261&lt;=0,0,BP1261*MAX(1,IF(G1261&gt;0,AI1261/G1261,1))),AJ1261*Q1261)</f>
        <v/>
      </c>
      <c r="AL1261" s="55">
        <f>AI1261*F1261</f>
        <v/>
      </c>
      <c r="AM1261" s="55">
        <f>ROUNDUP(MAX(I1261/IF(BS1261&gt;0,BS1261,MAX(0.1,N(Cockpit!$I$6))),BV1261)/BN1261,0)*BN1261</f>
        <v/>
      </c>
      <c r="AN1261" s="56">
        <f>IF(AK1261&gt;0,I1261/AK1261,-1)</f>
        <v/>
      </c>
      <c r="AO1261" s="56">
        <f>IF(AND(OR(BR1261="L1",BR1261="L23"),AK1261&gt;0),SUMIFS($AK$7:$AK$1570,$BR$7:$BR$1570,BR1261,$AN$7:$AN$1570,"&gt;"&amp;AN1261)+SUMIFS($AK$7:$AK$1570,$BR$7:$BR$1570,BR1261,$AN$7:$AN$1570,AN1261,$BL$7:$BL$1570,"&lt;="&amp;BL1261),"")</f>
        <v/>
      </c>
      <c r="AP1261" s="65">
        <f>IF(AO1261="",0,MAX(0,MIN(1,(IF(BR1261="L1",Parameter!$K$5,Parameter!$K$6+Parameter!$K$7)-(AO1261-AK1261))/AK1261)))</f>
        <v/>
      </c>
      <c r="AQ1261" s="55">
        <f>IF(LEFT(Cockpit!$O$5,1)="A",G1261,IF(BT1261=1,BU1261,IF(LEFT(Cockpit!$O$5,1)="B",AU1261,MAX(AU1261,G1261))))</f>
        <v/>
      </c>
      <c r="AR1261" s="55">
        <f>IF(BO1261=1,0,ROUNDUP(AQ1261/BN1261,0))</f>
        <v/>
      </c>
      <c r="AS1261" s="64">
        <f>IF(BO1261=1,IF(AQ1261&lt;=0,0,BP1261*MAX(1,IF(G1261&gt;0,AQ1261/G1261,1))),AR1261*Q1261)</f>
        <v/>
      </c>
      <c r="AT1261" s="55">
        <f>AQ1261*F1261</f>
        <v/>
      </c>
      <c r="AU1261" s="55">
        <f>ROUNDUP(MAX(I1261/IF(BS1261&gt;0,BS1261,MAX(0.1,N(Cockpit!$O$6))),BV1261)/BN1261,0)*BN1261</f>
        <v/>
      </c>
      <c r="AV1261" s="56">
        <f>IF(AS1261&gt;0,I1261/AS1261,-1)</f>
        <v/>
      </c>
      <c r="AW1261" s="56">
        <f>IF(AND(OR(BR1261="L1",BR1261="L23"),AS1261&gt;0),SUMIFS($AS$7:$AS$1570,$BR$7:$BR$1570,BR1261,$AV$7:$AV$1570,"&gt;"&amp;AV1261)+SUMIFS($AS$7:$AS$1570,$BR$7:$BR$1570,BR1261,$AV$7:$AV$1570,AV1261,$BL$7:$BL$1570,"&lt;="&amp;BL1261),"")</f>
        <v/>
      </c>
      <c r="AX1261" s="65">
        <f>IF(AW1261="",0,MAX(0,MIN(1,(IF(BR1261="L1",Parameter!$K$5,Parameter!$K$6+Parameter!$K$7)-(AW1261-AS1261))/AS1261)))</f>
        <v/>
      </c>
      <c r="AY1261" s="53">
        <f>IF(AC1261&lt;=0,"",IF(BR1261="Aussen","Aussenlager",IF(BR1261="-","Nicht im Lift",IF(AH1261&gt;=1,"Lift",IF(AH1261&lt;=0,"Aussenlager","teilweise")))))</f>
        <v/>
      </c>
      <c r="AZ1261" s="53">
        <f>IF(AK1261&lt;=0,"",IF(BR1261="Aussen","Aussenlager",IF(BR1261="-","Nicht im Lift",IF(AP1261&gt;=1,"Lift",IF(AP1261&lt;=0,"Aussenlager","teilweise")))))</f>
        <v/>
      </c>
      <c r="BA1261" s="53">
        <f>IF(AS1261&lt;=0,"",IF(BR1261="Aussen","Aussenlager",IF(BR1261="-","Nicht im Lift",IF(AX1261&gt;=1,"Lift",IF(AX1261&lt;=0,"Aussenlager","teilweise")))))</f>
        <v/>
      </c>
      <c r="BB1261" s="53">
        <f>IF(A1261="","",IF(BK1261=1,"Neu; ","")&amp;IF(AND(BK1261=0,BF1261&lt;0),"negativer Bestand (Export "&amp;BF1261&amp;"); ","")&amp;IF(I1261&lt;=0,"Kein Verbrauch; ","")&amp;IF(BO1261=1,"Lose – Fläche geschätzt; ","")&amp;IF(G1261&gt;AM1261,"Überbestand "&amp;ROUND(G1261-AM1261,0)&amp;" Stk / CHF "&amp;ROUND((G1261-AM1261)*F1261,0)&amp;"; ","")&amp;IF(AND(BT1261=1,BU1261&lt;BV1261),"MAX &lt; MB+LG; ","")&amp;IF(AND(BZ1261&gt;0,BY1261*10&gt;BZ1261),"zu hoch für Tablar; ","")&amp;IF(AND(BK1261=0,OR(BT1261=1,V1261&lt;&gt;"",S1261&lt;&gt;"",T1261&lt;&gt;"",W1261&lt;&gt;"")),"manuell übersteuert; ","")&amp;IF(AND(BO1261=0,Q1261=0),"Gebinde unbekannt; ","")&amp;IF(AND(BO1261=0,N(T1261)&lt;=0,N(P1261)&lt;=0),"Menge pro Gebinde fehlt (Ist = 1 Gebinde); ","")&amp;BJ1261)</f>
        <v/>
      </c>
      <c r="BC1261" s="53" t="n"/>
      <c r="BD1261" s="53" t="n"/>
      <c r="BE1261" s="61" t="n"/>
      <c r="BF1261" s="55" t="n">
        <v>-15</v>
      </c>
      <c r="BG1261" s="55" t="n">
        <v>36</v>
      </c>
      <c r="BH1261" s="54" t="n">
        <v>-830.55</v>
      </c>
      <c r="BI1261" s="55" t="n">
        <v>12</v>
      </c>
      <c r="BJ1261" s="53" t="inlineStr"/>
      <c r="BK1261" s="58" t="n">
        <v>0</v>
      </c>
      <c r="BL1261" s="58" t="n">
        <v>1261</v>
      </c>
      <c r="BM1261" s="53">
        <f>IF(S1261&lt;&gt;"",UPPER(TRIM(S1261)),IF(O1261="","LOSE",O1261))</f>
        <v/>
      </c>
      <c r="BN1261" s="55">
        <f>IF(BM1261="LOSE",1,IF(N(T1261)&gt;0,T1261,IF(N(P1261)&gt;0,P1261,MAX(1,G1261))))</f>
        <v/>
      </c>
      <c r="BO1261" s="58">
        <f>IF(BM1261="LOSE",1,0)</f>
        <v/>
      </c>
      <c r="BP1261" s="64">
        <f>IF(BO1261=0,0,IF(N(R1261)&gt;0,R1261,IFERROR(VLOOKUP(D1261,Parameter!$A$35:$C$64,3,0)+0,0)))</f>
        <v/>
      </c>
      <c r="BQ1261" s="53">
        <f>IF(V1261&lt;&gt;"",V1261,U1261)</f>
        <v/>
      </c>
      <c r="BR1261" s="53">
        <f>IF(BQ1261=1,"L1",IF(OR(BQ1261=2,BQ1261=3),"L23",IF(BQ1261="Aussen","Aussen","-")))</f>
        <v/>
      </c>
      <c r="BS1261" s="66">
        <f>IF(N(W1261)&gt;0,W1261,0)</f>
        <v/>
      </c>
      <c r="BT1261" s="58">
        <f>IF(ISNUMBER(Z1261),1,0)</f>
        <v/>
      </c>
      <c r="BU1261" s="55">
        <f>N(Z1261)</f>
        <v/>
      </c>
      <c r="BV1261" s="55">
        <f>N(L1261)+N(M1261)</f>
        <v/>
      </c>
      <c r="BW1261" s="55">
        <f>ROUNDUP(G1261/BN1261,0)</f>
        <v/>
      </c>
      <c r="BX1261" s="55">
        <f>ROUNDUP(BU1261/BN1261,0)</f>
        <v/>
      </c>
      <c r="BY1261" s="58">
        <f>IF(BO1261=1,0,IFERROR(VLOOKUP(BM1261,'Gebinde-Kategorie'!$A$5:$G$45,5,0)+0,0))</f>
        <v/>
      </c>
      <c r="BZ1261" s="58">
        <f>IFERROR(IF(OR(BQ1261=1,BQ1261=2,BQ1261=3),N(INDEX(Parameter!$I$5:$I$7,BQ1261)),0),0)</f>
        <v/>
      </c>
    </row>
    <row r="1262">
      <c r="A1262" s="53" t="inlineStr">
        <is>
          <t>101624</t>
        </is>
      </c>
      <c r="B1262" s="53" t="inlineStr">
        <is>
          <t>Grundplatte zu Aufhängung</t>
        </is>
      </c>
      <c r="C1262" s="53" t="inlineStr">
        <is>
          <t>F</t>
        </is>
      </c>
      <c r="D1262" s="53" t="inlineStr">
        <is>
          <t>PAL</t>
        </is>
      </c>
      <c r="E1262" s="53" t="inlineStr">
        <is>
          <t>C</t>
        </is>
      </c>
      <c r="F1262" s="54" t="n">
        <v>65.63</v>
      </c>
      <c r="G1262" s="55">
        <f>MAX(0,IF(Parameter!$B$20="Jahresanfang 2025 + Export",BG1262+BF1262,BF1262))</f>
        <v/>
      </c>
      <c r="H1262" s="55">
        <f>G1262*F1262</f>
        <v/>
      </c>
      <c r="I1262" s="55">
        <f>BI1262*Parameter!$B$18</f>
        <v/>
      </c>
      <c r="J1262" s="56" t="n">
        <v>23.5</v>
      </c>
      <c r="K1262" s="57" t="n">
        <v>3.148936170212766</v>
      </c>
      <c r="L1262" s="55" t="n">
        <v>4</v>
      </c>
      <c r="M1262" s="55" t="n">
        <v>50</v>
      </c>
      <c r="N1262" s="58" t="n">
        <v>21</v>
      </c>
      <c r="O1262" s="53" t="inlineStr">
        <is>
          <t>S71</t>
        </is>
      </c>
      <c r="P1262" s="55" t="n">
        <v>60</v>
      </c>
      <c r="Q1262" s="59">
        <f>IF(BO1262=1,0,IFERROR(VLOOKUP(BM1262,'Gebinde-Kategorie'!$A$5:$G$45,6,0)+0,0))</f>
        <v/>
      </c>
      <c r="R1262" s="60" t="n"/>
      <c r="S1262" s="61" t="n"/>
      <c r="T1262" s="61" t="n"/>
      <c r="U1262" s="53">
        <f>IF(A1262="","",IF(IFERROR(VLOOKUP(D1262,Parameter!$A$35:$C$64,2,0),"Nein")="2+3",IF(ISNUMBER(SEARCH("grosser Artikel",BJ1262)),2,IFERROR(VLOOKUP(BM1262,Parameter!$F$35:$G$64,2,0),2)),IF(OR(IFERROR(VLOOKUP(D1262,Parameter!$A$35:$C$64,2,0),"Nein")="Nein",IFERROR(VLOOKUP(D1262,Parameter!$A$35:$C$64,2,0),"Nein")=""),"-",VLOOKUP(D1262,Parameter!$A$35:$C$64,2,0))))</f>
        <v/>
      </c>
      <c r="V1262" s="61" t="n"/>
      <c r="W1262" s="62" t="n"/>
      <c r="X1262" s="55">
        <f>AM1262</f>
        <v/>
      </c>
      <c r="Y1262" s="55">
        <f>MAX(AM1262,G1262)</f>
        <v/>
      </c>
      <c r="Z1262" s="63" t="n"/>
      <c r="AA1262" s="55">
        <f>IF(LEFT(Cockpit!$C$5,1)="A",G1262,IF(BT1262=1,BU1262,IF(LEFT(Cockpit!$C$5,1)="B",AE1262,MAX(AE1262,G1262))))</f>
        <v/>
      </c>
      <c r="AB1262" s="55">
        <f>IF(BO1262=1,0,ROUNDUP(AA1262/BN1262,0))</f>
        <v/>
      </c>
      <c r="AC1262" s="64">
        <f>IF(BO1262=1,IF(AA1262&lt;=0,0,BP1262*MAX(1,IF(G1262&gt;0,AA1262/G1262,1))),AB1262*Q1262)</f>
        <v/>
      </c>
      <c r="AD1262" s="55">
        <f>AA1262*F1262</f>
        <v/>
      </c>
      <c r="AE1262" s="55">
        <f>ROUNDUP(MAX(I1262/IF(BS1262&gt;0,BS1262,MAX(0.1,N(Cockpit!$C$6))),BV1262)/BN1262,0)*BN1262</f>
        <v/>
      </c>
      <c r="AF1262" s="56">
        <f>IF(AC1262&gt;0,I1262/AC1262,-1)</f>
        <v/>
      </c>
      <c r="AG1262" s="56">
        <f>IF(AND(OR(BR1262="L1",BR1262="L23"),AC1262&gt;0),SUMIFS($AC$7:$AC$1570,$BR$7:$BR$1570,BR1262,$AF$7:$AF$1570,"&gt;"&amp;AF1262)+SUMIFS($AC$7:$AC$1570,$BR$7:$BR$1570,BR1262,$AF$7:$AF$1570,AF1262,$BL$7:$BL$1570,"&lt;="&amp;BL1262),"")</f>
        <v/>
      </c>
      <c r="AH1262" s="65">
        <f>IF(AG1262="",0,MAX(0,MIN(1,(IF(BR1262="L1",Parameter!$K$5,Parameter!$K$6+Parameter!$K$7)-(AG1262-AC1262))/AC1262)))</f>
        <v/>
      </c>
      <c r="AI1262" s="55">
        <f>IF(LEFT(Cockpit!$I$5,1)="A",G1262,IF(BT1262=1,BU1262,IF(LEFT(Cockpit!$I$5,1)="B",AM1262,MAX(AM1262,G1262))))</f>
        <v/>
      </c>
      <c r="AJ1262" s="55">
        <f>IF(BO1262=1,0,ROUNDUP(AI1262/BN1262,0))</f>
        <v/>
      </c>
      <c r="AK1262" s="64">
        <f>IF(BO1262=1,IF(AI1262&lt;=0,0,BP1262*MAX(1,IF(G1262&gt;0,AI1262/G1262,1))),AJ1262*Q1262)</f>
        <v/>
      </c>
      <c r="AL1262" s="55">
        <f>AI1262*F1262</f>
        <v/>
      </c>
      <c r="AM1262" s="55">
        <f>ROUNDUP(MAX(I1262/IF(BS1262&gt;0,BS1262,MAX(0.1,N(Cockpit!$I$6))),BV1262)/BN1262,0)*BN1262</f>
        <v/>
      </c>
      <c r="AN1262" s="56">
        <f>IF(AK1262&gt;0,I1262/AK1262,-1)</f>
        <v/>
      </c>
      <c r="AO1262" s="56">
        <f>IF(AND(OR(BR1262="L1",BR1262="L23"),AK1262&gt;0),SUMIFS($AK$7:$AK$1570,$BR$7:$BR$1570,BR1262,$AN$7:$AN$1570,"&gt;"&amp;AN1262)+SUMIFS($AK$7:$AK$1570,$BR$7:$BR$1570,BR1262,$AN$7:$AN$1570,AN1262,$BL$7:$BL$1570,"&lt;="&amp;BL1262),"")</f>
        <v/>
      </c>
      <c r="AP1262" s="65">
        <f>IF(AO1262="",0,MAX(0,MIN(1,(IF(BR1262="L1",Parameter!$K$5,Parameter!$K$6+Parameter!$K$7)-(AO1262-AK1262))/AK1262)))</f>
        <v/>
      </c>
      <c r="AQ1262" s="55">
        <f>IF(LEFT(Cockpit!$O$5,1)="A",G1262,IF(BT1262=1,BU1262,IF(LEFT(Cockpit!$O$5,1)="B",AU1262,MAX(AU1262,G1262))))</f>
        <v/>
      </c>
      <c r="AR1262" s="55">
        <f>IF(BO1262=1,0,ROUNDUP(AQ1262/BN1262,0))</f>
        <v/>
      </c>
      <c r="AS1262" s="64">
        <f>IF(BO1262=1,IF(AQ1262&lt;=0,0,BP1262*MAX(1,IF(G1262&gt;0,AQ1262/G1262,1))),AR1262*Q1262)</f>
        <v/>
      </c>
      <c r="AT1262" s="55">
        <f>AQ1262*F1262</f>
        <v/>
      </c>
      <c r="AU1262" s="55">
        <f>ROUNDUP(MAX(I1262/IF(BS1262&gt;0,BS1262,MAX(0.1,N(Cockpit!$O$6))),BV1262)/BN1262,0)*BN1262</f>
        <v/>
      </c>
      <c r="AV1262" s="56">
        <f>IF(AS1262&gt;0,I1262/AS1262,-1)</f>
        <v/>
      </c>
      <c r="AW1262" s="56">
        <f>IF(AND(OR(BR1262="L1",BR1262="L23"),AS1262&gt;0),SUMIFS($AS$7:$AS$1570,$BR$7:$BR$1570,BR1262,$AV$7:$AV$1570,"&gt;"&amp;AV1262)+SUMIFS($AS$7:$AS$1570,$BR$7:$BR$1570,BR1262,$AV$7:$AV$1570,AV1262,$BL$7:$BL$1570,"&lt;="&amp;BL1262),"")</f>
        <v/>
      </c>
      <c r="AX1262" s="65">
        <f>IF(AW1262="",0,MAX(0,MIN(1,(IF(BR1262="L1",Parameter!$K$5,Parameter!$K$6+Parameter!$K$7)-(AW1262-AS1262))/AS1262)))</f>
        <v/>
      </c>
      <c r="AY1262" s="53">
        <f>IF(AC1262&lt;=0,"",IF(BR1262="Aussen","Aussenlager",IF(BR1262="-","Nicht im Lift",IF(AH1262&gt;=1,"Lift",IF(AH1262&lt;=0,"Aussenlager","teilweise")))))</f>
        <v/>
      </c>
      <c r="AZ1262" s="53">
        <f>IF(AK1262&lt;=0,"",IF(BR1262="Aussen","Aussenlager",IF(BR1262="-","Nicht im Lift",IF(AP1262&gt;=1,"Lift",IF(AP1262&lt;=0,"Aussenlager","teilweise")))))</f>
        <v/>
      </c>
      <c r="BA1262" s="53">
        <f>IF(AS1262&lt;=0,"",IF(BR1262="Aussen","Aussenlager",IF(BR1262="-","Nicht im Lift",IF(AX1262&gt;=1,"Lift",IF(AX1262&lt;=0,"Aussenlager","teilweise")))))</f>
        <v/>
      </c>
      <c r="BB1262" s="53">
        <f>IF(A1262="","",IF(BK1262=1,"Neu; ","")&amp;IF(AND(BK1262=0,BF1262&lt;0),"negativer Bestand (Export "&amp;BF1262&amp;"); ","")&amp;IF(I1262&lt;=0,"Kein Verbrauch; ","")&amp;IF(BO1262=1,"Lose – Fläche geschätzt; ","")&amp;IF(G1262&gt;AM1262,"Überbestand "&amp;ROUND(G1262-AM1262,0)&amp;" Stk / CHF "&amp;ROUND((G1262-AM1262)*F1262,0)&amp;"; ","")&amp;IF(AND(BT1262=1,BU1262&lt;BV1262),"MAX &lt; MB+LG; ","")&amp;IF(AND(BZ1262&gt;0,BY1262*10&gt;BZ1262),"zu hoch für Tablar; ","")&amp;IF(AND(BK1262=0,OR(BT1262=1,V1262&lt;&gt;"",S1262&lt;&gt;"",T1262&lt;&gt;"",W1262&lt;&gt;"")),"manuell übersteuert; ","")&amp;IF(AND(BO1262=0,Q1262=0),"Gebinde unbekannt; ","")&amp;IF(AND(BO1262=0,N(T1262)&lt;=0,N(P1262)&lt;=0),"Menge pro Gebinde fehlt (Ist = 1 Gebinde); ","")&amp;BJ1262)</f>
        <v/>
      </c>
      <c r="BC1262" s="53" t="n"/>
      <c r="BD1262" s="53" t="n"/>
      <c r="BE1262" s="61" t="n"/>
      <c r="BF1262" s="55" t="n">
        <v>-3</v>
      </c>
      <c r="BG1262" s="55" t="n">
        <v>35</v>
      </c>
      <c r="BH1262" s="54" t="n">
        <v>-834.5900000000015</v>
      </c>
      <c r="BI1262" s="55" t="n">
        <v>74</v>
      </c>
      <c r="BJ1262" s="53" t="inlineStr"/>
      <c r="BK1262" s="58" t="n">
        <v>0</v>
      </c>
      <c r="BL1262" s="58" t="n">
        <v>1262</v>
      </c>
      <c r="BM1262" s="53">
        <f>IF(S1262&lt;&gt;"",UPPER(TRIM(S1262)),IF(O1262="","LOSE",O1262))</f>
        <v/>
      </c>
      <c r="BN1262" s="55">
        <f>IF(BM1262="LOSE",1,IF(N(T1262)&gt;0,T1262,IF(N(P1262)&gt;0,P1262,MAX(1,G1262))))</f>
        <v/>
      </c>
      <c r="BO1262" s="58">
        <f>IF(BM1262="LOSE",1,0)</f>
        <v/>
      </c>
      <c r="BP1262" s="64">
        <f>IF(BO1262=0,0,IF(N(R1262)&gt;0,R1262,IFERROR(VLOOKUP(D1262,Parameter!$A$35:$C$64,3,0)+0,0)))</f>
        <v/>
      </c>
      <c r="BQ1262" s="53">
        <f>IF(V1262&lt;&gt;"",V1262,U1262)</f>
        <v/>
      </c>
      <c r="BR1262" s="53">
        <f>IF(BQ1262=1,"L1",IF(OR(BQ1262=2,BQ1262=3),"L23",IF(BQ1262="Aussen","Aussen","-")))</f>
        <v/>
      </c>
      <c r="BS1262" s="66">
        <f>IF(N(W1262)&gt;0,W1262,0)</f>
        <v/>
      </c>
      <c r="BT1262" s="58">
        <f>IF(ISNUMBER(Z1262),1,0)</f>
        <v/>
      </c>
      <c r="BU1262" s="55">
        <f>N(Z1262)</f>
        <v/>
      </c>
      <c r="BV1262" s="55">
        <f>N(L1262)+N(M1262)</f>
        <v/>
      </c>
      <c r="BW1262" s="55">
        <f>ROUNDUP(G1262/BN1262,0)</f>
        <v/>
      </c>
      <c r="BX1262" s="55">
        <f>ROUNDUP(BU1262/BN1262,0)</f>
        <v/>
      </c>
      <c r="BY1262" s="58">
        <f>IF(BO1262=1,0,IFERROR(VLOOKUP(BM1262,'Gebinde-Kategorie'!$A$5:$G$45,5,0)+0,0))</f>
        <v/>
      </c>
      <c r="BZ1262" s="58">
        <f>IFERROR(IF(OR(BQ1262=1,BQ1262=2,BQ1262=3),N(INDEX(Parameter!$I$5:$I$7,BQ1262)),0),0)</f>
        <v/>
      </c>
    </row>
    <row r="1263">
      <c r="A1263" s="53" t="inlineStr">
        <is>
          <t>100348</t>
        </is>
      </c>
      <c r="B1263" s="53" t="inlineStr">
        <is>
          <t>Filterelement</t>
        </is>
      </c>
      <c r="C1263" s="53" t="inlineStr">
        <is>
          <t>F</t>
        </is>
      </c>
      <c r="D1263" s="53" t="inlineStr">
        <is>
          <t>KTL</t>
        </is>
      </c>
      <c r="E1263" s="53" t="inlineStr">
        <is>
          <t>C</t>
        </is>
      </c>
      <c r="F1263" s="54" t="n">
        <v>23.11</v>
      </c>
      <c r="G1263" s="55">
        <f>MAX(0,IF(Parameter!$B$20="Jahresanfang 2025 + Export",BG1263+BF1263,BF1263))</f>
        <v/>
      </c>
      <c r="H1263" s="55">
        <f>G1263*F1263</f>
        <v/>
      </c>
      <c r="I1263" s="55">
        <f>BI1263*Parameter!$B$18</f>
        <v/>
      </c>
      <c r="J1263" s="56" t="n">
        <v>150</v>
      </c>
      <c r="K1263" s="57" t="n">
        <v>1.02</v>
      </c>
      <c r="L1263" s="55" t="n">
        <v>10</v>
      </c>
      <c r="M1263" s="55" t="n">
        <v>130</v>
      </c>
      <c r="N1263" s="58" t="n">
        <v>14</v>
      </c>
      <c r="O1263" s="53" t="inlineStr">
        <is>
          <t>S52</t>
        </is>
      </c>
      <c r="P1263" s="55" t="n">
        <v>279</v>
      </c>
      <c r="Q1263" s="59">
        <f>IF(BO1263=1,0,IFERROR(VLOOKUP(BM1263,'Gebinde-Kategorie'!$A$5:$G$45,6,0)+0,0))</f>
        <v/>
      </c>
      <c r="R1263" s="60" t="n"/>
      <c r="S1263" s="61" t="n"/>
      <c r="T1263" s="61" t="n"/>
      <c r="U1263" s="53">
        <f>IF(A1263="","",IF(IFERROR(VLOOKUP(D1263,Parameter!$A$35:$C$64,2,0),"Nein")="2+3",IF(ISNUMBER(SEARCH("grosser Artikel",BJ1263)),2,IFERROR(VLOOKUP(BM1263,Parameter!$F$35:$G$64,2,0),2)),IF(OR(IFERROR(VLOOKUP(D1263,Parameter!$A$35:$C$64,2,0),"Nein")="Nein",IFERROR(VLOOKUP(D1263,Parameter!$A$35:$C$64,2,0),"Nein")=""),"-",VLOOKUP(D1263,Parameter!$A$35:$C$64,2,0))))</f>
        <v/>
      </c>
      <c r="V1263" s="61" t="n"/>
      <c r="W1263" s="62" t="n"/>
      <c r="X1263" s="55">
        <f>AM1263</f>
        <v/>
      </c>
      <c r="Y1263" s="55">
        <f>MAX(AM1263,G1263)</f>
        <v/>
      </c>
      <c r="Z1263" s="63" t="n"/>
      <c r="AA1263" s="55">
        <f>IF(LEFT(Cockpit!$C$5,1)="A",G1263,IF(BT1263=1,BU1263,IF(LEFT(Cockpit!$C$5,1)="B",AE1263,MAX(AE1263,G1263))))</f>
        <v/>
      </c>
      <c r="AB1263" s="55">
        <f>IF(BO1263=1,0,ROUNDUP(AA1263/BN1263,0))</f>
        <v/>
      </c>
      <c r="AC1263" s="64">
        <f>IF(BO1263=1,IF(AA1263&lt;=0,0,BP1263*MAX(1,IF(G1263&gt;0,AA1263/G1263,1))),AB1263*Q1263)</f>
        <v/>
      </c>
      <c r="AD1263" s="55">
        <f>AA1263*F1263</f>
        <v/>
      </c>
      <c r="AE1263" s="55">
        <f>ROUNDUP(MAX(I1263/IF(BS1263&gt;0,BS1263,MAX(0.1,N(Cockpit!$C$6))),BV1263)/BN1263,0)*BN1263</f>
        <v/>
      </c>
      <c r="AF1263" s="56">
        <f>IF(AC1263&gt;0,I1263/AC1263,-1)</f>
        <v/>
      </c>
      <c r="AG1263" s="56">
        <f>IF(AND(OR(BR1263="L1",BR1263="L23"),AC1263&gt;0),SUMIFS($AC$7:$AC$1570,$BR$7:$BR$1570,BR1263,$AF$7:$AF$1570,"&gt;"&amp;AF1263)+SUMIFS($AC$7:$AC$1570,$BR$7:$BR$1570,BR1263,$AF$7:$AF$1570,AF1263,$BL$7:$BL$1570,"&lt;="&amp;BL1263),"")</f>
        <v/>
      </c>
      <c r="AH1263" s="65">
        <f>IF(AG1263="",0,MAX(0,MIN(1,(IF(BR1263="L1",Parameter!$K$5,Parameter!$K$6+Parameter!$K$7)-(AG1263-AC1263))/AC1263)))</f>
        <v/>
      </c>
      <c r="AI1263" s="55">
        <f>IF(LEFT(Cockpit!$I$5,1)="A",G1263,IF(BT1263=1,BU1263,IF(LEFT(Cockpit!$I$5,1)="B",AM1263,MAX(AM1263,G1263))))</f>
        <v/>
      </c>
      <c r="AJ1263" s="55">
        <f>IF(BO1263=1,0,ROUNDUP(AI1263/BN1263,0))</f>
        <v/>
      </c>
      <c r="AK1263" s="64">
        <f>IF(BO1263=1,IF(AI1263&lt;=0,0,BP1263*MAX(1,IF(G1263&gt;0,AI1263/G1263,1))),AJ1263*Q1263)</f>
        <v/>
      </c>
      <c r="AL1263" s="55">
        <f>AI1263*F1263</f>
        <v/>
      </c>
      <c r="AM1263" s="55">
        <f>ROUNDUP(MAX(I1263/IF(BS1263&gt;0,BS1263,MAX(0.1,N(Cockpit!$I$6))),BV1263)/BN1263,0)*BN1263</f>
        <v/>
      </c>
      <c r="AN1263" s="56">
        <f>IF(AK1263&gt;0,I1263/AK1263,-1)</f>
        <v/>
      </c>
      <c r="AO1263" s="56">
        <f>IF(AND(OR(BR1263="L1",BR1263="L23"),AK1263&gt;0),SUMIFS($AK$7:$AK$1570,$BR$7:$BR$1570,BR1263,$AN$7:$AN$1570,"&gt;"&amp;AN1263)+SUMIFS($AK$7:$AK$1570,$BR$7:$BR$1570,BR1263,$AN$7:$AN$1570,AN1263,$BL$7:$BL$1570,"&lt;="&amp;BL1263),"")</f>
        <v/>
      </c>
      <c r="AP1263" s="65">
        <f>IF(AO1263="",0,MAX(0,MIN(1,(IF(BR1263="L1",Parameter!$K$5,Parameter!$K$6+Parameter!$K$7)-(AO1263-AK1263))/AK1263)))</f>
        <v/>
      </c>
      <c r="AQ1263" s="55">
        <f>IF(LEFT(Cockpit!$O$5,1)="A",G1263,IF(BT1263=1,BU1263,IF(LEFT(Cockpit!$O$5,1)="B",AU1263,MAX(AU1263,G1263))))</f>
        <v/>
      </c>
      <c r="AR1263" s="55">
        <f>IF(BO1263=1,0,ROUNDUP(AQ1263/BN1263,0))</f>
        <v/>
      </c>
      <c r="AS1263" s="64">
        <f>IF(BO1263=1,IF(AQ1263&lt;=0,0,BP1263*MAX(1,IF(G1263&gt;0,AQ1263/G1263,1))),AR1263*Q1263)</f>
        <v/>
      </c>
      <c r="AT1263" s="55">
        <f>AQ1263*F1263</f>
        <v/>
      </c>
      <c r="AU1263" s="55">
        <f>ROUNDUP(MAX(I1263/IF(BS1263&gt;0,BS1263,MAX(0.1,N(Cockpit!$O$6))),BV1263)/BN1263,0)*BN1263</f>
        <v/>
      </c>
      <c r="AV1263" s="56">
        <f>IF(AS1263&gt;0,I1263/AS1263,-1)</f>
        <v/>
      </c>
      <c r="AW1263" s="56">
        <f>IF(AND(OR(BR1263="L1",BR1263="L23"),AS1263&gt;0),SUMIFS($AS$7:$AS$1570,$BR$7:$BR$1570,BR1263,$AV$7:$AV$1570,"&gt;"&amp;AV1263)+SUMIFS($AS$7:$AS$1570,$BR$7:$BR$1570,BR1263,$AV$7:$AV$1570,AV1263,$BL$7:$BL$1570,"&lt;="&amp;BL1263),"")</f>
        <v/>
      </c>
      <c r="AX1263" s="65">
        <f>IF(AW1263="",0,MAX(0,MIN(1,(IF(BR1263="L1",Parameter!$K$5,Parameter!$K$6+Parameter!$K$7)-(AW1263-AS1263))/AS1263)))</f>
        <v/>
      </c>
      <c r="AY1263" s="53">
        <f>IF(AC1263&lt;=0,"",IF(BR1263="Aussen","Aussenlager",IF(BR1263="-","Nicht im Lift",IF(AH1263&gt;=1,"Lift",IF(AH1263&lt;=0,"Aussenlager","teilweise")))))</f>
        <v/>
      </c>
      <c r="AZ1263" s="53">
        <f>IF(AK1263&lt;=0,"",IF(BR1263="Aussen","Aussenlager",IF(BR1263="-","Nicht im Lift",IF(AP1263&gt;=1,"Lift",IF(AP1263&lt;=0,"Aussenlager","teilweise")))))</f>
        <v/>
      </c>
      <c r="BA1263" s="53">
        <f>IF(AS1263&lt;=0,"",IF(BR1263="Aussen","Aussenlager",IF(BR1263="-","Nicht im Lift",IF(AX1263&gt;=1,"Lift",IF(AX1263&lt;=0,"Aussenlager","teilweise")))))</f>
        <v/>
      </c>
      <c r="BB1263" s="53">
        <f>IF(A1263="","",IF(BK1263=1,"Neu; ","")&amp;IF(AND(BK1263=0,BF1263&lt;0),"negativer Bestand (Export "&amp;BF1263&amp;"); ","")&amp;IF(I1263&lt;=0,"Kein Verbrauch; ","")&amp;IF(BO1263=1,"Lose – Fläche geschätzt; ","")&amp;IF(G1263&gt;AM1263,"Überbestand "&amp;ROUND(G1263-AM1263,0)&amp;" Stk / CHF "&amp;ROUND((G1263-AM1263)*F1263,0)&amp;"; ","")&amp;IF(AND(BT1263=1,BU1263&lt;BV1263),"MAX &lt; MB+LG; ","")&amp;IF(AND(BZ1263&gt;0,BY1263*10&gt;BZ1263),"zu hoch für Tablar; ","")&amp;IF(AND(BK1263=0,OR(BT1263=1,V1263&lt;&gt;"",S1263&lt;&gt;"",T1263&lt;&gt;"",W1263&lt;&gt;"")),"manuell übersteuert; ","")&amp;IF(AND(BO1263=0,Q1263=0),"Gebinde unbekannt; ","")&amp;IF(AND(BO1263=0,N(T1263)&lt;=0,N(P1263)&lt;=0),"Menge pro Gebinde fehlt (Ist = 1 Gebinde); ","")&amp;BJ1263)</f>
        <v/>
      </c>
      <c r="BC1263" s="53" t="n"/>
      <c r="BD1263" s="53" t="n"/>
      <c r="BE1263" s="61" t="n"/>
      <c r="BF1263" s="55" t="n">
        <v>-37</v>
      </c>
      <c r="BG1263" s="55" t="n">
        <v>169</v>
      </c>
      <c r="BH1263" s="54" t="n">
        <v>-834.7499999999993</v>
      </c>
      <c r="BI1263" s="55" t="n">
        <v>153</v>
      </c>
      <c r="BJ1263" s="53" t="inlineStr"/>
      <c r="BK1263" s="58" t="n">
        <v>0</v>
      </c>
      <c r="BL1263" s="58" t="n">
        <v>1263</v>
      </c>
      <c r="BM1263" s="53">
        <f>IF(S1263&lt;&gt;"",UPPER(TRIM(S1263)),IF(O1263="","LOSE",O1263))</f>
        <v/>
      </c>
      <c r="BN1263" s="55">
        <f>IF(BM1263="LOSE",1,IF(N(T1263)&gt;0,T1263,IF(N(P1263)&gt;0,P1263,MAX(1,G1263))))</f>
        <v/>
      </c>
      <c r="BO1263" s="58">
        <f>IF(BM1263="LOSE",1,0)</f>
        <v/>
      </c>
      <c r="BP1263" s="64">
        <f>IF(BO1263=0,0,IF(N(R1263)&gt;0,R1263,IFERROR(VLOOKUP(D1263,Parameter!$A$35:$C$64,3,0)+0,0)))</f>
        <v/>
      </c>
      <c r="BQ1263" s="53">
        <f>IF(V1263&lt;&gt;"",V1263,U1263)</f>
        <v/>
      </c>
      <c r="BR1263" s="53">
        <f>IF(BQ1263=1,"L1",IF(OR(BQ1263=2,BQ1263=3),"L23",IF(BQ1263="Aussen","Aussen","-")))</f>
        <v/>
      </c>
      <c r="BS1263" s="66">
        <f>IF(N(W1263)&gt;0,W1263,0)</f>
        <v/>
      </c>
      <c r="BT1263" s="58">
        <f>IF(ISNUMBER(Z1263),1,0)</f>
        <v/>
      </c>
      <c r="BU1263" s="55">
        <f>N(Z1263)</f>
        <v/>
      </c>
      <c r="BV1263" s="55">
        <f>N(L1263)+N(M1263)</f>
        <v/>
      </c>
      <c r="BW1263" s="55">
        <f>ROUNDUP(G1263/BN1263,0)</f>
        <v/>
      </c>
      <c r="BX1263" s="55">
        <f>ROUNDUP(BU1263/BN1263,0)</f>
        <v/>
      </c>
      <c r="BY1263" s="58">
        <f>IF(BO1263=1,0,IFERROR(VLOOKUP(BM1263,'Gebinde-Kategorie'!$A$5:$G$45,5,0)+0,0))</f>
        <v/>
      </c>
      <c r="BZ1263" s="58">
        <f>IFERROR(IF(OR(BQ1263=1,BQ1263=2,BQ1263=3),N(INDEX(Parameter!$I$5:$I$7,BQ1263)),0),0)</f>
        <v/>
      </c>
    </row>
    <row r="1264">
      <c r="A1264" s="53" t="inlineStr">
        <is>
          <t>104221</t>
        </is>
      </c>
      <c r="B1264" s="53" t="inlineStr">
        <is>
          <t>Kabel Set EG101 - VP auf Gestell</t>
        </is>
      </c>
      <c r="C1264" s="53" t="inlineStr">
        <is>
          <t>F</t>
        </is>
      </c>
      <c r="D1264" s="53" t="inlineStr">
        <is>
          <t>A-BEZ</t>
        </is>
      </c>
      <c r="E1264" s="53" t="inlineStr">
        <is>
          <t>C</t>
        </is>
      </c>
      <c r="F1264" s="54" t="n">
        <v>834.75</v>
      </c>
      <c r="G1264" s="55">
        <f>MAX(0,IF(Parameter!$B$20="Jahresanfang 2025 + Export",BG1264+BF1264,BF1264))</f>
        <v/>
      </c>
      <c r="H1264" s="55">
        <f>G1264*F1264</f>
        <v/>
      </c>
      <c r="I1264" s="55">
        <f>BI1264*Parameter!$B$18</f>
        <v/>
      </c>
      <c r="J1264" s="56" t="n">
        <v>2</v>
      </c>
      <c r="K1264" s="57" t="n">
        <v>0</v>
      </c>
      <c r="L1264" s="55" t="n">
        <v>1</v>
      </c>
      <c r="M1264" s="55" t="n">
        <v>1</v>
      </c>
      <c r="N1264" s="58" t="n">
        <v>7</v>
      </c>
      <c r="O1264" s="53" t="inlineStr">
        <is>
          <t>LOSE</t>
        </is>
      </c>
      <c r="P1264" s="55" t="n"/>
      <c r="Q1264" s="59">
        <f>IF(BO1264=1,0,IFERROR(VLOOKUP(BM1264,'Gebinde-Kategorie'!$A$5:$G$45,6,0)+0,0))</f>
        <v/>
      </c>
      <c r="R1264" s="60" t="n"/>
      <c r="S1264" s="61" t="n"/>
      <c r="T1264" s="61" t="n"/>
      <c r="U1264" s="53">
        <f>IF(A1264="","",IF(IFERROR(VLOOKUP(D1264,Parameter!$A$35:$C$64,2,0),"Nein")="2+3",IF(ISNUMBER(SEARCH("grosser Artikel",BJ1264)),2,IFERROR(VLOOKUP(BM1264,Parameter!$F$35:$G$64,2,0),2)),IF(OR(IFERROR(VLOOKUP(D1264,Parameter!$A$35:$C$64,2,0),"Nein")="Nein",IFERROR(VLOOKUP(D1264,Parameter!$A$35:$C$64,2,0),"Nein")=""),"-",VLOOKUP(D1264,Parameter!$A$35:$C$64,2,0))))</f>
        <v/>
      </c>
      <c r="V1264" s="61" t="n"/>
      <c r="W1264" s="62" t="n"/>
      <c r="X1264" s="55">
        <f>AM1264</f>
        <v/>
      </c>
      <c r="Y1264" s="55">
        <f>MAX(AM1264,G1264)</f>
        <v/>
      </c>
      <c r="Z1264" s="63" t="n"/>
      <c r="AA1264" s="55">
        <f>IF(LEFT(Cockpit!$C$5,1)="A",G1264,IF(BT1264=1,BU1264,IF(LEFT(Cockpit!$C$5,1)="B",AE1264,MAX(AE1264,G1264))))</f>
        <v/>
      </c>
      <c r="AB1264" s="55">
        <f>IF(BO1264=1,0,ROUNDUP(AA1264/BN1264,0))</f>
        <v/>
      </c>
      <c r="AC1264" s="64">
        <f>IF(BO1264=1,IF(AA1264&lt;=0,0,BP1264*MAX(1,IF(G1264&gt;0,AA1264/G1264,1))),AB1264*Q1264)</f>
        <v/>
      </c>
      <c r="AD1264" s="55">
        <f>AA1264*F1264</f>
        <v/>
      </c>
      <c r="AE1264" s="55">
        <f>ROUNDUP(MAX(I1264/IF(BS1264&gt;0,BS1264,MAX(0.1,N(Cockpit!$C$6))),BV1264)/BN1264,0)*BN1264</f>
        <v/>
      </c>
      <c r="AF1264" s="56">
        <f>IF(AC1264&gt;0,I1264/AC1264,-1)</f>
        <v/>
      </c>
      <c r="AG1264" s="56">
        <f>IF(AND(OR(BR1264="L1",BR1264="L23"),AC1264&gt;0),SUMIFS($AC$7:$AC$1570,$BR$7:$BR$1570,BR1264,$AF$7:$AF$1570,"&gt;"&amp;AF1264)+SUMIFS($AC$7:$AC$1570,$BR$7:$BR$1570,BR1264,$AF$7:$AF$1570,AF1264,$BL$7:$BL$1570,"&lt;="&amp;BL1264),"")</f>
        <v/>
      </c>
      <c r="AH1264" s="65">
        <f>IF(AG1264="",0,MAX(0,MIN(1,(IF(BR1264="L1",Parameter!$K$5,Parameter!$K$6+Parameter!$K$7)-(AG1264-AC1264))/AC1264)))</f>
        <v/>
      </c>
      <c r="AI1264" s="55">
        <f>IF(LEFT(Cockpit!$I$5,1)="A",G1264,IF(BT1264=1,BU1264,IF(LEFT(Cockpit!$I$5,1)="B",AM1264,MAX(AM1264,G1264))))</f>
        <v/>
      </c>
      <c r="AJ1264" s="55">
        <f>IF(BO1264=1,0,ROUNDUP(AI1264/BN1264,0))</f>
        <v/>
      </c>
      <c r="AK1264" s="64">
        <f>IF(BO1264=1,IF(AI1264&lt;=0,0,BP1264*MAX(1,IF(G1264&gt;0,AI1264/G1264,1))),AJ1264*Q1264)</f>
        <v/>
      </c>
      <c r="AL1264" s="55">
        <f>AI1264*F1264</f>
        <v/>
      </c>
      <c r="AM1264" s="55">
        <f>ROUNDUP(MAX(I1264/IF(BS1264&gt;0,BS1264,MAX(0.1,N(Cockpit!$I$6))),BV1264)/BN1264,0)*BN1264</f>
        <v/>
      </c>
      <c r="AN1264" s="56">
        <f>IF(AK1264&gt;0,I1264/AK1264,-1)</f>
        <v/>
      </c>
      <c r="AO1264" s="56">
        <f>IF(AND(OR(BR1264="L1",BR1264="L23"),AK1264&gt;0),SUMIFS($AK$7:$AK$1570,$BR$7:$BR$1570,BR1264,$AN$7:$AN$1570,"&gt;"&amp;AN1264)+SUMIFS($AK$7:$AK$1570,$BR$7:$BR$1570,BR1264,$AN$7:$AN$1570,AN1264,$BL$7:$BL$1570,"&lt;="&amp;BL1264),"")</f>
        <v/>
      </c>
      <c r="AP1264" s="65">
        <f>IF(AO1264="",0,MAX(0,MIN(1,(IF(BR1264="L1",Parameter!$K$5,Parameter!$K$6+Parameter!$K$7)-(AO1264-AK1264))/AK1264)))</f>
        <v/>
      </c>
      <c r="AQ1264" s="55">
        <f>IF(LEFT(Cockpit!$O$5,1)="A",G1264,IF(BT1264=1,BU1264,IF(LEFT(Cockpit!$O$5,1)="B",AU1264,MAX(AU1264,G1264))))</f>
        <v/>
      </c>
      <c r="AR1264" s="55">
        <f>IF(BO1264=1,0,ROUNDUP(AQ1264/BN1264,0))</f>
        <v/>
      </c>
      <c r="AS1264" s="64">
        <f>IF(BO1264=1,IF(AQ1264&lt;=0,0,BP1264*MAX(1,IF(G1264&gt;0,AQ1264/G1264,1))),AR1264*Q1264)</f>
        <v/>
      </c>
      <c r="AT1264" s="55">
        <f>AQ1264*F1264</f>
        <v/>
      </c>
      <c r="AU1264" s="55">
        <f>ROUNDUP(MAX(I1264/IF(BS1264&gt;0,BS1264,MAX(0.1,N(Cockpit!$O$6))),BV1264)/BN1264,0)*BN1264</f>
        <v/>
      </c>
      <c r="AV1264" s="56">
        <f>IF(AS1264&gt;0,I1264/AS1264,-1)</f>
        <v/>
      </c>
      <c r="AW1264" s="56">
        <f>IF(AND(OR(BR1264="L1",BR1264="L23"),AS1264&gt;0),SUMIFS($AS$7:$AS$1570,$BR$7:$BR$1570,BR1264,$AV$7:$AV$1570,"&gt;"&amp;AV1264)+SUMIFS($AS$7:$AS$1570,$BR$7:$BR$1570,BR1264,$AV$7:$AV$1570,AV1264,$BL$7:$BL$1570,"&lt;="&amp;BL1264),"")</f>
        <v/>
      </c>
      <c r="AX1264" s="65">
        <f>IF(AW1264="",0,MAX(0,MIN(1,(IF(BR1264="L1",Parameter!$K$5,Parameter!$K$6+Parameter!$K$7)-(AW1264-AS1264))/AS1264)))</f>
        <v/>
      </c>
      <c r="AY1264" s="53">
        <f>IF(AC1264&lt;=0,"",IF(BR1264="Aussen","Aussenlager",IF(BR1264="-","Nicht im Lift",IF(AH1264&gt;=1,"Lift",IF(AH1264&lt;=0,"Aussenlager","teilweise")))))</f>
        <v/>
      </c>
      <c r="AZ1264" s="53">
        <f>IF(AK1264&lt;=0,"",IF(BR1264="Aussen","Aussenlager",IF(BR1264="-","Nicht im Lift",IF(AP1264&gt;=1,"Lift",IF(AP1264&lt;=0,"Aussenlager","teilweise")))))</f>
        <v/>
      </c>
      <c r="BA1264" s="53">
        <f>IF(AS1264&lt;=0,"",IF(BR1264="Aussen","Aussenlager",IF(BR1264="-","Nicht im Lift",IF(AX1264&gt;=1,"Lift",IF(AX1264&lt;=0,"Aussenlager","teilweise")))))</f>
        <v/>
      </c>
      <c r="BB1264" s="53">
        <f>IF(A1264="","",IF(BK1264=1,"Neu; ","")&amp;IF(AND(BK1264=0,BF1264&lt;0),"negativer Bestand (Export "&amp;BF1264&amp;"); ","")&amp;IF(I1264&lt;=0,"Kein Verbrauch; ","")&amp;IF(BO1264=1,"Lose – Fläche geschätzt; ","")&amp;IF(G1264&gt;AM1264,"Überbestand "&amp;ROUND(G1264-AM1264,0)&amp;" Stk / CHF "&amp;ROUND((G1264-AM1264)*F1264,0)&amp;"; ","")&amp;IF(AND(BT1264=1,BU1264&lt;BV1264),"MAX &lt; MB+LG; ","")&amp;IF(AND(BZ1264&gt;0,BY1264*10&gt;BZ1264),"zu hoch für Tablar; ","")&amp;IF(AND(BK1264=0,OR(BT1264=1,V1264&lt;&gt;"",S1264&lt;&gt;"",T1264&lt;&gt;"",W1264&lt;&gt;"")),"manuell übersteuert; ","")&amp;IF(AND(BO1264=0,Q1264=0),"Gebinde unbekannt; ","")&amp;IF(AND(BO1264=0,N(T1264)&lt;=0,N(P1264)&lt;=0),"Menge pro Gebinde fehlt (Ist = 1 Gebinde); ","")&amp;BJ1264)</f>
        <v/>
      </c>
      <c r="BC1264" s="53" t="n"/>
      <c r="BD1264" s="53" t="n"/>
      <c r="BE1264" s="61" t="n"/>
      <c r="BF1264" s="55" t="n">
        <v>1</v>
      </c>
      <c r="BG1264" s="55" t="n">
        <v>2</v>
      </c>
      <c r="BH1264" s="54" t="n">
        <v>-834.75</v>
      </c>
      <c r="BI1264" s="55" t="n">
        <v>0</v>
      </c>
      <c r="BJ1264" s="53" t="inlineStr"/>
      <c r="BK1264" s="58" t="n">
        <v>0</v>
      </c>
      <c r="BL1264" s="58" t="n">
        <v>1264</v>
      </c>
      <c r="BM1264" s="53">
        <f>IF(S1264&lt;&gt;"",UPPER(TRIM(S1264)),IF(O1264="","LOSE",O1264))</f>
        <v/>
      </c>
      <c r="BN1264" s="55">
        <f>IF(BM1264="LOSE",1,IF(N(T1264)&gt;0,T1264,IF(N(P1264)&gt;0,P1264,MAX(1,G1264))))</f>
        <v/>
      </c>
      <c r="BO1264" s="58">
        <f>IF(BM1264="LOSE",1,0)</f>
        <v/>
      </c>
      <c r="BP1264" s="64">
        <f>IF(BO1264=0,0,IF(N(R1264)&gt;0,R1264,IFERROR(VLOOKUP(D1264,Parameter!$A$35:$C$64,3,0)+0,0)))</f>
        <v/>
      </c>
      <c r="BQ1264" s="53">
        <f>IF(V1264&lt;&gt;"",V1264,U1264)</f>
        <v/>
      </c>
      <c r="BR1264" s="53">
        <f>IF(BQ1264=1,"L1",IF(OR(BQ1264=2,BQ1264=3),"L23",IF(BQ1264="Aussen","Aussen","-")))</f>
        <v/>
      </c>
      <c r="BS1264" s="66">
        <f>IF(N(W1264)&gt;0,W1264,0)</f>
        <v/>
      </c>
      <c r="BT1264" s="58">
        <f>IF(ISNUMBER(Z1264),1,0)</f>
        <v/>
      </c>
      <c r="BU1264" s="55">
        <f>N(Z1264)</f>
        <v/>
      </c>
      <c r="BV1264" s="55">
        <f>N(L1264)+N(M1264)</f>
        <v/>
      </c>
      <c r="BW1264" s="55">
        <f>ROUNDUP(G1264/BN1264,0)</f>
        <v/>
      </c>
      <c r="BX1264" s="55">
        <f>ROUNDUP(BU1264/BN1264,0)</f>
        <v/>
      </c>
      <c r="BY1264" s="58">
        <f>IF(BO1264=1,0,IFERROR(VLOOKUP(BM1264,'Gebinde-Kategorie'!$A$5:$G$45,5,0)+0,0))</f>
        <v/>
      </c>
      <c r="BZ1264" s="58">
        <f>IFERROR(IF(OR(BQ1264=1,BQ1264=2,BQ1264=3),N(INDEX(Parameter!$I$5:$I$7,BQ1264)),0),0)</f>
        <v/>
      </c>
    </row>
    <row r="1265">
      <c r="A1265" s="53" t="inlineStr">
        <is>
          <t>005583</t>
        </is>
      </c>
      <c r="B1265" s="53" t="inlineStr">
        <is>
          <t>Sicherungsdraht</t>
        </is>
      </c>
      <c r="C1265" s="53" t="inlineStr">
        <is>
          <t>F</t>
        </is>
      </c>
      <c r="D1265" s="53" t="inlineStr">
        <is>
          <t>KTL</t>
        </is>
      </c>
      <c r="E1265" s="53" t="inlineStr">
        <is>
          <t>C</t>
        </is>
      </c>
      <c r="F1265" s="54" t="n">
        <v>28.7</v>
      </c>
      <c r="G1265" s="55">
        <f>MAX(0,IF(Parameter!$B$20="Jahresanfang 2025 + Export",BG1265+BF1265,BF1265))</f>
        <v/>
      </c>
      <c r="H1265" s="55">
        <f>G1265*F1265</f>
        <v/>
      </c>
      <c r="I1265" s="55">
        <f>BI1265*Parameter!$B$18</f>
        <v/>
      </c>
      <c r="J1265" s="56" t="n">
        <v>130.5</v>
      </c>
      <c r="K1265" s="57" t="n">
        <v>0.1455938697318008</v>
      </c>
      <c r="L1265" s="55" t="n">
        <v>1</v>
      </c>
      <c r="M1265" s="55" t="n">
        <v>20</v>
      </c>
      <c r="N1265" s="58" t="n">
        <v>28</v>
      </c>
      <c r="O1265" s="53" t="inlineStr">
        <is>
          <t>S63</t>
        </is>
      </c>
      <c r="P1265" s="55" t="n">
        <v>183</v>
      </c>
      <c r="Q1265" s="59">
        <f>IF(BO1265=1,0,IFERROR(VLOOKUP(BM1265,'Gebinde-Kategorie'!$A$5:$G$45,6,0)+0,0))</f>
        <v/>
      </c>
      <c r="R1265" s="60" t="n"/>
      <c r="S1265" s="61" t="n"/>
      <c r="T1265" s="61" t="n"/>
      <c r="U1265" s="53">
        <f>IF(A1265="","",IF(IFERROR(VLOOKUP(D1265,Parameter!$A$35:$C$64,2,0),"Nein")="2+3",IF(ISNUMBER(SEARCH("grosser Artikel",BJ1265)),2,IFERROR(VLOOKUP(BM1265,Parameter!$F$35:$G$64,2,0),2)),IF(OR(IFERROR(VLOOKUP(D1265,Parameter!$A$35:$C$64,2,0),"Nein")="Nein",IFERROR(VLOOKUP(D1265,Parameter!$A$35:$C$64,2,0),"Nein")=""),"-",VLOOKUP(D1265,Parameter!$A$35:$C$64,2,0))))</f>
        <v/>
      </c>
      <c r="V1265" s="61" t="n"/>
      <c r="W1265" s="62" t="n"/>
      <c r="X1265" s="55">
        <f>AM1265</f>
        <v/>
      </c>
      <c r="Y1265" s="55">
        <f>MAX(AM1265,G1265)</f>
        <v/>
      </c>
      <c r="Z1265" s="63" t="n"/>
      <c r="AA1265" s="55">
        <f>IF(LEFT(Cockpit!$C$5,1)="A",G1265,IF(BT1265=1,BU1265,IF(LEFT(Cockpit!$C$5,1)="B",AE1265,MAX(AE1265,G1265))))</f>
        <v/>
      </c>
      <c r="AB1265" s="55">
        <f>IF(BO1265=1,0,ROUNDUP(AA1265/BN1265,0))</f>
        <v/>
      </c>
      <c r="AC1265" s="64">
        <f>IF(BO1265=1,IF(AA1265&lt;=0,0,BP1265*MAX(1,IF(G1265&gt;0,AA1265/G1265,1))),AB1265*Q1265)</f>
        <v/>
      </c>
      <c r="AD1265" s="55">
        <f>AA1265*F1265</f>
        <v/>
      </c>
      <c r="AE1265" s="55">
        <f>ROUNDUP(MAX(I1265/IF(BS1265&gt;0,BS1265,MAX(0.1,N(Cockpit!$C$6))),BV1265)/BN1265,0)*BN1265</f>
        <v/>
      </c>
      <c r="AF1265" s="56">
        <f>IF(AC1265&gt;0,I1265/AC1265,-1)</f>
        <v/>
      </c>
      <c r="AG1265" s="56">
        <f>IF(AND(OR(BR1265="L1",BR1265="L23"),AC1265&gt;0),SUMIFS($AC$7:$AC$1570,$BR$7:$BR$1570,BR1265,$AF$7:$AF$1570,"&gt;"&amp;AF1265)+SUMIFS($AC$7:$AC$1570,$BR$7:$BR$1570,BR1265,$AF$7:$AF$1570,AF1265,$BL$7:$BL$1570,"&lt;="&amp;BL1265),"")</f>
        <v/>
      </c>
      <c r="AH1265" s="65">
        <f>IF(AG1265="",0,MAX(0,MIN(1,(IF(BR1265="L1",Parameter!$K$5,Parameter!$K$6+Parameter!$K$7)-(AG1265-AC1265))/AC1265)))</f>
        <v/>
      </c>
      <c r="AI1265" s="55">
        <f>IF(LEFT(Cockpit!$I$5,1)="A",G1265,IF(BT1265=1,BU1265,IF(LEFT(Cockpit!$I$5,1)="B",AM1265,MAX(AM1265,G1265))))</f>
        <v/>
      </c>
      <c r="AJ1265" s="55">
        <f>IF(BO1265=1,0,ROUNDUP(AI1265/BN1265,0))</f>
        <v/>
      </c>
      <c r="AK1265" s="64">
        <f>IF(BO1265=1,IF(AI1265&lt;=0,0,BP1265*MAX(1,IF(G1265&gt;0,AI1265/G1265,1))),AJ1265*Q1265)</f>
        <v/>
      </c>
      <c r="AL1265" s="55">
        <f>AI1265*F1265</f>
        <v/>
      </c>
      <c r="AM1265" s="55">
        <f>ROUNDUP(MAX(I1265/IF(BS1265&gt;0,BS1265,MAX(0.1,N(Cockpit!$I$6))),BV1265)/BN1265,0)*BN1265</f>
        <v/>
      </c>
      <c r="AN1265" s="56">
        <f>IF(AK1265&gt;0,I1265/AK1265,-1)</f>
        <v/>
      </c>
      <c r="AO1265" s="56">
        <f>IF(AND(OR(BR1265="L1",BR1265="L23"),AK1265&gt;0),SUMIFS($AK$7:$AK$1570,$BR$7:$BR$1570,BR1265,$AN$7:$AN$1570,"&gt;"&amp;AN1265)+SUMIFS($AK$7:$AK$1570,$BR$7:$BR$1570,BR1265,$AN$7:$AN$1570,AN1265,$BL$7:$BL$1570,"&lt;="&amp;BL1265),"")</f>
        <v/>
      </c>
      <c r="AP1265" s="65">
        <f>IF(AO1265="",0,MAX(0,MIN(1,(IF(BR1265="L1",Parameter!$K$5,Parameter!$K$6+Parameter!$K$7)-(AO1265-AK1265))/AK1265)))</f>
        <v/>
      </c>
      <c r="AQ1265" s="55">
        <f>IF(LEFT(Cockpit!$O$5,1)="A",G1265,IF(BT1265=1,BU1265,IF(LEFT(Cockpit!$O$5,1)="B",AU1265,MAX(AU1265,G1265))))</f>
        <v/>
      </c>
      <c r="AR1265" s="55">
        <f>IF(BO1265=1,0,ROUNDUP(AQ1265/BN1265,0))</f>
        <v/>
      </c>
      <c r="AS1265" s="64">
        <f>IF(BO1265=1,IF(AQ1265&lt;=0,0,BP1265*MAX(1,IF(G1265&gt;0,AQ1265/G1265,1))),AR1265*Q1265)</f>
        <v/>
      </c>
      <c r="AT1265" s="55">
        <f>AQ1265*F1265</f>
        <v/>
      </c>
      <c r="AU1265" s="55">
        <f>ROUNDUP(MAX(I1265/IF(BS1265&gt;0,BS1265,MAX(0.1,N(Cockpit!$O$6))),BV1265)/BN1265,0)*BN1265</f>
        <v/>
      </c>
      <c r="AV1265" s="56">
        <f>IF(AS1265&gt;0,I1265/AS1265,-1)</f>
        <v/>
      </c>
      <c r="AW1265" s="56">
        <f>IF(AND(OR(BR1265="L1",BR1265="L23"),AS1265&gt;0),SUMIFS($AS$7:$AS$1570,$BR$7:$BR$1570,BR1265,$AV$7:$AV$1570,"&gt;"&amp;AV1265)+SUMIFS($AS$7:$AS$1570,$BR$7:$BR$1570,BR1265,$AV$7:$AV$1570,AV1265,$BL$7:$BL$1570,"&lt;="&amp;BL1265),"")</f>
        <v/>
      </c>
      <c r="AX1265" s="65">
        <f>IF(AW1265="",0,MAX(0,MIN(1,(IF(BR1265="L1",Parameter!$K$5,Parameter!$K$6+Parameter!$K$7)-(AW1265-AS1265))/AS1265)))</f>
        <v/>
      </c>
      <c r="AY1265" s="53">
        <f>IF(AC1265&lt;=0,"",IF(BR1265="Aussen","Aussenlager",IF(BR1265="-","Nicht im Lift",IF(AH1265&gt;=1,"Lift",IF(AH1265&lt;=0,"Aussenlager","teilweise")))))</f>
        <v/>
      </c>
      <c r="AZ1265" s="53">
        <f>IF(AK1265&lt;=0,"",IF(BR1265="Aussen","Aussenlager",IF(BR1265="-","Nicht im Lift",IF(AP1265&gt;=1,"Lift",IF(AP1265&lt;=0,"Aussenlager","teilweise")))))</f>
        <v/>
      </c>
      <c r="BA1265" s="53">
        <f>IF(AS1265&lt;=0,"",IF(BR1265="Aussen","Aussenlager",IF(BR1265="-","Nicht im Lift",IF(AX1265&gt;=1,"Lift",IF(AX1265&lt;=0,"Aussenlager","teilweise")))))</f>
        <v/>
      </c>
      <c r="BB1265" s="53">
        <f>IF(A1265="","",IF(BK1265=1,"Neu; ","")&amp;IF(AND(BK1265=0,BF1265&lt;0),"negativer Bestand (Export "&amp;BF1265&amp;"); ","")&amp;IF(I1265&lt;=0,"Kein Verbrauch; ","")&amp;IF(BO1265=1,"Lose – Fläche geschätzt; ","")&amp;IF(G1265&gt;AM1265,"Überbestand "&amp;ROUND(G1265-AM1265,0)&amp;" Stk / CHF "&amp;ROUND((G1265-AM1265)*F1265,0)&amp;"; ","")&amp;IF(AND(BT1265=1,BU1265&lt;BV1265),"MAX &lt; MB+LG; ","")&amp;IF(AND(BZ1265&gt;0,BY1265*10&gt;BZ1265),"zu hoch für Tablar; ","")&amp;IF(AND(BK1265=0,OR(BT1265=1,V1265&lt;&gt;"",S1265&lt;&gt;"",T1265&lt;&gt;"",W1265&lt;&gt;"")),"manuell übersteuert; ","")&amp;IF(AND(BO1265=0,Q1265=0),"Gebinde unbekannt; ","")&amp;IF(AND(BO1265=0,N(T1265)&lt;=0,N(P1265)&lt;=0),"Menge pro Gebinde fehlt (Ist = 1 Gebinde); ","")&amp;BJ1265)</f>
        <v/>
      </c>
      <c r="BC1265" s="53" t="n"/>
      <c r="BD1265" s="53" t="n"/>
      <c r="BE1265" s="61" t="n"/>
      <c r="BF1265" s="55" t="n">
        <v>-30</v>
      </c>
      <c r="BG1265" s="55" t="n">
        <v>140</v>
      </c>
      <c r="BH1265" s="54" t="n">
        <v>-861.0000000000002</v>
      </c>
      <c r="BI1265" s="55" t="n">
        <v>19</v>
      </c>
      <c r="BJ1265" s="53" t="inlineStr">
        <is>
          <t>Überbestand</t>
        </is>
      </c>
      <c r="BK1265" s="58" t="n">
        <v>0</v>
      </c>
      <c r="BL1265" s="58" t="n">
        <v>1265</v>
      </c>
      <c r="BM1265" s="53">
        <f>IF(S1265&lt;&gt;"",UPPER(TRIM(S1265)),IF(O1265="","LOSE",O1265))</f>
        <v/>
      </c>
      <c r="BN1265" s="55">
        <f>IF(BM1265="LOSE",1,IF(N(T1265)&gt;0,T1265,IF(N(P1265)&gt;0,P1265,MAX(1,G1265))))</f>
        <v/>
      </c>
      <c r="BO1265" s="58">
        <f>IF(BM1265="LOSE",1,0)</f>
        <v/>
      </c>
      <c r="BP1265" s="64">
        <f>IF(BO1265=0,0,IF(N(R1265)&gt;0,R1265,IFERROR(VLOOKUP(D1265,Parameter!$A$35:$C$64,3,0)+0,0)))</f>
        <v/>
      </c>
      <c r="BQ1265" s="53">
        <f>IF(V1265&lt;&gt;"",V1265,U1265)</f>
        <v/>
      </c>
      <c r="BR1265" s="53">
        <f>IF(BQ1265=1,"L1",IF(OR(BQ1265=2,BQ1265=3),"L23",IF(BQ1265="Aussen","Aussen","-")))</f>
        <v/>
      </c>
      <c r="BS1265" s="66">
        <f>IF(N(W1265)&gt;0,W1265,0)</f>
        <v/>
      </c>
      <c r="BT1265" s="58">
        <f>IF(ISNUMBER(Z1265),1,0)</f>
        <v/>
      </c>
      <c r="BU1265" s="55">
        <f>N(Z1265)</f>
        <v/>
      </c>
      <c r="BV1265" s="55">
        <f>N(L1265)+N(M1265)</f>
        <v/>
      </c>
      <c r="BW1265" s="55">
        <f>ROUNDUP(G1265/BN1265,0)</f>
        <v/>
      </c>
      <c r="BX1265" s="55">
        <f>ROUNDUP(BU1265/BN1265,0)</f>
        <v/>
      </c>
      <c r="BY1265" s="58">
        <f>IF(BO1265=1,0,IFERROR(VLOOKUP(BM1265,'Gebinde-Kategorie'!$A$5:$G$45,5,0)+0,0))</f>
        <v/>
      </c>
      <c r="BZ1265" s="58">
        <f>IFERROR(IF(OR(BQ1265=1,BQ1265=2,BQ1265=3),N(INDEX(Parameter!$I$5:$I$7,BQ1265)),0),0)</f>
        <v/>
      </c>
    </row>
    <row r="1266">
      <c r="A1266" s="53" t="inlineStr">
        <is>
          <t>110379</t>
        </is>
      </c>
      <c r="B1266" s="53" t="inlineStr">
        <is>
          <t>Blindmodul</t>
        </is>
      </c>
      <c r="C1266" s="53" t="inlineStr">
        <is>
          <t>F</t>
        </is>
      </c>
      <c r="D1266" s="53" t="inlineStr">
        <is>
          <t>KTL</t>
        </is>
      </c>
      <c r="E1266" s="53" t="inlineStr">
        <is>
          <t>C</t>
        </is>
      </c>
      <c r="F1266" s="54" t="n">
        <v>2.98</v>
      </c>
      <c r="G1266" s="55">
        <f>MAX(0,IF(Parameter!$B$20="Jahresanfang 2025 + Export",BG1266+BF1266,BF1266))</f>
        <v/>
      </c>
      <c r="H1266" s="55">
        <f>G1266*F1266</f>
        <v/>
      </c>
      <c r="I1266" s="55">
        <f>BI1266*Parameter!$B$18</f>
        <v/>
      </c>
      <c r="J1266" s="56" t="n">
        <v>236</v>
      </c>
      <c r="K1266" s="57" t="n">
        <v>1.567796610169492</v>
      </c>
      <c r="L1266" s="55" t="n">
        <v>28</v>
      </c>
      <c r="M1266" s="55" t="n">
        <v>370</v>
      </c>
      <c r="N1266" s="58" t="n">
        <v>28</v>
      </c>
      <c r="O1266" s="53" t="inlineStr">
        <is>
          <t>S52</t>
        </is>
      </c>
      <c r="P1266" s="55" t="n">
        <v>185</v>
      </c>
      <c r="Q1266" s="59">
        <f>IF(BO1266=1,0,IFERROR(VLOOKUP(BM1266,'Gebinde-Kategorie'!$A$5:$G$45,6,0)+0,0))</f>
        <v/>
      </c>
      <c r="R1266" s="60" t="n"/>
      <c r="S1266" s="61" t="n"/>
      <c r="T1266" s="61" t="n"/>
      <c r="U1266" s="53">
        <f>IF(A1266="","",IF(IFERROR(VLOOKUP(D1266,Parameter!$A$35:$C$64,2,0),"Nein")="2+3",IF(ISNUMBER(SEARCH("grosser Artikel",BJ1266)),2,IFERROR(VLOOKUP(BM1266,Parameter!$F$35:$G$64,2,0),2)),IF(OR(IFERROR(VLOOKUP(D1266,Parameter!$A$35:$C$64,2,0),"Nein")="Nein",IFERROR(VLOOKUP(D1266,Parameter!$A$35:$C$64,2,0),"Nein")=""),"-",VLOOKUP(D1266,Parameter!$A$35:$C$64,2,0))))</f>
        <v/>
      </c>
      <c r="V1266" s="61" t="n"/>
      <c r="W1266" s="62" t="n"/>
      <c r="X1266" s="55">
        <f>AM1266</f>
        <v/>
      </c>
      <c r="Y1266" s="55">
        <f>MAX(AM1266,G1266)</f>
        <v/>
      </c>
      <c r="Z1266" s="63" t="n"/>
      <c r="AA1266" s="55">
        <f>IF(LEFT(Cockpit!$C$5,1)="A",G1266,IF(BT1266=1,BU1266,IF(LEFT(Cockpit!$C$5,1)="B",AE1266,MAX(AE1266,G1266))))</f>
        <v/>
      </c>
      <c r="AB1266" s="55">
        <f>IF(BO1266=1,0,ROUNDUP(AA1266/BN1266,0))</f>
        <v/>
      </c>
      <c r="AC1266" s="64">
        <f>IF(BO1266=1,IF(AA1266&lt;=0,0,BP1266*MAX(1,IF(G1266&gt;0,AA1266/G1266,1))),AB1266*Q1266)</f>
        <v/>
      </c>
      <c r="AD1266" s="55">
        <f>AA1266*F1266</f>
        <v/>
      </c>
      <c r="AE1266" s="55">
        <f>ROUNDUP(MAX(I1266/IF(BS1266&gt;0,BS1266,MAX(0.1,N(Cockpit!$C$6))),BV1266)/BN1266,0)*BN1266</f>
        <v/>
      </c>
      <c r="AF1266" s="56">
        <f>IF(AC1266&gt;0,I1266/AC1266,-1)</f>
        <v/>
      </c>
      <c r="AG1266" s="56">
        <f>IF(AND(OR(BR1266="L1",BR1266="L23"),AC1266&gt;0),SUMIFS($AC$7:$AC$1570,$BR$7:$BR$1570,BR1266,$AF$7:$AF$1570,"&gt;"&amp;AF1266)+SUMIFS($AC$7:$AC$1570,$BR$7:$BR$1570,BR1266,$AF$7:$AF$1570,AF1266,$BL$7:$BL$1570,"&lt;="&amp;BL1266),"")</f>
        <v/>
      </c>
      <c r="AH1266" s="65">
        <f>IF(AG1266="",0,MAX(0,MIN(1,(IF(BR1266="L1",Parameter!$K$5,Parameter!$K$6+Parameter!$K$7)-(AG1266-AC1266))/AC1266)))</f>
        <v/>
      </c>
      <c r="AI1266" s="55">
        <f>IF(LEFT(Cockpit!$I$5,1)="A",G1266,IF(BT1266=1,BU1266,IF(LEFT(Cockpit!$I$5,1)="B",AM1266,MAX(AM1266,G1266))))</f>
        <v/>
      </c>
      <c r="AJ1266" s="55">
        <f>IF(BO1266=1,0,ROUNDUP(AI1266/BN1266,0))</f>
        <v/>
      </c>
      <c r="AK1266" s="64">
        <f>IF(BO1266=1,IF(AI1266&lt;=0,0,BP1266*MAX(1,IF(G1266&gt;0,AI1266/G1266,1))),AJ1266*Q1266)</f>
        <v/>
      </c>
      <c r="AL1266" s="55">
        <f>AI1266*F1266</f>
        <v/>
      </c>
      <c r="AM1266" s="55">
        <f>ROUNDUP(MAX(I1266/IF(BS1266&gt;0,BS1266,MAX(0.1,N(Cockpit!$I$6))),BV1266)/BN1266,0)*BN1266</f>
        <v/>
      </c>
      <c r="AN1266" s="56">
        <f>IF(AK1266&gt;0,I1266/AK1266,-1)</f>
        <v/>
      </c>
      <c r="AO1266" s="56">
        <f>IF(AND(OR(BR1266="L1",BR1266="L23"),AK1266&gt;0),SUMIFS($AK$7:$AK$1570,$BR$7:$BR$1570,BR1266,$AN$7:$AN$1570,"&gt;"&amp;AN1266)+SUMIFS($AK$7:$AK$1570,$BR$7:$BR$1570,BR1266,$AN$7:$AN$1570,AN1266,$BL$7:$BL$1570,"&lt;="&amp;BL1266),"")</f>
        <v/>
      </c>
      <c r="AP1266" s="65">
        <f>IF(AO1266="",0,MAX(0,MIN(1,(IF(BR1266="L1",Parameter!$K$5,Parameter!$K$6+Parameter!$K$7)-(AO1266-AK1266))/AK1266)))</f>
        <v/>
      </c>
      <c r="AQ1266" s="55">
        <f>IF(LEFT(Cockpit!$O$5,1)="A",G1266,IF(BT1266=1,BU1266,IF(LEFT(Cockpit!$O$5,1)="B",AU1266,MAX(AU1266,G1266))))</f>
        <v/>
      </c>
      <c r="AR1266" s="55">
        <f>IF(BO1266=1,0,ROUNDUP(AQ1266/BN1266,0))</f>
        <v/>
      </c>
      <c r="AS1266" s="64">
        <f>IF(BO1266=1,IF(AQ1266&lt;=0,0,BP1266*MAX(1,IF(G1266&gt;0,AQ1266/G1266,1))),AR1266*Q1266)</f>
        <v/>
      </c>
      <c r="AT1266" s="55">
        <f>AQ1266*F1266</f>
        <v/>
      </c>
      <c r="AU1266" s="55">
        <f>ROUNDUP(MAX(I1266/IF(BS1266&gt;0,BS1266,MAX(0.1,N(Cockpit!$O$6))),BV1266)/BN1266,0)*BN1266</f>
        <v/>
      </c>
      <c r="AV1266" s="56">
        <f>IF(AS1266&gt;0,I1266/AS1266,-1)</f>
        <v/>
      </c>
      <c r="AW1266" s="56">
        <f>IF(AND(OR(BR1266="L1",BR1266="L23"),AS1266&gt;0),SUMIFS($AS$7:$AS$1570,$BR$7:$BR$1570,BR1266,$AV$7:$AV$1570,"&gt;"&amp;AV1266)+SUMIFS($AS$7:$AS$1570,$BR$7:$BR$1570,BR1266,$AV$7:$AV$1570,AV1266,$BL$7:$BL$1570,"&lt;="&amp;BL1266),"")</f>
        <v/>
      </c>
      <c r="AX1266" s="65">
        <f>IF(AW1266="",0,MAX(0,MIN(1,(IF(BR1266="L1",Parameter!$K$5,Parameter!$K$6+Parameter!$K$7)-(AW1266-AS1266))/AS1266)))</f>
        <v/>
      </c>
      <c r="AY1266" s="53">
        <f>IF(AC1266&lt;=0,"",IF(BR1266="Aussen","Aussenlager",IF(BR1266="-","Nicht im Lift",IF(AH1266&gt;=1,"Lift",IF(AH1266&lt;=0,"Aussenlager","teilweise")))))</f>
        <v/>
      </c>
      <c r="AZ1266" s="53">
        <f>IF(AK1266&lt;=0,"",IF(BR1266="Aussen","Aussenlager",IF(BR1266="-","Nicht im Lift",IF(AP1266&gt;=1,"Lift",IF(AP1266&lt;=0,"Aussenlager","teilweise")))))</f>
        <v/>
      </c>
      <c r="BA1266" s="53">
        <f>IF(AS1266&lt;=0,"",IF(BR1266="Aussen","Aussenlager",IF(BR1266="-","Nicht im Lift",IF(AX1266&gt;=1,"Lift",IF(AX1266&lt;=0,"Aussenlager","teilweise")))))</f>
        <v/>
      </c>
      <c r="BB1266" s="53">
        <f>IF(A1266="","",IF(BK1266=1,"Neu; ","")&amp;IF(AND(BK1266=0,BF1266&lt;0),"negativer Bestand (Export "&amp;BF1266&amp;"); ","")&amp;IF(I1266&lt;=0,"Kein Verbrauch; ","")&amp;IF(BO1266=1,"Lose – Fläche geschätzt; ","")&amp;IF(G1266&gt;AM1266,"Überbestand "&amp;ROUND(G1266-AM1266,0)&amp;" Stk / CHF "&amp;ROUND((G1266-AM1266)*F1266,0)&amp;"; ","")&amp;IF(AND(BT1266=1,BU1266&lt;BV1266),"MAX &lt; MB+LG; ","")&amp;IF(AND(BZ1266&gt;0,BY1266*10&gt;BZ1266),"zu hoch für Tablar; ","")&amp;IF(AND(BK1266=0,OR(BT1266=1,V1266&lt;&gt;"",S1266&lt;&gt;"",T1266&lt;&gt;"",W1266&lt;&gt;"")),"manuell übersteuert; ","")&amp;IF(AND(BO1266=0,Q1266=0),"Gebinde unbekannt; ","")&amp;IF(AND(BO1266=0,N(T1266)&lt;=0,N(P1266)&lt;=0),"Menge pro Gebinde fehlt (Ist = 1 Gebinde); ","")&amp;BJ1266)</f>
        <v/>
      </c>
      <c r="BC1266" s="53" t="n"/>
      <c r="BD1266" s="53" t="n"/>
      <c r="BE1266" s="61" t="n"/>
      <c r="BF1266" s="55" t="n">
        <v>-296</v>
      </c>
      <c r="BG1266" s="55" t="n">
        <v>394</v>
      </c>
      <c r="BH1266" s="54" t="n">
        <v>-874.2000000000002</v>
      </c>
      <c r="BI1266" s="55" t="n">
        <v>370</v>
      </c>
      <c r="BJ1266" s="53" t="inlineStr"/>
      <c r="BK1266" s="58" t="n">
        <v>0</v>
      </c>
      <c r="BL1266" s="58" t="n">
        <v>1266</v>
      </c>
      <c r="BM1266" s="53">
        <f>IF(S1266&lt;&gt;"",UPPER(TRIM(S1266)),IF(O1266="","LOSE",O1266))</f>
        <v/>
      </c>
      <c r="BN1266" s="55">
        <f>IF(BM1266="LOSE",1,IF(N(T1266)&gt;0,T1266,IF(N(P1266)&gt;0,P1266,MAX(1,G1266))))</f>
        <v/>
      </c>
      <c r="BO1266" s="58">
        <f>IF(BM1266="LOSE",1,0)</f>
        <v/>
      </c>
      <c r="BP1266" s="64">
        <f>IF(BO1266=0,0,IF(N(R1266)&gt;0,R1266,IFERROR(VLOOKUP(D1266,Parameter!$A$35:$C$64,3,0)+0,0)))</f>
        <v/>
      </c>
      <c r="BQ1266" s="53">
        <f>IF(V1266&lt;&gt;"",V1266,U1266)</f>
        <v/>
      </c>
      <c r="BR1266" s="53">
        <f>IF(BQ1266=1,"L1",IF(OR(BQ1266=2,BQ1266=3),"L23",IF(BQ1266="Aussen","Aussen","-")))</f>
        <v/>
      </c>
      <c r="BS1266" s="66">
        <f>IF(N(W1266)&gt;0,W1266,0)</f>
        <v/>
      </c>
      <c r="BT1266" s="58">
        <f>IF(ISNUMBER(Z1266),1,0)</f>
        <v/>
      </c>
      <c r="BU1266" s="55">
        <f>N(Z1266)</f>
        <v/>
      </c>
      <c r="BV1266" s="55">
        <f>N(L1266)+N(M1266)</f>
        <v/>
      </c>
      <c r="BW1266" s="55">
        <f>ROUNDUP(G1266/BN1266,0)</f>
        <v/>
      </c>
      <c r="BX1266" s="55">
        <f>ROUNDUP(BU1266/BN1266,0)</f>
        <v/>
      </c>
      <c r="BY1266" s="58">
        <f>IF(BO1266=1,0,IFERROR(VLOOKUP(BM1266,'Gebinde-Kategorie'!$A$5:$G$45,5,0)+0,0))</f>
        <v/>
      </c>
      <c r="BZ1266" s="58">
        <f>IFERROR(IF(OR(BQ1266=1,BQ1266=2,BQ1266=3),N(INDEX(Parameter!$I$5:$I$7,BQ1266)),0),0)</f>
        <v/>
      </c>
    </row>
    <row r="1267">
      <c r="A1267" s="53" t="inlineStr">
        <is>
          <t>OC-107047</t>
        </is>
      </c>
      <c r="B1267" s="53" t="inlineStr">
        <is>
          <t>Konstanthänger komplett</t>
        </is>
      </c>
      <c r="C1267" s="53" t="inlineStr">
        <is>
          <t>F</t>
        </is>
      </c>
      <c r="D1267" s="53" t="inlineStr">
        <is>
          <t>OCC</t>
        </is>
      </c>
      <c r="E1267" s="53" t="inlineStr">
        <is>
          <t>C</t>
        </is>
      </c>
      <c r="F1267" s="54" t="n">
        <v>441.82</v>
      </c>
      <c r="G1267" s="55">
        <f>MAX(0,IF(Parameter!$B$20="Jahresanfang 2025 + Export",BG1267+BF1267,BF1267))</f>
        <v/>
      </c>
      <c r="H1267" s="55">
        <f>G1267*F1267</f>
        <v/>
      </c>
      <c r="I1267" s="55">
        <f>BI1267*Parameter!$B$18</f>
        <v/>
      </c>
      <c r="J1267" s="56" t="n">
        <v>1</v>
      </c>
      <c r="K1267" s="57" t="n">
        <v>0</v>
      </c>
      <c r="L1267" s="55" t="n">
        <v>0</v>
      </c>
      <c r="M1267" s="55" t="n">
        <v>1</v>
      </c>
      <c r="N1267" s="58" t="n">
        <v>0</v>
      </c>
      <c r="O1267" s="53" t="inlineStr">
        <is>
          <t>LOSE</t>
        </is>
      </c>
      <c r="P1267" s="55" t="n"/>
      <c r="Q1267" s="59">
        <f>IF(BO1267=1,0,IFERROR(VLOOKUP(BM1267,'Gebinde-Kategorie'!$A$5:$G$45,6,0)+0,0))</f>
        <v/>
      </c>
      <c r="R1267" s="60" t="n"/>
      <c r="S1267" s="61" t="n"/>
      <c r="T1267" s="61" t="n"/>
      <c r="U1267" s="53">
        <f>IF(A1267="","",IF(IFERROR(VLOOKUP(D1267,Parameter!$A$35:$C$64,2,0),"Nein")="2+3",IF(ISNUMBER(SEARCH("grosser Artikel",BJ1267)),2,IFERROR(VLOOKUP(BM1267,Parameter!$F$35:$G$64,2,0),2)),IF(OR(IFERROR(VLOOKUP(D1267,Parameter!$A$35:$C$64,2,0),"Nein")="Nein",IFERROR(VLOOKUP(D1267,Parameter!$A$35:$C$64,2,0),"Nein")=""),"-",VLOOKUP(D1267,Parameter!$A$35:$C$64,2,0))))</f>
        <v/>
      </c>
      <c r="V1267" s="61" t="n"/>
      <c r="W1267" s="62" t="n"/>
      <c r="X1267" s="55">
        <f>AM1267</f>
        <v/>
      </c>
      <c r="Y1267" s="55">
        <f>MAX(AM1267,G1267)</f>
        <v/>
      </c>
      <c r="Z1267" s="63" t="n"/>
      <c r="AA1267" s="55">
        <f>IF(LEFT(Cockpit!$C$5,1)="A",G1267,IF(BT1267=1,BU1267,IF(LEFT(Cockpit!$C$5,1)="B",AE1267,MAX(AE1267,G1267))))</f>
        <v/>
      </c>
      <c r="AB1267" s="55">
        <f>IF(BO1267=1,0,ROUNDUP(AA1267/BN1267,0))</f>
        <v/>
      </c>
      <c r="AC1267" s="64">
        <f>IF(BO1267=1,IF(AA1267&lt;=0,0,BP1267*MAX(1,IF(G1267&gt;0,AA1267/G1267,1))),AB1267*Q1267)</f>
        <v/>
      </c>
      <c r="AD1267" s="55">
        <f>AA1267*F1267</f>
        <v/>
      </c>
      <c r="AE1267" s="55">
        <f>ROUNDUP(MAX(I1267/IF(BS1267&gt;0,BS1267,MAX(0.1,N(Cockpit!$C$6))),BV1267)/BN1267,0)*BN1267</f>
        <v/>
      </c>
      <c r="AF1267" s="56">
        <f>IF(AC1267&gt;0,I1267/AC1267,-1)</f>
        <v/>
      </c>
      <c r="AG1267" s="56">
        <f>IF(AND(OR(BR1267="L1",BR1267="L23"),AC1267&gt;0),SUMIFS($AC$7:$AC$1570,$BR$7:$BR$1570,BR1267,$AF$7:$AF$1570,"&gt;"&amp;AF1267)+SUMIFS($AC$7:$AC$1570,$BR$7:$BR$1570,BR1267,$AF$7:$AF$1570,AF1267,$BL$7:$BL$1570,"&lt;="&amp;BL1267),"")</f>
        <v/>
      </c>
      <c r="AH1267" s="65">
        <f>IF(AG1267="",0,MAX(0,MIN(1,(IF(BR1267="L1",Parameter!$K$5,Parameter!$K$6+Parameter!$K$7)-(AG1267-AC1267))/AC1267)))</f>
        <v/>
      </c>
      <c r="AI1267" s="55">
        <f>IF(LEFT(Cockpit!$I$5,1)="A",G1267,IF(BT1267=1,BU1267,IF(LEFT(Cockpit!$I$5,1)="B",AM1267,MAX(AM1267,G1267))))</f>
        <v/>
      </c>
      <c r="AJ1267" s="55">
        <f>IF(BO1267=1,0,ROUNDUP(AI1267/BN1267,0))</f>
        <v/>
      </c>
      <c r="AK1267" s="64">
        <f>IF(BO1267=1,IF(AI1267&lt;=0,0,BP1267*MAX(1,IF(G1267&gt;0,AI1267/G1267,1))),AJ1267*Q1267)</f>
        <v/>
      </c>
      <c r="AL1267" s="55">
        <f>AI1267*F1267</f>
        <v/>
      </c>
      <c r="AM1267" s="55">
        <f>ROUNDUP(MAX(I1267/IF(BS1267&gt;0,BS1267,MAX(0.1,N(Cockpit!$I$6))),BV1267)/BN1267,0)*BN1267</f>
        <v/>
      </c>
      <c r="AN1267" s="56">
        <f>IF(AK1267&gt;0,I1267/AK1267,-1)</f>
        <v/>
      </c>
      <c r="AO1267" s="56">
        <f>IF(AND(OR(BR1267="L1",BR1267="L23"),AK1267&gt;0),SUMIFS($AK$7:$AK$1570,$BR$7:$BR$1570,BR1267,$AN$7:$AN$1570,"&gt;"&amp;AN1267)+SUMIFS($AK$7:$AK$1570,$BR$7:$BR$1570,BR1267,$AN$7:$AN$1570,AN1267,$BL$7:$BL$1570,"&lt;="&amp;BL1267),"")</f>
        <v/>
      </c>
      <c r="AP1267" s="65">
        <f>IF(AO1267="",0,MAX(0,MIN(1,(IF(BR1267="L1",Parameter!$K$5,Parameter!$K$6+Parameter!$K$7)-(AO1267-AK1267))/AK1267)))</f>
        <v/>
      </c>
      <c r="AQ1267" s="55">
        <f>IF(LEFT(Cockpit!$O$5,1)="A",G1267,IF(BT1267=1,BU1267,IF(LEFT(Cockpit!$O$5,1)="B",AU1267,MAX(AU1267,G1267))))</f>
        <v/>
      </c>
      <c r="AR1267" s="55">
        <f>IF(BO1267=1,0,ROUNDUP(AQ1267/BN1267,0))</f>
        <v/>
      </c>
      <c r="AS1267" s="64">
        <f>IF(BO1267=1,IF(AQ1267&lt;=0,0,BP1267*MAX(1,IF(G1267&gt;0,AQ1267/G1267,1))),AR1267*Q1267)</f>
        <v/>
      </c>
      <c r="AT1267" s="55">
        <f>AQ1267*F1267</f>
        <v/>
      </c>
      <c r="AU1267" s="55">
        <f>ROUNDUP(MAX(I1267/IF(BS1267&gt;0,BS1267,MAX(0.1,N(Cockpit!$O$6))),BV1267)/BN1267,0)*BN1267</f>
        <v/>
      </c>
      <c r="AV1267" s="56">
        <f>IF(AS1267&gt;0,I1267/AS1267,-1)</f>
        <v/>
      </c>
      <c r="AW1267" s="56">
        <f>IF(AND(OR(BR1267="L1",BR1267="L23"),AS1267&gt;0),SUMIFS($AS$7:$AS$1570,$BR$7:$BR$1570,BR1267,$AV$7:$AV$1570,"&gt;"&amp;AV1267)+SUMIFS($AS$7:$AS$1570,$BR$7:$BR$1570,BR1267,$AV$7:$AV$1570,AV1267,$BL$7:$BL$1570,"&lt;="&amp;BL1267),"")</f>
        <v/>
      </c>
      <c r="AX1267" s="65">
        <f>IF(AW1267="",0,MAX(0,MIN(1,(IF(BR1267="L1",Parameter!$K$5,Parameter!$K$6+Parameter!$K$7)-(AW1267-AS1267))/AS1267)))</f>
        <v/>
      </c>
      <c r="AY1267" s="53">
        <f>IF(AC1267&lt;=0,"",IF(BR1267="Aussen","Aussenlager",IF(BR1267="-","Nicht im Lift",IF(AH1267&gt;=1,"Lift",IF(AH1267&lt;=0,"Aussenlager","teilweise")))))</f>
        <v/>
      </c>
      <c r="AZ1267" s="53">
        <f>IF(AK1267&lt;=0,"",IF(BR1267="Aussen","Aussenlager",IF(BR1267="-","Nicht im Lift",IF(AP1267&gt;=1,"Lift",IF(AP1267&lt;=0,"Aussenlager","teilweise")))))</f>
        <v/>
      </c>
      <c r="BA1267" s="53">
        <f>IF(AS1267&lt;=0,"",IF(BR1267="Aussen","Aussenlager",IF(BR1267="-","Nicht im Lift",IF(AX1267&gt;=1,"Lift",IF(AX1267&lt;=0,"Aussenlager","teilweise")))))</f>
        <v/>
      </c>
      <c r="BB1267" s="53">
        <f>IF(A1267="","",IF(BK1267=1,"Neu; ","")&amp;IF(AND(BK1267=0,BF1267&lt;0),"negativer Bestand (Export "&amp;BF1267&amp;"); ","")&amp;IF(I1267&lt;=0,"Kein Verbrauch; ","")&amp;IF(BO1267=1,"Lose – Fläche geschätzt; ","")&amp;IF(G1267&gt;AM1267,"Überbestand "&amp;ROUND(G1267-AM1267,0)&amp;" Stk / CHF "&amp;ROUND((G1267-AM1267)*F1267,0)&amp;"; ","")&amp;IF(AND(BT1267=1,BU1267&lt;BV1267),"MAX &lt; MB+LG; ","")&amp;IF(AND(BZ1267&gt;0,BY1267*10&gt;BZ1267),"zu hoch für Tablar; ","")&amp;IF(AND(BK1267=0,OR(BT1267=1,V1267&lt;&gt;"",S1267&lt;&gt;"",T1267&lt;&gt;"",W1267&lt;&gt;"")),"manuell übersteuert; ","")&amp;IF(AND(BO1267=0,Q1267=0),"Gebinde unbekannt; ","")&amp;IF(AND(BO1267=0,N(T1267)&lt;=0,N(P1267)&lt;=0),"Menge pro Gebinde fehlt (Ist = 1 Gebinde); ","")&amp;BJ1267)</f>
        <v/>
      </c>
      <c r="BC1267" s="53" t="n"/>
      <c r="BD1267" s="53" t="n"/>
      <c r="BE1267" s="61" t="n"/>
      <c r="BF1267" s="55" t="n">
        <v>-2</v>
      </c>
      <c r="BG1267" s="55" t="n">
        <v>2</v>
      </c>
      <c r="BH1267" s="54" t="n">
        <v>-883.64</v>
      </c>
      <c r="BI1267" s="55" t="n">
        <v>0</v>
      </c>
      <c r="BJ1267" s="53" t="inlineStr"/>
      <c r="BK1267" s="58" t="n">
        <v>0</v>
      </c>
      <c r="BL1267" s="58" t="n">
        <v>1267</v>
      </c>
      <c r="BM1267" s="53">
        <f>IF(S1267&lt;&gt;"",UPPER(TRIM(S1267)),IF(O1267="","LOSE",O1267))</f>
        <v/>
      </c>
      <c r="BN1267" s="55">
        <f>IF(BM1267="LOSE",1,IF(N(T1267)&gt;0,T1267,IF(N(P1267)&gt;0,P1267,MAX(1,G1267))))</f>
        <v/>
      </c>
      <c r="BO1267" s="58">
        <f>IF(BM1267="LOSE",1,0)</f>
        <v/>
      </c>
      <c r="BP1267" s="64">
        <f>IF(BO1267=0,0,IF(N(R1267)&gt;0,R1267,IFERROR(VLOOKUP(D1267,Parameter!$A$35:$C$64,3,0)+0,0)))</f>
        <v/>
      </c>
      <c r="BQ1267" s="53">
        <f>IF(V1267&lt;&gt;"",V1267,U1267)</f>
        <v/>
      </c>
      <c r="BR1267" s="53">
        <f>IF(BQ1267=1,"L1",IF(OR(BQ1267=2,BQ1267=3),"L23",IF(BQ1267="Aussen","Aussen","-")))</f>
        <v/>
      </c>
      <c r="BS1267" s="66">
        <f>IF(N(W1267)&gt;0,W1267,0)</f>
        <v/>
      </c>
      <c r="BT1267" s="58">
        <f>IF(ISNUMBER(Z1267),1,0)</f>
        <v/>
      </c>
      <c r="BU1267" s="55">
        <f>N(Z1267)</f>
        <v/>
      </c>
      <c r="BV1267" s="55">
        <f>N(L1267)+N(M1267)</f>
        <v/>
      </c>
      <c r="BW1267" s="55">
        <f>ROUNDUP(G1267/BN1267,0)</f>
        <v/>
      </c>
      <c r="BX1267" s="55">
        <f>ROUNDUP(BU1267/BN1267,0)</f>
        <v/>
      </c>
      <c r="BY1267" s="58">
        <f>IF(BO1267=1,0,IFERROR(VLOOKUP(BM1267,'Gebinde-Kategorie'!$A$5:$G$45,5,0)+0,0))</f>
        <v/>
      </c>
      <c r="BZ1267" s="58">
        <f>IFERROR(IF(OR(BQ1267=1,BQ1267=2,BQ1267=3),N(INDEX(Parameter!$I$5:$I$7,BQ1267)),0),0)</f>
        <v/>
      </c>
    </row>
    <row r="1268">
      <c r="A1268" s="53" t="inlineStr">
        <is>
          <t>108086</t>
        </is>
      </c>
      <c r="B1268" s="53" t="inlineStr">
        <is>
          <t>Innenbox SPGr16 SVC2 1/4</t>
        </is>
      </c>
      <c r="C1268" s="53" t="inlineStr">
        <is>
          <t>G</t>
        </is>
      </c>
      <c r="D1268" s="53" t="inlineStr">
        <is>
          <t>PAL</t>
        </is>
      </c>
      <c r="E1268" s="53" t="inlineStr">
        <is>
          <t>C</t>
        </is>
      </c>
      <c r="F1268" s="54" t="n">
        <v>132.27</v>
      </c>
      <c r="G1268" s="55">
        <f>MAX(0,IF(Parameter!$B$20="Jahresanfang 2025 + Export",BG1268+BF1268,BF1268))</f>
        <v/>
      </c>
      <c r="H1268" s="55">
        <f>G1268*F1268</f>
        <v/>
      </c>
      <c r="I1268" s="55">
        <f>BI1268*Parameter!$B$18</f>
        <v/>
      </c>
      <c r="J1268" s="56" t="n">
        <v>3.5</v>
      </c>
      <c r="K1268" s="57" t="n">
        <v>0</v>
      </c>
      <c r="L1268" s="55" t="n">
        <v>0</v>
      </c>
      <c r="M1268" s="55" t="n">
        <v>1</v>
      </c>
      <c r="N1268" s="58" t="n">
        <v>56</v>
      </c>
      <c r="O1268" s="53" t="inlineStr">
        <is>
          <t>LOSE</t>
        </is>
      </c>
      <c r="P1268" s="55" t="n"/>
      <c r="Q1268" s="59">
        <f>IF(BO1268=1,0,IFERROR(VLOOKUP(BM1268,'Gebinde-Kategorie'!$A$5:$G$45,6,0)+0,0))</f>
        <v/>
      </c>
      <c r="R1268" s="60" t="n"/>
      <c r="S1268" s="61" t="n"/>
      <c r="T1268" s="61" t="n"/>
      <c r="U1268" s="53">
        <f>IF(A1268="","",IF(IFERROR(VLOOKUP(D1268,Parameter!$A$35:$C$64,2,0),"Nein")="2+3",IF(ISNUMBER(SEARCH("grosser Artikel",BJ1268)),2,IFERROR(VLOOKUP(BM1268,Parameter!$F$35:$G$64,2,0),2)),IF(OR(IFERROR(VLOOKUP(D1268,Parameter!$A$35:$C$64,2,0),"Nein")="Nein",IFERROR(VLOOKUP(D1268,Parameter!$A$35:$C$64,2,0),"Nein")=""),"-",VLOOKUP(D1268,Parameter!$A$35:$C$64,2,0))))</f>
        <v/>
      </c>
      <c r="V1268" s="61" t="n"/>
      <c r="W1268" s="62" t="n"/>
      <c r="X1268" s="55">
        <f>AM1268</f>
        <v/>
      </c>
      <c r="Y1268" s="55">
        <f>MAX(AM1268,G1268)</f>
        <v/>
      </c>
      <c r="Z1268" s="63" t="n"/>
      <c r="AA1268" s="55">
        <f>IF(LEFT(Cockpit!$C$5,1)="A",G1268,IF(BT1268=1,BU1268,IF(LEFT(Cockpit!$C$5,1)="B",AE1268,MAX(AE1268,G1268))))</f>
        <v/>
      </c>
      <c r="AB1268" s="55">
        <f>IF(BO1268=1,0,ROUNDUP(AA1268/BN1268,0))</f>
        <v/>
      </c>
      <c r="AC1268" s="64">
        <f>IF(BO1268=1,IF(AA1268&lt;=0,0,BP1268*MAX(1,IF(G1268&gt;0,AA1268/G1268,1))),AB1268*Q1268)</f>
        <v/>
      </c>
      <c r="AD1268" s="55">
        <f>AA1268*F1268</f>
        <v/>
      </c>
      <c r="AE1268" s="55">
        <f>ROUNDUP(MAX(I1268/IF(BS1268&gt;0,BS1268,MAX(0.1,N(Cockpit!$C$6))),BV1268)/BN1268,0)*BN1268</f>
        <v/>
      </c>
      <c r="AF1268" s="56">
        <f>IF(AC1268&gt;0,I1268/AC1268,-1)</f>
        <v/>
      </c>
      <c r="AG1268" s="56">
        <f>IF(AND(OR(BR1268="L1",BR1268="L23"),AC1268&gt;0),SUMIFS($AC$7:$AC$1570,$BR$7:$BR$1570,BR1268,$AF$7:$AF$1570,"&gt;"&amp;AF1268)+SUMIFS($AC$7:$AC$1570,$BR$7:$BR$1570,BR1268,$AF$7:$AF$1570,AF1268,$BL$7:$BL$1570,"&lt;="&amp;BL1268),"")</f>
        <v/>
      </c>
      <c r="AH1268" s="65">
        <f>IF(AG1268="",0,MAX(0,MIN(1,(IF(BR1268="L1",Parameter!$K$5,Parameter!$K$6+Parameter!$K$7)-(AG1268-AC1268))/AC1268)))</f>
        <v/>
      </c>
      <c r="AI1268" s="55">
        <f>IF(LEFT(Cockpit!$I$5,1)="A",G1268,IF(BT1268=1,BU1268,IF(LEFT(Cockpit!$I$5,1)="B",AM1268,MAX(AM1268,G1268))))</f>
        <v/>
      </c>
      <c r="AJ1268" s="55">
        <f>IF(BO1268=1,0,ROUNDUP(AI1268/BN1268,0))</f>
        <v/>
      </c>
      <c r="AK1268" s="64">
        <f>IF(BO1268=1,IF(AI1268&lt;=0,0,BP1268*MAX(1,IF(G1268&gt;0,AI1268/G1268,1))),AJ1268*Q1268)</f>
        <v/>
      </c>
      <c r="AL1268" s="55">
        <f>AI1268*F1268</f>
        <v/>
      </c>
      <c r="AM1268" s="55">
        <f>ROUNDUP(MAX(I1268/IF(BS1268&gt;0,BS1268,MAX(0.1,N(Cockpit!$I$6))),BV1268)/BN1268,0)*BN1268</f>
        <v/>
      </c>
      <c r="AN1268" s="56">
        <f>IF(AK1268&gt;0,I1268/AK1268,-1)</f>
        <v/>
      </c>
      <c r="AO1268" s="56">
        <f>IF(AND(OR(BR1268="L1",BR1268="L23"),AK1268&gt;0),SUMIFS($AK$7:$AK$1570,$BR$7:$BR$1570,BR1268,$AN$7:$AN$1570,"&gt;"&amp;AN1268)+SUMIFS($AK$7:$AK$1570,$BR$7:$BR$1570,BR1268,$AN$7:$AN$1570,AN1268,$BL$7:$BL$1570,"&lt;="&amp;BL1268),"")</f>
        <v/>
      </c>
      <c r="AP1268" s="65">
        <f>IF(AO1268="",0,MAX(0,MIN(1,(IF(BR1268="L1",Parameter!$K$5,Parameter!$K$6+Parameter!$K$7)-(AO1268-AK1268))/AK1268)))</f>
        <v/>
      </c>
      <c r="AQ1268" s="55">
        <f>IF(LEFT(Cockpit!$O$5,1)="A",G1268,IF(BT1268=1,BU1268,IF(LEFT(Cockpit!$O$5,1)="B",AU1268,MAX(AU1268,G1268))))</f>
        <v/>
      </c>
      <c r="AR1268" s="55">
        <f>IF(BO1268=1,0,ROUNDUP(AQ1268/BN1268,0))</f>
        <v/>
      </c>
      <c r="AS1268" s="64">
        <f>IF(BO1268=1,IF(AQ1268&lt;=0,0,BP1268*MAX(1,IF(G1268&gt;0,AQ1268/G1268,1))),AR1268*Q1268)</f>
        <v/>
      </c>
      <c r="AT1268" s="55">
        <f>AQ1268*F1268</f>
        <v/>
      </c>
      <c r="AU1268" s="55">
        <f>ROUNDUP(MAX(I1268/IF(BS1268&gt;0,BS1268,MAX(0.1,N(Cockpit!$O$6))),BV1268)/BN1268,0)*BN1268</f>
        <v/>
      </c>
      <c r="AV1268" s="56">
        <f>IF(AS1268&gt;0,I1268/AS1268,-1)</f>
        <v/>
      </c>
      <c r="AW1268" s="56">
        <f>IF(AND(OR(BR1268="L1",BR1268="L23"),AS1268&gt;0),SUMIFS($AS$7:$AS$1570,$BR$7:$BR$1570,BR1268,$AV$7:$AV$1570,"&gt;"&amp;AV1268)+SUMIFS($AS$7:$AS$1570,$BR$7:$BR$1570,BR1268,$AV$7:$AV$1570,AV1268,$BL$7:$BL$1570,"&lt;="&amp;BL1268),"")</f>
        <v/>
      </c>
      <c r="AX1268" s="65">
        <f>IF(AW1268="",0,MAX(0,MIN(1,(IF(BR1268="L1",Parameter!$K$5,Parameter!$K$6+Parameter!$K$7)-(AW1268-AS1268))/AS1268)))</f>
        <v/>
      </c>
      <c r="AY1268" s="53">
        <f>IF(AC1268&lt;=0,"",IF(BR1268="Aussen","Aussenlager",IF(BR1268="-","Nicht im Lift",IF(AH1268&gt;=1,"Lift",IF(AH1268&lt;=0,"Aussenlager","teilweise")))))</f>
        <v/>
      </c>
      <c r="AZ1268" s="53">
        <f>IF(AK1268&lt;=0,"",IF(BR1268="Aussen","Aussenlager",IF(BR1268="-","Nicht im Lift",IF(AP1268&gt;=1,"Lift",IF(AP1268&lt;=0,"Aussenlager","teilweise")))))</f>
        <v/>
      </c>
      <c r="BA1268" s="53">
        <f>IF(AS1268&lt;=0,"",IF(BR1268="Aussen","Aussenlager",IF(BR1268="-","Nicht im Lift",IF(AX1268&gt;=1,"Lift",IF(AX1268&lt;=0,"Aussenlager","teilweise")))))</f>
        <v/>
      </c>
      <c r="BB1268" s="53">
        <f>IF(A1268="","",IF(BK1268=1,"Neu; ","")&amp;IF(AND(BK1268=0,BF1268&lt;0),"negativer Bestand (Export "&amp;BF1268&amp;"); ","")&amp;IF(I1268&lt;=0,"Kein Verbrauch; ","")&amp;IF(BO1268=1,"Lose – Fläche geschätzt; ","")&amp;IF(G1268&gt;AM1268,"Überbestand "&amp;ROUND(G1268-AM1268,0)&amp;" Stk / CHF "&amp;ROUND((G1268-AM1268)*F1268,0)&amp;"; ","")&amp;IF(AND(BT1268=1,BU1268&lt;BV1268),"MAX &lt; MB+LG; ","")&amp;IF(AND(BZ1268&gt;0,BY1268*10&gt;BZ1268),"zu hoch für Tablar; ","")&amp;IF(AND(BK1268=0,OR(BT1268=1,V1268&lt;&gt;"",S1268&lt;&gt;"",T1268&lt;&gt;"",W1268&lt;&gt;"")),"manuell übersteuert; ","")&amp;IF(AND(BO1268=0,Q1268=0),"Gebinde unbekannt; ","")&amp;IF(AND(BO1268=0,N(T1268)&lt;=0,N(P1268)&lt;=0),"Menge pro Gebinde fehlt (Ist = 1 Gebinde); ","")&amp;BJ1268)</f>
        <v/>
      </c>
      <c r="BC1268" s="53" t="n"/>
      <c r="BD1268" s="53" t="n"/>
      <c r="BE1268" s="61" t="n"/>
      <c r="BF1268" s="55" t="n">
        <v>-7</v>
      </c>
      <c r="BG1268" s="55" t="n">
        <v>7</v>
      </c>
      <c r="BH1268" s="54" t="n">
        <v>-925.89</v>
      </c>
      <c r="BI1268" s="55" t="n">
        <v>0</v>
      </c>
      <c r="BJ1268" s="53" t="inlineStr">
        <is>
          <t>Neuer Art.</t>
        </is>
      </c>
      <c r="BK1268" s="58" t="n">
        <v>0</v>
      </c>
      <c r="BL1268" s="58" t="n">
        <v>1268</v>
      </c>
      <c r="BM1268" s="53">
        <f>IF(S1268&lt;&gt;"",UPPER(TRIM(S1268)),IF(O1268="","LOSE",O1268))</f>
        <v/>
      </c>
      <c r="BN1268" s="55">
        <f>IF(BM1268="LOSE",1,IF(N(T1268)&gt;0,T1268,IF(N(P1268)&gt;0,P1268,MAX(1,G1268))))</f>
        <v/>
      </c>
      <c r="BO1268" s="58">
        <f>IF(BM1268="LOSE",1,0)</f>
        <v/>
      </c>
      <c r="BP1268" s="64">
        <f>IF(BO1268=0,0,IF(N(R1268)&gt;0,R1268,IFERROR(VLOOKUP(D1268,Parameter!$A$35:$C$64,3,0)+0,0)))</f>
        <v/>
      </c>
      <c r="BQ1268" s="53">
        <f>IF(V1268&lt;&gt;"",V1268,U1268)</f>
        <v/>
      </c>
      <c r="BR1268" s="53">
        <f>IF(BQ1268=1,"L1",IF(OR(BQ1268=2,BQ1268=3),"L23",IF(BQ1268="Aussen","Aussen","-")))</f>
        <v/>
      </c>
      <c r="BS1268" s="66">
        <f>IF(N(W1268)&gt;0,W1268,0)</f>
        <v/>
      </c>
      <c r="BT1268" s="58">
        <f>IF(ISNUMBER(Z1268),1,0)</f>
        <v/>
      </c>
      <c r="BU1268" s="55">
        <f>N(Z1268)</f>
        <v/>
      </c>
      <c r="BV1268" s="55">
        <f>N(L1268)+N(M1268)</f>
        <v/>
      </c>
      <c r="BW1268" s="55">
        <f>ROUNDUP(G1268/BN1268,0)</f>
        <v/>
      </c>
      <c r="BX1268" s="55">
        <f>ROUNDUP(BU1268/BN1268,0)</f>
        <v/>
      </c>
      <c r="BY1268" s="58">
        <f>IF(BO1268=1,0,IFERROR(VLOOKUP(BM1268,'Gebinde-Kategorie'!$A$5:$G$45,5,0)+0,0))</f>
        <v/>
      </c>
      <c r="BZ1268" s="58">
        <f>IFERROR(IF(OR(BQ1268=1,BQ1268=2,BQ1268=3),N(INDEX(Parameter!$I$5:$I$7,BQ1268)),0),0)</f>
        <v/>
      </c>
    </row>
    <row r="1269">
      <c r="A1269" s="53" t="inlineStr">
        <is>
          <t>108497</t>
        </is>
      </c>
      <c r="B1269" s="53" t="inlineStr">
        <is>
          <t>Etikette KKS EG10-Serie/SPGr</t>
        </is>
      </c>
      <c r="C1269" s="53" t="inlineStr">
        <is>
          <t>F</t>
        </is>
      </c>
      <c r="D1269" s="53" t="inlineStr">
        <is>
          <t>KTL</t>
        </is>
      </c>
      <c r="E1269" s="53" t="inlineStr">
        <is>
          <t>C</t>
        </is>
      </c>
      <c r="F1269" s="54" t="n">
        <v>5.02</v>
      </c>
      <c r="G1269" s="55">
        <f>MAX(0,IF(Parameter!$B$20="Jahresanfang 2025 + Export",BG1269+BF1269,BF1269))</f>
        <v/>
      </c>
      <c r="H1269" s="55">
        <f>G1269*F1269</f>
        <v/>
      </c>
      <c r="I1269" s="55">
        <f>BI1269*Parameter!$B$18</f>
        <v/>
      </c>
      <c r="J1269" s="56" t="n">
        <v>83</v>
      </c>
      <c r="K1269" s="57" t="n">
        <v>3.987951807228916</v>
      </c>
      <c r="L1269" s="55" t="n">
        <v>0</v>
      </c>
      <c r="M1269" s="55" t="n">
        <v>330</v>
      </c>
      <c r="N1269" s="58" t="n">
        <v>28</v>
      </c>
      <c r="O1269" s="53" t="inlineStr">
        <is>
          <t>LOSE</t>
        </is>
      </c>
      <c r="P1269" s="55" t="n"/>
      <c r="Q1269" s="59">
        <f>IF(BO1269=1,0,IFERROR(VLOOKUP(BM1269,'Gebinde-Kategorie'!$A$5:$G$45,6,0)+0,0))</f>
        <v/>
      </c>
      <c r="R1269" s="60" t="n"/>
      <c r="S1269" s="61" t="n"/>
      <c r="T1269" s="61" t="n"/>
      <c r="U1269" s="53">
        <f>IF(A1269="","",IF(IFERROR(VLOOKUP(D1269,Parameter!$A$35:$C$64,2,0),"Nein")="2+3",IF(ISNUMBER(SEARCH("grosser Artikel",BJ1269)),2,IFERROR(VLOOKUP(BM1269,Parameter!$F$35:$G$64,2,0),2)),IF(OR(IFERROR(VLOOKUP(D1269,Parameter!$A$35:$C$64,2,0),"Nein")="Nein",IFERROR(VLOOKUP(D1269,Parameter!$A$35:$C$64,2,0),"Nein")=""),"-",VLOOKUP(D1269,Parameter!$A$35:$C$64,2,0))))</f>
        <v/>
      </c>
      <c r="V1269" s="61" t="n"/>
      <c r="W1269" s="62" t="n"/>
      <c r="X1269" s="55">
        <f>AM1269</f>
        <v/>
      </c>
      <c r="Y1269" s="55">
        <f>MAX(AM1269,G1269)</f>
        <v/>
      </c>
      <c r="Z1269" s="63" t="n"/>
      <c r="AA1269" s="55">
        <f>IF(LEFT(Cockpit!$C$5,1)="A",G1269,IF(BT1269=1,BU1269,IF(LEFT(Cockpit!$C$5,1)="B",AE1269,MAX(AE1269,G1269))))</f>
        <v/>
      </c>
      <c r="AB1269" s="55">
        <f>IF(BO1269=1,0,ROUNDUP(AA1269/BN1269,0))</f>
        <v/>
      </c>
      <c r="AC1269" s="64">
        <f>IF(BO1269=1,IF(AA1269&lt;=0,0,BP1269*MAX(1,IF(G1269&gt;0,AA1269/G1269,1))),AB1269*Q1269)</f>
        <v/>
      </c>
      <c r="AD1269" s="55">
        <f>AA1269*F1269</f>
        <v/>
      </c>
      <c r="AE1269" s="55">
        <f>ROUNDUP(MAX(I1269/IF(BS1269&gt;0,BS1269,MAX(0.1,N(Cockpit!$C$6))),BV1269)/BN1269,0)*BN1269</f>
        <v/>
      </c>
      <c r="AF1269" s="56">
        <f>IF(AC1269&gt;0,I1269/AC1269,-1)</f>
        <v/>
      </c>
      <c r="AG1269" s="56">
        <f>IF(AND(OR(BR1269="L1",BR1269="L23"),AC1269&gt;0),SUMIFS($AC$7:$AC$1570,$BR$7:$BR$1570,BR1269,$AF$7:$AF$1570,"&gt;"&amp;AF1269)+SUMIFS($AC$7:$AC$1570,$BR$7:$BR$1570,BR1269,$AF$7:$AF$1570,AF1269,$BL$7:$BL$1570,"&lt;="&amp;BL1269),"")</f>
        <v/>
      </c>
      <c r="AH1269" s="65">
        <f>IF(AG1269="",0,MAX(0,MIN(1,(IF(BR1269="L1",Parameter!$K$5,Parameter!$K$6+Parameter!$K$7)-(AG1269-AC1269))/AC1269)))</f>
        <v/>
      </c>
      <c r="AI1269" s="55">
        <f>IF(LEFT(Cockpit!$I$5,1)="A",G1269,IF(BT1269=1,BU1269,IF(LEFT(Cockpit!$I$5,1)="B",AM1269,MAX(AM1269,G1269))))</f>
        <v/>
      </c>
      <c r="AJ1269" s="55">
        <f>IF(BO1269=1,0,ROUNDUP(AI1269/BN1269,0))</f>
        <v/>
      </c>
      <c r="AK1269" s="64">
        <f>IF(BO1269=1,IF(AI1269&lt;=0,0,BP1269*MAX(1,IF(G1269&gt;0,AI1269/G1269,1))),AJ1269*Q1269)</f>
        <v/>
      </c>
      <c r="AL1269" s="55">
        <f>AI1269*F1269</f>
        <v/>
      </c>
      <c r="AM1269" s="55">
        <f>ROUNDUP(MAX(I1269/IF(BS1269&gt;0,BS1269,MAX(0.1,N(Cockpit!$I$6))),BV1269)/BN1269,0)*BN1269</f>
        <v/>
      </c>
      <c r="AN1269" s="56">
        <f>IF(AK1269&gt;0,I1269/AK1269,-1)</f>
        <v/>
      </c>
      <c r="AO1269" s="56">
        <f>IF(AND(OR(BR1269="L1",BR1269="L23"),AK1269&gt;0),SUMIFS($AK$7:$AK$1570,$BR$7:$BR$1570,BR1269,$AN$7:$AN$1570,"&gt;"&amp;AN1269)+SUMIFS($AK$7:$AK$1570,$BR$7:$BR$1570,BR1269,$AN$7:$AN$1570,AN1269,$BL$7:$BL$1570,"&lt;="&amp;BL1269),"")</f>
        <v/>
      </c>
      <c r="AP1269" s="65">
        <f>IF(AO1269="",0,MAX(0,MIN(1,(IF(BR1269="L1",Parameter!$K$5,Parameter!$K$6+Parameter!$K$7)-(AO1269-AK1269))/AK1269)))</f>
        <v/>
      </c>
      <c r="AQ1269" s="55">
        <f>IF(LEFT(Cockpit!$O$5,1)="A",G1269,IF(BT1269=1,BU1269,IF(LEFT(Cockpit!$O$5,1)="B",AU1269,MAX(AU1269,G1269))))</f>
        <v/>
      </c>
      <c r="AR1269" s="55">
        <f>IF(BO1269=1,0,ROUNDUP(AQ1269/BN1269,0))</f>
        <v/>
      </c>
      <c r="AS1269" s="64">
        <f>IF(BO1269=1,IF(AQ1269&lt;=0,0,BP1269*MAX(1,IF(G1269&gt;0,AQ1269/G1269,1))),AR1269*Q1269)</f>
        <v/>
      </c>
      <c r="AT1269" s="55">
        <f>AQ1269*F1269</f>
        <v/>
      </c>
      <c r="AU1269" s="55">
        <f>ROUNDUP(MAX(I1269/IF(BS1269&gt;0,BS1269,MAX(0.1,N(Cockpit!$O$6))),BV1269)/BN1269,0)*BN1269</f>
        <v/>
      </c>
      <c r="AV1269" s="56">
        <f>IF(AS1269&gt;0,I1269/AS1269,-1)</f>
        <v/>
      </c>
      <c r="AW1269" s="56">
        <f>IF(AND(OR(BR1269="L1",BR1269="L23"),AS1269&gt;0),SUMIFS($AS$7:$AS$1570,$BR$7:$BR$1570,BR1269,$AV$7:$AV$1570,"&gt;"&amp;AV1269)+SUMIFS($AS$7:$AS$1570,$BR$7:$BR$1570,BR1269,$AV$7:$AV$1570,AV1269,$BL$7:$BL$1570,"&lt;="&amp;BL1269),"")</f>
        <v/>
      </c>
      <c r="AX1269" s="65">
        <f>IF(AW1269="",0,MAX(0,MIN(1,(IF(BR1269="L1",Parameter!$K$5,Parameter!$K$6+Parameter!$K$7)-(AW1269-AS1269))/AS1269)))</f>
        <v/>
      </c>
      <c r="AY1269" s="53">
        <f>IF(AC1269&lt;=0,"",IF(BR1269="Aussen","Aussenlager",IF(BR1269="-","Nicht im Lift",IF(AH1269&gt;=1,"Lift",IF(AH1269&lt;=0,"Aussenlager","teilweise")))))</f>
        <v/>
      </c>
      <c r="AZ1269" s="53">
        <f>IF(AK1269&lt;=0,"",IF(BR1269="Aussen","Aussenlager",IF(BR1269="-","Nicht im Lift",IF(AP1269&gt;=1,"Lift",IF(AP1269&lt;=0,"Aussenlager","teilweise")))))</f>
        <v/>
      </c>
      <c r="BA1269" s="53">
        <f>IF(AS1269&lt;=0,"",IF(BR1269="Aussen","Aussenlager",IF(BR1269="-","Nicht im Lift",IF(AX1269&gt;=1,"Lift",IF(AX1269&lt;=0,"Aussenlager","teilweise")))))</f>
        <v/>
      </c>
      <c r="BB1269" s="53">
        <f>IF(A1269="","",IF(BK1269=1,"Neu; ","")&amp;IF(AND(BK1269=0,BF1269&lt;0),"negativer Bestand (Export "&amp;BF1269&amp;"); ","")&amp;IF(I1269&lt;=0,"Kein Verbrauch; ","")&amp;IF(BO1269=1,"Lose – Fläche geschätzt; ","")&amp;IF(G1269&gt;AM1269,"Überbestand "&amp;ROUND(G1269-AM1269,0)&amp;" Stk / CHF "&amp;ROUND((G1269-AM1269)*F1269,0)&amp;"; ","")&amp;IF(AND(BT1269=1,BU1269&lt;BV1269),"MAX &lt; MB+LG; ","")&amp;IF(AND(BZ1269&gt;0,BY1269*10&gt;BZ1269),"zu hoch für Tablar; ","")&amp;IF(AND(BK1269=0,OR(BT1269=1,V1269&lt;&gt;"",S1269&lt;&gt;"",T1269&lt;&gt;"",W1269&lt;&gt;"")),"manuell übersteuert; ","")&amp;IF(AND(BO1269=0,Q1269=0),"Gebinde unbekannt; ","")&amp;IF(AND(BO1269=0,N(T1269)&lt;=0,N(P1269)&lt;=0),"Menge pro Gebinde fehlt (Ist = 1 Gebinde); ","")&amp;BJ1269)</f>
        <v/>
      </c>
      <c r="BC1269" s="53" t="n"/>
      <c r="BD1269" s="53" t="n"/>
      <c r="BE1269" s="61" t="n"/>
      <c r="BF1269" s="55" t="n">
        <v>-166</v>
      </c>
      <c r="BG1269" s="55" t="n">
        <v>166</v>
      </c>
      <c r="BH1269" s="54" t="n">
        <v>-929.6</v>
      </c>
      <c r="BI1269" s="55" t="n">
        <v>331</v>
      </c>
      <c r="BJ1269" s="53" t="inlineStr">
        <is>
          <t>BEI MARIO</t>
        </is>
      </c>
      <c r="BK1269" s="58" t="n">
        <v>0</v>
      </c>
      <c r="BL1269" s="58" t="n">
        <v>1269</v>
      </c>
      <c r="BM1269" s="53">
        <f>IF(S1269&lt;&gt;"",UPPER(TRIM(S1269)),IF(O1269="","LOSE",O1269))</f>
        <v/>
      </c>
      <c r="BN1269" s="55">
        <f>IF(BM1269="LOSE",1,IF(N(T1269)&gt;0,T1269,IF(N(P1269)&gt;0,P1269,MAX(1,G1269))))</f>
        <v/>
      </c>
      <c r="BO1269" s="58">
        <f>IF(BM1269="LOSE",1,0)</f>
        <v/>
      </c>
      <c r="BP1269" s="64">
        <f>IF(BO1269=0,0,IF(N(R1269)&gt;0,R1269,IFERROR(VLOOKUP(D1269,Parameter!$A$35:$C$64,3,0)+0,0)))</f>
        <v/>
      </c>
      <c r="BQ1269" s="53">
        <f>IF(V1269&lt;&gt;"",V1269,U1269)</f>
        <v/>
      </c>
      <c r="BR1269" s="53">
        <f>IF(BQ1269=1,"L1",IF(OR(BQ1269=2,BQ1269=3),"L23",IF(BQ1269="Aussen","Aussen","-")))</f>
        <v/>
      </c>
      <c r="BS1269" s="66">
        <f>IF(N(W1269)&gt;0,W1269,0)</f>
        <v/>
      </c>
      <c r="BT1269" s="58">
        <f>IF(ISNUMBER(Z1269),1,0)</f>
        <v/>
      </c>
      <c r="BU1269" s="55">
        <f>N(Z1269)</f>
        <v/>
      </c>
      <c r="BV1269" s="55">
        <f>N(L1269)+N(M1269)</f>
        <v/>
      </c>
      <c r="BW1269" s="55">
        <f>ROUNDUP(G1269/BN1269,0)</f>
        <v/>
      </c>
      <c r="BX1269" s="55">
        <f>ROUNDUP(BU1269/BN1269,0)</f>
        <v/>
      </c>
      <c r="BY1269" s="58">
        <f>IF(BO1269=1,0,IFERROR(VLOOKUP(BM1269,'Gebinde-Kategorie'!$A$5:$G$45,5,0)+0,0))</f>
        <v/>
      </c>
      <c r="BZ1269" s="58">
        <f>IFERROR(IF(OR(BQ1269=1,BQ1269=2,BQ1269=3),N(INDEX(Parameter!$I$5:$I$7,BQ1269)),0),0)</f>
        <v/>
      </c>
    </row>
    <row r="1270">
      <c r="A1270" s="53" t="inlineStr">
        <is>
          <t>109738</t>
        </is>
      </c>
      <c r="B1270" s="53" t="inlineStr">
        <is>
          <t>Horizontalwagen</t>
        </is>
      </c>
      <c r="C1270" s="53" t="inlineStr">
        <is>
          <t>F</t>
        </is>
      </c>
      <c r="D1270" s="53" t="inlineStr">
        <is>
          <t>PAL</t>
        </is>
      </c>
      <c r="E1270" s="53" t="inlineStr">
        <is>
          <t>C</t>
        </is>
      </c>
      <c r="F1270" s="54" t="n">
        <v>643.09</v>
      </c>
      <c r="G1270" s="55">
        <f>MAX(0,IF(Parameter!$B$20="Jahresanfang 2025 + Export",BG1270+BF1270,BF1270))</f>
        <v/>
      </c>
      <c r="H1270" s="55">
        <f>G1270*F1270</f>
        <v/>
      </c>
      <c r="I1270" s="55">
        <f>BI1270*Parameter!$B$18</f>
        <v/>
      </c>
      <c r="J1270" s="56" t="n">
        <v>4</v>
      </c>
      <c r="K1270" s="57" t="n">
        <v>1.25</v>
      </c>
      <c r="L1270" s="55" t="n">
        <v>0</v>
      </c>
      <c r="M1270" s="55" t="n">
        <v>5</v>
      </c>
      <c r="N1270" s="58" t="n">
        <v>56</v>
      </c>
      <c r="O1270" s="53" t="inlineStr">
        <is>
          <t>LOSE</t>
        </is>
      </c>
      <c r="P1270" s="55" t="n"/>
      <c r="Q1270" s="59">
        <f>IF(BO1270=1,0,IFERROR(VLOOKUP(BM1270,'Gebinde-Kategorie'!$A$5:$G$45,6,0)+0,0))</f>
        <v/>
      </c>
      <c r="R1270" s="60" t="n"/>
      <c r="S1270" s="61" t="n"/>
      <c r="T1270" s="61" t="n"/>
      <c r="U1270" s="53">
        <f>IF(A1270="","",IF(IFERROR(VLOOKUP(D1270,Parameter!$A$35:$C$64,2,0),"Nein")="2+3",IF(ISNUMBER(SEARCH("grosser Artikel",BJ1270)),2,IFERROR(VLOOKUP(BM1270,Parameter!$F$35:$G$64,2,0),2)),IF(OR(IFERROR(VLOOKUP(D1270,Parameter!$A$35:$C$64,2,0),"Nein")="Nein",IFERROR(VLOOKUP(D1270,Parameter!$A$35:$C$64,2,0),"Nein")=""),"-",VLOOKUP(D1270,Parameter!$A$35:$C$64,2,0))))</f>
        <v/>
      </c>
      <c r="V1270" s="61" t="n"/>
      <c r="W1270" s="62" t="n"/>
      <c r="X1270" s="55">
        <f>AM1270</f>
        <v/>
      </c>
      <c r="Y1270" s="55">
        <f>MAX(AM1270,G1270)</f>
        <v/>
      </c>
      <c r="Z1270" s="63" t="n"/>
      <c r="AA1270" s="55">
        <f>IF(LEFT(Cockpit!$C$5,1)="A",G1270,IF(BT1270=1,BU1270,IF(LEFT(Cockpit!$C$5,1)="B",AE1270,MAX(AE1270,G1270))))</f>
        <v/>
      </c>
      <c r="AB1270" s="55">
        <f>IF(BO1270=1,0,ROUNDUP(AA1270/BN1270,0))</f>
        <v/>
      </c>
      <c r="AC1270" s="64">
        <f>IF(BO1270=1,IF(AA1270&lt;=0,0,BP1270*MAX(1,IF(G1270&gt;0,AA1270/G1270,1))),AB1270*Q1270)</f>
        <v/>
      </c>
      <c r="AD1270" s="55">
        <f>AA1270*F1270</f>
        <v/>
      </c>
      <c r="AE1270" s="55">
        <f>ROUNDUP(MAX(I1270/IF(BS1270&gt;0,BS1270,MAX(0.1,N(Cockpit!$C$6))),BV1270)/BN1270,0)*BN1270</f>
        <v/>
      </c>
      <c r="AF1270" s="56">
        <f>IF(AC1270&gt;0,I1270/AC1270,-1)</f>
        <v/>
      </c>
      <c r="AG1270" s="56">
        <f>IF(AND(OR(BR1270="L1",BR1270="L23"),AC1270&gt;0),SUMIFS($AC$7:$AC$1570,$BR$7:$BR$1570,BR1270,$AF$7:$AF$1570,"&gt;"&amp;AF1270)+SUMIFS($AC$7:$AC$1570,$BR$7:$BR$1570,BR1270,$AF$7:$AF$1570,AF1270,$BL$7:$BL$1570,"&lt;="&amp;BL1270),"")</f>
        <v/>
      </c>
      <c r="AH1270" s="65">
        <f>IF(AG1270="",0,MAX(0,MIN(1,(IF(BR1270="L1",Parameter!$K$5,Parameter!$K$6+Parameter!$K$7)-(AG1270-AC1270))/AC1270)))</f>
        <v/>
      </c>
      <c r="AI1270" s="55">
        <f>IF(LEFT(Cockpit!$I$5,1)="A",G1270,IF(BT1270=1,BU1270,IF(LEFT(Cockpit!$I$5,1)="B",AM1270,MAX(AM1270,G1270))))</f>
        <v/>
      </c>
      <c r="AJ1270" s="55">
        <f>IF(BO1270=1,0,ROUNDUP(AI1270/BN1270,0))</f>
        <v/>
      </c>
      <c r="AK1270" s="64">
        <f>IF(BO1270=1,IF(AI1270&lt;=0,0,BP1270*MAX(1,IF(G1270&gt;0,AI1270/G1270,1))),AJ1270*Q1270)</f>
        <v/>
      </c>
      <c r="AL1270" s="55">
        <f>AI1270*F1270</f>
        <v/>
      </c>
      <c r="AM1270" s="55">
        <f>ROUNDUP(MAX(I1270/IF(BS1270&gt;0,BS1270,MAX(0.1,N(Cockpit!$I$6))),BV1270)/BN1270,0)*BN1270</f>
        <v/>
      </c>
      <c r="AN1270" s="56">
        <f>IF(AK1270&gt;0,I1270/AK1270,-1)</f>
        <v/>
      </c>
      <c r="AO1270" s="56">
        <f>IF(AND(OR(BR1270="L1",BR1270="L23"),AK1270&gt;0),SUMIFS($AK$7:$AK$1570,$BR$7:$BR$1570,BR1270,$AN$7:$AN$1570,"&gt;"&amp;AN1270)+SUMIFS($AK$7:$AK$1570,$BR$7:$BR$1570,BR1270,$AN$7:$AN$1570,AN1270,$BL$7:$BL$1570,"&lt;="&amp;BL1270),"")</f>
        <v/>
      </c>
      <c r="AP1270" s="65">
        <f>IF(AO1270="",0,MAX(0,MIN(1,(IF(BR1270="L1",Parameter!$K$5,Parameter!$K$6+Parameter!$K$7)-(AO1270-AK1270))/AK1270)))</f>
        <v/>
      </c>
      <c r="AQ1270" s="55">
        <f>IF(LEFT(Cockpit!$O$5,1)="A",G1270,IF(BT1270=1,BU1270,IF(LEFT(Cockpit!$O$5,1)="B",AU1270,MAX(AU1270,G1270))))</f>
        <v/>
      </c>
      <c r="AR1270" s="55">
        <f>IF(BO1270=1,0,ROUNDUP(AQ1270/BN1270,0))</f>
        <v/>
      </c>
      <c r="AS1270" s="64">
        <f>IF(BO1270=1,IF(AQ1270&lt;=0,0,BP1270*MAX(1,IF(G1270&gt;0,AQ1270/G1270,1))),AR1270*Q1270)</f>
        <v/>
      </c>
      <c r="AT1270" s="55">
        <f>AQ1270*F1270</f>
        <v/>
      </c>
      <c r="AU1270" s="55">
        <f>ROUNDUP(MAX(I1270/IF(BS1270&gt;0,BS1270,MAX(0.1,N(Cockpit!$O$6))),BV1270)/BN1270,0)*BN1270</f>
        <v/>
      </c>
      <c r="AV1270" s="56">
        <f>IF(AS1270&gt;0,I1270/AS1270,-1)</f>
        <v/>
      </c>
      <c r="AW1270" s="56">
        <f>IF(AND(OR(BR1270="L1",BR1270="L23"),AS1270&gt;0),SUMIFS($AS$7:$AS$1570,$BR$7:$BR$1570,BR1270,$AV$7:$AV$1570,"&gt;"&amp;AV1270)+SUMIFS($AS$7:$AS$1570,$BR$7:$BR$1570,BR1270,$AV$7:$AV$1570,AV1270,$BL$7:$BL$1570,"&lt;="&amp;BL1270),"")</f>
        <v/>
      </c>
      <c r="AX1270" s="65">
        <f>IF(AW1270="",0,MAX(0,MIN(1,(IF(BR1270="L1",Parameter!$K$5,Parameter!$K$6+Parameter!$K$7)-(AW1270-AS1270))/AS1270)))</f>
        <v/>
      </c>
      <c r="AY1270" s="53">
        <f>IF(AC1270&lt;=0,"",IF(BR1270="Aussen","Aussenlager",IF(BR1270="-","Nicht im Lift",IF(AH1270&gt;=1,"Lift",IF(AH1270&lt;=0,"Aussenlager","teilweise")))))</f>
        <v/>
      </c>
      <c r="AZ1270" s="53">
        <f>IF(AK1270&lt;=0,"",IF(BR1270="Aussen","Aussenlager",IF(BR1270="-","Nicht im Lift",IF(AP1270&gt;=1,"Lift",IF(AP1270&lt;=0,"Aussenlager","teilweise")))))</f>
        <v/>
      </c>
      <c r="BA1270" s="53">
        <f>IF(AS1270&lt;=0,"",IF(BR1270="Aussen","Aussenlager",IF(BR1270="-","Nicht im Lift",IF(AX1270&gt;=1,"Lift",IF(AX1270&lt;=0,"Aussenlager","teilweise")))))</f>
        <v/>
      </c>
      <c r="BB1270" s="53">
        <f>IF(A1270="","",IF(BK1270=1,"Neu; ","")&amp;IF(AND(BK1270=0,BF1270&lt;0),"negativer Bestand (Export "&amp;BF1270&amp;"); ","")&amp;IF(I1270&lt;=0,"Kein Verbrauch; ","")&amp;IF(BO1270=1,"Lose – Fläche geschätzt; ","")&amp;IF(G1270&gt;AM1270,"Überbestand "&amp;ROUND(G1270-AM1270,0)&amp;" Stk / CHF "&amp;ROUND((G1270-AM1270)*F1270,0)&amp;"; ","")&amp;IF(AND(BT1270=1,BU1270&lt;BV1270),"MAX &lt; MB+LG; ","")&amp;IF(AND(BZ1270&gt;0,BY1270*10&gt;BZ1270),"zu hoch für Tablar; ","")&amp;IF(AND(BK1270=0,OR(BT1270=1,V1270&lt;&gt;"",S1270&lt;&gt;"",T1270&lt;&gt;"",W1270&lt;&gt;"")),"manuell übersteuert; ","")&amp;IF(AND(BO1270=0,Q1270=0),"Gebinde unbekannt; ","")&amp;IF(AND(BO1270=0,N(T1270)&lt;=0,N(P1270)&lt;=0),"Menge pro Gebinde fehlt (Ist = 1 Gebinde); ","")&amp;BJ1270)</f>
        <v/>
      </c>
      <c r="BC1270" s="53" t="n"/>
      <c r="BD1270" s="53" t="n"/>
      <c r="BE1270" s="61" t="n"/>
      <c r="BF1270" s="55" t="n">
        <v>-1</v>
      </c>
      <c r="BG1270" s="55" t="n">
        <v>2</v>
      </c>
      <c r="BH1270" s="54" t="n">
        <v>-936.9099999999999</v>
      </c>
      <c r="BI1270" s="55" t="n">
        <v>5</v>
      </c>
      <c r="BJ1270" s="53" t="inlineStr"/>
      <c r="BK1270" s="58" t="n">
        <v>0</v>
      </c>
      <c r="BL1270" s="58" t="n">
        <v>1270</v>
      </c>
      <c r="BM1270" s="53">
        <f>IF(S1270&lt;&gt;"",UPPER(TRIM(S1270)),IF(O1270="","LOSE",O1270))</f>
        <v/>
      </c>
      <c r="BN1270" s="55">
        <f>IF(BM1270="LOSE",1,IF(N(T1270)&gt;0,T1270,IF(N(P1270)&gt;0,P1270,MAX(1,G1270))))</f>
        <v/>
      </c>
      <c r="BO1270" s="58">
        <f>IF(BM1270="LOSE",1,0)</f>
        <v/>
      </c>
      <c r="BP1270" s="64">
        <f>IF(BO1270=0,0,IF(N(R1270)&gt;0,R1270,IFERROR(VLOOKUP(D1270,Parameter!$A$35:$C$64,3,0)+0,0)))</f>
        <v/>
      </c>
      <c r="BQ1270" s="53">
        <f>IF(V1270&lt;&gt;"",V1270,U1270)</f>
        <v/>
      </c>
      <c r="BR1270" s="53">
        <f>IF(BQ1270=1,"L1",IF(OR(BQ1270=2,BQ1270=3),"L23",IF(BQ1270="Aussen","Aussen","-")))</f>
        <v/>
      </c>
      <c r="BS1270" s="66">
        <f>IF(N(W1270)&gt;0,W1270,0)</f>
        <v/>
      </c>
      <c r="BT1270" s="58">
        <f>IF(ISNUMBER(Z1270),1,0)</f>
        <v/>
      </c>
      <c r="BU1270" s="55">
        <f>N(Z1270)</f>
        <v/>
      </c>
      <c r="BV1270" s="55">
        <f>N(L1270)+N(M1270)</f>
        <v/>
      </c>
      <c r="BW1270" s="55">
        <f>ROUNDUP(G1270/BN1270,0)</f>
        <v/>
      </c>
      <c r="BX1270" s="55">
        <f>ROUNDUP(BU1270/BN1270,0)</f>
        <v/>
      </c>
      <c r="BY1270" s="58">
        <f>IF(BO1270=1,0,IFERROR(VLOOKUP(BM1270,'Gebinde-Kategorie'!$A$5:$G$45,5,0)+0,0))</f>
        <v/>
      </c>
      <c r="BZ1270" s="58">
        <f>IFERROR(IF(OR(BQ1270=1,BQ1270=2,BQ1270=3),N(INDEX(Parameter!$I$5:$I$7,BQ1270)),0),0)</f>
        <v/>
      </c>
    </row>
    <row r="1271">
      <c r="A1271" s="53" t="inlineStr">
        <is>
          <t>108697</t>
        </is>
      </c>
      <c r="B1271" s="53" t="inlineStr">
        <is>
          <t>Ventilkopf</t>
        </is>
      </c>
      <c r="C1271" s="53" t="inlineStr">
        <is>
          <t>F</t>
        </is>
      </c>
      <c r="D1271" s="53" t="inlineStr">
        <is>
          <t>KTL</t>
        </is>
      </c>
      <c r="E1271" s="53" t="inlineStr">
        <is>
          <t>C</t>
        </is>
      </c>
      <c r="F1271" s="54" t="n">
        <v>315.61</v>
      </c>
      <c r="G1271" s="55">
        <f>MAX(0,IF(Parameter!$B$20="Jahresanfang 2025 + Export",BG1271+BF1271,BF1271))</f>
        <v/>
      </c>
      <c r="H1271" s="55">
        <f>G1271*F1271</f>
        <v/>
      </c>
      <c r="I1271" s="55">
        <f>BI1271*Parameter!$B$18</f>
        <v/>
      </c>
      <c r="J1271" s="56" t="n">
        <v>6.5</v>
      </c>
      <c r="K1271" s="57" t="n">
        <v>0.1538461538461539</v>
      </c>
      <c r="L1271" s="55" t="n">
        <v>0</v>
      </c>
      <c r="M1271" s="55" t="n">
        <v>1</v>
      </c>
      <c r="N1271" s="58" t="n">
        <v>21</v>
      </c>
      <c r="O1271" s="53" t="inlineStr">
        <is>
          <t>S51</t>
        </is>
      </c>
      <c r="P1271" s="55" t="n">
        <v>4</v>
      </c>
      <c r="Q1271" s="59">
        <f>IF(BO1271=1,0,IFERROR(VLOOKUP(BM1271,'Gebinde-Kategorie'!$A$5:$G$45,6,0)+0,0))</f>
        <v/>
      </c>
      <c r="R1271" s="60" t="n"/>
      <c r="S1271" s="61" t="n"/>
      <c r="T1271" s="61" t="n"/>
      <c r="U1271" s="53">
        <f>IF(A1271="","",IF(IFERROR(VLOOKUP(D1271,Parameter!$A$35:$C$64,2,0),"Nein")="2+3",IF(ISNUMBER(SEARCH("grosser Artikel",BJ1271)),2,IFERROR(VLOOKUP(BM1271,Parameter!$F$35:$G$64,2,0),2)),IF(OR(IFERROR(VLOOKUP(D1271,Parameter!$A$35:$C$64,2,0),"Nein")="Nein",IFERROR(VLOOKUP(D1271,Parameter!$A$35:$C$64,2,0),"Nein")=""),"-",VLOOKUP(D1271,Parameter!$A$35:$C$64,2,0))))</f>
        <v/>
      </c>
      <c r="V1271" s="61" t="n"/>
      <c r="W1271" s="62" t="n"/>
      <c r="X1271" s="55">
        <f>AM1271</f>
        <v/>
      </c>
      <c r="Y1271" s="55">
        <f>MAX(AM1271,G1271)</f>
        <v/>
      </c>
      <c r="Z1271" s="63" t="n"/>
      <c r="AA1271" s="55">
        <f>IF(LEFT(Cockpit!$C$5,1)="A",G1271,IF(BT1271=1,BU1271,IF(LEFT(Cockpit!$C$5,1)="B",AE1271,MAX(AE1271,G1271))))</f>
        <v/>
      </c>
      <c r="AB1271" s="55">
        <f>IF(BO1271=1,0,ROUNDUP(AA1271/BN1271,0))</f>
        <v/>
      </c>
      <c r="AC1271" s="64">
        <f>IF(BO1271=1,IF(AA1271&lt;=0,0,BP1271*MAX(1,IF(G1271&gt;0,AA1271/G1271,1))),AB1271*Q1271)</f>
        <v/>
      </c>
      <c r="AD1271" s="55">
        <f>AA1271*F1271</f>
        <v/>
      </c>
      <c r="AE1271" s="55">
        <f>ROUNDUP(MAX(I1271/IF(BS1271&gt;0,BS1271,MAX(0.1,N(Cockpit!$C$6))),BV1271)/BN1271,0)*BN1271</f>
        <v/>
      </c>
      <c r="AF1271" s="56">
        <f>IF(AC1271&gt;0,I1271/AC1271,-1)</f>
        <v/>
      </c>
      <c r="AG1271" s="56">
        <f>IF(AND(OR(BR1271="L1",BR1271="L23"),AC1271&gt;0),SUMIFS($AC$7:$AC$1570,$BR$7:$BR$1570,BR1271,$AF$7:$AF$1570,"&gt;"&amp;AF1271)+SUMIFS($AC$7:$AC$1570,$BR$7:$BR$1570,BR1271,$AF$7:$AF$1570,AF1271,$BL$7:$BL$1570,"&lt;="&amp;BL1271),"")</f>
        <v/>
      </c>
      <c r="AH1271" s="65">
        <f>IF(AG1271="",0,MAX(0,MIN(1,(IF(BR1271="L1",Parameter!$K$5,Parameter!$K$6+Parameter!$K$7)-(AG1271-AC1271))/AC1271)))</f>
        <v/>
      </c>
      <c r="AI1271" s="55">
        <f>IF(LEFT(Cockpit!$I$5,1)="A",G1271,IF(BT1271=1,BU1271,IF(LEFT(Cockpit!$I$5,1)="B",AM1271,MAX(AM1271,G1271))))</f>
        <v/>
      </c>
      <c r="AJ1271" s="55">
        <f>IF(BO1271=1,0,ROUNDUP(AI1271/BN1271,0))</f>
        <v/>
      </c>
      <c r="AK1271" s="64">
        <f>IF(BO1271=1,IF(AI1271&lt;=0,0,BP1271*MAX(1,IF(G1271&gt;0,AI1271/G1271,1))),AJ1271*Q1271)</f>
        <v/>
      </c>
      <c r="AL1271" s="55">
        <f>AI1271*F1271</f>
        <v/>
      </c>
      <c r="AM1271" s="55">
        <f>ROUNDUP(MAX(I1271/IF(BS1271&gt;0,BS1271,MAX(0.1,N(Cockpit!$I$6))),BV1271)/BN1271,0)*BN1271</f>
        <v/>
      </c>
      <c r="AN1271" s="56">
        <f>IF(AK1271&gt;0,I1271/AK1271,-1)</f>
        <v/>
      </c>
      <c r="AO1271" s="56">
        <f>IF(AND(OR(BR1271="L1",BR1271="L23"),AK1271&gt;0),SUMIFS($AK$7:$AK$1570,$BR$7:$BR$1570,BR1271,$AN$7:$AN$1570,"&gt;"&amp;AN1271)+SUMIFS($AK$7:$AK$1570,$BR$7:$BR$1570,BR1271,$AN$7:$AN$1570,AN1271,$BL$7:$BL$1570,"&lt;="&amp;BL1271),"")</f>
        <v/>
      </c>
      <c r="AP1271" s="65">
        <f>IF(AO1271="",0,MAX(0,MIN(1,(IF(BR1271="L1",Parameter!$K$5,Parameter!$K$6+Parameter!$K$7)-(AO1271-AK1271))/AK1271)))</f>
        <v/>
      </c>
      <c r="AQ1271" s="55">
        <f>IF(LEFT(Cockpit!$O$5,1)="A",G1271,IF(BT1271=1,BU1271,IF(LEFT(Cockpit!$O$5,1)="B",AU1271,MAX(AU1271,G1271))))</f>
        <v/>
      </c>
      <c r="AR1271" s="55">
        <f>IF(BO1271=1,0,ROUNDUP(AQ1271/BN1271,0))</f>
        <v/>
      </c>
      <c r="AS1271" s="64">
        <f>IF(BO1271=1,IF(AQ1271&lt;=0,0,BP1271*MAX(1,IF(G1271&gt;0,AQ1271/G1271,1))),AR1271*Q1271)</f>
        <v/>
      </c>
      <c r="AT1271" s="55">
        <f>AQ1271*F1271</f>
        <v/>
      </c>
      <c r="AU1271" s="55">
        <f>ROUNDUP(MAX(I1271/IF(BS1271&gt;0,BS1271,MAX(0.1,N(Cockpit!$O$6))),BV1271)/BN1271,0)*BN1271</f>
        <v/>
      </c>
      <c r="AV1271" s="56">
        <f>IF(AS1271&gt;0,I1271/AS1271,-1)</f>
        <v/>
      </c>
      <c r="AW1271" s="56">
        <f>IF(AND(OR(BR1271="L1",BR1271="L23"),AS1271&gt;0),SUMIFS($AS$7:$AS$1570,$BR$7:$BR$1570,BR1271,$AV$7:$AV$1570,"&gt;"&amp;AV1271)+SUMIFS($AS$7:$AS$1570,$BR$7:$BR$1570,BR1271,$AV$7:$AV$1570,AV1271,$BL$7:$BL$1570,"&lt;="&amp;BL1271),"")</f>
        <v/>
      </c>
      <c r="AX1271" s="65">
        <f>IF(AW1271="",0,MAX(0,MIN(1,(IF(BR1271="L1",Parameter!$K$5,Parameter!$K$6+Parameter!$K$7)-(AW1271-AS1271))/AS1271)))</f>
        <v/>
      </c>
      <c r="AY1271" s="53">
        <f>IF(AC1271&lt;=0,"",IF(BR1271="Aussen","Aussenlager",IF(BR1271="-","Nicht im Lift",IF(AH1271&gt;=1,"Lift",IF(AH1271&lt;=0,"Aussenlager","teilweise")))))</f>
        <v/>
      </c>
      <c r="AZ1271" s="53">
        <f>IF(AK1271&lt;=0,"",IF(BR1271="Aussen","Aussenlager",IF(BR1271="-","Nicht im Lift",IF(AP1271&gt;=1,"Lift",IF(AP1271&lt;=0,"Aussenlager","teilweise")))))</f>
        <v/>
      </c>
      <c r="BA1271" s="53">
        <f>IF(AS1271&lt;=0,"",IF(BR1271="Aussen","Aussenlager",IF(BR1271="-","Nicht im Lift",IF(AX1271&gt;=1,"Lift",IF(AX1271&lt;=0,"Aussenlager","teilweise")))))</f>
        <v/>
      </c>
      <c r="BB1271" s="53">
        <f>IF(A1271="","",IF(BK1271=1,"Neu; ","")&amp;IF(AND(BK1271=0,BF1271&lt;0),"negativer Bestand (Export "&amp;BF1271&amp;"); ","")&amp;IF(I1271&lt;=0,"Kein Verbrauch; ","")&amp;IF(BO1271=1,"Lose – Fläche geschätzt; ","")&amp;IF(G1271&gt;AM1271,"Überbestand "&amp;ROUND(G1271-AM1271,0)&amp;" Stk / CHF "&amp;ROUND((G1271-AM1271)*F1271,0)&amp;"; ","")&amp;IF(AND(BT1271=1,BU1271&lt;BV1271),"MAX &lt; MB+LG; ","")&amp;IF(AND(BZ1271&gt;0,BY1271*10&gt;BZ1271),"zu hoch für Tablar; ","")&amp;IF(AND(BK1271=0,OR(BT1271=1,V1271&lt;&gt;"",S1271&lt;&gt;"",T1271&lt;&gt;"",W1271&lt;&gt;"")),"manuell übersteuert; ","")&amp;IF(AND(BO1271=0,Q1271=0),"Gebinde unbekannt; ","")&amp;IF(AND(BO1271=0,N(T1271)&lt;=0,N(P1271)&lt;=0),"Menge pro Gebinde fehlt (Ist = 1 Gebinde); ","")&amp;BJ1271)</f>
        <v/>
      </c>
      <c r="BC1271" s="53" t="n"/>
      <c r="BD1271" s="53" t="n"/>
      <c r="BE1271" s="61" t="n"/>
      <c r="BF1271" s="55" t="n">
        <v>-3</v>
      </c>
      <c r="BG1271" s="55" t="n">
        <v>7</v>
      </c>
      <c r="BH1271" s="54" t="n">
        <v>-946.83</v>
      </c>
      <c r="BI1271" s="55" t="n">
        <v>1</v>
      </c>
      <c r="BJ1271" s="53" t="inlineStr">
        <is>
          <t>Neu</t>
        </is>
      </c>
      <c r="BK1271" s="58" t="n">
        <v>0</v>
      </c>
      <c r="BL1271" s="58" t="n">
        <v>1271</v>
      </c>
      <c r="BM1271" s="53">
        <f>IF(S1271&lt;&gt;"",UPPER(TRIM(S1271)),IF(O1271="","LOSE",O1271))</f>
        <v/>
      </c>
      <c r="BN1271" s="55">
        <f>IF(BM1271="LOSE",1,IF(N(T1271)&gt;0,T1271,IF(N(P1271)&gt;0,P1271,MAX(1,G1271))))</f>
        <v/>
      </c>
      <c r="BO1271" s="58">
        <f>IF(BM1271="LOSE",1,0)</f>
        <v/>
      </c>
      <c r="BP1271" s="64">
        <f>IF(BO1271=0,0,IF(N(R1271)&gt;0,R1271,IFERROR(VLOOKUP(D1271,Parameter!$A$35:$C$64,3,0)+0,0)))</f>
        <v/>
      </c>
      <c r="BQ1271" s="53">
        <f>IF(V1271&lt;&gt;"",V1271,U1271)</f>
        <v/>
      </c>
      <c r="BR1271" s="53">
        <f>IF(BQ1271=1,"L1",IF(OR(BQ1271=2,BQ1271=3),"L23",IF(BQ1271="Aussen","Aussen","-")))</f>
        <v/>
      </c>
      <c r="BS1271" s="66">
        <f>IF(N(W1271)&gt;0,W1271,0)</f>
        <v/>
      </c>
      <c r="BT1271" s="58">
        <f>IF(ISNUMBER(Z1271),1,0)</f>
        <v/>
      </c>
      <c r="BU1271" s="55">
        <f>N(Z1271)</f>
        <v/>
      </c>
      <c r="BV1271" s="55">
        <f>N(L1271)+N(M1271)</f>
        <v/>
      </c>
      <c r="BW1271" s="55">
        <f>ROUNDUP(G1271/BN1271,0)</f>
        <v/>
      </c>
      <c r="BX1271" s="55">
        <f>ROUNDUP(BU1271/BN1271,0)</f>
        <v/>
      </c>
      <c r="BY1271" s="58">
        <f>IF(BO1271=1,0,IFERROR(VLOOKUP(BM1271,'Gebinde-Kategorie'!$A$5:$G$45,5,0)+0,0))</f>
        <v/>
      </c>
      <c r="BZ1271" s="58">
        <f>IFERROR(IF(OR(BQ1271=1,BQ1271=2,BQ1271=3),N(INDEX(Parameter!$I$5:$I$7,BQ1271)),0),0)</f>
        <v/>
      </c>
    </row>
    <row r="1272">
      <c r="A1272" s="53" t="inlineStr">
        <is>
          <t>109168</t>
        </is>
      </c>
      <c r="B1272" s="53" t="inlineStr">
        <is>
          <t>Bündelanschlussschlauch Druckluft</t>
        </is>
      </c>
      <c r="C1272" s="53" t="inlineStr">
        <is>
          <t>F</t>
        </is>
      </c>
      <c r="D1272" s="53" t="inlineStr">
        <is>
          <t>PAL</t>
        </is>
      </c>
      <c r="E1272" s="53" t="inlineStr">
        <is>
          <t>C</t>
        </is>
      </c>
      <c r="F1272" s="54" t="n">
        <v>317.25</v>
      </c>
      <c r="G1272" s="55">
        <f>MAX(0,IF(Parameter!$B$20="Jahresanfang 2025 + Export",BG1272+BF1272,BF1272))</f>
        <v/>
      </c>
      <c r="H1272" s="55">
        <f>G1272*F1272</f>
        <v/>
      </c>
      <c r="I1272" s="55">
        <f>BI1272*Parameter!$B$18</f>
        <v/>
      </c>
      <c r="J1272" s="56" t="n">
        <v>9</v>
      </c>
      <c r="K1272" s="57" t="n">
        <v>0.2222222222222222</v>
      </c>
      <c r="L1272" s="55" t="n">
        <v>0</v>
      </c>
      <c r="M1272" s="55" t="n">
        <v>1</v>
      </c>
      <c r="N1272" s="58" t="n">
        <v>35</v>
      </c>
      <c r="O1272" s="53" t="inlineStr">
        <is>
          <t>S71</t>
        </is>
      </c>
      <c r="P1272" s="55" t="n">
        <v>10</v>
      </c>
      <c r="Q1272" s="59">
        <f>IF(BO1272=1,0,IFERROR(VLOOKUP(BM1272,'Gebinde-Kategorie'!$A$5:$G$45,6,0)+0,0))</f>
        <v/>
      </c>
      <c r="R1272" s="60" t="n"/>
      <c r="S1272" s="61" t="n"/>
      <c r="T1272" s="61" t="n"/>
      <c r="U1272" s="53">
        <f>IF(A1272="","",IF(IFERROR(VLOOKUP(D1272,Parameter!$A$35:$C$64,2,0),"Nein")="2+3",IF(ISNUMBER(SEARCH("grosser Artikel",BJ1272)),2,IFERROR(VLOOKUP(BM1272,Parameter!$F$35:$G$64,2,0),2)),IF(OR(IFERROR(VLOOKUP(D1272,Parameter!$A$35:$C$64,2,0),"Nein")="Nein",IFERROR(VLOOKUP(D1272,Parameter!$A$35:$C$64,2,0),"Nein")=""),"-",VLOOKUP(D1272,Parameter!$A$35:$C$64,2,0))))</f>
        <v/>
      </c>
      <c r="V1272" s="61" t="n"/>
      <c r="W1272" s="62" t="n"/>
      <c r="X1272" s="55">
        <f>AM1272</f>
        <v/>
      </c>
      <c r="Y1272" s="55">
        <f>MAX(AM1272,G1272)</f>
        <v/>
      </c>
      <c r="Z1272" s="63" t="n"/>
      <c r="AA1272" s="55">
        <f>IF(LEFT(Cockpit!$C$5,1)="A",G1272,IF(BT1272=1,BU1272,IF(LEFT(Cockpit!$C$5,1)="B",AE1272,MAX(AE1272,G1272))))</f>
        <v/>
      </c>
      <c r="AB1272" s="55">
        <f>IF(BO1272=1,0,ROUNDUP(AA1272/BN1272,0))</f>
        <v/>
      </c>
      <c r="AC1272" s="64">
        <f>IF(BO1272=1,IF(AA1272&lt;=0,0,BP1272*MAX(1,IF(G1272&gt;0,AA1272/G1272,1))),AB1272*Q1272)</f>
        <v/>
      </c>
      <c r="AD1272" s="55">
        <f>AA1272*F1272</f>
        <v/>
      </c>
      <c r="AE1272" s="55">
        <f>ROUNDUP(MAX(I1272/IF(BS1272&gt;0,BS1272,MAX(0.1,N(Cockpit!$C$6))),BV1272)/BN1272,0)*BN1272</f>
        <v/>
      </c>
      <c r="AF1272" s="56">
        <f>IF(AC1272&gt;0,I1272/AC1272,-1)</f>
        <v/>
      </c>
      <c r="AG1272" s="56">
        <f>IF(AND(OR(BR1272="L1",BR1272="L23"),AC1272&gt;0),SUMIFS($AC$7:$AC$1570,$BR$7:$BR$1570,BR1272,$AF$7:$AF$1570,"&gt;"&amp;AF1272)+SUMIFS($AC$7:$AC$1570,$BR$7:$BR$1570,BR1272,$AF$7:$AF$1570,AF1272,$BL$7:$BL$1570,"&lt;="&amp;BL1272),"")</f>
        <v/>
      </c>
      <c r="AH1272" s="65">
        <f>IF(AG1272="",0,MAX(0,MIN(1,(IF(BR1272="L1",Parameter!$K$5,Parameter!$K$6+Parameter!$K$7)-(AG1272-AC1272))/AC1272)))</f>
        <v/>
      </c>
      <c r="AI1272" s="55">
        <f>IF(LEFT(Cockpit!$I$5,1)="A",G1272,IF(BT1272=1,BU1272,IF(LEFT(Cockpit!$I$5,1)="B",AM1272,MAX(AM1272,G1272))))</f>
        <v/>
      </c>
      <c r="AJ1272" s="55">
        <f>IF(BO1272=1,0,ROUNDUP(AI1272/BN1272,0))</f>
        <v/>
      </c>
      <c r="AK1272" s="64">
        <f>IF(BO1272=1,IF(AI1272&lt;=0,0,BP1272*MAX(1,IF(G1272&gt;0,AI1272/G1272,1))),AJ1272*Q1272)</f>
        <v/>
      </c>
      <c r="AL1272" s="55">
        <f>AI1272*F1272</f>
        <v/>
      </c>
      <c r="AM1272" s="55">
        <f>ROUNDUP(MAX(I1272/IF(BS1272&gt;0,BS1272,MAX(0.1,N(Cockpit!$I$6))),BV1272)/BN1272,0)*BN1272</f>
        <v/>
      </c>
      <c r="AN1272" s="56">
        <f>IF(AK1272&gt;0,I1272/AK1272,-1)</f>
        <v/>
      </c>
      <c r="AO1272" s="56">
        <f>IF(AND(OR(BR1272="L1",BR1272="L23"),AK1272&gt;0),SUMIFS($AK$7:$AK$1570,$BR$7:$BR$1570,BR1272,$AN$7:$AN$1570,"&gt;"&amp;AN1272)+SUMIFS($AK$7:$AK$1570,$BR$7:$BR$1570,BR1272,$AN$7:$AN$1570,AN1272,$BL$7:$BL$1570,"&lt;="&amp;BL1272),"")</f>
        <v/>
      </c>
      <c r="AP1272" s="65">
        <f>IF(AO1272="",0,MAX(0,MIN(1,(IF(BR1272="L1",Parameter!$K$5,Parameter!$K$6+Parameter!$K$7)-(AO1272-AK1272))/AK1272)))</f>
        <v/>
      </c>
      <c r="AQ1272" s="55">
        <f>IF(LEFT(Cockpit!$O$5,1)="A",G1272,IF(BT1272=1,BU1272,IF(LEFT(Cockpit!$O$5,1)="B",AU1272,MAX(AU1272,G1272))))</f>
        <v/>
      </c>
      <c r="AR1272" s="55">
        <f>IF(BO1272=1,0,ROUNDUP(AQ1272/BN1272,0))</f>
        <v/>
      </c>
      <c r="AS1272" s="64">
        <f>IF(BO1272=1,IF(AQ1272&lt;=0,0,BP1272*MAX(1,IF(G1272&gt;0,AQ1272/G1272,1))),AR1272*Q1272)</f>
        <v/>
      </c>
      <c r="AT1272" s="55">
        <f>AQ1272*F1272</f>
        <v/>
      </c>
      <c r="AU1272" s="55">
        <f>ROUNDUP(MAX(I1272/IF(BS1272&gt;0,BS1272,MAX(0.1,N(Cockpit!$O$6))),BV1272)/BN1272,0)*BN1272</f>
        <v/>
      </c>
      <c r="AV1272" s="56">
        <f>IF(AS1272&gt;0,I1272/AS1272,-1)</f>
        <v/>
      </c>
      <c r="AW1272" s="56">
        <f>IF(AND(OR(BR1272="L1",BR1272="L23"),AS1272&gt;0),SUMIFS($AS$7:$AS$1570,$BR$7:$BR$1570,BR1272,$AV$7:$AV$1570,"&gt;"&amp;AV1272)+SUMIFS($AS$7:$AS$1570,$BR$7:$BR$1570,BR1272,$AV$7:$AV$1570,AV1272,$BL$7:$BL$1570,"&lt;="&amp;BL1272),"")</f>
        <v/>
      </c>
      <c r="AX1272" s="65">
        <f>IF(AW1272="",0,MAX(0,MIN(1,(IF(BR1272="L1",Parameter!$K$5,Parameter!$K$6+Parameter!$K$7)-(AW1272-AS1272))/AS1272)))</f>
        <v/>
      </c>
      <c r="AY1272" s="53">
        <f>IF(AC1272&lt;=0,"",IF(BR1272="Aussen","Aussenlager",IF(BR1272="-","Nicht im Lift",IF(AH1272&gt;=1,"Lift",IF(AH1272&lt;=0,"Aussenlager","teilweise")))))</f>
        <v/>
      </c>
      <c r="AZ1272" s="53">
        <f>IF(AK1272&lt;=0,"",IF(BR1272="Aussen","Aussenlager",IF(BR1272="-","Nicht im Lift",IF(AP1272&gt;=1,"Lift",IF(AP1272&lt;=0,"Aussenlager","teilweise")))))</f>
        <v/>
      </c>
      <c r="BA1272" s="53">
        <f>IF(AS1272&lt;=0,"",IF(BR1272="Aussen","Aussenlager",IF(BR1272="-","Nicht im Lift",IF(AX1272&gt;=1,"Lift",IF(AX1272&lt;=0,"Aussenlager","teilweise")))))</f>
        <v/>
      </c>
      <c r="BB1272" s="53">
        <f>IF(A1272="","",IF(BK1272=1,"Neu; ","")&amp;IF(AND(BK1272=0,BF1272&lt;0),"negativer Bestand (Export "&amp;BF1272&amp;"); ","")&amp;IF(I1272&lt;=0,"Kein Verbrauch; ","")&amp;IF(BO1272=1,"Lose – Fläche geschätzt; ","")&amp;IF(G1272&gt;AM1272,"Überbestand "&amp;ROUND(G1272-AM1272,0)&amp;" Stk / CHF "&amp;ROUND((G1272-AM1272)*F1272,0)&amp;"; ","")&amp;IF(AND(BT1272=1,BU1272&lt;BV1272),"MAX &lt; MB+LG; ","")&amp;IF(AND(BZ1272&gt;0,BY1272*10&gt;BZ1272),"zu hoch für Tablar; ","")&amp;IF(AND(BK1272=0,OR(BT1272=1,V1272&lt;&gt;"",S1272&lt;&gt;"",T1272&lt;&gt;"",W1272&lt;&gt;"")),"manuell übersteuert; ","")&amp;IF(AND(BO1272=0,Q1272=0),"Gebinde unbekannt; ","")&amp;IF(AND(BO1272=0,N(T1272)&lt;=0,N(P1272)&lt;=0),"Menge pro Gebinde fehlt (Ist = 1 Gebinde); ","")&amp;BJ1272)</f>
        <v/>
      </c>
      <c r="BC1272" s="53" t="n"/>
      <c r="BD1272" s="53" t="n"/>
      <c r="BE1272" s="61" t="n"/>
      <c r="BF1272" s="55" t="n">
        <v>-3</v>
      </c>
      <c r="BG1272" s="55" t="n">
        <v>10</v>
      </c>
      <c r="BH1272" s="54" t="n">
        <v>-951.75</v>
      </c>
      <c r="BI1272" s="55" t="n">
        <v>2</v>
      </c>
      <c r="BJ1272" s="53" t="inlineStr"/>
      <c r="BK1272" s="58" t="n">
        <v>0</v>
      </c>
      <c r="BL1272" s="58" t="n">
        <v>1272</v>
      </c>
      <c r="BM1272" s="53">
        <f>IF(S1272&lt;&gt;"",UPPER(TRIM(S1272)),IF(O1272="","LOSE",O1272))</f>
        <v/>
      </c>
      <c r="BN1272" s="55">
        <f>IF(BM1272="LOSE",1,IF(N(T1272)&gt;0,T1272,IF(N(P1272)&gt;0,P1272,MAX(1,G1272))))</f>
        <v/>
      </c>
      <c r="BO1272" s="58">
        <f>IF(BM1272="LOSE",1,0)</f>
        <v/>
      </c>
      <c r="BP1272" s="64">
        <f>IF(BO1272=0,0,IF(N(R1272)&gt;0,R1272,IFERROR(VLOOKUP(D1272,Parameter!$A$35:$C$64,3,0)+0,0)))</f>
        <v/>
      </c>
      <c r="BQ1272" s="53">
        <f>IF(V1272&lt;&gt;"",V1272,U1272)</f>
        <v/>
      </c>
      <c r="BR1272" s="53">
        <f>IF(BQ1272=1,"L1",IF(OR(BQ1272=2,BQ1272=3),"L23",IF(BQ1272="Aussen","Aussen","-")))</f>
        <v/>
      </c>
      <c r="BS1272" s="66">
        <f>IF(N(W1272)&gt;0,W1272,0)</f>
        <v/>
      </c>
      <c r="BT1272" s="58">
        <f>IF(ISNUMBER(Z1272),1,0)</f>
        <v/>
      </c>
      <c r="BU1272" s="55">
        <f>N(Z1272)</f>
        <v/>
      </c>
      <c r="BV1272" s="55">
        <f>N(L1272)+N(M1272)</f>
        <v/>
      </c>
      <c r="BW1272" s="55">
        <f>ROUNDUP(G1272/BN1272,0)</f>
        <v/>
      </c>
      <c r="BX1272" s="55">
        <f>ROUNDUP(BU1272/BN1272,0)</f>
        <v/>
      </c>
      <c r="BY1272" s="58">
        <f>IF(BO1272=1,0,IFERROR(VLOOKUP(BM1272,'Gebinde-Kategorie'!$A$5:$G$45,5,0)+0,0))</f>
        <v/>
      </c>
      <c r="BZ1272" s="58">
        <f>IFERROR(IF(OR(BQ1272=1,BQ1272=2,BQ1272=3),N(INDEX(Parameter!$I$5:$I$7,BQ1272)),0),0)</f>
        <v/>
      </c>
    </row>
    <row r="1273">
      <c r="A1273" s="53" t="inlineStr">
        <is>
          <t>106997</t>
        </is>
      </c>
      <c r="B1273" s="53" t="inlineStr">
        <is>
          <t>Halbleiterschütz 1-phasig</t>
        </is>
      </c>
      <c r="C1273" s="53" t="inlineStr">
        <is>
          <t>F</t>
        </is>
      </c>
      <c r="D1273" s="53" t="inlineStr">
        <is>
          <t>KTL</t>
        </is>
      </c>
      <c r="E1273" s="53" t="inlineStr">
        <is>
          <t>C</t>
        </is>
      </c>
      <c r="F1273" s="54" t="n">
        <v>87.04000000000001</v>
      </c>
      <c r="G1273" s="55">
        <f>MAX(0,IF(Parameter!$B$20="Jahresanfang 2025 + Export",BG1273+BF1273,BF1273))</f>
        <v/>
      </c>
      <c r="H1273" s="55">
        <f>G1273*F1273</f>
        <v/>
      </c>
      <c r="I1273" s="55">
        <f>BI1273*Parameter!$B$18</f>
        <v/>
      </c>
      <c r="J1273" s="56" t="n">
        <v>52</v>
      </c>
      <c r="K1273" s="57" t="n">
        <v>0.01923076923076923</v>
      </c>
      <c r="L1273" s="55" t="n">
        <v>0</v>
      </c>
      <c r="M1273" s="55" t="n">
        <v>1</v>
      </c>
      <c r="N1273" s="58" t="n">
        <v>28</v>
      </c>
      <c r="O1273" s="53" t="inlineStr">
        <is>
          <t>S72</t>
        </is>
      </c>
      <c r="P1273" s="55" t="n">
        <v>50</v>
      </c>
      <c r="Q1273" s="59">
        <f>IF(BO1273=1,0,IFERROR(VLOOKUP(BM1273,'Gebinde-Kategorie'!$A$5:$G$45,6,0)+0,0))</f>
        <v/>
      </c>
      <c r="R1273" s="60" t="n"/>
      <c r="S1273" s="61" t="n"/>
      <c r="T1273" s="61" t="n"/>
      <c r="U1273" s="53">
        <f>IF(A1273="","",IF(IFERROR(VLOOKUP(D1273,Parameter!$A$35:$C$64,2,0),"Nein")="2+3",IF(ISNUMBER(SEARCH("grosser Artikel",BJ1273)),2,IFERROR(VLOOKUP(BM1273,Parameter!$F$35:$G$64,2,0),2)),IF(OR(IFERROR(VLOOKUP(D1273,Parameter!$A$35:$C$64,2,0),"Nein")="Nein",IFERROR(VLOOKUP(D1273,Parameter!$A$35:$C$64,2,0),"Nein")=""),"-",VLOOKUP(D1273,Parameter!$A$35:$C$64,2,0))))</f>
        <v/>
      </c>
      <c r="V1273" s="61" t="n"/>
      <c r="W1273" s="62" t="n"/>
      <c r="X1273" s="55">
        <f>AM1273</f>
        <v/>
      </c>
      <c r="Y1273" s="55">
        <f>MAX(AM1273,G1273)</f>
        <v/>
      </c>
      <c r="Z1273" s="63" t="n"/>
      <c r="AA1273" s="55">
        <f>IF(LEFT(Cockpit!$C$5,1)="A",G1273,IF(BT1273=1,BU1273,IF(LEFT(Cockpit!$C$5,1)="B",AE1273,MAX(AE1273,G1273))))</f>
        <v/>
      </c>
      <c r="AB1273" s="55">
        <f>IF(BO1273=1,0,ROUNDUP(AA1273/BN1273,0))</f>
        <v/>
      </c>
      <c r="AC1273" s="64">
        <f>IF(BO1273=1,IF(AA1273&lt;=0,0,BP1273*MAX(1,IF(G1273&gt;0,AA1273/G1273,1))),AB1273*Q1273)</f>
        <v/>
      </c>
      <c r="AD1273" s="55">
        <f>AA1273*F1273</f>
        <v/>
      </c>
      <c r="AE1273" s="55">
        <f>ROUNDUP(MAX(I1273/IF(BS1273&gt;0,BS1273,MAX(0.1,N(Cockpit!$C$6))),BV1273)/BN1273,0)*BN1273</f>
        <v/>
      </c>
      <c r="AF1273" s="56">
        <f>IF(AC1273&gt;0,I1273/AC1273,-1)</f>
        <v/>
      </c>
      <c r="AG1273" s="56">
        <f>IF(AND(OR(BR1273="L1",BR1273="L23"),AC1273&gt;0),SUMIFS($AC$7:$AC$1570,$BR$7:$BR$1570,BR1273,$AF$7:$AF$1570,"&gt;"&amp;AF1273)+SUMIFS($AC$7:$AC$1570,$BR$7:$BR$1570,BR1273,$AF$7:$AF$1570,AF1273,$BL$7:$BL$1570,"&lt;="&amp;BL1273),"")</f>
        <v/>
      </c>
      <c r="AH1273" s="65">
        <f>IF(AG1273="",0,MAX(0,MIN(1,(IF(BR1273="L1",Parameter!$K$5,Parameter!$K$6+Parameter!$K$7)-(AG1273-AC1273))/AC1273)))</f>
        <v/>
      </c>
      <c r="AI1273" s="55">
        <f>IF(LEFT(Cockpit!$I$5,1)="A",G1273,IF(BT1273=1,BU1273,IF(LEFT(Cockpit!$I$5,1)="B",AM1273,MAX(AM1273,G1273))))</f>
        <v/>
      </c>
      <c r="AJ1273" s="55">
        <f>IF(BO1273=1,0,ROUNDUP(AI1273/BN1273,0))</f>
        <v/>
      </c>
      <c r="AK1273" s="64">
        <f>IF(BO1273=1,IF(AI1273&lt;=0,0,BP1273*MAX(1,IF(G1273&gt;0,AI1273/G1273,1))),AJ1273*Q1273)</f>
        <v/>
      </c>
      <c r="AL1273" s="55">
        <f>AI1273*F1273</f>
        <v/>
      </c>
      <c r="AM1273" s="55">
        <f>ROUNDUP(MAX(I1273/IF(BS1273&gt;0,BS1273,MAX(0.1,N(Cockpit!$I$6))),BV1273)/BN1273,0)*BN1273</f>
        <v/>
      </c>
      <c r="AN1273" s="56">
        <f>IF(AK1273&gt;0,I1273/AK1273,-1)</f>
        <v/>
      </c>
      <c r="AO1273" s="56">
        <f>IF(AND(OR(BR1273="L1",BR1273="L23"),AK1273&gt;0),SUMIFS($AK$7:$AK$1570,$BR$7:$BR$1570,BR1273,$AN$7:$AN$1570,"&gt;"&amp;AN1273)+SUMIFS($AK$7:$AK$1570,$BR$7:$BR$1570,BR1273,$AN$7:$AN$1570,AN1273,$BL$7:$BL$1570,"&lt;="&amp;BL1273),"")</f>
        <v/>
      </c>
      <c r="AP1273" s="65">
        <f>IF(AO1273="",0,MAX(0,MIN(1,(IF(BR1273="L1",Parameter!$K$5,Parameter!$K$6+Parameter!$K$7)-(AO1273-AK1273))/AK1273)))</f>
        <v/>
      </c>
      <c r="AQ1273" s="55">
        <f>IF(LEFT(Cockpit!$O$5,1)="A",G1273,IF(BT1273=1,BU1273,IF(LEFT(Cockpit!$O$5,1)="B",AU1273,MAX(AU1273,G1273))))</f>
        <v/>
      </c>
      <c r="AR1273" s="55">
        <f>IF(BO1273=1,0,ROUNDUP(AQ1273/BN1273,0))</f>
        <v/>
      </c>
      <c r="AS1273" s="64">
        <f>IF(BO1273=1,IF(AQ1273&lt;=0,0,BP1273*MAX(1,IF(G1273&gt;0,AQ1273/G1273,1))),AR1273*Q1273)</f>
        <v/>
      </c>
      <c r="AT1273" s="55">
        <f>AQ1273*F1273</f>
        <v/>
      </c>
      <c r="AU1273" s="55">
        <f>ROUNDUP(MAX(I1273/IF(BS1273&gt;0,BS1273,MAX(0.1,N(Cockpit!$O$6))),BV1273)/BN1273,0)*BN1273</f>
        <v/>
      </c>
      <c r="AV1273" s="56">
        <f>IF(AS1273&gt;0,I1273/AS1273,-1)</f>
        <v/>
      </c>
      <c r="AW1273" s="56">
        <f>IF(AND(OR(BR1273="L1",BR1273="L23"),AS1273&gt;0),SUMIFS($AS$7:$AS$1570,$BR$7:$BR$1570,BR1273,$AV$7:$AV$1570,"&gt;"&amp;AV1273)+SUMIFS($AS$7:$AS$1570,$BR$7:$BR$1570,BR1273,$AV$7:$AV$1570,AV1273,$BL$7:$BL$1570,"&lt;="&amp;BL1273),"")</f>
        <v/>
      </c>
      <c r="AX1273" s="65">
        <f>IF(AW1273="",0,MAX(0,MIN(1,(IF(BR1273="L1",Parameter!$K$5,Parameter!$K$6+Parameter!$K$7)-(AW1273-AS1273))/AS1273)))</f>
        <v/>
      </c>
      <c r="AY1273" s="53">
        <f>IF(AC1273&lt;=0,"",IF(BR1273="Aussen","Aussenlager",IF(BR1273="-","Nicht im Lift",IF(AH1273&gt;=1,"Lift",IF(AH1273&lt;=0,"Aussenlager","teilweise")))))</f>
        <v/>
      </c>
      <c r="AZ1273" s="53">
        <f>IF(AK1273&lt;=0,"",IF(BR1273="Aussen","Aussenlager",IF(BR1273="-","Nicht im Lift",IF(AP1273&gt;=1,"Lift",IF(AP1273&lt;=0,"Aussenlager","teilweise")))))</f>
        <v/>
      </c>
      <c r="BA1273" s="53">
        <f>IF(AS1273&lt;=0,"",IF(BR1273="Aussen","Aussenlager",IF(BR1273="-","Nicht im Lift",IF(AX1273&gt;=1,"Lift",IF(AX1273&lt;=0,"Aussenlager","teilweise")))))</f>
        <v/>
      </c>
      <c r="BB1273" s="53">
        <f>IF(A1273="","",IF(BK1273=1,"Neu; ","")&amp;IF(AND(BK1273=0,BF1273&lt;0),"negativer Bestand (Export "&amp;BF1273&amp;"); ","")&amp;IF(I1273&lt;=0,"Kein Verbrauch; ","")&amp;IF(BO1273=1,"Lose – Fläche geschätzt; ","")&amp;IF(G1273&gt;AM1273,"Überbestand "&amp;ROUND(G1273-AM1273,0)&amp;" Stk / CHF "&amp;ROUND((G1273-AM1273)*F1273,0)&amp;"; ","")&amp;IF(AND(BT1273=1,BU1273&lt;BV1273),"MAX &lt; MB+LG; ","")&amp;IF(AND(BZ1273&gt;0,BY1273*10&gt;BZ1273),"zu hoch für Tablar; ","")&amp;IF(AND(BK1273=0,OR(BT1273=1,V1273&lt;&gt;"",S1273&lt;&gt;"",T1273&lt;&gt;"",W1273&lt;&gt;"")),"manuell übersteuert; ","")&amp;IF(AND(BO1273=0,Q1273=0),"Gebinde unbekannt; ","")&amp;IF(AND(BO1273=0,N(T1273)&lt;=0,N(P1273)&lt;=0),"Menge pro Gebinde fehlt (Ist = 1 Gebinde); ","")&amp;BJ1273)</f>
        <v/>
      </c>
      <c r="BC1273" s="53" t="n"/>
      <c r="BD1273" s="53" t="n"/>
      <c r="BE1273" s="61" t="n"/>
      <c r="BF1273" s="55" t="n">
        <v>-11</v>
      </c>
      <c r="BG1273" s="55" t="n">
        <v>57</v>
      </c>
      <c r="BH1273" s="54" t="n">
        <v>-957.4399999999999</v>
      </c>
      <c r="BI1273" s="55" t="n">
        <v>1</v>
      </c>
      <c r="BJ1273" s="53" t="inlineStr">
        <is>
          <t>überbestand</t>
        </is>
      </c>
      <c r="BK1273" s="58" t="n">
        <v>0</v>
      </c>
      <c r="BL1273" s="58" t="n">
        <v>1273</v>
      </c>
      <c r="BM1273" s="53">
        <f>IF(S1273&lt;&gt;"",UPPER(TRIM(S1273)),IF(O1273="","LOSE",O1273))</f>
        <v/>
      </c>
      <c r="BN1273" s="55">
        <f>IF(BM1273="LOSE",1,IF(N(T1273)&gt;0,T1273,IF(N(P1273)&gt;0,P1273,MAX(1,G1273))))</f>
        <v/>
      </c>
      <c r="BO1273" s="58">
        <f>IF(BM1273="LOSE",1,0)</f>
        <v/>
      </c>
      <c r="BP1273" s="64">
        <f>IF(BO1273=0,0,IF(N(R1273)&gt;0,R1273,IFERROR(VLOOKUP(D1273,Parameter!$A$35:$C$64,3,0)+0,0)))</f>
        <v/>
      </c>
      <c r="BQ1273" s="53">
        <f>IF(V1273&lt;&gt;"",V1273,U1273)</f>
        <v/>
      </c>
      <c r="BR1273" s="53">
        <f>IF(BQ1273=1,"L1",IF(OR(BQ1273=2,BQ1273=3),"L23",IF(BQ1273="Aussen","Aussen","-")))</f>
        <v/>
      </c>
      <c r="BS1273" s="66">
        <f>IF(N(W1273)&gt;0,W1273,0)</f>
        <v/>
      </c>
      <c r="BT1273" s="58">
        <f>IF(ISNUMBER(Z1273),1,0)</f>
        <v/>
      </c>
      <c r="BU1273" s="55">
        <f>N(Z1273)</f>
        <v/>
      </c>
      <c r="BV1273" s="55">
        <f>N(L1273)+N(M1273)</f>
        <v/>
      </c>
      <c r="BW1273" s="55">
        <f>ROUNDUP(G1273/BN1273,0)</f>
        <v/>
      </c>
      <c r="BX1273" s="55">
        <f>ROUNDUP(BU1273/BN1273,0)</f>
        <v/>
      </c>
      <c r="BY1273" s="58">
        <f>IF(BO1273=1,0,IFERROR(VLOOKUP(BM1273,'Gebinde-Kategorie'!$A$5:$G$45,5,0)+0,0))</f>
        <v/>
      </c>
      <c r="BZ1273" s="58">
        <f>IFERROR(IF(OR(BQ1273=1,BQ1273=2,BQ1273=3),N(INDEX(Parameter!$I$5:$I$7,BQ1273)),0),0)</f>
        <v/>
      </c>
    </row>
    <row r="1274">
      <c r="A1274" s="53" t="inlineStr">
        <is>
          <t>101231</t>
        </is>
      </c>
      <c r="B1274" s="53" t="inlineStr">
        <is>
          <t>Magnetspule ohne Kabel</t>
        </is>
      </c>
      <c r="C1274" s="53" t="inlineStr">
        <is>
          <t>F</t>
        </is>
      </c>
      <c r="D1274" s="53" t="inlineStr">
        <is>
          <t>KTL</t>
        </is>
      </c>
      <c r="E1274" s="53" t="inlineStr">
        <is>
          <t>C</t>
        </is>
      </c>
      <c r="F1274" s="54" t="n">
        <v>107</v>
      </c>
      <c r="G1274" s="55">
        <f>MAX(0,IF(Parameter!$B$20="Jahresanfang 2025 + Export",BG1274+BF1274,BF1274))</f>
        <v/>
      </c>
      <c r="H1274" s="55">
        <f>G1274*F1274</f>
        <v/>
      </c>
      <c r="I1274" s="55">
        <f>BI1274*Parameter!$B$18</f>
        <v/>
      </c>
      <c r="J1274" s="56" t="n">
        <v>34</v>
      </c>
      <c r="K1274" s="57" t="n">
        <v>1.647058823529412</v>
      </c>
      <c r="L1274" s="55" t="n">
        <v>2</v>
      </c>
      <c r="M1274" s="55" t="n">
        <v>10</v>
      </c>
      <c r="N1274" s="58" t="n">
        <v>14</v>
      </c>
      <c r="O1274" s="53" t="inlineStr">
        <is>
          <t>S52</t>
        </is>
      </c>
      <c r="P1274" s="55" t="n">
        <v>52</v>
      </c>
      <c r="Q1274" s="59">
        <f>IF(BO1274=1,0,IFERROR(VLOOKUP(BM1274,'Gebinde-Kategorie'!$A$5:$G$45,6,0)+0,0))</f>
        <v/>
      </c>
      <c r="R1274" s="60" t="n"/>
      <c r="S1274" s="61" t="n"/>
      <c r="T1274" s="61" t="n"/>
      <c r="U1274" s="53">
        <f>IF(A1274="","",IF(IFERROR(VLOOKUP(D1274,Parameter!$A$35:$C$64,2,0),"Nein")="2+3",IF(ISNUMBER(SEARCH("grosser Artikel",BJ1274)),2,IFERROR(VLOOKUP(BM1274,Parameter!$F$35:$G$64,2,0),2)),IF(OR(IFERROR(VLOOKUP(D1274,Parameter!$A$35:$C$64,2,0),"Nein")="Nein",IFERROR(VLOOKUP(D1274,Parameter!$A$35:$C$64,2,0),"Nein")=""),"-",VLOOKUP(D1274,Parameter!$A$35:$C$64,2,0))))</f>
        <v/>
      </c>
      <c r="V1274" s="61" t="n"/>
      <c r="W1274" s="62" t="n"/>
      <c r="X1274" s="55">
        <f>AM1274</f>
        <v/>
      </c>
      <c r="Y1274" s="55">
        <f>MAX(AM1274,G1274)</f>
        <v/>
      </c>
      <c r="Z1274" s="63" t="n"/>
      <c r="AA1274" s="55">
        <f>IF(LEFT(Cockpit!$C$5,1)="A",G1274,IF(BT1274=1,BU1274,IF(LEFT(Cockpit!$C$5,1)="B",AE1274,MAX(AE1274,G1274))))</f>
        <v/>
      </c>
      <c r="AB1274" s="55">
        <f>IF(BO1274=1,0,ROUNDUP(AA1274/BN1274,0))</f>
        <v/>
      </c>
      <c r="AC1274" s="64">
        <f>IF(BO1274=1,IF(AA1274&lt;=0,0,BP1274*MAX(1,IF(G1274&gt;0,AA1274/G1274,1))),AB1274*Q1274)</f>
        <v/>
      </c>
      <c r="AD1274" s="55">
        <f>AA1274*F1274</f>
        <v/>
      </c>
      <c r="AE1274" s="55">
        <f>ROUNDUP(MAX(I1274/IF(BS1274&gt;0,BS1274,MAX(0.1,N(Cockpit!$C$6))),BV1274)/BN1274,0)*BN1274</f>
        <v/>
      </c>
      <c r="AF1274" s="56">
        <f>IF(AC1274&gt;0,I1274/AC1274,-1)</f>
        <v/>
      </c>
      <c r="AG1274" s="56">
        <f>IF(AND(OR(BR1274="L1",BR1274="L23"),AC1274&gt;0),SUMIFS($AC$7:$AC$1570,$BR$7:$BR$1570,BR1274,$AF$7:$AF$1570,"&gt;"&amp;AF1274)+SUMIFS($AC$7:$AC$1570,$BR$7:$BR$1570,BR1274,$AF$7:$AF$1570,AF1274,$BL$7:$BL$1570,"&lt;="&amp;BL1274),"")</f>
        <v/>
      </c>
      <c r="AH1274" s="65">
        <f>IF(AG1274="",0,MAX(0,MIN(1,(IF(BR1274="L1",Parameter!$K$5,Parameter!$K$6+Parameter!$K$7)-(AG1274-AC1274))/AC1274)))</f>
        <v/>
      </c>
      <c r="AI1274" s="55">
        <f>IF(LEFT(Cockpit!$I$5,1)="A",G1274,IF(BT1274=1,BU1274,IF(LEFT(Cockpit!$I$5,1)="B",AM1274,MAX(AM1274,G1274))))</f>
        <v/>
      </c>
      <c r="AJ1274" s="55">
        <f>IF(BO1274=1,0,ROUNDUP(AI1274/BN1274,0))</f>
        <v/>
      </c>
      <c r="AK1274" s="64">
        <f>IF(BO1274=1,IF(AI1274&lt;=0,0,BP1274*MAX(1,IF(G1274&gt;0,AI1274/G1274,1))),AJ1274*Q1274)</f>
        <v/>
      </c>
      <c r="AL1274" s="55">
        <f>AI1274*F1274</f>
        <v/>
      </c>
      <c r="AM1274" s="55">
        <f>ROUNDUP(MAX(I1274/IF(BS1274&gt;0,BS1274,MAX(0.1,N(Cockpit!$I$6))),BV1274)/BN1274,0)*BN1274</f>
        <v/>
      </c>
      <c r="AN1274" s="56">
        <f>IF(AK1274&gt;0,I1274/AK1274,-1)</f>
        <v/>
      </c>
      <c r="AO1274" s="56">
        <f>IF(AND(OR(BR1274="L1",BR1274="L23"),AK1274&gt;0),SUMIFS($AK$7:$AK$1570,$BR$7:$BR$1570,BR1274,$AN$7:$AN$1570,"&gt;"&amp;AN1274)+SUMIFS($AK$7:$AK$1570,$BR$7:$BR$1570,BR1274,$AN$7:$AN$1570,AN1274,$BL$7:$BL$1570,"&lt;="&amp;BL1274),"")</f>
        <v/>
      </c>
      <c r="AP1274" s="65">
        <f>IF(AO1274="",0,MAX(0,MIN(1,(IF(BR1274="L1",Parameter!$K$5,Parameter!$K$6+Parameter!$K$7)-(AO1274-AK1274))/AK1274)))</f>
        <v/>
      </c>
      <c r="AQ1274" s="55">
        <f>IF(LEFT(Cockpit!$O$5,1)="A",G1274,IF(BT1274=1,BU1274,IF(LEFT(Cockpit!$O$5,1)="B",AU1274,MAX(AU1274,G1274))))</f>
        <v/>
      </c>
      <c r="AR1274" s="55">
        <f>IF(BO1274=1,0,ROUNDUP(AQ1274/BN1274,0))</f>
        <v/>
      </c>
      <c r="AS1274" s="64">
        <f>IF(BO1274=1,IF(AQ1274&lt;=0,0,BP1274*MAX(1,IF(G1274&gt;0,AQ1274/G1274,1))),AR1274*Q1274)</f>
        <v/>
      </c>
      <c r="AT1274" s="55">
        <f>AQ1274*F1274</f>
        <v/>
      </c>
      <c r="AU1274" s="55">
        <f>ROUNDUP(MAX(I1274/IF(BS1274&gt;0,BS1274,MAX(0.1,N(Cockpit!$O$6))),BV1274)/BN1274,0)*BN1274</f>
        <v/>
      </c>
      <c r="AV1274" s="56">
        <f>IF(AS1274&gt;0,I1274/AS1274,-1)</f>
        <v/>
      </c>
      <c r="AW1274" s="56">
        <f>IF(AND(OR(BR1274="L1",BR1274="L23"),AS1274&gt;0),SUMIFS($AS$7:$AS$1570,$BR$7:$BR$1570,BR1274,$AV$7:$AV$1570,"&gt;"&amp;AV1274)+SUMIFS($AS$7:$AS$1570,$BR$7:$BR$1570,BR1274,$AV$7:$AV$1570,AV1274,$BL$7:$BL$1570,"&lt;="&amp;BL1274),"")</f>
        <v/>
      </c>
      <c r="AX1274" s="65">
        <f>IF(AW1274="",0,MAX(0,MIN(1,(IF(BR1274="L1",Parameter!$K$5,Parameter!$K$6+Parameter!$K$7)-(AW1274-AS1274))/AS1274)))</f>
        <v/>
      </c>
      <c r="AY1274" s="53">
        <f>IF(AC1274&lt;=0,"",IF(BR1274="Aussen","Aussenlager",IF(BR1274="-","Nicht im Lift",IF(AH1274&gt;=1,"Lift",IF(AH1274&lt;=0,"Aussenlager","teilweise")))))</f>
        <v/>
      </c>
      <c r="AZ1274" s="53">
        <f>IF(AK1274&lt;=0,"",IF(BR1274="Aussen","Aussenlager",IF(BR1274="-","Nicht im Lift",IF(AP1274&gt;=1,"Lift",IF(AP1274&lt;=0,"Aussenlager","teilweise")))))</f>
        <v/>
      </c>
      <c r="BA1274" s="53">
        <f>IF(AS1274&lt;=0,"",IF(BR1274="Aussen","Aussenlager",IF(BR1274="-","Nicht im Lift",IF(AX1274&gt;=1,"Lift",IF(AX1274&lt;=0,"Aussenlager","teilweise")))))</f>
        <v/>
      </c>
      <c r="BB1274" s="53">
        <f>IF(A1274="","",IF(BK1274=1,"Neu; ","")&amp;IF(AND(BK1274=0,BF1274&lt;0),"negativer Bestand (Export "&amp;BF1274&amp;"); ","")&amp;IF(I1274&lt;=0,"Kein Verbrauch; ","")&amp;IF(BO1274=1,"Lose – Fläche geschätzt; ","")&amp;IF(G1274&gt;AM1274,"Überbestand "&amp;ROUND(G1274-AM1274,0)&amp;" Stk / CHF "&amp;ROUND((G1274-AM1274)*F1274,0)&amp;"; ","")&amp;IF(AND(BT1274=1,BU1274&lt;BV1274),"MAX &lt; MB+LG; ","")&amp;IF(AND(BZ1274&gt;0,BY1274*10&gt;BZ1274),"zu hoch für Tablar; ","")&amp;IF(AND(BK1274=0,OR(BT1274=1,V1274&lt;&gt;"",S1274&lt;&gt;"",T1274&lt;&gt;"",W1274&lt;&gt;"")),"manuell übersteuert; ","")&amp;IF(AND(BO1274=0,Q1274=0),"Gebinde unbekannt; ","")&amp;IF(AND(BO1274=0,N(T1274)&lt;=0,N(P1274)&lt;=0),"Menge pro Gebinde fehlt (Ist = 1 Gebinde); ","")&amp;BJ1274)</f>
        <v/>
      </c>
      <c r="BC1274" s="53" t="n"/>
      <c r="BD1274" s="53" t="n"/>
      <c r="BE1274" s="61" t="n"/>
      <c r="BF1274" s="55" t="n">
        <v>-9</v>
      </c>
      <c r="BG1274" s="55" t="n">
        <v>33</v>
      </c>
      <c r="BH1274" s="54" t="n">
        <v>-963</v>
      </c>
      <c r="BI1274" s="55" t="n">
        <v>56</v>
      </c>
      <c r="BJ1274" s="53" t="inlineStr"/>
      <c r="BK1274" s="58" t="n">
        <v>0</v>
      </c>
      <c r="BL1274" s="58" t="n">
        <v>1274</v>
      </c>
      <c r="BM1274" s="53">
        <f>IF(S1274&lt;&gt;"",UPPER(TRIM(S1274)),IF(O1274="","LOSE",O1274))</f>
        <v/>
      </c>
      <c r="BN1274" s="55">
        <f>IF(BM1274="LOSE",1,IF(N(T1274)&gt;0,T1274,IF(N(P1274)&gt;0,P1274,MAX(1,G1274))))</f>
        <v/>
      </c>
      <c r="BO1274" s="58">
        <f>IF(BM1274="LOSE",1,0)</f>
        <v/>
      </c>
      <c r="BP1274" s="64">
        <f>IF(BO1274=0,0,IF(N(R1274)&gt;0,R1274,IFERROR(VLOOKUP(D1274,Parameter!$A$35:$C$64,3,0)+0,0)))</f>
        <v/>
      </c>
      <c r="BQ1274" s="53">
        <f>IF(V1274&lt;&gt;"",V1274,U1274)</f>
        <v/>
      </c>
      <c r="BR1274" s="53">
        <f>IF(BQ1274=1,"L1",IF(OR(BQ1274=2,BQ1274=3),"L23",IF(BQ1274="Aussen","Aussen","-")))</f>
        <v/>
      </c>
      <c r="BS1274" s="66">
        <f>IF(N(W1274)&gt;0,W1274,0)</f>
        <v/>
      </c>
      <c r="BT1274" s="58">
        <f>IF(ISNUMBER(Z1274),1,0)</f>
        <v/>
      </c>
      <c r="BU1274" s="55">
        <f>N(Z1274)</f>
        <v/>
      </c>
      <c r="BV1274" s="55">
        <f>N(L1274)+N(M1274)</f>
        <v/>
      </c>
      <c r="BW1274" s="55">
        <f>ROUNDUP(G1274/BN1274,0)</f>
        <v/>
      </c>
      <c r="BX1274" s="55">
        <f>ROUNDUP(BU1274/BN1274,0)</f>
        <v/>
      </c>
      <c r="BY1274" s="58">
        <f>IF(BO1274=1,0,IFERROR(VLOOKUP(BM1274,'Gebinde-Kategorie'!$A$5:$G$45,5,0)+0,0))</f>
        <v/>
      </c>
      <c r="BZ1274" s="58">
        <f>IFERROR(IF(OR(BQ1274=1,BQ1274=2,BQ1274=3),N(INDEX(Parameter!$I$5:$I$7,BQ1274)),0),0)</f>
        <v/>
      </c>
    </row>
    <row r="1275">
      <c r="A1275" s="53" t="inlineStr">
        <is>
          <t>005698</t>
        </is>
      </c>
      <c r="B1275" s="53" t="inlineStr">
        <is>
          <t>Stromversorgung</t>
        </is>
      </c>
      <c r="C1275" s="53" t="inlineStr">
        <is>
          <t>F</t>
        </is>
      </c>
      <c r="D1275" s="53" t="inlineStr">
        <is>
          <t>KTL</t>
        </is>
      </c>
      <c r="E1275" s="53" t="inlineStr">
        <is>
          <t>C</t>
        </is>
      </c>
      <c r="F1275" s="54" t="n">
        <v>165.85</v>
      </c>
      <c r="G1275" s="55">
        <f>MAX(0,IF(Parameter!$B$20="Jahresanfang 2025 + Export",BG1275+BF1275,BF1275))</f>
        <v/>
      </c>
      <c r="H1275" s="55">
        <f>G1275*F1275</f>
        <v/>
      </c>
      <c r="I1275" s="55">
        <f>BI1275*Parameter!$B$18</f>
        <v/>
      </c>
      <c r="J1275" s="56" t="n">
        <v>7.5</v>
      </c>
      <c r="K1275" s="57" t="n">
        <v>0.8</v>
      </c>
      <c r="L1275" s="55" t="n">
        <v>0</v>
      </c>
      <c r="M1275" s="55" t="n">
        <v>5</v>
      </c>
      <c r="N1275" s="58" t="n">
        <v>28</v>
      </c>
      <c r="O1275" s="53" t="inlineStr">
        <is>
          <t>S61</t>
        </is>
      </c>
      <c r="P1275" s="55" t="n">
        <v>7</v>
      </c>
      <c r="Q1275" s="59">
        <f>IF(BO1275=1,0,IFERROR(VLOOKUP(BM1275,'Gebinde-Kategorie'!$A$5:$G$45,6,0)+0,0))</f>
        <v/>
      </c>
      <c r="R1275" s="60" t="n"/>
      <c r="S1275" s="61" t="n"/>
      <c r="T1275" s="61" t="n"/>
      <c r="U1275" s="53">
        <f>IF(A1275="","",IF(IFERROR(VLOOKUP(D1275,Parameter!$A$35:$C$64,2,0),"Nein")="2+3",IF(ISNUMBER(SEARCH("grosser Artikel",BJ1275)),2,IFERROR(VLOOKUP(BM1275,Parameter!$F$35:$G$64,2,0),2)),IF(OR(IFERROR(VLOOKUP(D1275,Parameter!$A$35:$C$64,2,0),"Nein")="Nein",IFERROR(VLOOKUP(D1275,Parameter!$A$35:$C$64,2,0),"Nein")=""),"-",VLOOKUP(D1275,Parameter!$A$35:$C$64,2,0))))</f>
        <v/>
      </c>
      <c r="V1275" s="61" t="n"/>
      <c r="W1275" s="62" t="n"/>
      <c r="X1275" s="55">
        <f>AM1275</f>
        <v/>
      </c>
      <c r="Y1275" s="55">
        <f>MAX(AM1275,G1275)</f>
        <v/>
      </c>
      <c r="Z1275" s="63" t="n"/>
      <c r="AA1275" s="55">
        <f>IF(LEFT(Cockpit!$C$5,1)="A",G1275,IF(BT1275=1,BU1275,IF(LEFT(Cockpit!$C$5,1)="B",AE1275,MAX(AE1275,G1275))))</f>
        <v/>
      </c>
      <c r="AB1275" s="55">
        <f>IF(BO1275=1,0,ROUNDUP(AA1275/BN1275,0))</f>
        <v/>
      </c>
      <c r="AC1275" s="64">
        <f>IF(BO1275=1,IF(AA1275&lt;=0,0,BP1275*MAX(1,IF(G1275&gt;0,AA1275/G1275,1))),AB1275*Q1275)</f>
        <v/>
      </c>
      <c r="AD1275" s="55">
        <f>AA1275*F1275</f>
        <v/>
      </c>
      <c r="AE1275" s="55">
        <f>ROUNDUP(MAX(I1275/IF(BS1275&gt;0,BS1275,MAX(0.1,N(Cockpit!$C$6))),BV1275)/BN1275,0)*BN1275</f>
        <v/>
      </c>
      <c r="AF1275" s="56">
        <f>IF(AC1275&gt;0,I1275/AC1275,-1)</f>
        <v/>
      </c>
      <c r="AG1275" s="56">
        <f>IF(AND(OR(BR1275="L1",BR1275="L23"),AC1275&gt;0),SUMIFS($AC$7:$AC$1570,$BR$7:$BR$1570,BR1275,$AF$7:$AF$1570,"&gt;"&amp;AF1275)+SUMIFS($AC$7:$AC$1570,$BR$7:$BR$1570,BR1275,$AF$7:$AF$1570,AF1275,$BL$7:$BL$1570,"&lt;="&amp;BL1275),"")</f>
        <v/>
      </c>
      <c r="AH1275" s="65">
        <f>IF(AG1275="",0,MAX(0,MIN(1,(IF(BR1275="L1",Parameter!$K$5,Parameter!$K$6+Parameter!$K$7)-(AG1275-AC1275))/AC1275)))</f>
        <v/>
      </c>
      <c r="AI1275" s="55">
        <f>IF(LEFT(Cockpit!$I$5,1)="A",G1275,IF(BT1275=1,BU1275,IF(LEFT(Cockpit!$I$5,1)="B",AM1275,MAX(AM1275,G1275))))</f>
        <v/>
      </c>
      <c r="AJ1275" s="55">
        <f>IF(BO1275=1,0,ROUNDUP(AI1275/BN1275,0))</f>
        <v/>
      </c>
      <c r="AK1275" s="64">
        <f>IF(BO1275=1,IF(AI1275&lt;=0,0,BP1275*MAX(1,IF(G1275&gt;0,AI1275/G1275,1))),AJ1275*Q1275)</f>
        <v/>
      </c>
      <c r="AL1275" s="55">
        <f>AI1275*F1275</f>
        <v/>
      </c>
      <c r="AM1275" s="55">
        <f>ROUNDUP(MAX(I1275/IF(BS1275&gt;0,BS1275,MAX(0.1,N(Cockpit!$I$6))),BV1275)/BN1275,0)*BN1275</f>
        <v/>
      </c>
      <c r="AN1275" s="56">
        <f>IF(AK1275&gt;0,I1275/AK1275,-1)</f>
        <v/>
      </c>
      <c r="AO1275" s="56">
        <f>IF(AND(OR(BR1275="L1",BR1275="L23"),AK1275&gt;0),SUMIFS($AK$7:$AK$1570,$BR$7:$BR$1570,BR1275,$AN$7:$AN$1570,"&gt;"&amp;AN1275)+SUMIFS($AK$7:$AK$1570,$BR$7:$BR$1570,BR1275,$AN$7:$AN$1570,AN1275,$BL$7:$BL$1570,"&lt;="&amp;BL1275),"")</f>
        <v/>
      </c>
      <c r="AP1275" s="65">
        <f>IF(AO1275="",0,MAX(0,MIN(1,(IF(BR1275="L1",Parameter!$K$5,Parameter!$K$6+Parameter!$K$7)-(AO1275-AK1275))/AK1275)))</f>
        <v/>
      </c>
      <c r="AQ1275" s="55">
        <f>IF(LEFT(Cockpit!$O$5,1)="A",G1275,IF(BT1275=1,BU1275,IF(LEFT(Cockpit!$O$5,1)="B",AU1275,MAX(AU1275,G1275))))</f>
        <v/>
      </c>
      <c r="AR1275" s="55">
        <f>IF(BO1275=1,0,ROUNDUP(AQ1275/BN1275,0))</f>
        <v/>
      </c>
      <c r="AS1275" s="64">
        <f>IF(BO1275=1,IF(AQ1275&lt;=0,0,BP1275*MAX(1,IF(G1275&gt;0,AQ1275/G1275,1))),AR1275*Q1275)</f>
        <v/>
      </c>
      <c r="AT1275" s="55">
        <f>AQ1275*F1275</f>
        <v/>
      </c>
      <c r="AU1275" s="55">
        <f>ROUNDUP(MAX(I1275/IF(BS1275&gt;0,BS1275,MAX(0.1,N(Cockpit!$O$6))),BV1275)/BN1275,0)*BN1275</f>
        <v/>
      </c>
      <c r="AV1275" s="56">
        <f>IF(AS1275&gt;0,I1275/AS1275,-1)</f>
        <v/>
      </c>
      <c r="AW1275" s="56">
        <f>IF(AND(OR(BR1275="L1",BR1275="L23"),AS1275&gt;0),SUMIFS($AS$7:$AS$1570,$BR$7:$BR$1570,BR1275,$AV$7:$AV$1570,"&gt;"&amp;AV1275)+SUMIFS($AS$7:$AS$1570,$BR$7:$BR$1570,BR1275,$AV$7:$AV$1570,AV1275,$BL$7:$BL$1570,"&lt;="&amp;BL1275),"")</f>
        <v/>
      </c>
      <c r="AX1275" s="65">
        <f>IF(AW1275="",0,MAX(0,MIN(1,(IF(BR1275="L1",Parameter!$K$5,Parameter!$K$6+Parameter!$K$7)-(AW1275-AS1275))/AS1275)))</f>
        <v/>
      </c>
      <c r="AY1275" s="53">
        <f>IF(AC1275&lt;=0,"",IF(BR1275="Aussen","Aussenlager",IF(BR1275="-","Nicht im Lift",IF(AH1275&gt;=1,"Lift",IF(AH1275&lt;=0,"Aussenlager","teilweise")))))</f>
        <v/>
      </c>
      <c r="AZ1275" s="53">
        <f>IF(AK1275&lt;=0,"",IF(BR1275="Aussen","Aussenlager",IF(BR1275="-","Nicht im Lift",IF(AP1275&gt;=1,"Lift",IF(AP1275&lt;=0,"Aussenlager","teilweise")))))</f>
        <v/>
      </c>
      <c r="BA1275" s="53">
        <f>IF(AS1275&lt;=0,"",IF(BR1275="Aussen","Aussenlager",IF(BR1275="-","Nicht im Lift",IF(AX1275&gt;=1,"Lift",IF(AX1275&lt;=0,"Aussenlager","teilweise")))))</f>
        <v/>
      </c>
      <c r="BB1275" s="53">
        <f>IF(A1275="","",IF(BK1275=1,"Neu; ","")&amp;IF(AND(BK1275=0,BF1275&lt;0),"negativer Bestand (Export "&amp;BF1275&amp;"); ","")&amp;IF(I1275&lt;=0,"Kein Verbrauch; ","")&amp;IF(BO1275=1,"Lose – Fläche geschätzt; ","")&amp;IF(G1275&gt;AM1275,"Überbestand "&amp;ROUND(G1275-AM1275,0)&amp;" Stk / CHF "&amp;ROUND((G1275-AM1275)*F1275,0)&amp;"; ","")&amp;IF(AND(BT1275=1,BU1275&lt;BV1275),"MAX &lt; MB+LG; ","")&amp;IF(AND(BZ1275&gt;0,BY1275*10&gt;BZ1275),"zu hoch für Tablar; ","")&amp;IF(AND(BK1275=0,OR(BT1275=1,V1275&lt;&gt;"",S1275&lt;&gt;"",T1275&lt;&gt;"",W1275&lt;&gt;"")),"manuell übersteuert; ","")&amp;IF(AND(BO1275=0,Q1275=0),"Gebinde unbekannt; ","")&amp;IF(AND(BO1275=0,N(T1275)&lt;=0,N(P1275)&lt;=0),"Menge pro Gebinde fehlt (Ist = 1 Gebinde); ","")&amp;BJ1275)</f>
        <v/>
      </c>
      <c r="BC1275" s="53" t="n"/>
      <c r="BD1275" s="53" t="n"/>
      <c r="BE1275" s="61" t="n"/>
      <c r="BF1275" s="55" t="n">
        <v>-6</v>
      </c>
      <c r="BG1275" s="55" t="n">
        <v>8</v>
      </c>
      <c r="BH1275" s="54" t="n">
        <v>-967.26</v>
      </c>
      <c r="BI1275" s="55" t="n">
        <v>6</v>
      </c>
      <c r="BJ1275" s="53" t="inlineStr"/>
      <c r="BK1275" s="58" t="n">
        <v>0</v>
      </c>
      <c r="BL1275" s="58" t="n">
        <v>1275</v>
      </c>
      <c r="BM1275" s="53">
        <f>IF(S1275&lt;&gt;"",UPPER(TRIM(S1275)),IF(O1275="","LOSE",O1275))</f>
        <v/>
      </c>
      <c r="BN1275" s="55">
        <f>IF(BM1275="LOSE",1,IF(N(T1275)&gt;0,T1275,IF(N(P1275)&gt;0,P1275,MAX(1,G1275))))</f>
        <v/>
      </c>
      <c r="BO1275" s="58">
        <f>IF(BM1275="LOSE",1,0)</f>
        <v/>
      </c>
      <c r="BP1275" s="64">
        <f>IF(BO1275=0,0,IF(N(R1275)&gt;0,R1275,IFERROR(VLOOKUP(D1275,Parameter!$A$35:$C$64,3,0)+0,0)))</f>
        <v/>
      </c>
      <c r="BQ1275" s="53">
        <f>IF(V1275&lt;&gt;"",V1275,U1275)</f>
        <v/>
      </c>
      <c r="BR1275" s="53">
        <f>IF(BQ1275=1,"L1",IF(OR(BQ1275=2,BQ1275=3),"L23",IF(BQ1275="Aussen","Aussen","-")))</f>
        <v/>
      </c>
      <c r="BS1275" s="66">
        <f>IF(N(W1275)&gt;0,W1275,0)</f>
        <v/>
      </c>
      <c r="BT1275" s="58">
        <f>IF(ISNUMBER(Z1275),1,0)</f>
        <v/>
      </c>
      <c r="BU1275" s="55">
        <f>N(Z1275)</f>
        <v/>
      </c>
      <c r="BV1275" s="55">
        <f>N(L1275)+N(M1275)</f>
        <v/>
      </c>
      <c r="BW1275" s="55">
        <f>ROUNDUP(G1275/BN1275,0)</f>
        <v/>
      </c>
      <c r="BX1275" s="55">
        <f>ROUNDUP(BU1275/BN1275,0)</f>
        <v/>
      </c>
      <c r="BY1275" s="58">
        <f>IF(BO1275=1,0,IFERROR(VLOOKUP(BM1275,'Gebinde-Kategorie'!$A$5:$G$45,5,0)+0,0))</f>
        <v/>
      </c>
      <c r="BZ1275" s="58">
        <f>IFERROR(IF(OR(BQ1275=1,BQ1275=2,BQ1275=3),N(INDEX(Parameter!$I$5:$I$7,BQ1275)),0),0)</f>
        <v/>
      </c>
    </row>
    <row r="1276">
      <c r="A1276" s="53" t="inlineStr">
        <is>
          <t>107648</t>
        </is>
      </c>
      <c r="B1276" s="53" t="inlineStr">
        <is>
          <t>Reserve Save Key</t>
        </is>
      </c>
      <c r="C1276" s="53" t="inlineStr">
        <is>
          <t>F</t>
        </is>
      </c>
      <c r="D1276" s="53" t="inlineStr">
        <is>
          <t>KTL</t>
        </is>
      </c>
      <c r="E1276" s="53" t="inlineStr">
        <is>
          <t>C</t>
        </is>
      </c>
      <c r="F1276" s="54" t="n">
        <v>329.39</v>
      </c>
      <c r="G1276" s="55">
        <f>MAX(0,IF(Parameter!$B$20="Jahresanfang 2025 + Export",BG1276+BF1276,BF1276))</f>
        <v/>
      </c>
      <c r="H1276" s="55">
        <f>G1276*F1276</f>
        <v/>
      </c>
      <c r="I1276" s="55">
        <f>BI1276*Parameter!$B$18</f>
        <v/>
      </c>
      <c r="J1276" s="56" t="n">
        <v>11</v>
      </c>
      <c r="K1276" s="57" t="n">
        <v>0.1818181818181818</v>
      </c>
      <c r="L1276" s="55" t="n">
        <v>0</v>
      </c>
      <c r="M1276" s="55" t="n">
        <v>1</v>
      </c>
      <c r="N1276" s="58" t="n">
        <v>28</v>
      </c>
      <c r="O1276" s="53" t="inlineStr">
        <is>
          <t>S32</t>
        </is>
      </c>
      <c r="P1276" s="55" t="n">
        <v>10</v>
      </c>
      <c r="Q1276" s="59">
        <f>IF(BO1276=1,0,IFERROR(VLOOKUP(BM1276,'Gebinde-Kategorie'!$A$5:$G$45,6,0)+0,0))</f>
        <v/>
      </c>
      <c r="R1276" s="60" t="n"/>
      <c r="S1276" s="61" t="n"/>
      <c r="T1276" s="61" t="n"/>
      <c r="U1276" s="53">
        <f>IF(A1276="","",IF(IFERROR(VLOOKUP(D1276,Parameter!$A$35:$C$64,2,0),"Nein")="2+3",IF(ISNUMBER(SEARCH("grosser Artikel",BJ1276)),2,IFERROR(VLOOKUP(BM1276,Parameter!$F$35:$G$64,2,0),2)),IF(OR(IFERROR(VLOOKUP(D1276,Parameter!$A$35:$C$64,2,0),"Nein")="Nein",IFERROR(VLOOKUP(D1276,Parameter!$A$35:$C$64,2,0),"Nein")=""),"-",VLOOKUP(D1276,Parameter!$A$35:$C$64,2,0))))</f>
        <v/>
      </c>
      <c r="V1276" s="61" t="n"/>
      <c r="W1276" s="62" t="n"/>
      <c r="X1276" s="55">
        <f>AM1276</f>
        <v/>
      </c>
      <c r="Y1276" s="55">
        <f>MAX(AM1276,G1276)</f>
        <v/>
      </c>
      <c r="Z1276" s="63" t="n"/>
      <c r="AA1276" s="55">
        <f>IF(LEFT(Cockpit!$C$5,1)="A",G1276,IF(BT1276=1,BU1276,IF(LEFT(Cockpit!$C$5,1)="B",AE1276,MAX(AE1276,G1276))))</f>
        <v/>
      </c>
      <c r="AB1276" s="55">
        <f>IF(BO1276=1,0,ROUNDUP(AA1276/BN1276,0))</f>
        <v/>
      </c>
      <c r="AC1276" s="64">
        <f>IF(BO1276=1,IF(AA1276&lt;=0,0,BP1276*MAX(1,IF(G1276&gt;0,AA1276/G1276,1))),AB1276*Q1276)</f>
        <v/>
      </c>
      <c r="AD1276" s="55">
        <f>AA1276*F1276</f>
        <v/>
      </c>
      <c r="AE1276" s="55">
        <f>ROUNDUP(MAX(I1276/IF(BS1276&gt;0,BS1276,MAX(0.1,N(Cockpit!$C$6))),BV1276)/BN1276,0)*BN1276</f>
        <v/>
      </c>
      <c r="AF1276" s="56">
        <f>IF(AC1276&gt;0,I1276/AC1276,-1)</f>
        <v/>
      </c>
      <c r="AG1276" s="56">
        <f>IF(AND(OR(BR1276="L1",BR1276="L23"),AC1276&gt;0),SUMIFS($AC$7:$AC$1570,$BR$7:$BR$1570,BR1276,$AF$7:$AF$1570,"&gt;"&amp;AF1276)+SUMIFS($AC$7:$AC$1570,$BR$7:$BR$1570,BR1276,$AF$7:$AF$1570,AF1276,$BL$7:$BL$1570,"&lt;="&amp;BL1276),"")</f>
        <v/>
      </c>
      <c r="AH1276" s="65">
        <f>IF(AG1276="",0,MAX(0,MIN(1,(IF(BR1276="L1",Parameter!$K$5,Parameter!$K$6+Parameter!$K$7)-(AG1276-AC1276))/AC1276)))</f>
        <v/>
      </c>
      <c r="AI1276" s="55">
        <f>IF(LEFT(Cockpit!$I$5,1)="A",G1276,IF(BT1276=1,BU1276,IF(LEFT(Cockpit!$I$5,1)="B",AM1276,MAX(AM1276,G1276))))</f>
        <v/>
      </c>
      <c r="AJ1276" s="55">
        <f>IF(BO1276=1,0,ROUNDUP(AI1276/BN1276,0))</f>
        <v/>
      </c>
      <c r="AK1276" s="64">
        <f>IF(BO1276=1,IF(AI1276&lt;=0,0,BP1276*MAX(1,IF(G1276&gt;0,AI1276/G1276,1))),AJ1276*Q1276)</f>
        <v/>
      </c>
      <c r="AL1276" s="55">
        <f>AI1276*F1276</f>
        <v/>
      </c>
      <c r="AM1276" s="55">
        <f>ROUNDUP(MAX(I1276/IF(BS1276&gt;0,BS1276,MAX(0.1,N(Cockpit!$I$6))),BV1276)/BN1276,0)*BN1276</f>
        <v/>
      </c>
      <c r="AN1276" s="56">
        <f>IF(AK1276&gt;0,I1276/AK1276,-1)</f>
        <v/>
      </c>
      <c r="AO1276" s="56">
        <f>IF(AND(OR(BR1276="L1",BR1276="L23"),AK1276&gt;0),SUMIFS($AK$7:$AK$1570,$BR$7:$BR$1570,BR1276,$AN$7:$AN$1570,"&gt;"&amp;AN1276)+SUMIFS($AK$7:$AK$1570,$BR$7:$BR$1570,BR1276,$AN$7:$AN$1570,AN1276,$BL$7:$BL$1570,"&lt;="&amp;BL1276),"")</f>
        <v/>
      </c>
      <c r="AP1276" s="65">
        <f>IF(AO1276="",0,MAX(0,MIN(1,(IF(BR1276="L1",Parameter!$K$5,Parameter!$K$6+Parameter!$K$7)-(AO1276-AK1276))/AK1276)))</f>
        <v/>
      </c>
      <c r="AQ1276" s="55">
        <f>IF(LEFT(Cockpit!$O$5,1)="A",G1276,IF(BT1276=1,BU1276,IF(LEFT(Cockpit!$O$5,1)="B",AU1276,MAX(AU1276,G1276))))</f>
        <v/>
      </c>
      <c r="AR1276" s="55">
        <f>IF(BO1276=1,0,ROUNDUP(AQ1276/BN1276,0))</f>
        <v/>
      </c>
      <c r="AS1276" s="64">
        <f>IF(BO1276=1,IF(AQ1276&lt;=0,0,BP1276*MAX(1,IF(G1276&gt;0,AQ1276/G1276,1))),AR1276*Q1276)</f>
        <v/>
      </c>
      <c r="AT1276" s="55">
        <f>AQ1276*F1276</f>
        <v/>
      </c>
      <c r="AU1276" s="55">
        <f>ROUNDUP(MAX(I1276/IF(BS1276&gt;0,BS1276,MAX(0.1,N(Cockpit!$O$6))),BV1276)/BN1276,0)*BN1276</f>
        <v/>
      </c>
      <c r="AV1276" s="56">
        <f>IF(AS1276&gt;0,I1276/AS1276,-1)</f>
        <v/>
      </c>
      <c r="AW1276" s="56">
        <f>IF(AND(OR(BR1276="L1",BR1276="L23"),AS1276&gt;0),SUMIFS($AS$7:$AS$1570,$BR$7:$BR$1570,BR1276,$AV$7:$AV$1570,"&gt;"&amp;AV1276)+SUMIFS($AS$7:$AS$1570,$BR$7:$BR$1570,BR1276,$AV$7:$AV$1570,AV1276,$BL$7:$BL$1570,"&lt;="&amp;BL1276),"")</f>
        <v/>
      </c>
      <c r="AX1276" s="65">
        <f>IF(AW1276="",0,MAX(0,MIN(1,(IF(BR1276="L1",Parameter!$K$5,Parameter!$K$6+Parameter!$K$7)-(AW1276-AS1276))/AS1276)))</f>
        <v/>
      </c>
      <c r="AY1276" s="53">
        <f>IF(AC1276&lt;=0,"",IF(BR1276="Aussen","Aussenlager",IF(BR1276="-","Nicht im Lift",IF(AH1276&gt;=1,"Lift",IF(AH1276&lt;=0,"Aussenlager","teilweise")))))</f>
        <v/>
      </c>
      <c r="AZ1276" s="53">
        <f>IF(AK1276&lt;=0,"",IF(BR1276="Aussen","Aussenlager",IF(BR1276="-","Nicht im Lift",IF(AP1276&gt;=1,"Lift",IF(AP1276&lt;=0,"Aussenlager","teilweise")))))</f>
        <v/>
      </c>
      <c r="BA1276" s="53">
        <f>IF(AS1276&lt;=0,"",IF(BR1276="Aussen","Aussenlager",IF(BR1276="-","Nicht im Lift",IF(AX1276&gt;=1,"Lift",IF(AX1276&lt;=0,"Aussenlager","teilweise")))))</f>
        <v/>
      </c>
      <c r="BB1276" s="53">
        <f>IF(A1276="","",IF(BK1276=1,"Neu; ","")&amp;IF(AND(BK1276=0,BF1276&lt;0),"negativer Bestand (Export "&amp;BF1276&amp;"); ","")&amp;IF(I1276&lt;=0,"Kein Verbrauch; ","")&amp;IF(BO1276=1,"Lose – Fläche geschätzt; ","")&amp;IF(G1276&gt;AM1276,"Überbestand "&amp;ROUND(G1276-AM1276,0)&amp;" Stk / CHF "&amp;ROUND((G1276-AM1276)*F1276,0)&amp;"; ","")&amp;IF(AND(BT1276=1,BU1276&lt;BV1276),"MAX &lt; MB+LG; ","")&amp;IF(AND(BZ1276&gt;0,BY1276*10&gt;BZ1276),"zu hoch für Tablar; ","")&amp;IF(AND(BK1276=0,OR(BT1276=1,V1276&lt;&gt;"",S1276&lt;&gt;"",T1276&lt;&gt;"",W1276&lt;&gt;"")),"manuell übersteuert; ","")&amp;IF(AND(BO1276=0,Q1276=0),"Gebinde unbekannt; ","")&amp;IF(AND(BO1276=0,N(T1276)&lt;=0,N(P1276)&lt;=0),"Menge pro Gebinde fehlt (Ist = 1 Gebinde); ","")&amp;BJ1276)</f>
        <v/>
      </c>
      <c r="BC1276" s="53" t="n"/>
      <c r="BD1276" s="53" t="n"/>
      <c r="BE1276" s="61" t="n"/>
      <c r="BF1276" s="55" t="n">
        <v>-3</v>
      </c>
      <c r="BG1276" s="55" t="n">
        <v>12</v>
      </c>
      <c r="BH1276" s="54" t="n">
        <v>-988.17</v>
      </c>
      <c r="BI1276" s="55" t="n">
        <v>2</v>
      </c>
      <c r="BJ1276" s="53" t="inlineStr">
        <is>
          <t>Neuer Art.</t>
        </is>
      </c>
      <c r="BK1276" s="58" t="n">
        <v>0</v>
      </c>
      <c r="BL1276" s="58" t="n">
        <v>1276</v>
      </c>
      <c r="BM1276" s="53">
        <f>IF(S1276&lt;&gt;"",UPPER(TRIM(S1276)),IF(O1276="","LOSE",O1276))</f>
        <v/>
      </c>
      <c r="BN1276" s="55">
        <f>IF(BM1276="LOSE",1,IF(N(T1276)&gt;0,T1276,IF(N(P1276)&gt;0,P1276,MAX(1,G1276))))</f>
        <v/>
      </c>
      <c r="BO1276" s="58">
        <f>IF(BM1276="LOSE",1,0)</f>
        <v/>
      </c>
      <c r="BP1276" s="64">
        <f>IF(BO1276=0,0,IF(N(R1276)&gt;0,R1276,IFERROR(VLOOKUP(D1276,Parameter!$A$35:$C$64,3,0)+0,0)))</f>
        <v/>
      </c>
      <c r="BQ1276" s="53">
        <f>IF(V1276&lt;&gt;"",V1276,U1276)</f>
        <v/>
      </c>
      <c r="BR1276" s="53">
        <f>IF(BQ1276=1,"L1",IF(OR(BQ1276=2,BQ1276=3),"L23",IF(BQ1276="Aussen","Aussen","-")))</f>
        <v/>
      </c>
      <c r="BS1276" s="66">
        <f>IF(N(W1276)&gt;0,W1276,0)</f>
        <v/>
      </c>
      <c r="BT1276" s="58">
        <f>IF(ISNUMBER(Z1276),1,0)</f>
        <v/>
      </c>
      <c r="BU1276" s="55">
        <f>N(Z1276)</f>
        <v/>
      </c>
      <c r="BV1276" s="55">
        <f>N(L1276)+N(M1276)</f>
        <v/>
      </c>
      <c r="BW1276" s="55">
        <f>ROUNDUP(G1276/BN1276,0)</f>
        <v/>
      </c>
      <c r="BX1276" s="55">
        <f>ROUNDUP(BU1276/BN1276,0)</f>
        <v/>
      </c>
      <c r="BY1276" s="58">
        <f>IF(BO1276=1,0,IFERROR(VLOOKUP(BM1276,'Gebinde-Kategorie'!$A$5:$G$45,5,0)+0,0))</f>
        <v/>
      </c>
      <c r="BZ1276" s="58">
        <f>IFERROR(IF(OR(BQ1276=1,BQ1276=2,BQ1276=3),N(INDEX(Parameter!$I$5:$I$7,BQ1276)),0),0)</f>
        <v/>
      </c>
    </row>
    <row r="1277">
      <c r="A1277" s="53" t="inlineStr">
        <is>
          <t>103247</t>
        </is>
      </c>
      <c r="B1277" s="53" t="inlineStr">
        <is>
          <t>Abpressdeckel</t>
        </is>
      </c>
      <c r="C1277" s="53" t="inlineStr">
        <is>
          <t>F</t>
        </is>
      </c>
      <c r="D1277" s="53" t="inlineStr">
        <is>
          <t>PAL</t>
        </is>
      </c>
      <c r="E1277" s="53" t="inlineStr">
        <is>
          <t>C</t>
        </is>
      </c>
      <c r="F1277" s="54" t="n">
        <v>498</v>
      </c>
      <c r="G1277" s="55">
        <f>MAX(0,IF(Parameter!$B$20="Jahresanfang 2025 + Export",BG1277+BF1277,BF1277))</f>
        <v/>
      </c>
      <c r="H1277" s="55">
        <f>G1277*F1277</f>
        <v/>
      </c>
      <c r="I1277" s="55">
        <f>BI1277*Parameter!$B$18</f>
        <v/>
      </c>
      <c r="J1277" s="56" t="n">
        <v>1</v>
      </c>
      <c r="K1277" s="57" t="n">
        <v>2</v>
      </c>
      <c r="L1277" s="55" t="n">
        <v>0</v>
      </c>
      <c r="M1277" s="55" t="n">
        <v>1</v>
      </c>
      <c r="N1277" s="58" t="n">
        <v>42</v>
      </c>
      <c r="O1277" s="53" t="inlineStr">
        <is>
          <t>LOSE</t>
        </is>
      </c>
      <c r="P1277" s="55" t="n"/>
      <c r="Q1277" s="59">
        <f>IF(BO1277=1,0,IFERROR(VLOOKUP(BM1277,'Gebinde-Kategorie'!$A$5:$G$45,6,0)+0,0))</f>
        <v/>
      </c>
      <c r="R1277" s="60" t="n"/>
      <c r="S1277" s="61" t="n"/>
      <c r="T1277" s="61" t="n"/>
      <c r="U1277" s="53">
        <f>IF(A1277="","",IF(IFERROR(VLOOKUP(D1277,Parameter!$A$35:$C$64,2,0),"Nein")="2+3",IF(ISNUMBER(SEARCH("grosser Artikel",BJ1277)),2,IFERROR(VLOOKUP(BM1277,Parameter!$F$35:$G$64,2,0),2)),IF(OR(IFERROR(VLOOKUP(D1277,Parameter!$A$35:$C$64,2,0),"Nein")="Nein",IFERROR(VLOOKUP(D1277,Parameter!$A$35:$C$64,2,0),"Nein")=""),"-",VLOOKUP(D1277,Parameter!$A$35:$C$64,2,0))))</f>
        <v/>
      </c>
      <c r="V1277" s="61" t="n"/>
      <c r="W1277" s="62" t="n"/>
      <c r="X1277" s="55">
        <f>AM1277</f>
        <v/>
      </c>
      <c r="Y1277" s="55">
        <f>MAX(AM1277,G1277)</f>
        <v/>
      </c>
      <c r="Z1277" s="63" t="n"/>
      <c r="AA1277" s="55">
        <f>IF(LEFT(Cockpit!$C$5,1)="A",G1277,IF(BT1277=1,BU1277,IF(LEFT(Cockpit!$C$5,1)="B",AE1277,MAX(AE1277,G1277))))</f>
        <v/>
      </c>
      <c r="AB1277" s="55">
        <f>IF(BO1277=1,0,ROUNDUP(AA1277/BN1277,0))</f>
        <v/>
      </c>
      <c r="AC1277" s="64">
        <f>IF(BO1277=1,IF(AA1277&lt;=0,0,BP1277*MAX(1,IF(G1277&gt;0,AA1277/G1277,1))),AB1277*Q1277)</f>
        <v/>
      </c>
      <c r="AD1277" s="55">
        <f>AA1277*F1277</f>
        <v/>
      </c>
      <c r="AE1277" s="55">
        <f>ROUNDUP(MAX(I1277/IF(BS1277&gt;0,BS1277,MAX(0.1,N(Cockpit!$C$6))),BV1277)/BN1277,0)*BN1277</f>
        <v/>
      </c>
      <c r="AF1277" s="56">
        <f>IF(AC1277&gt;0,I1277/AC1277,-1)</f>
        <v/>
      </c>
      <c r="AG1277" s="56">
        <f>IF(AND(OR(BR1277="L1",BR1277="L23"),AC1277&gt;0),SUMIFS($AC$7:$AC$1570,$BR$7:$BR$1570,BR1277,$AF$7:$AF$1570,"&gt;"&amp;AF1277)+SUMIFS($AC$7:$AC$1570,$BR$7:$BR$1570,BR1277,$AF$7:$AF$1570,AF1277,$BL$7:$BL$1570,"&lt;="&amp;BL1277),"")</f>
        <v/>
      </c>
      <c r="AH1277" s="65">
        <f>IF(AG1277="",0,MAX(0,MIN(1,(IF(BR1277="L1",Parameter!$K$5,Parameter!$K$6+Parameter!$K$7)-(AG1277-AC1277))/AC1277)))</f>
        <v/>
      </c>
      <c r="AI1277" s="55">
        <f>IF(LEFT(Cockpit!$I$5,1)="A",G1277,IF(BT1277=1,BU1277,IF(LEFT(Cockpit!$I$5,1)="B",AM1277,MAX(AM1277,G1277))))</f>
        <v/>
      </c>
      <c r="AJ1277" s="55">
        <f>IF(BO1277=1,0,ROUNDUP(AI1277/BN1277,0))</f>
        <v/>
      </c>
      <c r="AK1277" s="64">
        <f>IF(BO1277=1,IF(AI1277&lt;=0,0,BP1277*MAX(1,IF(G1277&gt;0,AI1277/G1277,1))),AJ1277*Q1277)</f>
        <v/>
      </c>
      <c r="AL1277" s="55">
        <f>AI1277*F1277</f>
        <v/>
      </c>
      <c r="AM1277" s="55">
        <f>ROUNDUP(MAX(I1277/IF(BS1277&gt;0,BS1277,MAX(0.1,N(Cockpit!$I$6))),BV1277)/BN1277,0)*BN1277</f>
        <v/>
      </c>
      <c r="AN1277" s="56">
        <f>IF(AK1277&gt;0,I1277/AK1277,-1)</f>
        <v/>
      </c>
      <c r="AO1277" s="56">
        <f>IF(AND(OR(BR1277="L1",BR1277="L23"),AK1277&gt;0),SUMIFS($AK$7:$AK$1570,$BR$7:$BR$1570,BR1277,$AN$7:$AN$1570,"&gt;"&amp;AN1277)+SUMIFS($AK$7:$AK$1570,$BR$7:$BR$1570,BR1277,$AN$7:$AN$1570,AN1277,$BL$7:$BL$1570,"&lt;="&amp;BL1277),"")</f>
        <v/>
      </c>
      <c r="AP1277" s="65">
        <f>IF(AO1277="",0,MAX(0,MIN(1,(IF(BR1277="L1",Parameter!$K$5,Parameter!$K$6+Parameter!$K$7)-(AO1277-AK1277))/AK1277)))</f>
        <v/>
      </c>
      <c r="AQ1277" s="55">
        <f>IF(LEFT(Cockpit!$O$5,1)="A",G1277,IF(BT1277=1,BU1277,IF(LEFT(Cockpit!$O$5,1)="B",AU1277,MAX(AU1277,G1277))))</f>
        <v/>
      </c>
      <c r="AR1277" s="55">
        <f>IF(BO1277=1,0,ROUNDUP(AQ1277/BN1277,0))</f>
        <v/>
      </c>
      <c r="AS1277" s="64">
        <f>IF(BO1277=1,IF(AQ1277&lt;=0,0,BP1277*MAX(1,IF(G1277&gt;0,AQ1277/G1277,1))),AR1277*Q1277)</f>
        <v/>
      </c>
      <c r="AT1277" s="55">
        <f>AQ1277*F1277</f>
        <v/>
      </c>
      <c r="AU1277" s="55">
        <f>ROUNDUP(MAX(I1277/IF(BS1277&gt;0,BS1277,MAX(0.1,N(Cockpit!$O$6))),BV1277)/BN1277,0)*BN1277</f>
        <v/>
      </c>
      <c r="AV1277" s="56">
        <f>IF(AS1277&gt;0,I1277/AS1277,-1)</f>
        <v/>
      </c>
      <c r="AW1277" s="56">
        <f>IF(AND(OR(BR1277="L1",BR1277="L23"),AS1277&gt;0),SUMIFS($AS$7:$AS$1570,$BR$7:$BR$1570,BR1277,$AV$7:$AV$1570,"&gt;"&amp;AV1277)+SUMIFS($AS$7:$AS$1570,$BR$7:$BR$1570,BR1277,$AV$7:$AV$1570,AV1277,$BL$7:$BL$1570,"&lt;="&amp;BL1277),"")</f>
        <v/>
      </c>
      <c r="AX1277" s="65">
        <f>IF(AW1277="",0,MAX(0,MIN(1,(IF(BR1277="L1",Parameter!$K$5,Parameter!$K$6+Parameter!$K$7)-(AW1277-AS1277))/AS1277)))</f>
        <v/>
      </c>
      <c r="AY1277" s="53">
        <f>IF(AC1277&lt;=0,"",IF(BR1277="Aussen","Aussenlager",IF(BR1277="-","Nicht im Lift",IF(AH1277&gt;=1,"Lift",IF(AH1277&lt;=0,"Aussenlager","teilweise")))))</f>
        <v/>
      </c>
      <c r="AZ1277" s="53">
        <f>IF(AK1277&lt;=0,"",IF(BR1277="Aussen","Aussenlager",IF(BR1277="-","Nicht im Lift",IF(AP1277&gt;=1,"Lift",IF(AP1277&lt;=0,"Aussenlager","teilweise")))))</f>
        <v/>
      </c>
      <c r="BA1277" s="53">
        <f>IF(AS1277&lt;=0,"",IF(BR1277="Aussen","Aussenlager",IF(BR1277="-","Nicht im Lift",IF(AX1277&gt;=1,"Lift",IF(AX1277&lt;=0,"Aussenlager","teilweise")))))</f>
        <v/>
      </c>
      <c r="BB1277" s="53">
        <f>IF(A1277="","",IF(BK1277=1,"Neu; ","")&amp;IF(AND(BK1277=0,BF1277&lt;0),"negativer Bestand (Export "&amp;BF1277&amp;"); ","")&amp;IF(I1277&lt;=0,"Kein Verbrauch; ","")&amp;IF(BO1277=1,"Lose – Fläche geschätzt; ","")&amp;IF(G1277&gt;AM1277,"Überbestand "&amp;ROUND(G1277-AM1277,0)&amp;" Stk / CHF "&amp;ROUND((G1277-AM1277)*F1277,0)&amp;"; ","")&amp;IF(AND(BT1277=1,BU1277&lt;BV1277),"MAX &lt; MB+LG; ","")&amp;IF(AND(BZ1277&gt;0,BY1277*10&gt;BZ1277),"zu hoch für Tablar; ","")&amp;IF(AND(BK1277=0,OR(BT1277=1,V1277&lt;&gt;"",S1277&lt;&gt;"",T1277&lt;&gt;"",W1277&lt;&gt;"")),"manuell übersteuert; ","")&amp;IF(AND(BO1277=0,Q1277=0),"Gebinde unbekannt; ","")&amp;IF(AND(BO1277=0,N(T1277)&lt;=0,N(P1277)&lt;=0),"Menge pro Gebinde fehlt (Ist = 1 Gebinde); ","")&amp;BJ1277)</f>
        <v/>
      </c>
      <c r="BC1277" s="53" t="n"/>
      <c r="BD1277" s="53" t="n"/>
      <c r="BE1277" s="61" t="n"/>
      <c r="BF1277" s="55" t="n">
        <v>-2</v>
      </c>
      <c r="BG1277" s="55" t="n">
        <v>2</v>
      </c>
      <c r="BH1277" s="54" t="n">
        <v>-996</v>
      </c>
      <c r="BI1277" s="55" t="n">
        <v>2</v>
      </c>
      <c r="BJ1277" s="53" t="inlineStr"/>
      <c r="BK1277" s="58" t="n">
        <v>0</v>
      </c>
      <c r="BL1277" s="58" t="n">
        <v>1277</v>
      </c>
      <c r="BM1277" s="53">
        <f>IF(S1277&lt;&gt;"",UPPER(TRIM(S1277)),IF(O1277="","LOSE",O1277))</f>
        <v/>
      </c>
      <c r="BN1277" s="55">
        <f>IF(BM1277="LOSE",1,IF(N(T1277)&gt;0,T1277,IF(N(P1277)&gt;0,P1277,MAX(1,G1277))))</f>
        <v/>
      </c>
      <c r="BO1277" s="58">
        <f>IF(BM1277="LOSE",1,0)</f>
        <v/>
      </c>
      <c r="BP1277" s="64">
        <f>IF(BO1277=0,0,IF(N(R1277)&gt;0,R1277,IFERROR(VLOOKUP(D1277,Parameter!$A$35:$C$64,3,0)+0,0)))</f>
        <v/>
      </c>
      <c r="BQ1277" s="53">
        <f>IF(V1277&lt;&gt;"",V1277,U1277)</f>
        <v/>
      </c>
      <c r="BR1277" s="53">
        <f>IF(BQ1277=1,"L1",IF(OR(BQ1277=2,BQ1277=3),"L23",IF(BQ1277="Aussen","Aussen","-")))</f>
        <v/>
      </c>
      <c r="BS1277" s="66">
        <f>IF(N(W1277)&gt;0,W1277,0)</f>
        <v/>
      </c>
      <c r="BT1277" s="58">
        <f>IF(ISNUMBER(Z1277),1,0)</f>
        <v/>
      </c>
      <c r="BU1277" s="55">
        <f>N(Z1277)</f>
        <v/>
      </c>
      <c r="BV1277" s="55">
        <f>N(L1277)+N(M1277)</f>
        <v/>
      </c>
      <c r="BW1277" s="55">
        <f>ROUNDUP(G1277/BN1277,0)</f>
        <v/>
      </c>
      <c r="BX1277" s="55">
        <f>ROUNDUP(BU1277/BN1277,0)</f>
        <v/>
      </c>
      <c r="BY1277" s="58">
        <f>IF(BO1277=1,0,IFERROR(VLOOKUP(BM1277,'Gebinde-Kategorie'!$A$5:$G$45,5,0)+0,0))</f>
        <v/>
      </c>
      <c r="BZ1277" s="58">
        <f>IFERROR(IF(OR(BQ1277=1,BQ1277=2,BQ1277=3),N(INDEX(Parameter!$I$5:$I$7,BQ1277)),0),0)</f>
        <v/>
      </c>
    </row>
    <row r="1278">
      <c r="A1278" s="53" t="inlineStr">
        <is>
          <t>104215</t>
        </is>
      </c>
      <c r="B1278" s="53" t="inlineStr">
        <is>
          <t>Transfermagnetventil Spule CH4</t>
        </is>
      </c>
      <c r="C1278" s="53" t="inlineStr">
        <is>
          <t>F</t>
        </is>
      </c>
      <c r="D1278" s="53" t="inlineStr">
        <is>
          <t>PAL</t>
        </is>
      </c>
      <c r="E1278" s="53" t="inlineStr">
        <is>
          <t>C</t>
        </is>
      </c>
      <c r="F1278" s="54" t="n">
        <v>168</v>
      </c>
      <c r="G1278" s="55">
        <f>MAX(0,IF(Parameter!$B$20="Jahresanfang 2025 + Export",BG1278+BF1278,BF1278))</f>
        <v/>
      </c>
      <c r="H1278" s="55">
        <f>G1278*F1278</f>
        <v/>
      </c>
      <c r="I1278" s="55">
        <f>BI1278*Parameter!$B$18</f>
        <v/>
      </c>
      <c r="J1278" s="56" t="n">
        <v>22.5</v>
      </c>
      <c r="K1278" s="57" t="n">
        <v>0.08888888888888889</v>
      </c>
      <c r="L1278" s="55" t="n">
        <v>0</v>
      </c>
      <c r="M1278" s="55" t="n">
        <v>1</v>
      </c>
      <c r="N1278" s="58" t="n">
        <v>84</v>
      </c>
      <c r="O1278" s="53" t="inlineStr">
        <is>
          <t>S71</t>
        </is>
      </c>
      <c r="P1278" s="55" t="n">
        <v>12</v>
      </c>
      <c r="Q1278" s="59">
        <f>IF(BO1278=1,0,IFERROR(VLOOKUP(BM1278,'Gebinde-Kategorie'!$A$5:$G$45,6,0)+0,0))</f>
        <v/>
      </c>
      <c r="R1278" s="60" t="n"/>
      <c r="S1278" s="61" t="n"/>
      <c r="T1278" s="61" t="n"/>
      <c r="U1278" s="53">
        <f>IF(A1278="","",IF(IFERROR(VLOOKUP(D1278,Parameter!$A$35:$C$64,2,0),"Nein")="2+3",IF(ISNUMBER(SEARCH("grosser Artikel",BJ1278)),2,IFERROR(VLOOKUP(BM1278,Parameter!$F$35:$G$64,2,0),2)),IF(OR(IFERROR(VLOOKUP(D1278,Parameter!$A$35:$C$64,2,0),"Nein")="Nein",IFERROR(VLOOKUP(D1278,Parameter!$A$35:$C$64,2,0),"Nein")=""),"-",VLOOKUP(D1278,Parameter!$A$35:$C$64,2,0))))</f>
        <v/>
      </c>
      <c r="V1278" s="61" t="n"/>
      <c r="W1278" s="62" t="n"/>
      <c r="X1278" s="55">
        <f>AM1278</f>
        <v/>
      </c>
      <c r="Y1278" s="55">
        <f>MAX(AM1278,G1278)</f>
        <v/>
      </c>
      <c r="Z1278" s="63" t="n"/>
      <c r="AA1278" s="55">
        <f>IF(LEFT(Cockpit!$C$5,1)="A",G1278,IF(BT1278=1,BU1278,IF(LEFT(Cockpit!$C$5,1)="B",AE1278,MAX(AE1278,G1278))))</f>
        <v/>
      </c>
      <c r="AB1278" s="55">
        <f>IF(BO1278=1,0,ROUNDUP(AA1278/BN1278,0))</f>
        <v/>
      </c>
      <c r="AC1278" s="64">
        <f>IF(BO1278=1,IF(AA1278&lt;=0,0,BP1278*MAX(1,IF(G1278&gt;0,AA1278/G1278,1))),AB1278*Q1278)</f>
        <v/>
      </c>
      <c r="AD1278" s="55">
        <f>AA1278*F1278</f>
        <v/>
      </c>
      <c r="AE1278" s="55">
        <f>ROUNDUP(MAX(I1278/IF(BS1278&gt;0,BS1278,MAX(0.1,N(Cockpit!$C$6))),BV1278)/BN1278,0)*BN1278</f>
        <v/>
      </c>
      <c r="AF1278" s="56">
        <f>IF(AC1278&gt;0,I1278/AC1278,-1)</f>
        <v/>
      </c>
      <c r="AG1278" s="56">
        <f>IF(AND(OR(BR1278="L1",BR1278="L23"),AC1278&gt;0),SUMIFS($AC$7:$AC$1570,$BR$7:$BR$1570,BR1278,$AF$7:$AF$1570,"&gt;"&amp;AF1278)+SUMIFS($AC$7:$AC$1570,$BR$7:$BR$1570,BR1278,$AF$7:$AF$1570,AF1278,$BL$7:$BL$1570,"&lt;="&amp;BL1278),"")</f>
        <v/>
      </c>
      <c r="AH1278" s="65">
        <f>IF(AG1278="",0,MAX(0,MIN(1,(IF(BR1278="L1",Parameter!$K$5,Parameter!$K$6+Parameter!$K$7)-(AG1278-AC1278))/AC1278)))</f>
        <v/>
      </c>
      <c r="AI1278" s="55">
        <f>IF(LEFT(Cockpit!$I$5,1)="A",G1278,IF(BT1278=1,BU1278,IF(LEFT(Cockpit!$I$5,1)="B",AM1278,MAX(AM1278,G1278))))</f>
        <v/>
      </c>
      <c r="AJ1278" s="55">
        <f>IF(BO1278=1,0,ROUNDUP(AI1278/BN1278,0))</f>
        <v/>
      </c>
      <c r="AK1278" s="64">
        <f>IF(BO1278=1,IF(AI1278&lt;=0,0,BP1278*MAX(1,IF(G1278&gt;0,AI1278/G1278,1))),AJ1278*Q1278)</f>
        <v/>
      </c>
      <c r="AL1278" s="55">
        <f>AI1278*F1278</f>
        <v/>
      </c>
      <c r="AM1278" s="55">
        <f>ROUNDUP(MAX(I1278/IF(BS1278&gt;0,BS1278,MAX(0.1,N(Cockpit!$I$6))),BV1278)/BN1278,0)*BN1278</f>
        <v/>
      </c>
      <c r="AN1278" s="56">
        <f>IF(AK1278&gt;0,I1278/AK1278,-1)</f>
        <v/>
      </c>
      <c r="AO1278" s="56">
        <f>IF(AND(OR(BR1278="L1",BR1278="L23"),AK1278&gt;0),SUMIFS($AK$7:$AK$1570,$BR$7:$BR$1570,BR1278,$AN$7:$AN$1570,"&gt;"&amp;AN1278)+SUMIFS($AK$7:$AK$1570,$BR$7:$BR$1570,BR1278,$AN$7:$AN$1570,AN1278,$BL$7:$BL$1570,"&lt;="&amp;BL1278),"")</f>
        <v/>
      </c>
      <c r="AP1278" s="65">
        <f>IF(AO1278="",0,MAX(0,MIN(1,(IF(BR1278="L1",Parameter!$K$5,Parameter!$K$6+Parameter!$K$7)-(AO1278-AK1278))/AK1278)))</f>
        <v/>
      </c>
      <c r="AQ1278" s="55">
        <f>IF(LEFT(Cockpit!$O$5,1)="A",G1278,IF(BT1278=1,BU1278,IF(LEFT(Cockpit!$O$5,1)="B",AU1278,MAX(AU1278,G1278))))</f>
        <v/>
      </c>
      <c r="AR1278" s="55">
        <f>IF(BO1278=1,0,ROUNDUP(AQ1278/BN1278,0))</f>
        <v/>
      </c>
      <c r="AS1278" s="64">
        <f>IF(BO1278=1,IF(AQ1278&lt;=0,0,BP1278*MAX(1,IF(G1278&gt;0,AQ1278/G1278,1))),AR1278*Q1278)</f>
        <v/>
      </c>
      <c r="AT1278" s="55">
        <f>AQ1278*F1278</f>
        <v/>
      </c>
      <c r="AU1278" s="55">
        <f>ROUNDUP(MAX(I1278/IF(BS1278&gt;0,BS1278,MAX(0.1,N(Cockpit!$O$6))),BV1278)/BN1278,0)*BN1278</f>
        <v/>
      </c>
      <c r="AV1278" s="56">
        <f>IF(AS1278&gt;0,I1278/AS1278,-1)</f>
        <v/>
      </c>
      <c r="AW1278" s="56">
        <f>IF(AND(OR(BR1278="L1",BR1278="L23"),AS1278&gt;0),SUMIFS($AS$7:$AS$1570,$BR$7:$BR$1570,BR1278,$AV$7:$AV$1570,"&gt;"&amp;AV1278)+SUMIFS($AS$7:$AS$1570,$BR$7:$BR$1570,BR1278,$AV$7:$AV$1570,AV1278,$BL$7:$BL$1570,"&lt;="&amp;BL1278),"")</f>
        <v/>
      </c>
      <c r="AX1278" s="65">
        <f>IF(AW1278="",0,MAX(0,MIN(1,(IF(BR1278="L1",Parameter!$K$5,Parameter!$K$6+Parameter!$K$7)-(AW1278-AS1278))/AS1278)))</f>
        <v/>
      </c>
      <c r="AY1278" s="53">
        <f>IF(AC1278&lt;=0,"",IF(BR1278="Aussen","Aussenlager",IF(BR1278="-","Nicht im Lift",IF(AH1278&gt;=1,"Lift",IF(AH1278&lt;=0,"Aussenlager","teilweise")))))</f>
        <v/>
      </c>
      <c r="AZ1278" s="53">
        <f>IF(AK1278&lt;=0,"",IF(BR1278="Aussen","Aussenlager",IF(BR1278="-","Nicht im Lift",IF(AP1278&gt;=1,"Lift",IF(AP1278&lt;=0,"Aussenlager","teilweise")))))</f>
        <v/>
      </c>
      <c r="BA1278" s="53">
        <f>IF(AS1278&lt;=0,"",IF(BR1278="Aussen","Aussenlager",IF(BR1278="-","Nicht im Lift",IF(AX1278&gt;=1,"Lift",IF(AX1278&lt;=0,"Aussenlager","teilweise")))))</f>
        <v/>
      </c>
      <c r="BB1278" s="53">
        <f>IF(A1278="","",IF(BK1278=1,"Neu; ","")&amp;IF(AND(BK1278=0,BF1278&lt;0),"negativer Bestand (Export "&amp;BF1278&amp;"); ","")&amp;IF(I1278&lt;=0,"Kein Verbrauch; ","")&amp;IF(BO1278=1,"Lose – Fläche geschätzt; ","")&amp;IF(G1278&gt;AM1278,"Überbestand "&amp;ROUND(G1278-AM1278,0)&amp;" Stk / CHF "&amp;ROUND((G1278-AM1278)*F1278,0)&amp;"; ","")&amp;IF(AND(BT1278=1,BU1278&lt;BV1278),"MAX &lt; MB+LG; ","")&amp;IF(AND(BZ1278&gt;0,BY1278*10&gt;BZ1278),"zu hoch für Tablar; ","")&amp;IF(AND(BK1278=0,OR(BT1278=1,V1278&lt;&gt;"",S1278&lt;&gt;"",T1278&lt;&gt;"",W1278&lt;&gt;"")),"manuell übersteuert; ","")&amp;IF(AND(BO1278=0,Q1278=0),"Gebinde unbekannt; ","")&amp;IF(AND(BO1278=0,N(T1278)&lt;=0,N(P1278)&lt;=0),"Menge pro Gebinde fehlt (Ist = 1 Gebinde); ","")&amp;BJ1278)</f>
        <v/>
      </c>
      <c r="BC1278" s="53" t="n"/>
      <c r="BD1278" s="53" t="n"/>
      <c r="BE1278" s="61" t="n"/>
      <c r="BF1278" s="55" t="n">
        <v>-6</v>
      </c>
      <c r="BG1278" s="55" t="n">
        <v>24</v>
      </c>
      <c r="BH1278" s="54" t="n">
        <v>-1008</v>
      </c>
      <c r="BI1278" s="55" t="n">
        <v>2</v>
      </c>
      <c r="BJ1278" s="53" t="inlineStr">
        <is>
          <t>Überbestand; grosser Artikel &amp; nicht im KTL</t>
        </is>
      </c>
      <c r="BK1278" s="58" t="n">
        <v>0</v>
      </c>
      <c r="BL1278" s="58" t="n">
        <v>1278</v>
      </c>
      <c r="BM1278" s="53">
        <f>IF(S1278&lt;&gt;"",UPPER(TRIM(S1278)),IF(O1278="","LOSE",O1278))</f>
        <v/>
      </c>
      <c r="BN1278" s="55">
        <f>IF(BM1278="LOSE",1,IF(N(T1278)&gt;0,T1278,IF(N(P1278)&gt;0,P1278,MAX(1,G1278))))</f>
        <v/>
      </c>
      <c r="BO1278" s="58">
        <f>IF(BM1278="LOSE",1,0)</f>
        <v/>
      </c>
      <c r="BP1278" s="64">
        <f>IF(BO1278=0,0,IF(N(R1278)&gt;0,R1278,IFERROR(VLOOKUP(D1278,Parameter!$A$35:$C$64,3,0)+0,0)))</f>
        <v/>
      </c>
      <c r="BQ1278" s="53">
        <f>IF(V1278&lt;&gt;"",V1278,U1278)</f>
        <v/>
      </c>
      <c r="BR1278" s="53">
        <f>IF(BQ1278=1,"L1",IF(OR(BQ1278=2,BQ1278=3),"L23",IF(BQ1278="Aussen","Aussen","-")))</f>
        <v/>
      </c>
      <c r="BS1278" s="66">
        <f>IF(N(W1278)&gt;0,W1278,0)</f>
        <v/>
      </c>
      <c r="BT1278" s="58">
        <f>IF(ISNUMBER(Z1278),1,0)</f>
        <v/>
      </c>
      <c r="BU1278" s="55">
        <f>N(Z1278)</f>
        <v/>
      </c>
      <c r="BV1278" s="55">
        <f>N(L1278)+N(M1278)</f>
        <v/>
      </c>
      <c r="BW1278" s="55">
        <f>ROUNDUP(G1278/BN1278,0)</f>
        <v/>
      </c>
      <c r="BX1278" s="55">
        <f>ROUNDUP(BU1278/BN1278,0)</f>
        <v/>
      </c>
      <c r="BY1278" s="58">
        <f>IF(BO1278=1,0,IFERROR(VLOOKUP(BM1278,'Gebinde-Kategorie'!$A$5:$G$45,5,0)+0,0))</f>
        <v/>
      </c>
      <c r="BZ1278" s="58">
        <f>IFERROR(IF(OR(BQ1278=1,BQ1278=2,BQ1278=3),N(INDEX(Parameter!$I$5:$I$7,BQ1278)),0),0)</f>
        <v/>
      </c>
    </row>
    <row r="1279">
      <c r="A1279" s="53" t="inlineStr">
        <is>
          <t>105224</t>
        </is>
      </c>
      <c r="B1279" s="53" t="inlineStr">
        <is>
          <t>Indikator</t>
        </is>
      </c>
      <c r="C1279" s="53" t="inlineStr">
        <is>
          <t>F</t>
        </is>
      </c>
      <c r="D1279" s="53" t="inlineStr">
        <is>
          <t>KTL</t>
        </is>
      </c>
      <c r="E1279" s="53" t="inlineStr">
        <is>
          <t>C</t>
        </is>
      </c>
      <c r="F1279" s="54" t="n">
        <v>29.07</v>
      </c>
      <c r="G1279" s="55">
        <f>MAX(0,IF(Parameter!$B$20="Jahresanfang 2025 + Export",BG1279+BF1279,BF1279))</f>
        <v/>
      </c>
      <c r="H1279" s="55">
        <f>G1279*F1279</f>
        <v/>
      </c>
      <c r="I1279" s="55">
        <f>BI1279*Parameter!$B$18</f>
        <v/>
      </c>
      <c r="J1279" s="56" t="n">
        <v>66.5</v>
      </c>
      <c r="K1279" s="57" t="n">
        <v>1.082706766917293</v>
      </c>
      <c r="L1279" s="55" t="n">
        <v>5</v>
      </c>
      <c r="M1279" s="55" t="n">
        <v>70</v>
      </c>
      <c r="N1279" s="58" t="n">
        <v>28</v>
      </c>
      <c r="O1279" s="53" t="inlineStr">
        <is>
          <t>S51</t>
        </is>
      </c>
      <c r="P1279" s="55" t="n">
        <v>12</v>
      </c>
      <c r="Q1279" s="59">
        <f>IF(BO1279=1,0,IFERROR(VLOOKUP(BM1279,'Gebinde-Kategorie'!$A$5:$G$45,6,0)+0,0))</f>
        <v/>
      </c>
      <c r="R1279" s="60" t="n"/>
      <c r="S1279" s="61" t="n"/>
      <c r="T1279" s="61" t="n"/>
      <c r="U1279" s="53">
        <f>IF(A1279="","",IF(IFERROR(VLOOKUP(D1279,Parameter!$A$35:$C$64,2,0),"Nein")="2+3",IF(ISNUMBER(SEARCH("grosser Artikel",BJ1279)),2,IFERROR(VLOOKUP(BM1279,Parameter!$F$35:$G$64,2,0),2)),IF(OR(IFERROR(VLOOKUP(D1279,Parameter!$A$35:$C$64,2,0),"Nein")="Nein",IFERROR(VLOOKUP(D1279,Parameter!$A$35:$C$64,2,0),"Nein")=""),"-",VLOOKUP(D1279,Parameter!$A$35:$C$64,2,0))))</f>
        <v/>
      </c>
      <c r="V1279" s="61" t="n"/>
      <c r="W1279" s="62" t="n"/>
      <c r="X1279" s="55">
        <f>AM1279</f>
        <v/>
      </c>
      <c r="Y1279" s="55">
        <f>MAX(AM1279,G1279)</f>
        <v/>
      </c>
      <c r="Z1279" s="63" t="n"/>
      <c r="AA1279" s="55">
        <f>IF(LEFT(Cockpit!$C$5,1)="A",G1279,IF(BT1279=1,BU1279,IF(LEFT(Cockpit!$C$5,1)="B",AE1279,MAX(AE1279,G1279))))</f>
        <v/>
      </c>
      <c r="AB1279" s="55">
        <f>IF(BO1279=1,0,ROUNDUP(AA1279/BN1279,0))</f>
        <v/>
      </c>
      <c r="AC1279" s="64">
        <f>IF(BO1279=1,IF(AA1279&lt;=0,0,BP1279*MAX(1,IF(G1279&gt;0,AA1279/G1279,1))),AB1279*Q1279)</f>
        <v/>
      </c>
      <c r="AD1279" s="55">
        <f>AA1279*F1279</f>
        <v/>
      </c>
      <c r="AE1279" s="55">
        <f>ROUNDUP(MAX(I1279/IF(BS1279&gt;0,BS1279,MAX(0.1,N(Cockpit!$C$6))),BV1279)/BN1279,0)*BN1279</f>
        <v/>
      </c>
      <c r="AF1279" s="56">
        <f>IF(AC1279&gt;0,I1279/AC1279,-1)</f>
        <v/>
      </c>
      <c r="AG1279" s="56">
        <f>IF(AND(OR(BR1279="L1",BR1279="L23"),AC1279&gt;0),SUMIFS($AC$7:$AC$1570,$BR$7:$BR$1570,BR1279,$AF$7:$AF$1570,"&gt;"&amp;AF1279)+SUMIFS($AC$7:$AC$1570,$BR$7:$BR$1570,BR1279,$AF$7:$AF$1570,AF1279,$BL$7:$BL$1570,"&lt;="&amp;BL1279),"")</f>
        <v/>
      </c>
      <c r="AH1279" s="65">
        <f>IF(AG1279="",0,MAX(0,MIN(1,(IF(BR1279="L1",Parameter!$K$5,Parameter!$K$6+Parameter!$K$7)-(AG1279-AC1279))/AC1279)))</f>
        <v/>
      </c>
      <c r="AI1279" s="55">
        <f>IF(LEFT(Cockpit!$I$5,1)="A",G1279,IF(BT1279=1,BU1279,IF(LEFT(Cockpit!$I$5,1)="B",AM1279,MAX(AM1279,G1279))))</f>
        <v/>
      </c>
      <c r="AJ1279" s="55">
        <f>IF(BO1279=1,0,ROUNDUP(AI1279/BN1279,0))</f>
        <v/>
      </c>
      <c r="AK1279" s="64">
        <f>IF(BO1279=1,IF(AI1279&lt;=0,0,BP1279*MAX(1,IF(G1279&gt;0,AI1279/G1279,1))),AJ1279*Q1279)</f>
        <v/>
      </c>
      <c r="AL1279" s="55">
        <f>AI1279*F1279</f>
        <v/>
      </c>
      <c r="AM1279" s="55">
        <f>ROUNDUP(MAX(I1279/IF(BS1279&gt;0,BS1279,MAX(0.1,N(Cockpit!$I$6))),BV1279)/BN1279,0)*BN1279</f>
        <v/>
      </c>
      <c r="AN1279" s="56">
        <f>IF(AK1279&gt;0,I1279/AK1279,-1)</f>
        <v/>
      </c>
      <c r="AO1279" s="56">
        <f>IF(AND(OR(BR1279="L1",BR1279="L23"),AK1279&gt;0),SUMIFS($AK$7:$AK$1570,$BR$7:$BR$1570,BR1279,$AN$7:$AN$1570,"&gt;"&amp;AN1279)+SUMIFS($AK$7:$AK$1570,$BR$7:$BR$1570,BR1279,$AN$7:$AN$1570,AN1279,$BL$7:$BL$1570,"&lt;="&amp;BL1279),"")</f>
        <v/>
      </c>
      <c r="AP1279" s="65">
        <f>IF(AO1279="",0,MAX(0,MIN(1,(IF(BR1279="L1",Parameter!$K$5,Parameter!$K$6+Parameter!$K$7)-(AO1279-AK1279))/AK1279)))</f>
        <v/>
      </c>
      <c r="AQ1279" s="55">
        <f>IF(LEFT(Cockpit!$O$5,1)="A",G1279,IF(BT1279=1,BU1279,IF(LEFT(Cockpit!$O$5,1)="B",AU1279,MAX(AU1279,G1279))))</f>
        <v/>
      </c>
      <c r="AR1279" s="55">
        <f>IF(BO1279=1,0,ROUNDUP(AQ1279/BN1279,0))</f>
        <v/>
      </c>
      <c r="AS1279" s="64">
        <f>IF(BO1279=1,IF(AQ1279&lt;=0,0,BP1279*MAX(1,IF(G1279&gt;0,AQ1279/G1279,1))),AR1279*Q1279)</f>
        <v/>
      </c>
      <c r="AT1279" s="55">
        <f>AQ1279*F1279</f>
        <v/>
      </c>
      <c r="AU1279" s="55">
        <f>ROUNDUP(MAX(I1279/IF(BS1279&gt;0,BS1279,MAX(0.1,N(Cockpit!$O$6))),BV1279)/BN1279,0)*BN1279</f>
        <v/>
      </c>
      <c r="AV1279" s="56">
        <f>IF(AS1279&gt;0,I1279/AS1279,-1)</f>
        <v/>
      </c>
      <c r="AW1279" s="56">
        <f>IF(AND(OR(BR1279="L1",BR1279="L23"),AS1279&gt;0),SUMIFS($AS$7:$AS$1570,$BR$7:$BR$1570,BR1279,$AV$7:$AV$1570,"&gt;"&amp;AV1279)+SUMIFS($AS$7:$AS$1570,$BR$7:$BR$1570,BR1279,$AV$7:$AV$1570,AV1279,$BL$7:$BL$1570,"&lt;="&amp;BL1279),"")</f>
        <v/>
      </c>
      <c r="AX1279" s="65">
        <f>IF(AW1279="",0,MAX(0,MIN(1,(IF(BR1279="L1",Parameter!$K$5,Parameter!$K$6+Parameter!$K$7)-(AW1279-AS1279))/AS1279)))</f>
        <v/>
      </c>
      <c r="AY1279" s="53">
        <f>IF(AC1279&lt;=0,"",IF(BR1279="Aussen","Aussenlager",IF(BR1279="-","Nicht im Lift",IF(AH1279&gt;=1,"Lift",IF(AH1279&lt;=0,"Aussenlager","teilweise")))))</f>
        <v/>
      </c>
      <c r="AZ1279" s="53">
        <f>IF(AK1279&lt;=0,"",IF(BR1279="Aussen","Aussenlager",IF(BR1279="-","Nicht im Lift",IF(AP1279&gt;=1,"Lift",IF(AP1279&lt;=0,"Aussenlager","teilweise")))))</f>
        <v/>
      </c>
      <c r="BA1279" s="53">
        <f>IF(AS1279&lt;=0,"",IF(BR1279="Aussen","Aussenlager",IF(BR1279="-","Nicht im Lift",IF(AX1279&gt;=1,"Lift",IF(AX1279&lt;=0,"Aussenlager","teilweise")))))</f>
        <v/>
      </c>
      <c r="BB1279" s="53">
        <f>IF(A1279="","",IF(BK1279=1,"Neu; ","")&amp;IF(AND(BK1279=0,BF1279&lt;0),"negativer Bestand (Export "&amp;BF1279&amp;"); ","")&amp;IF(I1279&lt;=0,"Kein Verbrauch; ","")&amp;IF(BO1279=1,"Lose – Fläche geschätzt; ","")&amp;IF(G1279&gt;AM1279,"Überbestand "&amp;ROUND(G1279-AM1279,0)&amp;" Stk / CHF "&amp;ROUND((G1279-AM1279)*F1279,0)&amp;"; ","")&amp;IF(AND(BT1279=1,BU1279&lt;BV1279),"MAX &lt; MB+LG; ","")&amp;IF(AND(BZ1279&gt;0,BY1279*10&gt;BZ1279),"zu hoch für Tablar; ","")&amp;IF(AND(BK1279=0,OR(BT1279=1,V1279&lt;&gt;"",S1279&lt;&gt;"",T1279&lt;&gt;"",W1279&lt;&gt;"")),"manuell übersteuert; ","")&amp;IF(AND(BO1279=0,Q1279=0),"Gebinde unbekannt; ","")&amp;IF(AND(BO1279=0,N(T1279)&lt;=0,N(P1279)&lt;=0),"Menge pro Gebinde fehlt (Ist = 1 Gebinde); ","")&amp;BJ1279)</f>
        <v/>
      </c>
      <c r="BC1279" s="53" t="n"/>
      <c r="BD1279" s="53" t="n"/>
      <c r="BE1279" s="61" t="n"/>
      <c r="BF1279" s="55" t="n">
        <v>-34</v>
      </c>
      <c r="BG1279" s="55" t="n">
        <v>67</v>
      </c>
      <c r="BH1279" s="54" t="n">
        <v>-1008.479999999999</v>
      </c>
      <c r="BI1279" s="55" t="n">
        <v>72</v>
      </c>
      <c r="BJ1279" s="53" t="inlineStr"/>
      <c r="BK1279" s="58" t="n">
        <v>0</v>
      </c>
      <c r="BL1279" s="58" t="n">
        <v>1279</v>
      </c>
      <c r="BM1279" s="53">
        <f>IF(S1279&lt;&gt;"",UPPER(TRIM(S1279)),IF(O1279="","LOSE",O1279))</f>
        <v/>
      </c>
      <c r="BN1279" s="55">
        <f>IF(BM1279="LOSE",1,IF(N(T1279)&gt;0,T1279,IF(N(P1279)&gt;0,P1279,MAX(1,G1279))))</f>
        <v/>
      </c>
      <c r="BO1279" s="58">
        <f>IF(BM1279="LOSE",1,0)</f>
        <v/>
      </c>
      <c r="BP1279" s="64">
        <f>IF(BO1279=0,0,IF(N(R1279)&gt;0,R1279,IFERROR(VLOOKUP(D1279,Parameter!$A$35:$C$64,3,0)+0,0)))</f>
        <v/>
      </c>
      <c r="BQ1279" s="53">
        <f>IF(V1279&lt;&gt;"",V1279,U1279)</f>
        <v/>
      </c>
      <c r="BR1279" s="53">
        <f>IF(BQ1279=1,"L1",IF(OR(BQ1279=2,BQ1279=3),"L23",IF(BQ1279="Aussen","Aussen","-")))</f>
        <v/>
      </c>
      <c r="BS1279" s="66">
        <f>IF(N(W1279)&gt;0,W1279,0)</f>
        <v/>
      </c>
      <c r="BT1279" s="58">
        <f>IF(ISNUMBER(Z1279),1,0)</f>
        <v/>
      </c>
      <c r="BU1279" s="55">
        <f>N(Z1279)</f>
        <v/>
      </c>
      <c r="BV1279" s="55">
        <f>N(L1279)+N(M1279)</f>
        <v/>
      </c>
      <c r="BW1279" s="55">
        <f>ROUNDUP(G1279/BN1279,0)</f>
        <v/>
      </c>
      <c r="BX1279" s="55">
        <f>ROUNDUP(BU1279/BN1279,0)</f>
        <v/>
      </c>
      <c r="BY1279" s="58">
        <f>IF(BO1279=1,0,IFERROR(VLOOKUP(BM1279,'Gebinde-Kategorie'!$A$5:$G$45,5,0)+0,0))</f>
        <v/>
      </c>
      <c r="BZ1279" s="58">
        <f>IFERROR(IF(OR(BQ1279=1,BQ1279=2,BQ1279=3),N(INDEX(Parameter!$I$5:$I$7,BQ1279)),0),0)</f>
        <v/>
      </c>
    </row>
    <row r="1280">
      <c r="A1280" s="53" t="inlineStr">
        <is>
          <t>108488</t>
        </is>
      </c>
      <c r="B1280" s="53" t="inlineStr">
        <is>
          <t>Adapter Edelstahl</t>
        </is>
      </c>
      <c r="C1280" s="53" t="inlineStr">
        <is>
          <t>F</t>
        </is>
      </c>
      <c r="D1280" s="53" t="inlineStr">
        <is>
          <t>KTL</t>
        </is>
      </c>
      <c r="E1280" s="53" t="inlineStr">
        <is>
          <t>C</t>
        </is>
      </c>
      <c r="F1280" s="54" t="n">
        <v>36.23</v>
      </c>
      <c r="G1280" s="55">
        <f>MAX(0,IF(Parameter!$B$20="Jahresanfang 2025 + Export",BG1280+BF1280,BF1280))</f>
        <v/>
      </c>
      <c r="H1280" s="55">
        <f>G1280*F1280</f>
        <v/>
      </c>
      <c r="I1280" s="55">
        <f>BI1280*Parameter!$B$18</f>
        <v/>
      </c>
      <c r="J1280" s="56" t="n">
        <v>40.5</v>
      </c>
      <c r="K1280" s="57" t="n">
        <v>0.9135802469135802</v>
      </c>
      <c r="L1280" s="55" t="n">
        <v>1</v>
      </c>
      <c r="M1280" s="55" t="n">
        <v>35</v>
      </c>
      <c r="N1280" s="58" t="n">
        <v>14</v>
      </c>
      <c r="O1280" s="53" t="inlineStr">
        <is>
          <t>S33</t>
        </is>
      </c>
      <c r="P1280" s="55" t="n">
        <v>64</v>
      </c>
      <c r="Q1280" s="59">
        <f>IF(BO1280=1,0,IFERROR(VLOOKUP(BM1280,'Gebinde-Kategorie'!$A$5:$G$45,6,0)+0,0))</f>
        <v/>
      </c>
      <c r="R1280" s="60" t="n"/>
      <c r="S1280" s="61" t="n"/>
      <c r="T1280" s="61" t="n"/>
      <c r="U1280" s="53">
        <f>IF(A1280="","",IF(IFERROR(VLOOKUP(D1280,Parameter!$A$35:$C$64,2,0),"Nein")="2+3",IF(ISNUMBER(SEARCH("grosser Artikel",BJ1280)),2,IFERROR(VLOOKUP(BM1280,Parameter!$F$35:$G$64,2,0),2)),IF(OR(IFERROR(VLOOKUP(D1280,Parameter!$A$35:$C$64,2,0),"Nein")="Nein",IFERROR(VLOOKUP(D1280,Parameter!$A$35:$C$64,2,0),"Nein")=""),"-",VLOOKUP(D1280,Parameter!$A$35:$C$64,2,0))))</f>
        <v/>
      </c>
      <c r="V1280" s="61" t="n"/>
      <c r="W1280" s="62" t="n"/>
      <c r="X1280" s="55">
        <f>AM1280</f>
        <v/>
      </c>
      <c r="Y1280" s="55">
        <f>MAX(AM1280,G1280)</f>
        <v/>
      </c>
      <c r="Z1280" s="63" t="n"/>
      <c r="AA1280" s="55">
        <f>IF(LEFT(Cockpit!$C$5,1)="A",G1280,IF(BT1280=1,BU1280,IF(LEFT(Cockpit!$C$5,1)="B",AE1280,MAX(AE1280,G1280))))</f>
        <v/>
      </c>
      <c r="AB1280" s="55">
        <f>IF(BO1280=1,0,ROUNDUP(AA1280/BN1280,0))</f>
        <v/>
      </c>
      <c r="AC1280" s="64">
        <f>IF(BO1280=1,IF(AA1280&lt;=0,0,BP1280*MAX(1,IF(G1280&gt;0,AA1280/G1280,1))),AB1280*Q1280)</f>
        <v/>
      </c>
      <c r="AD1280" s="55">
        <f>AA1280*F1280</f>
        <v/>
      </c>
      <c r="AE1280" s="55">
        <f>ROUNDUP(MAX(I1280/IF(BS1280&gt;0,BS1280,MAX(0.1,N(Cockpit!$C$6))),BV1280)/BN1280,0)*BN1280</f>
        <v/>
      </c>
      <c r="AF1280" s="56">
        <f>IF(AC1280&gt;0,I1280/AC1280,-1)</f>
        <v/>
      </c>
      <c r="AG1280" s="56">
        <f>IF(AND(OR(BR1280="L1",BR1280="L23"),AC1280&gt;0),SUMIFS($AC$7:$AC$1570,$BR$7:$BR$1570,BR1280,$AF$7:$AF$1570,"&gt;"&amp;AF1280)+SUMIFS($AC$7:$AC$1570,$BR$7:$BR$1570,BR1280,$AF$7:$AF$1570,AF1280,$BL$7:$BL$1570,"&lt;="&amp;BL1280),"")</f>
        <v/>
      </c>
      <c r="AH1280" s="65">
        <f>IF(AG1280="",0,MAX(0,MIN(1,(IF(BR1280="L1",Parameter!$K$5,Parameter!$K$6+Parameter!$K$7)-(AG1280-AC1280))/AC1280)))</f>
        <v/>
      </c>
      <c r="AI1280" s="55">
        <f>IF(LEFT(Cockpit!$I$5,1)="A",G1280,IF(BT1280=1,BU1280,IF(LEFT(Cockpit!$I$5,1)="B",AM1280,MAX(AM1280,G1280))))</f>
        <v/>
      </c>
      <c r="AJ1280" s="55">
        <f>IF(BO1280=1,0,ROUNDUP(AI1280/BN1280,0))</f>
        <v/>
      </c>
      <c r="AK1280" s="64">
        <f>IF(BO1280=1,IF(AI1280&lt;=0,0,BP1280*MAX(1,IF(G1280&gt;0,AI1280/G1280,1))),AJ1280*Q1280)</f>
        <v/>
      </c>
      <c r="AL1280" s="55">
        <f>AI1280*F1280</f>
        <v/>
      </c>
      <c r="AM1280" s="55">
        <f>ROUNDUP(MAX(I1280/IF(BS1280&gt;0,BS1280,MAX(0.1,N(Cockpit!$I$6))),BV1280)/BN1280,0)*BN1280</f>
        <v/>
      </c>
      <c r="AN1280" s="56">
        <f>IF(AK1280&gt;0,I1280/AK1280,-1)</f>
        <v/>
      </c>
      <c r="AO1280" s="56">
        <f>IF(AND(OR(BR1280="L1",BR1280="L23"),AK1280&gt;0),SUMIFS($AK$7:$AK$1570,$BR$7:$BR$1570,BR1280,$AN$7:$AN$1570,"&gt;"&amp;AN1280)+SUMIFS($AK$7:$AK$1570,$BR$7:$BR$1570,BR1280,$AN$7:$AN$1570,AN1280,$BL$7:$BL$1570,"&lt;="&amp;BL1280),"")</f>
        <v/>
      </c>
      <c r="AP1280" s="65">
        <f>IF(AO1280="",0,MAX(0,MIN(1,(IF(BR1280="L1",Parameter!$K$5,Parameter!$K$6+Parameter!$K$7)-(AO1280-AK1280))/AK1280)))</f>
        <v/>
      </c>
      <c r="AQ1280" s="55">
        <f>IF(LEFT(Cockpit!$O$5,1)="A",G1280,IF(BT1280=1,BU1280,IF(LEFT(Cockpit!$O$5,1)="B",AU1280,MAX(AU1280,G1280))))</f>
        <v/>
      </c>
      <c r="AR1280" s="55">
        <f>IF(BO1280=1,0,ROUNDUP(AQ1280/BN1280,0))</f>
        <v/>
      </c>
      <c r="AS1280" s="64">
        <f>IF(BO1280=1,IF(AQ1280&lt;=0,0,BP1280*MAX(1,IF(G1280&gt;0,AQ1280/G1280,1))),AR1280*Q1280)</f>
        <v/>
      </c>
      <c r="AT1280" s="55">
        <f>AQ1280*F1280</f>
        <v/>
      </c>
      <c r="AU1280" s="55">
        <f>ROUNDUP(MAX(I1280/IF(BS1280&gt;0,BS1280,MAX(0.1,N(Cockpit!$O$6))),BV1280)/BN1280,0)*BN1280</f>
        <v/>
      </c>
      <c r="AV1280" s="56">
        <f>IF(AS1280&gt;0,I1280/AS1280,-1)</f>
        <v/>
      </c>
      <c r="AW1280" s="56">
        <f>IF(AND(OR(BR1280="L1",BR1280="L23"),AS1280&gt;0),SUMIFS($AS$7:$AS$1570,$BR$7:$BR$1570,BR1280,$AV$7:$AV$1570,"&gt;"&amp;AV1280)+SUMIFS($AS$7:$AS$1570,$BR$7:$BR$1570,BR1280,$AV$7:$AV$1570,AV1280,$BL$7:$BL$1570,"&lt;="&amp;BL1280),"")</f>
        <v/>
      </c>
      <c r="AX1280" s="65">
        <f>IF(AW1280="",0,MAX(0,MIN(1,(IF(BR1280="L1",Parameter!$K$5,Parameter!$K$6+Parameter!$K$7)-(AW1280-AS1280))/AS1280)))</f>
        <v/>
      </c>
      <c r="AY1280" s="53">
        <f>IF(AC1280&lt;=0,"",IF(BR1280="Aussen","Aussenlager",IF(BR1280="-","Nicht im Lift",IF(AH1280&gt;=1,"Lift",IF(AH1280&lt;=0,"Aussenlager","teilweise")))))</f>
        <v/>
      </c>
      <c r="AZ1280" s="53">
        <f>IF(AK1280&lt;=0,"",IF(BR1280="Aussen","Aussenlager",IF(BR1280="-","Nicht im Lift",IF(AP1280&gt;=1,"Lift",IF(AP1280&lt;=0,"Aussenlager","teilweise")))))</f>
        <v/>
      </c>
      <c r="BA1280" s="53">
        <f>IF(AS1280&lt;=0,"",IF(BR1280="Aussen","Aussenlager",IF(BR1280="-","Nicht im Lift",IF(AX1280&gt;=1,"Lift",IF(AX1280&lt;=0,"Aussenlager","teilweise")))))</f>
        <v/>
      </c>
      <c r="BB1280" s="53">
        <f>IF(A1280="","",IF(BK1280=1,"Neu; ","")&amp;IF(AND(BK1280=0,BF1280&lt;0),"negativer Bestand (Export "&amp;BF1280&amp;"); ","")&amp;IF(I1280&lt;=0,"Kein Verbrauch; ","")&amp;IF(BO1280=1,"Lose – Fläche geschätzt; ","")&amp;IF(G1280&gt;AM1280,"Überbestand "&amp;ROUND(G1280-AM1280,0)&amp;" Stk / CHF "&amp;ROUND((G1280-AM1280)*F1280,0)&amp;"; ","")&amp;IF(AND(BT1280=1,BU1280&lt;BV1280),"MAX &lt; MB+LG; ","")&amp;IF(AND(BZ1280&gt;0,BY1280*10&gt;BZ1280),"zu hoch für Tablar; ","")&amp;IF(AND(BK1280=0,OR(BT1280=1,V1280&lt;&gt;"",S1280&lt;&gt;"",T1280&lt;&gt;"",W1280&lt;&gt;"")),"manuell übersteuert; ","")&amp;IF(AND(BO1280=0,Q1280=0),"Gebinde unbekannt; ","")&amp;IF(AND(BO1280=0,N(T1280)&lt;=0,N(P1280)&lt;=0),"Menge pro Gebinde fehlt (Ist = 1 Gebinde); ","")&amp;BJ1280)</f>
        <v/>
      </c>
      <c r="BC1280" s="53" t="n"/>
      <c r="BD1280" s="53" t="n"/>
      <c r="BE1280" s="61" t="n"/>
      <c r="BF1280" s="55" t="n">
        <v>-30</v>
      </c>
      <c r="BG1280" s="55" t="n">
        <v>39</v>
      </c>
      <c r="BH1280" s="54" t="n">
        <v>-1026.84</v>
      </c>
      <c r="BI1280" s="55" t="n">
        <v>37</v>
      </c>
      <c r="BJ1280" s="53" t="inlineStr"/>
      <c r="BK1280" s="58" t="n">
        <v>0</v>
      </c>
      <c r="BL1280" s="58" t="n">
        <v>1280</v>
      </c>
      <c r="BM1280" s="53">
        <f>IF(S1280&lt;&gt;"",UPPER(TRIM(S1280)),IF(O1280="","LOSE",O1280))</f>
        <v/>
      </c>
      <c r="BN1280" s="55">
        <f>IF(BM1280="LOSE",1,IF(N(T1280)&gt;0,T1280,IF(N(P1280)&gt;0,P1280,MAX(1,G1280))))</f>
        <v/>
      </c>
      <c r="BO1280" s="58">
        <f>IF(BM1280="LOSE",1,0)</f>
        <v/>
      </c>
      <c r="BP1280" s="64">
        <f>IF(BO1280=0,0,IF(N(R1280)&gt;0,R1280,IFERROR(VLOOKUP(D1280,Parameter!$A$35:$C$64,3,0)+0,0)))</f>
        <v/>
      </c>
      <c r="BQ1280" s="53">
        <f>IF(V1280&lt;&gt;"",V1280,U1280)</f>
        <v/>
      </c>
      <c r="BR1280" s="53">
        <f>IF(BQ1280=1,"L1",IF(OR(BQ1280=2,BQ1280=3),"L23",IF(BQ1280="Aussen","Aussen","-")))</f>
        <v/>
      </c>
      <c r="BS1280" s="66">
        <f>IF(N(W1280)&gt;0,W1280,0)</f>
        <v/>
      </c>
      <c r="BT1280" s="58">
        <f>IF(ISNUMBER(Z1280),1,0)</f>
        <v/>
      </c>
      <c r="BU1280" s="55">
        <f>N(Z1280)</f>
        <v/>
      </c>
      <c r="BV1280" s="55">
        <f>N(L1280)+N(M1280)</f>
        <v/>
      </c>
      <c r="BW1280" s="55">
        <f>ROUNDUP(G1280/BN1280,0)</f>
        <v/>
      </c>
      <c r="BX1280" s="55">
        <f>ROUNDUP(BU1280/BN1280,0)</f>
        <v/>
      </c>
      <c r="BY1280" s="58">
        <f>IF(BO1280=1,0,IFERROR(VLOOKUP(BM1280,'Gebinde-Kategorie'!$A$5:$G$45,5,0)+0,0))</f>
        <v/>
      </c>
      <c r="BZ1280" s="58">
        <f>IFERROR(IF(OR(BQ1280=1,BQ1280=2,BQ1280=3),N(INDEX(Parameter!$I$5:$I$7,BQ1280)),0),0)</f>
        <v/>
      </c>
    </row>
    <row r="1281">
      <c r="A1281" s="53" t="inlineStr">
        <is>
          <t>106961</t>
        </is>
      </c>
      <c r="B1281" s="53" t="inlineStr">
        <is>
          <t>Sicheres digtales Eingangsmodul</t>
        </is>
      </c>
      <c r="C1281" s="53" t="inlineStr">
        <is>
          <t>F</t>
        </is>
      </c>
      <c r="D1281" s="53" t="inlineStr">
        <is>
          <t>KTL</t>
        </is>
      </c>
      <c r="E1281" s="53" t="inlineStr">
        <is>
          <t>C</t>
        </is>
      </c>
      <c r="F1281" s="54" t="n">
        <v>148.35</v>
      </c>
      <c r="G1281" s="55">
        <f>MAX(0,IF(Parameter!$B$20="Jahresanfang 2025 + Export",BG1281+BF1281,BF1281))</f>
        <v/>
      </c>
      <c r="H1281" s="55">
        <f>G1281*F1281</f>
        <v/>
      </c>
      <c r="I1281" s="55">
        <f>BI1281*Parameter!$B$18</f>
        <v/>
      </c>
      <c r="J1281" s="56" t="n">
        <v>174</v>
      </c>
      <c r="K1281" s="57" t="n">
        <v>0.02298850574712644</v>
      </c>
      <c r="L1281" s="55" t="n">
        <v>0</v>
      </c>
      <c r="M1281" s="55" t="n">
        <v>5</v>
      </c>
      <c r="N1281" s="58" t="n">
        <v>63</v>
      </c>
      <c r="O1281" s="53" t="inlineStr">
        <is>
          <t>S62</t>
        </is>
      </c>
      <c r="P1281" s="55" t="n">
        <v>180</v>
      </c>
      <c r="Q1281" s="59">
        <f>IF(BO1281=1,0,IFERROR(VLOOKUP(BM1281,'Gebinde-Kategorie'!$A$5:$G$45,6,0)+0,0))</f>
        <v/>
      </c>
      <c r="R1281" s="60" t="n"/>
      <c r="S1281" s="61" t="n"/>
      <c r="T1281" s="61" t="n"/>
      <c r="U1281" s="53">
        <f>IF(A1281="","",IF(IFERROR(VLOOKUP(D1281,Parameter!$A$35:$C$64,2,0),"Nein")="2+3",IF(ISNUMBER(SEARCH("grosser Artikel",BJ1281)),2,IFERROR(VLOOKUP(BM1281,Parameter!$F$35:$G$64,2,0),2)),IF(OR(IFERROR(VLOOKUP(D1281,Parameter!$A$35:$C$64,2,0),"Nein")="Nein",IFERROR(VLOOKUP(D1281,Parameter!$A$35:$C$64,2,0),"Nein")=""),"-",VLOOKUP(D1281,Parameter!$A$35:$C$64,2,0))))</f>
        <v/>
      </c>
      <c r="V1281" s="61" t="n"/>
      <c r="W1281" s="62" t="n"/>
      <c r="X1281" s="55">
        <f>AM1281</f>
        <v/>
      </c>
      <c r="Y1281" s="55">
        <f>MAX(AM1281,G1281)</f>
        <v/>
      </c>
      <c r="Z1281" s="63" t="n"/>
      <c r="AA1281" s="55">
        <f>IF(LEFT(Cockpit!$C$5,1)="A",G1281,IF(BT1281=1,BU1281,IF(LEFT(Cockpit!$C$5,1)="B",AE1281,MAX(AE1281,G1281))))</f>
        <v/>
      </c>
      <c r="AB1281" s="55">
        <f>IF(BO1281=1,0,ROUNDUP(AA1281/BN1281,0))</f>
        <v/>
      </c>
      <c r="AC1281" s="64">
        <f>IF(BO1281=1,IF(AA1281&lt;=0,0,BP1281*MAX(1,IF(G1281&gt;0,AA1281/G1281,1))),AB1281*Q1281)</f>
        <v/>
      </c>
      <c r="AD1281" s="55">
        <f>AA1281*F1281</f>
        <v/>
      </c>
      <c r="AE1281" s="55">
        <f>ROUNDUP(MAX(I1281/IF(BS1281&gt;0,BS1281,MAX(0.1,N(Cockpit!$C$6))),BV1281)/BN1281,0)*BN1281</f>
        <v/>
      </c>
      <c r="AF1281" s="56">
        <f>IF(AC1281&gt;0,I1281/AC1281,-1)</f>
        <v/>
      </c>
      <c r="AG1281" s="56">
        <f>IF(AND(OR(BR1281="L1",BR1281="L23"),AC1281&gt;0),SUMIFS($AC$7:$AC$1570,$BR$7:$BR$1570,BR1281,$AF$7:$AF$1570,"&gt;"&amp;AF1281)+SUMIFS($AC$7:$AC$1570,$BR$7:$BR$1570,BR1281,$AF$7:$AF$1570,AF1281,$BL$7:$BL$1570,"&lt;="&amp;BL1281),"")</f>
        <v/>
      </c>
      <c r="AH1281" s="65">
        <f>IF(AG1281="",0,MAX(0,MIN(1,(IF(BR1281="L1",Parameter!$K$5,Parameter!$K$6+Parameter!$K$7)-(AG1281-AC1281))/AC1281)))</f>
        <v/>
      </c>
      <c r="AI1281" s="55">
        <f>IF(LEFT(Cockpit!$I$5,1)="A",G1281,IF(BT1281=1,BU1281,IF(LEFT(Cockpit!$I$5,1)="B",AM1281,MAX(AM1281,G1281))))</f>
        <v/>
      </c>
      <c r="AJ1281" s="55">
        <f>IF(BO1281=1,0,ROUNDUP(AI1281/BN1281,0))</f>
        <v/>
      </c>
      <c r="AK1281" s="64">
        <f>IF(BO1281=1,IF(AI1281&lt;=0,0,BP1281*MAX(1,IF(G1281&gt;0,AI1281/G1281,1))),AJ1281*Q1281)</f>
        <v/>
      </c>
      <c r="AL1281" s="55">
        <f>AI1281*F1281</f>
        <v/>
      </c>
      <c r="AM1281" s="55">
        <f>ROUNDUP(MAX(I1281/IF(BS1281&gt;0,BS1281,MAX(0.1,N(Cockpit!$I$6))),BV1281)/BN1281,0)*BN1281</f>
        <v/>
      </c>
      <c r="AN1281" s="56">
        <f>IF(AK1281&gt;0,I1281/AK1281,-1)</f>
        <v/>
      </c>
      <c r="AO1281" s="56">
        <f>IF(AND(OR(BR1281="L1",BR1281="L23"),AK1281&gt;0),SUMIFS($AK$7:$AK$1570,$BR$7:$BR$1570,BR1281,$AN$7:$AN$1570,"&gt;"&amp;AN1281)+SUMIFS($AK$7:$AK$1570,$BR$7:$BR$1570,BR1281,$AN$7:$AN$1570,AN1281,$BL$7:$BL$1570,"&lt;="&amp;BL1281),"")</f>
        <v/>
      </c>
      <c r="AP1281" s="65">
        <f>IF(AO1281="",0,MAX(0,MIN(1,(IF(BR1281="L1",Parameter!$K$5,Parameter!$K$6+Parameter!$K$7)-(AO1281-AK1281))/AK1281)))</f>
        <v/>
      </c>
      <c r="AQ1281" s="55">
        <f>IF(LEFT(Cockpit!$O$5,1)="A",G1281,IF(BT1281=1,BU1281,IF(LEFT(Cockpit!$O$5,1)="B",AU1281,MAX(AU1281,G1281))))</f>
        <v/>
      </c>
      <c r="AR1281" s="55">
        <f>IF(BO1281=1,0,ROUNDUP(AQ1281/BN1281,0))</f>
        <v/>
      </c>
      <c r="AS1281" s="64">
        <f>IF(BO1281=1,IF(AQ1281&lt;=0,0,BP1281*MAX(1,IF(G1281&gt;0,AQ1281/G1281,1))),AR1281*Q1281)</f>
        <v/>
      </c>
      <c r="AT1281" s="55">
        <f>AQ1281*F1281</f>
        <v/>
      </c>
      <c r="AU1281" s="55">
        <f>ROUNDUP(MAX(I1281/IF(BS1281&gt;0,BS1281,MAX(0.1,N(Cockpit!$O$6))),BV1281)/BN1281,0)*BN1281</f>
        <v/>
      </c>
      <c r="AV1281" s="56">
        <f>IF(AS1281&gt;0,I1281/AS1281,-1)</f>
        <v/>
      </c>
      <c r="AW1281" s="56">
        <f>IF(AND(OR(BR1281="L1",BR1281="L23"),AS1281&gt;0),SUMIFS($AS$7:$AS$1570,$BR$7:$BR$1570,BR1281,$AV$7:$AV$1570,"&gt;"&amp;AV1281)+SUMIFS($AS$7:$AS$1570,$BR$7:$BR$1570,BR1281,$AV$7:$AV$1570,AV1281,$BL$7:$BL$1570,"&lt;="&amp;BL1281),"")</f>
        <v/>
      </c>
      <c r="AX1281" s="65">
        <f>IF(AW1281="",0,MAX(0,MIN(1,(IF(BR1281="L1",Parameter!$K$5,Parameter!$K$6+Parameter!$K$7)-(AW1281-AS1281))/AS1281)))</f>
        <v/>
      </c>
      <c r="AY1281" s="53">
        <f>IF(AC1281&lt;=0,"",IF(BR1281="Aussen","Aussenlager",IF(BR1281="-","Nicht im Lift",IF(AH1281&gt;=1,"Lift",IF(AH1281&lt;=0,"Aussenlager","teilweise")))))</f>
        <v/>
      </c>
      <c r="AZ1281" s="53">
        <f>IF(AK1281&lt;=0,"",IF(BR1281="Aussen","Aussenlager",IF(BR1281="-","Nicht im Lift",IF(AP1281&gt;=1,"Lift",IF(AP1281&lt;=0,"Aussenlager","teilweise")))))</f>
        <v/>
      </c>
      <c r="BA1281" s="53">
        <f>IF(AS1281&lt;=0,"",IF(BR1281="Aussen","Aussenlager",IF(BR1281="-","Nicht im Lift",IF(AX1281&gt;=1,"Lift",IF(AX1281&lt;=0,"Aussenlager","teilweise")))))</f>
        <v/>
      </c>
      <c r="BB1281" s="53">
        <f>IF(A1281="","",IF(BK1281=1,"Neu; ","")&amp;IF(AND(BK1281=0,BF1281&lt;0),"negativer Bestand (Export "&amp;BF1281&amp;"); ","")&amp;IF(I1281&lt;=0,"Kein Verbrauch; ","")&amp;IF(BO1281=1,"Lose – Fläche geschätzt; ","")&amp;IF(G1281&gt;AM1281,"Überbestand "&amp;ROUND(G1281-AM1281,0)&amp;" Stk / CHF "&amp;ROUND((G1281-AM1281)*F1281,0)&amp;"; ","")&amp;IF(AND(BT1281=1,BU1281&lt;BV1281),"MAX &lt; MB+LG; ","")&amp;IF(AND(BZ1281&gt;0,BY1281*10&gt;BZ1281),"zu hoch für Tablar; ","")&amp;IF(AND(BK1281=0,OR(BT1281=1,V1281&lt;&gt;"",S1281&lt;&gt;"",T1281&lt;&gt;"",W1281&lt;&gt;"")),"manuell übersteuert; ","")&amp;IF(AND(BO1281=0,Q1281=0),"Gebinde unbekannt; ","")&amp;IF(AND(BO1281=0,N(T1281)&lt;=0,N(P1281)&lt;=0),"Menge pro Gebinde fehlt (Ist = 1 Gebinde); ","")&amp;BJ1281)</f>
        <v/>
      </c>
      <c r="BC1281" s="53" t="n"/>
      <c r="BD1281" s="53" t="n"/>
      <c r="BE1281" s="61" t="n"/>
      <c r="BF1281" s="55" t="n">
        <v>-7</v>
      </c>
      <c r="BG1281" s="55" t="n">
        <v>176</v>
      </c>
      <c r="BH1281" s="54" t="n">
        <v>-1038.45</v>
      </c>
      <c r="BI1281" s="55" t="n">
        <v>4</v>
      </c>
      <c r="BJ1281" s="53" t="inlineStr">
        <is>
          <t>i.o</t>
        </is>
      </c>
      <c r="BK1281" s="58" t="n">
        <v>0</v>
      </c>
      <c r="BL1281" s="58" t="n">
        <v>1281</v>
      </c>
      <c r="BM1281" s="53">
        <f>IF(S1281&lt;&gt;"",UPPER(TRIM(S1281)),IF(O1281="","LOSE",O1281))</f>
        <v/>
      </c>
      <c r="BN1281" s="55">
        <f>IF(BM1281="LOSE",1,IF(N(T1281)&gt;0,T1281,IF(N(P1281)&gt;0,P1281,MAX(1,G1281))))</f>
        <v/>
      </c>
      <c r="BO1281" s="58">
        <f>IF(BM1281="LOSE",1,0)</f>
        <v/>
      </c>
      <c r="BP1281" s="64">
        <f>IF(BO1281=0,0,IF(N(R1281)&gt;0,R1281,IFERROR(VLOOKUP(D1281,Parameter!$A$35:$C$64,3,0)+0,0)))</f>
        <v/>
      </c>
      <c r="BQ1281" s="53">
        <f>IF(V1281&lt;&gt;"",V1281,U1281)</f>
        <v/>
      </c>
      <c r="BR1281" s="53">
        <f>IF(BQ1281=1,"L1",IF(OR(BQ1281=2,BQ1281=3),"L23",IF(BQ1281="Aussen","Aussen","-")))</f>
        <v/>
      </c>
      <c r="BS1281" s="66">
        <f>IF(N(W1281)&gt;0,W1281,0)</f>
        <v/>
      </c>
      <c r="BT1281" s="58">
        <f>IF(ISNUMBER(Z1281),1,0)</f>
        <v/>
      </c>
      <c r="BU1281" s="55">
        <f>N(Z1281)</f>
        <v/>
      </c>
      <c r="BV1281" s="55">
        <f>N(L1281)+N(M1281)</f>
        <v/>
      </c>
      <c r="BW1281" s="55">
        <f>ROUNDUP(G1281/BN1281,0)</f>
        <v/>
      </c>
      <c r="BX1281" s="55">
        <f>ROUNDUP(BU1281/BN1281,0)</f>
        <v/>
      </c>
      <c r="BY1281" s="58">
        <f>IF(BO1281=1,0,IFERROR(VLOOKUP(BM1281,'Gebinde-Kategorie'!$A$5:$G$45,5,0)+0,0))</f>
        <v/>
      </c>
      <c r="BZ1281" s="58">
        <f>IFERROR(IF(OR(BQ1281=1,BQ1281=2,BQ1281=3),N(INDEX(Parameter!$I$5:$I$7,BQ1281)),0),0)</f>
        <v/>
      </c>
    </row>
    <row r="1282">
      <c r="A1282" s="53" t="inlineStr">
        <is>
          <t>109323</t>
        </is>
      </c>
      <c r="B1282" s="53" t="inlineStr">
        <is>
          <t>Set bedruckte Einlagen SPGr16 SVC 1</t>
        </is>
      </c>
      <c r="C1282" s="53" t="inlineStr">
        <is>
          <t>G</t>
        </is>
      </c>
      <c r="D1282" s="53" t="inlineStr">
        <is>
          <t>PAL</t>
        </is>
      </c>
      <c r="E1282" s="53" t="inlineStr">
        <is>
          <t>C</t>
        </is>
      </c>
      <c r="F1282" s="54" t="n">
        <v>52</v>
      </c>
      <c r="G1282" s="55">
        <f>MAX(0,IF(Parameter!$B$20="Jahresanfang 2025 + Export",BG1282+BF1282,BF1282))</f>
        <v/>
      </c>
      <c r="H1282" s="55">
        <f>G1282*F1282</f>
        <v/>
      </c>
      <c r="I1282" s="55">
        <f>BI1282*Parameter!$B$18</f>
        <v/>
      </c>
      <c r="J1282" s="56" t="n">
        <v>10</v>
      </c>
      <c r="K1282" s="57" t="n">
        <v>0</v>
      </c>
      <c r="L1282" s="55" t="n">
        <v>0</v>
      </c>
      <c r="M1282" s="55" t="n">
        <v>1</v>
      </c>
      <c r="N1282" s="58" t="n">
        <v>56</v>
      </c>
      <c r="O1282" s="53" t="inlineStr">
        <is>
          <t>LOSE</t>
        </is>
      </c>
      <c r="P1282" s="55" t="n"/>
      <c r="Q1282" s="59">
        <f>IF(BO1282=1,0,IFERROR(VLOOKUP(BM1282,'Gebinde-Kategorie'!$A$5:$G$45,6,0)+0,0))</f>
        <v/>
      </c>
      <c r="R1282" s="60" t="n"/>
      <c r="S1282" s="61" t="n"/>
      <c r="T1282" s="61" t="n"/>
      <c r="U1282" s="53">
        <f>IF(A1282="","",IF(IFERROR(VLOOKUP(D1282,Parameter!$A$35:$C$64,2,0),"Nein")="2+3",IF(ISNUMBER(SEARCH("grosser Artikel",BJ1282)),2,IFERROR(VLOOKUP(BM1282,Parameter!$F$35:$G$64,2,0),2)),IF(OR(IFERROR(VLOOKUP(D1282,Parameter!$A$35:$C$64,2,0),"Nein")="Nein",IFERROR(VLOOKUP(D1282,Parameter!$A$35:$C$64,2,0),"Nein")=""),"-",VLOOKUP(D1282,Parameter!$A$35:$C$64,2,0))))</f>
        <v/>
      </c>
      <c r="V1282" s="61" t="n"/>
      <c r="W1282" s="62" t="n"/>
      <c r="X1282" s="55">
        <f>AM1282</f>
        <v/>
      </c>
      <c r="Y1282" s="55">
        <f>MAX(AM1282,G1282)</f>
        <v/>
      </c>
      <c r="Z1282" s="63" t="n"/>
      <c r="AA1282" s="55">
        <f>IF(LEFT(Cockpit!$C$5,1)="A",G1282,IF(BT1282=1,BU1282,IF(LEFT(Cockpit!$C$5,1)="B",AE1282,MAX(AE1282,G1282))))</f>
        <v/>
      </c>
      <c r="AB1282" s="55">
        <f>IF(BO1282=1,0,ROUNDUP(AA1282/BN1282,0))</f>
        <v/>
      </c>
      <c r="AC1282" s="64">
        <f>IF(BO1282=1,IF(AA1282&lt;=0,0,BP1282*MAX(1,IF(G1282&gt;0,AA1282/G1282,1))),AB1282*Q1282)</f>
        <v/>
      </c>
      <c r="AD1282" s="55">
        <f>AA1282*F1282</f>
        <v/>
      </c>
      <c r="AE1282" s="55">
        <f>ROUNDUP(MAX(I1282/IF(BS1282&gt;0,BS1282,MAX(0.1,N(Cockpit!$C$6))),BV1282)/BN1282,0)*BN1282</f>
        <v/>
      </c>
      <c r="AF1282" s="56">
        <f>IF(AC1282&gt;0,I1282/AC1282,-1)</f>
        <v/>
      </c>
      <c r="AG1282" s="56">
        <f>IF(AND(OR(BR1282="L1",BR1282="L23"),AC1282&gt;0),SUMIFS($AC$7:$AC$1570,$BR$7:$BR$1570,BR1282,$AF$7:$AF$1570,"&gt;"&amp;AF1282)+SUMIFS($AC$7:$AC$1570,$BR$7:$BR$1570,BR1282,$AF$7:$AF$1570,AF1282,$BL$7:$BL$1570,"&lt;="&amp;BL1282),"")</f>
        <v/>
      </c>
      <c r="AH1282" s="65">
        <f>IF(AG1282="",0,MAX(0,MIN(1,(IF(BR1282="L1",Parameter!$K$5,Parameter!$K$6+Parameter!$K$7)-(AG1282-AC1282))/AC1282)))</f>
        <v/>
      </c>
      <c r="AI1282" s="55">
        <f>IF(LEFT(Cockpit!$I$5,1)="A",G1282,IF(BT1282=1,BU1282,IF(LEFT(Cockpit!$I$5,1)="B",AM1282,MAX(AM1282,G1282))))</f>
        <v/>
      </c>
      <c r="AJ1282" s="55">
        <f>IF(BO1282=1,0,ROUNDUP(AI1282/BN1282,0))</f>
        <v/>
      </c>
      <c r="AK1282" s="64">
        <f>IF(BO1282=1,IF(AI1282&lt;=0,0,BP1282*MAX(1,IF(G1282&gt;0,AI1282/G1282,1))),AJ1282*Q1282)</f>
        <v/>
      </c>
      <c r="AL1282" s="55">
        <f>AI1282*F1282</f>
        <v/>
      </c>
      <c r="AM1282" s="55">
        <f>ROUNDUP(MAX(I1282/IF(BS1282&gt;0,BS1282,MAX(0.1,N(Cockpit!$I$6))),BV1282)/BN1282,0)*BN1282</f>
        <v/>
      </c>
      <c r="AN1282" s="56">
        <f>IF(AK1282&gt;0,I1282/AK1282,-1)</f>
        <v/>
      </c>
      <c r="AO1282" s="56">
        <f>IF(AND(OR(BR1282="L1",BR1282="L23"),AK1282&gt;0),SUMIFS($AK$7:$AK$1570,$BR$7:$BR$1570,BR1282,$AN$7:$AN$1570,"&gt;"&amp;AN1282)+SUMIFS($AK$7:$AK$1570,$BR$7:$BR$1570,BR1282,$AN$7:$AN$1570,AN1282,$BL$7:$BL$1570,"&lt;="&amp;BL1282),"")</f>
        <v/>
      </c>
      <c r="AP1282" s="65">
        <f>IF(AO1282="",0,MAX(0,MIN(1,(IF(BR1282="L1",Parameter!$K$5,Parameter!$K$6+Parameter!$K$7)-(AO1282-AK1282))/AK1282)))</f>
        <v/>
      </c>
      <c r="AQ1282" s="55">
        <f>IF(LEFT(Cockpit!$O$5,1)="A",G1282,IF(BT1282=1,BU1282,IF(LEFT(Cockpit!$O$5,1)="B",AU1282,MAX(AU1282,G1282))))</f>
        <v/>
      </c>
      <c r="AR1282" s="55">
        <f>IF(BO1282=1,0,ROUNDUP(AQ1282/BN1282,0))</f>
        <v/>
      </c>
      <c r="AS1282" s="64">
        <f>IF(BO1282=1,IF(AQ1282&lt;=0,0,BP1282*MAX(1,IF(G1282&gt;0,AQ1282/G1282,1))),AR1282*Q1282)</f>
        <v/>
      </c>
      <c r="AT1282" s="55">
        <f>AQ1282*F1282</f>
        <v/>
      </c>
      <c r="AU1282" s="55">
        <f>ROUNDUP(MAX(I1282/IF(BS1282&gt;0,BS1282,MAX(0.1,N(Cockpit!$O$6))),BV1282)/BN1282,0)*BN1282</f>
        <v/>
      </c>
      <c r="AV1282" s="56">
        <f>IF(AS1282&gt;0,I1282/AS1282,-1)</f>
        <v/>
      </c>
      <c r="AW1282" s="56">
        <f>IF(AND(OR(BR1282="L1",BR1282="L23"),AS1282&gt;0),SUMIFS($AS$7:$AS$1570,$BR$7:$BR$1570,BR1282,$AV$7:$AV$1570,"&gt;"&amp;AV1282)+SUMIFS($AS$7:$AS$1570,$BR$7:$BR$1570,BR1282,$AV$7:$AV$1570,AV1282,$BL$7:$BL$1570,"&lt;="&amp;BL1282),"")</f>
        <v/>
      </c>
      <c r="AX1282" s="65">
        <f>IF(AW1282="",0,MAX(0,MIN(1,(IF(BR1282="L1",Parameter!$K$5,Parameter!$K$6+Parameter!$K$7)-(AW1282-AS1282))/AS1282)))</f>
        <v/>
      </c>
      <c r="AY1282" s="53">
        <f>IF(AC1282&lt;=0,"",IF(BR1282="Aussen","Aussenlager",IF(BR1282="-","Nicht im Lift",IF(AH1282&gt;=1,"Lift",IF(AH1282&lt;=0,"Aussenlager","teilweise")))))</f>
        <v/>
      </c>
      <c r="AZ1282" s="53">
        <f>IF(AK1282&lt;=0,"",IF(BR1282="Aussen","Aussenlager",IF(BR1282="-","Nicht im Lift",IF(AP1282&gt;=1,"Lift",IF(AP1282&lt;=0,"Aussenlager","teilweise")))))</f>
        <v/>
      </c>
      <c r="BA1282" s="53">
        <f>IF(AS1282&lt;=0,"",IF(BR1282="Aussen","Aussenlager",IF(BR1282="-","Nicht im Lift",IF(AX1282&gt;=1,"Lift",IF(AX1282&lt;=0,"Aussenlager","teilweise")))))</f>
        <v/>
      </c>
      <c r="BB1282" s="53">
        <f>IF(A1282="","",IF(BK1282=1,"Neu; ","")&amp;IF(AND(BK1282=0,BF1282&lt;0),"negativer Bestand (Export "&amp;BF1282&amp;"); ","")&amp;IF(I1282&lt;=0,"Kein Verbrauch; ","")&amp;IF(BO1282=1,"Lose – Fläche geschätzt; ","")&amp;IF(G1282&gt;AM1282,"Überbestand "&amp;ROUND(G1282-AM1282,0)&amp;" Stk / CHF "&amp;ROUND((G1282-AM1282)*F1282,0)&amp;"; ","")&amp;IF(AND(BT1282=1,BU1282&lt;BV1282),"MAX &lt; MB+LG; ","")&amp;IF(AND(BZ1282&gt;0,BY1282*10&gt;BZ1282),"zu hoch für Tablar; ","")&amp;IF(AND(BK1282=0,OR(BT1282=1,V1282&lt;&gt;"",S1282&lt;&gt;"",T1282&lt;&gt;"",W1282&lt;&gt;"")),"manuell übersteuert; ","")&amp;IF(AND(BO1282=0,Q1282=0),"Gebinde unbekannt; ","")&amp;IF(AND(BO1282=0,N(T1282)&lt;=0,N(P1282)&lt;=0),"Menge pro Gebinde fehlt (Ist = 1 Gebinde); ","")&amp;BJ1282)</f>
        <v/>
      </c>
      <c r="BC1282" s="53" t="n"/>
      <c r="BD1282" s="53" t="n"/>
      <c r="BE1282" s="61" t="n"/>
      <c r="BF1282" s="55" t="n">
        <v>-20</v>
      </c>
      <c r="BG1282" s="55" t="n">
        <v>20</v>
      </c>
      <c r="BH1282" s="54" t="n">
        <v>-1040</v>
      </c>
      <c r="BI1282" s="55" t="n">
        <v>0</v>
      </c>
      <c r="BJ1282" s="53" t="inlineStr"/>
      <c r="BK1282" s="58" t="n">
        <v>0</v>
      </c>
      <c r="BL1282" s="58" t="n">
        <v>1282</v>
      </c>
      <c r="BM1282" s="53">
        <f>IF(S1282&lt;&gt;"",UPPER(TRIM(S1282)),IF(O1282="","LOSE",O1282))</f>
        <v/>
      </c>
      <c r="BN1282" s="55">
        <f>IF(BM1282="LOSE",1,IF(N(T1282)&gt;0,T1282,IF(N(P1282)&gt;0,P1282,MAX(1,G1282))))</f>
        <v/>
      </c>
      <c r="BO1282" s="58">
        <f>IF(BM1282="LOSE",1,0)</f>
        <v/>
      </c>
      <c r="BP1282" s="64">
        <f>IF(BO1282=0,0,IF(N(R1282)&gt;0,R1282,IFERROR(VLOOKUP(D1282,Parameter!$A$35:$C$64,3,0)+0,0)))</f>
        <v/>
      </c>
      <c r="BQ1282" s="53">
        <f>IF(V1282&lt;&gt;"",V1282,U1282)</f>
        <v/>
      </c>
      <c r="BR1282" s="53">
        <f>IF(BQ1282=1,"L1",IF(OR(BQ1282=2,BQ1282=3),"L23",IF(BQ1282="Aussen","Aussen","-")))</f>
        <v/>
      </c>
      <c r="BS1282" s="66">
        <f>IF(N(W1282)&gt;0,W1282,0)</f>
        <v/>
      </c>
      <c r="BT1282" s="58">
        <f>IF(ISNUMBER(Z1282),1,0)</f>
        <v/>
      </c>
      <c r="BU1282" s="55">
        <f>N(Z1282)</f>
        <v/>
      </c>
      <c r="BV1282" s="55">
        <f>N(L1282)+N(M1282)</f>
        <v/>
      </c>
      <c r="BW1282" s="55">
        <f>ROUNDUP(G1282/BN1282,0)</f>
        <v/>
      </c>
      <c r="BX1282" s="55">
        <f>ROUNDUP(BU1282/BN1282,0)</f>
        <v/>
      </c>
      <c r="BY1282" s="58">
        <f>IF(BO1282=1,0,IFERROR(VLOOKUP(BM1282,'Gebinde-Kategorie'!$A$5:$G$45,5,0)+0,0))</f>
        <v/>
      </c>
      <c r="BZ1282" s="58">
        <f>IFERROR(IF(OR(BQ1282=1,BQ1282=2,BQ1282=3),N(INDEX(Parameter!$I$5:$I$7,BQ1282)),0),0)</f>
        <v/>
      </c>
    </row>
    <row r="1283">
      <c r="A1283" s="53" t="inlineStr">
        <is>
          <t>108357</t>
        </is>
      </c>
      <c r="B1283" s="53" t="inlineStr">
        <is>
          <t>PTFE-Schlauch DN6</t>
        </is>
      </c>
      <c r="C1283" s="53" t="inlineStr">
        <is>
          <t>G</t>
        </is>
      </c>
      <c r="D1283" s="53" t="inlineStr">
        <is>
          <t>PAL</t>
        </is>
      </c>
      <c r="E1283" s="53" t="inlineStr">
        <is>
          <t>C</t>
        </is>
      </c>
      <c r="F1283" s="54" t="n">
        <v>522</v>
      </c>
      <c r="G1283" s="55">
        <f>MAX(0,IF(Parameter!$B$20="Jahresanfang 2025 + Export",BG1283+BF1283,BF1283))</f>
        <v/>
      </c>
      <c r="H1283" s="55">
        <f>G1283*F1283</f>
        <v/>
      </c>
      <c r="I1283" s="55">
        <f>BI1283*Parameter!$B$18</f>
        <v/>
      </c>
      <c r="J1283" s="56" t="n">
        <v>2</v>
      </c>
      <c r="K1283" s="57" t="n">
        <v>0</v>
      </c>
      <c r="L1283" s="55" t="n">
        <v>0</v>
      </c>
      <c r="M1283" s="55" t="n">
        <v>1</v>
      </c>
      <c r="N1283" s="58" t="n">
        <v>35</v>
      </c>
      <c r="O1283" s="53" t="inlineStr">
        <is>
          <t>LOSE</t>
        </is>
      </c>
      <c r="P1283" s="55" t="n"/>
      <c r="Q1283" s="59">
        <f>IF(BO1283=1,0,IFERROR(VLOOKUP(BM1283,'Gebinde-Kategorie'!$A$5:$G$45,6,0)+0,0))</f>
        <v/>
      </c>
      <c r="R1283" s="60" t="n"/>
      <c r="S1283" s="61" t="n"/>
      <c r="T1283" s="61" t="n"/>
      <c r="U1283" s="53">
        <f>IF(A1283="","",IF(IFERROR(VLOOKUP(D1283,Parameter!$A$35:$C$64,2,0),"Nein")="2+3",IF(ISNUMBER(SEARCH("grosser Artikel",BJ1283)),2,IFERROR(VLOOKUP(BM1283,Parameter!$F$35:$G$64,2,0),2)),IF(OR(IFERROR(VLOOKUP(D1283,Parameter!$A$35:$C$64,2,0),"Nein")="Nein",IFERROR(VLOOKUP(D1283,Parameter!$A$35:$C$64,2,0),"Nein")=""),"-",VLOOKUP(D1283,Parameter!$A$35:$C$64,2,0))))</f>
        <v/>
      </c>
      <c r="V1283" s="61" t="n"/>
      <c r="W1283" s="62" t="n"/>
      <c r="X1283" s="55">
        <f>AM1283</f>
        <v/>
      </c>
      <c r="Y1283" s="55">
        <f>MAX(AM1283,G1283)</f>
        <v/>
      </c>
      <c r="Z1283" s="63" t="n"/>
      <c r="AA1283" s="55">
        <f>IF(LEFT(Cockpit!$C$5,1)="A",G1283,IF(BT1283=1,BU1283,IF(LEFT(Cockpit!$C$5,1)="B",AE1283,MAX(AE1283,G1283))))</f>
        <v/>
      </c>
      <c r="AB1283" s="55">
        <f>IF(BO1283=1,0,ROUNDUP(AA1283/BN1283,0))</f>
        <v/>
      </c>
      <c r="AC1283" s="64">
        <f>IF(BO1283=1,IF(AA1283&lt;=0,0,BP1283*MAX(1,IF(G1283&gt;0,AA1283/G1283,1))),AB1283*Q1283)</f>
        <v/>
      </c>
      <c r="AD1283" s="55">
        <f>AA1283*F1283</f>
        <v/>
      </c>
      <c r="AE1283" s="55">
        <f>ROUNDUP(MAX(I1283/IF(BS1283&gt;0,BS1283,MAX(0.1,N(Cockpit!$C$6))),BV1283)/BN1283,0)*BN1283</f>
        <v/>
      </c>
      <c r="AF1283" s="56">
        <f>IF(AC1283&gt;0,I1283/AC1283,-1)</f>
        <v/>
      </c>
      <c r="AG1283" s="56">
        <f>IF(AND(OR(BR1283="L1",BR1283="L23"),AC1283&gt;0),SUMIFS($AC$7:$AC$1570,$BR$7:$BR$1570,BR1283,$AF$7:$AF$1570,"&gt;"&amp;AF1283)+SUMIFS($AC$7:$AC$1570,$BR$7:$BR$1570,BR1283,$AF$7:$AF$1570,AF1283,$BL$7:$BL$1570,"&lt;="&amp;BL1283),"")</f>
        <v/>
      </c>
      <c r="AH1283" s="65">
        <f>IF(AG1283="",0,MAX(0,MIN(1,(IF(BR1283="L1",Parameter!$K$5,Parameter!$K$6+Parameter!$K$7)-(AG1283-AC1283))/AC1283)))</f>
        <v/>
      </c>
      <c r="AI1283" s="55">
        <f>IF(LEFT(Cockpit!$I$5,1)="A",G1283,IF(BT1283=1,BU1283,IF(LEFT(Cockpit!$I$5,1)="B",AM1283,MAX(AM1283,G1283))))</f>
        <v/>
      </c>
      <c r="AJ1283" s="55">
        <f>IF(BO1283=1,0,ROUNDUP(AI1283/BN1283,0))</f>
        <v/>
      </c>
      <c r="AK1283" s="64">
        <f>IF(BO1283=1,IF(AI1283&lt;=0,0,BP1283*MAX(1,IF(G1283&gt;0,AI1283/G1283,1))),AJ1283*Q1283)</f>
        <v/>
      </c>
      <c r="AL1283" s="55">
        <f>AI1283*F1283</f>
        <v/>
      </c>
      <c r="AM1283" s="55">
        <f>ROUNDUP(MAX(I1283/IF(BS1283&gt;0,BS1283,MAX(0.1,N(Cockpit!$I$6))),BV1283)/BN1283,0)*BN1283</f>
        <v/>
      </c>
      <c r="AN1283" s="56">
        <f>IF(AK1283&gt;0,I1283/AK1283,-1)</f>
        <v/>
      </c>
      <c r="AO1283" s="56">
        <f>IF(AND(OR(BR1283="L1",BR1283="L23"),AK1283&gt;0),SUMIFS($AK$7:$AK$1570,$BR$7:$BR$1570,BR1283,$AN$7:$AN$1570,"&gt;"&amp;AN1283)+SUMIFS($AK$7:$AK$1570,$BR$7:$BR$1570,BR1283,$AN$7:$AN$1570,AN1283,$BL$7:$BL$1570,"&lt;="&amp;BL1283),"")</f>
        <v/>
      </c>
      <c r="AP1283" s="65">
        <f>IF(AO1283="",0,MAX(0,MIN(1,(IF(BR1283="L1",Parameter!$K$5,Parameter!$K$6+Parameter!$K$7)-(AO1283-AK1283))/AK1283)))</f>
        <v/>
      </c>
      <c r="AQ1283" s="55">
        <f>IF(LEFT(Cockpit!$O$5,1)="A",G1283,IF(BT1283=1,BU1283,IF(LEFT(Cockpit!$O$5,1)="B",AU1283,MAX(AU1283,G1283))))</f>
        <v/>
      </c>
      <c r="AR1283" s="55">
        <f>IF(BO1283=1,0,ROUNDUP(AQ1283/BN1283,0))</f>
        <v/>
      </c>
      <c r="AS1283" s="64">
        <f>IF(BO1283=1,IF(AQ1283&lt;=0,0,BP1283*MAX(1,IF(G1283&gt;0,AQ1283/G1283,1))),AR1283*Q1283)</f>
        <v/>
      </c>
      <c r="AT1283" s="55">
        <f>AQ1283*F1283</f>
        <v/>
      </c>
      <c r="AU1283" s="55">
        <f>ROUNDUP(MAX(I1283/IF(BS1283&gt;0,BS1283,MAX(0.1,N(Cockpit!$O$6))),BV1283)/BN1283,0)*BN1283</f>
        <v/>
      </c>
      <c r="AV1283" s="56">
        <f>IF(AS1283&gt;0,I1283/AS1283,-1)</f>
        <v/>
      </c>
      <c r="AW1283" s="56">
        <f>IF(AND(OR(BR1283="L1",BR1283="L23"),AS1283&gt;0),SUMIFS($AS$7:$AS$1570,$BR$7:$BR$1570,BR1283,$AV$7:$AV$1570,"&gt;"&amp;AV1283)+SUMIFS($AS$7:$AS$1570,$BR$7:$BR$1570,BR1283,$AV$7:$AV$1570,AV1283,$BL$7:$BL$1570,"&lt;="&amp;BL1283),"")</f>
        <v/>
      </c>
      <c r="AX1283" s="65">
        <f>IF(AW1283="",0,MAX(0,MIN(1,(IF(BR1283="L1",Parameter!$K$5,Parameter!$K$6+Parameter!$K$7)-(AW1283-AS1283))/AS1283)))</f>
        <v/>
      </c>
      <c r="AY1283" s="53">
        <f>IF(AC1283&lt;=0,"",IF(BR1283="Aussen","Aussenlager",IF(BR1283="-","Nicht im Lift",IF(AH1283&gt;=1,"Lift",IF(AH1283&lt;=0,"Aussenlager","teilweise")))))</f>
        <v/>
      </c>
      <c r="AZ1283" s="53">
        <f>IF(AK1283&lt;=0,"",IF(BR1283="Aussen","Aussenlager",IF(BR1283="-","Nicht im Lift",IF(AP1283&gt;=1,"Lift",IF(AP1283&lt;=0,"Aussenlager","teilweise")))))</f>
        <v/>
      </c>
      <c r="BA1283" s="53">
        <f>IF(AS1283&lt;=0,"",IF(BR1283="Aussen","Aussenlager",IF(BR1283="-","Nicht im Lift",IF(AX1283&gt;=1,"Lift",IF(AX1283&lt;=0,"Aussenlager","teilweise")))))</f>
        <v/>
      </c>
      <c r="BB1283" s="53">
        <f>IF(A1283="","",IF(BK1283=1,"Neu; ","")&amp;IF(AND(BK1283=0,BF1283&lt;0),"negativer Bestand (Export "&amp;BF1283&amp;"); ","")&amp;IF(I1283&lt;=0,"Kein Verbrauch; ","")&amp;IF(BO1283=1,"Lose – Fläche geschätzt; ","")&amp;IF(G1283&gt;AM1283,"Überbestand "&amp;ROUND(G1283-AM1283,0)&amp;" Stk / CHF "&amp;ROUND((G1283-AM1283)*F1283,0)&amp;"; ","")&amp;IF(AND(BT1283=1,BU1283&lt;BV1283),"MAX &lt; MB+LG; ","")&amp;IF(AND(BZ1283&gt;0,BY1283*10&gt;BZ1283),"zu hoch für Tablar; ","")&amp;IF(AND(BK1283=0,OR(BT1283=1,V1283&lt;&gt;"",S1283&lt;&gt;"",T1283&lt;&gt;"",W1283&lt;&gt;"")),"manuell übersteuert; ","")&amp;IF(AND(BO1283=0,Q1283=0),"Gebinde unbekannt; ","")&amp;IF(AND(BO1283=0,N(T1283)&lt;=0,N(P1283)&lt;=0),"Menge pro Gebinde fehlt (Ist = 1 Gebinde); ","")&amp;BJ1283)</f>
        <v/>
      </c>
      <c r="BC1283" s="53" t="n"/>
      <c r="BD1283" s="53" t="n"/>
      <c r="BE1283" s="61" t="n"/>
      <c r="BF1283" s="55" t="n">
        <v>-2</v>
      </c>
      <c r="BG1283" s="55" t="n">
        <v>2</v>
      </c>
      <c r="BH1283" s="54" t="n">
        <v>-1044</v>
      </c>
      <c r="BI1283" s="55" t="n">
        <v>0</v>
      </c>
      <c r="BJ1283" s="53" t="inlineStr"/>
      <c r="BK1283" s="58" t="n">
        <v>0</v>
      </c>
      <c r="BL1283" s="58" t="n">
        <v>1283</v>
      </c>
      <c r="BM1283" s="53">
        <f>IF(S1283&lt;&gt;"",UPPER(TRIM(S1283)),IF(O1283="","LOSE",O1283))</f>
        <v/>
      </c>
      <c r="BN1283" s="55">
        <f>IF(BM1283="LOSE",1,IF(N(T1283)&gt;0,T1283,IF(N(P1283)&gt;0,P1283,MAX(1,G1283))))</f>
        <v/>
      </c>
      <c r="BO1283" s="58">
        <f>IF(BM1283="LOSE",1,0)</f>
        <v/>
      </c>
      <c r="BP1283" s="64">
        <f>IF(BO1283=0,0,IF(N(R1283)&gt;0,R1283,IFERROR(VLOOKUP(D1283,Parameter!$A$35:$C$64,3,0)+0,0)))</f>
        <v/>
      </c>
      <c r="BQ1283" s="53">
        <f>IF(V1283&lt;&gt;"",V1283,U1283)</f>
        <v/>
      </c>
      <c r="BR1283" s="53">
        <f>IF(BQ1283=1,"L1",IF(OR(BQ1283=2,BQ1283=3),"L23",IF(BQ1283="Aussen","Aussen","-")))</f>
        <v/>
      </c>
      <c r="BS1283" s="66">
        <f>IF(N(W1283)&gt;0,W1283,0)</f>
        <v/>
      </c>
      <c r="BT1283" s="58">
        <f>IF(ISNUMBER(Z1283),1,0)</f>
        <v/>
      </c>
      <c r="BU1283" s="55">
        <f>N(Z1283)</f>
        <v/>
      </c>
      <c r="BV1283" s="55">
        <f>N(L1283)+N(M1283)</f>
        <v/>
      </c>
      <c r="BW1283" s="55">
        <f>ROUNDUP(G1283/BN1283,0)</f>
        <v/>
      </c>
      <c r="BX1283" s="55">
        <f>ROUNDUP(BU1283/BN1283,0)</f>
        <v/>
      </c>
      <c r="BY1283" s="58">
        <f>IF(BO1283=1,0,IFERROR(VLOOKUP(BM1283,'Gebinde-Kategorie'!$A$5:$G$45,5,0)+0,0))</f>
        <v/>
      </c>
      <c r="BZ1283" s="58">
        <f>IFERROR(IF(OR(BQ1283=1,BQ1283=2,BQ1283=3),N(INDEX(Parameter!$I$5:$I$7,BQ1283)),0),0)</f>
        <v/>
      </c>
    </row>
    <row r="1284">
      <c r="A1284" s="53" t="inlineStr">
        <is>
          <t>OC-107737</t>
        </is>
      </c>
      <c r="B1284" s="53" t="inlineStr">
        <is>
          <t>Austrittsdüse SPGr16</t>
        </is>
      </c>
      <c r="C1284" s="53" t="inlineStr">
        <is>
          <t>G</t>
        </is>
      </c>
      <c r="D1284" s="53" t="inlineStr">
        <is>
          <t>OCC</t>
        </is>
      </c>
      <c r="E1284" s="53" t="inlineStr">
        <is>
          <t>C</t>
        </is>
      </c>
      <c r="F1284" s="54" t="n">
        <v>548</v>
      </c>
      <c r="G1284" s="55">
        <f>MAX(0,IF(Parameter!$B$20="Jahresanfang 2025 + Export",BG1284+BF1284,BF1284))</f>
        <v/>
      </c>
      <c r="H1284" s="55">
        <f>G1284*F1284</f>
        <v/>
      </c>
      <c r="I1284" s="55">
        <f>BI1284*Parameter!$B$18</f>
        <v/>
      </c>
      <c r="J1284" s="56" t="n">
        <v>1</v>
      </c>
      <c r="K1284" s="57" t="n">
        <v>0</v>
      </c>
      <c r="L1284" s="55" t="n">
        <v>0</v>
      </c>
      <c r="M1284" s="55" t="n">
        <v>1</v>
      </c>
      <c r="N1284" s="58" t="n">
        <v>0</v>
      </c>
      <c r="O1284" s="53" t="inlineStr">
        <is>
          <t>LOSE</t>
        </is>
      </c>
      <c r="P1284" s="55" t="n"/>
      <c r="Q1284" s="59">
        <f>IF(BO1284=1,0,IFERROR(VLOOKUP(BM1284,'Gebinde-Kategorie'!$A$5:$G$45,6,0)+0,0))</f>
        <v/>
      </c>
      <c r="R1284" s="60" t="n"/>
      <c r="S1284" s="61" t="n"/>
      <c r="T1284" s="61" t="n"/>
      <c r="U1284" s="53">
        <f>IF(A1284="","",IF(IFERROR(VLOOKUP(D1284,Parameter!$A$35:$C$64,2,0),"Nein")="2+3",IF(ISNUMBER(SEARCH("grosser Artikel",BJ1284)),2,IFERROR(VLOOKUP(BM1284,Parameter!$F$35:$G$64,2,0),2)),IF(OR(IFERROR(VLOOKUP(D1284,Parameter!$A$35:$C$64,2,0),"Nein")="Nein",IFERROR(VLOOKUP(D1284,Parameter!$A$35:$C$64,2,0),"Nein")=""),"-",VLOOKUP(D1284,Parameter!$A$35:$C$64,2,0))))</f>
        <v/>
      </c>
      <c r="V1284" s="61" t="n"/>
      <c r="W1284" s="62" t="n"/>
      <c r="X1284" s="55">
        <f>AM1284</f>
        <v/>
      </c>
      <c r="Y1284" s="55">
        <f>MAX(AM1284,G1284)</f>
        <v/>
      </c>
      <c r="Z1284" s="63" t="n"/>
      <c r="AA1284" s="55">
        <f>IF(LEFT(Cockpit!$C$5,1)="A",G1284,IF(BT1284=1,BU1284,IF(LEFT(Cockpit!$C$5,1)="B",AE1284,MAX(AE1284,G1284))))</f>
        <v/>
      </c>
      <c r="AB1284" s="55">
        <f>IF(BO1284=1,0,ROUNDUP(AA1284/BN1284,0))</f>
        <v/>
      </c>
      <c r="AC1284" s="64">
        <f>IF(BO1284=1,IF(AA1284&lt;=0,0,BP1284*MAX(1,IF(G1284&gt;0,AA1284/G1284,1))),AB1284*Q1284)</f>
        <v/>
      </c>
      <c r="AD1284" s="55">
        <f>AA1284*F1284</f>
        <v/>
      </c>
      <c r="AE1284" s="55">
        <f>ROUNDUP(MAX(I1284/IF(BS1284&gt;0,BS1284,MAX(0.1,N(Cockpit!$C$6))),BV1284)/BN1284,0)*BN1284</f>
        <v/>
      </c>
      <c r="AF1284" s="56">
        <f>IF(AC1284&gt;0,I1284/AC1284,-1)</f>
        <v/>
      </c>
      <c r="AG1284" s="56">
        <f>IF(AND(OR(BR1284="L1",BR1284="L23"),AC1284&gt;0),SUMIFS($AC$7:$AC$1570,$BR$7:$BR$1570,BR1284,$AF$7:$AF$1570,"&gt;"&amp;AF1284)+SUMIFS($AC$7:$AC$1570,$BR$7:$BR$1570,BR1284,$AF$7:$AF$1570,AF1284,$BL$7:$BL$1570,"&lt;="&amp;BL1284),"")</f>
        <v/>
      </c>
      <c r="AH1284" s="65">
        <f>IF(AG1284="",0,MAX(0,MIN(1,(IF(BR1284="L1",Parameter!$K$5,Parameter!$K$6+Parameter!$K$7)-(AG1284-AC1284))/AC1284)))</f>
        <v/>
      </c>
      <c r="AI1284" s="55">
        <f>IF(LEFT(Cockpit!$I$5,1)="A",G1284,IF(BT1284=1,BU1284,IF(LEFT(Cockpit!$I$5,1)="B",AM1284,MAX(AM1284,G1284))))</f>
        <v/>
      </c>
      <c r="AJ1284" s="55">
        <f>IF(BO1284=1,0,ROUNDUP(AI1284/BN1284,0))</f>
        <v/>
      </c>
      <c r="AK1284" s="64">
        <f>IF(BO1284=1,IF(AI1284&lt;=0,0,BP1284*MAX(1,IF(G1284&gt;0,AI1284/G1284,1))),AJ1284*Q1284)</f>
        <v/>
      </c>
      <c r="AL1284" s="55">
        <f>AI1284*F1284</f>
        <v/>
      </c>
      <c r="AM1284" s="55">
        <f>ROUNDUP(MAX(I1284/IF(BS1284&gt;0,BS1284,MAX(0.1,N(Cockpit!$I$6))),BV1284)/BN1284,0)*BN1284</f>
        <v/>
      </c>
      <c r="AN1284" s="56">
        <f>IF(AK1284&gt;0,I1284/AK1284,-1)</f>
        <v/>
      </c>
      <c r="AO1284" s="56">
        <f>IF(AND(OR(BR1284="L1",BR1284="L23"),AK1284&gt;0),SUMIFS($AK$7:$AK$1570,$BR$7:$BR$1570,BR1284,$AN$7:$AN$1570,"&gt;"&amp;AN1284)+SUMIFS($AK$7:$AK$1570,$BR$7:$BR$1570,BR1284,$AN$7:$AN$1570,AN1284,$BL$7:$BL$1570,"&lt;="&amp;BL1284),"")</f>
        <v/>
      </c>
      <c r="AP1284" s="65">
        <f>IF(AO1284="",0,MAX(0,MIN(1,(IF(BR1284="L1",Parameter!$K$5,Parameter!$K$6+Parameter!$K$7)-(AO1284-AK1284))/AK1284)))</f>
        <v/>
      </c>
      <c r="AQ1284" s="55">
        <f>IF(LEFT(Cockpit!$O$5,1)="A",G1284,IF(BT1284=1,BU1284,IF(LEFT(Cockpit!$O$5,1)="B",AU1284,MAX(AU1284,G1284))))</f>
        <v/>
      </c>
      <c r="AR1284" s="55">
        <f>IF(BO1284=1,0,ROUNDUP(AQ1284/BN1284,0))</f>
        <v/>
      </c>
      <c r="AS1284" s="64">
        <f>IF(BO1284=1,IF(AQ1284&lt;=0,0,BP1284*MAX(1,IF(G1284&gt;0,AQ1284/G1284,1))),AR1284*Q1284)</f>
        <v/>
      </c>
      <c r="AT1284" s="55">
        <f>AQ1284*F1284</f>
        <v/>
      </c>
      <c r="AU1284" s="55">
        <f>ROUNDUP(MAX(I1284/IF(BS1284&gt;0,BS1284,MAX(0.1,N(Cockpit!$O$6))),BV1284)/BN1284,0)*BN1284</f>
        <v/>
      </c>
      <c r="AV1284" s="56">
        <f>IF(AS1284&gt;0,I1284/AS1284,-1)</f>
        <v/>
      </c>
      <c r="AW1284" s="56">
        <f>IF(AND(OR(BR1284="L1",BR1284="L23"),AS1284&gt;0),SUMIFS($AS$7:$AS$1570,$BR$7:$BR$1570,BR1284,$AV$7:$AV$1570,"&gt;"&amp;AV1284)+SUMIFS($AS$7:$AS$1570,$BR$7:$BR$1570,BR1284,$AV$7:$AV$1570,AV1284,$BL$7:$BL$1570,"&lt;="&amp;BL1284),"")</f>
        <v/>
      </c>
      <c r="AX1284" s="65">
        <f>IF(AW1284="",0,MAX(0,MIN(1,(IF(BR1284="L1",Parameter!$K$5,Parameter!$K$6+Parameter!$K$7)-(AW1284-AS1284))/AS1284)))</f>
        <v/>
      </c>
      <c r="AY1284" s="53">
        <f>IF(AC1284&lt;=0,"",IF(BR1284="Aussen","Aussenlager",IF(BR1284="-","Nicht im Lift",IF(AH1284&gt;=1,"Lift",IF(AH1284&lt;=0,"Aussenlager","teilweise")))))</f>
        <v/>
      </c>
      <c r="AZ1284" s="53">
        <f>IF(AK1284&lt;=0,"",IF(BR1284="Aussen","Aussenlager",IF(BR1284="-","Nicht im Lift",IF(AP1284&gt;=1,"Lift",IF(AP1284&lt;=0,"Aussenlager","teilweise")))))</f>
        <v/>
      </c>
      <c r="BA1284" s="53">
        <f>IF(AS1284&lt;=0,"",IF(BR1284="Aussen","Aussenlager",IF(BR1284="-","Nicht im Lift",IF(AX1284&gt;=1,"Lift",IF(AX1284&lt;=0,"Aussenlager","teilweise")))))</f>
        <v/>
      </c>
      <c r="BB1284" s="53">
        <f>IF(A1284="","",IF(BK1284=1,"Neu; ","")&amp;IF(AND(BK1284=0,BF1284&lt;0),"negativer Bestand (Export "&amp;BF1284&amp;"); ","")&amp;IF(I1284&lt;=0,"Kein Verbrauch; ","")&amp;IF(BO1284=1,"Lose – Fläche geschätzt; ","")&amp;IF(G1284&gt;AM1284,"Überbestand "&amp;ROUND(G1284-AM1284,0)&amp;" Stk / CHF "&amp;ROUND((G1284-AM1284)*F1284,0)&amp;"; ","")&amp;IF(AND(BT1284=1,BU1284&lt;BV1284),"MAX &lt; MB+LG; ","")&amp;IF(AND(BZ1284&gt;0,BY1284*10&gt;BZ1284),"zu hoch für Tablar; ","")&amp;IF(AND(BK1284=0,OR(BT1284=1,V1284&lt;&gt;"",S1284&lt;&gt;"",T1284&lt;&gt;"",W1284&lt;&gt;"")),"manuell übersteuert; ","")&amp;IF(AND(BO1284=0,Q1284=0),"Gebinde unbekannt; ","")&amp;IF(AND(BO1284=0,N(T1284)&lt;=0,N(P1284)&lt;=0),"Menge pro Gebinde fehlt (Ist = 1 Gebinde); ","")&amp;BJ1284)</f>
        <v/>
      </c>
      <c r="BC1284" s="53" t="n"/>
      <c r="BD1284" s="53" t="n"/>
      <c r="BE1284" s="61" t="n"/>
      <c r="BF1284" s="55" t="n">
        <v>-2</v>
      </c>
      <c r="BG1284" s="55" t="n">
        <v>2</v>
      </c>
      <c r="BH1284" s="54" t="n">
        <v>-1096</v>
      </c>
      <c r="BI1284" s="55" t="n">
        <v>0</v>
      </c>
      <c r="BJ1284" s="53" t="inlineStr"/>
      <c r="BK1284" s="58" t="n">
        <v>0</v>
      </c>
      <c r="BL1284" s="58" t="n">
        <v>1284</v>
      </c>
      <c r="BM1284" s="53">
        <f>IF(S1284&lt;&gt;"",UPPER(TRIM(S1284)),IF(O1284="","LOSE",O1284))</f>
        <v/>
      </c>
      <c r="BN1284" s="55">
        <f>IF(BM1284="LOSE",1,IF(N(T1284)&gt;0,T1284,IF(N(P1284)&gt;0,P1284,MAX(1,G1284))))</f>
        <v/>
      </c>
      <c r="BO1284" s="58">
        <f>IF(BM1284="LOSE",1,0)</f>
        <v/>
      </c>
      <c r="BP1284" s="64">
        <f>IF(BO1284=0,0,IF(N(R1284)&gt;0,R1284,IFERROR(VLOOKUP(D1284,Parameter!$A$35:$C$64,3,0)+0,0)))</f>
        <v/>
      </c>
      <c r="BQ1284" s="53">
        <f>IF(V1284&lt;&gt;"",V1284,U1284)</f>
        <v/>
      </c>
      <c r="BR1284" s="53">
        <f>IF(BQ1284=1,"L1",IF(OR(BQ1284=2,BQ1284=3),"L23",IF(BQ1284="Aussen","Aussen","-")))</f>
        <v/>
      </c>
      <c r="BS1284" s="66">
        <f>IF(N(W1284)&gt;0,W1284,0)</f>
        <v/>
      </c>
      <c r="BT1284" s="58">
        <f>IF(ISNUMBER(Z1284),1,0)</f>
        <v/>
      </c>
      <c r="BU1284" s="55">
        <f>N(Z1284)</f>
        <v/>
      </c>
      <c r="BV1284" s="55">
        <f>N(L1284)+N(M1284)</f>
        <v/>
      </c>
      <c r="BW1284" s="55">
        <f>ROUNDUP(G1284/BN1284,0)</f>
        <v/>
      </c>
      <c r="BX1284" s="55">
        <f>ROUNDUP(BU1284/BN1284,0)</f>
        <v/>
      </c>
      <c r="BY1284" s="58">
        <f>IF(BO1284=1,0,IFERROR(VLOOKUP(BM1284,'Gebinde-Kategorie'!$A$5:$G$45,5,0)+0,0))</f>
        <v/>
      </c>
      <c r="BZ1284" s="58">
        <f>IFERROR(IF(OR(BQ1284=1,BQ1284=2,BQ1284=3),N(INDEX(Parameter!$I$5:$I$7,BQ1284)),0),0)</f>
        <v/>
      </c>
    </row>
    <row r="1285">
      <c r="A1285" s="53" t="inlineStr">
        <is>
          <t>005230</t>
        </is>
      </c>
      <c r="B1285" s="53" t="inlineStr">
        <is>
          <t>Sicherheitsventil 40bar, CH4</t>
        </is>
      </c>
      <c r="C1285" s="53" t="inlineStr">
        <is>
          <t>F</t>
        </is>
      </c>
      <c r="D1285" s="53" t="inlineStr">
        <is>
          <t>KTL</t>
        </is>
      </c>
      <c r="E1285" s="53" t="inlineStr">
        <is>
          <t>C</t>
        </is>
      </c>
      <c r="F1285" s="54" t="n">
        <v>114.41</v>
      </c>
      <c r="G1285" s="55">
        <f>MAX(0,IF(Parameter!$B$20="Jahresanfang 2025 + Export",BG1285+BF1285,BF1285))</f>
        <v/>
      </c>
      <c r="H1285" s="55">
        <f>G1285*F1285</f>
        <v/>
      </c>
      <c r="I1285" s="55">
        <f>BI1285*Parameter!$B$18</f>
        <v/>
      </c>
      <c r="J1285" s="56" t="n">
        <v>11.5</v>
      </c>
      <c r="K1285" s="57" t="n">
        <v>0.4347826086956522</v>
      </c>
      <c r="L1285" s="55" t="n">
        <v>0</v>
      </c>
      <c r="M1285" s="55" t="n">
        <v>5</v>
      </c>
      <c r="N1285" s="58" t="n">
        <v>56</v>
      </c>
      <c r="O1285" s="53" t="inlineStr">
        <is>
          <t>S32</t>
        </is>
      </c>
      <c r="P1285" s="55" t="n">
        <v>8</v>
      </c>
      <c r="Q1285" s="59">
        <f>IF(BO1285=1,0,IFERROR(VLOOKUP(BM1285,'Gebinde-Kategorie'!$A$5:$G$45,6,0)+0,0))</f>
        <v/>
      </c>
      <c r="R1285" s="60" t="n"/>
      <c r="S1285" s="61" t="n"/>
      <c r="T1285" s="61" t="n"/>
      <c r="U1285" s="53">
        <f>IF(A1285="","",IF(IFERROR(VLOOKUP(D1285,Parameter!$A$35:$C$64,2,0),"Nein")="2+3",IF(ISNUMBER(SEARCH("grosser Artikel",BJ1285)),2,IFERROR(VLOOKUP(BM1285,Parameter!$F$35:$G$64,2,0),2)),IF(OR(IFERROR(VLOOKUP(D1285,Parameter!$A$35:$C$64,2,0),"Nein")="Nein",IFERROR(VLOOKUP(D1285,Parameter!$A$35:$C$64,2,0),"Nein")=""),"-",VLOOKUP(D1285,Parameter!$A$35:$C$64,2,0))))</f>
        <v/>
      </c>
      <c r="V1285" s="61" t="n"/>
      <c r="W1285" s="62" t="n"/>
      <c r="X1285" s="55">
        <f>AM1285</f>
        <v/>
      </c>
      <c r="Y1285" s="55">
        <f>MAX(AM1285,G1285)</f>
        <v/>
      </c>
      <c r="Z1285" s="63" t="n"/>
      <c r="AA1285" s="55">
        <f>IF(LEFT(Cockpit!$C$5,1)="A",G1285,IF(BT1285=1,BU1285,IF(LEFT(Cockpit!$C$5,1)="B",AE1285,MAX(AE1285,G1285))))</f>
        <v/>
      </c>
      <c r="AB1285" s="55">
        <f>IF(BO1285=1,0,ROUNDUP(AA1285/BN1285,0))</f>
        <v/>
      </c>
      <c r="AC1285" s="64">
        <f>IF(BO1285=1,IF(AA1285&lt;=0,0,BP1285*MAX(1,IF(G1285&gt;0,AA1285/G1285,1))),AB1285*Q1285)</f>
        <v/>
      </c>
      <c r="AD1285" s="55">
        <f>AA1285*F1285</f>
        <v/>
      </c>
      <c r="AE1285" s="55">
        <f>ROUNDUP(MAX(I1285/IF(BS1285&gt;0,BS1285,MAX(0.1,N(Cockpit!$C$6))),BV1285)/BN1285,0)*BN1285</f>
        <v/>
      </c>
      <c r="AF1285" s="56">
        <f>IF(AC1285&gt;0,I1285/AC1285,-1)</f>
        <v/>
      </c>
      <c r="AG1285" s="56">
        <f>IF(AND(OR(BR1285="L1",BR1285="L23"),AC1285&gt;0),SUMIFS($AC$7:$AC$1570,$BR$7:$BR$1570,BR1285,$AF$7:$AF$1570,"&gt;"&amp;AF1285)+SUMIFS($AC$7:$AC$1570,$BR$7:$BR$1570,BR1285,$AF$7:$AF$1570,AF1285,$BL$7:$BL$1570,"&lt;="&amp;BL1285),"")</f>
        <v/>
      </c>
      <c r="AH1285" s="65">
        <f>IF(AG1285="",0,MAX(0,MIN(1,(IF(BR1285="L1",Parameter!$K$5,Parameter!$K$6+Parameter!$K$7)-(AG1285-AC1285))/AC1285)))</f>
        <v/>
      </c>
      <c r="AI1285" s="55">
        <f>IF(LEFT(Cockpit!$I$5,1)="A",G1285,IF(BT1285=1,BU1285,IF(LEFT(Cockpit!$I$5,1)="B",AM1285,MAX(AM1285,G1285))))</f>
        <v/>
      </c>
      <c r="AJ1285" s="55">
        <f>IF(BO1285=1,0,ROUNDUP(AI1285/BN1285,0))</f>
        <v/>
      </c>
      <c r="AK1285" s="64">
        <f>IF(BO1285=1,IF(AI1285&lt;=0,0,BP1285*MAX(1,IF(G1285&gt;0,AI1285/G1285,1))),AJ1285*Q1285)</f>
        <v/>
      </c>
      <c r="AL1285" s="55">
        <f>AI1285*F1285</f>
        <v/>
      </c>
      <c r="AM1285" s="55">
        <f>ROUNDUP(MAX(I1285/IF(BS1285&gt;0,BS1285,MAX(0.1,N(Cockpit!$I$6))),BV1285)/BN1285,0)*BN1285</f>
        <v/>
      </c>
      <c r="AN1285" s="56">
        <f>IF(AK1285&gt;0,I1285/AK1285,-1)</f>
        <v/>
      </c>
      <c r="AO1285" s="56">
        <f>IF(AND(OR(BR1285="L1",BR1285="L23"),AK1285&gt;0),SUMIFS($AK$7:$AK$1570,$BR$7:$BR$1570,BR1285,$AN$7:$AN$1570,"&gt;"&amp;AN1285)+SUMIFS($AK$7:$AK$1570,$BR$7:$BR$1570,BR1285,$AN$7:$AN$1570,AN1285,$BL$7:$BL$1570,"&lt;="&amp;BL1285),"")</f>
        <v/>
      </c>
      <c r="AP1285" s="65">
        <f>IF(AO1285="",0,MAX(0,MIN(1,(IF(BR1285="L1",Parameter!$K$5,Parameter!$K$6+Parameter!$K$7)-(AO1285-AK1285))/AK1285)))</f>
        <v/>
      </c>
      <c r="AQ1285" s="55">
        <f>IF(LEFT(Cockpit!$O$5,1)="A",G1285,IF(BT1285=1,BU1285,IF(LEFT(Cockpit!$O$5,1)="B",AU1285,MAX(AU1285,G1285))))</f>
        <v/>
      </c>
      <c r="AR1285" s="55">
        <f>IF(BO1285=1,0,ROUNDUP(AQ1285/BN1285,0))</f>
        <v/>
      </c>
      <c r="AS1285" s="64">
        <f>IF(BO1285=1,IF(AQ1285&lt;=0,0,BP1285*MAX(1,IF(G1285&gt;0,AQ1285/G1285,1))),AR1285*Q1285)</f>
        <v/>
      </c>
      <c r="AT1285" s="55">
        <f>AQ1285*F1285</f>
        <v/>
      </c>
      <c r="AU1285" s="55">
        <f>ROUNDUP(MAX(I1285/IF(BS1285&gt;0,BS1285,MAX(0.1,N(Cockpit!$O$6))),BV1285)/BN1285,0)*BN1285</f>
        <v/>
      </c>
      <c r="AV1285" s="56">
        <f>IF(AS1285&gt;0,I1285/AS1285,-1)</f>
        <v/>
      </c>
      <c r="AW1285" s="56">
        <f>IF(AND(OR(BR1285="L1",BR1285="L23"),AS1285&gt;0),SUMIFS($AS$7:$AS$1570,$BR$7:$BR$1570,BR1285,$AV$7:$AV$1570,"&gt;"&amp;AV1285)+SUMIFS($AS$7:$AS$1570,$BR$7:$BR$1570,BR1285,$AV$7:$AV$1570,AV1285,$BL$7:$BL$1570,"&lt;="&amp;BL1285),"")</f>
        <v/>
      </c>
      <c r="AX1285" s="65">
        <f>IF(AW1285="",0,MAX(0,MIN(1,(IF(BR1285="L1",Parameter!$K$5,Parameter!$K$6+Parameter!$K$7)-(AW1285-AS1285))/AS1285)))</f>
        <v/>
      </c>
      <c r="AY1285" s="53">
        <f>IF(AC1285&lt;=0,"",IF(BR1285="Aussen","Aussenlager",IF(BR1285="-","Nicht im Lift",IF(AH1285&gt;=1,"Lift",IF(AH1285&lt;=0,"Aussenlager","teilweise")))))</f>
        <v/>
      </c>
      <c r="AZ1285" s="53">
        <f>IF(AK1285&lt;=0,"",IF(BR1285="Aussen","Aussenlager",IF(BR1285="-","Nicht im Lift",IF(AP1285&gt;=1,"Lift",IF(AP1285&lt;=0,"Aussenlager","teilweise")))))</f>
        <v/>
      </c>
      <c r="BA1285" s="53">
        <f>IF(AS1285&lt;=0,"",IF(BR1285="Aussen","Aussenlager",IF(BR1285="-","Nicht im Lift",IF(AX1285&gt;=1,"Lift",IF(AX1285&lt;=0,"Aussenlager","teilweise")))))</f>
        <v/>
      </c>
      <c r="BB1285" s="53">
        <f>IF(A1285="","",IF(BK1285=1,"Neu; ","")&amp;IF(AND(BK1285=0,BF1285&lt;0),"negativer Bestand (Export "&amp;BF1285&amp;"); ","")&amp;IF(I1285&lt;=0,"Kein Verbrauch; ","")&amp;IF(BO1285=1,"Lose – Fläche geschätzt; ","")&amp;IF(G1285&gt;AM1285,"Überbestand "&amp;ROUND(G1285-AM1285,0)&amp;" Stk / CHF "&amp;ROUND((G1285-AM1285)*F1285,0)&amp;"; ","")&amp;IF(AND(BT1285=1,BU1285&lt;BV1285),"MAX &lt; MB+LG; ","")&amp;IF(AND(BZ1285&gt;0,BY1285*10&gt;BZ1285),"zu hoch für Tablar; ","")&amp;IF(AND(BK1285=0,OR(BT1285=1,V1285&lt;&gt;"",S1285&lt;&gt;"",T1285&lt;&gt;"",W1285&lt;&gt;"")),"manuell übersteuert; ","")&amp;IF(AND(BO1285=0,Q1285=0),"Gebinde unbekannt; ","")&amp;IF(AND(BO1285=0,N(T1285)&lt;=0,N(P1285)&lt;=0),"Menge pro Gebinde fehlt (Ist = 1 Gebinde); ","")&amp;BJ1285)</f>
        <v/>
      </c>
      <c r="BC1285" s="53" t="n"/>
      <c r="BD1285" s="53" t="n"/>
      <c r="BE1285" s="61" t="n"/>
      <c r="BF1285" s="55" t="n">
        <v>-10</v>
      </c>
      <c r="BG1285" s="55" t="n">
        <v>12</v>
      </c>
      <c r="BH1285" s="54" t="n">
        <v>-1113.96</v>
      </c>
      <c r="BI1285" s="55" t="n">
        <v>5</v>
      </c>
      <c r="BJ1285" s="53" t="inlineStr">
        <is>
          <t>nicht im KTL vorhanden</t>
        </is>
      </c>
      <c r="BK1285" s="58" t="n">
        <v>0</v>
      </c>
      <c r="BL1285" s="58" t="n">
        <v>1285</v>
      </c>
      <c r="BM1285" s="53">
        <f>IF(S1285&lt;&gt;"",UPPER(TRIM(S1285)),IF(O1285="","LOSE",O1285))</f>
        <v/>
      </c>
      <c r="BN1285" s="55">
        <f>IF(BM1285="LOSE",1,IF(N(T1285)&gt;0,T1285,IF(N(P1285)&gt;0,P1285,MAX(1,G1285))))</f>
        <v/>
      </c>
      <c r="BO1285" s="58">
        <f>IF(BM1285="LOSE",1,0)</f>
        <v/>
      </c>
      <c r="BP1285" s="64">
        <f>IF(BO1285=0,0,IF(N(R1285)&gt;0,R1285,IFERROR(VLOOKUP(D1285,Parameter!$A$35:$C$64,3,0)+0,0)))</f>
        <v/>
      </c>
      <c r="BQ1285" s="53">
        <f>IF(V1285&lt;&gt;"",V1285,U1285)</f>
        <v/>
      </c>
      <c r="BR1285" s="53">
        <f>IF(BQ1285=1,"L1",IF(OR(BQ1285=2,BQ1285=3),"L23",IF(BQ1285="Aussen","Aussen","-")))</f>
        <v/>
      </c>
      <c r="BS1285" s="66">
        <f>IF(N(W1285)&gt;0,W1285,0)</f>
        <v/>
      </c>
      <c r="BT1285" s="58">
        <f>IF(ISNUMBER(Z1285),1,0)</f>
        <v/>
      </c>
      <c r="BU1285" s="55">
        <f>N(Z1285)</f>
        <v/>
      </c>
      <c r="BV1285" s="55">
        <f>N(L1285)+N(M1285)</f>
        <v/>
      </c>
      <c r="BW1285" s="55">
        <f>ROUNDUP(G1285/BN1285,0)</f>
        <v/>
      </c>
      <c r="BX1285" s="55">
        <f>ROUNDUP(BU1285/BN1285,0)</f>
        <v/>
      </c>
      <c r="BY1285" s="58">
        <f>IF(BO1285=1,0,IFERROR(VLOOKUP(BM1285,'Gebinde-Kategorie'!$A$5:$G$45,5,0)+0,0))</f>
        <v/>
      </c>
      <c r="BZ1285" s="58">
        <f>IFERROR(IF(OR(BQ1285=1,BQ1285=2,BQ1285=3),N(INDEX(Parameter!$I$5:$I$7,BQ1285)),0),0)</f>
        <v/>
      </c>
    </row>
    <row r="1286">
      <c r="A1286" s="53" t="inlineStr">
        <is>
          <t>106964</t>
        </is>
      </c>
      <c r="B1286" s="53" t="inlineStr">
        <is>
          <t>Sicheres digtales Ausgangsmodul</t>
        </is>
      </c>
      <c r="C1286" s="53" t="inlineStr">
        <is>
          <t>F</t>
        </is>
      </c>
      <c r="D1286" s="53" t="inlineStr">
        <is>
          <t>PAL</t>
        </is>
      </c>
      <c r="E1286" s="53" t="inlineStr">
        <is>
          <t>C</t>
        </is>
      </c>
      <c r="F1286" s="54" t="n">
        <v>279.59</v>
      </c>
      <c r="G1286" s="55">
        <f>MAX(0,IF(Parameter!$B$20="Jahresanfang 2025 + Export",BG1286+BF1286,BF1286))</f>
        <v/>
      </c>
      <c r="H1286" s="55">
        <f>G1286*F1286</f>
        <v/>
      </c>
      <c r="I1286" s="55">
        <f>BI1286*Parameter!$B$18</f>
        <v/>
      </c>
      <c r="J1286" s="56" t="n">
        <v>111</v>
      </c>
      <c r="K1286" s="57" t="n">
        <v>0.01801801801801802</v>
      </c>
      <c r="L1286" s="55" t="n">
        <v>0</v>
      </c>
      <c r="M1286" s="55" t="n">
        <v>1</v>
      </c>
      <c r="N1286" s="58" t="n">
        <v>28</v>
      </c>
      <c r="O1286" s="53" t="inlineStr">
        <is>
          <t>LOSE</t>
        </is>
      </c>
      <c r="P1286" s="55" t="n"/>
      <c r="Q1286" s="59">
        <f>IF(BO1286=1,0,IFERROR(VLOOKUP(BM1286,'Gebinde-Kategorie'!$A$5:$G$45,6,0)+0,0))</f>
        <v/>
      </c>
      <c r="R1286" s="60" t="n"/>
      <c r="S1286" s="61" t="n"/>
      <c r="T1286" s="61" t="n"/>
      <c r="U1286" s="53">
        <f>IF(A1286="","",IF(IFERROR(VLOOKUP(D1286,Parameter!$A$35:$C$64,2,0),"Nein")="2+3",IF(ISNUMBER(SEARCH("grosser Artikel",BJ1286)),2,IFERROR(VLOOKUP(BM1286,Parameter!$F$35:$G$64,2,0),2)),IF(OR(IFERROR(VLOOKUP(D1286,Parameter!$A$35:$C$64,2,0),"Nein")="Nein",IFERROR(VLOOKUP(D1286,Parameter!$A$35:$C$64,2,0),"Nein")=""),"-",VLOOKUP(D1286,Parameter!$A$35:$C$64,2,0))))</f>
        <v/>
      </c>
      <c r="V1286" s="61" t="n"/>
      <c r="W1286" s="62" t="n"/>
      <c r="X1286" s="55">
        <f>AM1286</f>
        <v/>
      </c>
      <c r="Y1286" s="55">
        <f>MAX(AM1286,G1286)</f>
        <v/>
      </c>
      <c r="Z1286" s="63" t="n"/>
      <c r="AA1286" s="55">
        <f>IF(LEFT(Cockpit!$C$5,1)="A",G1286,IF(BT1286=1,BU1286,IF(LEFT(Cockpit!$C$5,1)="B",AE1286,MAX(AE1286,G1286))))</f>
        <v/>
      </c>
      <c r="AB1286" s="55">
        <f>IF(BO1286=1,0,ROUNDUP(AA1286/BN1286,0))</f>
        <v/>
      </c>
      <c r="AC1286" s="64">
        <f>IF(BO1286=1,IF(AA1286&lt;=0,0,BP1286*MAX(1,IF(G1286&gt;0,AA1286/G1286,1))),AB1286*Q1286)</f>
        <v/>
      </c>
      <c r="AD1286" s="55">
        <f>AA1286*F1286</f>
        <v/>
      </c>
      <c r="AE1286" s="55">
        <f>ROUNDUP(MAX(I1286/IF(BS1286&gt;0,BS1286,MAX(0.1,N(Cockpit!$C$6))),BV1286)/BN1286,0)*BN1286</f>
        <v/>
      </c>
      <c r="AF1286" s="56">
        <f>IF(AC1286&gt;0,I1286/AC1286,-1)</f>
        <v/>
      </c>
      <c r="AG1286" s="56">
        <f>IF(AND(OR(BR1286="L1",BR1286="L23"),AC1286&gt;0),SUMIFS($AC$7:$AC$1570,$BR$7:$BR$1570,BR1286,$AF$7:$AF$1570,"&gt;"&amp;AF1286)+SUMIFS($AC$7:$AC$1570,$BR$7:$BR$1570,BR1286,$AF$7:$AF$1570,AF1286,$BL$7:$BL$1570,"&lt;="&amp;BL1286),"")</f>
        <v/>
      </c>
      <c r="AH1286" s="65">
        <f>IF(AG1286="",0,MAX(0,MIN(1,(IF(BR1286="L1",Parameter!$K$5,Parameter!$K$6+Parameter!$K$7)-(AG1286-AC1286))/AC1286)))</f>
        <v/>
      </c>
      <c r="AI1286" s="55">
        <f>IF(LEFT(Cockpit!$I$5,1)="A",G1286,IF(BT1286=1,BU1286,IF(LEFT(Cockpit!$I$5,1)="B",AM1286,MAX(AM1286,G1286))))</f>
        <v/>
      </c>
      <c r="AJ1286" s="55">
        <f>IF(BO1286=1,0,ROUNDUP(AI1286/BN1286,0))</f>
        <v/>
      </c>
      <c r="AK1286" s="64">
        <f>IF(BO1286=1,IF(AI1286&lt;=0,0,BP1286*MAX(1,IF(G1286&gt;0,AI1286/G1286,1))),AJ1286*Q1286)</f>
        <v/>
      </c>
      <c r="AL1286" s="55">
        <f>AI1286*F1286</f>
        <v/>
      </c>
      <c r="AM1286" s="55">
        <f>ROUNDUP(MAX(I1286/IF(BS1286&gt;0,BS1286,MAX(0.1,N(Cockpit!$I$6))),BV1286)/BN1286,0)*BN1286</f>
        <v/>
      </c>
      <c r="AN1286" s="56">
        <f>IF(AK1286&gt;0,I1286/AK1286,-1)</f>
        <v/>
      </c>
      <c r="AO1286" s="56">
        <f>IF(AND(OR(BR1286="L1",BR1286="L23"),AK1286&gt;0),SUMIFS($AK$7:$AK$1570,$BR$7:$BR$1570,BR1286,$AN$7:$AN$1570,"&gt;"&amp;AN1286)+SUMIFS($AK$7:$AK$1570,$BR$7:$BR$1570,BR1286,$AN$7:$AN$1570,AN1286,$BL$7:$BL$1570,"&lt;="&amp;BL1286),"")</f>
        <v/>
      </c>
      <c r="AP1286" s="65">
        <f>IF(AO1286="",0,MAX(0,MIN(1,(IF(BR1286="L1",Parameter!$K$5,Parameter!$K$6+Parameter!$K$7)-(AO1286-AK1286))/AK1286)))</f>
        <v/>
      </c>
      <c r="AQ1286" s="55">
        <f>IF(LEFT(Cockpit!$O$5,1)="A",G1286,IF(BT1286=1,BU1286,IF(LEFT(Cockpit!$O$5,1)="B",AU1286,MAX(AU1286,G1286))))</f>
        <v/>
      </c>
      <c r="AR1286" s="55">
        <f>IF(BO1286=1,0,ROUNDUP(AQ1286/BN1286,0))</f>
        <v/>
      </c>
      <c r="AS1286" s="64">
        <f>IF(BO1286=1,IF(AQ1286&lt;=0,0,BP1286*MAX(1,IF(G1286&gt;0,AQ1286/G1286,1))),AR1286*Q1286)</f>
        <v/>
      </c>
      <c r="AT1286" s="55">
        <f>AQ1286*F1286</f>
        <v/>
      </c>
      <c r="AU1286" s="55">
        <f>ROUNDUP(MAX(I1286/IF(BS1286&gt;0,BS1286,MAX(0.1,N(Cockpit!$O$6))),BV1286)/BN1286,0)*BN1286</f>
        <v/>
      </c>
      <c r="AV1286" s="56">
        <f>IF(AS1286&gt;0,I1286/AS1286,-1)</f>
        <v/>
      </c>
      <c r="AW1286" s="56">
        <f>IF(AND(OR(BR1286="L1",BR1286="L23"),AS1286&gt;0),SUMIFS($AS$7:$AS$1570,$BR$7:$BR$1570,BR1286,$AV$7:$AV$1570,"&gt;"&amp;AV1286)+SUMIFS($AS$7:$AS$1570,$BR$7:$BR$1570,BR1286,$AV$7:$AV$1570,AV1286,$BL$7:$BL$1570,"&lt;="&amp;BL1286),"")</f>
        <v/>
      </c>
      <c r="AX1286" s="65">
        <f>IF(AW1286="",0,MAX(0,MIN(1,(IF(BR1286="L1",Parameter!$K$5,Parameter!$K$6+Parameter!$K$7)-(AW1286-AS1286))/AS1286)))</f>
        <v/>
      </c>
      <c r="AY1286" s="53">
        <f>IF(AC1286&lt;=0,"",IF(BR1286="Aussen","Aussenlager",IF(BR1286="-","Nicht im Lift",IF(AH1286&gt;=1,"Lift",IF(AH1286&lt;=0,"Aussenlager","teilweise")))))</f>
        <v/>
      </c>
      <c r="AZ1286" s="53">
        <f>IF(AK1286&lt;=0,"",IF(BR1286="Aussen","Aussenlager",IF(BR1286="-","Nicht im Lift",IF(AP1286&gt;=1,"Lift",IF(AP1286&lt;=0,"Aussenlager","teilweise")))))</f>
        <v/>
      </c>
      <c r="BA1286" s="53">
        <f>IF(AS1286&lt;=0,"",IF(BR1286="Aussen","Aussenlager",IF(BR1286="-","Nicht im Lift",IF(AX1286&gt;=1,"Lift",IF(AX1286&lt;=0,"Aussenlager","teilweise")))))</f>
        <v/>
      </c>
      <c r="BB1286" s="53">
        <f>IF(A1286="","",IF(BK1286=1,"Neu; ","")&amp;IF(AND(BK1286=0,BF1286&lt;0),"negativer Bestand (Export "&amp;BF1286&amp;"); ","")&amp;IF(I1286&lt;=0,"Kein Verbrauch; ","")&amp;IF(BO1286=1,"Lose – Fläche geschätzt; ","")&amp;IF(G1286&gt;AM1286,"Überbestand "&amp;ROUND(G1286-AM1286,0)&amp;" Stk / CHF "&amp;ROUND((G1286-AM1286)*F1286,0)&amp;"; ","")&amp;IF(AND(BT1286=1,BU1286&lt;BV1286),"MAX &lt; MB+LG; ","")&amp;IF(AND(BZ1286&gt;0,BY1286*10&gt;BZ1286),"zu hoch für Tablar; ","")&amp;IF(AND(BK1286=0,OR(BT1286=1,V1286&lt;&gt;"",S1286&lt;&gt;"",T1286&lt;&gt;"",W1286&lt;&gt;"")),"manuell übersteuert; ","")&amp;IF(AND(BO1286=0,Q1286=0),"Gebinde unbekannt; ","")&amp;IF(AND(BO1286=0,N(T1286)&lt;=0,N(P1286)&lt;=0),"Menge pro Gebinde fehlt (Ist = 1 Gebinde); ","")&amp;BJ1286)</f>
        <v/>
      </c>
      <c r="BC1286" s="53" t="n"/>
      <c r="BD1286" s="53" t="n"/>
      <c r="BE1286" s="61" t="n"/>
      <c r="BF1286" s="55" t="n">
        <v>-4</v>
      </c>
      <c r="BG1286" s="55" t="n">
        <v>112</v>
      </c>
      <c r="BH1286" s="54" t="n">
        <v>-1118.36</v>
      </c>
      <c r="BI1286" s="55" t="n">
        <v>2</v>
      </c>
      <c r="BJ1286" s="53" t="inlineStr"/>
      <c r="BK1286" s="58" t="n">
        <v>0</v>
      </c>
      <c r="BL1286" s="58" t="n">
        <v>1286</v>
      </c>
      <c r="BM1286" s="53">
        <f>IF(S1286&lt;&gt;"",UPPER(TRIM(S1286)),IF(O1286="","LOSE",O1286))</f>
        <v/>
      </c>
      <c r="BN1286" s="55">
        <f>IF(BM1286="LOSE",1,IF(N(T1286)&gt;0,T1286,IF(N(P1286)&gt;0,P1286,MAX(1,G1286))))</f>
        <v/>
      </c>
      <c r="BO1286" s="58">
        <f>IF(BM1286="LOSE",1,0)</f>
        <v/>
      </c>
      <c r="BP1286" s="64">
        <f>IF(BO1286=0,0,IF(N(R1286)&gt;0,R1286,IFERROR(VLOOKUP(D1286,Parameter!$A$35:$C$64,3,0)+0,0)))</f>
        <v/>
      </c>
      <c r="BQ1286" s="53">
        <f>IF(V1286&lt;&gt;"",V1286,U1286)</f>
        <v/>
      </c>
      <c r="BR1286" s="53">
        <f>IF(BQ1286=1,"L1",IF(OR(BQ1286=2,BQ1286=3),"L23",IF(BQ1286="Aussen","Aussen","-")))</f>
        <v/>
      </c>
      <c r="BS1286" s="66">
        <f>IF(N(W1286)&gt;0,W1286,0)</f>
        <v/>
      </c>
      <c r="BT1286" s="58">
        <f>IF(ISNUMBER(Z1286),1,0)</f>
        <v/>
      </c>
      <c r="BU1286" s="55">
        <f>N(Z1286)</f>
        <v/>
      </c>
      <c r="BV1286" s="55">
        <f>N(L1286)+N(M1286)</f>
        <v/>
      </c>
      <c r="BW1286" s="55">
        <f>ROUNDUP(G1286/BN1286,0)</f>
        <v/>
      </c>
      <c r="BX1286" s="55">
        <f>ROUNDUP(BU1286/BN1286,0)</f>
        <v/>
      </c>
      <c r="BY1286" s="58">
        <f>IF(BO1286=1,0,IFERROR(VLOOKUP(BM1286,'Gebinde-Kategorie'!$A$5:$G$45,5,0)+0,0))</f>
        <v/>
      </c>
      <c r="BZ1286" s="58">
        <f>IFERROR(IF(OR(BQ1286=1,BQ1286=2,BQ1286=3),N(INDEX(Parameter!$I$5:$I$7,BQ1286)),0),0)</f>
        <v/>
      </c>
    </row>
    <row r="1287">
      <c r="A1287" s="53" t="inlineStr">
        <is>
          <t>005219</t>
        </is>
      </c>
      <c r="B1287" s="53" t="inlineStr">
        <is>
          <t>Sicherheitsventil 40bar, O2</t>
        </is>
      </c>
      <c r="C1287" s="53" t="inlineStr">
        <is>
          <t>F</t>
        </is>
      </c>
      <c r="D1287" s="53" t="inlineStr">
        <is>
          <t>KTL</t>
        </is>
      </c>
      <c r="E1287" s="53" t="inlineStr">
        <is>
          <t>C</t>
        </is>
      </c>
      <c r="F1287" s="54" t="n">
        <v>112.45</v>
      </c>
      <c r="G1287" s="55">
        <f>MAX(0,IF(Parameter!$B$20="Jahresanfang 2025 + Export",BG1287+BF1287,BF1287))</f>
        <v/>
      </c>
      <c r="H1287" s="55">
        <f>G1287*F1287</f>
        <v/>
      </c>
      <c r="I1287" s="55">
        <f>BI1287*Parameter!$B$18</f>
        <v/>
      </c>
      <c r="J1287" s="56" t="n">
        <v>13</v>
      </c>
      <c r="K1287" s="57" t="n">
        <v>0.1538461538461539</v>
      </c>
      <c r="L1287" s="55" t="n">
        <v>0</v>
      </c>
      <c r="M1287" s="55" t="n">
        <v>1</v>
      </c>
      <c r="N1287" s="58" t="n">
        <v>56</v>
      </c>
      <c r="O1287" s="53" t="inlineStr">
        <is>
          <t>S32</t>
        </is>
      </c>
      <c r="P1287" s="55" t="n">
        <v>6</v>
      </c>
      <c r="Q1287" s="59">
        <f>IF(BO1287=1,0,IFERROR(VLOOKUP(BM1287,'Gebinde-Kategorie'!$A$5:$G$45,6,0)+0,0))</f>
        <v/>
      </c>
      <c r="R1287" s="60" t="n"/>
      <c r="S1287" s="61" t="n"/>
      <c r="T1287" s="61" t="n"/>
      <c r="U1287" s="53">
        <f>IF(A1287="","",IF(IFERROR(VLOOKUP(D1287,Parameter!$A$35:$C$64,2,0),"Nein")="2+3",IF(ISNUMBER(SEARCH("grosser Artikel",BJ1287)),2,IFERROR(VLOOKUP(BM1287,Parameter!$F$35:$G$64,2,0),2)),IF(OR(IFERROR(VLOOKUP(D1287,Parameter!$A$35:$C$64,2,0),"Nein")="Nein",IFERROR(VLOOKUP(D1287,Parameter!$A$35:$C$64,2,0),"Nein")=""),"-",VLOOKUP(D1287,Parameter!$A$35:$C$64,2,0))))</f>
        <v/>
      </c>
      <c r="V1287" s="61" t="n"/>
      <c r="W1287" s="62" t="n"/>
      <c r="X1287" s="55">
        <f>AM1287</f>
        <v/>
      </c>
      <c r="Y1287" s="55">
        <f>MAX(AM1287,G1287)</f>
        <v/>
      </c>
      <c r="Z1287" s="63" t="n"/>
      <c r="AA1287" s="55">
        <f>IF(LEFT(Cockpit!$C$5,1)="A",G1287,IF(BT1287=1,BU1287,IF(LEFT(Cockpit!$C$5,1)="B",AE1287,MAX(AE1287,G1287))))</f>
        <v/>
      </c>
      <c r="AB1287" s="55">
        <f>IF(BO1287=1,0,ROUNDUP(AA1287/BN1287,0))</f>
        <v/>
      </c>
      <c r="AC1287" s="64">
        <f>IF(BO1287=1,IF(AA1287&lt;=0,0,BP1287*MAX(1,IF(G1287&gt;0,AA1287/G1287,1))),AB1287*Q1287)</f>
        <v/>
      </c>
      <c r="AD1287" s="55">
        <f>AA1287*F1287</f>
        <v/>
      </c>
      <c r="AE1287" s="55">
        <f>ROUNDUP(MAX(I1287/IF(BS1287&gt;0,BS1287,MAX(0.1,N(Cockpit!$C$6))),BV1287)/BN1287,0)*BN1287</f>
        <v/>
      </c>
      <c r="AF1287" s="56">
        <f>IF(AC1287&gt;0,I1287/AC1287,-1)</f>
        <v/>
      </c>
      <c r="AG1287" s="56">
        <f>IF(AND(OR(BR1287="L1",BR1287="L23"),AC1287&gt;0),SUMIFS($AC$7:$AC$1570,$BR$7:$BR$1570,BR1287,$AF$7:$AF$1570,"&gt;"&amp;AF1287)+SUMIFS($AC$7:$AC$1570,$BR$7:$BR$1570,BR1287,$AF$7:$AF$1570,AF1287,$BL$7:$BL$1570,"&lt;="&amp;BL1287),"")</f>
        <v/>
      </c>
      <c r="AH1287" s="65">
        <f>IF(AG1287="",0,MAX(0,MIN(1,(IF(BR1287="L1",Parameter!$K$5,Parameter!$K$6+Parameter!$K$7)-(AG1287-AC1287))/AC1287)))</f>
        <v/>
      </c>
      <c r="AI1287" s="55">
        <f>IF(LEFT(Cockpit!$I$5,1)="A",G1287,IF(BT1287=1,BU1287,IF(LEFT(Cockpit!$I$5,1)="B",AM1287,MAX(AM1287,G1287))))</f>
        <v/>
      </c>
      <c r="AJ1287" s="55">
        <f>IF(BO1287=1,0,ROUNDUP(AI1287/BN1287,0))</f>
        <v/>
      </c>
      <c r="AK1287" s="64">
        <f>IF(BO1287=1,IF(AI1287&lt;=0,0,BP1287*MAX(1,IF(G1287&gt;0,AI1287/G1287,1))),AJ1287*Q1287)</f>
        <v/>
      </c>
      <c r="AL1287" s="55">
        <f>AI1287*F1287</f>
        <v/>
      </c>
      <c r="AM1287" s="55">
        <f>ROUNDUP(MAX(I1287/IF(BS1287&gt;0,BS1287,MAX(0.1,N(Cockpit!$I$6))),BV1287)/BN1287,0)*BN1287</f>
        <v/>
      </c>
      <c r="AN1287" s="56">
        <f>IF(AK1287&gt;0,I1287/AK1287,-1)</f>
        <v/>
      </c>
      <c r="AO1287" s="56">
        <f>IF(AND(OR(BR1287="L1",BR1287="L23"),AK1287&gt;0),SUMIFS($AK$7:$AK$1570,$BR$7:$BR$1570,BR1287,$AN$7:$AN$1570,"&gt;"&amp;AN1287)+SUMIFS($AK$7:$AK$1570,$BR$7:$BR$1570,BR1287,$AN$7:$AN$1570,AN1287,$BL$7:$BL$1570,"&lt;="&amp;BL1287),"")</f>
        <v/>
      </c>
      <c r="AP1287" s="65">
        <f>IF(AO1287="",0,MAX(0,MIN(1,(IF(BR1287="L1",Parameter!$K$5,Parameter!$K$6+Parameter!$K$7)-(AO1287-AK1287))/AK1287)))</f>
        <v/>
      </c>
      <c r="AQ1287" s="55">
        <f>IF(LEFT(Cockpit!$O$5,1)="A",G1287,IF(BT1287=1,BU1287,IF(LEFT(Cockpit!$O$5,1)="B",AU1287,MAX(AU1287,G1287))))</f>
        <v/>
      </c>
      <c r="AR1287" s="55">
        <f>IF(BO1287=1,0,ROUNDUP(AQ1287/BN1287,0))</f>
        <v/>
      </c>
      <c r="AS1287" s="64">
        <f>IF(BO1287=1,IF(AQ1287&lt;=0,0,BP1287*MAX(1,IF(G1287&gt;0,AQ1287/G1287,1))),AR1287*Q1287)</f>
        <v/>
      </c>
      <c r="AT1287" s="55">
        <f>AQ1287*F1287</f>
        <v/>
      </c>
      <c r="AU1287" s="55">
        <f>ROUNDUP(MAX(I1287/IF(BS1287&gt;0,BS1287,MAX(0.1,N(Cockpit!$O$6))),BV1287)/BN1287,0)*BN1287</f>
        <v/>
      </c>
      <c r="AV1287" s="56">
        <f>IF(AS1287&gt;0,I1287/AS1287,-1)</f>
        <v/>
      </c>
      <c r="AW1287" s="56">
        <f>IF(AND(OR(BR1287="L1",BR1287="L23"),AS1287&gt;0),SUMIFS($AS$7:$AS$1570,$BR$7:$BR$1570,BR1287,$AV$7:$AV$1570,"&gt;"&amp;AV1287)+SUMIFS($AS$7:$AS$1570,$BR$7:$BR$1570,BR1287,$AV$7:$AV$1570,AV1287,$BL$7:$BL$1570,"&lt;="&amp;BL1287),"")</f>
        <v/>
      </c>
      <c r="AX1287" s="65">
        <f>IF(AW1287="",0,MAX(0,MIN(1,(IF(BR1287="L1",Parameter!$K$5,Parameter!$K$6+Parameter!$K$7)-(AW1287-AS1287))/AS1287)))</f>
        <v/>
      </c>
      <c r="AY1287" s="53">
        <f>IF(AC1287&lt;=0,"",IF(BR1287="Aussen","Aussenlager",IF(BR1287="-","Nicht im Lift",IF(AH1287&gt;=1,"Lift",IF(AH1287&lt;=0,"Aussenlager","teilweise")))))</f>
        <v/>
      </c>
      <c r="AZ1287" s="53">
        <f>IF(AK1287&lt;=0,"",IF(BR1287="Aussen","Aussenlager",IF(BR1287="-","Nicht im Lift",IF(AP1287&gt;=1,"Lift",IF(AP1287&lt;=0,"Aussenlager","teilweise")))))</f>
        <v/>
      </c>
      <c r="BA1287" s="53">
        <f>IF(AS1287&lt;=0,"",IF(BR1287="Aussen","Aussenlager",IF(BR1287="-","Nicht im Lift",IF(AX1287&gt;=1,"Lift",IF(AX1287&lt;=0,"Aussenlager","teilweise")))))</f>
        <v/>
      </c>
      <c r="BB1287" s="53">
        <f>IF(A1287="","",IF(BK1287=1,"Neu; ","")&amp;IF(AND(BK1287=0,BF1287&lt;0),"negativer Bestand (Export "&amp;BF1287&amp;"); ","")&amp;IF(I1287&lt;=0,"Kein Verbrauch; ","")&amp;IF(BO1287=1,"Lose – Fläche geschätzt; ","")&amp;IF(G1287&gt;AM1287,"Überbestand "&amp;ROUND(G1287-AM1287,0)&amp;" Stk / CHF "&amp;ROUND((G1287-AM1287)*F1287,0)&amp;"; ","")&amp;IF(AND(BT1287=1,BU1287&lt;BV1287),"MAX &lt; MB+LG; ","")&amp;IF(AND(BZ1287&gt;0,BY1287*10&gt;BZ1287),"zu hoch für Tablar; ","")&amp;IF(AND(BK1287=0,OR(BT1287=1,V1287&lt;&gt;"",S1287&lt;&gt;"",T1287&lt;&gt;"",W1287&lt;&gt;"")),"manuell übersteuert; ","")&amp;IF(AND(BO1287=0,Q1287=0),"Gebinde unbekannt; ","")&amp;IF(AND(BO1287=0,N(T1287)&lt;=0,N(P1287)&lt;=0),"Menge pro Gebinde fehlt (Ist = 1 Gebinde); ","")&amp;BJ1287)</f>
        <v/>
      </c>
      <c r="BC1287" s="53" t="n"/>
      <c r="BD1287" s="53" t="n"/>
      <c r="BE1287" s="61" t="n"/>
      <c r="BF1287" s="55" t="n">
        <v>-10</v>
      </c>
      <c r="BG1287" s="55" t="n">
        <v>14</v>
      </c>
      <c r="BH1287" s="54" t="n">
        <v>-1124.5</v>
      </c>
      <c r="BI1287" s="55" t="n">
        <v>2</v>
      </c>
      <c r="BJ1287" s="53" t="inlineStr">
        <is>
          <t>nicht im KTL vorhanden</t>
        </is>
      </c>
      <c r="BK1287" s="58" t="n">
        <v>0</v>
      </c>
      <c r="BL1287" s="58" t="n">
        <v>1287</v>
      </c>
      <c r="BM1287" s="53">
        <f>IF(S1287&lt;&gt;"",UPPER(TRIM(S1287)),IF(O1287="","LOSE",O1287))</f>
        <v/>
      </c>
      <c r="BN1287" s="55">
        <f>IF(BM1287="LOSE",1,IF(N(T1287)&gt;0,T1287,IF(N(P1287)&gt;0,P1287,MAX(1,G1287))))</f>
        <v/>
      </c>
      <c r="BO1287" s="58">
        <f>IF(BM1287="LOSE",1,0)</f>
        <v/>
      </c>
      <c r="BP1287" s="64">
        <f>IF(BO1287=0,0,IF(N(R1287)&gt;0,R1287,IFERROR(VLOOKUP(D1287,Parameter!$A$35:$C$64,3,0)+0,0)))</f>
        <v/>
      </c>
      <c r="BQ1287" s="53">
        <f>IF(V1287&lt;&gt;"",V1287,U1287)</f>
        <v/>
      </c>
      <c r="BR1287" s="53">
        <f>IF(BQ1287=1,"L1",IF(OR(BQ1287=2,BQ1287=3),"L23",IF(BQ1287="Aussen","Aussen","-")))</f>
        <v/>
      </c>
      <c r="BS1287" s="66">
        <f>IF(N(W1287)&gt;0,W1287,0)</f>
        <v/>
      </c>
      <c r="BT1287" s="58">
        <f>IF(ISNUMBER(Z1287),1,0)</f>
        <v/>
      </c>
      <c r="BU1287" s="55">
        <f>N(Z1287)</f>
        <v/>
      </c>
      <c r="BV1287" s="55">
        <f>N(L1287)+N(M1287)</f>
        <v/>
      </c>
      <c r="BW1287" s="55">
        <f>ROUNDUP(G1287/BN1287,0)</f>
        <v/>
      </c>
      <c r="BX1287" s="55">
        <f>ROUNDUP(BU1287/BN1287,0)</f>
        <v/>
      </c>
      <c r="BY1287" s="58">
        <f>IF(BO1287=1,0,IFERROR(VLOOKUP(BM1287,'Gebinde-Kategorie'!$A$5:$G$45,5,0)+0,0))</f>
        <v/>
      </c>
      <c r="BZ1287" s="58">
        <f>IFERROR(IF(OR(BQ1287=1,BQ1287=2,BQ1287=3),N(INDEX(Parameter!$I$5:$I$7,BQ1287)),0),0)</f>
        <v/>
      </c>
    </row>
    <row r="1288">
      <c r="A1288" s="53" t="inlineStr">
        <is>
          <t>103752</t>
        </is>
      </c>
      <c r="B1288" s="53" t="inlineStr">
        <is>
          <t>Reduzierverschraubung Edelstahl</t>
        </is>
      </c>
      <c r="C1288" s="53" t="inlineStr">
        <is>
          <t>F</t>
        </is>
      </c>
      <c r="D1288" s="53" t="inlineStr">
        <is>
          <t>KTL</t>
        </is>
      </c>
      <c r="E1288" s="53" t="inlineStr">
        <is>
          <t>C</t>
        </is>
      </c>
      <c r="F1288" s="54" t="n">
        <v>30.9</v>
      </c>
      <c r="G1288" s="55">
        <f>MAX(0,IF(Parameter!$B$20="Jahresanfang 2025 + Export",BG1288+BF1288,BF1288))</f>
        <v/>
      </c>
      <c r="H1288" s="55">
        <f>G1288*F1288</f>
        <v/>
      </c>
      <c r="I1288" s="55">
        <f>BI1288*Parameter!$B$18</f>
        <v/>
      </c>
      <c r="J1288" s="56" t="n">
        <v>132.5</v>
      </c>
      <c r="K1288" s="57" t="n">
        <v>0.3169811320754717</v>
      </c>
      <c r="L1288" s="55" t="n">
        <v>8</v>
      </c>
      <c r="M1288" s="55" t="n">
        <v>40</v>
      </c>
      <c r="N1288" s="58" t="n">
        <v>70</v>
      </c>
      <c r="O1288" s="53" t="inlineStr">
        <is>
          <t>S51</t>
        </is>
      </c>
      <c r="P1288" s="55" t="n">
        <v>113</v>
      </c>
      <c r="Q1288" s="59">
        <f>IF(BO1288=1,0,IFERROR(VLOOKUP(BM1288,'Gebinde-Kategorie'!$A$5:$G$45,6,0)+0,0))</f>
        <v/>
      </c>
      <c r="R1288" s="60" t="n"/>
      <c r="S1288" s="61" t="n"/>
      <c r="T1288" s="61" t="n"/>
      <c r="U1288" s="53">
        <f>IF(A1288="","",IF(IFERROR(VLOOKUP(D1288,Parameter!$A$35:$C$64,2,0),"Nein")="2+3",IF(ISNUMBER(SEARCH("grosser Artikel",BJ1288)),2,IFERROR(VLOOKUP(BM1288,Parameter!$F$35:$G$64,2,0),2)),IF(OR(IFERROR(VLOOKUP(D1288,Parameter!$A$35:$C$64,2,0),"Nein")="Nein",IFERROR(VLOOKUP(D1288,Parameter!$A$35:$C$64,2,0),"Nein")=""),"-",VLOOKUP(D1288,Parameter!$A$35:$C$64,2,0))))</f>
        <v/>
      </c>
      <c r="V1288" s="61" t="n"/>
      <c r="W1288" s="62" t="n"/>
      <c r="X1288" s="55">
        <f>AM1288</f>
        <v/>
      </c>
      <c r="Y1288" s="55">
        <f>MAX(AM1288,G1288)</f>
        <v/>
      </c>
      <c r="Z1288" s="63" t="n"/>
      <c r="AA1288" s="55">
        <f>IF(LEFT(Cockpit!$C$5,1)="A",G1288,IF(BT1288=1,BU1288,IF(LEFT(Cockpit!$C$5,1)="B",AE1288,MAX(AE1288,G1288))))</f>
        <v/>
      </c>
      <c r="AB1288" s="55">
        <f>IF(BO1288=1,0,ROUNDUP(AA1288/BN1288,0))</f>
        <v/>
      </c>
      <c r="AC1288" s="64">
        <f>IF(BO1288=1,IF(AA1288&lt;=0,0,BP1288*MAX(1,IF(G1288&gt;0,AA1288/G1288,1))),AB1288*Q1288)</f>
        <v/>
      </c>
      <c r="AD1288" s="55">
        <f>AA1288*F1288</f>
        <v/>
      </c>
      <c r="AE1288" s="55">
        <f>ROUNDUP(MAX(I1288/IF(BS1288&gt;0,BS1288,MAX(0.1,N(Cockpit!$C$6))),BV1288)/BN1288,0)*BN1288</f>
        <v/>
      </c>
      <c r="AF1288" s="56">
        <f>IF(AC1288&gt;0,I1288/AC1288,-1)</f>
        <v/>
      </c>
      <c r="AG1288" s="56">
        <f>IF(AND(OR(BR1288="L1",BR1288="L23"),AC1288&gt;0),SUMIFS($AC$7:$AC$1570,$BR$7:$BR$1570,BR1288,$AF$7:$AF$1570,"&gt;"&amp;AF1288)+SUMIFS($AC$7:$AC$1570,$BR$7:$BR$1570,BR1288,$AF$7:$AF$1570,AF1288,$BL$7:$BL$1570,"&lt;="&amp;BL1288),"")</f>
        <v/>
      </c>
      <c r="AH1288" s="65">
        <f>IF(AG1288="",0,MAX(0,MIN(1,(IF(BR1288="L1",Parameter!$K$5,Parameter!$K$6+Parameter!$K$7)-(AG1288-AC1288))/AC1288)))</f>
        <v/>
      </c>
      <c r="AI1288" s="55">
        <f>IF(LEFT(Cockpit!$I$5,1)="A",G1288,IF(BT1288=1,BU1288,IF(LEFT(Cockpit!$I$5,1)="B",AM1288,MAX(AM1288,G1288))))</f>
        <v/>
      </c>
      <c r="AJ1288" s="55">
        <f>IF(BO1288=1,0,ROUNDUP(AI1288/BN1288,0))</f>
        <v/>
      </c>
      <c r="AK1288" s="64">
        <f>IF(BO1288=1,IF(AI1288&lt;=0,0,BP1288*MAX(1,IF(G1288&gt;0,AI1288/G1288,1))),AJ1288*Q1288)</f>
        <v/>
      </c>
      <c r="AL1288" s="55">
        <f>AI1288*F1288</f>
        <v/>
      </c>
      <c r="AM1288" s="55">
        <f>ROUNDUP(MAX(I1288/IF(BS1288&gt;0,BS1288,MAX(0.1,N(Cockpit!$I$6))),BV1288)/BN1288,0)*BN1288</f>
        <v/>
      </c>
      <c r="AN1288" s="56">
        <f>IF(AK1288&gt;0,I1288/AK1288,-1)</f>
        <v/>
      </c>
      <c r="AO1288" s="56">
        <f>IF(AND(OR(BR1288="L1",BR1288="L23"),AK1288&gt;0),SUMIFS($AK$7:$AK$1570,$BR$7:$BR$1570,BR1288,$AN$7:$AN$1570,"&gt;"&amp;AN1288)+SUMIFS($AK$7:$AK$1570,$BR$7:$BR$1570,BR1288,$AN$7:$AN$1570,AN1288,$BL$7:$BL$1570,"&lt;="&amp;BL1288),"")</f>
        <v/>
      </c>
      <c r="AP1288" s="65">
        <f>IF(AO1288="",0,MAX(0,MIN(1,(IF(BR1288="L1",Parameter!$K$5,Parameter!$K$6+Parameter!$K$7)-(AO1288-AK1288))/AK1288)))</f>
        <v/>
      </c>
      <c r="AQ1288" s="55">
        <f>IF(LEFT(Cockpit!$O$5,1)="A",G1288,IF(BT1288=1,BU1288,IF(LEFT(Cockpit!$O$5,1)="B",AU1288,MAX(AU1288,G1288))))</f>
        <v/>
      </c>
      <c r="AR1288" s="55">
        <f>IF(BO1288=1,0,ROUNDUP(AQ1288/BN1288,0))</f>
        <v/>
      </c>
      <c r="AS1288" s="64">
        <f>IF(BO1288=1,IF(AQ1288&lt;=0,0,BP1288*MAX(1,IF(G1288&gt;0,AQ1288/G1288,1))),AR1288*Q1288)</f>
        <v/>
      </c>
      <c r="AT1288" s="55">
        <f>AQ1288*F1288</f>
        <v/>
      </c>
      <c r="AU1288" s="55">
        <f>ROUNDUP(MAX(I1288/IF(BS1288&gt;0,BS1288,MAX(0.1,N(Cockpit!$O$6))),BV1288)/BN1288,0)*BN1288</f>
        <v/>
      </c>
      <c r="AV1288" s="56">
        <f>IF(AS1288&gt;0,I1288/AS1288,-1)</f>
        <v/>
      </c>
      <c r="AW1288" s="56">
        <f>IF(AND(OR(BR1288="L1",BR1288="L23"),AS1288&gt;0),SUMIFS($AS$7:$AS$1570,$BR$7:$BR$1570,BR1288,$AV$7:$AV$1570,"&gt;"&amp;AV1288)+SUMIFS($AS$7:$AS$1570,$BR$7:$BR$1570,BR1288,$AV$7:$AV$1570,AV1288,$BL$7:$BL$1570,"&lt;="&amp;BL1288),"")</f>
        <v/>
      </c>
      <c r="AX1288" s="65">
        <f>IF(AW1288="",0,MAX(0,MIN(1,(IF(BR1288="L1",Parameter!$K$5,Parameter!$K$6+Parameter!$K$7)-(AW1288-AS1288))/AS1288)))</f>
        <v/>
      </c>
      <c r="AY1288" s="53">
        <f>IF(AC1288&lt;=0,"",IF(BR1288="Aussen","Aussenlager",IF(BR1288="-","Nicht im Lift",IF(AH1288&gt;=1,"Lift",IF(AH1288&lt;=0,"Aussenlager","teilweise")))))</f>
        <v/>
      </c>
      <c r="AZ1288" s="53">
        <f>IF(AK1288&lt;=0,"",IF(BR1288="Aussen","Aussenlager",IF(BR1288="-","Nicht im Lift",IF(AP1288&gt;=1,"Lift",IF(AP1288&lt;=0,"Aussenlager","teilweise")))))</f>
        <v/>
      </c>
      <c r="BA1288" s="53">
        <f>IF(AS1288&lt;=0,"",IF(BR1288="Aussen","Aussenlager",IF(BR1288="-","Nicht im Lift",IF(AX1288&gt;=1,"Lift",IF(AX1288&lt;=0,"Aussenlager","teilweise")))))</f>
        <v/>
      </c>
      <c r="BB1288" s="53">
        <f>IF(A1288="","",IF(BK1288=1,"Neu; ","")&amp;IF(AND(BK1288=0,BF1288&lt;0),"negativer Bestand (Export "&amp;BF1288&amp;"); ","")&amp;IF(I1288&lt;=0,"Kein Verbrauch; ","")&amp;IF(BO1288=1,"Lose – Fläche geschätzt; ","")&amp;IF(G1288&gt;AM1288,"Überbestand "&amp;ROUND(G1288-AM1288,0)&amp;" Stk / CHF "&amp;ROUND((G1288-AM1288)*F1288,0)&amp;"; ","")&amp;IF(AND(BT1288=1,BU1288&lt;BV1288),"MAX &lt; MB+LG; ","")&amp;IF(AND(BZ1288&gt;0,BY1288*10&gt;BZ1288),"zu hoch für Tablar; ","")&amp;IF(AND(BK1288=0,OR(BT1288=1,V1288&lt;&gt;"",S1288&lt;&gt;"",T1288&lt;&gt;"",W1288&lt;&gt;"")),"manuell übersteuert; ","")&amp;IF(AND(BO1288=0,Q1288=0),"Gebinde unbekannt; ","")&amp;IF(AND(BO1288=0,N(T1288)&lt;=0,N(P1288)&lt;=0),"Menge pro Gebinde fehlt (Ist = 1 Gebinde); ","")&amp;BJ1288)</f>
        <v/>
      </c>
      <c r="BC1288" s="53" t="n"/>
      <c r="BD1288" s="53" t="n"/>
      <c r="BE1288" s="61" t="n"/>
      <c r="BF1288" s="55" t="n">
        <v>-43</v>
      </c>
      <c r="BG1288" s="55" t="n">
        <v>154</v>
      </c>
      <c r="BH1288" s="54" t="n">
        <v>-1126.96</v>
      </c>
      <c r="BI1288" s="55" t="n">
        <v>42</v>
      </c>
      <c r="BJ1288" s="53" t="inlineStr"/>
      <c r="BK1288" s="58" t="n">
        <v>0</v>
      </c>
      <c r="BL1288" s="58" t="n">
        <v>1288</v>
      </c>
      <c r="BM1288" s="53">
        <f>IF(S1288&lt;&gt;"",UPPER(TRIM(S1288)),IF(O1288="","LOSE",O1288))</f>
        <v/>
      </c>
      <c r="BN1288" s="55">
        <f>IF(BM1288="LOSE",1,IF(N(T1288)&gt;0,T1288,IF(N(P1288)&gt;0,P1288,MAX(1,G1288))))</f>
        <v/>
      </c>
      <c r="BO1288" s="58">
        <f>IF(BM1288="LOSE",1,0)</f>
        <v/>
      </c>
      <c r="BP1288" s="64">
        <f>IF(BO1288=0,0,IF(N(R1288)&gt;0,R1288,IFERROR(VLOOKUP(D1288,Parameter!$A$35:$C$64,3,0)+0,0)))</f>
        <v/>
      </c>
      <c r="BQ1288" s="53">
        <f>IF(V1288&lt;&gt;"",V1288,U1288)</f>
        <v/>
      </c>
      <c r="BR1288" s="53">
        <f>IF(BQ1288=1,"L1",IF(OR(BQ1288=2,BQ1288=3),"L23",IF(BQ1288="Aussen","Aussen","-")))</f>
        <v/>
      </c>
      <c r="BS1288" s="66">
        <f>IF(N(W1288)&gt;0,W1288,0)</f>
        <v/>
      </c>
      <c r="BT1288" s="58">
        <f>IF(ISNUMBER(Z1288),1,0)</f>
        <v/>
      </c>
      <c r="BU1288" s="55">
        <f>N(Z1288)</f>
        <v/>
      </c>
      <c r="BV1288" s="55">
        <f>N(L1288)+N(M1288)</f>
        <v/>
      </c>
      <c r="BW1288" s="55">
        <f>ROUNDUP(G1288/BN1288,0)</f>
        <v/>
      </c>
      <c r="BX1288" s="55">
        <f>ROUNDUP(BU1288/BN1288,0)</f>
        <v/>
      </c>
      <c r="BY1288" s="58">
        <f>IF(BO1288=1,0,IFERROR(VLOOKUP(BM1288,'Gebinde-Kategorie'!$A$5:$G$45,5,0)+0,0))</f>
        <v/>
      </c>
      <c r="BZ1288" s="58">
        <f>IFERROR(IF(OR(BQ1288=1,BQ1288=2,BQ1288=3),N(INDEX(Parameter!$I$5:$I$7,BQ1288)),0),0)</f>
        <v/>
      </c>
    </row>
    <row r="1289">
      <c r="A1289" s="53" t="inlineStr">
        <is>
          <t>107684</t>
        </is>
      </c>
      <c r="B1289" s="53" t="inlineStr">
        <is>
          <t>Zylinderschraube mit Innensechskant</t>
        </is>
      </c>
      <c r="C1289" s="53" t="inlineStr">
        <is>
          <t>F</t>
        </is>
      </c>
      <c r="D1289" s="53" t="inlineStr">
        <is>
          <t>KTL</t>
        </is>
      </c>
      <c r="E1289" s="53" t="inlineStr">
        <is>
          <t>C</t>
        </is>
      </c>
      <c r="F1289" s="54" t="n">
        <v>0.14</v>
      </c>
      <c r="G1289" s="55">
        <f>MAX(0,IF(Parameter!$B$20="Jahresanfang 2025 + Export",BG1289+BF1289,BF1289))</f>
        <v/>
      </c>
      <c r="H1289" s="55">
        <f>G1289*F1289</f>
        <v/>
      </c>
      <c r="I1289" s="55">
        <f>BI1289*Parameter!$B$18</f>
        <v/>
      </c>
      <c r="J1289" s="56" t="n">
        <v>1861.5</v>
      </c>
      <c r="K1289" s="57" t="n">
        <v>1.16733816814397</v>
      </c>
      <c r="L1289" s="55" t="n">
        <v>127</v>
      </c>
      <c r="M1289" s="55" t="n">
        <v>1000</v>
      </c>
      <c r="N1289" s="58" t="n">
        <v>21</v>
      </c>
      <c r="O1289" s="53" t="inlineStr">
        <is>
          <t>S51</t>
        </is>
      </c>
      <c r="P1289" s="55" t="n">
        <v>1238</v>
      </c>
      <c r="Q1289" s="59">
        <f>IF(BO1289=1,0,IFERROR(VLOOKUP(BM1289,'Gebinde-Kategorie'!$A$5:$G$45,6,0)+0,0))</f>
        <v/>
      </c>
      <c r="R1289" s="60" t="n"/>
      <c r="S1289" s="61" t="n"/>
      <c r="T1289" s="61" t="n"/>
      <c r="U1289" s="53">
        <f>IF(A1289="","",IF(IFERROR(VLOOKUP(D1289,Parameter!$A$35:$C$64,2,0),"Nein")="2+3",IF(ISNUMBER(SEARCH("grosser Artikel",BJ1289)),2,IFERROR(VLOOKUP(BM1289,Parameter!$F$35:$G$64,2,0),2)),IF(OR(IFERROR(VLOOKUP(D1289,Parameter!$A$35:$C$64,2,0),"Nein")="Nein",IFERROR(VLOOKUP(D1289,Parameter!$A$35:$C$64,2,0),"Nein")=""),"-",VLOOKUP(D1289,Parameter!$A$35:$C$64,2,0))))</f>
        <v/>
      </c>
      <c r="V1289" s="61" t="n"/>
      <c r="W1289" s="62" t="n"/>
      <c r="X1289" s="55">
        <f>AM1289</f>
        <v/>
      </c>
      <c r="Y1289" s="55">
        <f>MAX(AM1289,G1289)</f>
        <v/>
      </c>
      <c r="Z1289" s="63" t="n"/>
      <c r="AA1289" s="55">
        <f>IF(LEFT(Cockpit!$C$5,1)="A",G1289,IF(BT1289=1,BU1289,IF(LEFT(Cockpit!$C$5,1)="B",AE1289,MAX(AE1289,G1289))))</f>
        <v/>
      </c>
      <c r="AB1289" s="55">
        <f>IF(BO1289=1,0,ROUNDUP(AA1289/BN1289,0))</f>
        <v/>
      </c>
      <c r="AC1289" s="64">
        <f>IF(BO1289=1,IF(AA1289&lt;=0,0,BP1289*MAX(1,IF(G1289&gt;0,AA1289/G1289,1))),AB1289*Q1289)</f>
        <v/>
      </c>
      <c r="AD1289" s="55">
        <f>AA1289*F1289</f>
        <v/>
      </c>
      <c r="AE1289" s="55">
        <f>ROUNDUP(MAX(I1289/IF(BS1289&gt;0,BS1289,MAX(0.1,N(Cockpit!$C$6))),BV1289)/BN1289,0)*BN1289</f>
        <v/>
      </c>
      <c r="AF1289" s="56">
        <f>IF(AC1289&gt;0,I1289/AC1289,-1)</f>
        <v/>
      </c>
      <c r="AG1289" s="56">
        <f>IF(AND(OR(BR1289="L1",BR1289="L23"),AC1289&gt;0),SUMIFS($AC$7:$AC$1570,$BR$7:$BR$1570,BR1289,$AF$7:$AF$1570,"&gt;"&amp;AF1289)+SUMIFS($AC$7:$AC$1570,$BR$7:$BR$1570,BR1289,$AF$7:$AF$1570,AF1289,$BL$7:$BL$1570,"&lt;="&amp;BL1289),"")</f>
        <v/>
      </c>
      <c r="AH1289" s="65">
        <f>IF(AG1289="",0,MAX(0,MIN(1,(IF(BR1289="L1",Parameter!$K$5,Parameter!$K$6+Parameter!$K$7)-(AG1289-AC1289))/AC1289)))</f>
        <v/>
      </c>
      <c r="AI1289" s="55">
        <f>IF(LEFT(Cockpit!$I$5,1)="A",G1289,IF(BT1289=1,BU1289,IF(LEFT(Cockpit!$I$5,1)="B",AM1289,MAX(AM1289,G1289))))</f>
        <v/>
      </c>
      <c r="AJ1289" s="55">
        <f>IF(BO1289=1,0,ROUNDUP(AI1289/BN1289,0))</f>
        <v/>
      </c>
      <c r="AK1289" s="64">
        <f>IF(BO1289=1,IF(AI1289&lt;=0,0,BP1289*MAX(1,IF(G1289&gt;0,AI1289/G1289,1))),AJ1289*Q1289)</f>
        <v/>
      </c>
      <c r="AL1289" s="55">
        <f>AI1289*F1289</f>
        <v/>
      </c>
      <c r="AM1289" s="55">
        <f>ROUNDUP(MAX(I1289/IF(BS1289&gt;0,BS1289,MAX(0.1,N(Cockpit!$I$6))),BV1289)/BN1289,0)*BN1289</f>
        <v/>
      </c>
      <c r="AN1289" s="56">
        <f>IF(AK1289&gt;0,I1289/AK1289,-1)</f>
        <v/>
      </c>
      <c r="AO1289" s="56">
        <f>IF(AND(OR(BR1289="L1",BR1289="L23"),AK1289&gt;0),SUMIFS($AK$7:$AK$1570,$BR$7:$BR$1570,BR1289,$AN$7:$AN$1570,"&gt;"&amp;AN1289)+SUMIFS($AK$7:$AK$1570,$BR$7:$BR$1570,BR1289,$AN$7:$AN$1570,AN1289,$BL$7:$BL$1570,"&lt;="&amp;BL1289),"")</f>
        <v/>
      </c>
      <c r="AP1289" s="65">
        <f>IF(AO1289="",0,MAX(0,MIN(1,(IF(BR1289="L1",Parameter!$K$5,Parameter!$K$6+Parameter!$K$7)-(AO1289-AK1289))/AK1289)))</f>
        <v/>
      </c>
      <c r="AQ1289" s="55">
        <f>IF(LEFT(Cockpit!$O$5,1)="A",G1289,IF(BT1289=1,BU1289,IF(LEFT(Cockpit!$O$5,1)="B",AU1289,MAX(AU1289,G1289))))</f>
        <v/>
      </c>
      <c r="AR1289" s="55">
        <f>IF(BO1289=1,0,ROUNDUP(AQ1289/BN1289,0))</f>
        <v/>
      </c>
      <c r="AS1289" s="64">
        <f>IF(BO1289=1,IF(AQ1289&lt;=0,0,BP1289*MAX(1,IF(G1289&gt;0,AQ1289/G1289,1))),AR1289*Q1289)</f>
        <v/>
      </c>
      <c r="AT1289" s="55">
        <f>AQ1289*F1289</f>
        <v/>
      </c>
      <c r="AU1289" s="55">
        <f>ROUNDUP(MAX(I1289/IF(BS1289&gt;0,BS1289,MAX(0.1,N(Cockpit!$O$6))),BV1289)/BN1289,0)*BN1289</f>
        <v/>
      </c>
      <c r="AV1289" s="56">
        <f>IF(AS1289&gt;0,I1289/AS1289,-1)</f>
        <v/>
      </c>
      <c r="AW1289" s="56">
        <f>IF(AND(OR(BR1289="L1",BR1289="L23"),AS1289&gt;0),SUMIFS($AS$7:$AS$1570,$BR$7:$BR$1570,BR1289,$AV$7:$AV$1570,"&gt;"&amp;AV1289)+SUMIFS($AS$7:$AS$1570,$BR$7:$BR$1570,BR1289,$AV$7:$AV$1570,AV1289,$BL$7:$BL$1570,"&lt;="&amp;BL1289),"")</f>
        <v/>
      </c>
      <c r="AX1289" s="65">
        <f>IF(AW1289="",0,MAX(0,MIN(1,(IF(BR1289="L1",Parameter!$K$5,Parameter!$K$6+Parameter!$K$7)-(AW1289-AS1289))/AS1289)))</f>
        <v/>
      </c>
      <c r="AY1289" s="53">
        <f>IF(AC1289&lt;=0,"",IF(BR1289="Aussen","Aussenlager",IF(BR1289="-","Nicht im Lift",IF(AH1289&gt;=1,"Lift",IF(AH1289&lt;=0,"Aussenlager","teilweise")))))</f>
        <v/>
      </c>
      <c r="AZ1289" s="53">
        <f>IF(AK1289&lt;=0,"",IF(BR1289="Aussen","Aussenlager",IF(BR1289="-","Nicht im Lift",IF(AP1289&gt;=1,"Lift",IF(AP1289&lt;=0,"Aussenlager","teilweise")))))</f>
        <v/>
      </c>
      <c r="BA1289" s="53">
        <f>IF(AS1289&lt;=0,"",IF(BR1289="Aussen","Aussenlager",IF(BR1289="-","Nicht im Lift",IF(AX1289&gt;=1,"Lift",IF(AX1289&lt;=0,"Aussenlager","teilweise")))))</f>
        <v/>
      </c>
      <c r="BB1289" s="53">
        <f>IF(A1289="","",IF(BK1289=1,"Neu; ","")&amp;IF(AND(BK1289=0,BF1289&lt;0),"negativer Bestand (Export "&amp;BF1289&amp;"); ","")&amp;IF(I1289&lt;=0,"Kein Verbrauch; ","")&amp;IF(BO1289=1,"Lose – Fläche geschätzt; ","")&amp;IF(G1289&gt;AM1289,"Überbestand "&amp;ROUND(G1289-AM1289,0)&amp;" Stk / CHF "&amp;ROUND((G1289-AM1289)*F1289,0)&amp;"; ","")&amp;IF(AND(BT1289=1,BU1289&lt;BV1289),"MAX &lt; MB+LG; ","")&amp;IF(AND(BZ1289&gt;0,BY1289*10&gt;BZ1289),"zu hoch für Tablar; ","")&amp;IF(AND(BK1289=0,OR(BT1289=1,V1289&lt;&gt;"",S1289&lt;&gt;"",T1289&lt;&gt;"",W1289&lt;&gt;"")),"manuell übersteuert; ","")&amp;IF(AND(BO1289=0,Q1289=0),"Gebinde unbekannt; ","")&amp;IF(AND(BO1289=0,N(T1289)&lt;=0,N(P1289)&lt;=0),"Menge pro Gebinde fehlt (Ist = 1 Gebinde); ","")&amp;BJ1289)</f>
        <v/>
      </c>
      <c r="BC1289" s="53" t="n"/>
      <c r="BD1289" s="53" t="n"/>
      <c r="BE1289" s="61" t="n"/>
      <c r="BF1289" s="55" t="n">
        <v>-2641</v>
      </c>
      <c r="BG1289" s="55" t="n">
        <v>3314</v>
      </c>
      <c r="BH1289" s="54" t="n">
        <v>-1130.580000000001</v>
      </c>
      <c r="BI1289" s="55" t="n">
        <v>2173</v>
      </c>
      <c r="BJ1289" s="53" t="inlineStr"/>
      <c r="BK1289" s="58" t="n">
        <v>0</v>
      </c>
      <c r="BL1289" s="58" t="n">
        <v>1289</v>
      </c>
      <c r="BM1289" s="53">
        <f>IF(S1289&lt;&gt;"",UPPER(TRIM(S1289)),IF(O1289="","LOSE",O1289))</f>
        <v/>
      </c>
      <c r="BN1289" s="55">
        <f>IF(BM1289="LOSE",1,IF(N(T1289)&gt;0,T1289,IF(N(P1289)&gt;0,P1289,MAX(1,G1289))))</f>
        <v/>
      </c>
      <c r="BO1289" s="58">
        <f>IF(BM1289="LOSE",1,0)</f>
        <v/>
      </c>
      <c r="BP1289" s="64">
        <f>IF(BO1289=0,0,IF(N(R1289)&gt;0,R1289,IFERROR(VLOOKUP(D1289,Parameter!$A$35:$C$64,3,0)+0,0)))</f>
        <v/>
      </c>
      <c r="BQ1289" s="53">
        <f>IF(V1289&lt;&gt;"",V1289,U1289)</f>
        <v/>
      </c>
      <c r="BR1289" s="53">
        <f>IF(BQ1289=1,"L1",IF(OR(BQ1289=2,BQ1289=3),"L23",IF(BQ1289="Aussen","Aussen","-")))</f>
        <v/>
      </c>
      <c r="BS1289" s="66">
        <f>IF(N(W1289)&gt;0,W1289,0)</f>
        <v/>
      </c>
      <c r="BT1289" s="58">
        <f>IF(ISNUMBER(Z1289),1,0)</f>
        <v/>
      </c>
      <c r="BU1289" s="55">
        <f>N(Z1289)</f>
        <v/>
      </c>
      <c r="BV1289" s="55">
        <f>N(L1289)+N(M1289)</f>
        <v/>
      </c>
      <c r="BW1289" s="55">
        <f>ROUNDUP(G1289/BN1289,0)</f>
        <v/>
      </c>
      <c r="BX1289" s="55">
        <f>ROUNDUP(BU1289/BN1289,0)</f>
        <v/>
      </c>
      <c r="BY1289" s="58">
        <f>IF(BO1289=1,0,IFERROR(VLOOKUP(BM1289,'Gebinde-Kategorie'!$A$5:$G$45,5,0)+0,0))</f>
        <v/>
      </c>
      <c r="BZ1289" s="58">
        <f>IFERROR(IF(OR(BQ1289=1,BQ1289=2,BQ1289=3),N(INDEX(Parameter!$I$5:$I$7,BQ1289)),0),0)</f>
        <v/>
      </c>
    </row>
    <row r="1290">
      <c r="A1290" s="53" t="inlineStr">
        <is>
          <t>OC-106572</t>
        </is>
      </c>
      <c r="B1290" s="53" t="inlineStr">
        <is>
          <t>Austrittsdüse SPGr16</t>
        </is>
      </c>
      <c r="C1290" s="53" t="inlineStr">
        <is>
          <t>G</t>
        </is>
      </c>
      <c r="D1290" s="53" t="inlineStr">
        <is>
          <t>OCC</t>
        </is>
      </c>
      <c r="E1290" s="53" t="inlineStr">
        <is>
          <t>C</t>
        </is>
      </c>
      <c r="F1290" s="54" t="n">
        <v>1133.33</v>
      </c>
      <c r="G1290" s="55">
        <f>MAX(0,IF(Parameter!$B$20="Jahresanfang 2025 + Export",BG1290+BF1290,BF1290))</f>
        <v/>
      </c>
      <c r="H1290" s="55">
        <f>G1290*F1290</f>
        <v/>
      </c>
      <c r="I1290" s="55">
        <f>BI1290*Parameter!$B$18</f>
        <v/>
      </c>
      <c r="J1290" s="56" t="n">
        <v>0.5</v>
      </c>
      <c r="K1290" s="57" t="n">
        <v>0</v>
      </c>
      <c r="L1290" s="55" t="n">
        <v>0</v>
      </c>
      <c r="M1290" s="55" t="n">
        <v>0</v>
      </c>
      <c r="N1290" s="58" t="n">
        <v>70</v>
      </c>
      <c r="O1290" s="53" t="inlineStr">
        <is>
          <t>LOSE</t>
        </is>
      </c>
      <c r="P1290" s="55" t="n"/>
      <c r="Q1290" s="59">
        <f>IF(BO1290=1,0,IFERROR(VLOOKUP(BM1290,'Gebinde-Kategorie'!$A$5:$G$45,6,0)+0,0))</f>
        <v/>
      </c>
      <c r="R1290" s="60" t="n"/>
      <c r="S1290" s="61" t="n"/>
      <c r="T1290" s="61" t="n"/>
      <c r="U1290" s="53">
        <f>IF(A1290="","",IF(IFERROR(VLOOKUP(D1290,Parameter!$A$35:$C$64,2,0),"Nein")="2+3",IF(ISNUMBER(SEARCH("grosser Artikel",BJ1290)),2,IFERROR(VLOOKUP(BM1290,Parameter!$F$35:$G$64,2,0),2)),IF(OR(IFERROR(VLOOKUP(D1290,Parameter!$A$35:$C$64,2,0),"Nein")="Nein",IFERROR(VLOOKUP(D1290,Parameter!$A$35:$C$64,2,0),"Nein")=""),"-",VLOOKUP(D1290,Parameter!$A$35:$C$64,2,0))))</f>
        <v/>
      </c>
      <c r="V1290" s="61" t="n"/>
      <c r="W1290" s="62" t="n"/>
      <c r="X1290" s="55">
        <f>AM1290</f>
        <v/>
      </c>
      <c r="Y1290" s="55">
        <f>MAX(AM1290,G1290)</f>
        <v/>
      </c>
      <c r="Z1290" s="63" t="n"/>
      <c r="AA1290" s="55">
        <f>IF(LEFT(Cockpit!$C$5,1)="A",G1290,IF(BT1290=1,BU1290,IF(LEFT(Cockpit!$C$5,1)="B",AE1290,MAX(AE1290,G1290))))</f>
        <v/>
      </c>
      <c r="AB1290" s="55">
        <f>IF(BO1290=1,0,ROUNDUP(AA1290/BN1290,0))</f>
        <v/>
      </c>
      <c r="AC1290" s="64">
        <f>IF(BO1290=1,IF(AA1290&lt;=0,0,BP1290*MAX(1,IF(G1290&gt;0,AA1290/G1290,1))),AB1290*Q1290)</f>
        <v/>
      </c>
      <c r="AD1290" s="55">
        <f>AA1290*F1290</f>
        <v/>
      </c>
      <c r="AE1290" s="55">
        <f>ROUNDUP(MAX(I1290/IF(BS1290&gt;0,BS1290,MAX(0.1,N(Cockpit!$C$6))),BV1290)/BN1290,0)*BN1290</f>
        <v/>
      </c>
      <c r="AF1290" s="56">
        <f>IF(AC1290&gt;0,I1290/AC1290,-1)</f>
        <v/>
      </c>
      <c r="AG1290" s="56">
        <f>IF(AND(OR(BR1290="L1",BR1290="L23"),AC1290&gt;0),SUMIFS($AC$7:$AC$1570,$BR$7:$BR$1570,BR1290,$AF$7:$AF$1570,"&gt;"&amp;AF1290)+SUMIFS($AC$7:$AC$1570,$BR$7:$BR$1570,BR1290,$AF$7:$AF$1570,AF1290,$BL$7:$BL$1570,"&lt;="&amp;BL1290),"")</f>
        <v/>
      </c>
      <c r="AH1290" s="65">
        <f>IF(AG1290="",0,MAX(0,MIN(1,(IF(BR1290="L1",Parameter!$K$5,Parameter!$K$6+Parameter!$K$7)-(AG1290-AC1290))/AC1290)))</f>
        <v/>
      </c>
      <c r="AI1290" s="55">
        <f>IF(LEFT(Cockpit!$I$5,1)="A",G1290,IF(BT1290=1,BU1290,IF(LEFT(Cockpit!$I$5,1)="B",AM1290,MAX(AM1290,G1290))))</f>
        <v/>
      </c>
      <c r="AJ1290" s="55">
        <f>IF(BO1290=1,0,ROUNDUP(AI1290/BN1290,0))</f>
        <v/>
      </c>
      <c r="AK1290" s="64">
        <f>IF(BO1290=1,IF(AI1290&lt;=0,0,BP1290*MAX(1,IF(G1290&gt;0,AI1290/G1290,1))),AJ1290*Q1290)</f>
        <v/>
      </c>
      <c r="AL1290" s="55">
        <f>AI1290*F1290</f>
        <v/>
      </c>
      <c r="AM1290" s="55">
        <f>ROUNDUP(MAX(I1290/IF(BS1290&gt;0,BS1290,MAX(0.1,N(Cockpit!$I$6))),BV1290)/BN1290,0)*BN1290</f>
        <v/>
      </c>
      <c r="AN1290" s="56">
        <f>IF(AK1290&gt;0,I1290/AK1290,-1)</f>
        <v/>
      </c>
      <c r="AO1290" s="56">
        <f>IF(AND(OR(BR1290="L1",BR1290="L23"),AK1290&gt;0),SUMIFS($AK$7:$AK$1570,$BR$7:$BR$1570,BR1290,$AN$7:$AN$1570,"&gt;"&amp;AN1290)+SUMIFS($AK$7:$AK$1570,$BR$7:$BR$1570,BR1290,$AN$7:$AN$1570,AN1290,$BL$7:$BL$1570,"&lt;="&amp;BL1290),"")</f>
        <v/>
      </c>
      <c r="AP1290" s="65">
        <f>IF(AO1290="",0,MAX(0,MIN(1,(IF(BR1290="L1",Parameter!$K$5,Parameter!$K$6+Parameter!$K$7)-(AO1290-AK1290))/AK1290)))</f>
        <v/>
      </c>
      <c r="AQ1290" s="55">
        <f>IF(LEFT(Cockpit!$O$5,1)="A",G1290,IF(BT1290=1,BU1290,IF(LEFT(Cockpit!$O$5,1)="B",AU1290,MAX(AU1290,G1290))))</f>
        <v/>
      </c>
      <c r="AR1290" s="55">
        <f>IF(BO1290=1,0,ROUNDUP(AQ1290/BN1290,0))</f>
        <v/>
      </c>
      <c r="AS1290" s="64">
        <f>IF(BO1290=1,IF(AQ1290&lt;=0,0,BP1290*MAX(1,IF(G1290&gt;0,AQ1290/G1290,1))),AR1290*Q1290)</f>
        <v/>
      </c>
      <c r="AT1290" s="55">
        <f>AQ1290*F1290</f>
        <v/>
      </c>
      <c r="AU1290" s="55">
        <f>ROUNDUP(MAX(I1290/IF(BS1290&gt;0,BS1290,MAX(0.1,N(Cockpit!$O$6))),BV1290)/BN1290,0)*BN1290</f>
        <v/>
      </c>
      <c r="AV1290" s="56">
        <f>IF(AS1290&gt;0,I1290/AS1290,-1)</f>
        <v/>
      </c>
      <c r="AW1290" s="56">
        <f>IF(AND(OR(BR1290="L1",BR1290="L23"),AS1290&gt;0),SUMIFS($AS$7:$AS$1570,$BR$7:$BR$1570,BR1290,$AV$7:$AV$1570,"&gt;"&amp;AV1290)+SUMIFS($AS$7:$AS$1570,$BR$7:$BR$1570,BR1290,$AV$7:$AV$1570,AV1290,$BL$7:$BL$1570,"&lt;="&amp;BL1290),"")</f>
        <v/>
      </c>
      <c r="AX1290" s="65">
        <f>IF(AW1290="",0,MAX(0,MIN(1,(IF(BR1290="L1",Parameter!$K$5,Parameter!$K$6+Parameter!$K$7)-(AW1290-AS1290))/AS1290)))</f>
        <v/>
      </c>
      <c r="AY1290" s="53">
        <f>IF(AC1290&lt;=0,"",IF(BR1290="Aussen","Aussenlager",IF(BR1290="-","Nicht im Lift",IF(AH1290&gt;=1,"Lift",IF(AH1290&lt;=0,"Aussenlager","teilweise")))))</f>
        <v/>
      </c>
      <c r="AZ1290" s="53">
        <f>IF(AK1290&lt;=0,"",IF(BR1290="Aussen","Aussenlager",IF(BR1290="-","Nicht im Lift",IF(AP1290&gt;=1,"Lift",IF(AP1290&lt;=0,"Aussenlager","teilweise")))))</f>
        <v/>
      </c>
      <c r="BA1290" s="53">
        <f>IF(AS1290&lt;=0,"",IF(BR1290="Aussen","Aussenlager",IF(BR1290="-","Nicht im Lift",IF(AX1290&gt;=1,"Lift",IF(AX1290&lt;=0,"Aussenlager","teilweise")))))</f>
        <v/>
      </c>
      <c r="BB1290" s="53">
        <f>IF(A1290="","",IF(BK1290=1,"Neu; ","")&amp;IF(AND(BK1290=0,BF1290&lt;0),"negativer Bestand (Export "&amp;BF1290&amp;"); ","")&amp;IF(I1290&lt;=0,"Kein Verbrauch; ","")&amp;IF(BO1290=1,"Lose – Fläche geschätzt; ","")&amp;IF(G1290&gt;AM1290,"Überbestand "&amp;ROUND(G1290-AM1290,0)&amp;" Stk / CHF "&amp;ROUND((G1290-AM1290)*F1290,0)&amp;"; ","")&amp;IF(AND(BT1290=1,BU1290&lt;BV1290),"MAX &lt; MB+LG; ","")&amp;IF(AND(BZ1290&gt;0,BY1290*10&gt;BZ1290),"zu hoch für Tablar; ","")&amp;IF(AND(BK1290=0,OR(BT1290=1,V1290&lt;&gt;"",S1290&lt;&gt;"",T1290&lt;&gt;"",W1290&lt;&gt;"")),"manuell übersteuert; ","")&amp;IF(AND(BO1290=0,Q1290=0),"Gebinde unbekannt; ","")&amp;IF(AND(BO1290=0,N(T1290)&lt;=0,N(P1290)&lt;=0),"Menge pro Gebinde fehlt (Ist = 1 Gebinde); ","")&amp;BJ1290)</f>
        <v/>
      </c>
      <c r="BC1290" s="53" t="n"/>
      <c r="BD1290" s="53" t="n"/>
      <c r="BE1290" s="61" t="n"/>
      <c r="BF1290" s="55" t="n">
        <v>-1</v>
      </c>
      <c r="BG1290" s="55" t="n">
        <v>1</v>
      </c>
      <c r="BH1290" s="54" t="n">
        <v>-1133.33</v>
      </c>
      <c r="BI1290" s="55" t="n">
        <v>0</v>
      </c>
      <c r="BJ1290" s="53" t="inlineStr"/>
      <c r="BK1290" s="58" t="n">
        <v>0</v>
      </c>
      <c r="BL1290" s="58" t="n">
        <v>1290</v>
      </c>
      <c r="BM1290" s="53">
        <f>IF(S1290&lt;&gt;"",UPPER(TRIM(S1290)),IF(O1290="","LOSE",O1290))</f>
        <v/>
      </c>
      <c r="BN1290" s="55">
        <f>IF(BM1290="LOSE",1,IF(N(T1290)&gt;0,T1290,IF(N(P1290)&gt;0,P1290,MAX(1,G1290))))</f>
        <v/>
      </c>
      <c r="BO1290" s="58">
        <f>IF(BM1290="LOSE",1,0)</f>
        <v/>
      </c>
      <c r="BP1290" s="64">
        <f>IF(BO1290=0,0,IF(N(R1290)&gt;0,R1290,IFERROR(VLOOKUP(D1290,Parameter!$A$35:$C$64,3,0)+0,0)))</f>
        <v/>
      </c>
      <c r="BQ1290" s="53">
        <f>IF(V1290&lt;&gt;"",V1290,U1290)</f>
        <v/>
      </c>
      <c r="BR1290" s="53">
        <f>IF(BQ1290=1,"L1",IF(OR(BQ1290=2,BQ1290=3),"L23",IF(BQ1290="Aussen","Aussen","-")))</f>
        <v/>
      </c>
      <c r="BS1290" s="66">
        <f>IF(N(W1290)&gt;0,W1290,0)</f>
        <v/>
      </c>
      <c r="BT1290" s="58">
        <f>IF(ISNUMBER(Z1290),1,0)</f>
        <v/>
      </c>
      <c r="BU1290" s="55">
        <f>N(Z1290)</f>
        <v/>
      </c>
      <c r="BV1290" s="55">
        <f>N(L1290)+N(M1290)</f>
        <v/>
      </c>
      <c r="BW1290" s="55">
        <f>ROUNDUP(G1290/BN1290,0)</f>
        <v/>
      </c>
      <c r="BX1290" s="55">
        <f>ROUNDUP(BU1290/BN1290,0)</f>
        <v/>
      </c>
      <c r="BY1290" s="58">
        <f>IF(BO1290=1,0,IFERROR(VLOOKUP(BM1290,'Gebinde-Kategorie'!$A$5:$G$45,5,0)+0,0))</f>
        <v/>
      </c>
      <c r="BZ1290" s="58">
        <f>IFERROR(IF(OR(BQ1290=1,BQ1290=2,BQ1290=3),N(INDEX(Parameter!$I$5:$I$7,BQ1290)),0),0)</f>
        <v/>
      </c>
    </row>
    <row r="1291">
      <c r="A1291" s="53" t="inlineStr">
        <is>
          <t>103761</t>
        </is>
      </c>
      <c r="B1291" s="53" t="inlineStr">
        <is>
          <t>Horizontalwagen</t>
        </is>
      </c>
      <c r="C1291" s="53" t="inlineStr">
        <is>
          <t>F</t>
        </is>
      </c>
      <c r="D1291" s="53" t="inlineStr">
        <is>
          <t>PAL</t>
        </is>
      </c>
      <c r="E1291" s="53" t="inlineStr">
        <is>
          <t>C</t>
        </is>
      </c>
      <c r="F1291" s="54" t="n">
        <v>1160</v>
      </c>
      <c r="G1291" s="55">
        <f>MAX(0,IF(Parameter!$B$20="Jahresanfang 2025 + Export",BG1291+BF1291,BF1291))</f>
        <v/>
      </c>
      <c r="H1291" s="55">
        <f>G1291*F1291</f>
        <v/>
      </c>
      <c r="I1291" s="55">
        <f>BI1291*Parameter!$B$18</f>
        <v/>
      </c>
      <c r="J1291" s="56" t="n">
        <v>1</v>
      </c>
      <c r="K1291" s="57" t="n">
        <v>0</v>
      </c>
      <c r="L1291" s="55" t="n">
        <v>0</v>
      </c>
      <c r="M1291" s="55" t="n">
        <v>1</v>
      </c>
      <c r="N1291" s="58" t="n">
        <v>35</v>
      </c>
      <c r="O1291" s="53" t="inlineStr">
        <is>
          <t>LOSE</t>
        </is>
      </c>
      <c r="P1291" s="55" t="n"/>
      <c r="Q1291" s="59">
        <f>IF(BO1291=1,0,IFERROR(VLOOKUP(BM1291,'Gebinde-Kategorie'!$A$5:$G$45,6,0)+0,0))</f>
        <v/>
      </c>
      <c r="R1291" s="60" t="n"/>
      <c r="S1291" s="61" t="n"/>
      <c r="T1291" s="61" t="n"/>
      <c r="U1291" s="53">
        <f>IF(A1291="","",IF(IFERROR(VLOOKUP(D1291,Parameter!$A$35:$C$64,2,0),"Nein")="2+3",IF(ISNUMBER(SEARCH("grosser Artikel",BJ1291)),2,IFERROR(VLOOKUP(BM1291,Parameter!$F$35:$G$64,2,0),2)),IF(OR(IFERROR(VLOOKUP(D1291,Parameter!$A$35:$C$64,2,0),"Nein")="Nein",IFERROR(VLOOKUP(D1291,Parameter!$A$35:$C$64,2,0),"Nein")=""),"-",VLOOKUP(D1291,Parameter!$A$35:$C$64,2,0))))</f>
        <v/>
      </c>
      <c r="V1291" s="61" t="n"/>
      <c r="W1291" s="62" t="n"/>
      <c r="X1291" s="55">
        <f>AM1291</f>
        <v/>
      </c>
      <c r="Y1291" s="55">
        <f>MAX(AM1291,G1291)</f>
        <v/>
      </c>
      <c r="Z1291" s="63" t="n"/>
      <c r="AA1291" s="55">
        <f>IF(LEFT(Cockpit!$C$5,1)="A",G1291,IF(BT1291=1,BU1291,IF(LEFT(Cockpit!$C$5,1)="B",AE1291,MAX(AE1291,G1291))))</f>
        <v/>
      </c>
      <c r="AB1291" s="55">
        <f>IF(BO1291=1,0,ROUNDUP(AA1291/BN1291,0))</f>
        <v/>
      </c>
      <c r="AC1291" s="64">
        <f>IF(BO1291=1,IF(AA1291&lt;=0,0,BP1291*MAX(1,IF(G1291&gt;0,AA1291/G1291,1))),AB1291*Q1291)</f>
        <v/>
      </c>
      <c r="AD1291" s="55">
        <f>AA1291*F1291</f>
        <v/>
      </c>
      <c r="AE1291" s="55">
        <f>ROUNDUP(MAX(I1291/IF(BS1291&gt;0,BS1291,MAX(0.1,N(Cockpit!$C$6))),BV1291)/BN1291,0)*BN1291</f>
        <v/>
      </c>
      <c r="AF1291" s="56">
        <f>IF(AC1291&gt;0,I1291/AC1291,-1)</f>
        <v/>
      </c>
      <c r="AG1291" s="56">
        <f>IF(AND(OR(BR1291="L1",BR1291="L23"),AC1291&gt;0),SUMIFS($AC$7:$AC$1570,$BR$7:$BR$1570,BR1291,$AF$7:$AF$1570,"&gt;"&amp;AF1291)+SUMIFS($AC$7:$AC$1570,$BR$7:$BR$1570,BR1291,$AF$7:$AF$1570,AF1291,$BL$7:$BL$1570,"&lt;="&amp;BL1291),"")</f>
        <v/>
      </c>
      <c r="AH1291" s="65">
        <f>IF(AG1291="",0,MAX(0,MIN(1,(IF(BR1291="L1",Parameter!$K$5,Parameter!$K$6+Parameter!$K$7)-(AG1291-AC1291))/AC1291)))</f>
        <v/>
      </c>
      <c r="AI1291" s="55">
        <f>IF(LEFT(Cockpit!$I$5,1)="A",G1291,IF(BT1291=1,BU1291,IF(LEFT(Cockpit!$I$5,1)="B",AM1291,MAX(AM1291,G1291))))</f>
        <v/>
      </c>
      <c r="AJ1291" s="55">
        <f>IF(BO1291=1,0,ROUNDUP(AI1291/BN1291,0))</f>
        <v/>
      </c>
      <c r="AK1291" s="64">
        <f>IF(BO1291=1,IF(AI1291&lt;=0,0,BP1291*MAX(1,IF(G1291&gt;0,AI1291/G1291,1))),AJ1291*Q1291)</f>
        <v/>
      </c>
      <c r="AL1291" s="55">
        <f>AI1291*F1291</f>
        <v/>
      </c>
      <c r="AM1291" s="55">
        <f>ROUNDUP(MAX(I1291/IF(BS1291&gt;0,BS1291,MAX(0.1,N(Cockpit!$I$6))),BV1291)/BN1291,0)*BN1291</f>
        <v/>
      </c>
      <c r="AN1291" s="56">
        <f>IF(AK1291&gt;0,I1291/AK1291,-1)</f>
        <v/>
      </c>
      <c r="AO1291" s="56">
        <f>IF(AND(OR(BR1291="L1",BR1291="L23"),AK1291&gt;0),SUMIFS($AK$7:$AK$1570,$BR$7:$BR$1570,BR1291,$AN$7:$AN$1570,"&gt;"&amp;AN1291)+SUMIFS($AK$7:$AK$1570,$BR$7:$BR$1570,BR1291,$AN$7:$AN$1570,AN1291,$BL$7:$BL$1570,"&lt;="&amp;BL1291),"")</f>
        <v/>
      </c>
      <c r="AP1291" s="65">
        <f>IF(AO1291="",0,MAX(0,MIN(1,(IF(BR1291="L1",Parameter!$K$5,Parameter!$K$6+Parameter!$K$7)-(AO1291-AK1291))/AK1291)))</f>
        <v/>
      </c>
      <c r="AQ1291" s="55">
        <f>IF(LEFT(Cockpit!$O$5,1)="A",G1291,IF(BT1291=1,BU1291,IF(LEFT(Cockpit!$O$5,1)="B",AU1291,MAX(AU1291,G1291))))</f>
        <v/>
      </c>
      <c r="AR1291" s="55">
        <f>IF(BO1291=1,0,ROUNDUP(AQ1291/BN1291,0))</f>
        <v/>
      </c>
      <c r="AS1291" s="64">
        <f>IF(BO1291=1,IF(AQ1291&lt;=0,0,BP1291*MAX(1,IF(G1291&gt;0,AQ1291/G1291,1))),AR1291*Q1291)</f>
        <v/>
      </c>
      <c r="AT1291" s="55">
        <f>AQ1291*F1291</f>
        <v/>
      </c>
      <c r="AU1291" s="55">
        <f>ROUNDUP(MAX(I1291/IF(BS1291&gt;0,BS1291,MAX(0.1,N(Cockpit!$O$6))),BV1291)/BN1291,0)*BN1291</f>
        <v/>
      </c>
      <c r="AV1291" s="56">
        <f>IF(AS1291&gt;0,I1291/AS1291,-1)</f>
        <v/>
      </c>
      <c r="AW1291" s="56">
        <f>IF(AND(OR(BR1291="L1",BR1291="L23"),AS1291&gt;0),SUMIFS($AS$7:$AS$1570,$BR$7:$BR$1570,BR1291,$AV$7:$AV$1570,"&gt;"&amp;AV1291)+SUMIFS($AS$7:$AS$1570,$BR$7:$BR$1570,BR1291,$AV$7:$AV$1570,AV1291,$BL$7:$BL$1570,"&lt;="&amp;BL1291),"")</f>
        <v/>
      </c>
      <c r="AX1291" s="65">
        <f>IF(AW1291="",0,MAX(0,MIN(1,(IF(BR1291="L1",Parameter!$K$5,Parameter!$K$6+Parameter!$K$7)-(AW1291-AS1291))/AS1291)))</f>
        <v/>
      </c>
      <c r="AY1291" s="53">
        <f>IF(AC1291&lt;=0,"",IF(BR1291="Aussen","Aussenlager",IF(BR1291="-","Nicht im Lift",IF(AH1291&gt;=1,"Lift",IF(AH1291&lt;=0,"Aussenlager","teilweise")))))</f>
        <v/>
      </c>
      <c r="AZ1291" s="53">
        <f>IF(AK1291&lt;=0,"",IF(BR1291="Aussen","Aussenlager",IF(BR1291="-","Nicht im Lift",IF(AP1291&gt;=1,"Lift",IF(AP1291&lt;=0,"Aussenlager","teilweise")))))</f>
        <v/>
      </c>
      <c r="BA1291" s="53">
        <f>IF(AS1291&lt;=0,"",IF(BR1291="Aussen","Aussenlager",IF(BR1291="-","Nicht im Lift",IF(AX1291&gt;=1,"Lift",IF(AX1291&lt;=0,"Aussenlager","teilweise")))))</f>
        <v/>
      </c>
      <c r="BB1291" s="53">
        <f>IF(A1291="","",IF(BK1291=1,"Neu; ","")&amp;IF(AND(BK1291=0,BF1291&lt;0),"negativer Bestand (Export "&amp;BF1291&amp;"); ","")&amp;IF(I1291&lt;=0,"Kein Verbrauch; ","")&amp;IF(BO1291=1,"Lose – Fläche geschätzt; ","")&amp;IF(G1291&gt;AM1291,"Überbestand "&amp;ROUND(G1291-AM1291,0)&amp;" Stk / CHF "&amp;ROUND((G1291-AM1291)*F1291,0)&amp;"; ","")&amp;IF(AND(BT1291=1,BU1291&lt;BV1291),"MAX &lt; MB+LG; ","")&amp;IF(AND(BZ1291&gt;0,BY1291*10&gt;BZ1291),"zu hoch für Tablar; ","")&amp;IF(AND(BK1291=0,OR(BT1291=1,V1291&lt;&gt;"",S1291&lt;&gt;"",T1291&lt;&gt;"",W1291&lt;&gt;"")),"manuell übersteuert; ","")&amp;IF(AND(BO1291=0,Q1291=0),"Gebinde unbekannt; ","")&amp;IF(AND(BO1291=0,N(T1291)&lt;=0,N(P1291)&lt;=0),"Menge pro Gebinde fehlt (Ist = 1 Gebinde); ","")&amp;BJ1291)</f>
        <v/>
      </c>
      <c r="BC1291" s="53" t="n"/>
      <c r="BD1291" s="53" t="n"/>
      <c r="BE1291" s="61" t="n"/>
      <c r="BF1291" s="55" t="n">
        <v>-1</v>
      </c>
      <c r="BG1291" s="55" t="n">
        <v>1</v>
      </c>
      <c r="BH1291" s="54" t="n">
        <v>-1160</v>
      </c>
      <c r="BI1291" s="55" t="n">
        <v>0</v>
      </c>
      <c r="BJ1291" s="53" t="inlineStr"/>
      <c r="BK1291" s="58" t="n">
        <v>0</v>
      </c>
      <c r="BL1291" s="58" t="n">
        <v>1291</v>
      </c>
      <c r="BM1291" s="53">
        <f>IF(S1291&lt;&gt;"",UPPER(TRIM(S1291)),IF(O1291="","LOSE",O1291))</f>
        <v/>
      </c>
      <c r="BN1291" s="55">
        <f>IF(BM1291="LOSE",1,IF(N(T1291)&gt;0,T1291,IF(N(P1291)&gt;0,P1291,MAX(1,G1291))))</f>
        <v/>
      </c>
      <c r="BO1291" s="58">
        <f>IF(BM1291="LOSE",1,0)</f>
        <v/>
      </c>
      <c r="BP1291" s="64">
        <f>IF(BO1291=0,0,IF(N(R1291)&gt;0,R1291,IFERROR(VLOOKUP(D1291,Parameter!$A$35:$C$64,3,0)+0,0)))</f>
        <v/>
      </c>
      <c r="BQ1291" s="53">
        <f>IF(V1291&lt;&gt;"",V1291,U1291)</f>
        <v/>
      </c>
      <c r="BR1291" s="53">
        <f>IF(BQ1291=1,"L1",IF(OR(BQ1291=2,BQ1291=3),"L23",IF(BQ1291="Aussen","Aussen","-")))</f>
        <v/>
      </c>
      <c r="BS1291" s="66">
        <f>IF(N(W1291)&gt;0,W1291,0)</f>
        <v/>
      </c>
      <c r="BT1291" s="58">
        <f>IF(ISNUMBER(Z1291),1,0)</f>
        <v/>
      </c>
      <c r="BU1291" s="55">
        <f>N(Z1291)</f>
        <v/>
      </c>
      <c r="BV1291" s="55">
        <f>N(L1291)+N(M1291)</f>
        <v/>
      </c>
      <c r="BW1291" s="55">
        <f>ROUNDUP(G1291/BN1291,0)</f>
        <v/>
      </c>
      <c r="BX1291" s="55">
        <f>ROUNDUP(BU1291/BN1291,0)</f>
        <v/>
      </c>
      <c r="BY1291" s="58">
        <f>IF(BO1291=1,0,IFERROR(VLOOKUP(BM1291,'Gebinde-Kategorie'!$A$5:$G$45,5,0)+0,0))</f>
        <v/>
      </c>
      <c r="BZ1291" s="58">
        <f>IFERROR(IF(OR(BQ1291=1,BQ1291=2,BQ1291=3),N(INDEX(Parameter!$I$5:$I$7,BQ1291)),0),0)</f>
        <v/>
      </c>
    </row>
    <row r="1292">
      <c r="A1292" s="53" t="inlineStr">
        <is>
          <t>005128</t>
        </is>
      </c>
      <c r="B1292" s="53" t="inlineStr">
        <is>
          <t>Relais komplett</t>
        </is>
      </c>
      <c r="C1292" s="53" t="inlineStr">
        <is>
          <t>F</t>
        </is>
      </c>
      <c r="D1292" s="53" t="inlineStr">
        <is>
          <t>KTL</t>
        </is>
      </c>
      <c r="E1292" s="53" t="inlineStr">
        <is>
          <t>C</t>
        </is>
      </c>
      <c r="F1292" s="54" t="n">
        <v>16.14</v>
      </c>
      <c r="G1292" s="55">
        <f>MAX(0,IF(Parameter!$B$20="Jahresanfang 2025 + Export",BG1292+BF1292,BF1292))</f>
        <v/>
      </c>
      <c r="H1292" s="55">
        <f>G1292*F1292</f>
        <v/>
      </c>
      <c r="I1292" s="55">
        <f>BI1292*Parameter!$B$18</f>
        <v/>
      </c>
      <c r="J1292" s="56" t="n">
        <v>61.5</v>
      </c>
      <c r="K1292" s="57" t="n">
        <v>0.8617886178861789</v>
      </c>
      <c r="L1292" s="55" t="n">
        <v>3</v>
      </c>
      <c r="M1292" s="55" t="n">
        <v>55</v>
      </c>
      <c r="N1292" s="58" t="n">
        <v>21</v>
      </c>
      <c r="O1292" s="53" t="inlineStr">
        <is>
          <t>S51</t>
        </is>
      </c>
      <c r="P1292" s="55" t="n">
        <v>58</v>
      </c>
      <c r="Q1292" s="59">
        <f>IF(BO1292=1,0,IFERROR(VLOOKUP(BM1292,'Gebinde-Kategorie'!$A$5:$G$45,6,0)+0,0))</f>
        <v/>
      </c>
      <c r="R1292" s="60" t="n"/>
      <c r="S1292" s="61" t="n"/>
      <c r="T1292" s="61" t="n"/>
      <c r="U1292" s="53">
        <f>IF(A1292="","",IF(IFERROR(VLOOKUP(D1292,Parameter!$A$35:$C$64,2,0),"Nein")="2+3",IF(ISNUMBER(SEARCH("grosser Artikel",BJ1292)),2,IFERROR(VLOOKUP(BM1292,Parameter!$F$35:$G$64,2,0),2)),IF(OR(IFERROR(VLOOKUP(D1292,Parameter!$A$35:$C$64,2,0),"Nein")="Nein",IFERROR(VLOOKUP(D1292,Parameter!$A$35:$C$64,2,0),"Nein")=""),"-",VLOOKUP(D1292,Parameter!$A$35:$C$64,2,0))))</f>
        <v/>
      </c>
      <c r="V1292" s="61" t="n"/>
      <c r="W1292" s="62" t="n"/>
      <c r="X1292" s="55">
        <f>AM1292</f>
        <v/>
      </c>
      <c r="Y1292" s="55">
        <f>MAX(AM1292,G1292)</f>
        <v/>
      </c>
      <c r="Z1292" s="63" t="n"/>
      <c r="AA1292" s="55">
        <f>IF(LEFT(Cockpit!$C$5,1)="A",G1292,IF(BT1292=1,BU1292,IF(LEFT(Cockpit!$C$5,1)="B",AE1292,MAX(AE1292,G1292))))</f>
        <v/>
      </c>
      <c r="AB1292" s="55">
        <f>IF(BO1292=1,0,ROUNDUP(AA1292/BN1292,0))</f>
        <v/>
      </c>
      <c r="AC1292" s="64">
        <f>IF(BO1292=1,IF(AA1292&lt;=0,0,BP1292*MAX(1,IF(G1292&gt;0,AA1292/G1292,1))),AB1292*Q1292)</f>
        <v/>
      </c>
      <c r="AD1292" s="55">
        <f>AA1292*F1292</f>
        <v/>
      </c>
      <c r="AE1292" s="55">
        <f>ROUNDUP(MAX(I1292/IF(BS1292&gt;0,BS1292,MAX(0.1,N(Cockpit!$C$6))),BV1292)/BN1292,0)*BN1292</f>
        <v/>
      </c>
      <c r="AF1292" s="56">
        <f>IF(AC1292&gt;0,I1292/AC1292,-1)</f>
        <v/>
      </c>
      <c r="AG1292" s="56">
        <f>IF(AND(OR(BR1292="L1",BR1292="L23"),AC1292&gt;0),SUMIFS($AC$7:$AC$1570,$BR$7:$BR$1570,BR1292,$AF$7:$AF$1570,"&gt;"&amp;AF1292)+SUMIFS($AC$7:$AC$1570,$BR$7:$BR$1570,BR1292,$AF$7:$AF$1570,AF1292,$BL$7:$BL$1570,"&lt;="&amp;BL1292),"")</f>
        <v/>
      </c>
      <c r="AH1292" s="65">
        <f>IF(AG1292="",0,MAX(0,MIN(1,(IF(BR1292="L1",Parameter!$K$5,Parameter!$K$6+Parameter!$K$7)-(AG1292-AC1292))/AC1292)))</f>
        <v/>
      </c>
      <c r="AI1292" s="55">
        <f>IF(LEFT(Cockpit!$I$5,1)="A",G1292,IF(BT1292=1,BU1292,IF(LEFT(Cockpit!$I$5,1)="B",AM1292,MAX(AM1292,G1292))))</f>
        <v/>
      </c>
      <c r="AJ1292" s="55">
        <f>IF(BO1292=1,0,ROUNDUP(AI1292/BN1292,0))</f>
        <v/>
      </c>
      <c r="AK1292" s="64">
        <f>IF(BO1292=1,IF(AI1292&lt;=0,0,BP1292*MAX(1,IF(G1292&gt;0,AI1292/G1292,1))),AJ1292*Q1292)</f>
        <v/>
      </c>
      <c r="AL1292" s="55">
        <f>AI1292*F1292</f>
        <v/>
      </c>
      <c r="AM1292" s="55">
        <f>ROUNDUP(MAX(I1292/IF(BS1292&gt;0,BS1292,MAX(0.1,N(Cockpit!$I$6))),BV1292)/BN1292,0)*BN1292</f>
        <v/>
      </c>
      <c r="AN1292" s="56">
        <f>IF(AK1292&gt;0,I1292/AK1292,-1)</f>
        <v/>
      </c>
      <c r="AO1292" s="56">
        <f>IF(AND(OR(BR1292="L1",BR1292="L23"),AK1292&gt;0),SUMIFS($AK$7:$AK$1570,$BR$7:$BR$1570,BR1292,$AN$7:$AN$1570,"&gt;"&amp;AN1292)+SUMIFS($AK$7:$AK$1570,$BR$7:$BR$1570,BR1292,$AN$7:$AN$1570,AN1292,$BL$7:$BL$1570,"&lt;="&amp;BL1292),"")</f>
        <v/>
      </c>
      <c r="AP1292" s="65">
        <f>IF(AO1292="",0,MAX(0,MIN(1,(IF(BR1292="L1",Parameter!$K$5,Parameter!$K$6+Parameter!$K$7)-(AO1292-AK1292))/AK1292)))</f>
        <v/>
      </c>
      <c r="AQ1292" s="55">
        <f>IF(LEFT(Cockpit!$O$5,1)="A",G1292,IF(BT1292=1,BU1292,IF(LEFT(Cockpit!$O$5,1)="B",AU1292,MAX(AU1292,G1292))))</f>
        <v/>
      </c>
      <c r="AR1292" s="55">
        <f>IF(BO1292=1,0,ROUNDUP(AQ1292/BN1292,0))</f>
        <v/>
      </c>
      <c r="AS1292" s="64">
        <f>IF(BO1292=1,IF(AQ1292&lt;=0,0,BP1292*MAX(1,IF(G1292&gt;0,AQ1292/G1292,1))),AR1292*Q1292)</f>
        <v/>
      </c>
      <c r="AT1292" s="55">
        <f>AQ1292*F1292</f>
        <v/>
      </c>
      <c r="AU1292" s="55">
        <f>ROUNDUP(MAX(I1292/IF(BS1292&gt;0,BS1292,MAX(0.1,N(Cockpit!$O$6))),BV1292)/BN1292,0)*BN1292</f>
        <v/>
      </c>
      <c r="AV1292" s="56">
        <f>IF(AS1292&gt;0,I1292/AS1292,-1)</f>
        <v/>
      </c>
      <c r="AW1292" s="56">
        <f>IF(AND(OR(BR1292="L1",BR1292="L23"),AS1292&gt;0),SUMIFS($AS$7:$AS$1570,$BR$7:$BR$1570,BR1292,$AV$7:$AV$1570,"&gt;"&amp;AV1292)+SUMIFS($AS$7:$AS$1570,$BR$7:$BR$1570,BR1292,$AV$7:$AV$1570,AV1292,$BL$7:$BL$1570,"&lt;="&amp;BL1292),"")</f>
        <v/>
      </c>
      <c r="AX1292" s="65">
        <f>IF(AW1292="",0,MAX(0,MIN(1,(IF(BR1292="L1",Parameter!$K$5,Parameter!$K$6+Parameter!$K$7)-(AW1292-AS1292))/AS1292)))</f>
        <v/>
      </c>
      <c r="AY1292" s="53">
        <f>IF(AC1292&lt;=0,"",IF(BR1292="Aussen","Aussenlager",IF(BR1292="-","Nicht im Lift",IF(AH1292&gt;=1,"Lift",IF(AH1292&lt;=0,"Aussenlager","teilweise")))))</f>
        <v/>
      </c>
      <c r="AZ1292" s="53">
        <f>IF(AK1292&lt;=0,"",IF(BR1292="Aussen","Aussenlager",IF(BR1292="-","Nicht im Lift",IF(AP1292&gt;=1,"Lift",IF(AP1292&lt;=0,"Aussenlager","teilweise")))))</f>
        <v/>
      </c>
      <c r="BA1292" s="53">
        <f>IF(AS1292&lt;=0,"",IF(BR1292="Aussen","Aussenlager",IF(BR1292="-","Nicht im Lift",IF(AX1292&gt;=1,"Lift",IF(AX1292&lt;=0,"Aussenlager","teilweise")))))</f>
        <v/>
      </c>
      <c r="BB1292" s="53">
        <f>IF(A1292="","",IF(BK1292=1,"Neu; ","")&amp;IF(AND(BK1292=0,BF1292&lt;0),"negativer Bestand (Export "&amp;BF1292&amp;"); ","")&amp;IF(I1292&lt;=0,"Kein Verbrauch; ","")&amp;IF(BO1292=1,"Lose – Fläche geschätzt; ","")&amp;IF(G1292&gt;AM1292,"Überbestand "&amp;ROUND(G1292-AM1292,0)&amp;" Stk / CHF "&amp;ROUND((G1292-AM1292)*F1292,0)&amp;"; ","")&amp;IF(AND(BT1292=1,BU1292&lt;BV1292),"MAX &lt; MB+LG; ","")&amp;IF(AND(BZ1292&gt;0,BY1292*10&gt;BZ1292),"zu hoch für Tablar; ","")&amp;IF(AND(BK1292=0,OR(BT1292=1,V1292&lt;&gt;"",S1292&lt;&gt;"",T1292&lt;&gt;"",W1292&lt;&gt;"")),"manuell übersteuert; ","")&amp;IF(AND(BO1292=0,Q1292=0),"Gebinde unbekannt; ","")&amp;IF(AND(BO1292=0,N(T1292)&lt;=0,N(P1292)&lt;=0),"Menge pro Gebinde fehlt (Ist = 1 Gebinde); ","")&amp;BJ1292)</f>
        <v/>
      </c>
      <c r="BC1292" s="53" t="n"/>
      <c r="BD1292" s="53" t="n"/>
      <c r="BE1292" s="61" t="n"/>
      <c r="BF1292" s="55" t="n">
        <v>-66</v>
      </c>
      <c r="BG1292" s="55" t="n">
        <v>76</v>
      </c>
      <c r="BH1292" s="54" t="n">
        <v>-1160.7</v>
      </c>
      <c r="BI1292" s="55" t="n">
        <v>53</v>
      </c>
      <c r="BJ1292" s="53" t="inlineStr"/>
      <c r="BK1292" s="58" t="n">
        <v>0</v>
      </c>
      <c r="BL1292" s="58" t="n">
        <v>1292</v>
      </c>
      <c r="BM1292" s="53">
        <f>IF(S1292&lt;&gt;"",UPPER(TRIM(S1292)),IF(O1292="","LOSE",O1292))</f>
        <v/>
      </c>
      <c r="BN1292" s="55">
        <f>IF(BM1292="LOSE",1,IF(N(T1292)&gt;0,T1292,IF(N(P1292)&gt;0,P1292,MAX(1,G1292))))</f>
        <v/>
      </c>
      <c r="BO1292" s="58">
        <f>IF(BM1292="LOSE",1,0)</f>
        <v/>
      </c>
      <c r="BP1292" s="64">
        <f>IF(BO1292=0,0,IF(N(R1292)&gt;0,R1292,IFERROR(VLOOKUP(D1292,Parameter!$A$35:$C$64,3,0)+0,0)))</f>
        <v/>
      </c>
      <c r="BQ1292" s="53">
        <f>IF(V1292&lt;&gt;"",V1292,U1292)</f>
        <v/>
      </c>
      <c r="BR1292" s="53">
        <f>IF(BQ1292=1,"L1",IF(OR(BQ1292=2,BQ1292=3),"L23",IF(BQ1292="Aussen","Aussen","-")))</f>
        <v/>
      </c>
      <c r="BS1292" s="66">
        <f>IF(N(W1292)&gt;0,W1292,0)</f>
        <v/>
      </c>
      <c r="BT1292" s="58">
        <f>IF(ISNUMBER(Z1292),1,0)</f>
        <v/>
      </c>
      <c r="BU1292" s="55">
        <f>N(Z1292)</f>
        <v/>
      </c>
      <c r="BV1292" s="55">
        <f>N(L1292)+N(M1292)</f>
        <v/>
      </c>
      <c r="BW1292" s="55">
        <f>ROUNDUP(G1292/BN1292,0)</f>
        <v/>
      </c>
      <c r="BX1292" s="55">
        <f>ROUNDUP(BU1292/BN1292,0)</f>
        <v/>
      </c>
      <c r="BY1292" s="58">
        <f>IF(BO1292=1,0,IFERROR(VLOOKUP(BM1292,'Gebinde-Kategorie'!$A$5:$G$45,5,0)+0,0))</f>
        <v/>
      </c>
      <c r="BZ1292" s="58">
        <f>IFERROR(IF(OR(BQ1292=1,BQ1292=2,BQ1292=3),N(INDEX(Parameter!$I$5:$I$7,BQ1292)),0),0)</f>
        <v/>
      </c>
    </row>
    <row r="1293">
      <c r="A1293" s="53" t="inlineStr">
        <is>
          <t>108045</t>
        </is>
      </c>
      <c r="B1293" s="53" t="inlineStr">
        <is>
          <t>Dichtung</t>
        </is>
      </c>
      <c r="C1293" s="53" t="inlineStr">
        <is>
          <t>F</t>
        </is>
      </c>
      <c r="D1293" s="53" t="inlineStr">
        <is>
          <t>KTL</t>
        </is>
      </c>
      <c r="E1293" s="53" t="inlineStr">
        <is>
          <t>C</t>
        </is>
      </c>
      <c r="F1293" s="54" t="n">
        <v>116.83</v>
      </c>
      <c r="G1293" s="55">
        <f>MAX(0,IF(Parameter!$B$20="Jahresanfang 2025 + Export",BG1293+BF1293,BF1293))</f>
        <v/>
      </c>
      <c r="H1293" s="55">
        <f>G1293*F1293</f>
        <v/>
      </c>
      <c r="I1293" s="55">
        <f>BI1293*Parameter!$B$18</f>
        <v/>
      </c>
      <c r="J1293" s="56" t="n">
        <v>35.07849999999999</v>
      </c>
      <c r="K1293" s="57" t="n">
        <v>4.224040366606328</v>
      </c>
      <c r="L1293" s="55" t="n">
        <v>15</v>
      </c>
      <c r="M1293" s="55" t="n">
        <v>45</v>
      </c>
      <c r="N1293" s="58" t="n">
        <v>42</v>
      </c>
      <c r="O1293" s="53" t="inlineStr">
        <is>
          <t>S62</t>
        </is>
      </c>
      <c r="P1293" s="55" t="n">
        <v>17.887</v>
      </c>
      <c r="Q1293" s="59">
        <f>IF(BO1293=1,0,IFERROR(VLOOKUP(BM1293,'Gebinde-Kategorie'!$A$5:$G$45,6,0)+0,0))</f>
        <v/>
      </c>
      <c r="R1293" s="60" t="n"/>
      <c r="S1293" s="61" t="n"/>
      <c r="T1293" s="61" t="n"/>
      <c r="U1293" s="53">
        <f>IF(A1293="","",IF(IFERROR(VLOOKUP(D1293,Parameter!$A$35:$C$64,2,0),"Nein")="2+3",IF(ISNUMBER(SEARCH("grosser Artikel",BJ1293)),2,IFERROR(VLOOKUP(BM1293,Parameter!$F$35:$G$64,2,0),2)),IF(OR(IFERROR(VLOOKUP(D1293,Parameter!$A$35:$C$64,2,0),"Nein")="Nein",IFERROR(VLOOKUP(D1293,Parameter!$A$35:$C$64,2,0),"Nein")=""),"-",VLOOKUP(D1293,Parameter!$A$35:$C$64,2,0))))</f>
        <v/>
      </c>
      <c r="V1293" s="61" t="n"/>
      <c r="W1293" s="62" t="n"/>
      <c r="X1293" s="55">
        <f>AM1293</f>
        <v/>
      </c>
      <c r="Y1293" s="55">
        <f>MAX(AM1293,G1293)</f>
        <v/>
      </c>
      <c r="Z1293" s="63" t="n"/>
      <c r="AA1293" s="55">
        <f>IF(LEFT(Cockpit!$C$5,1)="A",G1293,IF(BT1293=1,BU1293,IF(LEFT(Cockpit!$C$5,1)="B",AE1293,MAX(AE1293,G1293))))</f>
        <v/>
      </c>
      <c r="AB1293" s="55">
        <f>IF(BO1293=1,0,ROUNDUP(AA1293/BN1293,0))</f>
        <v/>
      </c>
      <c r="AC1293" s="64">
        <f>IF(BO1293=1,IF(AA1293&lt;=0,0,BP1293*MAX(1,IF(G1293&gt;0,AA1293/G1293,1))),AB1293*Q1293)</f>
        <v/>
      </c>
      <c r="AD1293" s="55">
        <f>AA1293*F1293</f>
        <v/>
      </c>
      <c r="AE1293" s="55">
        <f>ROUNDUP(MAX(I1293/IF(BS1293&gt;0,BS1293,MAX(0.1,N(Cockpit!$C$6))),BV1293)/BN1293,0)*BN1293</f>
        <v/>
      </c>
      <c r="AF1293" s="56">
        <f>IF(AC1293&gt;0,I1293/AC1293,-1)</f>
        <v/>
      </c>
      <c r="AG1293" s="56">
        <f>IF(AND(OR(BR1293="L1",BR1293="L23"),AC1293&gt;0),SUMIFS($AC$7:$AC$1570,$BR$7:$BR$1570,BR1293,$AF$7:$AF$1570,"&gt;"&amp;AF1293)+SUMIFS($AC$7:$AC$1570,$BR$7:$BR$1570,BR1293,$AF$7:$AF$1570,AF1293,$BL$7:$BL$1570,"&lt;="&amp;BL1293),"")</f>
        <v/>
      </c>
      <c r="AH1293" s="65">
        <f>IF(AG1293="",0,MAX(0,MIN(1,(IF(BR1293="L1",Parameter!$K$5,Parameter!$K$6+Parameter!$K$7)-(AG1293-AC1293))/AC1293)))</f>
        <v/>
      </c>
      <c r="AI1293" s="55">
        <f>IF(LEFT(Cockpit!$I$5,1)="A",G1293,IF(BT1293=1,BU1293,IF(LEFT(Cockpit!$I$5,1)="B",AM1293,MAX(AM1293,G1293))))</f>
        <v/>
      </c>
      <c r="AJ1293" s="55">
        <f>IF(BO1293=1,0,ROUNDUP(AI1293/BN1293,0))</f>
        <v/>
      </c>
      <c r="AK1293" s="64">
        <f>IF(BO1293=1,IF(AI1293&lt;=0,0,BP1293*MAX(1,IF(G1293&gt;0,AI1293/G1293,1))),AJ1293*Q1293)</f>
        <v/>
      </c>
      <c r="AL1293" s="55">
        <f>AI1293*F1293</f>
        <v/>
      </c>
      <c r="AM1293" s="55">
        <f>ROUNDUP(MAX(I1293/IF(BS1293&gt;0,BS1293,MAX(0.1,N(Cockpit!$I$6))),BV1293)/BN1293,0)*BN1293</f>
        <v/>
      </c>
      <c r="AN1293" s="56">
        <f>IF(AK1293&gt;0,I1293/AK1293,-1)</f>
        <v/>
      </c>
      <c r="AO1293" s="56">
        <f>IF(AND(OR(BR1293="L1",BR1293="L23"),AK1293&gt;0),SUMIFS($AK$7:$AK$1570,$BR$7:$BR$1570,BR1293,$AN$7:$AN$1570,"&gt;"&amp;AN1293)+SUMIFS($AK$7:$AK$1570,$BR$7:$BR$1570,BR1293,$AN$7:$AN$1570,AN1293,$BL$7:$BL$1570,"&lt;="&amp;BL1293),"")</f>
        <v/>
      </c>
      <c r="AP1293" s="65">
        <f>IF(AO1293="",0,MAX(0,MIN(1,(IF(BR1293="L1",Parameter!$K$5,Parameter!$K$6+Parameter!$K$7)-(AO1293-AK1293))/AK1293)))</f>
        <v/>
      </c>
      <c r="AQ1293" s="55">
        <f>IF(LEFT(Cockpit!$O$5,1)="A",G1293,IF(BT1293=1,BU1293,IF(LEFT(Cockpit!$O$5,1)="B",AU1293,MAX(AU1293,G1293))))</f>
        <v/>
      </c>
      <c r="AR1293" s="55">
        <f>IF(BO1293=1,0,ROUNDUP(AQ1293/BN1293,0))</f>
        <v/>
      </c>
      <c r="AS1293" s="64">
        <f>IF(BO1293=1,IF(AQ1293&lt;=0,0,BP1293*MAX(1,IF(G1293&gt;0,AQ1293/G1293,1))),AR1293*Q1293)</f>
        <v/>
      </c>
      <c r="AT1293" s="55">
        <f>AQ1293*F1293</f>
        <v/>
      </c>
      <c r="AU1293" s="55">
        <f>ROUNDUP(MAX(I1293/IF(BS1293&gt;0,BS1293,MAX(0.1,N(Cockpit!$O$6))),BV1293)/BN1293,0)*BN1293</f>
        <v/>
      </c>
      <c r="AV1293" s="56">
        <f>IF(AS1293&gt;0,I1293/AS1293,-1)</f>
        <v/>
      </c>
      <c r="AW1293" s="56">
        <f>IF(AND(OR(BR1293="L1",BR1293="L23"),AS1293&gt;0),SUMIFS($AS$7:$AS$1570,$BR$7:$BR$1570,BR1293,$AV$7:$AV$1570,"&gt;"&amp;AV1293)+SUMIFS($AS$7:$AS$1570,$BR$7:$BR$1570,BR1293,$AV$7:$AV$1570,AV1293,$BL$7:$BL$1570,"&lt;="&amp;BL1293),"")</f>
        <v/>
      </c>
      <c r="AX1293" s="65">
        <f>IF(AW1293="",0,MAX(0,MIN(1,(IF(BR1293="L1",Parameter!$K$5,Parameter!$K$6+Parameter!$K$7)-(AW1293-AS1293))/AS1293)))</f>
        <v/>
      </c>
      <c r="AY1293" s="53">
        <f>IF(AC1293&lt;=0,"",IF(BR1293="Aussen","Aussenlager",IF(BR1293="-","Nicht im Lift",IF(AH1293&gt;=1,"Lift",IF(AH1293&lt;=0,"Aussenlager","teilweise")))))</f>
        <v/>
      </c>
      <c r="AZ1293" s="53">
        <f>IF(AK1293&lt;=0,"",IF(BR1293="Aussen","Aussenlager",IF(BR1293="-","Nicht im Lift",IF(AP1293&gt;=1,"Lift",IF(AP1293&lt;=0,"Aussenlager","teilweise")))))</f>
        <v/>
      </c>
      <c r="BA1293" s="53">
        <f>IF(AS1293&lt;=0,"",IF(BR1293="Aussen","Aussenlager",IF(BR1293="-","Nicht im Lift",IF(AX1293&gt;=1,"Lift",IF(AX1293&lt;=0,"Aussenlager","teilweise")))))</f>
        <v/>
      </c>
      <c r="BB1293" s="53">
        <f>IF(A1293="","",IF(BK1293=1,"Neu; ","")&amp;IF(AND(BK1293=0,BF1293&lt;0),"negativer Bestand (Export "&amp;BF1293&amp;"); ","")&amp;IF(I1293&lt;=0,"Kein Verbrauch; ","")&amp;IF(BO1293=1,"Lose – Fläche geschätzt; ","")&amp;IF(G1293&gt;AM1293,"Überbestand "&amp;ROUND(G1293-AM1293,0)&amp;" Stk / CHF "&amp;ROUND((G1293-AM1293)*F1293,0)&amp;"; ","")&amp;IF(AND(BT1293=1,BU1293&lt;BV1293),"MAX &lt; MB+LG; ","")&amp;IF(AND(BZ1293&gt;0,BY1293*10&gt;BZ1293),"zu hoch für Tablar; ","")&amp;IF(AND(BK1293=0,OR(BT1293=1,V1293&lt;&gt;"",S1293&lt;&gt;"",T1293&lt;&gt;"",W1293&lt;&gt;"")),"manuell übersteuert; ","")&amp;IF(AND(BO1293=0,Q1293=0),"Gebinde unbekannt; ","")&amp;IF(AND(BO1293=0,N(T1293)&lt;=0,N(P1293)&lt;=0),"Menge pro Gebinde fehlt (Ist = 1 Gebinde); ","")&amp;BJ1293)</f>
        <v/>
      </c>
      <c r="BC1293" s="53" t="n"/>
      <c r="BD1293" s="53" t="n"/>
      <c r="BE1293" s="61" t="n"/>
      <c r="BF1293" s="55" t="n">
        <v>-10.01799999999989</v>
      </c>
      <c r="BG1293" s="55" t="n">
        <v>38.80899999999997</v>
      </c>
      <c r="BH1293" s="54" t="n">
        <v>-1172.300000000002</v>
      </c>
      <c r="BI1293" s="55" t="n">
        <v>148.173</v>
      </c>
      <c r="BJ1293" s="53" t="inlineStr"/>
      <c r="BK1293" s="58" t="n">
        <v>0</v>
      </c>
      <c r="BL1293" s="58" t="n">
        <v>1293</v>
      </c>
      <c r="BM1293" s="53">
        <f>IF(S1293&lt;&gt;"",UPPER(TRIM(S1293)),IF(O1293="","LOSE",O1293))</f>
        <v/>
      </c>
      <c r="BN1293" s="55">
        <f>IF(BM1293="LOSE",1,IF(N(T1293)&gt;0,T1293,IF(N(P1293)&gt;0,P1293,MAX(1,G1293))))</f>
        <v/>
      </c>
      <c r="BO1293" s="58">
        <f>IF(BM1293="LOSE",1,0)</f>
        <v/>
      </c>
      <c r="BP1293" s="64">
        <f>IF(BO1293=0,0,IF(N(R1293)&gt;0,R1293,IFERROR(VLOOKUP(D1293,Parameter!$A$35:$C$64,3,0)+0,0)))</f>
        <v/>
      </c>
      <c r="BQ1293" s="53">
        <f>IF(V1293&lt;&gt;"",V1293,U1293)</f>
        <v/>
      </c>
      <c r="BR1293" s="53">
        <f>IF(BQ1293=1,"L1",IF(OR(BQ1293=2,BQ1293=3),"L23",IF(BQ1293="Aussen","Aussen","-")))</f>
        <v/>
      </c>
      <c r="BS1293" s="66">
        <f>IF(N(W1293)&gt;0,W1293,0)</f>
        <v/>
      </c>
      <c r="BT1293" s="58">
        <f>IF(ISNUMBER(Z1293),1,0)</f>
        <v/>
      </c>
      <c r="BU1293" s="55">
        <f>N(Z1293)</f>
        <v/>
      </c>
      <c r="BV1293" s="55">
        <f>N(L1293)+N(M1293)</f>
        <v/>
      </c>
      <c r="BW1293" s="55">
        <f>ROUNDUP(G1293/BN1293,0)</f>
        <v/>
      </c>
      <c r="BX1293" s="55">
        <f>ROUNDUP(BU1293/BN1293,0)</f>
        <v/>
      </c>
      <c r="BY1293" s="58">
        <f>IF(BO1293=1,0,IFERROR(VLOOKUP(BM1293,'Gebinde-Kategorie'!$A$5:$G$45,5,0)+0,0))</f>
        <v/>
      </c>
      <c r="BZ1293" s="58">
        <f>IFERROR(IF(OR(BQ1293=1,BQ1293=2,BQ1293=3),N(INDEX(Parameter!$I$5:$I$7,BQ1293)),0),0)</f>
        <v/>
      </c>
    </row>
    <row r="1294">
      <c r="A1294" s="53" t="inlineStr">
        <is>
          <t>106377</t>
        </is>
      </c>
      <c r="B1294" s="53" t="inlineStr">
        <is>
          <t>Rohrflansch</t>
        </is>
      </c>
      <c r="C1294" s="53" t="inlineStr">
        <is>
          <t>F</t>
        </is>
      </c>
      <c r="D1294" s="53" t="inlineStr">
        <is>
          <t>PAL</t>
        </is>
      </c>
      <c r="E1294" s="53" t="inlineStr">
        <is>
          <t>C</t>
        </is>
      </c>
      <c r="F1294" s="54" t="n">
        <v>186.4</v>
      </c>
      <c r="G1294" s="55">
        <f>MAX(0,IF(Parameter!$B$20="Jahresanfang 2025 + Export",BG1294+BF1294,BF1294))</f>
        <v/>
      </c>
      <c r="H1294" s="55">
        <f>G1294*F1294</f>
        <v/>
      </c>
      <c r="I1294" s="55">
        <f>BI1294*Parameter!$B$18</f>
        <v/>
      </c>
      <c r="J1294" s="56" t="n">
        <v>13</v>
      </c>
      <c r="K1294" s="57" t="n">
        <v>1.923076923076923</v>
      </c>
      <c r="L1294" s="55" t="n">
        <v>1</v>
      </c>
      <c r="M1294" s="55" t="n">
        <v>10</v>
      </c>
      <c r="N1294" s="58" t="n">
        <v>21</v>
      </c>
      <c r="O1294" s="53" t="inlineStr">
        <is>
          <t>S71</t>
        </is>
      </c>
      <c r="P1294" s="55" t="n">
        <v>15</v>
      </c>
      <c r="Q1294" s="59">
        <f>IF(BO1294=1,0,IFERROR(VLOOKUP(BM1294,'Gebinde-Kategorie'!$A$5:$G$45,6,0)+0,0))</f>
        <v/>
      </c>
      <c r="R1294" s="60" t="n"/>
      <c r="S1294" s="61" t="n"/>
      <c r="T1294" s="61" t="n"/>
      <c r="U1294" s="53">
        <f>IF(A1294="","",IF(IFERROR(VLOOKUP(D1294,Parameter!$A$35:$C$64,2,0),"Nein")="2+3",IF(ISNUMBER(SEARCH("grosser Artikel",BJ1294)),2,IFERROR(VLOOKUP(BM1294,Parameter!$F$35:$G$64,2,0),2)),IF(OR(IFERROR(VLOOKUP(D1294,Parameter!$A$35:$C$64,2,0),"Nein")="Nein",IFERROR(VLOOKUP(D1294,Parameter!$A$35:$C$64,2,0),"Nein")=""),"-",VLOOKUP(D1294,Parameter!$A$35:$C$64,2,0))))</f>
        <v/>
      </c>
      <c r="V1294" s="61" t="n"/>
      <c r="W1294" s="62" t="n"/>
      <c r="X1294" s="55">
        <f>AM1294</f>
        <v/>
      </c>
      <c r="Y1294" s="55">
        <f>MAX(AM1294,G1294)</f>
        <v/>
      </c>
      <c r="Z1294" s="63" t="n"/>
      <c r="AA1294" s="55">
        <f>IF(LEFT(Cockpit!$C$5,1)="A",G1294,IF(BT1294=1,BU1294,IF(LEFT(Cockpit!$C$5,1)="B",AE1294,MAX(AE1294,G1294))))</f>
        <v/>
      </c>
      <c r="AB1294" s="55">
        <f>IF(BO1294=1,0,ROUNDUP(AA1294/BN1294,0))</f>
        <v/>
      </c>
      <c r="AC1294" s="64">
        <f>IF(BO1294=1,IF(AA1294&lt;=0,0,BP1294*MAX(1,IF(G1294&gt;0,AA1294/G1294,1))),AB1294*Q1294)</f>
        <v/>
      </c>
      <c r="AD1294" s="55">
        <f>AA1294*F1294</f>
        <v/>
      </c>
      <c r="AE1294" s="55">
        <f>ROUNDUP(MAX(I1294/IF(BS1294&gt;0,BS1294,MAX(0.1,N(Cockpit!$C$6))),BV1294)/BN1294,0)*BN1294</f>
        <v/>
      </c>
      <c r="AF1294" s="56">
        <f>IF(AC1294&gt;0,I1294/AC1294,-1)</f>
        <v/>
      </c>
      <c r="AG1294" s="56">
        <f>IF(AND(OR(BR1294="L1",BR1294="L23"),AC1294&gt;0),SUMIFS($AC$7:$AC$1570,$BR$7:$BR$1570,BR1294,$AF$7:$AF$1570,"&gt;"&amp;AF1294)+SUMIFS($AC$7:$AC$1570,$BR$7:$BR$1570,BR1294,$AF$7:$AF$1570,AF1294,$BL$7:$BL$1570,"&lt;="&amp;BL1294),"")</f>
        <v/>
      </c>
      <c r="AH1294" s="65">
        <f>IF(AG1294="",0,MAX(0,MIN(1,(IF(BR1294="L1",Parameter!$K$5,Parameter!$K$6+Parameter!$K$7)-(AG1294-AC1294))/AC1294)))</f>
        <v/>
      </c>
      <c r="AI1294" s="55">
        <f>IF(LEFT(Cockpit!$I$5,1)="A",G1294,IF(BT1294=1,BU1294,IF(LEFT(Cockpit!$I$5,1)="B",AM1294,MAX(AM1294,G1294))))</f>
        <v/>
      </c>
      <c r="AJ1294" s="55">
        <f>IF(BO1294=1,0,ROUNDUP(AI1294/BN1294,0))</f>
        <v/>
      </c>
      <c r="AK1294" s="64">
        <f>IF(BO1294=1,IF(AI1294&lt;=0,0,BP1294*MAX(1,IF(G1294&gt;0,AI1294/G1294,1))),AJ1294*Q1294)</f>
        <v/>
      </c>
      <c r="AL1294" s="55">
        <f>AI1294*F1294</f>
        <v/>
      </c>
      <c r="AM1294" s="55">
        <f>ROUNDUP(MAX(I1294/IF(BS1294&gt;0,BS1294,MAX(0.1,N(Cockpit!$I$6))),BV1294)/BN1294,0)*BN1294</f>
        <v/>
      </c>
      <c r="AN1294" s="56">
        <f>IF(AK1294&gt;0,I1294/AK1294,-1)</f>
        <v/>
      </c>
      <c r="AO1294" s="56">
        <f>IF(AND(OR(BR1294="L1",BR1294="L23"),AK1294&gt;0),SUMIFS($AK$7:$AK$1570,$BR$7:$BR$1570,BR1294,$AN$7:$AN$1570,"&gt;"&amp;AN1294)+SUMIFS($AK$7:$AK$1570,$BR$7:$BR$1570,BR1294,$AN$7:$AN$1570,AN1294,$BL$7:$BL$1570,"&lt;="&amp;BL1294),"")</f>
        <v/>
      </c>
      <c r="AP1294" s="65">
        <f>IF(AO1294="",0,MAX(0,MIN(1,(IF(BR1294="L1",Parameter!$K$5,Parameter!$K$6+Parameter!$K$7)-(AO1294-AK1294))/AK1294)))</f>
        <v/>
      </c>
      <c r="AQ1294" s="55">
        <f>IF(LEFT(Cockpit!$O$5,1)="A",G1294,IF(BT1294=1,BU1294,IF(LEFT(Cockpit!$O$5,1)="B",AU1294,MAX(AU1294,G1294))))</f>
        <v/>
      </c>
      <c r="AR1294" s="55">
        <f>IF(BO1294=1,0,ROUNDUP(AQ1294/BN1294,0))</f>
        <v/>
      </c>
      <c r="AS1294" s="64">
        <f>IF(BO1294=1,IF(AQ1294&lt;=0,0,BP1294*MAX(1,IF(G1294&gt;0,AQ1294/G1294,1))),AR1294*Q1294)</f>
        <v/>
      </c>
      <c r="AT1294" s="55">
        <f>AQ1294*F1294</f>
        <v/>
      </c>
      <c r="AU1294" s="55">
        <f>ROUNDUP(MAX(I1294/IF(BS1294&gt;0,BS1294,MAX(0.1,N(Cockpit!$O$6))),BV1294)/BN1294,0)*BN1294</f>
        <v/>
      </c>
      <c r="AV1294" s="56">
        <f>IF(AS1294&gt;0,I1294/AS1294,-1)</f>
        <v/>
      </c>
      <c r="AW1294" s="56">
        <f>IF(AND(OR(BR1294="L1",BR1294="L23"),AS1294&gt;0),SUMIFS($AS$7:$AS$1570,$BR$7:$BR$1570,BR1294,$AV$7:$AV$1570,"&gt;"&amp;AV1294)+SUMIFS($AS$7:$AS$1570,$BR$7:$BR$1570,BR1294,$AV$7:$AV$1570,AV1294,$BL$7:$BL$1570,"&lt;="&amp;BL1294),"")</f>
        <v/>
      </c>
      <c r="AX1294" s="65">
        <f>IF(AW1294="",0,MAX(0,MIN(1,(IF(BR1294="L1",Parameter!$K$5,Parameter!$K$6+Parameter!$K$7)-(AW1294-AS1294))/AS1294)))</f>
        <v/>
      </c>
      <c r="AY1294" s="53">
        <f>IF(AC1294&lt;=0,"",IF(BR1294="Aussen","Aussenlager",IF(BR1294="-","Nicht im Lift",IF(AH1294&gt;=1,"Lift",IF(AH1294&lt;=0,"Aussenlager","teilweise")))))</f>
        <v/>
      </c>
      <c r="AZ1294" s="53">
        <f>IF(AK1294&lt;=0,"",IF(BR1294="Aussen","Aussenlager",IF(BR1294="-","Nicht im Lift",IF(AP1294&gt;=1,"Lift",IF(AP1294&lt;=0,"Aussenlager","teilweise")))))</f>
        <v/>
      </c>
      <c r="BA1294" s="53">
        <f>IF(AS1294&lt;=0,"",IF(BR1294="Aussen","Aussenlager",IF(BR1294="-","Nicht im Lift",IF(AX1294&gt;=1,"Lift",IF(AX1294&lt;=0,"Aussenlager","teilweise")))))</f>
        <v/>
      </c>
      <c r="BB1294" s="53">
        <f>IF(A1294="","",IF(BK1294=1,"Neu; ","")&amp;IF(AND(BK1294=0,BF1294&lt;0),"negativer Bestand (Export "&amp;BF1294&amp;"); ","")&amp;IF(I1294&lt;=0,"Kein Verbrauch; ","")&amp;IF(BO1294=1,"Lose – Fläche geschätzt; ","")&amp;IF(G1294&gt;AM1294,"Überbestand "&amp;ROUND(G1294-AM1294,0)&amp;" Stk / CHF "&amp;ROUND((G1294-AM1294)*F1294,0)&amp;"; ","")&amp;IF(AND(BT1294=1,BU1294&lt;BV1294),"MAX &lt; MB+LG; ","")&amp;IF(AND(BZ1294&gt;0,BY1294*10&gt;BZ1294),"zu hoch für Tablar; ","")&amp;IF(AND(BK1294=0,OR(BT1294=1,V1294&lt;&gt;"",S1294&lt;&gt;"",T1294&lt;&gt;"",W1294&lt;&gt;"")),"manuell übersteuert; ","")&amp;IF(AND(BO1294=0,Q1294=0),"Gebinde unbekannt; ","")&amp;IF(AND(BO1294=0,N(T1294)&lt;=0,N(P1294)&lt;=0),"Menge pro Gebinde fehlt (Ist = 1 Gebinde); ","")&amp;BJ1294)</f>
        <v/>
      </c>
      <c r="BC1294" s="53" t="n"/>
      <c r="BD1294" s="53" t="n"/>
      <c r="BE1294" s="61" t="n"/>
      <c r="BF1294" s="55" t="n">
        <v>-5</v>
      </c>
      <c r="BG1294" s="55" t="n">
        <v>15</v>
      </c>
      <c r="BH1294" s="54" t="n">
        <v>-1177.7</v>
      </c>
      <c r="BI1294" s="55" t="n">
        <v>25</v>
      </c>
      <c r="BJ1294" s="53" t="inlineStr"/>
      <c r="BK1294" s="58" t="n">
        <v>0</v>
      </c>
      <c r="BL1294" s="58" t="n">
        <v>1294</v>
      </c>
      <c r="BM1294" s="53">
        <f>IF(S1294&lt;&gt;"",UPPER(TRIM(S1294)),IF(O1294="","LOSE",O1294))</f>
        <v/>
      </c>
      <c r="BN1294" s="55">
        <f>IF(BM1294="LOSE",1,IF(N(T1294)&gt;0,T1294,IF(N(P1294)&gt;0,P1294,MAX(1,G1294))))</f>
        <v/>
      </c>
      <c r="BO1294" s="58">
        <f>IF(BM1294="LOSE",1,0)</f>
        <v/>
      </c>
      <c r="BP1294" s="64">
        <f>IF(BO1294=0,0,IF(N(R1294)&gt;0,R1294,IFERROR(VLOOKUP(D1294,Parameter!$A$35:$C$64,3,0)+0,0)))</f>
        <v/>
      </c>
      <c r="BQ1294" s="53">
        <f>IF(V1294&lt;&gt;"",V1294,U1294)</f>
        <v/>
      </c>
      <c r="BR1294" s="53">
        <f>IF(BQ1294=1,"L1",IF(OR(BQ1294=2,BQ1294=3),"L23",IF(BQ1294="Aussen","Aussen","-")))</f>
        <v/>
      </c>
      <c r="BS1294" s="66">
        <f>IF(N(W1294)&gt;0,W1294,0)</f>
        <v/>
      </c>
      <c r="BT1294" s="58">
        <f>IF(ISNUMBER(Z1294),1,0)</f>
        <v/>
      </c>
      <c r="BU1294" s="55">
        <f>N(Z1294)</f>
        <v/>
      </c>
      <c r="BV1294" s="55">
        <f>N(L1294)+N(M1294)</f>
        <v/>
      </c>
      <c r="BW1294" s="55">
        <f>ROUNDUP(G1294/BN1294,0)</f>
        <v/>
      </c>
      <c r="BX1294" s="55">
        <f>ROUNDUP(BU1294/BN1294,0)</f>
        <v/>
      </c>
      <c r="BY1294" s="58">
        <f>IF(BO1294=1,0,IFERROR(VLOOKUP(BM1294,'Gebinde-Kategorie'!$A$5:$G$45,5,0)+0,0))</f>
        <v/>
      </c>
      <c r="BZ1294" s="58">
        <f>IFERROR(IF(OR(BQ1294=1,BQ1294=2,BQ1294=3),N(INDEX(Parameter!$I$5:$I$7,BQ1294)),0),0)</f>
        <v/>
      </c>
    </row>
    <row r="1295">
      <c r="A1295" s="53" t="inlineStr">
        <is>
          <t>110187</t>
        </is>
      </c>
      <c r="B1295" s="53" t="inlineStr">
        <is>
          <t>Führungsbüchse</t>
        </is>
      </c>
      <c r="C1295" s="53" t="inlineStr">
        <is>
          <t>F</t>
        </is>
      </c>
      <c r="D1295" s="53" t="inlineStr">
        <is>
          <t>KTL</t>
        </is>
      </c>
      <c r="E1295" s="53" t="inlineStr">
        <is>
          <t>C</t>
        </is>
      </c>
      <c r="F1295" s="54" t="n">
        <v>48.23</v>
      </c>
      <c r="G1295" s="55">
        <f>MAX(0,IF(Parameter!$B$20="Jahresanfang 2025 + Export",BG1295+BF1295,BF1295))</f>
        <v/>
      </c>
      <c r="H1295" s="55">
        <f>G1295*F1295</f>
        <v/>
      </c>
      <c r="I1295" s="55">
        <f>BI1295*Parameter!$B$18</f>
        <v/>
      </c>
      <c r="J1295" s="56" t="n">
        <v>83.5</v>
      </c>
      <c r="K1295" s="57" t="n">
        <v>3.688622754491018</v>
      </c>
      <c r="L1295" s="55" t="n">
        <v>17</v>
      </c>
      <c r="M1295" s="55" t="n">
        <v>100</v>
      </c>
      <c r="N1295" s="58" t="n">
        <v>21</v>
      </c>
      <c r="O1295" s="53" t="inlineStr">
        <is>
          <t>S62</t>
        </is>
      </c>
      <c r="P1295" s="55" t="n">
        <v>180</v>
      </c>
      <c r="Q1295" s="59">
        <f>IF(BO1295=1,0,IFERROR(VLOOKUP(BM1295,'Gebinde-Kategorie'!$A$5:$G$45,6,0)+0,0))</f>
        <v/>
      </c>
      <c r="R1295" s="60" t="n"/>
      <c r="S1295" s="61" t="n"/>
      <c r="T1295" s="61" t="n"/>
      <c r="U1295" s="53">
        <f>IF(A1295="","",IF(IFERROR(VLOOKUP(D1295,Parameter!$A$35:$C$64,2,0),"Nein")="2+3",IF(ISNUMBER(SEARCH("grosser Artikel",BJ1295)),2,IFERROR(VLOOKUP(BM1295,Parameter!$F$35:$G$64,2,0),2)),IF(OR(IFERROR(VLOOKUP(D1295,Parameter!$A$35:$C$64,2,0),"Nein")="Nein",IFERROR(VLOOKUP(D1295,Parameter!$A$35:$C$64,2,0),"Nein")=""),"-",VLOOKUP(D1295,Parameter!$A$35:$C$64,2,0))))</f>
        <v/>
      </c>
      <c r="V1295" s="61" t="n"/>
      <c r="W1295" s="62" t="n"/>
      <c r="X1295" s="55">
        <f>AM1295</f>
        <v/>
      </c>
      <c r="Y1295" s="55">
        <f>MAX(AM1295,G1295)</f>
        <v/>
      </c>
      <c r="Z1295" s="63" t="n"/>
      <c r="AA1295" s="55">
        <f>IF(LEFT(Cockpit!$C$5,1)="A",G1295,IF(BT1295=1,BU1295,IF(LEFT(Cockpit!$C$5,1)="B",AE1295,MAX(AE1295,G1295))))</f>
        <v/>
      </c>
      <c r="AB1295" s="55">
        <f>IF(BO1295=1,0,ROUNDUP(AA1295/BN1295,0))</f>
        <v/>
      </c>
      <c r="AC1295" s="64">
        <f>IF(BO1295=1,IF(AA1295&lt;=0,0,BP1295*MAX(1,IF(G1295&gt;0,AA1295/G1295,1))),AB1295*Q1295)</f>
        <v/>
      </c>
      <c r="AD1295" s="55">
        <f>AA1295*F1295</f>
        <v/>
      </c>
      <c r="AE1295" s="55">
        <f>ROUNDUP(MAX(I1295/IF(BS1295&gt;0,BS1295,MAX(0.1,N(Cockpit!$C$6))),BV1295)/BN1295,0)*BN1295</f>
        <v/>
      </c>
      <c r="AF1295" s="56">
        <f>IF(AC1295&gt;0,I1295/AC1295,-1)</f>
        <v/>
      </c>
      <c r="AG1295" s="56">
        <f>IF(AND(OR(BR1295="L1",BR1295="L23"),AC1295&gt;0),SUMIFS($AC$7:$AC$1570,$BR$7:$BR$1570,BR1295,$AF$7:$AF$1570,"&gt;"&amp;AF1295)+SUMIFS($AC$7:$AC$1570,$BR$7:$BR$1570,BR1295,$AF$7:$AF$1570,AF1295,$BL$7:$BL$1570,"&lt;="&amp;BL1295),"")</f>
        <v/>
      </c>
      <c r="AH1295" s="65">
        <f>IF(AG1295="",0,MAX(0,MIN(1,(IF(BR1295="L1",Parameter!$K$5,Parameter!$K$6+Parameter!$K$7)-(AG1295-AC1295))/AC1295)))</f>
        <v/>
      </c>
      <c r="AI1295" s="55">
        <f>IF(LEFT(Cockpit!$I$5,1)="A",G1295,IF(BT1295=1,BU1295,IF(LEFT(Cockpit!$I$5,1)="B",AM1295,MAX(AM1295,G1295))))</f>
        <v/>
      </c>
      <c r="AJ1295" s="55">
        <f>IF(BO1295=1,0,ROUNDUP(AI1295/BN1295,0))</f>
        <v/>
      </c>
      <c r="AK1295" s="64">
        <f>IF(BO1295=1,IF(AI1295&lt;=0,0,BP1295*MAX(1,IF(G1295&gt;0,AI1295/G1295,1))),AJ1295*Q1295)</f>
        <v/>
      </c>
      <c r="AL1295" s="55">
        <f>AI1295*F1295</f>
        <v/>
      </c>
      <c r="AM1295" s="55">
        <f>ROUNDUP(MAX(I1295/IF(BS1295&gt;0,BS1295,MAX(0.1,N(Cockpit!$I$6))),BV1295)/BN1295,0)*BN1295</f>
        <v/>
      </c>
      <c r="AN1295" s="56">
        <f>IF(AK1295&gt;0,I1295/AK1295,-1)</f>
        <v/>
      </c>
      <c r="AO1295" s="56">
        <f>IF(AND(OR(BR1295="L1",BR1295="L23"),AK1295&gt;0),SUMIFS($AK$7:$AK$1570,$BR$7:$BR$1570,BR1295,$AN$7:$AN$1570,"&gt;"&amp;AN1295)+SUMIFS($AK$7:$AK$1570,$BR$7:$BR$1570,BR1295,$AN$7:$AN$1570,AN1295,$BL$7:$BL$1570,"&lt;="&amp;BL1295),"")</f>
        <v/>
      </c>
      <c r="AP1295" s="65">
        <f>IF(AO1295="",0,MAX(0,MIN(1,(IF(BR1295="L1",Parameter!$K$5,Parameter!$K$6+Parameter!$K$7)-(AO1295-AK1295))/AK1295)))</f>
        <v/>
      </c>
      <c r="AQ1295" s="55">
        <f>IF(LEFT(Cockpit!$O$5,1)="A",G1295,IF(BT1295=1,BU1295,IF(LEFT(Cockpit!$O$5,1)="B",AU1295,MAX(AU1295,G1295))))</f>
        <v/>
      </c>
      <c r="AR1295" s="55">
        <f>IF(BO1295=1,0,ROUNDUP(AQ1295/BN1295,0))</f>
        <v/>
      </c>
      <c r="AS1295" s="64">
        <f>IF(BO1295=1,IF(AQ1295&lt;=0,0,BP1295*MAX(1,IF(G1295&gt;0,AQ1295/G1295,1))),AR1295*Q1295)</f>
        <v/>
      </c>
      <c r="AT1295" s="55">
        <f>AQ1295*F1295</f>
        <v/>
      </c>
      <c r="AU1295" s="55">
        <f>ROUNDUP(MAX(I1295/IF(BS1295&gt;0,BS1295,MAX(0.1,N(Cockpit!$O$6))),BV1295)/BN1295,0)*BN1295</f>
        <v/>
      </c>
      <c r="AV1295" s="56">
        <f>IF(AS1295&gt;0,I1295/AS1295,-1)</f>
        <v/>
      </c>
      <c r="AW1295" s="56">
        <f>IF(AND(OR(BR1295="L1",BR1295="L23"),AS1295&gt;0),SUMIFS($AS$7:$AS$1570,$BR$7:$BR$1570,BR1295,$AV$7:$AV$1570,"&gt;"&amp;AV1295)+SUMIFS($AS$7:$AS$1570,$BR$7:$BR$1570,BR1295,$AV$7:$AV$1570,AV1295,$BL$7:$BL$1570,"&lt;="&amp;BL1295),"")</f>
        <v/>
      </c>
      <c r="AX1295" s="65">
        <f>IF(AW1295="",0,MAX(0,MIN(1,(IF(BR1295="L1",Parameter!$K$5,Parameter!$K$6+Parameter!$K$7)-(AW1295-AS1295))/AS1295)))</f>
        <v/>
      </c>
      <c r="AY1295" s="53">
        <f>IF(AC1295&lt;=0,"",IF(BR1295="Aussen","Aussenlager",IF(BR1295="-","Nicht im Lift",IF(AH1295&gt;=1,"Lift",IF(AH1295&lt;=0,"Aussenlager","teilweise")))))</f>
        <v/>
      </c>
      <c r="AZ1295" s="53">
        <f>IF(AK1295&lt;=0,"",IF(BR1295="Aussen","Aussenlager",IF(BR1295="-","Nicht im Lift",IF(AP1295&gt;=1,"Lift",IF(AP1295&lt;=0,"Aussenlager","teilweise")))))</f>
        <v/>
      </c>
      <c r="BA1295" s="53">
        <f>IF(AS1295&lt;=0,"",IF(BR1295="Aussen","Aussenlager",IF(BR1295="-","Nicht im Lift",IF(AX1295&gt;=1,"Lift",IF(AX1295&lt;=0,"Aussenlager","teilweise")))))</f>
        <v/>
      </c>
      <c r="BB1295" s="53">
        <f>IF(A1295="","",IF(BK1295=1,"Neu; ","")&amp;IF(AND(BK1295=0,BF1295&lt;0),"negativer Bestand (Export "&amp;BF1295&amp;"); ","")&amp;IF(I1295&lt;=0,"Kein Verbrauch; ","")&amp;IF(BO1295=1,"Lose – Fläche geschätzt; ","")&amp;IF(G1295&gt;AM1295,"Überbestand "&amp;ROUND(G1295-AM1295,0)&amp;" Stk / CHF "&amp;ROUND((G1295-AM1295)*F1295,0)&amp;"; ","")&amp;IF(AND(BT1295=1,BU1295&lt;BV1295),"MAX &lt; MB+LG; ","")&amp;IF(AND(BZ1295&gt;0,BY1295*10&gt;BZ1295),"zu hoch für Tablar; ","")&amp;IF(AND(BK1295=0,OR(BT1295=1,V1295&lt;&gt;"",S1295&lt;&gt;"",T1295&lt;&gt;"",W1295&lt;&gt;"")),"manuell übersteuert; ","")&amp;IF(AND(BO1295=0,Q1295=0),"Gebinde unbekannt; ","")&amp;IF(AND(BO1295=0,N(T1295)&lt;=0,N(P1295)&lt;=0),"Menge pro Gebinde fehlt (Ist = 1 Gebinde); ","")&amp;BJ1295)</f>
        <v/>
      </c>
      <c r="BC1295" s="53" t="n"/>
      <c r="BD1295" s="53" t="n"/>
      <c r="BE1295" s="61" t="n"/>
      <c r="BF1295" s="55" t="n">
        <v>-23</v>
      </c>
      <c r="BG1295" s="55" t="n">
        <v>95</v>
      </c>
      <c r="BH1295" s="54" t="n">
        <v>-1179.589999999995</v>
      </c>
      <c r="BI1295" s="55" t="n">
        <v>308</v>
      </c>
      <c r="BJ1295" s="53" t="inlineStr"/>
      <c r="BK1295" s="58" t="n">
        <v>0</v>
      </c>
      <c r="BL1295" s="58" t="n">
        <v>1295</v>
      </c>
      <c r="BM1295" s="53">
        <f>IF(S1295&lt;&gt;"",UPPER(TRIM(S1295)),IF(O1295="","LOSE",O1295))</f>
        <v/>
      </c>
      <c r="BN1295" s="55">
        <f>IF(BM1295="LOSE",1,IF(N(T1295)&gt;0,T1295,IF(N(P1295)&gt;0,P1295,MAX(1,G1295))))</f>
        <v/>
      </c>
      <c r="BO1295" s="58">
        <f>IF(BM1295="LOSE",1,0)</f>
        <v/>
      </c>
      <c r="BP1295" s="64">
        <f>IF(BO1295=0,0,IF(N(R1295)&gt;0,R1295,IFERROR(VLOOKUP(D1295,Parameter!$A$35:$C$64,3,0)+0,0)))</f>
        <v/>
      </c>
      <c r="BQ1295" s="53">
        <f>IF(V1295&lt;&gt;"",V1295,U1295)</f>
        <v/>
      </c>
      <c r="BR1295" s="53">
        <f>IF(BQ1295=1,"L1",IF(OR(BQ1295=2,BQ1295=3),"L23",IF(BQ1295="Aussen","Aussen","-")))</f>
        <v/>
      </c>
      <c r="BS1295" s="66">
        <f>IF(N(W1295)&gt;0,W1295,0)</f>
        <v/>
      </c>
      <c r="BT1295" s="58">
        <f>IF(ISNUMBER(Z1295),1,0)</f>
        <v/>
      </c>
      <c r="BU1295" s="55">
        <f>N(Z1295)</f>
        <v/>
      </c>
      <c r="BV1295" s="55">
        <f>N(L1295)+N(M1295)</f>
        <v/>
      </c>
      <c r="BW1295" s="55">
        <f>ROUNDUP(G1295/BN1295,0)</f>
        <v/>
      </c>
      <c r="BX1295" s="55">
        <f>ROUNDUP(BU1295/BN1295,0)</f>
        <v/>
      </c>
      <c r="BY1295" s="58">
        <f>IF(BO1295=1,0,IFERROR(VLOOKUP(BM1295,'Gebinde-Kategorie'!$A$5:$G$45,5,0)+0,0))</f>
        <v/>
      </c>
      <c r="BZ1295" s="58">
        <f>IFERROR(IF(OR(BQ1295=1,BQ1295=2,BQ1295=3),N(INDEX(Parameter!$I$5:$I$7,BQ1295)),0),0)</f>
        <v/>
      </c>
    </row>
    <row r="1296">
      <c r="A1296" s="53" t="inlineStr">
        <is>
          <t>005319</t>
        </is>
      </c>
      <c r="B1296" s="53" t="inlineStr">
        <is>
          <t>Spezial Inbusschlüsseleinsatz</t>
        </is>
      </c>
      <c r="C1296" s="53" t="inlineStr">
        <is>
          <t>F</t>
        </is>
      </c>
      <c r="D1296" s="53" t="inlineStr">
        <is>
          <t>KTL</t>
        </is>
      </c>
      <c r="E1296" s="53" t="inlineStr">
        <is>
          <t>C</t>
        </is>
      </c>
      <c r="F1296" s="54" t="n">
        <v>107.44</v>
      </c>
      <c r="G1296" s="55">
        <f>MAX(0,IF(Parameter!$B$20="Jahresanfang 2025 + Export",BG1296+BF1296,BF1296))</f>
        <v/>
      </c>
      <c r="H1296" s="55">
        <f>G1296*F1296</f>
        <v/>
      </c>
      <c r="I1296" s="55">
        <f>BI1296*Parameter!$B$18</f>
        <v/>
      </c>
      <c r="J1296" s="56" t="n">
        <v>85</v>
      </c>
      <c r="K1296" s="57" t="n">
        <v>0.1058823529411765</v>
      </c>
      <c r="L1296" s="55" t="n">
        <v>3</v>
      </c>
      <c r="M1296" s="55" t="n">
        <v>10</v>
      </c>
      <c r="N1296" s="58" t="n">
        <v>126</v>
      </c>
      <c r="O1296" s="53" t="inlineStr">
        <is>
          <t>S32</t>
        </is>
      </c>
      <c r="P1296" s="55" t="n">
        <v>32</v>
      </c>
      <c r="Q1296" s="59">
        <f>IF(BO1296=1,0,IFERROR(VLOOKUP(BM1296,'Gebinde-Kategorie'!$A$5:$G$45,6,0)+0,0))</f>
        <v/>
      </c>
      <c r="R1296" s="60" t="n"/>
      <c r="S1296" s="61" t="n"/>
      <c r="T1296" s="61" t="n"/>
      <c r="U1296" s="53">
        <f>IF(A1296="","",IF(IFERROR(VLOOKUP(D1296,Parameter!$A$35:$C$64,2,0),"Nein")="2+3",IF(ISNUMBER(SEARCH("grosser Artikel",BJ1296)),2,IFERROR(VLOOKUP(BM1296,Parameter!$F$35:$G$64,2,0),2)),IF(OR(IFERROR(VLOOKUP(D1296,Parameter!$A$35:$C$64,2,0),"Nein")="Nein",IFERROR(VLOOKUP(D1296,Parameter!$A$35:$C$64,2,0),"Nein")=""),"-",VLOOKUP(D1296,Parameter!$A$35:$C$64,2,0))))</f>
        <v/>
      </c>
      <c r="V1296" s="61" t="n"/>
      <c r="W1296" s="62" t="n"/>
      <c r="X1296" s="55">
        <f>AM1296</f>
        <v/>
      </c>
      <c r="Y1296" s="55">
        <f>MAX(AM1296,G1296)</f>
        <v/>
      </c>
      <c r="Z1296" s="63" t="n"/>
      <c r="AA1296" s="55">
        <f>IF(LEFT(Cockpit!$C$5,1)="A",G1296,IF(BT1296=1,BU1296,IF(LEFT(Cockpit!$C$5,1)="B",AE1296,MAX(AE1296,G1296))))</f>
        <v/>
      </c>
      <c r="AB1296" s="55">
        <f>IF(BO1296=1,0,ROUNDUP(AA1296/BN1296,0))</f>
        <v/>
      </c>
      <c r="AC1296" s="64">
        <f>IF(BO1296=1,IF(AA1296&lt;=0,0,BP1296*MAX(1,IF(G1296&gt;0,AA1296/G1296,1))),AB1296*Q1296)</f>
        <v/>
      </c>
      <c r="AD1296" s="55">
        <f>AA1296*F1296</f>
        <v/>
      </c>
      <c r="AE1296" s="55">
        <f>ROUNDUP(MAX(I1296/IF(BS1296&gt;0,BS1296,MAX(0.1,N(Cockpit!$C$6))),BV1296)/BN1296,0)*BN1296</f>
        <v/>
      </c>
      <c r="AF1296" s="56">
        <f>IF(AC1296&gt;0,I1296/AC1296,-1)</f>
        <v/>
      </c>
      <c r="AG1296" s="56">
        <f>IF(AND(OR(BR1296="L1",BR1296="L23"),AC1296&gt;0),SUMIFS($AC$7:$AC$1570,$BR$7:$BR$1570,BR1296,$AF$7:$AF$1570,"&gt;"&amp;AF1296)+SUMIFS($AC$7:$AC$1570,$BR$7:$BR$1570,BR1296,$AF$7:$AF$1570,AF1296,$BL$7:$BL$1570,"&lt;="&amp;BL1296),"")</f>
        <v/>
      </c>
      <c r="AH1296" s="65">
        <f>IF(AG1296="",0,MAX(0,MIN(1,(IF(BR1296="L1",Parameter!$K$5,Parameter!$K$6+Parameter!$K$7)-(AG1296-AC1296))/AC1296)))</f>
        <v/>
      </c>
      <c r="AI1296" s="55">
        <f>IF(LEFT(Cockpit!$I$5,1)="A",G1296,IF(BT1296=1,BU1296,IF(LEFT(Cockpit!$I$5,1)="B",AM1296,MAX(AM1296,G1296))))</f>
        <v/>
      </c>
      <c r="AJ1296" s="55">
        <f>IF(BO1296=1,0,ROUNDUP(AI1296/BN1296,0))</f>
        <v/>
      </c>
      <c r="AK1296" s="64">
        <f>IF(BO1296=1,IF(AI1296&lt;=0,0,BP1296*MAX(1,IF(G1296&gt;0,AI1296/G1296,1))),AJ1296*Q1296)</f>
        <v/>
      </c>
      <c r="AL1296" s="55">
        <f>AI1296*F1296</f>
        <v/>
      </c>
      <c r="AM1296" s="55">
        <f>ROUNDUP(MAX(I1296/IF(BS1296&gt;0,BS1296,MAX(0.1,N(Cockpit!$I$6))),BV1296)/BN1296,0)*BN1296</f>
        <v/>
      </c>
      <c r="AN1296" s="56">
        <f>IF(AK1296&gt;0,I1296/AK1296,-1)</f>
        <v/>
      </c>
      <c r="AO1296" s="56">
        <f>IF(AND(OR(BR1296="L1",BR1296="L23"),AK1296&gt;0),SUMIFS($AK$7:$AK$1570,$BR$7:$BR$1570,BR1296,$AN$7:$AN$1570,"&gt;"&amp;AN1296)+SUMIFS($AK$7:$AK$1570,$BR$7:$BR$1570,BR1296,$AN$7:$AN$1570,AN1296,$BL$7:$BL$1570,"&lt;="&amp;BL1296),"")</f>
        <v/>
      </c>
      <c r="AP1296" s="65">
        <f>IF(AO1296="",0,MAX(0,MIN(1,(IF(BR1296="L1",Parameter!$K$5,Parameter!$K$6+Parameter!$K$7)-(AO1296-AK1296))/AK1296)))</f>
        <v/>
      </c>
      <c r="AQ1296" s="55">
        <f>IF(LEFT(Cockpit!$O$5,1)="A",G1296,IF(BT1296=1,BU1296,IF(LEFT(Cockpit!$O$5,1)="B",AU1296,MAX(AU1296,G1296))))</f>
        <v/>
      </c>
      <c r="AR1296" s="55">
        <f>IF(BO1296=1,0,ROUNDUP(AQ1296/BN1296,0))</f>
        <v/>
      </c>
      <c r="AS1296" s="64">
        <f>IF(BO1296=1,IF(AQ1296&lt;=0,0,BP1296*MAX(1,IF(G1296&gt;0,AQ1296/G1296,1))),AR1296*Q1296)</f>
        <v/>
      </c>
      <c r="AT1296" s="55">
        <f>AQ1296*F1296</f>
        <v/>
      </c>
      <c r="AU1296" s="55">
        <f>ROUNDUP(MAX(I1296/IF(BS1296&gt;0,BS1296,MAX(0.1,N(Cockpit!$O$6))),BV1296)/BN1296,0)*BN1296</f>
        <v/>
      </c>
      <c r="AV1296" s="56">
        <f>IF(AS1296&gt;0,I1296/AS1296,-1)</f>
        <v/>
      </c>
      <c r="AW1296" s="56">
        <f>IF(AND(OR(BR1296="L1",BR1296="L23"),AS1296&gt;0),SUMIFS($AS$7:$AS$1570,$BR$7:$BR$1570,BR1296,$AV$7:$AV$1570,"&gt;"&amp;AV1296)+SUMIFS($AS$7:$AS$1570,$BR$7:$BR$1570,BR1296,$AV$7:$AV$1570,AV1296,$BL$7:$BL$1570,"&lt;="&amp;BL1296),"")</f>
        <v/>
      </c>
      <c r="AX1296" s="65">
        <f>IF(AW1296="",0,MAX(0,MIN(1,(IF(BR1296="L1",Parameter!$K$5,Parameter!$K$6+Parameter!$K$7)-(AW1296-AS1296))/AS1296)))</f>
        <v/>
      </c>
      <c r="AY1296" s="53">
        <f>IF(AC1296&lt;=0,"",IF(BR1296="Aussen","Aussenlager",IF(BR1296="-","Nicht im Lift",IF(AH1296&gt;=1,"Lift",IF(AH1296&lt;=0,"Aussenlager","teilweise")))))</f>
        <v/>
      </c>
      <c r="AZ1296" s="53">
        <f>IF(AK1296&lt;=0,"",IF(BR1296="Aussen","Aussenlager",IF(BR1296="-","Nicht im Lift",IF(AP1296&gt;=1,"Lift",IF(AP1296&lt;=0,"Aussenlager","teilweise")))))</f>
        <v/>
      </c>
      <c r="BA1296" s="53">
        <f>IF(AS1296&lt;=0,"",IF(BR1296="Aussen","Aussenlager",IF(BR1296="-","Nicht im Lift",IF(AX1296&gt;=1,"Lift",IF(AX1296&lt;=0,"Aussenlager","teilweise")))))</f>
        <v/>
      </c>
      <c r="BB1296" s="53">
        <f>IF(A1296="","",IF(BK1296=1,"Neu; ","")&amp;IF(AND(BK1296=0,BF1296&lt;0),"negativer Bestand (Export "&amp;BF1296&amp;"); ","")&amp;IF(I1296&lt;=0,"Kein Verbrauch; ","")&amp;IF(BO1296=1,"Lose – Fläche geschätzt; ","")&amp;IF(G1296&gt;AM1296,"Überbestand "&amp;ROUND(G1296-AM1296,0)&amp;" Stk / CHF "&amp;ROUND((G1296-AM1296)*F1296,0)&amp;"; ","")&amp;IF(AND(BT1296=1,BU1296&lt;BV1296),"MAX &lt; MB+LG; ","")&amp;IF(AND(BZ1296&gt;0,BY1296*10&gt;BZ1296),"zu hoch für Tablar; ","")&amp;IF(AND(BK1296=0,OR(BT1296=1,V1296&lt;&gt;"",S1296&lt;&gt;"",T1296&lt;&gt;"",W1296&lt;&gt;"")),"manuell übersteuert; ","")&amp;IF(AND(BO1296=0,Q1296=0),"Gebinde unbekannt; ","")&amp;IF(AND(BO1296=0,N(T1296)&lt;=0,N(P1296)&lt;=0),"Menge pro Gebinde fehlt (Ist = 1 Gebinde); ","")&amp;BJ1296)</f>
        <v/>
      </c>
      <c r="BC1296" s="53" t="n"/>
      <c r="BD1296" s="53" t="n"/>
      <c r="BE1296" s="61" t="n"/>
      <c r="BF1296" s="55" t="n">
        <v>-11</v>
      </c>
      <c r="BG1296" s="55" t="n">
        <v>90</v>
      </c>
      <c r="BH1296" s="54" t="n">
        <v>-1181.84</v>
      </c>
      <c r="BI1296" s="55" t="n">
        <v>9</v>
      </c>
      <c r="BJ1296" s="53" t="inlineStr"/>
      <c r="BK1296" s="58" t="n">
        <v>0</v>
      </c>
      <c r="BL1296" s="58" t="n">
        <v>1296</v>
      </c>
      <c r="BM1296" s="53">
        <f>IF(S1296&lt;&gt;"",UPPER(TRIM(S1296)),IF(O1296="","LOSE",O1296))</f>
        <v/>
      </c>
      <c r="BN1296" s="55">
        <f>IF(BM1296="LOSE",1,IF(N(T1296)&gt;0,T1296,IF(N(P1296)&gt;0,P1296,MAX(1,G1296))))</f>
        <v/>
      </c>
      <c r="BO1296" s="58">
        <f>IF(BM1296="LOSE",1,0)</f>
        <v/>
      </c>
      <c r="BP1296" s="64">
        <f>IF(BO1296=0,0,IF(N(R1296)&gt;0,R1296,IFERROR(VLOOKUP(D1296,Parameter!$A$35:$C$64,3,0)+0,0)))</f>
        <v/>
      </c>
      <c r="BQ1296" s="53">
        <f>IF(V1296&lt;&gt;"",V1296,U1296)</f>
        <v/>
      </c>
      <c r="BR1296" s="53">
        <f>IF(BQ1296=1,"L1",IF(OR(BQ1296=2,BQ1296=3),"L23",IF(BQ1296="Aussen","Aussen","-")))</f>
        <v/>
      </c>
      <c r="BS1296" s="66">
        <f>IF(N(W1296)&gt;0,W1296,0)</f>
        <v/>
      </c>
      <c r="BT1296" s="58">
        <f>IF(ISNUMBER(Z1296),1,0)</f>
        <v/>
      </c>
      <c r="BU1296" s="55">
        <f>N(Z1296)</f>
        <v/>
      </c>
      <c r="BV1296" s="55">
        <f>N(L1296)+N(M1296)</f>
        <v/>
      </c>
      <c r="BW1296" s="55">
        <f>ROUNDUP(G1296/BN1296,0)</f>
        <v/>
      </c>
      <c r="BX1296" s="55">
        <f>ROUNDUP(BU1296/BN1296,0)</f>
        <v/>
      </c>
      <c r="BY1296" s="58">
        <f>IF(BO1296=1,0,IFERROR(VLOOKUP(BM1296,'Gebinde-Kategorie'!$A$5:$G$45,5,0)+0,0))</f>
        <v/>
      </c>
      <c r="BZ1296" s="58">
        <f>IFERROR(IF(OR(BQ1296=1,BQ1296=2,BQ1296=3),N(INDEX(Parameter!$I$5:$I$7,BQ1296)),0),0)</f>
        <v/>
      </c>
    </row>
    <row r="1297">
      <c r="A1297" s="53" t="inlineStr">
        <is>
          <t>108075</t>
        </is>
      </c>
      <c r="B1297" s="53" t="inlineStr">
        <is>
          <t>Palettenbox SPGr16 SVC2</t>
        </is>
      </c>
      <c r="C1297" s="53" t="inlineStr">
        <is>
          <t>G</t>
        </is>
      </c>
      <c r="D1297" s="53" t="inlineStr">
        <is>
          <t>PAL</t>
        </is>
      </c>
      <c r="E1297" s="53" t="inlineStr">
        <is>
          <t>C</t>
        </is>
      </c>
      <c r="F1297" s="54" t="n">
        <v>49.41</v>
      </c>
      <c r="G1297" s="55">
        <f>MAX(0,IF(Parameter!$B$20="Jahresanfang 2025 + Export",BG1297+BF1297,BF1297))</f>
        <v/>
      </c>
      <c r="H1297" s="55">
        <f>G1297*F1297</f>
        <v/>
      </c>
      <c r="I1297" s="55">
        <f>BI1297*Parameter!$B$18</f>
        <v/>
      </c>
      <c r="J1297" s="56" t="n">
        <v>12</v>
      </c>
      <c r="K1297" s="57" t="n">
        <v>0</v>
      </c>
      <c r="L1297" s="55" t="n">
        <v>0</v>
      </c>
      <c r="M1297" s="55" t="n">
        <v>1</v>
      </c>
      <c r="N1297" s="58" t="n">
        <v>56</v>
      </c>
      <c r="O1297" s="53" t="inlineStr">
        <is>
          <t>LOSE</t>
        </is>
      </c>
      <c r="P1297" s="55" t="n"/>
      <c r="Q1297" s="59">
        <f>IF(BO1297=1,0,IFERROR(VLOOKUP(BM1297,'Gebinde-Kategorie'!$A$5:$G$45,6,0)+0,0))</f>
        <v/>
      </c>
      <c r="R1297" s="60" t="n"/>
      <c r="S1297" s="61" t="n"/>
      <c r="T1297" s="61" t="n"/>
      <c r="U1297" s="53">
        <f>IF(A1297="","",IF(IFERROR(VLOOKUP(D1297,Parameter!$A$35:$C$64,2,0),"Nein")="2+3",IF(ISNUMBER(SEARCH("grosser Artikel",BJ1297)),2,IFERROR(VLOOKUP(BM1297,Parameter!$F$35:$G$64,2,0),2)),IF(OR(IFERROR(VLOOKUP(D1297,Parameter!$A$35:$C$64,2,0),"Nein")="Nein",IFERROR(VLOOKUP(D1297,Parameter!$A$35:$C$64,2,0),"Nein")=""),"-",VLOOKUP(D1297,Parameter!$A$35:$C$64,2,0))))</f>
        <v/>
      </c>
      <c r="V1297" s="61" t="n"/>
      <c r="W1297" s="62" t="n"/>
      <c r="X1297" s="55">
        <f>AM1297</f>
        <v/>
      </c>
      <c r="Y1297" s="55">
        <f>MAX(AM1297,G1297)</f>
        <v/>
      </c>
      <c r="Z1297" s="63" t="n"/>
      <c r="AA1297" s="55">
        <f>IF(LEFT(Cockpit!$C$5,1)="A",G1297,IF(BT1297=1,BU1297,IF(LEFT(Cockpit!$C$5,1)="B",AE1297,MAX(AE1297,G1297))))</f>
        <v/>
      </c>
      <c r="AB1297" s="55">
        <f>IF(BO1297=1,0,ROUNDUP(AA1297/BN1297,0))</f>
        <v/>
      </c>
      <c r="AC1297" s="64">
        <f>IF(BO1297=1,IF(AA1297&lt;=0,0,BP1297*MAX(1,IF(G1297&gt;0,AA1297/G1297,1))),AB1297*Q1297)</f>
        <v/>
      </c>
      <c r="AD1297" s="55">
        <f>AA1297*F1297</f>
        <v/>
      </c>
      <c r="AE1297" s="55">
        <f>ROUNDUP(MAX(I1297/IF(BS1297&gt;0,BS1297,MAX(0.1,N(Cockpit!$C$6))),BV1297)/BN1297,0)*BN1297</f>
        <v/>
      </c>
      <c r="AF1297" s="56">
        <f>IF(AC1297&gt;0,I1297/AC1297,-1)</f>
        <v/>
      </c>
      <c r="AG1297" s="56">
        <f>IF(AND(OR(BR1297="L1",BR1297="L23"),AC1297&gt;0),SUMIFS($AC$7:$AC$1570,$BR$7:$BR$1570,BR1297,$AF$7:$AF$1570,"&gt;"&amp;AF1297)+SUMIFS($AC$7:$AC$1570,$BR$7:$BR$1570,BR1297,$AF$7:$AF$1570,AF1297,$BL$7:$BL$1570,"&lt;="&amp;BL1297),"")</f>
        <v/>
      </c>
      <c r="AH1297" s="65">
        <f>IF(AG1297="",0,MAX(0,MIN(1,(IF(BR1297="L1",Parameter!$K$5,Parameter!$K$6+Parameter!$K$7)-(AG1297-AC1297))/AC1297)))</f>
        <v/>
      </c>
      <c r="AI1297" s="55">
        <f>IF(LEFT(Cockpit!$I$5,1)="A",G1297,IF(BT1297=1,BU1297,IF(LEFT(Cockpit!$I$5,1)="B",AM1297,MAX(AM1297,G1297))))</f>
        <v/>
      </c>
      <c r="AJ1297" s="55">
        <f>IF(BO1297=1,0,ROUNDUP(AI1297/BN1297,0))</f>
        <v/>
      </c>
      <c r="AK1297" s="64">
        <f>IF(BO1297=1,IF(AI1297&lt;=0,0,BP1297*MAX(1,IF(G1297&gt;0,AI1297/G1297,1))),AJ1297*Q1297)</f>
        <v/>
      </c>
      <c r="AL1297" s="55">
        <f>AI1297*F1297</f>
        <v/>
      </c>
      <c r="AM1297" s="55">
        <f>ROUNDUP(MAX(I1297/IF(BS1297&gt;0,BS1297,MAX(0.1,N(Cockpit!$I$6))),BV1297)/BN1297,0)*BN1297</f>
        <v/>
      </c>
      <c r="AN1297" s="56">
        <f>IF(AK1297&gt;0,I1297/AK1297,-1)</f>
        <v/>
      </c>
      <c r="AO1297" s="56">
        <f>IF(AND(OR(BR1297="L1",BR1297="L23"),AK1297&gt;0),SUMIFS($AK$7:$AK$1570,$BR$7:$BR$1570,BR1297,$AN$7:$AN$1570,"&gt;"&amp;AN1297)+SUMIFS($AK$7:$AK$1570,$BR$7:$BR$1570,BR1297,$AN$7:$AN$1570,AN1297,$BL$7:$BL$1570,"&lt;="&amp;BL1297),"")</f>
        <v/>
      </c>
      <c r="AP1297" s="65">
        <f>IF(AO1297="",0,MAX(0,MIN(1,(IF(BR1297="L1",Parameter!$K$5,Parameter!$K$6+Parameter!$K$7)-(AO1297-AK1297))/AK1297)))</f>
        <v/>
      </c>
      <c r="AQ1297" s="55">
        <f>IF(LEFT(Cockpit!$O$5,1)="A",G1297,IF(BT1297=1,BU1297,IF(LEFT(Cockpit!$O$5,1)="B",AU1297,MAX(AU1297,G1297))))</f>
        <v/>
      </c>
      <c r="AR1297" s="55">
        <f>IF(BO1297=1,0,ROUNDUP(AQ1297/BN1297,0))</f>
        <v/>
      </c>
      <c r="AS1297" s="64">
        <f>IF(BO1297=1,IF(AQ1297&lt;=0,0,BP1297*MAX(1,IF(G1297&gt;0,AQ1297/G1297,1))),AR1297*Q1297)</f>
        <v/>
      </c>
      <c r="AT1297" s="55">
        <f>AQ1297*F1297</f>
        <v/>
      </c>
      <c r="AU1297" s="55">
        <f>ROUNDUP(MAX(I1297/IF(BS1297&gt;0,BS1297,MAX(0.1,N(Cockpit!$O$6))),BV1297)/BN1297,0)*BN1297</f>
        <v/>
      </c>
      <c r="AV1297" s="56">
        <f>IF(AS1297&gt;0,I1297/AS1297,-1)</f>
        <v/>
      </c>
      <c r="AW1297" s="56">
        <f>IF(AND(OR(BR1297="L1",BR1297="L23"),AS1297&gt;0),SUMIFS($AS$7:$AS$1570,$BR$7:$BR$1570,BR1297,$AV$7:$AV$1570,"&gt;"&amp;AV1297)+SUMIFS($AS$7:$AS$1570,$BR$7:$BR$1570,BR1297,$AV$7:$AV$1570,AV1297,$BL$7:$BL$1570,"&lt;="&amp;BL1297),"")</f>
        <v/>
      </c>
      <c r="AX1297" s="65">
        <f>IF(AW1297="",0,MAX(0,MIN(1,(IF(BR1297="L1",Parameter!$K$5,Parameter!$K$6+Parameter!$K$7)-(AW1297-AS1297))/AS1297)))</f>
        <v/>
      </c>
      <c r="AY1297" s="53">
        <f>IF(AC1297&lt;=0,"",IF(BR1297="Aussen","Aussenlager",IF(BR1297="-","Nicht im Lift",IF(AH1297&gt;=1,"Lift",IF(AH1297&lt;=0,"Aussenlager","teilweise")))))</f>
        <v/>
      </c>
      <c r="AZ1297" s="53">
        <f>IF(AK1297&lt;=0,"",IF(BR1297="Aussen","Aussenlager",IF(BR1297="-","Nicht im Lift",IF(AP1297&gt;=1,"Lift",IF(AP1297&lt;=0,"Aussenlager","teilweise")))))</f>
        <v/>
      </c>
      <c r="BA1297" s="53">
        <f>IF(AS1297&lt;=0,"",IF(BR1297="Aussen","Aussenlager",IF(BR1297="-","Nicht im Lift",IF(AX1297&gt;=1,"Lift",IF(AX1297&lt;=0,"Aussenlager","teilweise")))))</f>
        <v/>
      </c>
      <c r="BB1297" s="53">
        <f>IF(A1297="","",IF(BK1297=1,"Neu; ","")&amp;IF(AND(BK1297=0,BF1297&lt;0),"negativer Bestand (Export "&amp;BF1297&amp;"); ","")&amp;IF(I1297&lt;=0,"Kein Verbrauch; ","")&amp;IF(BO1297=1,"Lose – Fläche geschätzt; ","")&amp;IF(G1297&gt;AM1297,"Überbestand "&amp;ROUND(G1297-AM1297,0)&amp;" Stk / CHF "&amp;ROUND((G1297-AM1297)*F1297,0)&amp;"; ","")&amp;IF(AND(BT1297=1,BU1297&lt;BV1297),"MAX &lt; MB+LG; ","")&amp;IF(AND(BZ1297&gt;0,BY1297*10&gt;BZ1297),"zu hoch für Tablar; ","")&amp;IF(AND(BK1297=0,OR(BT1297=1,V1297&lt;&gt;"",S1297&lt;&gt;"",T1297&lt;&gt;"",W1297&lt;&gt;"")),"manuell übersteuert; ","")&amp;IF(AND(BO1297=0,Q1297=0),"Gebinde unbekannt; ","")&amp;IF(AND(BO1297=0,N(T1297)&lt;=0,N(P1297)&lt;=0),"Menge pro Gebinde fehlt (Ist = 1 Gebinde); ","")&amp;BJ1297)</f>
        <v/>
      </c>
      <c r="BC1297" s="53" t="n"/>
      <c r="BD1297" s="53" t="n"/>
      <c r="BE1297" s="61" t="n"/>
      <c r="BF1297" s="55" t="n">
        <v>-24</v>
      </c>
      <c r="BG1297" s="55" t="n">
        <v>24</v>
      </c>
      <c r="BH1297" s="54" t="n">
        <v>-1185.84</v>
      </c>
      <c r="BI1297" s="55" t="n">
        <v>0</v>
      </c>
      <c r="BJ1297" s="53" t="inlineStr">
        <is>
          <t>Neuer Art.</t>
        </is>
      </c>
      <c r="BK1297" s="58" t="n">
        <v>0</v>
      </c>
      <c r="BL1297" s="58" t="n">
        <v>1297</v>
      </c>
      <c r="BM1297" s="53">
        <f>IF(S1297&lt;&gt;"",UPPER(TRIM(S1297)),IF(O1297="","LOSE",O1297))</f>
        <v/>
      </c>
      <c r="BN1297" s="55">
        <f>IF(BM1297="LOSE",1,IF(N(T1297)&gt;0,T1297,IF(N(P1297)&gt;0,P1297,MAX(1,G1297))))</f>
        <v/>
      </c>
      <c r="BO1297" s="58">
        <f>IF(BM1297="LOSE",1,0)</f>
        <v/>
      </c>
      <c r="BP1297" s="64">
        <f>IF(BO1297=0,0,IF(N(R1297)&gt;0,R1297,IFERROR(VLOOKUP(D1297,Parameter!$A$35:$C$64,3,0)+0,0)))</f>
        <v/>
      </c>
      <c r="BQ1297" s="53">
        <f>IF(V1297&lt;&gt;"",V1297,U1297)</f>
        <v/>
      </c>
      <c r="BR1297" s="53">
        <f>IF(BQ1297=1,"L1",IF(OR(BQ1297=2,BQ1297=3),"L23",IF(BQ1297="Aussen","Aussen","-")))</f>
        <v/>
      </c>
      <c r="BS1297" s="66">
        <f>IF(N(W1297)&gt;0,W1297,0)</f>
        <v/>
      </c>
      <c r="BT1297" s="58">
        <f>IF(ISNUMBER(Z1297),1,0)</f>
        <v/>
      </c>
      <c r="BU1297" s="55">
        <f>N(Z1297)</f>
        <v/>
      </c>
      <c r="BV1297" s="55">
        <f>N(L1297)+N(M1297)</f>
        <v/>
      </c>
      <c r="BW1297" s="55">
        <f>ROUNDUP(G1297/BN1297,0)</f>
        <v/>
      </c>
      <c r="BX1297" s="55">
        <f>ROUNDUP(BU1297/BN1297,0)</f>
        <v/>
      </c>
      <c r="BY1297" s="58">
        <f>IF(BO1297=1,0,IFERROR(VLOOKUP(BM1297,'Gebinde-Kategorie'!$A$5:$G$45,5,0)+0,0))</f>
        <v/>
      </c>
      <c r="BZ1297" s="58">
        <f>IFERROR(IF(OR(BQ1297=1,BQ1297=2,BQ1297=3),N(INDEX(Parameter!$I$5:$I$7,BQ1297)),0),0)</f>
        <v/>
      </c>
    </row>
    <row r="1298">
      <c r="A1298" s="53" t="inlineStr">
        <is>
          <t>109321</t>
        </is>
      </c>
      <c r="B1298" s="53" t="inlineStr">
        <is>
          <t>Set bedruckte Einlagen SPGr10 SVC1</t>
        </is>
      </c>
      <c r="C1298" s="53" t="inlineStr">
        <is>
          <t>G</t>
        </is>
      </c>
      <c r="D1298" s="53" t="inlineStr">
        <is>
          <t>PAL</t>
        </is>
      </c>
      <c r="E1298" s="53" t="inlineStr">
        <is>
          <t>C</t>
        </is>
      </c>
      <c r="F1298" s="54" t="n">
        <v>59.5</v>
      </c>
      <c r="G1298" s="55">
        <f>MAX(0,IF(Parameter!$B$20="Jahresanfang 2025 + Export",BG1298+BF1298,BF1298))</f>
        <v/>
      </c>
      <c r="H1298" s="55">
        <f>G1298*F1298</f>
        <v/>
      </c>
      <c r="I1298" s="55">
        <f>BI1298*Parameter!$B$18</f>
        <v/>
      </c>
      <c r="J1298" s="56" t="n">
        <v>10</v>
      </c>
      <c r="K1298" s="57" t="n">
        <v>0</v>
      </c>
      <c r="L1298" s="55" t="n">
        <v>0</v>
      </c>
      <c r="M1298" s="55" t="n">
        <v>1</v>
      </c>
      <c r="N1298" s="58" t="n">
        <v>56</v>
      </c>
      <c r="O1298" s="53" t="inlineStr">
        <is>
          <t>LOSE</t>
        </is>
      </c>
      <c r="P1298" s="55" t="n"/>
      <c r="Q1298" s="59">
        <f>IF(BO1298=1,0,IFERROR(VLOOKUP(BM1298,'Gebinde-Kategorie'!$A$5:$G$45,6,0)+0,0))</f>
        <v/>
      </c>
      <c r="R1298" s="60" t="n"/>
      <c r="S1298" s="61" t="n"/>
      <c r="T1298" s="61" t="n"/>
      <c r="U1298" s="53">
        <f>IF(A1298="","",IF(IFERROR(VLOOKUP(D1298,Parameter!$A$35:$C$64,2,0),"Nein")="2+3",IF(ISNUMBER(SEARCH("grosser Artikel",BJ1298)),2,IFERROR(VLOOKUP(BM1298,Parameter!$F$35:$G$64,2,0),2)),IF(OR(IFERROR(VLOOKUP(D1298,Parameter!$A$35:$C$64,2,0),"Nein")="Nein",IFERROR(VLOOKUP(D1298,Parameter!$A$35:$C$64,2,0),"Nein")=""),"-",VLOOKUP(D1298,Parameter!$A$35:$C$64,2,0))))</f>
        <v/>
      </c>
      <c r="V1298" s="61" t="n"/>
      <c r="W1298" s="62" t="n"/>
      <c r="X1298" s="55">
        <f>AM1298</f>
        <v/>
      </c>
      <c r="Y1298" s="55">
        <f>MAX(AM1298,G1298)</f>
        <v/>
      </c>
      <c r="Z1298" s="63" t="n"/>
      <c r="AA1298" s="55">
        <f>IF(LEFT(Cockpit!$C$5,1)="A",G1298,IF(BT1298=1,BU1298,IF(LEFT(Cockpit!$C$5,1)="B",AE1298,MAX(AE1298,G1298))))</f>
        <v/>
      </c>
      <c r="AB1298" s="55">
        <f>IF(BO1298=1,0,ROUNDUP(AA1298/BN1298,0))</f>
        <v/>
      </c>
      <c r="AC1298" s="64">
        <f>IF(BO1298=1,IF(AA1298&lt;=0,0,BP1298*MAX(1,IF(G1298&gt;0,AA1298/G1298,1))),AB1298*Q1298)</f>
        <v/>
      </c>
      <c r="AD1298" s="55">
        <f>AA1298*F1298</f>
        <v/>
      </c>
      <c r="AE1298" s="55">
        <f>ROUNDUP(MAX(I1298/IF(BS1298&gt;0,BS1298,MAX(0.1,N(Cockpit!$C$6))),BV1298)/BN1298,0)*BN1298</f>
        <v/>
      </c>
      <c r="AF1298" s="56">
        <f>IF(AC1298&gt;0,I1298/AC1298,-1)</f>
        <v/>
      </c>
      <c r="AG1298" s="56">
        <f>IF(AND(OR(BR1298="L1",BR1298="L23"),AC1298&gt;0),SUMIFS($AC$7:$AC$1570,$BR$7:$BR$1570,BR1298,$AF$7:$AF$1570,"&gt;"&amp;AF1298)+SUMIFS($AC$7:$AC$1570,$BR$7:$BR$1570,BR1298,$AF$7:$AF$1570,AF1298,$BL$7:$BL$1570,"&lt;="&amp;BL1298),"")</f>
        <v/>
      </c>
      <c r="AH1298" s="65">
        <f>IF(AG1298="",0,MAX(0,MIN(1,(IF(BR1298="L1",Parameter!$K$5,Parameter!$K$6+Parameter!$K$7)-(AG1298-AC1298))/AC1298)))</f>
        <v/>
      </c>
      <c r="AI1298" s="55">
        <f>IF(LEFT(Cockpit!$I$5,1)="A",G1298,IF(BT1298=1,BU1298,IF(LEFT(Cockpit!$I$5,1)="B",AM1298,MAX(AM1298,G1298))))</f>
        <v/>
      </c>
      <c r="AJ1298" s="55">
        <f>IF(BO1298=1,0,ROUNDUP(AI1298/BN1298,0))</f>
        <v/>
      </c>
      <c r="AK1298" s="64">
        <f>IF(BO1298=1,IF(AI1298&lt;=0,0,BP1298*MAX(1,IF(G1298&gt;0,AI1298/G1298,1))),AJ1298*Q1298)</f>
        <v/>
      </c>
      <c r="AL1298" s="55">
        <f>AI1298*F1298</f>
        <v/>
      </c>
      <c r="AM1298" s="55">
        <f>ROUNDUP(MAX(I1298/IF(BS1298&gt;0,BS1298,MAX(0.1,N(Cockpit!$I$6))),BV1298)/BN1298,0)*BN1298</f>
        <v/>
      </c>
      <c r="AN1298" s="56">
        <f>IF(AK1298&gt;0,I1298/AK1298,-1)</f>
        <v/>
      </c>
      <c r="AO1298" s="56">
        <f>IF(AND(OR(BR1298="L1",BR1298="L23"),AK1298&gt;0),SUMIFS($AK$7:$AK$1570,$BR$7:$BR$1570,BR1298,$AN$7:$AN$1570,"&gt;"&amp;AN1298)+SUMIFS($AK$7:$AK$1570,$BR$7:$BR$1570,BR1298,$AN$7:$AN$1570,AN1298,$BL$7:$BL$1570,"&lt;="&amp;BL1298),"")</f>
        <v/>
      </c>
      <c r="AP1298" s="65">
        <f>IF(AO1298="",0,MAX(0,MIN(1,(IF(BR1298="L1",Parameter!$K$5,Parameter!$K$6+Parameter!$K$7)-(AO1298-AK1298))/AK1298)))</f>
        <v/>
      </c>
      <c r="AQ1298" s="55">
        <f>IF(LEFT(Cockpit!$O$5,1)="A",G1298,IF(BT1298=1,BU1298,IF(LEFT(Cockpit!$O$5,1)="B",AU1298,MAX(AU1298,G1298))))</f>
        <v/>
      </c>
      <c r="AR1298" s="55">
        <f>IF(BO1298=1,0,ROUNDUP(AQ1298/BN1298,0))</f>
        <v/>
      </c>
      <c r="AS1298" s="64">
        <f>IF(BO1298=1,IF(AQ1298&lt;=0,0,BP1298*MAX(1,IF(G1298&gt;0,AQ1298/G1298,1))),AR1298*Q1298)</f>
        <v/>
      </c>
      <c r="AT1298" s="55">
        <f>AQ1298*F1298</f>
        <v/>
      </c>
      <c r="AU1298" s="55">
        <f>ROUNDUP(MAX(I1298/IF(BS1298&gt;0,BS1298,MAX(0.1,N(Cockpit!$O$6))),BV1298)/BN1298,0)*BN1298</f>
        <v/>
      </c>
      <c r="AV1298" s="56">
        <f>IF(AS1298&gt;0,I1298/AS1298,-1)</f>
        <v/>
      </c>
      <c r="AW1298" s="56">
        <f>IF(AND(OR(BR1298="L1",BR1298="L23"),AS1298&gt;0),SUMIFS($AS$7:$AS$1570,$BR$7:$BR$1570,BR1298,$AV$7:$AV$1570,"&gt;"&amp;AV1298)+SUMIFS($AS$7:$AS$1570,$BR$7:$BR$1570,BR1298,$AV$7:$AV$1570,AV1298,$BL$7:$BL$1570,"&lt;="&amp;BL1298),"")</f>
        <v/>
      </c>
      <c r="AX1298" s="65">
        <f>IF(AW1298="",0,MAX(0,MIN(1,(IF(BR1298="L1",Parameter!$K$5,Parameter!$K$6+Parameter!$K$7)-(AW1298-AS1298))/AS1298)))</f>
        <v/>
      </c>
      <c r="AY1298" s="53">
        <f>IF(AC1298&lt;=0,"",IF(BR1298="Aussen","Aussenlager",IF(BR1298="-","Nicht im Lift",IF(AH1298&gt;=1,"Lift",IF(AH1298&lt;=0,"Aussenlager","teilweise")))))</f>
        <v/>
      </c>
      <c r="AZ1298" s="53">
        <f>IF(AK1298&lt;=0,"",IF(BR1298="Aussen","Aussenlager",IF(BR1298="-","Nicht im Lift",IF(AP1298&gt;=1,"Lift",IF(AP1298&lt;=0,"Aussenlager","teilweise")))))</f>
        <v/>
      </c>
      <c r="BA1298" s="53">
        <f>IF(AS1298&lt;=0,"",IF(BR1298="Aussen","Aussenlager",IF(BR1298="-","Nicht im Lift",IF(AX1298&gt;=1,"Lift",IF(AX1298&lt;=0,"Aussenlager","teilweise")))))</f>
        <v/>
      </c>
      <c r="BB1298" s="53">
        <f>IF(A1298="","",IF(BK1298=1,"Neu; ","")&amp;IF(AND(BK1298=0,BF1298&lt;0),"negativer Bestand (Export "&amp;BF1298&amp;"); ","")&amp;IF(I1298&lt;=0,"Kein Verbrauch; ","")&amp;IF(BO1298=1,"Lose – Fläche geschätzt; ","")&amp;IF(G1298&gt;AM1298,"Überbestand "&amp;ROUND(G1298-AM1298,0)&amp;" Stk / CHF "&amp;ROUND((G1298-AM1298)*F1298,0)&amp;"; ","")&amp;IF(AND(BT1298=1,BU1298&lt;BV1298),"MAX &lt; MB+LG; ","")&amp;IF(AND(BZ1298&gt;0,BY1298*10&gt;BZ1298),"zu hoch für Tablar; ","")&amp;IF(AND(BK1298=0,OR(BT1298=1,V1298&lt;&gt;"",S1298&lt;&gt;"",T1298&lt;&gt;"",W1298&lt;&gt;"")),"manuell übersteuert; ","")&amp;IF(AND(BO1298=0,Q1298=0),"Gebinde unbekannt; ","")&amp;IF(AND(BO1298=0,N(T1298)&lt;=0,N(P1298)&lt;=0),"Menge pro Gebinde fehlt (Ist = 1 Gebinde); ","")&amp;BJ1298)</f>
        <v/>
      </c>
      <c r="BC1298" s="53" t="n"/>
      <c r="BD1298" s="53" t="n"/>
      <c r="BE1298" s="61" t="n"/>
      <c r="BF1298" s="55" t="n">
        <v>-20</v>
      </c>
      <c r="BG1298" s="55" t="n">
        <v>20</v>
      </c>
      <c r="BH1298" s="54" t="n">
        <v>-1190</v>
      </c>
      <c r="BI1298" s="55" t="n">
        <v>0</v>
      </c>
      <c r="BJ1298" s="53" t="inlineStr"/>
      <c r="BK1298" s="58" t="n">
        <v>0</v>
      </c>
      <c r="BL1298" s="58" t="n">
        <v>1298</v>
      </c>
      <c r="BM1298" s="53">
        <f>IF(S1298&lt;&gt;"",UPPER(TRIM(S1298)),IF(O1298="","LOSE",O1298))</f>
        <v/>
      </c>
      <c r="BN1298" s="55">
        <f>IF(BM1298="LOSE",1,IF(N(T1298)&gt;0,T1298,IF(N(P1298)&gt;0,P1298,MAX(1,G1298))))</f>
        <v/>
      </c>
      <c r="BO1298" s="58">
        <f>IF(BM1298="LOSE",1,0)</f>
        <v/>
      </c>
      <c r="BP1298" s="64">
        <f>IF(BO1298=0,0,IF(N(R1298)&gt;0,R1298,IFERROR(VLOOKUP(D1298,Parameter!$A$35:$C$64,3,0)+0,0)))</f>
        <v/>
      </c>
      <c r="BQ1298" s="53">
        <f>IF(V1298&lt;&gt;"",V1298,U1298)</f>
        <v/>
      </c>
      <c r="BR1298" s="53">
        <f>IF(BQ1298=1,"L1",IF(OR(BQ1298=2,BQ1298=3),"L23",IF(BQ1298="Aussen","Aussen","-")))</f>
        <v/>
      </c>
      <c r="BS1298" s="66">
        <f>IF(N(W1298)&gt;0,W1298,0)</f>
        <v/>
      </c>
      <c r="BT1298" s="58">
        <f>IF(ISNUMBER(Z1298),1,0)</f>
        <v/>
      </c>
      <c r="BU1298" s="55">
        <f>N(Z1298)</f>
        <v/>
      </c>
      <c r="BV1298" s="55">
        <f>N(L1298)+N(M1298)</f>
        <v/>
      </c>
      <c r="BW1298" s="55">
        <f>ROUNDUP(G1298/BN1298,0)</f>
        <v/>
      </c>
      <c r="BX1298" s="55">
        <f>ROUNDUP(BU1298/BN1298,0)</f>
        <v/>
      </c>
      <c r="BY1298" s="58">
        <f>IF(BO1298=1,0,IFERROR(VLOOKUP(BM1298,'Gebinde-Kategorie'!$A$5:$G$45,5,0)+0,0))</f>
        <v/>
      </c>
      <c r="BZ1298" s="58">
        <f>IFERROR(IF(OR(BQ1298=1,BQ1298=2,BQ1298=3),N(INDEX(Parameter!$I$5:$I$7,BQ1298)),0),0)</f>
        <v/>
      </c>
    </row>
    <row r="1299">
      <c r="A1299" s="53" t="inlineStr">
        <is>
          <t>106795</t>
        </is>
      </c>
      <c r="B1299" s="53" t="inlineStr">
        <is>
          <t>Zylinderschraube mit Innensechskant</t>
        </is>
      </c>
      <c r="C1299" s="53" t="inlineStr">
        <is>
          <t>F</t>
        </is>
      </c>
      <c r="D1299" s="53" t="inlineStr">
        <is>
          <t>PAL</t>
        </is>
      </c>
      <c r="E1299" s="53" t="inlineStr">
        <is>
          <t>C</t>
        </is>
      </c>
      <c r="F1299" s="54" t="n">
        <v>1.59</v>
      </c>
      <c r="G1299" s="55">
        <f>MAX(0,IF(Parameter!$B$20="Jahresanfang 2025 + Export",BG1299+BF1299,BF1299))</f>
        <v/>
      </c>
      <c r="H1299" s="55">
        <f>G1299*F1299</f>
        <v/>
      </c>
      <c r="I1299" s="55">
        <f>BI1299*Parameter!$B$18</f>
        <v/>
      </c>
      <c r="J1299" s="56" t="n">
        <v>1501.5</v>
      </c>
      <c r="K1299" s="57" t="n">
        <v>3.685647685647686</v>
      </c>
      <c r="L1299" s="55" t="n">
        <v>322</v>
      </c>
      <c r="M1299" s="55" t="n">
        <v>600</v>
      </c>
      <c r="N1299" s="58" t="n">
        <v>21</v>
      </c>
      <c r="O1299" s="53" t="inlineStr">
        <is>
          <t>S63</t>
        </is>
      </c>
      <c r="P1299" s="55" t="n">
        <v>300</v>
      </c>
      <c r="Q1299" s="59">
        <f>IF(BO1299=1,0,IFERROR(VLOOKUP(BM1299,'Gebinde-Kategorie'!$A$5:$G$45,6,0)+0,0))</f>
        <v/>
      </c>
      <c r="R1299" s="60" t="n"/>
      <c r="S1299" s="61" t="n"/>
      <c r="T1299" s="61" t="n"/>
      <c r="U1299" s="53">
        <f>IF(A1299="","",IF(IFERROR(VLOOKUP(D1299,Parameter!$A$35:$C$64,2,0),"Nein")="2+3",IF(ISNUMBER(SEARCH("grosser Artikel",BJ1299)),2,IFERROR(VLOOKUP(BM1299,Parameter!$F$35:$G$64,2,0),2)),IF(OR(IFERROR(VLOOKUP(D1299,Parameter!$A$35:$C$64,2,0),"Nein")="Nein",IFERROR(VLOOKUP(D1299,Parameter!$A$35:$C$64,2,0),"Nein")=""),"-",VLOOKUP(D1299,Parameter!$A$35:$C$64,2,0))))</f>
        <v/>
      </c>
      <c r="V1299" s="61" t="n"/>
      <c r="W1299" s="62" t="n"/>
      <c r="X1299" s="55">
        <f>AM1299</f>
        <v/>
      </c>
      <c r="Y1299" s="55">
        <f>MAX(AM1299,G1299)</f>
        <v/>
      </c>
      <c r="Z1299" s="63" t="n"/>
      <c r="AA1299" s="55">
        <f>IF(LEFT(Cockpit!$C$5,1)="A",G1299,IF(BT1299=1,BU1299,IF(LEFT(Cockpit!$C$5,1)="B",AE1299,MAX(AE1299,G1299))))</f>
        <v/>
      </c>
      <c r="AB1299" s="55">
        <f>IF(BO1299=1,0,ROUNDUP(AA1299/BN1299,0))</f>
        <v/>
      </c>
      <c r="AC1299" s="64">
        <f>IF(BO1299=1,IF(AA1299&lt;=0,0,BP1299*MAX(1,IF(G1299&gt;0,AA1299/G1299,1))),AB1299*Q1299)</f>
        <v/>
      </c>
      <c r="AD1299" s="55">
        <f>AA1299*F1299</f>
        <v/>
      </c>
      <c r="AE1299" s="55">
        <f>ROUNDUP(MAX(I1299/IF(BS1299&gt;0,BS1299,MAX(0.1,N(Cockpit!$C$6))),BV1299)/BN1299,0)*BN1299</f>
        <v/>
      </c>
      <c r="AF1299" s="56">
        <f>IF(AC1299&gt;0,I1299/AC1299,-1)</f>
        <v/>
      </c>
      <c r="AG1299" s="56">
        <f>IF(AND(OR(BR1299="L1",BR1299="L23"),AC1299&gt;0),SUMIFS($AC$7:$AC$1570,$BR$7:$BR$1570,BR1299,$AF$7:$AF$1570,"&gt;"&amp;AF1299)+SUMIFS($AC$7:$AC$1570,$BR$7:$BR$1570,BR1299,$AF$7:$AF$1570,AF1299,$BL$7:$BL$1570,"&lt;="&amp;BL1299),"")</f>
        <v/>
      </c>
      <c r="AH1299" s="65">
        <f>IF(AG1299="",0,MAX(0,MIN(1,(IF(BR1299="L1",Parameter!$K$5,Parameter!$K$6+Parameter!$K$7)-(AG1299-AC1299))/AC1299)))</f>
        <v/>
      </c>
      <c r="AI1299" s="55">
        <f>IF(LEFT(Cockpit!$I$5,1)="A",G1299,IF(BT1299=1,BU1299,IF(LEFT(Cockpit!$I$5,1)="B",AM1299,MAX(AM1299,G1299))))</f>
        <v/>
      </c>
      <c r="AJ1299" s="55">
        <f>IF(BO1299=1,0,ROUNDUP(AI1299/BN1299,0))</f>
        <v/>
      </c>
      <c r="AK1299" s="64">
        <f>IF(BO1299=1,IF(AI1299&lt;=0,0,BP1299*MAX(1,IF(G1299&gt;0,AI1299/G1299,1))),AJ1299*Q1299)</f>
        <v/>
      </c>
      <c r="AL1299" s="55">
        <f>AI1299*F1299</f>
        <v/>
      </c>
      <c r="AM1299" s="55">
        <f>ROUNDUP(MAX(I1299/IF(BS1299&gt;0,BS1299,MAX(0.1,N(Cockpit!$I$6))),BV1299)/BN1299,0)*BN1299</f>
        <v/>
      </c>
      <c r="AN1299" s="56">
        <f>IF(AK1299&gt;0,I1299/AK1299,-1)</f>
        <v/>
      </c>
      <c r="AO1299" s="56">
        <f>IF(AND(OR(BR1299="L1",BR1299="L23"),AK1299&gt;0),SUMIFS($AK$7:$AK$1570,$BR$7:$BR$1570,BR1299,$AN$7:$AN$1570,"&gt;"&amp;AN1299)+SUMIFS($AK$7:$AK$1570,$BR$7:$BR$1570,BR1299,$AN$7:$AN$1570,AN1299,$BL$7:$BL$1570,"&lt;="&amp;BL1299),"")</f>
        <v/>
      </c>
      <c r="AP1299" s="65">
        <f>IF(AO1299="",0,MAX(0,MIN(1,(IF(BR1299="L1",Parameter!$K$5,Parameter!$K$6+Parameter!$K$7)-(AO1299-AK1299))/AK1299)))</f>
        <v/>
      </c>
      <c r="AQ1299" s="55">
        <f>IF(LEFT(Cockpit!$O$5,1)="A",G1299,IF(BT1299=1,BU1299,IF(LEFT(Cockpit!$O$5,1)="B",AU1299,MAX(AU1299,G1299))))</f>
        <v/>
      </c>
      <c r="AR1299" s="55">
        <f>IF(BO1299=1,0,ROUNDUP(AQ1299/BN1299,0))</f>
        <v/>
      </c>
      <c r="AS1299" s="64">
        <f>IF(BO1299=1,IF(AQ1299&lt;=0,0,BP1299*MAX(1,IF(G1299&gt;0,AQ1299/G1299,1))),AR1299*Q1299)</f>
        <v/>
      </c>
      <c r="AT1299" s="55">
        <f>AQ1299*F1299</f>
        <v/>
      </c>
      <c r="AU1299" s="55">
        <f>ROUNDUP(MAX(I1299/IF(BS1299&gt;0,BS1299,MAX(0.1,N(Cockpit!$O$6))),BV1299)/BN1299,0)*BN1299</f>
        <v/>
      </c>
      <c r="AV1299" s="56">
        <f>IF(AS1299&gt;0,I1299/AS1299,-1)</f>
        <v/>
      </c>
      <c r="AW1299" s="56">
        <f>IF(AND(OR(BR1299="L1",BR1299="L23"),AS1299&gt;0),SUMIFS($AS$7:$AS$1570,$BR$7:$BR$1570,BR1299,$AV$7:$AV$1570,"&gt;"&amp;AV1299)+SUMIFS($AS$7:$AS$1570,$BR$7:$BR$1570,BR1299,$AV$7:$AV$1570,AV1299,$BL$7:$BL$1570,"&lt;="&amp;BL1299),"")</f>
        <v/>
      </c>
      <c r="AX1299" s="65">
        <f>IF(AW1299="",0,MAX(0,MIN(1,(IF(BR1299="L1",Parameter!$K$5,Parameter!$K$6+Parameter!$K$7)-(AW1299-AS1299))/AS1299)))</f>
        <v/>
      </c>
      <c r="AY1299" s="53">
        <f>IF(AC1299&lt;=0,"",IF(BR1299="Aussen","Aussenlager",IF(BR1299="-","Nicht im Lift",IF(AH1299&gt;=1,"Lift",IF(AH1299&lt;=0,"Aussenlager","teilweise")))))</f>
        <v/>
      </c>
      <c r="AZ1299" s="53">
        <f>IF(AK1299&lt;=0,"",IF(BR1299="Aussen","Aussenlager",IF(BR1299="-","Nicht im Lift",IF(AP1299&gt;=1,"Lift",IF(AP1299&lt;=0,"Aussenlager","teilweise")))))</f>
        <v/>
      </c>
      <c r="BA1299" s="53">
        <f>IF(AS1299&lt;=0,"",IF(BR1299="Aussen","Aussenlager",IF(BR1299="-","Nicht im Lift",IF(AX1299&gt;=1,"Lift",IF(AX1299&lt;=0,"Aussenlager","teilweise")))))</f>
        <v/>
      </c>
      <c r="BB1299" s="53">
        <f>IF(A1299="","",IF(BK1299=1,"Neu; ","")&amp;IF(AND(BK1299=0,BF1299&lt;0),"negativer Bestand (Export "&amp;BF1299&amp;"); ","")&amp;IF(I1299&lt;=0,"Kein Verbrauch; ","")&amp;IF(BO1299=1,"Lose – Fläche geschätzt; ","")&amp;IF(G1299&gt;AM1299,"Überbestand "&amp;ROUND(G1299-AM1299,0)&amp;" Stk / CHF "&amp;ROUND((G1299-AM1299)*F1299,0)&amp;"; ","")&amp;IF(AND(BT1299=1,BU1299&lt;BV1299),"MAX &lt; MB+LG; ","")&amp;IF(AND(BZ1299&gt;0,BY1299*10&gt;BZ1299),"zu hoch für Tablar; ","")&amp;IF(AND(BK1299=0,OR(BT1299=1,V1299&lt;&gt;"",S1299&lt;&gt;"",T1299&lt;&gt;"",W1299&lt;&gt;"")),"manuell übersteuert; ","")&amp;IF(AND(BO1299=0,Q1299=0),"Gebinde unbekannt; ","")&amp;IF(AND(BO1299=0,N(T1299)&lt;=0,N(P1299)&lt;=0),"Menge pro Gebinde fehlt (Ist = 1 Gebinde); ","")&amp;BJ1299)</f>
        <v/>
      </c>
      <c r="BC1299" s="53" t="n"/>
      <c r="BD1299" s="53" t="n"/>
      <c r="BE1299" s="61" t="n"/>
      <c r="BF1299" s="55" t="n">
        <v>-641</v>
      </c>
      <c r="BG1299" s="55" t="n">
        <v>1750</v>
      </c>
      <c r="BH1299" s="54" t="n">
        <v>-1191.490000000001</v>
      </c>
      <c r="BI1299" s="55" t="n">
        <v>5534</v>
      </c>
      <c r="BJ1299" s="53" t="inlineStr">
        <is>
          <t>grosse  Artikelmenge</t>
        </is>
      </c>
      <c r="BK1299" s="58" t="n">
        <v>0</v>
      </c>
      <c r="BL1299" s="58" t="n">
        <v>1299</v>
      </c>
      <c r="BM1299" s="53">
        <f>IF(S1299&lt;&gt;"",UPPER(TRIM(S1299)),IF(O1299="","LOSE",O1299))</f>
        <v/>
      </c>
      <c r="BN1299" s="55">
        <f>IF(BM1299="LOSE",1,IF(N(T1299)&gt;0,T1299,IF(N(P1299)&gt;0,P1299,MAX(1,G1299))))</f>
        <v/>
      </c>
      <c r="BO1299" s="58">
        <f>IF(BM1299="LOSE",1,0)</f>
        <v/>
      </c>
      <c r="BP1299" s="64">
        <f>IF(BO1299=0,0,IF(N(R1299)&gt;0,R1299,IFERROR(VLOOKUP(D1299,Parameter!$A$35:$C$64,3,0)+0,0)))</f>
        <v/>
      </c>
      <c r="BQ1299" s="53">
        <f>IF(V1299&lt;&gt;"",V1299,U1299)</f>
        <v/>
      </c>
      <c r="BR1299" s="53">
        <f>IF(BQ1299=1,"L1",IF(OR(BQ1299=2,BQ1299=3),"L23",IF(BQ1299="Aussen","Aussen","-")))</f>
        <v/>
      </c>
      <c r="BS1299" s="66">
        <f>IF(N(W1299)&gt;0,W1299,0)</f>
        <v/>
      </c>
      <c r="BT1299" s="58">
        <f>IF(ISNUMBER(Z1299),1,0)</f>
        <v/>
      </c>
      <c r="BU1299" s="55">
        <f>N(Z1299)</f>
        <v/>
      </c>
      <c r="BV1299" s="55">
        <f>N(L1299)+N(M1299)</f>
        <v/>
      </c>
      <c r="BW1299" s="55">
        <f>ROUNDUP(G1299/BN1299,0)</f>
        <v/>
      </c>
      <c r="BX1299" s="55">
        <f>ROUNDUP(BU1299/BN1299,0)</f>
        <v/>
      </c>
      <c r="BY1299" s="58">
        <f>IF(BO1299=1,0,IFERROR(VLOOKUP(BM1299,'Gebinde-Kategorie'!$A$5:$G$45,5,0)+0,0))</f>
        <v/>
      </c>
      <c r="BZ1299" s="58">
        <f>IFERROR(IF(OR(BQ1299=1,BQ1299=2,BQ1299=3),N(INDEX(Parameter!$I$5:$I$7,BQ1299)),0),0)</f>
        <v/>
      </c>
    </row>
    <row r="1300">
      <c r="A1300" s="53" t="inlineStr">
        <is>
          <t>001205</t>
        </is>
      </c>
      <c r="B1300" s="53" t="inlineStr">
        <is>
          <t>Holzkiste Luftkompressor Luft &amp; See</t>
        </is>
      </c>
      <c r="C1300" s="53" t="inlineStr">
        <is>
          <t>F</t>
        </is>
      </c>
      <c r="D1300" s="53" t="inlineStr">
        <is>
          <t>PAL</t>
        </is>
      </c>
      <c r="E1300" s="53" t="inlineStr">
        <is>
          <t>C</t>
        </is>
      </c>
      <c r="F1300" s="54" t="n">
        <v>659.54</v>
      </c>
      <c r="G1300" s="55">
        <f>MAX(0,IF(Parameter!$B$20="Jahresanfang 2025 + Export",BG1300+BF1300,BF1300))</f>
        <v/>
      </c>
      <c r="H1300" s="55">
        <f>G1300*F1300</f>
        <v/>
      </c>
      <c r="I1300" s="55">
        <f>BI1300*Parameter!$B$18</f>
        <v/>
      </c>
      <c r="J1300" s="56" t="n">
        <v>1</v>
      </c>
      <c r="K1300" s="57" t="n">
        <v>8</v>
      </c>
      <c r="L1300" s="55" t="n">
        <v>0</v>
      </c>
      <c r="M1300" s="55" t="n">
        <v>2</v>
      </c>
      <c r="N1300" s="58" t="n">
        <v>14</v>
      </c>
      <c r="O1300" s="53" t="inlineStr">
        <is>
          <t>LOSE</t>
        </is>
      </c>
      <c r="P1300" s="55" t="n"/>
      <c r="Q1300" s="59">
        <f>IF(BO1300=1,0,IFERROR(VLOOKUP(BM1300,'Gebinde-Kategorie'!$A$5:$G$45,6,0)+0,0))</f>
        <v/>
      </c>
      <c r="R1300" s="60" t="n"/>
      <c r="S1300" s="61" t="n"/>
      <c r="T1300" s="61" t="n"/>
      <c r="U1300" s="53">
        <f>IF(A1300="","",IF(IFERROR(VLOOKUP(D1300,Parameter!$A$35:$C$64,2,0),"Nein")="2+3",IF(ISNUMBER(SEARCH("grosser Artikel",BJ1300)),2,IFERROR(VLOOKUP(BM1300,Parameter!$F$35:$G$64,2,0),2)),IF(OR(IFERROR(VLOOKUP(D1300,Parameter!$A$35:$C$64,2,0),"Nein")="Nein",IFERROR(VLOOKUP(D1300,Parameter!$A$35:$C$64,2,0),"Nein")=""),"-",VLOOKUP(D1300,Parameter!$A$35:$C$64,2,0))))</f>
        <v/>
      </c>
      <c r="V1300" s="61" t="n"/>
      <c r="W1300" s="62" t="n"/>
      <c r="X1300" s="55">
        <f>AM1300</f>
        <v/>
      </c>
      <c r="Y1300" s="55">
        <f>MAX(AM1300,G1300)</f>
        <v/>
      </c>
      <c r="Z1300" s="63" t="n"/>
      <c r="AA1300" s="55">
        <f>IF(LEFT(Cockpit!$C$5,1)="A",G1300,IF(BT1300=1,BU1300,IF(LEFT(Cockpit!$C$5,1)="B",AE1300,MAX(AE1300,G1300))))</f>
        <v/>
      </c>
      <c r="AB1300" s="55">
        <f>IF(BO1300=1,0,ROUNDUP(AA1300/BN1300,0))</f>
        <v/>
      </c>
      <c r="AC1300" s="64">
        <f>IF(BO1300=1,IF(AA1300&lt;=0,0,BP1300*MAX(1,IF(G1300&gt;0,AA1300/G1300,1))),AB1300*Q1300)</f>
        <v/>
      </c>
      <c r="AD1300" s="55">
        <f>AA1300*F1300</f>
        <v/>
      </c>
      <c r="AE1300" s="55">
        <f>ROUNDUP(MAX(I1300/IF(BS1300&gt;0,BS1300,MAX(0.1,N(Cockpit!$C$6))),BV1300)/BN1300,0)*BN1300</f>
        <v/>
      </c>
      <c r="AF1300" s="56">
        <f>IF(AC1300&gt;0,I1300/AC1300,-1)</f>
        <v/>
      </c>
      <c r="AG1300" s="56">
        <f>IF(AND(OR(BR1300="L1",BR1300="L23"),AC1300&gt;0),SUMIFS($AC$7:$AC$1570,$BR$7:$BR$1570,BR1300,$AF$7:$AF$1570,"&gt;"&amp;AF1300)+SUMIFS($AC$7:$AC$1570,$BR$7:$BR$1570,BR1300,$AF$7:$AF$1570,AF1300,$BL$7:$BL$1570,"&lt;="&amp;BL1300),"")</f>
        <v/>
      </c>
      <c r="AH1300" s="65">
        <f>IF(AG1300="",0,MAX(0,MIN(1,(IF(BR1300="L1",Parameter!$K$5,Parameter!$K$6+Parameter!$K$7)-(AG1300-AC1300))/AC1300)))</f>
        <v/>
      </c>
      <c r="AI1300" s="55">
        <f>IF(LEFT(Cockpit!$I$5,1)="A",G1300,IF(BT1300=1,BU1300,IF(LEFT(Cockpit!$I$5,1)="B",AM1300,MAX(AM1300,G1300))))</f>
        <v/>
      </c>
      <c r="AJ1300" s="55">
        <f>IF(BO1300=1,0,ROUNDUP(AI1300/BN1300,0))</f>
        <v/>
      </c>
      <c r="AK1300" s="64">
        <f>IF(BO1300=1,IF(AI1300&lt;=0,0,BP1300*MAX(1,IF(G1300&gt;0,AI1300/G1300,1))),AJ1300*Q1300)</f>
        <v/>
      </c>
      <c r="AL1300" s="55">
        <f>AI1300*F1300</f>
        <v/>
      </c>
      <c r="AM1300" s="55">
        <f>ROUNDUP(MAX(I1300/IF(BS1300&gt;0,BS1300,MAX(0.1,N(Cockpit!$I$6))),BV1300)/BN1300,0)*BN1300</f>
        <v/>
      </c>
      <c r="AN1300" s="56">
        <f>IF(AK1300&gt;0,I1300/AK1300,-1)</f>
        <v/>
      </c>
      <c r="AO1300" s="56">
        <f>IF(AND(OR(BR1300="L1",BR1300="L23"),AK1300&gt;0),SUMIFS($AK$7:$AK$1570,$BR$7:$BR$1570,BR1300,$AN$7:$AN$1570,"&gt;"&amp;AN1300)+SUMIFS($AK$7:$AK$1570,$BR$7:$BR$1570,BR1300,$AN$7:$AN$1570,AN1300,$BL$7:$BL$1570,"&lt;="&amp;BL1300),"")</f>
        <v/>
      </c>
      <c r="AP1300" s="65">
        <f>IF(AO1300="",0,MAX(0,MIN(1,(IF(BR1300="L1",Parameter!$K$5,Parameter!$K$6+Parameter!$K$7)-(AO1300-AK1300))/AK1300)))</f>
        <v/>
      </c>
      <c r="AQ1300" s="55">
        <f>IF(LEFT(Cockpit!$O$5,1)="A",G1300,IF(BT1300=1,BU1300,IF(LEFT(Cockpit!$O$5,1)="B",AU1300,MAX(AU1300,G1300))))</f>
        <v/>
      </c>
      <c r="AR1300" s="55">
        <f>IF(BO1300=1,0,ROUNDUP(AQ1300/BN1300,0))</f>
        <v/>
      </c>
      <c r="AS1300" s="64">
        <f>IF(BO1300=1,IF(AQ1300&lt;=0,0,BP1300*MAX(1,IF(G1300&gt;0,AQ1300/G1300,1))),AR1300*Q1300)</f>
        <v/>
      </c>
      <c r="AT1300" s="55">
        <f>AQ1300*F1300</f>
        <v/>
      </c>
      <c r="AU1300" s="55">
        <f>ROUNDUP(MAX(I1300/IF(BS1300&gt;0,BS1300,MAX(0.1,N(Cockpit!$O$6))),BV1300)/BN1300,0)*BN1300</f>
        <v/>
      </c>
      <c r="AV1300" s="56">
        <f>IF(AS1300&gt;0,I1300/AS1300,-1)</f>
        <v/>
      </c>
      <c r="AW1300" s="56">
        <f>IF(AND(OR(BR1300="L1",BR1300="L23"),AS1300&gt;0),SUMIFS($AS$7:$AS$1570,$BR$7:$BR$1570,BR1300,$AV$7:$AV$1570,"&gt;"&amp;AV1300)+SUMIFS($AS$7:$AS$1570,$BR$7:$BR$1570,BR1300,$AV$7:$AV$1570,AV1300,$BL$7:$BL$1570,"&lt;="&amp;BL1300),"")</f>
        <v/>
      </c>
      <c r="AX1300" s="65">
        <f>IF(AW1300="",0,MAX(0,MIN(1,(IF(BR1300="L1",Parameter!$K$5,Parameter!$K$6+Parameter!$K$7)-(AW1300-AS1300))/AS1300)))</f>
        <v/>
      </c>
      <c r="AY1300" s="53">
        <f>IF(AC1300&lt;=0,"",IF(BR1300="Aussen","Aussenlager",IF(BR1300="-","Nicht im Lift",IF(AH1300&gt;=1,"Lift",IF(AH1300&lt;=0,"Aussenlager","teilweise")))))</f>
        <v/>
      </c>
      <c r="AZ1300" s="53">
        <f>IF(AK1300&lt;=0,"",IF(BR1300="Aussen","Aussenlager",IF(BR1300="-","Nicht im Lift",IF(AP1300&gt;=1,"Lift",IF(AP1300&lt;=0,"Aussenlager","teilweise")))))</f>
        <v/>
      </c>
      <c r="BA1300" s="53">
        <f>IF(AS1300&lt;=0,"",IF(BR1300="Aussen","Aussenlager",IF(BR1300="-","Nicht im Lift",IF(AX1300&gt;=1,"Lift",IF(AX1300&lt;=0,"Aussenlager","teilweise")))))</f>
        <v/>
      </c>
      <c r="BB1300" s="53">
        <f>IF(A1300="","",IF(BK1300=1,"Neu; ","")&amp;IF(AND(BK1300=0,BF1300&lt;0),"negativer Bestand (Export "&amp;BF1300&amp;"); ","")&amp;IF(I1300&lt;=0,"Kein Verbrauch; ","")&amp;IF(BO1300=1,"Lose – Fläche geschätzt; ","")&amp;IF(G1300&gt;AM1300,"Überbestand "&amp;ROUND(G1300-AM1300,0)&amp;" Stk / CHF "&amp;ROUND((G1300-AM1300)*F1300,0)&amp;"; ","")&amp;IF(AND(BT1300=1,BU1300&lt;BV1300),"MAX &lt; MB+LG; ","")&amp;IF(AND(BZ1300&gt;0,BY1300*10&gt;BZ1300),"zu hoch für Tablar; ","")&amp;IF(AND(BK1300=0,OR(BT1300=1,V1300&lt;&gt;"",S1300&lt;&gt;"",T1300&lt;&gt;"",W1300&lt;&gt;"")),"manuell übersteuert; ","")&amp;IF(AND(BO1300=0,Q1300=0),"Gebinde unbekannt; ","")&amp;IF(AND(BO1300=0,N(T1300)&lt;=0,N(P1300)&lt;=0),"Menge pro Gebinde fehlt (Ist = 1 Gebinde); ","")&amp;BJ1300)</f>
        <v/>
      </c>
      <c r="BC1300" s="53" t="n"/>
      <c r="BD1300" s="53" t="n"/>
      <c r="BE1300" s="61" t="n"/>
      <c r="BF1300" s="55" t="n">
        <v>-2</v>
      </c>
      <c r="BG1300" s="55" t="n">
        <v>2</v>
      </c>
      <c r="BH1300" s="54" t="n">
        <v>-1191.980000000002</v>
      </c>
      <c r="BI1300" s="55" t="n">
        <v>8</v>
      </c>
      <c r="BJ1300" s="53" t="inlineStr"/>
      <c r="BK1300" s="58" t="n">
        <v>0</v>
      </c>
      <c r="BL1300" s="58" t="n">
        <v>1300</v>
      </c>
      <c r="BM1300" s="53">
        <f>IF(S1300&lt;&gt;"",UPPER(TRIM(S1300)),IF(O1300="","LOSE",O1300))</f>
        <v/>
      </c>
      <c r="BN1300" s="55">
        <f>IF(BM1300="LOSE",1,IF(N(T1300)&gt;0,T1300,IF(N(P1300)&gt;0,P1300,MAX(1,G1300))))</f>
        <v/>
      </c>
      <c r="BO1300" s="58">
        <f>IF(BM1300="LOSE",1,0)</f>
        <v/>
      </c>
      <c r="BP1300" s="64">
        <f>IF(BO1300=0,0,IF(N(R1300)&gt;0,R1300,IFERROR(VLOOKUP(D1300,Parameter!$A$35:$C$64,3,0)+0,0)))</f>
        <v/>
      </c>
      <c r="BQ1300" s="53">
        <f>IF(V1300&lt;&gt;"",V1300,U1300)</f>
        <v/>
      </c>
      <c r="BR1300" s="53">
        <f>IF(BQ1300=1,"L1",IF(OR(BQ1300=2,BQ1300=3),"L23",IF(BQ1300="Aussen","Aussen","-")))</f>
        <v/>
      </c>
      <c r="BS1300" s="66">
        <f>IF(N(W1300)&gt;0,W1300,0)</f>
        <v/>
      </c>
      <c r="BT1300" s="58">
        <f>IF(ISNUMBER(Z1300),1,0)</f>
        <v/>
      </c>
      <c r="BU1300" s="55">
        <f>N(Z1300)</f>
        <v/>
      </c>
      <c r="BV1300" s="55">
        <f>N(L1300)+N(M1300)</f>
        <v/>
      </c>
      <c r="BW1300" s="55">
        <f>ROUNDUP(G1300/BN1300,0)</f>
        <v/>
      </c>
      <c r="BX1300" s="55">
        <f>ROUNDUP(BU1300/BN1300,0)</f>
        <v/>
      </c>
      <c r="BY1300" s="58">
        <f>IF(BO1300=1,0,IFERROR(VLOOKUP(BM1300,'Gebinde-Kategorie'!$A$5:$G$45,5,0)+0,0))</f>
        <v/>
      </c>
      <c r="BZ1300" s="58">
        <f>IFERROR(IF(OR(BQ1300=1,BQ1300=2,BQ1300=3),N(INDEX(Parameter!$I$5:$I$7,BQ1300)),0),0)</f>
        <v/>
      </c>
    </row>
    <row r="1301">
      <c r="A1301" s="53" t="inlineStr">
        <is>
          <t>106946</t>
        </is>
      </c>
      <c r="B1301" s="53" t="inlineStr">
        <is>
          <t>Busmodul</t>
        </is>
      </c>
      <c r="C1301" s="53" t="inlineStr">
        <is>
          <t>F</t>
        </is>
      </c>
      <c r="D1301" s="53" t="inlineStr">
        <is>
          <t>KTL</t>
        </is>
      </c>
      <c r="E1301" s="53" t="inlineStr">
        <is>
          <t>C</t>
        </is>
      </c>
      <c r="F1301" s="54" t="n">
        <v>28.42</v>
      </c>
      <c r="G1301" s="55">
        <f>MAX(0,IF(Parameter!$B$20="Jahresanfang 2025 + Export",BG1301+BF1301,BF1301))</f>
        <v/>
      </c>
      <c r="H1301" s="55">
        <f>G1301*F1301</f>
        <v/>
      </c>
      <c r="I1301" s="55">
        <f>BI1301*Parameter!$B$18</f>
        <v/>
      </c>
      <c r="J1301" s="56" t="n">
        <v>41</v>
      </c>
      <c r="K1301" s="57" t="n">
        <v>0.2682926829268293</v>
      </c>
      <c r="L1301" s="55" t="n">
        <v>1</v>
      </c>
      <c r="M1301" s="55" t="n">
        <v>15</v>
      </c>
      <c r="N1301" s="58" t="n">
        <v>28</v>
      </c>
      <c r="O1301" s="53" t="inlineStr">
        <is>
          <t>S51</t>
        </is>
      </c>
      <c r="P1301" s="55" t="n">
        <v>50</v>
      </c>
      <c r="Q1301" s="59">
        <f>IF(BO1301=1,0,IFERROR(VLOOKUP(BM1301,'Gebinde-Kategorie'!$A$5:$G$45,6,0)+0,0))</f>
        <v/>
      </c>
      <c r="R1301" s="60" t="n"/>
      <c r="S1301" s="61" t="n"/>
      <c r="T1301" s="61" t="n"/>
      <c r="U1301" s="53">
        <f>IF(A1301="","",IF(IFERROR(VLOOKUP(D1301,Parameter!$A$35:$C$64,2,0),"Nein")="2+3",IF(ISNUMBER(SEARCH("grosser Artikel",BJ1301)),2,IFERROR(VLOOKUP(BM1301,Parameter!$F$35:$G$64,2,0),2)),IF(OR(IFERROR(VLOOKUP(D1301,Parameter!$A$35:$C$64,2,0),"Nein")="Nein",IFERROR(VLOOKUP(D1301,Parameter!$A$35:$C$64,2,0),"Nein")=""),"-",VLOOKUP(D1301,Parameter!$A$35:$C$64,2,0))))</f>
        <v/>
      </c>
      <c r="V1301" s="61" t="n"/>
      <c r="W1301" s="62" t="n"/>
      <c r="X1301" s="55">
        <f>AM1301</f>
        <v/>
      </c>
      <c r="Y1301" s="55">
        <f>MAX(AM1301,G1301)</f>
        <v/>
      </c>
      <c r="Z1301" s="63" t="n"/>
      <c r="AA1301" s="55">
        <f>IF(LEFT(Cockpit!$C$5,1)="A",G1301,IF(BT1301=1,BU1301,IF(LEFT(Cockpit!$C$5,1)="B",AE1301,MAX(AE1301,G1301))))</f>
        <v/>
      </c>
      <c r="AB1301" s="55">
        <f>IF(BO1301=1,0,ROUNDUP(AA1301/BN1301,0))</f>
        <v/>
      </c>
      <c r="AC1301" s="64">
        <f>IF(BO1301=1,IF(AA1301&lt;=0,0,BP1301*MAX(1,IF(G1301&gt;0,AA1301/G1301,1))),AB1301*Q1301)</f>
        <v/>
      </c>
      <c r="AD1301" s="55">
        <f>AA1301*F1301</f>
        <v/>
      </c>
      <c r="AE1301" s="55">
        <f>ROUNDUP(MAX(I1301/IF(BS1301&gt;0,BS1301,MAX(0.1,N(Cockpit!$C$6))),BV1301)/BN1301,0)*BN1301</f>
        <v/>
      </c>
      <c r="AF1301" s="56">
        <f>IF(AC1301&gt;0,I1301/AC1301,-1)</f>
        <v/>
      </c>
      <c r="AG1301" s="56">
        <f>IF(AND(OR(BR1301="L1",BR1301="L23"),AC1301&gt;0),SUMIFS($AC$7:$AC$1570,$BR$7:$BR$1570,BR1301,$AF$7:$AF$1570,"&gt;"&amp;AF1301)+SUMIFS($AC$7:$AC$1570,$BR$7:$BR$1570,BR1301,$AF$7:$AF$1570,AF1301,$BL$7:$BL$1570,"&lt;="&amp;BL1301),"")</f>
        <v/>
      </c>
      <c r="AH1301" s="65">
        <f>IF(AG1301="",0,MAX(0,MIN(1,(IF(BR1301="L1",Parameter!$K$5,Parameter!$K$6+Parameter!$K$7)-(AG1301-AC1301))/AC1301)))</f>
        <v/>
      </c>
      <c r="AI1301" s="55">
        <f>IF(LEFT(Cockpit!$I$5,1)="A",G1301,IF(BT1301=1,BU1301,IF(LEFT(Cockpit!$I$5,1)="B",AM1301,MAX(AM1301,G1301))))</f>
        <v/>
      </c>
      <c r="AJ1301" s="55">
        <f>IF(BO1301=1,0,ROUNDUP(AI1301/BN1301,0))</f>
        <v/>
      </c>
      <c r="AK1301" s="64">
        <f>IF(BO1301=1,IF(AI1301&lt;=0,0,BP1301*MAX(1,IF(G1301&gt;0,AI1301/G1301,1))),AJ1301*Q1301)</f>
        <v/>
      </c>
      <c r="AL1301" s="55">
        <f>AI1301*F1301</f>
        <v/>
      </c>
      <c r="AM1301" s="55">
        <f>ROUNDUP(MAX(I1301/IF(BS1301&gt;0,BS1301,MAX(0.1,N(Cockpit!$I$6))),BV1301)/BN1301,0)*BN1301</f>
        <v/>
      </c>
      <c r="AN1301" s="56">
        <f>IF(AK1301&gt;0,I1301/AK1301,-1)</f>
        <v/>
      </c>
      <c r="AO1301" s="56">
        <f>IF(AND(OR(BR1301="L1",BR1301="L23"),AK1301&gt;0),SUMIFS($AK$7:$AK$1570,$BR$7:$BR$1570,BR1301,$AN$7:$AN$1570,"&gt;"&amp;AN1301)+SUMIFS($AK$7:$AK$1570,$BR$7:$BR$1570,BR1301,$AN$7:$AN$1570,AN1301,$BL$7:$BL$1570,"&lt;="&amp;BL1301),"")</f>
        <v/>
      </c>
      <c r="AP1301" s="65">
        <f>IF(AO1301="",0,MAX(0,MIN(1,(IF(BR1301="L1",Parameter!$K$5,Parameter!$K$6+Parameter!$K$7)-(AO1301-AK1301))/AK1301)))</f>
        <v/>
      </c>
      <c r="AQ1301" s="55">
        <f>IF(LEFT(Cockpit!$O$5,1)="A",G1301,IF(BT1301=1,BU1301,IF(LEFT(Cockpit!$O$5,1)="B",AU1301,MAX(AU1301,G1301))))</f>
        <v/>
      </c>
      <c r="AR1301" s="55">
        <f>IF(BO1301=1,0,ROUNDUP(AQ1301/BN1301,0))</f>
        <v/>
      </c>
      <c r="AS1301" s="64">
        <f>IF(BO1301=1,IF(AQ1301&lt;=0,0,BP1301*MAX(1,IF(G1301&gt;0,AQ1301/G1301,1))),AR1301*Q1301)</f>
        <v/>
      </c>
      <c r="AT1301" s="55">
        <f>AQ1301*F1301</f>
        <v/>
      </c>
      <c r="AU1301" s="55">
        <f>ROUNDUP(MAX(I1301/IF(BS1301&gt;0,BS1301,MAX(0.1,N(Cockpit!$O$6))),BV1301)/BN1301,0)*BN1301</f>
        <v/>
      </c>
      <c r="AV1301" s="56">
        <f>IF(AS1301&gt;0,I1301/AS1301,-1)</f>
        <v/>
      </c>
      <c r="AW1301" s="56">
        <f>IF(AND(OR(BR1301="L1",BR1301="L23"),AS1301&gt;0),SUMIFS($AS$7:$AS$1570,$BR$7:$BR$1570,BR1301,$AV$7:$AV$1570,"&gt;"&amp;AV1301)+SUMIFS($AS$7:$AS$1570,$BR$7:$BR$1570,BR1301,$AV$7:$AV$1570,AV1301,$BL$7:$BL$1570,"&lt;="&amp;BL1301),"")</f>
        <v/>
      </c>
      <c r="AX1301" s="65">
        <f>IF(AW1301="",0,MAX(0,MIN(1,(IF(BR1301="L1",Parameter!$K$5,Parameter!$K$6+Parameter!$K$7)-(AW1301-AS1301))/AS1301)))</f>
        <v/>
      </c>
      <c r="AY1301" s="53">
        <f>IF(AC1301&lt;=0,"",IF(BR1301="Aussen","Aussenlager",IF(BR1301="-","Nicht im Lift",IF(AH1301&gt;=1,"Lift",IF(AH1301&lt;=0,"Aussenlager","teilweise")))))</f>
        <v/>
      </c>
      <c r="AZ1301" s="53">
        <f>IF(AK1301&lt;=0,"",IF(BR1301="Aussen","Aussenlager",IF(BR1301="-","Nicht im Lift",IF(AP1301&gt;=1,"Lift",IF(AP1301&lt;=0,"Aussenlager","teilweise")))))</f>
        <v/>
      </c>
      <c r="BA1301" s="53">
        <f>IF(AS1301&lt;=0,"",IF(BR1301="Aussen","Aussenlager",IF(BR1301="-","Nicht im Lift",IF(AX1301&gt;=1,"Lift",IF(AX1301&lt;=0,"Aussenlager","teilweise")))))</f>
        <v/>
      </c>
      <c r="BB1301" s="53">
        <f>IF(A1301="","",IF(BK1301=1,"Neu; ","")&amp;IF(AND(BK1301=0,BF1301&lt;0),"negativer Bestand (Export "&amp;BF1301&amp;"); ","")&amp;IF(I1301&lt;=0,"Kein Verbrauch; ","")&amp;IF(BO1301=1,"Lose – Fläche geschätzt; ","")&amp;IF(G1301&gt;AM1301,"Überbestand "&amp;ROUND(G1301-AM1301,0)&amp;" Stk / CHF "&amp;ROUND((G1301-AM1301)*F1301,0)&amp;"; ","")&amp;IF(AND(BT1301=1,BU1301&lt;BV1301),"MAX &lt; MB+LG; ","")&amp;IF(AND(BZ1301&gt;0,BY1301*10&gt;BZ1301),"zu hoch für Tablar; ","")&amp;IF(AND(BK1301=0,OR(BT1301=1,V1301&lt;&gt;"",S1301&lt;&gt;"",T1301&lt;&gt;"",W1301&lt;&gt;"")),"manuell übersteuert; ","")&amp;IF(AND(BO1301=0,Q1301=0),"Gebinde unbekannt; ","")&amp;IF(AND(BO1301=0,N(T1301)&lt;=0,N(P1301)&lt;=0),"Menge pro Gebinde fehlt (Ist = 1 Gebinde); ","")&amp;BJ1301)</f>
        <v/>
      </c>
      <c r="BC1301" s="53" t="n"/>
      <c r="BD1301" s="53" t="n"/>
      <c r="BE1301" s="61" t="n"/>
      <c r="BF1301" s="55" t="n">
        <v>-29</v>
      </c>
      <c r="BG1301" s="55" t="n">
        <v>47</v>
      </c>
      <c r="BH1301" s="54" t="n">
        <v>-1194.54</v>
      </c>
      <c r="BI1301" s="55" t="n">
        <v>11</v>
      </c>
      <c r="BJ1301" s="53" t="inlineStr"/>
      <c r="BK1301" s="58" t="n">
        <v>0</v>
      </c>
      <c r="BL1301" s="58" t="n">
        <v>1301</v>
      </c>
      <c r="BM1301" s="53">
        <f>IF(S1301&lt;&gt;"",UPPER(TRIM(S1301)),IF(O1301="","LOSE",O1301))</f>
        <v/>
      </c>
      <c r="BN1301" s="55">
        <f>IF(BM1301="LOSE",1,IF(N(T1301)&gt;0,T1301,IF(N(P1301)&gt;0,P1301,MAX(1,G1301))))</f>
        <v/>
      </c>
      <c r="BO1301" s="58">
        <f>IF(BM1301="LOSE",1,0)</f>
        <v/>
      </c>
      <c r="BP1301" s="64">
        <f>IF(BO1301=0,0,IF(N(R1301)&gt;0,R1301,IFERROR(VLOOKUP(D1301,Parameter!$A$35:$C$64,3,0)+0,0)))</f>
        <v/>
      </c>
      <c r="BQ1301" s="53">
        <f>IF(V1301&lt;&gt;"",V1301,U1301)</f>
        <v/>
      </c>
      <c r="BR1301" s="53">
        <f>IF(BQ1301=1,"L1",IF(OR(BQ1301=2,BQ1301=3),"L23",IF(BQ1301="Aussen","Aussen","-")))</f>
        <v/>
      </c>
      <c r="BS1301" s="66">
        <f>IF(N(W1301)&gt;0,W1301,0)</f>
        <v/>
      </c>
      <c r="BT1301" s="58">
        <f>IF(ISNUMBER(Z1301),1,0)</f>
        <v/>
      </c>
      <c r="BU1301" s="55">
        <f>N(Z1301)</f>
        <v/>
      </c>
      <c r="BV1301" s="55">
        <f>N(L1301)+N(M1301)</f>
        <v/>
      </c>
      <c r="BW1301" s="55">
        <f>ROUNDUP(G1301/BN1301,0)</f>
        <v/>
      </c>
      <c r="BX1301" s="55">
        <f>ROUNDUP(BU1301/BN1301,0)</f>
        <v/>
      </c>
      <c r="BY1301" s="58">
        <f>IF(BO1301=1,0,IFERROR(VLOOKUP(BM1301,'Gebinde-Kategorie'!$A$5:$G$45,5,0)+0,0))</f>
        <v/>
      </c>
      <c r="BZ1301" s="58">
        <f>IFERROR(IF(OR(BQ1301=1,BQ1301=2,BQ1301=3),N(INDEX(Parameter!$I$5:$I$7,BQ1301)),0),0)</f>
        <v/>
      </c>
    </row>
    <row r="1302">
      <c r="A1302" s="53" t="inlineStr">
        <is>
          <t>101454</t>
        </is>
      </c>
      <c r="B1302" s="53" t="inlineStr">
        <is>
          <t>Zylinderschraube mit Innensechskant</t>
        </is>
      </c>
      <c r="C1302" s="53" t="inlineStr">
        <is>
          <t>F</t>
        </is>
      </c>
      <c r="D1302" s="53" t="inlineStr">
        <is>
          <t>PAL</t>
        </is>
      </c>
      <c r="E1302" s="53" t="inlineStr">
        <is>
          <t>C</t>
        </is>
      </c>
      <c r="F1302" s="54" t="n">
        <v>0.19</v>
      </c>
      <c r="G1302" s="55">
        <f>MAX(0,IF(Parameter!$B$20="Jahresanfang 2025 + Export",BG1302+BF1302,BF1302))</f>
        <v/>
      </c>
      <c r="H1302" s="55">
        <f>G1302*F1302</f>
        <v/>
      </c>
      <c r="I1302" s="55">
        <f>BI1302*Parameter!$B$18</f>
        <v/>
      </c>
      <c r="J1302" s="56" t="n">
        <v>5621.5</v>
      </c>
      <c r="K1302" s="57" t="n">
        <v>0.6603219781197189</v>
      </c>
      <c r="L1302" s="55" t="n">
        <v>216</v>
      </c>
      <c r="M1302" s="55" t="n">
        <v>2000</v>
      </c>
      <c r="N1302" s="58" t="n">
        <v>21</v>
      </c>
      <c r="O1302" s="53" t="inlineStr">
        <is>
          <t>S63</t>
        </is>
      </c>
      <c r="P1302" s="55" t="n">
        <v>2200</v>
      </c>
      <c r="Q1302" s="59">
        <f>IF(BO1302=1,0,IFERROR(VLOOKUP(BM1302,'Gebinde-Kategorie'!$A$5:$G$45,6,0)+0,0))</f>
        <v/>
      </c>
      <c r="R1302" s="60" t="n"/>
      <c r="S1302" s="61" t="n"/>
      <c r="T1302" s="61" t="n"/>
      <c r="U1302" s="53">
        <f>IF(A1302="","",IF(IFERROR(VLOOKUP(D1302,Parameter!$A$35:$C$64,2,0),"Nein")="2+3",IF(ISNUMBER(SEARCH("grosser Artikel",BJ1302)),2,IFERROR(VLOOKUP(BM1302,Parameter!$F$35:$G$64,2,0),2)),IF(OR(IFERROR(VLOOKUP(D1302,Parameter!$A$35:$C$64,2,0),"Nein")="Nein",IFERROR(VLOOKUP(D1302,Parameter!$A$35:$C$64,2,0),"Nein")=""),"-",VLOOKUP(D1302,Parameter!$A$35:$C$64,2,0))))</f>
        <v/>
      </c>
      <c r="V1302" s="61" t="n"/>
      <c r="W1302" s="62" t="n"/>
      <c r="X1302" s="55">
        <f>AM1302</f>
        <v/>
      </c>
      <c r="Y1302" s="55">
        <f>MAX(AM1302,G1302)</f>
        <v/>
      </c>
      <c r="Z1302" s="63" t="n"/>
      <c r="AA1302" s="55">
        <f>IF(LEFT(Cockpit!$C$5,1)="A",G1302,IF(BT1302=1,BU1302,IF(LEFT(Cockpit!$C$5,1)="B",AE1302,MAX(AE1302,G1302))))</f>
        <v/>
      </c>
      <c r="AB1302" s="55">
        <f>IF(BO1302=1,0,ROUNDUP(AA1302/BN1302,0))</f>
        <v/>
      </c>
      <c r="AC1302" s="64">
        <f>IF(BO1302=1,IF(AA1302&lt;=0,0,BP1302*MAX(1,IF(G1302&gt;0,AA1302/G1302,1))),AB1302*Q1302)</f>
        <v/>
      </c>
      <c r="AD1302" s="55">
        <f>AA1302*F1302</f>
        <v/>
      </c>
      <c r="AE1302" s="55">
        <f>ROUNDUP(MAX(I1302/IF(BS1302&gt;0,BS1302,MAX(0.1,N(Cockpit!$C$6))),BV1302)/BN1302,0)*BN1302</f>
        <v/>
      </c>
      <c r="AF1302" s="56">
        <f>IF(AC1302&gt;0,I1302/AC1302,-1)</f>
        <v/>
      </c>
      <c r="AG1302" s="56">
        <f>IF(AND(OR(BR1302="L1",BR1302="L23"),AC1302&gt;0),SUMIFS($AC$7:$AC$1570,$BR$7:$BR$1570,BR1302,$AF$7:$AF$1570,"&gt;"&amp;AF1302)+SUMIFS($AC$7:$AC$1570,$BR$7:$BR$1570,BR1302,$AF$7:$AF$1570,AF1302,$BL$7:$BL$1570,"&lt;="&amp;BL1302),"")</f>
        <v/>
      </c>
      <c r="AH1302" s="65">
        <f>IF(AG1302="",0,MAX(0,MIN(1,(IF(BR1302="L1",Parameter!$K$5,Parameter!$K$6+Parameter!$K$7)-(AG1302-AC1302))/AC1302)))</f>
        <v/>
      </c>
      <c r="AI1302" s="55">
        <f>IF(LEFT(Cockpit!$I$5,1)="A",G1302,IF(BT1302=1,BU1302,IF(LEFT(Cockpit!$I$5,1)="B",AM1302,MAX(AM1302,G1302))))</f>
        <v/>
      </c>
      <c r="AJ1302" s="55">
        <f>IF(BO1302=1,0,ROUNDUP(AI1302/BN1302,0))</f>
        <v/>
      </c>
      <c r="AK1302" s="64">
        <f>IF(BO1302=1,IF(AI1302&lt;=0,0,BP1302*MAX(1,IF(G1302&gt;0,AI1302/G1302,1))),AJ1302*Q1302)</f>
        <v/>
      </c>
      <c r="AL1302" s="55">
        <f>AI1302*F1302</f>
        <v/>
      </c>
      <c r="AM1302" s="55">
        <f>ROUNDUP(MAX(I1302/IF(BS1302&gt;0,BS1302,MAX(0.1,N(Cockpit!$I$6))),BV1302)/BN1302,0)*BN1302</f>
        <v/>
      </c>
      <c r="AN1302" s="56">
        <f>IF(AK1302&gt;0,I1302/AK1302,-1)</f>
        <v/>
      </c>
      <c r="AO1302" s="56">
        <f>IF(AND(OR(BR1302="L1",BR1302="L23"),AK1302&gt;0),SUMIFS($AK$7:$AK$1570,$BR$7:$BR$1570,BR1302,$AN$7:$AN$1570,"&gt;"&amp;AN1302)+SUMIFS($AK$7:$AK$1570,$BR$7:$BR$1570,BR1302,$AN$7:$AN$1570,AN1302,$BL$7:$BL$1570,"&lt;="&amp;BL1302),"")</f>
        <v/>
      </c>
      <c r="AP1302" s="65">
        <f>IF(AO1302="",0,MAX(0,MIN(1,(IF(BR1302="L1",Parameter!$K$5,Parameter!$K$6+Parameter!$K$7)-(AO1302-AK1302))/AK1302)))</f>
        <v/>
      </c>
      <c r="AQ1302" s="55">
        <f>IF(LEFT(Cockpit!$O$5,1)="A",G1302,IF(BT1302=1,BU1302,IF(LEFT(Cockpit!$O$5,1)="B",AU1302,MAX(AU1302,G1302))))</f>
        <v/>
      </c>
      <c r="AR1302" s="55">
        <f>IF(BO1302=1,0,ROUNDUP(AQ1302/BN1302,0))</f>
        <v/>
      </c>
      <c r="AS1302" s="64">
        <f>IF(BO1302=1,IF(AQ1302&lt;=0,0,BP1302*MAX(1,IF(G1302&gt;0,AQ1302/G1302,1))),AR1302*Q1302)</f>
        <v/>
      </c>
      <c r="AT1302" s="55">
        <f>AQ1302*F1302</f>
        <v/>
      </c>
      <c r="AU1302" s="55">
        <f>ROUNDUP(MAX(I1302/IF(BS1302&gt;0,BS1302,MAX(0.1,N(Cockpit!$O$6))),BV1302)/BN1302,0)*BN1302</f>
        <v/>
      </c>
      <c r="AV1302" s="56">
        <f>IF(AS1302&gt;0,I1302/AS1302,-1)</f>
        <v/>
      </c>
      <c r="AW1302" s="56">
        <f>IF(AND(OR(BR1302="L1",BR1302="L23"),AS1302&gt;0),SUMIFS($AS$7:$AS$1570,$BR$7:$BR$1570,BR1302,$AV$7:$AV$1570,"&gt;"&amp;AV1302)+SUMIFS($AS$7:$AS$1570,$BR$7:$BR$1570,BR1302,$AV$7:$AV$1570,AV1302,$BL$7:$BL$1570,"&lt;="&amp;BL1302),"")</f>
        <v/>
      </c>
      <c r="AX1302" s="65">
        <f>IF(AW1302="",0,MAX(0,MIN(1,(IF(BR1302="L1",Parameter!$K$5,Parameter!$K$6+Parameter!$K$7)-(AW1302-AS1302))/AS1302)))</f>
        <v/>
      </c>
      <c r="AY1302" s="53">
        <f>IF(AC1302&lt;=0,"",IF(BR1302="Aussen","Aussenlager",IF(BR1302="-","Nicht im Lift",IF(AH1302&gt;=1,"Lift",IF(AH1302&lt;=0,"Aussenlager","teilweise")))))</f>
        <v/>
      </c>
      <c r="AZ1302" s="53">
        <f>IF(AK1302&lt;=0,"",IF(BR1302="Aussen","Aussenlager",IF(BR1302="-","Nicht im Lift",IF(AP1302&gt;=1,"Lift",IF(AP1302&lt;=0,"Aussenlager","teilweise")))))</f>
        <v/>
      </c>
      <c r="BA1302" s="53">
        <f>IF(AS1302&lt;=0,"",IF(BR1302="Aussen","Aussenlager",IF(BR1302="-","Nicht im Lift",IF(AX1302&gt;=1,"Lift",IF(AX1302&lt;=0,"Aussenlager","teilweise")))))</f>
        <v/>
      </c>
      <c r="BB1302" s="53">
        <f>IF(A1302="","",IF(BK1302=1,"Neu; ","")&amp;IF(AND(BK1302=0,BF1302&lt;0),"negativer Bestand (Export "&amp;BF1302&amp;"); ","")&amp;IF(I1302&lt;=0,"Kein Verbrauch; ","")&amp;IF(BO1302=1,"Lose – Fläche geschätzt; ","")&amp;IF(G1302&gt;AM1302,"Überbestand "&amp;ROUND(G1302-AM1302,0)&amp;" Stk / CHF "&amp;ROUND((G1302-AM1302)*F1302,0)&amp;"; ","")&amp;IF(AND(BT1302=1,BU1302&lt;BV1302),"MAX &lt; MB+LG; ","")&amp;IF(AND(BZ1302&gt;0,BY1302*10&gt;BZ1302),"zu hoch für Tablar; ","")&amp;IF(AND(BK1302=0,OR(BT1302=1,V1302&lt;&gt;"",S1302&lt;&gt;"",T1302&lt;&gt;"",W1302&lt;&gt;"")),"manuell übersteuert; ","")&amp;IF(AND(BO1302=0,Q1302=0),"Gebinde unbekannt; ","")&amp;IF(AND(BO1302=0,N(T1302)&lt;=0,N(P1302)&lt;=0),"Menge pro Gebinde fehlt (Ist = 1 Gebinde); ","")&amp;BJ1302)</f>
        <v/>
      </c>
      <c r="BC1302" s="53" t="n"/>
      <c r="BD1302" s="53" t="n"/>
      <c r="BE1302" s="61" t="n"/>
      <c r="BF1302" s="55" t="n">
        <v>-6299</v>
      </c>
      <c r="BG1302" s="55" t="n">
        <v>7360</v>
      </c>
      <c r="BH1302" s="54" t="n">
        <v>-1196.809999999999</v>
      </c>
      <c r="BI1302" s="55" t="n">
        <v>3712</v>
      </c>
      <c r="BJ1302" s="53" t="inlineStr">
        <is>
          <t>grosse  Artikelmenge</t>
        </is>
      </c>
      <c r="BK1302" s="58" t="n">
        <v>0</v>
      </c>
      <c r="BL1302" s="58" t="n">
        <v>1302</v>
      </c>
      <c r="BM1302" s="53">
        <f>IF(S1302&lt;&gt;"",UPPER(TRIM(S1302)),IF(O1302="","LOSE",O1302))</f>
        <v/>
      </c>
      <c r="BN1302" s="55">
        <f>IF(BM1302="LOSE",1,IF(N(T1302)&gt;0,T1302,IF(N(P1302)&gt;0,P1302,MAX(1,G1302))))</f>
        <v/>
      </c>
      <c r="BO1302" s="58">
        <f>IF(BM1302="LOSE",1,0)</f>
        <v/>
      </c>
      <c r="BP1302" s="64">
        <f>IF(BO1302=0,0,IF(N(R1302)&gt;0,R1302,IFERROR(VLOOKUP(D1302,Parameter!$A$35:$C$64,3,0)+0,0)))</f>
        <v/>
      </c>
      <c r="BQ1302" s="53">
        <f>IF(V1302&lt;&gt;"",V1302,U1302)</f>
        <v/>
      </c>
      <c r="BR1302" s="53">
        <f>IF(BQ1302=1,"L1",IF(OR(BQ1302=2,BQ1302=3),"L23",IF(BQ1302="Aussen","Aussen","-")))</f>
        <v/>
      </c>
      <c r="BS1302" s="66">
        <f>IF(N(W1302)&gt;0,W1302,0)</f>
        <v/>
      </c>
      <c r="BT1302" s="58">
        <f>IF(ISNUMBER(Z1302),1,0)</f>
        <v/>
      </c>
      <c r="BU1302" s="55">
        <f>N(Z1302)</f>
        <v/>
      </c>
      <c r="BV1302" s="55">
        <f>N(L1302)+N(M1302)</f>
        <v/>
      </c>
      <c r="BW1302" s="55">
        <f>ROUNDUP(G1302/BN1302,0)</f>
        <v/>
      </c>
      <c r="BX1302" s="55">
        <f>ROUNDUP(BU1302/BN1302,0)</f>
        <v/>
      </c>
      <c r="BY1302" s="58">
        <f>IF(BO1302=1,0,IFERROR(VLOOKUP(BM1302,'Gebinde-Kategorie'!$A$5:$G$45,5,0)+0,0))</f>
        <v/>
      </c>
      <c r="BZ1302" s="58">
        <f>IFERROR(IF(OR(BQ1302=1,BQ1302=2,BQ1302=3),N(INDEX(Parameter!$I$5:$I$7,BQ1302)),0),0)</f>
        <v/>
      </c>
    </row>
    <row r="1303">
      <c r="A1303" s="53" t="inlineStr">
        <is>
          <t>106864</t>
        </is>
      </c>
      <c r="B1303" s="53" t="inlineStr">
        <is>
          <t>Site Manager 3539</t>
        </is>
      </c>
      <c r="C1303" s="53" t="inlineStr">
        <is>
          <t>F</t>
        </is>
      </c>
      <c r="D1303" s="53" t="inlineStr">
        <is>
          <t>KTL</t>
        </is>
      </c>
      <c r="E1303" s="53" t="inlineStr">
        <is>
          <t>C</t>
        </is>
      </c>
      <c r="F1303" s="54" t="n">
        <v>983.67</v>
      </c>
      <c r="G1303" s="55">
        <f>MAX(0,IF(Parameter!$B$20="Jahresanfang 2025 + Export",BG1303+BF1303,BF1303))</f>
        <v/>
      </c>
      <c r="H1303" s="55">
        <f>G1303*F1303</f>
        <v/>
      </c>
      <c r="I1303" s="55">
        <f>BI1303*Parameter!$B$18</f>
        <v/>
      </c>
      <c r="J1303" s="56" t="n">
        <v>14</v>
      </c>
      <c r="K1303" s="57" t="n">
        <v>0.8571428571428571</v>
      </c>
      <c r="L1303" s="55" t="n">
        <v>1</v>
      </c>
      <c r="M1303" s="55" t="n">
        <v>5</v>
      </c>
      <c r="N1303" s="58" t="n">
        <v>28</v>
      </c>
      <c r="O1303" s="53" t="inlineStr">
        <is>
          <t>S62</t>
        </is>
      </c>
      <c r="P1303" s="55" t="n">
        <v>35</v>
      </c>
      <c r="Q1303" s="59">
        <f>IF(BO1303=1,0,IFERROR(VLOOKUP(BM1303,'Gebinde-Kategorie'!$A$5:$G$45,6,0)+0,0))</f>
        <v/>
      </c>
      <c r="R1303" s="60" t="n"/>
      <c r="S1303" s="61" t="n"/>
      <c r="T1303" s="61" t="n"/>
      <c r="U1303" s="53">
        <f>IF(A1303="","",IF(IFERROR(VLOOKUP(D1303,Parameter!$A$35:$C$64,2,0),"Nein")="2+3",IF(ISNUMBER(SEARCH("grosser Artikel",BJ1303)),2,IFERROR(VLOOKUP(BM1303,Parameter!$F$35:$G$64,2,0),2)),IF(OR(IFERROR(VLOOKUP(D1303,Parameter!$A$35:$C$64,2,0),"Nein")="Nein",IFERROR(VLOOKUP(D1303,Parameter!$A$35:$C$64,2,0),"Nein")=""),"-",VLOOKUP(D1303,Parameter!$A$35:$C$64,2,0))))</f>
        <v/>
      </c>
      <c r="V1303" s="61" t="n"/>
      <c r="W1303" s="62" t="n"/>
      <c r="X1303" s="55">
        <f>AM1303</f>
        <v/>
      </c>
      <c r="Y1303" s="55">
        <f>MAX(AM1303,G1303)</f>
        <v/>
      </c>
      <c r="Z1303" s="63" t="n"/>
      <c r="AA1303" s="55">
        <f>IF(LEFT(Cockpit!$C$5,1)="A",G1303,IF(BT1303=1,BU1303,IF(LEFT(Cockpit!$C$5,1)="B",AE1303,MAX(AE1303,G1303))))</f>
        <v/>
      </c>
      <c r="AB1303" s="55">
        <f>IF(BO1303=1,0,ROUNDUP(AA1303/BN1303,0))</f>
        <v/>
      </c>
      <c r="AC1303" s="64">
        <f>IF(BO1303=1,IF(AA1303&lt;=0,0,BP1303*MAX(1,IF(G1303&gt;0,AA1303/G1303,1))),AB1303*Q1303)</f>
        <v/>
      </c>
      <c r="AD1303" s="55">
        <f>AA1303*F1303</f>
        <v/>
      </c>
      <c r="AE1303" s="55">
        <f>ROUNDUP(MAX(I1303/IF(BS1303&gt;0,BS1303,MAX(0.1,N(Cockpit!$C$6))),BV1303)/BN1303,0)*BN1303</f>
        <v/>
      </c>
      <c r="AF1303" s="56">
        <f>IF(AC1303&gt;0,I1303/AC1303,-1)</f>
        <v/>
      </c>
      <c r="AG1303" s="56">
        <f>IF(AND(OR(BR1303="L1",BR1303="L23"),AC1303&gt;0),SUMIFS($AC$7:$AC$1570,$BR$7:$BR$1570,BR1303,$AF$7:$AF$1570,"&gt;"&amp;AF1303)+SUMIFS($AC$7:$AC$1570,$BR$7:$BR$1570,BR1303,$AF$7:$AF$1570,AF1303,$BL$7:$BL$1570,"&lt;="&amp;BL1303),"")</f>
        <v/>
      </c>
      <c r="AH1303" s="65">
        <f>IF(AG1303="",0,MAX(0,MIN(1,(IF(BR1303="L1",Parameter!$K$5,Parameter!$K$6+Parameter!$K$7)-(AG1303-AC1303))/AC1303)))</f>
        <v/>
      </c>
      <c r="AI1303" s="55">
        <f>IF(LEFT(Cockpit!$I$5,1)="A",G1303,IF(BT1303=1,BU1303,IF(LEFT(Cockpit!$I$5,1)="B",AM1303,MAX(AM1303,G1303))))</f>
        <v/>
      </c>
      <c r="AJ1303" s="55">
        <f>IF(BO1303=1,0,ROUNDUP(AI1303/BN1303,0))</f>
        <v/>
      </c>
      <c r="AK1303" s="64">
        <f>IF(BO1303=1,IF(AI1303&lt;=0,0,BP1303*MAX(1,IF(G1303&gt;0,AI1303/G1303,1))),AJ1303*Q1303)</f>
        <v/>
      </c>
      <c r="AL1303" s="55">
        <f>AI1303*F1303</f>
        <v/>
      </c>
      <c r="AM1303" s="55">
        <f>ROUNDUP(MAX(I1303/IF(BS1303&gt;0,BS1303,MAX(0.1,N(Cockpit!$I$6))),BV1303)/BN1303,0)*BN1303</f>
        <v/>
      </c>
      <c r="AN1303" s="56">
        <f>IF(AK1303&gt;0,I1303/AK1303,-1)</f>
        <v/>
      </c>
      <c r="AO1303" s="56">
        <f>IF(AND(OR(BR1303="L1",BR1303="L23"),AK1303&gt;0),SUMIFS($AK$7:$AK$1570,$BR$7:$BR$1570,BR1303,$AN$7:$AN$1570,"&gt;"&amp;AN1303)+SUMIFS($AK$7:$AK$1570,$BR$7:$BR$1570,BR1303,$AN$7:$AN$1570,AN1303,$BL$7:$BL$1570,"&lt;="&amp;BL1303),"")</f>
        <v/>
      </c>
      <c r="AP1303" s="65">
        <f>IF(AO1303="",0,MAX(0,MIN(1,(IF(BR1303="L1",Parameter!$K$5,Parameter!$K$6+Parameter!$K$7)-(AO1303-AK1303))/AK1303)))</f>
        <v/>
      </c>
      <c r="AQ1303" s="55">
        <f>IF(LEFT(Cockpit!$O$5,1)="A",G1303,IF(BT1303=1,BU1303,IF(LEFT(Cockpit!$O$5,1)="B",AU1303,MAX(AU1303,G1303))))</f>
        <v/>
      </c>
      <c r="AR1303" s="55">
        <f>IF(BO1303=1,0,ROUNDUP(AQ1303/BN1303,0))</f>
        <v/>
      </c>
      <c r="AS1303" s="64">
        <f>IF(BO1303=1,IF(AQ1303&lt;=0,0,BP1303*MAX(1,IF(G1303&gt;0,AQ1303/G1303,1))),AR1303*Q1303)</f>
        <v/>
      </c>
      <c r="AT1303" s="55">
        <f>AQ1303*F1303</f>
        <v/>
      </c>
      <c r="AU1303" s="55">
        <f>ROUNDUP(MAX(I1303/IF(BS1303&gt;0,BS1303,MAX(0.1,N(Cockpit!$O$6))),BV1303)/BN1303,0)*BN1303</f>
        <v/>
      </c>
      <c r="AV1303" s="56">
        <f>IF(AS1303&gt;0,I1303/AS1303,-1)</f>
        <v/>
      </c>
      <c r="AW1303" s="56">
        <f>IF(AND(OR(BR1303="L1",BR1303="L23"),AS1303&gt;0),SUMIFS($AS$7:$AS$1570,$BR$7:$BR$1570,BR1303,$AV$7:$AV$1570,"&gt;"&amp;AV1303)+SUMIFS($AS$7:$AS$1570,$BR$7:$BR$1570,BR1303,$AV$7:$AV$1570,AV1303,$BL$7:$BL$1570,"&lt;="&amp;BL1303),"")</f>
        <v/>
      </c>
      <c r="AX1303" s="65">
        <f>IF(AW1303="",0,MAX(0,MIN(1,(IF(BR1303="L1",Parameter!$K$5,Parameter!$K$6+Parameter!$K$7)-(AW1303-AS1303))/AS1303)))</f>
        <v/>
      </c>
      <c r="AY1303" s="53">
        <f>IF(AC1303&lt;=0,"",IF(BR1303="Aussen","Aussenlager",IF(BR1303="-","Nicht im Lift",IF(AH1303&gt;=1,"Lift",IF(AH1303&lt;=0,"Aussenlager","teilweise")))))</f>
        <v/>
      </c>
      <c r="AZ1303" s="53">
        <f>IF(AK1303&lt;=0,"",IF(BR1303="Aussen","Aussenlager",IF(BR1303="-","Nicht im Lift",IF(AP1303&gt;=1,"Lift",IF(AP1303&lt;=0,"Aussenlager","teilweise")))))</f>
        <v/>
      </c>
      <c r="BA1303" s="53">
        <f>IF(AS1303&lt;=0,"",IF(BR1303="Aussen","Aussenlager",IF(BR1303="-","Nicht im Lift",IF(AX1303&gt;=1,"Lift",IF(AX1303&lt;=0,"Aussenlager","teilweise")))))</f>
        <v/>
      </c>
      <c r="BB1303" s="53">
        <f>IF(A1303="","",IF(BK1303=1,"Neu; ","")&amp;IF(AND(BK1303=0,BF1303&lt;0),"negativer Bestand (Export "&amp;BF1303&amp;"); ","")&amp;IF(I1303&lt;=0,"Kein Verbrauch; ","")&amp;IF(BO1303=1,"Lose – Fläche geschätzt; ","")&amp;IF(G1303&gt;AM1303,"Überbestand "&amp;ROUND(G1303-AM1303,0)&amp;" Stk / CHF "&amp;ROUND((G1303-AM1303)*F1303,0)&amp;"; ","")&amp;IF(AND(BT1303=1,BU1303&lt;BV1303),"MAX &lt; MB+LG; ","")&amp;IF(AND(BZ1303&gt;0,BY1303*10&gt;BZ1303),"zu hoch für Tablar; ","")&amp;IF(AND(BK1303=0,OR(BT1303=1,V1303&lt;&gt;"",S1303&lt;&gt;"",T1303&lt;&gt;"",W1303&lt;&gt;"")),"manuell übersteuert; ","")&amp;IF(AND(BO1303=0,Q1303=0),"Gebinde unbekannt; ","")&amp;IF(AND(BO1303=0,N(T1303)&lt;=0,N(P1303)&lt;=0),"Menge pro Gebinde fehlt (Ist = 1 Gebinde); ","")&amp;BJ1303)</f>
        <v/>
      </c>
      <c r="BC1303" s="53" t="n"/>
      <c r="BD1303" s="53" t="n"/>
      <c r="BE1303" s="61" t="n"/>
      <c r="BF1303" s="55" t="n">
        <v>-4</v>
      </c>
      <c r="BG1303" s="55" t="n">
        <v>17</v>
      </c>
      <c r="BH1303" s="54" t="n">
        <v>-1203.920000000004</v>
      </c>
      <c r="BI1303" s="55" t="n">
        <v>12</v>
      </c>
      <c r="BJ1303" s="53" t="inlineStr"/>
      <c r="BK1303" s="58" t="n">
        <v>0</v>
      </c>
      <c r="BL1303" s="58" t="n">
        <v>1303</v>
      </c>
      <c r="BM1303" s="53">
        <f>IF(S1303&lt;&gt;"",UPPER(TRIM(S1303)),IF(O1303="","LOSE",O1303))</f>
        <v/>
      </c>
      <c r="BN1303" s="55">
        <f>IF(BM1303="LOSE",1,IF(N(T1303)&gt;0,T1303,IF(N(P1303)&gt;0,P1303,MAX(1,G1303))))</f>
        <v/>
      </c>
      <c r="BO1303" s="58">
        <f>IF(BM1303="LOSE",1,0)</f>
        <v/>
      </c>
      <c r="BP1303" s="64">
        <f>IF(BO1303=0,0,IF(N(R1303)&gt;0,R1303,IFERROR(VLOOKUP(D1303,Parameter!$A$35:$C$64,3,0)+0,0)))</f>
        <v/>
      </c>
      <c r="BQ1303" s="53">
        <f>IF(V1303&lt;&gt;"",V1303,U1303)</f>
        <v/>
      </c>
      <c r="BR1303" s="53">
        <f>IF(BQ1303=1,"L1",IF(OR(BQ1303=2,BQ1303=3),"L23",IF(BQ1303="Aussen","Aussen","-")))</f>
        <v/>
      </c>
      <c r="BS1303" s="66">
        <f>IF(N(W1303)&gt;0,W1303,0)</f>
        <v/>
      </c>
      <c r="BT1303" s="58">
        <f>IF(ISNUMBER(Z1303),1,0)</f>
        <v/>
      </c>
      <c r="BU1303" s="55">
        <f>N(Z1303)</f>
        <v/>
      </c>
      <c r="BV1303" s="55">
        <f>N(L1303)+N(M1303)</f>
        <v/>
      </c>
      <c r="BW1303" s="55">
        <f>ROUNDUP(G1303/BN1303,0)</f>
        <v/>
      </c>
      <c r="BX1303" s="55">
        <f>ROUNDUP(BU1303/BN1303,0)</f>
        <v/>
      </c>
      <c r="BY1303" s="58">
        <f>IF(BO1303=1,0,IFERROR(VLOOKUP(BM1303,'Gebinde-Kategorie'!$A$5:$G$45,5,0)+0,0))</f>
        <v/>
      </c>
      <c r="BZ1303" s="58">
        <f>IFERROR(IF(OR(BQ1303=1,BQ1303=2,BQ1303=3),N(INDEX(Parameter!$I$5:$I$7,BQ1303)),0),0)</f>
        <v/>
      </c>
    </row>
    <row r="1304">
      <c r="A1304" s="53" t="inlineStr">
        <is>
          <t>100398</t>
        </is>
      </c>
      <c r="B1304" s="53" t="inlineStr">
        <is>
          <t>Stickstoffblock</t>
        </is>
      </c>
      <c r="C1304" s="53" t="inlineStr">
        <is>
          <t>F</t>
        </is>
      </c>
      <c r="D1304" s="53" t="inlineStr">
        <is>
          <t>KTL</t>
        </is>
      </c>
      <c r="E1304" s="53" t="inlineStr">
        <is>
          <t>C</t>
        </is>
      </c>
      <c r="F1304" s="54" t="n">
        <v>64.56999999999999</v>
      </c>
      <c r="G1304" s="55">
        <f>MAX(0,IF(Parameter!$B$20="Jahresanfang 2025 + Export",BG1304+BF1304,BF1304))</f>
        <v/>
      </c>
      <c r="H1304" s="55">
        <f>G1304*F1304</f>
        <v/>
      </c>
      <c r="I1304" s="55">
        <f>BI1304*Parameter!$B$18</f>
        <v/>
      </c>
      <c r="J1304" s="56" t="n">
        <v>29.5</v>
      </c>
      <c r="K1304" s="57" t="n">
        <v>2.406779661016949</v>
      </c>
      <c r="L1304" s="55" t="n">
        <v>4</v>
      </c>
      <c r="M1304" s="55" t="n">
        <v>20</v>
      </c>
      <c r="N1304" s="58" t="n">
        <v>21</v>
      </c>
      <c r="O1304" s="53" t="inlineStr">
        <is>
          <t>S51</t>
        </is>
      </c>
      <c r="P1304" s="55" t="n">
        <v>64</v>
      </c>
      <c r="Q1304" s="59">
        <f>IF(BO1304=1,0,IFERROR(VLOOKUP(BM1304,'Gebinde-Kategorie'!$A$5:$G$45,6,0)+0,0))</f>
        <v/>
      </c>
      <c r="R1304" s="60" t="n"/>
      <c r="S1304" s="61" t="n"/>
      <c r="T1304" s="61" t="n"/>
      <c r="U1304" s="53">
        <f>IF(A1304="","",IF(IFERROR(VLOOKUP(D1304,Parameter!$A$35:$C$64,2,0),"Nein")="2+3",IF(ISNUMBER(SEARCH("grosser Artikel",BJ1304)),2,IFERROR(VLOOKUP(BM1304,Parameter!$F$35:$G$64,2,0),2)),IF(OR(IFERROR(VLOOKUP(D1304,Parameter!$A$35:$C$64,2,0),"Nein")="Nein",IFERROR(VLOOKUP(D1304,Parameter!$A$35:$C$64,2,0),"Nein")=""),"-",VLOOKUP(D1304,Parameter!$A$35:$C$64,2,0))))</f>
        <v/>
      </c>
      <c r="V1304" s="61" t="n"/>
      <c r="W1304" s="62" t="n"/>
      <c r="X1304" s="55">
        <f>AM1304</f>
        <v/>
      </c>
      <c r="Y1304" s="55">
        <f>MAX(AM1304,G1304)</f>
        <v/>
      </c>
      <c r="Z1304" s="63" t="n"/>
      <c r="AA1304" s="55">
        <f>IF(LEFT(Cockpit!$C$5,1)="A",G1304,IF(BT1304=1,BU1304,IF(LEFT(Cockpit!$C$5,1)="B",AE1304,MAX(AE1304,G1304))))</f>
        <v/>
      </c>
      <c r="AB1304" s="55">
        <f>IF(BO1304=1,0,ROUNDUP(AA1304/BN1304,0))</f>
        <v/>
      </c>
      <c r="AC1304" s="64">
        <f>IF(BO1304=1,IF(AA1304&lt;=0,0,BP1304*MAX(1,IF(G1304&gt;0,AA1304/G1304,1))),AB1304*Q1304)</f>
        <v/>
      </c>
      <c r="AD1304" s="55">
        <f>AA1304*F1304</f>
        <v/>
      </c>
      <c r="AE1304" s="55">
        <f>ROUNDUP(MAX(I1304/IF(BS1304&gt;0,BS1304,MAX(0.1,N(Cockpit!$C$6))),BV1304)/BN1304,0)*BN1304</f>
        <v/>
      </c>
      <c r="AF1304" s="56">
        <f>IF(AC1304&gt;0,I1304/AC1304,-1)</f>
        <v/>
      </c>
      <c r="AG1304" s="56">
        <f>IF(AND(OR(BR1304="L1",BR1304="L23"),AC1304&gt;0),SUMIFS($AC$7:$AC$1570,$BR$7:$BR$1570,BR1304,$AF$7:$AF$1570,"&gt;"&amp;AF1304)+SUMIFS($AC$7:$AC$1570,$BR$7:$BR$1570,BR1304,$AF$7:$AF$1570,AF1304,$BL$7:$BL$1570,"&lt;="&amp;BL1304),"")</f>
        <v/>
      </c>
      <c r="AH1304" s="65">
        <f>IF(AG1304="",0,MAX(0,MIN(1,(IF(BR1304="L1",Parameter!$K$5,Parameter!$K$6+Parameter!$K$7)-(AG1304-AC1304))/AC1304)))</f>
        <v/>
      </c>
      <c r="AI1304" s="55">
        <f>IF(LEFT(Cockpit!$I$5,1)="A",G1304,IF(BT1304=1,BU1304,IF(LEFT(Cockpit!$I$5,1)="B",AM1304,MAX(AM1304,G1304))))</f>
        <v/>
      </c>
      <c r="AJ1304" s="55">
        <f>IF(BO1304=1,0,ROUNDUP(AI1304/BN1304,0))</f>
        <v/>
      </c>
      <c r="AK1304" s="64">
        <f>IF(BO1304=1,IF(AI1304&lt;=0,0,BP1304*MAX(1,IF(G1304&gt;0,AI1304/G1304,1))),AJ1304*Q1304)</f>
        <v/>
      </c>
      <c r="AL1304" s="55">
        <f>AI1304*F1304</f>
        <v/>
      </c>
      <c r="AM1304" s="55">
        <f>ROUNDUP(MAX(I1304/IF(BS1304&gt;0,BS1304,MAX(0.1,N(Cockpit!$I$6))),BV1304)/BN1304,0)*BN1304</f>
        <v/>
      </c>
      <c r="AN1304" s="56">
        <f>IF(AK1304&gt;0,I1304/AK1304,-1)</f>
        <v/>
      </c>
      <c r="AO1304" s="56">
        <f>IF(AND(OR(BR1304="L1",BR1304="L23"),AK1304&gt;0),SUMIFS($AK$7:$AK$1570,$BR$7:$BR$1570,BR1304,$AN$7:$AN$1570,"&gt;"&amp;AN1304)+SUMIFS($AK$7:$AK$1570,$BR$7:$BR$1570,BR1304,$AN$7:$AN$1570,AN1304,$BL$7:$BL$1570,"&lt;="&amp;BL1304),"")</f>
        <v/>
      </c>
      <c r="AP1304" s="65">
        <f>IF(AO1304="",0,MAX(0,MIN(1,(IF(BR1304="L1",Parameter!$K$5,Parameter!$K$6+Parameter!$K$7)-(AO1304-AK1304))/AK1304)))</f>
        <v/>
      </c>
      <c r="AQ1304" s="55">
        <f>IF(LEFT(Cockpit!$O$5,1)="A",G1304,IF(BT1304=1,BU1304,IF(LEFT(Cockpit!$O$5,1)="B",AU1304,MAX(AU1304,G1304))))</f>
        <v/>
      </c>
      <c r="AR1304" s="55">
        <f>IF(BO1304=1,0,ROUNDUP(AQ1304/BN1304,0))</f>
        <v/>
      </c>
      <c r="AS1304" s="64">
        <f>IF(BO1304=1,IF(AQ1304&lt;=0,0,BP1304*MAX(1,IF(G1304&gt;0,AQ1304/G1304,1))),AR1304*Q1304)</f>
        <v/>
      </c>
      <c r="AT1304" s="55">
        <f>AQ1304*F1304</f>
        <v/>
      </c>
      <c r="AU1304" s="55">
        <f>ROUNDUP(MAX(I1304/IF(BS1304&gt;0,BS1304,MAX(0.1,N(Cockpit!$O$6))),BV1304)/BN1304,0)*BN1304</f>
        <v/>
      </c>
      <c r="AV1304" s="56">
        <f>IF(AS1304&gt;0,I1304/AS1304,-1)</f>
        <v/>
      </c>
      <c r="AW1304" s="56">
        <f>IF(AND(OR(BR1304="L1",BR1304="L23"),AS1304&gt;0),SUMIFS($AS$7:$AS$1570,$BR$7:$BR$1570,BR1304,$AV$7:$AV$1570,"&gt;"&amp;AV1304)+SUMIFS($AS$7:$AS$1570,$BR$7:$BR$1570,BR1304,$AV$7:$AV$1570,AV1304,$BL$7:$BL$1570,"&lt;="&amp;BL1304),"")</f>
        <v/>
      </c>
      <c r="AX1304" s="65">
        <f>IF(AW1304="",0,MAX(0,MIN(1,(IF(BR1304="L1",Parameter!$K$5,Parameter!$K$6+Parameter!$K$7)-(AW1304-AS1304))/AS1304)))</f>
        <v/>
      </c>
      <c r="AY1304" s="53">
        <f>IF(AC1304&lt;=0,"",IF(BR1304="Aussen","Aussenlager",IF(BR1304="-","Nicht im Lift",IF(AH1304&gt;=1,"Lift",IF(AH1304&lt;=0,"Aussenlager","teilweise")))))</f>
        <v/>
      </c>
      <c r="AZ1304" s="53">
        <f>IF(AK1304&lt;=0,"",IF(BR1304="Aussen","Aussenlager",IF(BR1304="-","Nicht im Lift",IF(AP1304&gt;=1,"Lift",IF(AP1304&lt;=0,"Aussenlager","teilweise")))))</f>
        <v/>
      </c>
      <c r="BA1304" s="53">
        <f>IF(AS1304&lt;=0,"",IF(BR1304="Aussen","Aussenlager",IF(BR1304="-","Nicht im Lift",IF(AX1304&gt;=1,"Lift",IF(AX1304&lt;=0,"Aussenlager","teilweise")))))</f>
        <v/>
      </c>
      <c r="BB1304" s="53">
        <f>IF(A1304="","",IF(BK1304=1,"Neu; ","")&amp;IF(AND(BK1304=0,BF1304&lt;0),"negativer Bestand (Export "&amp;BF1304&amp;"); ","")&amp;IF(I1304&lt;=0,"Kein Verbrauch; ","")&amp;IF(BO1304=1,"Lose – Fläche geschätzt; ","")&amp;IF(G1304&gt;AM1304,"Überbestand "&amp;ROUND(G1304-AM1304,0)&amp;" Stk / CHF "&amp;ROUND((G1304-AM1304)*F1304,0)&amp;"; ","")&amp;IF(AND(BT1304=1,BU1304&lt;BV1304),"MAX &lt; MB+LG; ","")&amp;IF(AND(BZ1304&gt;0,BY1304*10&gt;BZ1304),"zu hoch für Tablar; ","")&amp;IF(AND(BK1304=0,OR(BT1304=1,V1304&lt;&gt;"",S1304&lt;&gt;"",T1304&lt;&gt;"",W1304&lt;&gt;"")),"manuell übersteuert; ","")&amp;IF(AND(BO1304=0,Q1304=0),"Gebinde unbekannt; ","")&amp;IF(AND(BO1304=0,N(T1304)&lt;=0,N(P1304)&lt;=0),"Menge pro Gebinde fehlt (Ist = 1 Gebinde); ","")&amp;BJ1304)</f>
        <v/>
      </c>
      <c r="BC1304" s="53" t="n"/>
      <c r="BD1304" s="53" t="n"/>
      <c r="BE1304" s="61" t="n"/>
      <c r="BF1304" s="55" t="n">
        <v>-9</v>
      </c>
      <c r="BG1304" s="55" t="n">
        <v>35</v>
      </c>
      <c r="BH1304" s="54" t="n">
        <v>-1206.58</v>
      </c>
      <c r="BI1304" s="55" t="n">
        <v>71</v>
      </c>
      <c r="BJ1304" s="53" t="inlineStr"/>
      <c r="BK1304" s="58" t="n">
        <v>0</v>
      </c>
      <c r="BL1304" s="58" t="n">
        <v>1304</v>
      </c>
      <c r="BM1304" s="53">
        <f>IF(S1304&lt;&gt;"",UPPER(TRIM(S1304)),IF(O1304="","LOSE",O1304))</f>
        <v/>
      </c>
      <c r="BN1304" s="55">
        <f>IF(BM1304="LOSE",1,IF(N(T1304)&gt;0,T1304,IF(N(P1304)&gt;0,P1304,MAX(1,G1304))))</f>
        <v/>
      </c>
      <c r="BO1304" s="58">
        <f>IF(BM1304="LOSE",1,0)</f>
        <v/>
      </c>
      <c r="BP1304" s="64">
        <f>IF(BO1304=0,0,IF(N(R1304)&gt;0,R1304,IFERROR(VLOOKUP(D1304,Parameter!$A$35:$C$64,3,0)+0,0)))</f>
        <v/>
      </c>
      <c r="BQ1304" s="53">
        <f>IF(V1304&lt;&gt;"",V1304,U1304)</f>
        <v/>
      </c>
      <c r="BR1304" s="53">
        <f>IF(BQ1304=1,"L1",IF(OR(BQ1304=2,BQ1304=3),"L23",IF(BQ1304="Aussen","Aussen","-")))</f>
        <v/>
      </c>
      <c r="BS1304" s="66">
        <f>IF(N(W1304)&gt;0,W1304,0)</f>
        <v/>
      </c>
      <c r="BT1304" s="58">
        <f>IF(ISNUMBER(Z1304),1,0)</f>
        <v/>
      </c>
      <c r="BU1304" s="55">
        <f>N(Z1304)</f>
        <v/>
      </c>
      <c r="BV1304" s="55">
        <f>N(L1304)+N(M1304)</f>
        <v/>
      </c>
      <c r="BW1304" s="55">
        <f>ROUNDUP(G1304/BN1304,0)</f>
        <v/>
      </c>
      <c r="BX1304" s="55">
        <f>ROUNDUP(BU1304/BN1304,0)</f>
        <v/>
      </c>
      <c r="BY1304" s="58">
        <f>IF(BO1304=1,0,IFERROR(VLOOKUP(BM1304,'Gebinde-Kategorie'!$A$5:$G$45,5,0)+0,0))</f>
        <v/>
      </c>
      <c r="BZ1304" s="58">
        <f>IFERROR(IF(OR(BQ1304=1,BQ1304=2,BQ1304=3),N(INDEX(Parameter!$I$5:$I$7,BQ1304)),0),0)</f>
        <v/>
      </c>
    </row>
    <row r="1305">
      <c r="A1305" s="53" t="inlineStr">
        <is>
          <t>108877</t>
        </is>
      </c>
      <c r="B1305" s="53" t="inlineStr">
        <is>
          <t>Winkelverschraubung Edelstahl</t>
        </is>
      </c>
      <c r="C1305" s="53" t="inlineStr">
        <is>
          <t>F</t>
        </is>
      </c>
      <c r="D1305" s="53" t="inlineStr">
        <is>
          <t>KTL</t>
        </is>
      </c>
      <c r="E1305" s="53" t="inlineStr">
        <is>
          <t>C</t>
        </is>
      </c>
      <c r="F1305" s="54" t="n">
        <v>108.99</v>
      </c>
      <c r="G1305" s="55">
        <f>MAX(0,IF(Parameter!$B$20="Jahresanfang 2025 + Export",BG1305+BF1305,BF1305))</f>
        <v/>
      </c>
      <c r="H1305" s="55">
        <f>G1305*F1305</f>
        <v/>
      </c>
      <c r="I1305" s="55">
        <f>BI1305*Parameter!$B$18</f>
        <v/>
      </c>
      <c r="J1305" s="56" t="n">
        <v>22</v>
      </c>
      <c r="K1305" s="57" t="n">
        <v>3.090909090909091</v>
      </c>
      <c r="L1305" s="55" t="n">
        <v>4</v>
      </c>
      <c r="M1305" s="55" t="n">
        <v>35</v>
      </c>
      <c r="N1305" s="58" t="n">
        <v>21</v>
      </c>
      <c r="O1305" s="53" t="inlineStr">
        <is>
          <t>S51</t>
        </is>
      </c>
      <c r="P1305" s="55" t="n">
        <v>56</v>
      </c>
      <c r="Q1305" s="59">
        <f>IF(BO1305=1,0,IFERROR(VLOOKUP(BM1305,'Gebinde-Kategorie'!$A$5:$G$45,6,0)+0,0))</f>
        <v/>
      </c>
      <c r="R1305" s="60" t="n"/>
      <c r="S1305" s="61" t="n"/>
      <c r="T1305" s="61" t="n"/>
      <c r="U1305" s="53">
        <f>IF(A1305="","",IF(IFERROR(VLOOKUP(D1305,Parameter!$A$35:$C$64,2,0),"Nein")="2+3",IF(ISNUMBER(SEARCH("grosser Artikel",BJ1305)),2,IFERROR(VLOOKUP(BM1305,Parameter!$F$35:$G$64,2,0),2)),IF(OR(IFERROR(VLOOKUP(D1305,Parameter!$A$35:$C$64,2,0),"Nein")="Nein",IFERROR(VLOOKUP(D1305,Parameter!$A$35:$C$64,2,0),"Nein")=""),"-",VLOOKUP(D1305,Parameter!$A$35:$C$64,2,0))))</f>
        <v/>
      </c>
      <c r="V1305" s="61" t="n"/>
      <c r="W1305" s="62" t="n"/>
      <c r="X1305" s="55">
        <f>AM1305</f>
        <v/>
      </c>
      <c r="Y1305" s="55">
        <f>MAX(AM1305,G1305)</f>
        <v/>
      </c>
      <c r="Z1305" s="63" t="n"/>
      <c r="AA1305" s="55">
        <f>IF(LEFT(Cockpit!$C$5,1)="A",G1305,IF(BT1305=1,BU1305,IF(LEFT(Cockpit!$C$5,1)="B",AE1305,MAX(AE1305,G1305))))</f>
        <v/>
      </c>
      <c r="AB1305" s="55">
        <f>IF(BO1305=1,0,ROUNDUP(AA1305/BN1305,0))</f>
        <v/>
      </c>
      <c r="AC1305" s="64">
        <f>IF(BO1305=1,IF(AA1305&lt;=0,0,BP1305*MAX(1,IF(G1305&gt;0,AA1305/G1305,1))),AB1305*Q1305)</f>
        <v/>
      </c>
      <c r="AD1305" s="55">
        <f>AA1305*F1305</f>
        <v/>
      </c>
      <c r="AE1305" s="55">
        <f>ROUNDUP(MAX(I1305/IF(BS1305&gt;0,BS1305,MAX(0.1,N(Cockpit!$C$6))),BV1305)/BN1305,0)*BN1305</f>
        <v/>
      </c>
      <c r="AF1305" s="56">
        <f>IF(AC1305&gt;0,I1305/AC1305,-1)</f>
        <v/>
      </c>
      <c r="AG1305" s="56">
        <f>IF(AND(OR(BR1305="L1",BR1305="L23"),AC1305&gt;0),SUMIFS($AC$7:$AC$1570,$BR$7:$BR$1570,BR1305,$AF$7:$AF$1570,"&gt;"&amp;AF1305)+SUMIFS($AC$7:$AC$1570,$BR$7:$BR$1570,BR1305,$AF$7:$AF$1570,AF1305,$BL$7:$BL$1570,"&lt;="&amp;BL1305),"")</f>
        <v/>
      </c>
      <c r="AH1305" s="65">
        <f>IF(AG1305="",0,MAX(0,MIN(1,(IF(BR1305="L1",Parameter!$K$5,Parameter!$K$6+Parameter!$K$7)-(AG1305-AC1305))/AC1305)))</f>
        <v/>
      </c>
      <c r="AI1305" s="55">
        <f>IF(LEFT(Cockpit!$I$5,1)="A",G1305,IF(BT1305=1,BU1305,IF(LEFT(Cockpit!$I$5,1)="B",AM1305,MAX(AM1305,G1305))))</f>
        <v/>
      </c>
      <c r="AJ1305" s="55">
        <f>IF(BO1305=1,0,ROUNDUP(AI1305/BN1305,0))</f>
        <v/>
      </c>
      <c r="AK1305" s="64">
        <f>IF(BO1305=1,IF(AI1305&lt;=0,0,BP1305*MAX(1,IF(G1305&gt;0,AI1305/G1305,1))),AJ1305*Q1305)</f>
        <v/>
      </c>
      <c r="AL1305" s="55">
        <f>AI1305*F1305</f>
        <v/>
      </c>
      <c r="AM1305" s="55">
        <f>ROUNDUP(MAX(I1305/IF(BS1305&gt;0,BS1305,MAX(0.1,N(Cockpit!$I$6))),BV1305)/BN1305,0)*BN1305</f>
        <v/>
      </c>
      <c r="AN1305" s="56">
        <f>IF(AK1305&gt;0,I1305/AK1305,-1)</f>
        <v/>
      </c>
      <c r="AO1305" s="56">
        <f>IF(AND(OR(BR1305="L1",BR1305="L23"),AK1305&gt;0),SUMIFS($AK$7:$AK$1570,$BR$7:$BR$1570,BR1305,$AN$7:$AN$1570,"&gt;"&amp;AN1305)+SUMIFS($AK$7:$AK$1570,$BR$7:$BR$1570,BR1305,$AN$7:$AN$1570,AN1305,$BL$7:$BL$1570,"&lt;="&amp;BL1305),"")</f>
        <v/>
      </c>
      <c r="AP1305" s="65">
        <f>IF(AO1305="",0,MAX(0,MIN(1,(IF(BR1305="L1",Parameter!$K$5,Parameter!$K$6+Parameter!$K$7)-(AO1305-AK1305))/AK1305)))</f>
        <v/>
      </c>
      <c r="AQ1305" s="55">
        <f>IF(LEFT(Cockpit!$O$5,1)="A",G1305,IF(BT1305=1,BU1305,IF(LEFT(Cockpit!$O$5,1)="B",AU1305,MAX(AU1305,G1305))))</f>
        <v/>
      </c>
      <c r="AR1305" s="55">
        <f>IF(BO1305=1,0,ROUNDUP(AQ1305/BN1305,0))</f>
        <v/>
      </c>
      <c r="AS1305" s="64">
        <f>IF(BO1305=1,IF(AQ1305&lt;=0,0,BP1305*MAX(1,IF(G1305&gt;0,AQ1305/G1305,1))),AR1305*Q1305)</f>
        <v/>
      </c>
      <c r="AT1305" s="55">
        <f>AQ1305*F1305</f>
        <v/>
      </c>
      <c r="AU1305" s="55">
        <f>ROUNDUP(MAX(I1305/IF(BS1305&gt;0,BS1305,MAX(0.1,N(Cockpit!$O$6))),BV1305)/BN1305,0)*BN1305</f>
        <v/>
      </c>
      <c r="AV1305" s="56">
        <f>IF(AS1305&gt;0,I1305/AS1305,-1)</f>
        <v/>
      </c>
      <c r="AW1305" s="56">
        <f>IF(AND(OR(BR1305="L1",BR1305="L23"),AS1305&gt;0),SUMIFS($AS$7:$AS$1570,$BR$7:$BR$1570,BR1305,$AV$7:$AV$1570,"&gt;"&amp;AV1305)+SUMIFS($AS$7:$AS$1570,$BR$7:$BR$1570,BR1305,$AV$7:$AV$1570,AV1305,$BL$7:$BL$1570,"&lt;="&amp;BL1305),"")</f>
        <v/>
      </c>
      <c r="AX1305" s="65">
        <f>IF(AW1305="",0,MAX(0,MIN(1,(IF(BR1305="L1",Parameter!$K$5,Parameter!$K$6+Parameter!$K$7)-(AW1305-AS1305))/AS1305)))</f>
        <v/>
      </c>
      <c r="AY1305" s="53">
        <f>IF(AC1305&lt;=0,"",IF(BR1305="Aussen","Aussenlager",IF(BR1305="-","Nicht im Lift",IF(AH1305&gt;=1,"Lift",IF(AH1305&lt;=0,"Aussenlager","teilweise")))))</f>
        <v/>
      </c>
      <c r="AZ1305" s="53">
        <f>IF(AK1305&lt;=0,"",IF(BR1305="Aussen","Aussenlager",IF(BR1305="-","Nicht im Lift",IF(AP1305&gt;=1,"Lift",IF(AP1305&lt;=0,"Aussenlager","teilweise")))))</f>
        <v/>
      </c>
      <c r="BA1305" s="53">
        <f>IF(AS1305&lt;=0,"",IF(BR1305="Aussen","Aussenlager",IF(BR1305="-","Nicht im Lift",IF(AX1305&gt;=1,"Lift",IF(AX1305&lt;=0,"Aussenlager","teilweise")))))</f>
        <v/>
      </c>
      <c r="BB1305" s="53">
        <f>IF(A1305="","",IF(BK1305=1,"Neu; ","")&amp;IF(AND(BK1305=0,BF1305&lt;0),"negativer Bestand (Export "&amp;BF1305&amp;"); ","")&amp;IF(I1305&lt;=0,"Kein Verbrauch; ","")&amp;IF(BO1305=1,"Lose – Fläche geschätzt; ","")&amp;IF(G1305&gt;AM1305,"Überbestand "&amp;ROUND(G1305-AM1305,0)&amp;" Stk / CHF "&amp;ROUND((G1305-AM1305)*F1305,0)&amp;"; ","")&amp;IF(AND(BT1305=1,BU1305&lt;BV1305),"MAX &lt; MB+LG; ","")&amp;IF(AND(BZ1305&gt;0,BY1305*10&gt;BZ1305),"zu hoch für Tablar; ","")&amp;IF(AND(BK1305=0,OR(BT1305=1,V1305&lt;&gt;"",S1305&lt;&gt;"",T1305&lt;&gt;"",W1305&lt;&gt;"")),"manuell übersteuert; ","")&amp;IF(AND(BO1305=0,Q1305=0),"Gebinde unbekannt; ","")&amp;IF(AND(BO1305=0,N(T1305)&lt;=0,N(P1305)&lt;=0),"Menge pro Gebinde fehlt (Ist = 1 Gebinde); ","")&amp;BJ1305)</f>
        <v/>
      </c>
      <c r="BC1305" s="53" t="n"/>
      <c r="BD1305" s="53" t="n"/>
      <c r="BE1305" s="61" t="n"/>
      <c r="BF1305" s="55" t="n">
        <v>-6</v>
      </c>
      <c r="BG1305" s="55" t="n">
        <v>26</v>
      </c>
      <c r="BH1305" s="54" t="n">
        <v>-1220.999999999999</v>
      </c>
      <c r="BI1305" s="55" t="n">
        <v>68</v>
      </c>
      <c r="BJ1305" s="53" t="inlineStr"/>
      <c r="BK1305" s="58" t="n">
        <v>0</v>
      </c>
      <c r="BL1305" s="58" t="n">
        <v>1305</v>
      </c>
      <c r="BM1305" s="53">
        <f>IF(S1305&lt;&gt;"",UPPER(TRIM(S1305)),IF(O1305="","LOSE",O1305))</f>
        <v/>
      </c>
      <c r="BN1305" s="55">
        <f>IF(BM1305="LOSE",1,IF(N(T1305)&gt;0,T1305,IF(N(P1305)&gt;0,P1305,MAX(1,G1305))))</f>
        <v/>
      </c>
      <c r="BO1305" s="58">
        <f>IF(BM1305="LOSE",1,0)</f>
        <v/>
      </c>
      <c r="BP1305" s="64">
        <f>IF(BO1305=0,0,IF(N(R1305)&gt;0,R1305,IFERROR(VLOOKUP(D1305,Parameter!$A$35:$C$64,3,0)+0,0)))</f>
        <v/>
      </c>
      <c r="BQ1305" s="53">
        <f>IF(V1305&lt;&gt;"",V1305,U1305)</f>
        <v/>
      </c>
      <c r="BR1305" s="53">
        <f>IF(BQ1305=1,"L1",IF(OR(BQ1305=2,BQ1305=3),"L23",IF(BQ1305="Aussen","Aussen","-")))</f>
        <v/>
      </c>
      <c r="BS1305" s="66">
        <f>IF(N(W1305)&gt;0,W1305,0)</f>
        <v/>
      </c>
      <c r="BT1305" s="58">
        <f>IF(ISNUMBER(Z1305),1,0)</f>
        <v/>
      </c>
      <c r="BU1305" s="55">
        <f>N(Z1305)</f>
        <v/>
      </c>
      <c r="BV1305" s="55">
        <f>N(L1305)+N(M1305)</f>
        <v/>
      </c>
      <c r="BW1305" s="55">
        <f>ROUNDUP(G1305/BN1305,0)</f>
        <v/>
      </c>
      <c r="BX1305" s="55">
        <f>ROUNDUP(BU1305/BN1305,0)</f>
        <v/>
      </c>
      <c r="BY1305" s="58">
        <f>IF(BO1305=1,0,IFERROR(VLOOKUP(BM1305,'Gebinde-Kategorie'!$A$5:$G$45,5,0)+0,0))</f>
        <v/>
      </c>
      <c r="BZ1305" s="58">
        <f>IFERROR(IF(OR(BQ1305=1,BQ1305=2,BQ1305=3),N(INDEX(Parameter!$I$5:$I$7,BQ1305)),0),0)</f>
        <v/>
      </c>
    </row>
    <row r="1306">
      <c r="A1306" s="53" t="inlineStr">
        <is>
          <t>101452</t>
        </is>
      </c>
      <c r="B1306" s="53" t="inlineStr">
        <is>
          <t>Zylinderschraube mit Innensechskant</t>
        </is>
      </c>
      <c r="C1306" s="53" t="inlineStr">
        <is>
          <t>F</t>
        </is>
      </c>
      <c r="D1306" s="53" t="inlineStr">
        <is>
          <t>PAL</t>
        </is>
      </c>
      <c r="E1306" s="53" t="inlineStr">
        <is>
          <t>C</t>
        </is>
      </c>
      <c r="F1306" s="54" t="n">
        <v>0.6</v>
      </c>
      <c r="G1306" s="55">
        <f>MAX(0,IF(Parameter!$B$20="Jahresanfang 2025 + Export",BG1306+BF1306,BF1306))</f>
        <v/>
      </c>
      <c r="H1306" s="55">
        <f>G1306*F1306</f>
        <v/>
      </c>
      <c r="I1306" s="55">
        <f>BI1306*Parameter!$B$18</f>
        <v/>
      </c>
      <c r="J1306" s="56" t="n">
        <v>2079</v>
      </c>
      <c r="K1306" s="57" t="n">
        <v>1.142376142376142</v>
      </c>
      <c r="L1306" s="55" t="n">
        <v>600</v>
      </c>
      <c r="M1306" s="55" t="n">
        <v>500</v>
      </c>
      <c r="N1306" s="58" t="n">
        <v>91</v>
      </c>
      <c r="O1306" s="53" t="inlineStr">
        <is>
          <t>S71</t>
        </is>
      </c>
      <c r="P1306" s="55" t="n">
        <v>750</v>
      </c>
      <c r="Q1306" s="59">
        <f>IF(BO1306=1,0,IFERROR(VLOOKUP(BM1306,'Gebinde-Kategorie'!$A$5:$G$45,6,0)+0,0))</f>
        <v/>
      </c>
      <c r="R1306" s="60" t="n"/>
      <c r="S1306" s="61" t="n"/>
      <c r="T1306" s="61" t="n"/>
      <c r="U1306" s="53">
        <f>IF(A1306="","",IF(IFERROR(VLOOKUP(D1306,Parameter!$A$35:$C$64,2,0),"Nein")="2+3",IF(ISNUMBER(SEARCH("grosser Artikel",BJ1306)),2,IFERROR(VLOOKUP(BM1306,Parameter!$F$35:$G$64,2,0),2)),IF(OR(IFERROR(VLOOKUP(D1306,Parameter!$A$35:$C$64,2,0),"Nein")="Nein",IFERROR(VLOOKUP(D1306,Parameter!$A$35:$C$64,2,0),"Nein")=""),"-",VLOOKUP(D1306,Parameter!$A$35:$C$64,2,0))))</f>
        <v/>
      </c>
      <c r="V1306" s="61" t="n"/>
      <c r="W1306" s="62" t="n"/>
      <c r="X1306" s="55">
        <f>AM1306</f>
        <v/>
      </c>
      <c r="Y1306" s="55">
        <f>MAX(AM1306,G1306)</f>
        <v/>
      </c>
      <c r="Z1306" s="63" t="n"/>
      <c r="AA1306" s="55">
        <f>IF(LEFT(Cockpit!$C$5,1)="A",G1306,IF(BT1306=1,BU1306,IF(LEFT(Cockpit!$C$5,1)="B",AE1306,MAX(AE1306,G1306))))</f>
        <v/>
      </c>
      <c r="AB1306" s="55">
        <f>IF(BO1306=1,0,ROUNDUP(AA1306/BN1306,0))</f>
        <v/>
      </c>
      <c r="AC1306" s="64">
        <f>IF(BO1306=1,IF(AA1306&lt;=0,0,BP1306*MAX(1,IF(G1306&gt;0,AA1306/G1306,1))),AB1306*Q1306)</f>
        <v/>
      </c>
      <c r="AD1306" s="55">
        <f>AA1306*F1306</f>
        <v/>
      </c>
      <c r="AE1306" s="55">
        <f>ROUNDUP(MAX(I1306/IF(BS1306&gt;0,BS1306,MAX(0.1,N(Cockpit!$C$6))),BV1306)/BN1306,0)*BN1306</f>
        <v/>
      </c>
      <c r="AF1306" s="56">
        <f>IF(AC1306&gt;0,I1306/AC1306,-1)</f>
        <v/>
      </c>
      <c r="AG1306" s="56">
        <f>IF(AND(OR(BR1306="L1",BR1306="L23"),AC1306&gt;0),SUMIFS($AC$7:$AC$1570,$BR$7:$BR$1570,BR1306,$AF$7:$AF$1570,"&gt;"&amp;AF1306)+SUMIFS($AC$7:$AC$1570,$BR$7:$BR$1570,BR1306,$AF$7:$AF$1570,AF1306,$BL$7:$BL$1570,"&lt;="&amp;BL1306),"")</f>
        <v/>
      </c>
      <c r="AH1306" s="65">
        <f>IF(AG1306="",0,MAX(0,MIN(1,(IF(BR1306="L1",Parameter!$K$5,Parameter!$K$6+Parameter!$K$7)-(AG1306-AC1306))/AC1306)))</f>
        <v/>
      </c>
      <c r="AI1306" s="55">
        <f>IF(LEFT(Cockpit!$I$5,1)="A",G1306,IF(BT1306=1,BU1306,IF(LEFT(Cockpit!$I$5,1)="B",AM1306,MAX(AM1306,G1306))))</f>
        <v/>
      </c>
      <c r="AJ1306" s="55">
        <f>IF(BO1306=1,0,ROUNDUP(AI1306/BN1306,0))</f>
        <v/>
      </c>
      <c r="AK1306" s="64">
        <f>IF(BO1306=1,IF(AI1306&lt;=0,0,BP1306*MAX(1,IF(G1306&gt;0,AI1306/G1306,1))),AJ1306*Q1306)</f>
        <v/>
      </c>
      <c r="AL1306" s="55">
        <f>AI1306*F1306</f>
        <v/>
      </c>
      <c r="AM1306" s="55">
        <f>ROUNDUP(MAX(I1306/IF(BS1306&gt;0,BS1306,MAX(0.1,N(Cockpit!$I$6))),BV1306)/BN1306,0)*BN1306</f>
        <v/>
      </c>
      <c r="AN1306" s="56">
        <f>IF(AK1306&gt;0,I1306/AK1306,-1)</f>
        <v/>
      </c>
      <c r="AO1306" s="56">
        <f>IF(AND(OR(BR1306="L1",BR1306="L23"),AK1306&gt;0),SUMIFS($AK$7:$AK$1570,$BR$7:$BR$1570,BR1306,$AN$7:$AN$1570,"&gt;"&amp;AN1306)+SUMIFS($AK$7:$AK$1570,$BR$7:$BR$1570,BR1306,$AN$7:$AN$1570,AN1306,$BL$7:$BL$1570,"&lt;="&amp;BL1306),"")</f>
        <v/>
      </c>
      <c r="AP1306" s="65">
        <f>IF(AO1306="",0,MAX(0,MIN(1,(IF(BR1306="L1",Parameter!$K$5,Parameter!$K$6+Parameter!$K$7)-(AO1306-AK1306))/AK1306)))</f>
        <v/>
      </c>
      <c r="AQ1306" s="55">
        <f>IF(LEFT(Cockpit!$O$5,1)="A",G1306,IF(BT1306=1,BU1306,IF(LEFT(Cockpit!$O$5,1)="B",AU1306,MAX(AU1306,G1306))))</f>
        <v/>
      </c>
      <c r="AR1306" s="55">
        <f>IF(BO1306=1,0,ROUNDUP(AQ1306/BN1306,0))</f>
        <v/>
      </c>
      <c r="AS1306" s="64">
        <f>IF(BO1306=1,IF(AQ1306&lt;=0,0,BP1306*MAX(1,IF(G1306&gt;0,AQ1306/G1306,1))),AR1306*Q1306)</f>
        <v/>
      </c>
      <c r="AT1306" s="55">
        <f>AQ1306*F1306</f>
        <v/>
      </c>
      <c r="AU1306" s="55">
        <f>ROUNDUP(MAX(I1306/IF(BS1306&gt;0,BS1306,MAX(0.1,N(Cockpit!$O$6))),BV1306)/BN1306,0)*BN1306</f>
        <v/>
      </c>
      <c r="AV1306" s="56">
        <f>IF(AS1306&gt;0,I1306/AS1306,-1)</f>
        <v/>
      </c>
      <c r="AW1306" s="56">
        <f>IF(AND(OR(BR1306="L1",BR1306="L23"),AS1306&gt;0),SUMIFS($AS$7:$AS$1570,$BR$7:$BR$1570,BR1306,$AV$7:$AV$1570,"&gt;"&amp;AV1306)+SUMIFS($AS$7:$AS$1570,$BR$7:$BR$1570,BR1306,$AV$7:$AV$1570,AV1306,$BL$7:$BL$1570,"&lt;="&amp;BL1306),"")</f>
        <v/>
      </c>
      <c r="AX1306" s="65">
        <f>IF(AW1306="",0,MAX(0,MIN(1,(IF(BR1306="L1",Parameter!$K$5,Parameter!$K$6+Parameter!$K$7)-(AW1306-AS1306))/AS1306)))</f>
        <v/>
      </c>
      <c r="AY1306" s="53">
        <f>IF(AC1306&lt;=0,"",IF(BR1306="Aussen","Aussenlager",IF(BR1306="-","Nicht im Lift",IF(AH1306&gt;=1,"Lift",IF(AH1306&lt;=0,"Aussenlager","teilweise")))))</f>
        <v/>
      </c>
      <c r="AZ1306" s="53">
        <f>IF(AK1306&lt;=0,"",IF(BR1306="Aussen","Aussenlager",IF(BR1306="-","Nicht im Lift",IF(AP1306&gt;=1,"Lift",IF(AP1306&lt;=0,"Aussenlager","teilweise")))))</f>
        <v/>
      </c>
      <c r="BA1306" s="53">
        <f>IF(AS1306&lt;=0,"",IF(BR1306="Aussen","Aussenlager",IF(BR1306="-","Nicht im Lift",IF(AX1306&gt;=1,"Lift",IF(AX1306&lt;=0,"Aussenlager","teilweise")))))</f>
        <v/>
      </c>
      <c r="BB1306" s="53">
        <f>IF(A1306="","",IF(BK1306=1,"Neu; ","")&amp;IF(AND(BK1306=0,BF1306&lt;0),"negativer Bestand (Export "&amp;BF1306&amp;"); ","")&amp;IF(I1306&lt;=0,"Kein Verbrauch; ","")&amp;IF(BO1306=1,"Lose – Fläche geschätzt; ","")&amp;IF(G1306&gt;AM1306,"Überbestand "&amp;ROUND(G1306-AM1306,0)&amp;" Stk / CHF "&amp;ROUND((G1306-AM1306)*F1306,0)&amp;"; ","")&amp;IF(AND(BT1306=1,BU1306&lt;BV1306),"MAX &lt; MB+LG; ","")&amp;IF(AND(BZ1306&gt;0,BY1306*10&gt;BZ1306),"zu hoch für Tablar; ","")&amp;IF(AND(BK1306=0,OR(BT1306=1,V1306&lt;&gt;"",S1306&lt;&gt;"",T1306&lt;&gt;"",W1306&lt;&gt;"")),"manuell übersteuert; ","")&amp;IF(AND(BO1306=0,Q1306=0),"Gebinde unbekannt; ","")&amp;IF(AND(BO1306=0,N(T1306)&lt;=0,N(P1306)&lt;=0),"Menge pro Gebinde fehlt (Ist = 1 Gebinde); ","")&amp;BJ1306)</f>
        <v/>
      </c>
      <c r="BC1306" s="53" t="n"/>
      <c r="BD1306" s="53" t="n"/>
      <c r="BE1306" s="61" t="n"/>
      <c r="BF1306" s="55" t="n">
        <v>-1973</v>
      </c>
      <c r="BG1306" s="55" t="n">
        <v>3180</v>
      </c>
      <c r="BH1306" s="54" t="n">
        <v>-1221.58</v>
      </c>
      <c r="BI1306" s="55" t="n">
        <v>2375</v>
      </c>
      <c r="BJ1306" s="53" t="inlineStr">
        <is>
          <t>grosse  Artikelmenge</t>
        </is>
      </c>
      <c r="BK1306" s="58" t="n">
        <v>0</v>
      </c>
      <c r="BL1306" s="58" t="n">
        <v>1306</v>
      </c>
      <c r="BM1306" s="53">
        <f>IF(S1306&lt;&gt;"",UPPER(TRIM(S1306)),IF(O1306="","LOSE",O1306))</f>
        <v/>
      </c>
      <c r="BN1306" s="55">
        <f>IF(BM1306="LOSE",1,IF(N(T1306)&gt;0,T1306,IF(N(P1306)&gt;0,P1306,MAX(1,G1306))))</f>
        <v/>
      </c>
      <c r="BO1306" s="58">
        <f>IF(BM1306="LOSE",1,0)</f>
        <v/>
      </c>
      <c r="BP1306" s="64">
        <f>IF(BO1306=0,0,IF(N(R1306)&gt;0,R1306,IFERROR(VLOOKUP(D1306,Parameter!$A$35:$C$64,3,0)+0,0)))</f>
        <v/>
      </c>
      <c r="BQ1306" s="53">
        <f>IF(V1306&lt;&gt;"",V1306,U1306)</f>
        <v/>
      </c>
      <c r="BR1306" s="53">
        <f>IF(BQ1306=1,"L1",IF(OR(BQ1306=2,BQ1306=3),"L23",IF(BQ1306="Aussen","Aussen","-")))</f>
        <v/>
      </c>
      <c r="BS1306" s="66">
        <f>IF(N(W1306)&gt;0,W1306,0)</f>
        <v/>
      </c>
      <c r="BT1306" s="58">
        <f>IF(ISNUMBER(Z1306),1,0)</f>
        <v/>
      </c>
      <c r="BU1306" s="55">
        <f>N(Z1306)</f>
        <v/>
      </c>
      <c r="BV1306" s="55">
        <f>N(L1306)+N(M1306)</f>
        <v/>
      </c>
      <c r="BW1306" s="55">
        <f>ROUNDUP(G1306/BN1306,0)</f>
        <v/>
      </c>
      <c r="BX1306" s="55">
        <f>ROUNDUP(BU1306/BN1306,0)</f>
        <v/>
      </c>
      <c r="BY1306" s="58">
        <f>IF(BO1306=1,0,IFERROR(VLOOKUP(BM1306,'Gebinde-Kategorie'!$A$5:$G$45,5,0)+0,0))</f>
        <v/>
      </c>
      <c r="BZ1306" s="58">
        <f>IFERROR(IF(OR(BQ1306=1,BQ1306=2,BQ1306=3),N(INDEX(Parameter!$I$5:$I$7,BQ1306)),0),0)</f>
        <v/>
      </c>
    </row>
    <row r="1307">
      <c r="A1307" s="53" t="inlineStr">
        <is>
          <t>002044</t>
        </is>
      </c>
      <c r="B1307" s="53" t="inlineStr">
        <is>
          <t>Holzfaltkiste Premium</t>
        </is>
      </c>
      <c r="C1307" s="53" t="inlineStr">
        <is>
          <t>G</t>
        </is>
      </c>
      <c r="D1307" s="53" t="inlineStr">
        <is>
          <t>PAL</t>
        </is>
      </c>
      <c r="E1307" s="53" t="inlineStr">
        <is>
          <t>C</t>
        </is>
      </c>
      <c r="F1307" s="54" t="n">
        <v>50.01</v>
      </c>
      <c r="G1307" s="55">
        <f>MAX(0,IF(Parameter!$B$20="Jahresanfang 2025 + Export",BG1307+BF1307,BF1307))</f>
        <v/>
      </c>
      <c r="H1307" s="55">
        <f>G1307*F1307</f>
        <v/>
      </c>
      <c r="I1307" s="55">
        <f>BI1307*Parameter!$B$18</f>
        <v/>
      </c>
      <c r="J1307" s="56" t="n">
        <v>20.5</v>
      </c>
      <c r="K1307" s="57" t="n">
        <v>1.609756097560976</v>
      </c>
      <c r="L1307" s="55" t="n">
        <v>1</v>
      </c>
      <c r="M1307" s="55" t="n">
        <v>20</v>
      </c>
      <c r="N1307" s="58" t="n">
        <v>21</v>
      </c>
      <c r="O1307" s="53" t="inlineStr">
        <is>
          <t>LOSE</t>
        </is>
      </c>
      <c r="P1307" s="55" t="n"/>
      <c r="Q1307" s="59">
        <f>IF(BO1307=1,0,IFERROR(VLOOKUP(BM1307,'Gebinde-Kategorie'!$A$5:$G$45,6,0)+0,0))</f>
        <v/>
      </c>
      <c r="R1307" s="60" t="n"/>
      <c r="S1307" s="61" t="n"/>
      <c r="T1307" s="61" t="n"/>
      <c r="U1307" s="53">
        <f>IF(A1307="","",IF(IFERROR(VLOOKUP(D1307,Parameter!$A$35:$C$64,2,0),"Nein")="2+3",IF(ISNUMBER(SEARCH("grosser Artikel",BJ1307)),2,IFERROR(VLOOKUP(BM1307,Parameter!$F$35:$G$64,2,0),2)),IF(OR(IFERROR(VLOOKUP(D1307,Parameter!$A$35:$C$64,2,0),"Nein")="Nein",IFERROR(VLOOKUP(D1307,Parameter!$A$35:$C$64,2,0),"Nein")=""),"-",VLOOKUP(D1307,Parameter!$A$35:$C$64,2,0))))</f>
        <v/>
      </c>
      <c r="V1307" s="61" t="n"/>
      <c r="W1307" s="62" t="n"/>
      <c r="X1307" s="55">
        <f>AM1307</f>
        <v/>
      </c>
      <c r="Y1307" s="55">
        <f>MAX(AM1307,G1307)</f>
        <v/>
      </c>
      <c r="Z1307" s="63" t="n"/>
      <c r="AA1307" s="55">
        <f>IF(LEFT(Cockpit!$C$5,1)="A",G1307,IF(BT1307=1,BU1307,IF(LEFT(Cockpit!$C$5,1)="B",AE1307,MAX(AE1307,G1307))))</f>
        <v/>
      </c>
      <c r="AB1307" s="55">
        <f>IF(BO1307=1,0,ROUNDUP(AA1307/BN1307,0))</f>
        <v/>
      </c>
      <c r="AC1307" s="64">
        <f>IF(BO1307=1,IF(AA1307&lt;=0,0,BP1307*MAX(1,IF(G1307&gt;0,AA1307/G1307,1))),AB1307*Q1307)</f>
        <v/>
      </c>
      <c r="AD1307" s="55">
        <f>AA1307*F1307</f>
        <v/>
      </c>
      <c r="AE1307" s="55">
        <f>ROUNDUP(MAX(I1307/IF(BS1307&gt;0,BS1307,MAX(0.1,N(Cockpit!$C$6))),BV1307)/BN1307,0)*BN1307</f>
        <v/>
      </c>
      <c r="AF1307" s="56">
        <f>IF(AC1307&gt;0,I1307/AC1307,-1)</f>
        <v/>
      </c>
      <c r="AG1307" s="56">
        <f>IF(AND(OR(BR1307="L1",BR1307="L23"),AC1307&gt;0),SUMIFS($AC$7:$AC$1570,$BR$7:$BR$1570,BR1307,$AF$7:$AF$1570,"&gt;"&amp;AF1307)+SUMIFS($AC$7:$AC$1570,$BR$7:$BR$1570,BR1307,$AF$7:$AF$1570,AF1307,$BL$7:$BL$1570,"&lt;="&amp;BL1307),"")</f>
        <v/>
      </c>
      <c r="AH1307" s="65">
        <f>IF(AG1307="",0,MAX(0,MIN(1,(IF(BR1307="L1",Parameter!$K$5,Parameter!$K$6+Parameter!$K$7)-(AG1307-AC1307))/AC1307)))</f>
        <v/>
      </c>
      <c r="AI1307" s="55">
        <f>IF(LEFT(Cockpit!$I$5,1)="A",G1307,IF(BT1307=1,BU1307,IF(LEFT(Cockpit!$I$5,1)="B",AM1307,MAX(AM1307,G1307))))</f>
        <v/>
      </c>
      <c r="AJ1307" s="55">
        <f>IF(BO1307=1,0,ROUNDUP(AI1307/BN1307,0))</f>
        <v/>
      </c>
      <c r="AK1307" s="64">
        <f>IF(BO1307=1,IF(AI1307&lt;=0,0,BP1307*MAX(1,IF(G1307&gt;0,AI1307/G1307,1))),AJ1307*Q1307)</f>
        <v/>
      </c>
      <c r="AL1307" s="55">
        <f>AI1307*F1307</f>
        <v/>
      </c>
      <c r="AM1307" s="55">
        <f>ROUNDUP(MAX(I1307/IF(BS1307&gt;0,BS1307,MAX(0.1,N(Cockpit!$I$6))),BV1307)/BN1307,0)*BN1307</f>
        <v/>
      </c>
      <c r="AN1307" s="56">
        <f>IF(AK1307&gt;0,I1307/AK1307,-1)</f>
        <v/>
      </c>
      <c r="AO1307" s="56">
        <f>IF(AND(OR(BR1307="L1",BR1307="L23"),AK1307&gt;0),SUMIFS($AK$7:$AK$1570,$BR$7:$BR$1570,BR1307,$AN$7:$AN$1570,"&gt;"&amp;AN1307)+SUMIFS($AK$7:$AK$1570,$BR$7:$BR$1570,BR1307,$AN$7:$AN$1570,AN1307,$BL$7:$BL$1570,"&lt;="&amp;BL1307),"")</f>
        <v/>
      </c>
      <c r="AP1307" s="65">
        <f>IF(AO1307="",0,MAX(0,MIN(1,(IF(BR1307="L1",Parameter!$K$5,Parameter!$K$6+Parameter!$K$7)-(AO1307-AK1307))/AK1307)))</f>
        <v/>
      </c>
      <c r="AQ1307" s="55">
        <f>IF(LEFT(Cockpit!$O$5,1)="A",G1307,IF(BT1307=1,BU1307,IF(LEFT(Cockpit!$O$5,1)="B",AU1307,MAX(AU1307,G1307))))</f>
        <v/>
      </c>
      <c r="AR1307" s="55">
        <f>IF(BO1307=1,0,ROUNDUP(AQ1307/BN1307,0))</f>
        <v/>
      </c>
      <c r="AS1307" s="64">
        <f>IF(BO1307=1,IF(AQ1307&lt;=0,0,BP1307*MAX(1,IF(G1307&gt;0,AQ1307/G1307,1))),AR1307*Q1307)</f>
        <v/>
      </c>
      <c r="AT1307" s="55">
        <f>AQ1307*F1307</f>
        <v/>
      </c>
      <c r="AU1307" s="55">
        <f>ROUNDUP(MAX(I1307/IF(BS1307&gt;0,BS1307,MAX(0.1,N(Cockpit!$O$6))),BV1307)/BN1307,0)*BN1307</f>
        <v/>
      </c>
      <c r="AV1307" s="56">
        <f>IF(AS1307&gt;0,I1307/AS1307,-1)</f>
        <v/>
      </c>
      <c r="AW1307" s="56">
        <f>IF(AND(OR(BR1307="L1",BR1307="L23"),AS1307&gt;0),SUMIFS($AS$7:$AS$1570,$BR$7:$BR$1570,BR1307,$AV$7:$AV$1570,"&gt;"&amp;AV1307)+SUMIFS($AS$7:$AS$1570,$BR$7:$BR$1570,BR1307,$AV$7:$AV$1570,AV1307,$BL$7:$BL$1570,"&lt;="&amp;BL1307),"")</f>
        <v/>
      </c>
      <c r="AX1307" s="65">
        <f>IF(AW1307="",0,MAX(0,MIN(1,(IF(BR1307="L1",Parameter!$K$5,Parameter!$K$6+Parameter!$K$7)-(AW1307-AS1307))/AS1307)))</f>
        <v/>
      </c>
      <c r="AY1307" s="53">
        <f>IF(AC1307&lt;=0,"",IF(BR1307="Aussen","Aussenlager",IF(BR1307="-","Nicht im Lift",IF(AH1307&gt;=1,"Lift",IF(AH1307&lt;=0,"Aussenlager","teilweise")))))</f>
        <v/>
      </c>
      <c r="AZ1307" s="53">
        <f>IF(AK1307&lt;=0,"",IF(BR1307="Aussen","Aussenlager",IF(BR1307="-","Nicht im Lift",IF(AP1307&gt;=1,"Lift",IF(AP1307&lt;=0,"Aussenlager","teilweise")))))</f>
        <v/>
      </c>
      <c r="BA1307" s="53">
        <f>IF(AS1307&lt;=0,"",IF(BR1307="Aussen","Aussenlager",IF(BR1307="-","Nicht im Lift",IF(AX1307&gt;=1,"Lift",IF(AX1307&lt;=0,"Aussenlager","teilweise")))))</f>
        <v/>
      </c>
      <c r="BB1307" s="53">
        <f>IF(A1307="","",IF(BK1307=1,"Neu; ","")&amp;IF(AND(BK1307=0,BF1307&lt;0),"negativer Bestand (Export "&amp;BF1307&amp;"); ","")&amp;IF(I1307&lt;=0,"Kein Verbrauch; ","")&amp;IF(BO1307=1,"Lose – Fläche geschätzt; ","")&amp;IF(G1307&gt;AM1307,"Überbestand "&amp;ROUND(G1307-AM1307,0)&amp;" Stk / CHF "&amp;ROUND((G1307-AM1307)*F1307,0)&amp;"; ","")&amp;IF(AND(BT1307=1,BU1307&lt;BV1307),"MAX &lt; MB+LG; ","")&amp;IF(AND(BZ1307&gt;0,BY1307*10&gt;BZ1307),"zu hoch für Tablar; ","")&amp;IF(AND(BK1307=0,OR(BT1307=1,V1307&lt;&gt;"",S1307&lt;&gt;"",T1307&lt;&gt;"",W1307&lt;&gt;"")),"manuell übersteuert; ","")&amp;IF(AND(BO1307=0,Q1307=0),"Gebinde unbekannt; ","")&amp;IF(AND(BO1307=0,N(T1307)&lt;=0,N(P1307)&lt;=0),"Menge pro Gebinde fehlt (Ist = 1 Gebinde); ","")&amp;BJ1307)</f>
        <v/>
      </c>
      <c r="BC1307" s="53" t="n"/>
      <c r="BD1307" s="53" t="n"/>
      <c r="BE1307" s="61" t="n"/>
      <c r="BF1307" s="55" t="n">
        <v>-25</v>
      </c>
      <c r="BG1307" s="55" t="n">
        <v>25</v>
      </c>
      <c r="BH1307" s="54" t="n">
        <v>-1239.5</v>
      </c>
      <c r="BI1307" s="55" t="n">
        <v>33</v>
      </c>
      <c r="BJ1307" s="53" t="inlineStr"/>
      <c r="BK1307" s="58" t="n">
        <v>0</v>
      </c>
      <c r="BL1307" s="58" t="n">
        <v>1307</v>
      </c>
      <c r="BM1307" s="53">
        <f>IF(S1307&lt;&gt;"",UPPER(TRIM(S1307)),IF(O1307="","LOSE",O1307))</f>
        <v/>
      </c>
      <c r="BN1307" s="55">
        <f>IF(BM1307="LOSE",1,IF(N(T1307)&gt;0,T1307,IF(N(P1307)&gt;0,P1307,MAX(1,G1307))))</f>
        <v/>
      </c>
      <c r="BO1307" s="58">
        <f>IF(BM1307="LOSE",1,0)</f>
        <v/>
      </c>
      <c r="BP1307" s="64">
        <f>IF(BO1307=0,0,IF(N(R1307)&gt;0,R1307,IFERROR(VLOOKUP(D1307,Parameter!$A$35:$C$64,3,0)+0,0)))</f>
        <v/>
      </c>
      <c r="BQ1307" s="53">
        <f>IF(V1307&lt;&gt;"",V1307,U1307)</f>
        <v/>
      </c>
      <c r="BR1307" s="53">
        <f>IF(BQ1307=1,"L1",IF(OR(BQ1307=2,BQ1307=3),"L23",IF(BQ1307="Aussen","Aussen","-")))</f>
        <v/>
      </c>
      <c r="BS1307" s="66">
        <f>IF(N(W1307)&gt;0,W1307,0)</f>
        <v/>
      </c>
      <c r="BT1307" s="58">
        <f>IF(ISNUMBER(Z1307),1,0)</f>
        <v/>
      </c>
      <c r="BU1307" s="55">
        <f>N(Z1307)</f>
        <v/>
      </c>
      <c r="BV1307" s="55">
        <f>N(L1307)+N(M1307)</f>
        <v/>
      </c>
      <c r="BW1307" s="55">
        <f>ROUNDUP(G1307/BN1307,0)</f>
        <v/>
      </c>
      <c r="BX1307" s="55">
        <f>ROUNDUP(BU1307/BN1307,0)</f>
        <v/>
      </c>
      <c r="BY1307" s="58">
        <f>IF(BO1307=1,0,IFERROR(VLOOKUP(BM1307,'Gebinde-Kategorie'!$A$5:$G$45,5,0)+0,0))</f>
        <v/>
      </c>
      <c r="BZ1307" s="58">
        <f>IFERROR(IF(OR(BQ1307=1,BQ1307=2,BQ1307=3),N(INDEX(Parameter!$I$5:$I$7,BQ1307)),0),0)</f>
        <v/>
      </c>
    </row>
    <row r="1308">
      <c r="A1308" s="53" t="inlineStr">
        <is>
          <t>108821</t>
        </is>
      </c>
      <c r="B1308" s="53" t="inlineStr">
        <is>
          <t>Klemmhalter</t>
        </is>
      </c>
      <c r="C1308" s="53" t="inlineStr">
        <is>
          <t>F</t>
        </is>
      </c>
      <c r="D1308" s="53" t="inlineStr">
        <is>
          <t>KTL</t>
        </is>
      </c>
      <c r="E1308" s="53" t="inlineStr">
        <is>
          <t>C</t>
        </is>
      </c>
      <c r="F1308" s="54" t="n">
        <v>28.8</v>
      </c>
      <c r="G1308" s="55">
        <f>MAX(0,IF(Parameter!$B$20="Jahresanfang 2025 + Export",BG1308+BF1308,BF1308))</f>
        <v/>
      </c>
      <c r="H1308" s="55">
        <f>G1308*F1308</f>
        <v/>
      </c>
      <c r="I1308" s="55">
        <f>BI1308*Parameter!$B$18</f>
        <v/>
      </c>
      <c r="J1308" s="56" t="n">
        <v>93</v>
      </c>
      <c r="K1308" s="57" t="n">
        <v>1.935483870967742</v>
      </c>
      <c r="L1308" s="55" t="n">
        <v>4</v>
      </c>
      <c r="M1308" s="55" t="n">
        <v>130</v>
      </c>
      <c r="N1308" s="58" t="n">
        <v>7</v>
      </c>
      <c r="O1308" s="53" t="inlineStr">
        <is>
          <t>S52</t>
        </is>
      </c>
      <c r="P1308" s="55" t="n">
        <v>87</v>
      </c>
      <c r="Q1308" s="59">
        <f>IF(BO1308=1,0,IFERROR(VLOOKUP(BM1308,'Gebinde-Kategorie'!$A$5:$G$45,6,0)+0,0))</f>
        <v/>
      </c>
      <c r="R1308" s="60" t="n"/>
      <c r="S1308" s="61" t="n"/>
      <c r="T1308" s="61" t="n"/>
      <c r="U1308" s="53">
        <f>IF(A1308="","",IF(IFERROR(VLOOKUP(D1308,Parameter!$A$35:$C$64,2,0),"Nein")="2+3",IF(ISNUMBER(SEARCH("grosser Artikel",BJ1308)),2,IFERROR(VLOOKUP(BM1308,Parameter!$F$35:$G$64,2,0),2)),IF(OR(IFERROR(VLOOKUP(D1308,Parameter!$A$35:$C$64,2,0),"Nein")="Nein",IFERROR(VLOOKUP(D1308,Parameter!$A$35:$C$64,2,0),"Nein")=""),"-",VLOOKUP(D1308,Parameter!$A$35:$C$64,2,0))))</f>
        <v/>
      </c>
      <c r="V1308" s="61" t="n"/>
      <c r="W1308" s="62" t="n"/>
      <c r="X1308" s="55">
        <f>AM1308</f>
        <v/>
      </c>
      <c r="Y1308" s="55">
        <f>MAX(AM1308,G1308)</f>
        <v/>
      </c>
      <c r="Z1308" s="63" t="n"/>
      <c r="AA1308" s="55">
        <f>IF(LEFT(Cockpit!$C$5,1)="A",G1308,IF(BT1308=1,BU1308,IF(LEFT(Cockpit!$C$5,1)="B",AE1308,MAX(AE1308,G1308))))</f>
        <v/>
      </c>
      <c r="AB1308" s="55">
        <f>IF(BO1308=1,0,ROUNDUP(AA1308/BN1308,0))</f>
        <v/>
      </c>
      <c r="AC1308" s="64">
        <f>IF(BO1308=1,IF(AA1308&lt;=0,0,BP1308*MAX(1,IF(G1308&gt;0,AA1308/G1308,1))),AB1308*Q1308)</f>
        <v/>
      </c>
      <c r="AD1308" s="55">
        <f>AA1308*F1308</f>
        <v/>
      </c>
      <c r="AE1308" s="55">
        <f>ROUNDUP(MAX(I1308/IF(BS1308&gt;0,BS1308,MAX(0.1,N(Cockpit!$C$6))),BV1308)/BN1308,0)*BN1308</f>
        <v/>
      </c>
      <c r="AF1308" s="56">
        <f>IF(AC1308&gt;0,I1308/AC1308,-1)</f>
        <v/>
      </c>
      <c r="AG1308" s="56">
        <f>IF(AND(OR(BR1308="L1",BR1308="L23"),AC1308&gt;0),SUMIFS($AC$7:$AC$1570,$BR$7:$BR$1570,BR1308,$AF$7:$AF$1570,"&gt;"&amp;AF1308)+SUMIFS($AC$7:$AC$1570,$BR$7:$BR$1570,BR1308,$AF$7:$AF$1570,AF1308,$BL$7:$BL$1570,"&lt;="&amp;BL1308),"")</f>
        <v/>
      </c>
      <c r="AH1308" s="65">
        <f>IF(AG1308="",0,MAX(0,MIN(1,(IF(BR1308="L1",Parameter!$K$5,Parameter!$K$6+Parameter!$K$7)-(AG1308-AC1308))/AC1308)))</f>
        <v/>
      </c>
      <c r="AI1308" s="55">
        <f>IF(LEFT(Cockpit!$I$5,1)="A",G1308,IF(BT1308=1,BU1308,IF(LEFT(Cockpit!$I$5,1)="B",AM1308,MAX(AM1308,G1308))))</f>
        <v/>
      </c>
      <c r="AJ1308" s="55">
        <f>IF(BO1308=1,0,ROUNDUP(AI1308/BN1308,0))</f>
        <v/>
      </c>
      <c r="AK1308" s="64">
        <f>IF(BO1308=1,IF(AI1308&lt;=0,0,BP1308*MAX(1,IF(G1308&gt;0,AI1308/G1308,1))),AJ1308*Q1308)</f>
        <v/>
      </c>
      <c r="AL1308" s="55">
        <f>AI1308*F1308</f>
        <v/>
      </c>
      <c r="AM1308" s="55">
        <f>ROUNDUP(MAX(I1308/IF(BS1308&gt;0,BS1308,MAX(0.1,N(Cockpit!$I$6))),BV1308)/BN1308,0)*BN1308</f>
        <v/>
      </c>
      <c r="AN1308" s="56">
        <f>IF(AK1308&gt;0,I1308/AK1308,-1)</f>
        <v/>
      </c>
      <c r="AO1308" s="56">
        <f>IF(AND(OR(BR1308="L1",BR1308="L23"),AK1308&gt;0),SUMIFS($AK$7:$AK$1570,$BR$7:$BR$1570,BR1308,$AN$7:$AN$1570,"&gt;"&amp;AN1308)+SUMIFS($AK$7:$AK$1570,$BR$7:$BR$1570,BR1308,$AN$7:$AN$1570,AN1308,$BL$7:$BL$1570,"&lt;="&amp;BL1308),"")</f>
        <v/>
      </c>
      <c r="AP1308" s="65">
        <f>IF(AO1308="",0,MAX(0,MIN(1,(IF(BR1308="L1",Parameter!$K$5,Parameter!$K$6+Parameter!$K$7)-(AO1308-AK1308))/AK1308)))</f>
        <v/>
      </c>
      <c r="AQ1308" s="55">
        <f>IF(LEFT(Cockpit!$O$5,1)="A",G1308,IF(BT1308=1,BU1308,IF(LEFT(Cockpit!$O$5,1)="B",AU1308,MAX(AU1308,G1308))))</f>
        <v/>
      </c>
      <c r="AR1308" s="55">
        <f>IF(BO1308=1,0,ROUNDUP(AQ1308/BN1308,0))</f>
        <v/>
      </c>
      <c r="AS1308" s="64">
        <f>IF(BO1308=1,IF(AQ1308&lt;=0,0,BP1308*MAX(1,IF(G1308&gt;0,AQ1308/G1308,1))),AR1308*Q1308)</f>
        <v/>
      </c>
      <c r="AT1308" s="55">
        <f>AQ1308*F1308</f>
        <v/>
      </c>
      <c r="AU1308" s="55">
        <f>ROUNDUP(MAX(I1308/IF(BS1308&gt;0,BS1308,MAX(0.1,N(Cockpit!$O$6))),BV1308)/BN1308,0)*BN1308</f>
        <v/>
      </c>
      <c r="AV1308" s="56">
        <f>IF(AS1308&gt;0,I1308/AS1308,-1)</f>
        <v/>
      </c>
      <c r="AW1308" s="56">
        <f>IF(AND(OR(BR1308="L1",BR1308="L23"),AS1308&gt;0),SUMIFS($AS$7:$AS$1570,$BR$7:$BR$1570,BR1308,$AV$7:$AV$1570,"&gt;"&amp;AV1308)+SUMIFS($AS$7:$AS$1570,$BR$7:$BR$1570,BR1308,$AV$7:$AV$1570,AV1308,$BL$7:$BL$1570,"&lt;="&amp;BL1308),"")</f>
        <v/>
      </c>
      <c r="AX1308" s="65">
        <f>IF(AW1308="",0,MAX(0,MIN(1,(IF(BR1308="L1",Parameter!$K$5,Parameter!$K$6+Parameter!$K$7)-(AW1308-AS1308))/AS1308)))</f>
        <v/>
      </c>
      <c r="AY1308" s="53">
        <f>IF(AC1308&lt;=0,"",IF(BR1308="Aussen","Aussenlager",IF(BR1308="-","Nicht im Lift",IF(AH1308&gt;=1,"Lift",IF(AH1308&lt;=0,"Aussenlager","teilweise")))))</f>
        <v/>
      </c>
      <c r="AZ1308" s="53">
        <f>IF(AK1308&lt;=0,"",IF(BR1308="Aussen","Aussenlager",IF(BR1308="-","Nicht im Lift",IF(AP1308&gt;=1,"Lift",IF(AP1308&lt;=0,"Aussenlager","teilweise")))))</f>
        <v/>
      </c>
      <c r="BA1308" s="53">
        <f>IF(AS1308&lt;=0,"",IF(BR1308="Aussen","Aussenlager",IF(BR1308="-","Nicht im Lift",IF(AX1308&gt;=1,"Lift",IF(AX1308&lt;=0,"Aussenlager","teilweise")))))</f>
        <v/>
      </c>
      <c r="BB1308" s="53">
        <f>IF(A1308="","",IF(BK1308=1,"Neu; ","")&amp;IF(AND(BK1308=0,BF1308&lt;0),"negativer Bestand (Export "&amp;BF1308&amp;"); ","")&amp;IF(I1308&lt;=0,"Kein Verbrauch; ","")&amp;IF(BO1308=1,"Lose – Fläche geschätzt; ","")&amp;IF(G1308&gt;AM1308,"Überbestand "&amp;ROUND(G1308-AM1308,0)&amp;" Stk / CHF "&amp;ROUND((G1308-AM1308)*F1308,0)&amp;"; ","")&amp;IF(AND(BT1308=1,BU1308&lt;BV1308),"MAX &lt; MB+LG; ","")&amp;IF(AND(BZ1308&gt;0,BY1308*10&gt;BZ1308),"zu hoch für Tablar; ","")&amp;IF(AND(BK1308=0,OR(BT1308=1,V1308&lt;&gt;"",S1308&lt;&gt;"",T1308&lt;&gt;"",W1308&lt;&gt;"")),"manuell übersteuert; ","")&amp;IF(AND(BO1308=0,Q1308=0),"Gebinde unbekannt; ","")&amp;IF(AND(BO1308=0,N(T1308)&lt;=0,N(P1308)&lt;=0),"Menge pro Gebinde fehlt (Ist = 1 Gebinde); ","")&amp;BJ1308)</f>
        <v/>
      </c>
      <c r="BC1308" s="53" t="n"/>
      <c r="BD1308" s="53" t="n"/>
      <c r="BE1308" s="61" t="n"/>
      <c r="BF1308" s="55" t="n">
        <v>-44</v>
      </c>
      <c r="BG1308" s="55" t="n">
        <v>123</v>
      </c>
      <c r="BH1308" s="54" t="n">
        <v>-1264.739999999999</v>
      </c>
      <c r="BI1308" s="55" t="n">
        <v>180</v>
      </c>
      <c r="BJ1308" s="53" t="inlineStr"/>
      <c r="BK1308" s="58" t="n">
        <v>0</v>
      </c>
      <c r="BL1308" s="58" t="n">
        <v>1308</v>
      </c>
      <c r="BM1308" s="53">
        <f>IF(S1308&lt;&gt;"",UPPER(TRIM(S1308)),IF(O1308="","LOSE",O1308))</f>
        <v/>
      </c>
      <c r="BN1308" s="55">
        <f>IF(BM1308="LOSE",1,IF(N(T1308)&gt;0,T1308,IF(N(P1308)&gt;0,P1308,MAX(1,G1308))))</f>
        <v/>
      </c>
      <c r="BO1308" s="58">
        <f>IF(BM1308="LOSE",1,0)</f>
        <v/>
      </c>
      <c r="BP1308" s="64">
        <f>IF(BO1308=0,0,IF(N(R1308)&gt;0,R1308,IFERROR(VLOOKUP(D1308,Parameter!$A$35:$C$64,3,0)+0,0)))</f>
        <v/>
      </c>
      <c r="BQ1308" s="53">
        <f>IF(V1308&lt;&gt;"",V1308,U1308)</f>
        <v/>
      </c>
      <c r="BR1308" s="53">
        <f>IF(BQ1308=1,"L1",IF(OR(BQ1308=2,BQ1308=3),"L23",IF(BQ1308="Aussen","Aussen","-")))</f>
        <v/>
      </c>
      <c r="BS1308" s="66">
        <f>IF(N(W1308)&gt;0,W1308,0)</f>
        <v/>
      </c>
      <c r="BT1308" s="58">
        <f>IF(ISNUMBER(Z1308),1,0)</f>
        <v/>
      </c>
      <c r="BU1308" s="55">
        <f>N(Z1308)</f>
        <v/>
      </c>
      <c r="BV1308" s="55">
        <f>N(L1308)+N(M1308)</f>
        <v/>
      </c>
      <c r="BW1308" s="55">
        <f>ROUNDUP(G1308/BN1308,0)</f>
        <v/>
      </c>
      <c r="BX1308" s="55">
        <f>ROUNDUP(BU1308/BN1308,0)</f>
        <v/>
      </c>
      <c r="BY1308" s="58">
        <f>IF(BO1308=1,0,IFERROR(VLOOKUP(BM1308,'Gebinde-Kategorie'!$A$5:$G$45,5,0)+0,0))</f>
        <v/>
      </c>
      <c r="BZ1308" s="58">
        <f>IFERROR(IF(OR(BQ1308=1,BQ1308=2,BQ1308=3),N(INDEX(Parameter!$I$5:$I$7,BQ1308)),0),0)</f>
        <v/>
      </c>
    </row>
    <row r="1309">
      <c r="A1309" s="53" t="inlineStr">
        <is>
          <t>100354</t>
        </is>
      </c>
      <c r="B1309" s="53" t="inlineStr">
        <is>
          <t>Rückschlagventil</t>
        </is>
      </c>
      <c r="C1309" s="53" t="inlineStr">
        <is>
          <t>F</t>
        </is>
      </c>
      <c r="D1309" s="53" t="inlineStr">
        <is>
          <t>KTL</t>
        </is>
      </c>
      <c r="E1309" s="53" t="inlineStr">
        <is>
          <t>C</t>
        </is>
      </c>
      <c r="F1309" s="54" t="n">
        <v>24.31</v>
      </c>
      <c r="G1309" s="55">
        <f>MAX(0,IF(Parameter!$B$20="Jahresanfang 2025 + Export",BG1309+BF1309,BF1309))</f>
        <v/>
      </c>
      <c r="H1309" s="55">
        <f>G1309*F1309</f>
        <v/>
      </c>
      <c r="I1309" s="55">
        <f>BI1309*Parameter!$B$18</f>
        <v/>
      </c>
      <c r="J1309" s="56" t="n">
        <v>57.5</v>
      </c>
      <c r="K1309" s="57" t="n">
        <v>1.339130434782609</v>
      </c>
      <c r="L1309" s="55" t="n">
        <v>2</v>
      </c>
      <c r="M1309" s="55" t="n">
        <v>75</v>
      </c>
      <c r="N1309" s="58" t="n">
        <v>14</v>
      </c>
      <c r="O1309" s="53" t="inlineStr">
        <is>
          <t>S51</t>
        </is>
      </c>
      <c r="P1309" s="55" t="n">
        <v>164</v>
      </c>
      <c r="Q1309" s="59">
        <f>IF(BO1309=1,0,IFERROR(VLOOKUP(BM1309,'Gebinde-Kategorie'!$A$5:$G$45,6,0)+0,0))</f>
        <v/>
      </c>
      <c r="R1309" s="60" t="n"/>
      <c r="S1309" s="61" t="n"/>
      <c r="T1309" s="61" t="n"/>
      <c r="U1309" s="53">
        <f>IF(A1309="","",IF(IFERROR(VLOOKUP(D1309,Parameter!$A$35:$C$64,2,0),"Nein")="2+3",IF(ISNUMBER(SEARCH("grosser Artikel",BJ1309)),2,IFERROR(VLOOKUP(BM1309,Parameter!$F$35:$G$64,2,0),2)),IF(OR(IFERROR(VLOOKUP(D1309,Parameter!$A$35:$C$64,2,0),"Nein")="Nein",IFERROR(VLOOKUP(D1309,Parameter!$A$35:$C$64,2,0),"Nein")=""),"-",VLOOKUP(D1309,Parameter!$A$35:$C$64,2,0))))</f>
        <v/>
      </c>
      <c r="V1309" s="61" t="n"/>
      <c r="W1309" s="62" t="n"/>
      <c r="X1309" s="55">
        <f>AM1309</f>
        <v/>
      </c>
      <c r="Y1309" s="55">
        <f>MAX(AM1309,G1309)</f>
        <v/>
      </c>
      <c r="Z1309" s="63" t="n"/>
      <c r="AA1309" s="55">
        <f>IF(LEFT(Cockpit!$C$5,1)="A",G1309,IF(BT1309=1,BU1309,IF(LEFT(Cockpit!$C$5,1)="B",AE1309,MAX(AE1309,G1309))))</f>
        <v/>
      </c>
      <c r="AB1309" s="55">
        <f>IF(BO1309=1,0,ROUNDUP(AA1309/BN1309,0))</f>
        <v/>
      </c>
      <c r="AC1309" s="64">
        <f>IF(BO1309=1,IF(AA1309&lt;=0,0,BP1309*MAX(1,IF(G1309&gt;0,AA1309/G1309,1))),AB1309*Q1309)</f>
        <v/>
      </c>
      <c r="AD1309" s="55">
        <f>AA1309*F1309</f>
        <v/>
      </c>
      <c r="AE1309" s="55">
        <f>ROUNDUP(MAX(I1309/IF(BS1309&gt;0,BS1309,MAX(0.1,N(Cockpit!$C$6))),BV1309)/BN1309,0)*BN1309</f>
        <v/>
      </c>
      <c r="AF1309" s="56">
        <f>IF(AC1309&gt;0,I1309/AC1309,-1)</f>
        <v/>
      </c>
      <c r="AG1309" s="56">
        <f>IF(AND(OR(BR1309="L1",BR1309="L23"),AC1309&gt;0),SUMIFS($AC$7:$AC$1570,$BR$7:$BR$1570,BR1309,$AF$7:$AF$1570,"&gt;"&amp;AF1309)+SUMIFS($AC$7:$AC$1570,$BR$7:$BR$1570,BR1309,$AF$7:$AF$1570,AF1309,$BL$7:$BL$1570,"&lt;="&amp;BL1309),"")</f>
        <v/>
      </c>
      <c r="AH1309" s="65">
        <f>IF(AG1309="",0,MAX(0,MIN(1,(IF(BR1309="L1",Parameter!$K$5,Parameter!$K$6+Parameter!$K$7)-(AG1309-AC1309))/AC1309)))</f>
        <v/>
      </c>
      <c r="AI1309" s="55">
        <f>IF(LEFT(Cockpit!$I$5,1)="A",G1309,IF(BT1309=1,BU1309,IF(LEFT(Cockpit!$I$5,1)="B",AM1309,MAX(AM1309,G1309))))</f>
        <v/>
      </c>
      <c r="AJ1309" s="55">
        <f>IF(BO1309=1,0,ROUNDUP(AI1309/BN1309,0))</f>
        <v/>
      </c>
      <c r="AK1309" s="64">
        <f>IF(BO1309=1,IF(AI1309&lt;=0,0,BP1309*MAX(1,IF(G1309&gt;0,AI1309/G1309,1))),AJ1309*Q1309)</f>
        <v/>
      </c>
      <c r="AL1309" s="55">
        <f>AI1309*F1309</f>
        <v/>
      </c>
      <c r="AM1309" s="55">
        <f>ROUNDUP(MAX(I1309/IF(BS1309&gt;0,BS1309,MAX(0.1,N(Cockpit!$I$6))),BV1309)/BN1309,0)*BN1309</f>
        <v/>
      </c>
      <c r="AN1309" s="56">
        <f>IF(AK1309&gt;0,I1309/AK1309,-1)</f>
        <v/>
      </c>
      <c r="AO1309" s="56">
        <f>IF(AND(OR(BR1309="L1",BR1309="L23"),AK1309&gt;0),SUMIFS($AK$7:$AK$1570,$BR$7:$BR$1570,BR1309,$AN$7:$AN$1570,"&gt;"&amp;AN1309)+SUMIFS($AK$7:$AK$1570,$BR$7:$BR$1570,BR1309,$AN$7:$AN$1570,AN1309,$BL$7:$BL$1570,"&lt;="&amp;BL1309),"")</f>
        <v/>
      </c>
      <c r="AP1309" s="65">
        <f>IF(AO1309="",0,MAX(0,MIN(1,(IF(BR1309="L1",Parameter!$K$5,Parameter!$K$6+Parameter!$K$7)-(AO1309-AK1309))/AK1309)))</f>
        <v/>
      </c>
      <c r="AQ1309" s="55">
        <f>IF(LEFT(Cockpit!$O$5,1)="A",G1309,IF(BT1309=1,BU1309,IF(LEFT(Cockpit!$O$5,1)="B",AU1309,MAX(AU1309,G1309))))</f>
        <v/>
      </c>
      <c r="AR1309" s="55">
        <f>IF(BO1309=1,0,ROUNDUP(AQ1309/BN1309,0))</f>
        <v/>
      </c>
      <c r="AS1309" s="64">
        <f>IF(BO1309=1,IF(AQ1309&lt;=0,0,BP1309*MAX(1,IF(G1309&gt;0,AQ1309/G1309,1))),AR1309*Q1309)</f>
        <v/>
      </c>
      <c r="AT1309" s="55">
        <f>AQ1309*F1309</f>
        <v/>
      </c>
      <c r="AU1309" s="55">
        <f>ROUNDUP(MAX(I1309/IF(BS1309&gt;0,BS1309,MAX(0.1,N(Cockpit!$O$6))),BV1309)/BN1309,0)*BN1309</f>
        <v/>
      </c>
      <c r="AV1309" s="56">
        <f>IF(AS1309&gt;0,I1309/AS1309,-1)</f>
        <v/>
      </c>
      <c r="AW1309" s="56">
        <f>IF(AND(OR(BR1309="L1",BR1309="L23"),AS1309&gt;0),SUMIFS($AS$7:$AS$1570,$BR$7:$BR$1570,BR1309,$AV$7:$AV$1570,"&gt;"&amp;AV1309)+SUMIFS($AS$7:$AS$1570,$BR$7:$BR$1570,BR1309,$AV$7:$AV$1570,AV1309,$BL$7:$BL$1570,"&lt;="&amp;BL1309),"")</f>
        <v/>
      </c>
      <c r="AX1309" s="65">
        <f>IF(AW1309="",0,MAX(0,MIN(1,(IF(BR1309="L1",Parameter!$K$5,Parameter!$K$6+Parameter!$K$7)-(AW1309-AS1309))/AS1309)))</f>
        <v/>
      </c>
      <c r="AY1309" s="53">
        <f>IF(AC1309&lt;=0,"",IF(BR1309="Aussen","Aussenlager",IF(BR1309="-","Nicht im Lift",IF(AH1309&gt;=1,"Lift",IF(AH1309&lt;=0,"Aussenlager","teilweise")))))</f>
        <v/>
      </c>
      <c r="AZ1309" s="53">
        <f>IF(AK1309&lt;=0,"",IF(BR1309="Aussen","Aussenlager",IF(BR1309="-","Nicht im Lift",IF(AP1309&gt;=1,"Lift",IF(AP1309&lt;=0,"Aussenlager","teilweise")))))</f>
        <v/>
      </c>
      <c r="BA1309" s="53">
        <f>IF(AS1309&lt;=0,"",IF(BR1309="Aussen","Aussenlager",IF(BR1309="-","Nicht im Lift",IF(AX1309&gt;=1,"Lift",IF(AX1309&lt;=0,"Aussenlager","teilweise")))))</f>
        <v/>
      </c>
      <c r="BB1309" s="53">
        <f>IF(A1309="","",IF(BK1309=1,"Neu; ","")&amp;IF(AND(BK1309=0,BF1309&lt;0),"negativer Bestand (Export "&amp;BF1309&amp;"); ","")&amp;IF(I1309&lt;=0,"Kein Verbrauch; ","")&amp;IF(BO1309=1,"Lose – Fläche geschätzt; ","")&amp;IF(G1309&gt;AM1309,"Überbestand "&amp;ROUND(G1309-AM1309,0)&amp;" Stk / CHF "&amp;ROUND((G1309-AM1309)*F1309,0)&amp;"; ","")&amp;IF(AND(BT1309=1,BU1309&lt;BV1309),"MAX &lt; MB+LG; ","")&amp;IF(AND(BZ1309&gt;0,BY1309*10&gt;BZ1309),"zu hoch für Tablar; ","")&amp;IF(AND(BK1309=0,OR(BT1309=1,V1309&lt;&gt;"",S1309&lt;&gt;"",T1309&lt;&gt;"",W1309&lt;&gt;"")),"manuell übersteuert; ","")&amp;IF(AND(BO1309=0,Q1309=0),"Gebinde unbekannt; ","")&amp;IF(AND(BO1309=0,N(T1309)&lt;=0,N(P1309)&lt;=0),"Menge pro Gebinde fehlt (Ist = 1 Gebinde); ","")&amp;BJ1309)</f>
        <v/>
      </c>
      <c r="BC1309" s="53" t="n"/>
      <c r="BD1309" s="53" t="n"/>
      <c r="BE1309" s="61" t="n"/>
      <c r="BF1309" s="55" t="n">
        <v>-34</v>
      </c>
      <c r="BG1309" s="55" t="n">
        <v>71</v>
      </c>
      <c r="BH1309" s="54" t="n">
        <v>-1282.14</v>
      </c>
      <c r="BI1309" s="55" t="n">
        <v>77</v>
      </c>
      <c r="BJ1309" s="53" t="inlineStr"/>
      <c r="BK1309" s="58" t="n">
        <v>0</v>
      </c>
      <c r="BL1309" s="58" t="n">
        <v>1309</v>
      </c>
      <c r="BM1309" s="53">
        <f>IF(S1309&lt;&gt;"",UPPER(TRIM(S1309)),IF(O1309="","LOSE",O1309))</f>
        <v/>
      </c>
      <c r="BN1309" s="55">
        <f>IF(BM1309="LOSE",1,IF(N(T1309)&gt;0,T1309,IF(N(P1309)&gt;0,P1309,MAX(1,G1309))))</f>
        <v/>
      </c>
      <c r="BO1309" s="58">
        <f>IF(BM1309="LOSE",1,0)</f>
        <v/>
      </c>
      <c r="BP1309" s="64">
        <f>IF(BO1309=0,0,IF(N(R1309)&gt;0,R1309,IFERROR(VLOOKUP(D1309,Parameter!$A$35:$C$64,3,0)+0,0)))</f>
        <v/>
      </c>
      <c r="BQ1309" s="53">
        <f>IF(V1309&lt;&gt;"",V1309,U1309)</f>
        <v/>
      </c>
      <c r="BR1309" s="53">
        <f>IF(BQ1309=1,"L1",IF(OR(BQ1309=2,BQ1309=3),"L23",IF(BQ1309="Aussen","Aussen","-")))</f>
        <v/>
      </c>
      <c r="BS1309" s="66">
        <f>IF(N(W1309)&gt;0,W1309,0)</f>
        <v/>
      </c>
      <c r="BT1309" s="58">
        <f>IF(ISNUMBER(Z1309),1,0)</f>
        <v/>
      </c>
      <c r="BU1309" s="55">
        <f>N(Z1309)</f>
        <v/>
      </c>
      <c r="BV1309" s="55">
        <f>N(L1309)+N(M1309)</f>
        <v/>
      </c>
      <c r="BW1309" s="55">
        <f>ROUNDUP(G1309/BN1309,0)</f>
        <v/>
      </c>
      <c r="BX1309" s="55">
        <f>ROUNDUP(BU1309/BN1309,0)</f>
        <v/>
      </c>
      <c r="BY1309" s="58">
        <f>IF(BO1309=1,0,IFERROR(VLOOKUP(BM1309,'Gebinde-Kategorie'!$A$5:$G$45,5,0)+0,0))</f>
        <v/>
      </c>
      <c r="BZ1309" s="58">
        <f>IFERROR(IF(OR(BQ1309=1,BQ1309=2,BQ1309=3),N(INDEX(Parameter!$I$5:$I$7,BQ1309)),0),0)</f>
        <v/>
      </c>
    </row>
    <row r="1310">
      <c r="A1310" s="53" t="inlineStr">
        <is>
          <t>105443</t>
        </is>
      </c>
      <c r="B1310" s="53" t="inlineStr">
        <is>
          <t>Rückschlagventil</t>
        </is>
      </c>
      <c r="C1310" s="53" t="inlineStr">
        <is>
          <t>F</t>
        </is>
      </c>
      <c r="D1310" s="53" t="inlineStr">
        <is>
          <t>KTL</t>
        </is>
      </c>
      <c r="E1310" s="53" t="inlineStr">
        <is>
          <t>C</t>
        </is>
      </c>
      <c r="F1310" s="54" t="n">
        <v>47.59</v>
      </c>
      <c r="G1310" s="55">
        <f>MAX(0,IF(Parameter!$B$20="Jahresanfang 2025 + Export",BG1310+BF1310,BF1310))</f>
        <v/>
      </c>
      <c r="H1310" s="55">
        <f>G1310*F1310</f>
        <v/>
      </c>
      <c r="I1310" s="55">
        <f>BI1310*Parameter!$B$18</f>
        <v/>
      </c>
      <c r="J1310" s="56" t="n">
        <v>147.5</v>
      </c>
      <c r="K1310" s="57" t="n">
        <v>0</v>
      </c>
      <c r="L1310" s="55" t="n">
        <v>0</v>
      </c>
      <c r="M1310" s="55" t="n">
        <v>1</v>
      </c>
      <c r="N1310" s="58" t="n">
        <v>28</v>
      </c>
      <c r="O1310" s="53" t="inlineStr">
        <is>
          <t>S52</t>
        </is>
      </c>
      <c r="P1310" s="55" t="n">
        <v>246</v>
      </c>
      <c r="Q1310" s="59">
        <f>IF(BO1310=1,0,IFERROR(VLOOKUP(BM1310,'Gebinde-Kategorie'!$A$5:$G$45,6,0)+0,0))</f>
        <v/>
      </c>
      <c r="R1310" s="60" t="n"/>
      <c r="S1310" s="61" t="n"/>
      <c r="T1310" s="61" t="n"/>
      <c r="U1310" s="53">
        <f>IF(A1310="","",IF(IFERROR(VLOOKUP(D1310,Parameter!$A$35:$C$64,2,0),"Nein")="2+3",IF(ISNUMBER(SEARCH("grosser Artikel",BJ1310)),2,IFERROR(VLOOKUP(BM1310,Parameter!$F$35:$G$64,2,0),2)),IF(OR(IFERROR(VLOOKUP(D1310,Parameter!$A$35:$C$64,2,0),"Nein")="Nein",IFERROR(VLOOKUP(D1310,Parameter!$A$35:$C$64,2,0),"Nein")=""),"-",VLOOKUP(D1310,Parameter!$A$35:$C$64,2,0))))</f>
        <v/>
      </c>
      <c r="V1310" s="61" t="n"/>
      <c r="W1310" s="62" t="n"/>
      <c r="X1310" s="55">
        <f>AM1310</f>
        <v/>
      </c>
      <c r="Y1310" s="55">
        <f>MAX(AM1310,G1310)</f>
        <v/>
      </c>
      <c r="Z1310" s="63" t="n"/>
      <c r="AA1310" s="55">
        <f>IF(LEFT(Cockpit!$C$5,1)="A",G1310,IF(BT1310=1,BU1310,IF(LEFT(Cockpit!$C$5,1)="B",AE1310,MAX(AE1310,G1310))))</f>
        <v/>
      </c>
      <c r="AB1310" s="55">
        <f>IF(BO1310=1,0,ROUNDUP(AA1310/BN1310,0))</f>
        <v/>
      </c>
      <c r="AC1310" s="64">
        <f>IF(BO1310=1,IF(AA1310&lt;=0,0,BP1310*MAX(1,IF(G1310&gt;0,AA1310/G1310,1))),AB1310*Q1310)</f>
        <v/>
      </c>
      <c r="AD1310" s="55">
        <f>AA1310*F1310</f>
        <v/>
      </c>
      <c r="AE1310" s="55">
        <f>ROUNDUP(MAX(I1310/IF(BS1310&gt;0,BS1310,MAX(0.1,N(Cockpit!$C$6))),BV1310)/BN1310,0)*BN1310</f>
        <v/>
      </c>
      <c r="AF1310" s="56">
        <f>IF(AC1310&gt;0,I1310/AC1310,-1)</f>
        <v/>
      </c>
      <c r="AG1310" s="56">
        <f>IF(AND(OR(BR1310="L1",BR1310="L23"),AC1310&gt;0),SUMIFS($AC$7:$AC$1570,$BR$7:$BR$1570,BR1310,$AF$7:$AF$1570,"&gt;"&amp;AF1310)+SUMIFS($AC$7:$AC$1570,$BR$7:$BR$1570,BR1310,$AF$7:$AF$1570,AF1310,$BL$7:$BL$1570,"&lt;="&amp;BL1310),"")</f>
        <v/>
      </c>
      <c r="AH1310" s="65">
        <f>IF(AG1310="",0,MAX(0,MIN(1,(IF(BR1310="L1",Parameter!$K$5,Parameter!$K$6+Parameter!$K$7)-(AG1310-AC1310))/AC1310)))</f>
        <v/>
      </c>
      <c r="AI1310" s="55">
        <f>IF(LEFT(Cockpit!$I$5,1)="A",G1310,IF(BT1310=1,BU1310,IF(LEFT(Cockpit!$I$5,1)="B",AM1310,MAX(AM1310,G1310))))</f>
        <v/>
      </c>
      <c r="AJ1310" s="55">
        <f>IF(BO1310=1,0,ROUNDUP(AI1310/BN1310,0))</f>
        <v/>
      </c>
      <c r="AK1310" s="64">
        <f>IF(BO1310=1,IF(AI1310&lt;=0,0,BP1310*MAX(1,IF(G1310&gt;0,AI1310/G1310,1))),AJ1310*Q1310)</f>
        <v/>
      </c>
      <c r="AL1310" s="55">
        <f>AI1310*F1310</f>
        <v/>
      </c>
      <c r="AM1310" s="55">
        <f>ROUNDUP(MAX(I1310/IF(BS1310&gt;0,BS1310,MAX(0.1,N(Cockpit!$I$6))),BV1310)/BN1310,0)*BN1310</f>
        <v/>
      </c>
      <c r="AN1310" s="56">
        <f>IF(AK1310&gt;0,I1310/AK1310,-1)</f>
        <v/>
      </c>
      <c r="AO1310" s="56">
        <f>IF(AND(OR(BR1310="L1",BR1310="L23"),AK1310&gt;0),SUMIFS($AK$7:$AK$1570,$BR$7:$BR$1570,BR1310,$AN$7:$AN$1570,"&gt;"&amp;AN1310)+SUMIFS($AK$7:$AK$1570,$BR$7:$BR$1570,BR1310,$AN$7:$AN$1570,AN1310,$BL$7:$BL$1570,"&lt;="&amp;BL1310),"")</f>
        <v/>
      </c>
      <c r="AP1310" s="65">
        <f>IF(AO1310="",0,MAX(0,MIN(1,(IF(BR1310="L1",Parameter!$K$5,Parameter!$K$6+Parameter!$K$7)-(AO1310-AK1310))/AK1310)))</f>
        <v/>
      </c>
      <c r="AQ1310" s="55">
        <f>IF(LEFT(Cockpit!$O$5,1)="A",G1310,IF(BT1310=1,BU1310,IF(LEFT(Cockpit!$O$5,1)="B",AU1310,MAX(AU1310,G1310))))</f>
        <v/>
      </c>
      <c r="AR1310" s="55">
        <f>IF(BO1310=1,0,ROUNDUP(AQ1310/BN1310,0))</f>
        <v/>
      </c>
      <c r="AS1310" s="64">
        <f>IF(BO1310=1,IF(AQ1310&lt;=0,0,BP1310*MAX(1,IF(G1310&gt;0,AQ1310/G1310,1))),AR1310*Q1310)</f>
        <v/>
      </c>
      <c r="AT1310" s="55">
        <f>AQ1310*F1310</f>
        <v/>
      </c>
      <c r="AU1310" s="55">
        <f>ROUNDUP(MAX(I1310/IF(BS1310&gt;0,BS1310,MAX(0.1,N(Cockpit!$O$6))),BV1310)/BN1310,0)*BN1310</f>
        <v/>
      </c>
      <c r="AV1310" s="56">
        <f>IF(AS1310&gt;0,I1310/AS1310,-1)</f>
        <v/>
      </c>
      <c r="AW1310" s="56">
        <f>IF(AND(OR(BR1310="L1",BR1310="L23"),AS1310&gt;0),SUMIFS($AS$7:$AS$1570,$BR$7:$BR$1570,BR1310,$AV$7:$AV$1570,"&gt;"&amp;AV1310)+SUMIFS($AS$7:$AS$1570,$BR$7:$BR$1570,BR1310,$AV$7:$AV$1570,AV1310,$BL$7:$BL$1570,"&lt;="&amp;BL1310),"")</f>
        <v/>
      </c>
      <c r="AX1310" s="65">
        <f>IF(AW1310="",0,MAX(0,MIN(1,(IF(BR1310="L1",Parameter!$K$5,Parameter!$K$6+Parameter!$K$7)-(AW1310-AS1310))/AS1310)))</f>
        <v/>
      </c>
      <c r="AY1310" s="53">
        <f>IF(AC1310&lt;=0,"",IF(BR1310="Aussen","Aussenlager",IF(BR1310="-","Nicht im Lift",IF(AH1310&gt;=1,"Lift",IF(AH1310&lt;=0,"Aussenlager","teilweise")))))</f>
        <v/>
      </c>
      <c r="AZ1310" s="53">
        <f>IF(AK1310&lt;=0,"",IF(BR1310="Aussen","Aussenlager",IF(BR1310="-","Nicht im Lift",IF(AP1310&gt;=1,"Lift",IF(AP1310&lt;=0,"Aussenlager","teilweise")))))</f>
        <v/>
      </c>
      <c r="BA1310" s="53">
        <f>IF(AS1310&lt;=0,"",IF(BR1310="Aussen","Aussenlager",IF(BR1310="-","Nicht im Lift",IF(AX1310&gt;=1,"Lift",IF(AX1310&lt;=0,"Aussenlager","teilweise")))))</f>
        <v/>
      </c>
      <c r="BB1310" s="53">
        <f>IF(A1310="","",IF(BK1310=1,"Neu; ","")&amp;IF(AND(BK1310=0,BF1310&lt;0),"negativer Bestand (Export "&amp;BF1310&amp;"); ","")&amp;IF(I1310&lt;=0,"Kein Verbrauch; ","")&amp;IF(BO1310=1,"Lose – Fläche geschätzt; ","")&amp;IF(G1310&gt;AM1310,"Überbestand "&amp;ROUND(G1310-AM1310,0)&amp;" Stk / CHF "&amp;ROUND((G1310-AM1310)*F1310,0)&amp;"; ","")&amp;IF(AND(BT1310=1,BU1310&lt;BV1310),"MAX &lt; MB+LG; ","")&amp;IF(AND(BZ1310&gt;0,BY1310*10&gt;BZ1310),"zu hoch für Tablar; ","")&amp;IF(AND(BK1310=0,OR(BT1310=1,V1310&lt;&gt;"",S1310&lt;&gt;"",T1310&lt;&gt;"",W1310&lt;&gt;"")),"manuell übersteuert; ","")&amp;IF(AND(BO1310=0,Q1310=0),"Gebinde unbekannt; ","")&amp;IF(AND(BO1310=0,N(T1310)&lt;=0,N(P1310)&lt;=0),"Menge pro Gebinde fehlt (Ist = 1 Gebinde); ","")&amp;BJ1310)</f>
        <v/>
      </c>
      <c r="BC1310" s="53" t="n"/>
      <c r="BD1310" s="53" t="n"/>
      <c r="BE1310" s="61" t="n"/>
      <c r="BF1310" s="55" t="n">
        <v>-27</v>
      </c>
      <c r="BG1310" s="55" t="n">
        <v>164</v>
      </c>
      <c r="BH1310" s="54" t="n">
        <v>-1284.93</v>
      </c>
      <c r="BI1310" s="55" t="n">
        <v>0</v>
      </c>
      <c r="BJ1310" s="53" t="inlineStr"/>
      <c r="BK1310" s="58" t="n">
        <v>0</v>
      </c>
      <c r="BL1310" s="58" t="n">
        <v>1310</v>
      </c>
      <c r="BM1310" s="53">
        <f>IF(S1310&lt;&gt;"",UPPER(TRIM(S1310)),IF(O1310="","LOSE",O1310))</f>
        <v/>
      </c>
      <c r="BN1310" s="55">
        <f>IF(BM1310="LOSE",1,IF(N(T1310)&gt;0,T1310,IF(N(P1310)&gt;0,P1310,MAX(1,G1310))))</f>
        <v/>
      </c>
      <c r="BO1310" s="58">
        <f>IF(BM1310="LOSE",1,0)</f>
        <v/>
      </c>
      <c r="BP1310" s="64">
        <f>IF(BO1310=0,0,IF(N(R1310)&gt;0,R1310,IFERROR(VLOOKUP(D1310,Parameter!$A$35:$C$64,3,0)+0,0)))</f>
        <v/>
      </c>
      <c r="BQ1310" s="53">
        <f>IF(V1310&lt;&gt;"",V1310,U1310)</f>
        <v/>
      </c>
      <c r="BR1310" s="53">
        <f>IF(BQ1310=1,"L1",IF(OR(BQ1310=2,BQ1310=3),"L23",IF(BQ1310="Aussen","Aussen","-")))</f>
        <v/>
      </c>
      <c r="BS1310" s="66">
        <f>IF(N(W1310)&gt;0,W1310,0)</f>
        <v/>
      </c>
      <c r="BT1310" s="58">
        <f>IF(ISNUMBER(Z1310),1,0)</f>
        <v/>
      </c>
      <c r="BU1310" s="55">
        <f>N(Z1310)</f>
        <v/>
      </c>
      <c r="BV1310" s="55">
        <f>N(L1310)+N(M1310)</f>
        <v/>
      </c>
      <c r="BW1310" s="55">
        <f>ROUNDUP(G1310/BN1310,0)</f>
        <v/>
      </c>
      <c r="BX1310" s="55">
        <f>ROUNDUP(BU1310/BN1310,0)</f>
        <v/>
      </c>
      <c r="BY1310" s="58">
        <f>IF(BO1310=1,0,IFERROR(VLOOKUP(BM1310,'Gebinde-Kategorie'!$A$5:$G$45,5,0)+0,0))</f>
        <v/>
      </c>
      <c r="BZ1310" s="58">
        <f>IFERROR(IF(OR(BQ1310=1,BQ1310=2,BQ1310=3),N(INDEX(Parameter!$I$5:$I$7,BQ1310)),0),0)</f>
        <v/>
      </c>
    </row>
    <row r="1311">
      <c r="A1311" s="53" t="inlineStr">
        <is>
          <t>109324</t>
        </is>
      </c>
      <c r="B1311" s="53" t="inlineStr">
        <is>
          <t>Set bedruckte Einlagen SPGr16 SVC 2</t>
        </is>
      </c>
      <c r="C1311" s="53" t="inlineStr">
        <is>
          <t>G</t>
        </is>
      </c>
      <c r="D1311" s="53" t="inlineStr">
        <is>
          <t>PAL</t>
        </is>
      </c>
      <c r="E1311" s="53" t="inlineStr">
        <is>
          <t>C</t>
        </is>
      </c>
      <c r="F1311" s="54" t="n">
        <v>65</v>
      </c>
      <c r="G1311" s="55">
        <f>MAX(0,IF(Parameter!$B$20="Jahresanfang 2025 + Export",BG1311+BF1311,BF1311))</f>
        <v/>
      </c>
      <c r="H1311" s="55">
        <f>G1311*F1311</f>
        <v/>
      </c>
      <c r="I1311" s="55">
        <f>BI1311*Parameter!$B$18</f>
        <v/>
      </c>
      <c r="J1311" s="56" t="n">
        <v>10</v>
      </c>
      <c r="K1311" s="57" t="n">
        <v>0</v>
      </c>
      <c r="L1311" s="55" t="n">
        <v>0</v>
      </c>
      <c r="M1311" s="55" t="n">
        <v>1</v>
      </c>
      <c r="N1311" s="58" t="n">
        <v>56</v>
      </c>
      <c r="O1311" s="53" t="inlineStr">
        <is>
          <t>LOSE</t>
        </is>
      </c>
      <c r="P1311" s="55" t="n"/>
      <c r="Q1311" s="59">
        <f>IF(BO1311=1,0,IFERROR(VLOOKUP(BM1311,'Gebinde-Kategorie'!$A$5:$G$45,6,0)+0,0))</f>
        <v/>
      </c>
      <c r="R1311" s="60" t="n"/>
      <c r="S1311" s="61" t="n"/>
      <c r="T1311" s="61" t="n"/>
      <c r="U1311" s="53">
        <f>IF(A1311="","",IF(IFERROR(VLOOKUP(D1311,Parameter!$A$35:$C$64,2,0),"Nein")="2+3",IF(ISNUMBER(SEARCH("grosser Artikel",BJ1311)),2,IFERROR(VLOOKUP(BM1311,Parameter!$F$35:$G$64,2,0),2)),IF(OR(IFERROR(VLOOKUP(D1311,Parameter!$A$35:$C$64,2,0),"Nein")="Nein",IFERROR(VLOOKUP(D1311,Parameter!$A$35:$C$64,2,0),"Nein")=""),"-",VLOOKUP(D1311,Parameter!$A$35:$C$64,2,0))))</f>
        <v/>
      </c>
      <c r="V1311" s="61" t="n"/>
      <c r="W1311" s="62" t="n"/>
      <c r="X1311" s="55">
        <f>AM1311</f>
        <v/>
      </c>
      <c r="Y1311" s="55">
        <f>MAX(AM1311,G1311)</f>
        <v/>
      </c>
      <c r="Z1311" s="63" t="n"/>
      <c r="AA1311" s="55">
        <f>IF(LEFT(Cockpit!$C$5,1)="A",G1311,IF(BT1311=1,BU1311,IF(LEFT(Cockpit!$C$5,1)="B",AE1311,MAX(AE1311,G1311))))</f>
        <v/>
      </c>
      <c r="AB1311" s="55">
        <f>IF(BO1311=1,0,ROUNDUP(AA1311/BN1311,0))</f>
        <v/>
      </c>
      <c r="AC1311" s="64">
        <f>IF(BO1311=1,IF(AA1311&lt;=0,0,BP1311*MAX(1,IF(G1311&gt;0,AA1311/G1311,1))),AB1311*Q1311)</f>
        <v/>
      </c>
      <c r="AD1311" s="55">
        <f>AA1311*F1311</f>
        <v/>
      </c>
      <c r="AE1311" s="55">
        <f>ROUNDUP(MAX(I1311/IF(BS1311&gt;0,BS1311,MAX(0.1,N(Cockpit!$C$6))),BV1311)/BN1311,0)*BN1311</f>
        <v/>
      </c>
      <c r="AF1311" s="56">
        <f>IF(AC1311&gt;0,I1311/AC1311,-1)</f>
        <v/>
      </c>
      <c r="AG1311" s="56">
        <f>IF(AND(OR(BR1311="L1",BR1311="L23"),AC1311&gt;0),SUMIFS($AC$7:$AC$1570,$BR$7:$BR$1570,BR1311,$AF$7:$AF$1570,"&gt;"&amp;AF1311)+SUMIFS($AC$7:$AC$1570,$BR$7:$BR$1570,BR1311,$AF$7:$AF$1570,AF1311,$BL$7:$BL$1570,"&lt;="&amp;BL1311),"")</f>
        <v/>
      </c>
      <c r="AH1311" s="65">
        <f>IF(AG1311="",0,MAX(0,MIN(1,(IF(BR1311="L1",Parameter!$K$5,Parameter!$K$6+Parameter!$K$7)-(AG1311-AC1311))/AC1311)))</f>
        <v/>
      </c>
      <c r="AI1311" s="55">
        <f>IF(LEFT(Cockpit!$I$5,1)="A",G1311,IF(BT1311=1,BU1311,IF(LEFT(Cockpit!$I$5,1)="B",AM1311,MAX(AM1311,G1311))))</f>
        <v/>
      </c>
      <c r="AJ1311" s="55">
        <f>IF(BO1311=1,0,ROUNDUP(AI1311/BN1311,0))</f>
        <v/>
      </c>
      <c r="AK1311" s="64">
        <f>IF(BO1311=1,IF(AI1311&lt;=0,0,BP1311*MAX(1,IF(G1311&gt;0,AI1311/G1311,1))),AJ1311*Q1311)</f>
        <v/>
      </c>
      <c r="AL1311" s="55">
        <f>AI1311*F1311</f>
        <v/>
      </c>
      <c r="AM1311" s="55">
        <f>ROUNDUP(MAX(I1311/IF(BS1311&gt;0,BS1311,MAX(0.1,N(Cockpit!$I$6))),BV1311)/BN1311,0)*BN1311</f>
        <v/>
      </c>
      <c r="AN1311" s="56">
        <f>IF(AK1311&gt;0,I1311/AK1311,-1)</f>
        <v/>
      </c>
      <c r="AO1311" s="56">
        <f>IF(AND(OR(BR1311="L1",BR1311="L23"),AK1311&gt;0),SUMIFS($AK$7:$AK$1570,$BR$7:$BR$1570,BR1311,$AN$7:$AN$1570,"&gt;"&amp;AN1311)+SUMIFS($AK$7:$AK$1570,$BR$7:$BR$1570,BR1311,$AN$7:$AN$1570,AN1311,$BL$7:$BL$1570,"&lt;="&amp;BL1311),"")</f>
        <v/>
      </c>
      <c r="AP1311" s="65">
        <f>IF(AO1311="",0,MAX(0,MIN(1,(IF(BR1311="L1",Parameter!$K$5,Parameter!$K$6+Parameter!$K$7)-(AO1311-AK1311))/AK1311)))</f>
        <v/>
      </c>
      <c r="AQ1311" s="55">
        <f>IF(LEFT(Cockpit!$O$5,1)="A",G1311,IF(BT1311=1,BU1311,IF(LEFT(Cockpit!$O$5,1)="B",AU1311,MAX(AU1311,G1311))))</f>
        <v/>
      </c>
      <c r="AR1311" s="55">
        <f>IF(BO1311=1,0,ROUNDUP(AQ1311/BN1311,0))</f>
        <v/>
      </c>
      <c r="AS1311" s="64">
        <f>IF(BO1311=1,IF(AQ1311&lt;=0,0,BP1311*MAX(1,IF(G1311&gt;0,AQ1311/G1311,1))),AR1311*Q1311)</f>
        <v/>
      </c>
      <c r="AT1311" s="55">
        <f>AQ1311*F1311</f>
        <v/>
      </c>
      <c r="AU1311" s="55">
        <f>ROUNDUP(MAX(I1311/IF(BS1311&gt;0,BS1311,MAX(0.1,N(Cockpit!$O$6))),BV1311)/BN1311,0)*BN1311</f>
        <v/>
      </c>
      <c r="AV1311" s="56">
        <f>IF(AS1311&gt;0,I1311/AS1311,-1)</f>
        <v/>
      </c>
      <c r="AW1311" s="56">
        <f>IF(AND(OR(BR1311="L1",BR1311="L23"),AS1311&gt;0),SUMIFS($AS$7:$AS$1570,$BR$7:$BR$1570,BR1311,$AV$7:$AV$1570,"&gt;"&amp;AV1311)+SUMIFS($AS$7:$AS$1570,$BR$7:$BR$1570,BR1311,$AV$7:$AV$1570,AV1311,$BL$7:$BL$1570,"&lt;="&amp;BL1311),"")</f>
        <v/>
      </c>
      <c r="AX1311" s="65">
        <f>IF(AW1311="",0,MAX(0,MIN(1,(IF(BR1311="L1",Parameter!$K$5,Parameter!$K$6+Parameter!$K$7)-(AW1311-AS1311))/AS1311)))</f>
        <v/>
      </c>
      <c r="AY1311" s="53">
        <f>IF(AC1311&lt;=0,"",IF(BR1311="Aussen","Aussenlager",IF(BR1311="-","Nicht im Lift",IF(AH1311&gt;=1,"Lift",IF(AH1311&lt;=0,"Aussenlager","teilweise")))))</f>
        <v/>
      </c>
      <c r="AZ1311" s="53">
        <f>IF(AK1311&lt;=0,"",IF(BR1311="Aussen","Aussenlager",IF(BR1311="-","Nicht im Lift",IF(AP1311&gt;=1,"Lift",IF(AP1311&lt;=0,"Aussenlager","teilweise")))))</f>
        <v/>
      </c>
      <c r="BA1311" s="53">
        <f>IF(AS1311&lt;=0,"",IF(BR1311="Aussen","Aussenlager",IF(BR1311="-","Nicht im Lift",IF(AX1311&gt;=1,"Lift",IF(AX1311&lt;=0,"Aussenlager","teilweise")))))</f>
        <v/>
      </c>
      <c r="BB1311" s="53">
        <f>IF(A1311="","",IF(BK1311=1,"Neu; ","")&amp;IF(AND(BK1311=0,BF1311&lt;0),"negativer Bestand (Export "&amp;BF1311&amp;"); ","")&amp;IF(I1311&lt;=0,"Kein Verbrauch; ","")&amp;IF(BO1311=1,"Lose – Fläche geschätzt; ","")&amp;IF(G1311&gt;AM1311,"Überbestand "&amp;ROUND(G1311-AM1311,0)&amp;" Stk / CHF "&amp;ROUND((G1311-AM1311)*F1311,0)&amp;"; ","")&amp;IF(AND(BT1311=1,BU1311&lt;BV1311),"MAX &lt; MB+LG; ","")&amp;IF(AND(BZ1311&gt;0,BY1311*10&gt;BZ1311),"zu hoch für Tablar; ","")&amp;IF(AND(BK1311=0,OR(BT1311=1,V1311&lt;&gt;"",S1311&lt;&gt;"",T1311&lt;&gt;"",W1311&lt;&gt;"")),"manuell übersteuert; ","")&amp;IF(AND(BO1311=0,Q1311=0),"Gebinde unbekannt; ","")&amp;IF(AND(BO1311=0,N(T1311)&lt;=0,N(P1311)&lt;=0),"Menge pro Gebinde fehlt (Ist = 1 Gebinde); ","")&amp;BJ1311)</f>
        <v/>
      </c>
      <c r="BC1311" s="53" t="n"/>
      <c r="BD1311" s="53" t="n"/>
      <c r="BE1311" s="61" t="n"/>
      <c r="BF1311" s="55" t="n">
        <v>-20</v>
      </c>
      <c r="BG1311" s="55" t="n">
        <v>20</v>
      </c>
      <c r="BH1311" s="54" t="n">
        <v>-1300</v>
      </c>
      <c r="BI1311" s="55" t="n">
        <v>0</v>
      </c>
      <c r="BJ1311" s="53" t="inlineStr"/>
      <c r="BK1311" s="58" t="n">
        <v>0</v>
      </c>
      <c r="BL1311" s="58" t="n">
        <v>1311</v>
      </c>
      <c r="BM1311" s="53">
        <f>IF(S1311&lt;&gt;"",UPPER(TRIM(S1311)),IF(O1311="","LOSE",O1311))</f>
        <v/>
      </c>
      <c r="BN1311" s="55">
        <f>IF(BM1311="LOSE",1,IF(N(T1311)&gt;0,T1311,IF(N(P1311)&gt;0,P1311,MAX(1,G1311))))</f>
        <v/>
      </c>
      <c r="BO1311" s="58">
        <f>IF(BM1311="LOSE",1,0)</f>
        <v/>
      </c>
      <c r="BP1311" s="64">
        <f>IF(BO1311=0,0,IF(N(R1311)&gt;0,R1311,IFERROR(VLOOKUP(D1311,Parameter!$A$35:$C$64,3,0)+0,0)))</f>
        <v/>
      </c>
      <c r="BQ1311" s="53">
        <f>IF(V1311&lt;&gt;"",V1311,U1311)</f>
        <v/>
      </c>
      <c r="BR1311" s="53">
        <f>IF(BQ1311=1,"L1",IF(OR(BQ1311=2,BQ1311=3),"L23",IF(BQ1311="Aussen","Aussen","-")))</f>
        <v/>
      </c>
      <c r="BS1311" s="66">
        <f>IF(N(W1311)&gt;0,W1311,0)</f>
        <v/>
      </c>
      <c r="BT1311" s="58">
        <f>IF(ISNUMBER(Z1311),1,0)</f>
        <v/>
      </c>
      <c r="BU1311" s="55">
        <f>N(Z1311)</f>
        <v/>
      </c>
      <c r="BV1311" s="55">
        <f>N(L1311)+N(M1311)</f>
        <v/>
      </c>
      <c r="BW1311" s="55">
        <f>ROUNDUP(G1311/BN1311,0)</f>
        <v/>
      </c>
      <c r="BX1311" s="55">
        <f>ROUNDUP(BU1311/BN1311,0)</f>
        <v/>
      </c>
      <c r="BY1311" s="58">
        <f>IF(BO1311=1,0,IFERROR(VLOOKUP(BM1311,'Gebinde-Kategorie'!$A$5:$G$45,5,0)+0,0))</f>
        <v/>
      </c>
      <c r="BZ1311" s="58">
        <f>IFERROR(IF(OR(BQ1311=1,BQ1311=2,BQ1311=3),N(INDEX(Parameter!$I$5:$I$7,BQ1311)),0),0)</f>
        <v/>
      </c>
    </row>
    <row r="1312">
      <c r="A1312" s="53" t="inlineStr">
        <is>
          <t>109322</t>
        </is>
      </c>
      <c r="B1312" s="53" t="inlineStr">
        <is>
          <t>Set bedruckte Einlagen SPGr10 SVC 2</t>
        </is>
      </c>
      <c r="C1312" s="53" t="inlineStr">
        <is>
          <t>G</t>
        </is>
      </c>
      <c r="D1312" s="53" t="inlineStr">
        <is>
          <t>PAL</t>
        </is>
      </c>
      <c r="E1312" s="53" t="inlineStr">
        <is>
          <t>C</t>
        </is>
      </c>
      <c r="F1312" s="54" t="n">
        <v>65</v>
      </c>
      <c r="G1312" s="55">
        <f>MAX(0,IF(Parameter!$B$20="Jahresanfang 2025 + Export",BG1312+BF1312,BF1312))</f>
        <v/>
      </c>
      <c r="H1312" s="55">
        <f>G1312*F1312</f>
        <v/>
      </c>
      <c r="I1312" s="55">
        <f>BI1312*Parameter!$B$18</f>
        <v/>
      </c>
      <c r="J1312" s="56" t="n">
        <v>10</v>
      </c>
      <c r="K1312" s="57" t="n">
        <v>0</v>
      </c>
      <c r="L1312" s="55" t="n">
        <v>0</v>
      </c>
      <c r="M1312" s="55" t="n">
        <v>1</v>
      </c>
      <c r="N1312" s="58" t="n">
        <v>56</v>
      </c>
      <c r="O1312" s="53" t="inlineStr">
        <is>
          <t>LOSE</t>
        </is>
      </c>
      <c r="P1312" s="55" t="n"/>
      <c r="Q1312" s="59">
        <f>IF(BO1312=1,0,IFERROR(VLOOKUP(BM1312,'Gebinde-Kategorie'!$A$5:$G$45,6,0)+0,0))</f>
        <v/>
      </c>
      <c r="R1312" s="60" t="n"/>
      <c r="S1312" s="61" t="n"/>
      <c r="T1312" s="61" t="n"/>
      <c r="U1312" s="53">
        <f>IF(A1312="","",IF(IFERROR(VLOOKUP(D1312,Parameter!$A$35:$C$64,2,0),"Nein")="2+3",IF(ISNUMBER(SEARCH("grosser Artikel",BJ1312)),2,IFERROR(VLOOKUP(BM1312,Parameter!$F$35:$G$64,2,0),2)),IF(OR(IFERROR(VLOOKUP(D1312,Parameter!$A$35:$C$64,2,0),"Nein")="Nein",IFERROR(VLOOKUP(D1312,Parameter!$A$35:$C$64,2,0),"Nein")=""),"-",VLOOKUP(D1312,Parameter!$A$35:$C$64,2,0))))</f>
        <v/>
      </c>
      <c r="V1312" s="61" t="n"/>
      <c r="W1312" s="62" t="n"/>
      <c r="X1312" s="55">
        <f>AM1312</f>
        <v/>
      </c>
      <c r="Y1312" s="55">
        <f>MAX(AM1312,G1312)</f>
        <v/>
      </c>
      <c r="Z1312" s="63" t="n"/>
      <c r="AA1312" s="55">
        <f>IF(LEFT(Cockpit!$C$5,1)="A",G1312,IF(BT1312=1,BU1312,IF(LEFT(Cockpit!$C$5,1)="B",AE1312,MAX(AE1312,G1312))))</f>
        <v/>
      </c>
      <c r="AB1312" s="55">
        <f>IF(BO1312=1,0,ROUNDUP(AA1312/BN1312,0))</f>
        <v/>
      </c>
      <c r="AC1312" s="64">
        <f>IF(BO1312=1,IF(AA1312&lt;=0,0,BP1312*MAX(1,IF(G1312&gt;0,AA1312/G1312,1))),AB1312*Q1312)</f>
        <v/>
      </c>
      <c r="AD1312" s="55">
        <f>AA1312*F1312</f>
        <v/>
      </c>
      <c r="AE1312" s="55">
        <f>ROUNDUP(MAX(I1312/IF(BS1312&gt;0,BS1312,MAX(0.1,N(Cockpit!$C$6))),BV1312)/BN1312,0)*BN1312</f>
        <v/>
      </c>
      <c r="AF1312" s="56">
        <f>IF(AC1312&gt;0,I1312/AC1312,-1)</f>
        <v/>
      </c>
      <c r="AG1312" s="56">
        <f>IF(AND(OR(BR1312="L1",BR1312="L23"),AC1312&gt;0),SUMIFS($AC$7:$AC$1570,$BR$7:$BR$1570,BR1312,$AF$7:$AF$1570,"&gt;"&amp;AF1312)+SUMIFS($AC$7:$AC$1570,$BR$7:$BR$1570,BR1312,$AF$7:$AF$1570,AF1312,$BL$7:$BL$1570,"&lt;="&amp;BL1312),"")</f>
        <v/>
      </c>
      <c r="AH1312" s="65">
        <f>IF(AG1312="",0,MAX(0,MIN(1,(IF(BR1312="L1",Parameter!$K$5,Parameter!$K$6+Parameter!$K$7)-(AG1312-AC1312))/AC1312)))</f>
        <v/>
      </c>
      <c r="AI1312" s="55">
        <f>IF(LEFT(Cockpit!$I$5,1)="A",G1312,IF(BT1312=1,BU1312,IF(LEFT(Cockpit!$I$5,1)="B",AM1312,MAX(AM1312,G1312))))</f>
        <v/>
      </c>
      <c r="AJ1312" s="55">
        <f>IF(BO1312=1,0,ROUNDUP(AI1312/BN1312,0))</f>
        <v/>
      </c>
      <c r="AK1312" s="64">
        <f>IF(BO1312=1,IF(AI1312&lt;=0,0,BP1312*MAX(1,IF(G1312&gt;0,AI1312/G1312,1))),AJ1312*Q1312)</f>
        <v/>
      </c>
      <c r="AL1312" s="55">
        <f>AI1312*F1312</f>
        <v/>
      </c>
      <c r="AM1312" s="55">
        <f>ROUNDUP(MAX(I1312/IF(BS1312&gt;0,BS1312,MAX(0.1,N(Cockpit!$I$6))),BV1312)/BN1312,0)*BN1312</f>
        <v/>
      </c>
      <c r="AN1312" s="56">
        <f>IF(AK1312&gt;0,I1312/AK1312,-1)</f>
        <v/>
      </c>
      <c r="AO1312" s="56">
        <f>IF(AND(OR(BR1312="L1",BR1312="L23"),AK1312&gt;0),SUMIFS($AK$7:$AK$1570,$BR$7:$BR$1570,BR1312,$AN$7:$AN$1570,"&gt;"&amp;AN1312)+SUMIFS($AK$7:$AK$1570,$BR$7:$BR$1570,BR1312,$AN$7:$AN$1570,AN1312,$BL$7:$BL$1570,"&lt;="&amp;BL1312),"")</f>
        <v/>
      </c>
      <c r="AP1312" s="65">
        <f>IF(AO1312="",0,MAX(0,MIN(1,(IF(BR1312="L1",Parameter!$K$5,Parameter!$K$6+Parameter!$K$7)-(AO1312-AK1312))/AK1312)))</f>
        <v/>
      </c>
      <c r="AQ1312" s="55">
        <f>IF(LEFT(Cockpit!$O$5,1)="A",G1312,IF(BT1312=1,BU1312,IF(LEFT(Cockpit!$O$5,1)="B",AU1312,MAX(AU1312,G1312))))</f>
        <v/>
      </c>
      <c r="AR1312" s="55">
        <f>IF(BO1312=1,0,ROUNDUP(AQ1312/BN1312,0))</f>
        <v/>
      </c>
      <c r="AS1312" s="64">
        <f>IF(BO1312=1,IF(AQ1312&lt;=0,0,BP1312*MAX(1,IF(G1312&gt;0,AQ1312/G1312,1))),AR1312*Q1312)</f>
        <v/>
      </c>
      <c r="AT1312" s="55">
        <f>AQ1312*F1312</f>
        <v/>
      </c>
      <c r="AU1312" s="55">
        <f>ROUNDUP(MAX(I1312/IF(BS1312&gt;0,BS1312,MAX(0.1,N(Cockpit!$O$6))),BV1312)/BN1312,0)*BN1312</f>
        <v/>
      </c>
      <c r="AV1312" s="56">
        <f>IF(AS1312&gt;0,I1312/AS1312,-1)</f>
        <v/>
      </c>
      <c r="AW1312" s="56">
        <f>IF(AND(OR(BR1312="L1",BR1312="L23"),AS1312&gt;0),SUMIFS($AS$7:$AS$1570,$BR$7:$BR$1570,BR1312,$AV$7:$AV$1570,"&gt;"&amp;AV1312)+SUMIFS($AS$7:$AS$1570,$BR$7:$BR$1570,BR1312,$AV$7:$AV$1570,AV1312,$BL$7:$BL$1570,"&lt;="&amp;BL1312),"")</f>
        <v/>
      </c>
      <c r="AX1312" s="65">
        <f>IF(AW1312="",0,MAX(0,MIN(1,(IF(BR1312="L1",Parameter!$K$5,Parameter!$K$6+Parameter!$K$7)-(AW1312-AS1312))/AS1312)))</f>
        <v/>
      </c>
      <c r="AY1312" s="53">
        <f>IF(AC1312&lt;=0,"",IF(BR1312="Aussen","Aussenlager",IF(BR1312="-","Nicht im Lift",IF(AH1312&gt;=1,"Lift",IF(AH1312&lt;=0,"Aussenlager","teilweise")))))</f>
        <v/>
      </c>
      <c r="AZ1312" s="53">
        <f>IF(AK1312&lt;=0,"",IF(BR1312="Aussen","Aussenlager",IF(BR1312="-","Nicht im Lift",IF(AP1312&gt;=1,"Lift",IF(AP1312&lt;=0,"Aussenlager","teilweise")))))</f>
        <v/>
      </c>
      <c r="BA1312" s="53">
        <f>IF(AS1312&lt;=0,"",IF(BR1312="Aussen","Aussenlager",IF(BR1312="-","Nicht im Lift",IF(AX1312&gt;=1,"Lift",IF(AX1312&lt;=0,"Aussenlager","teilweise")))))</f>
        <v/>
      </c>
      <c r="BB1312" s="53">
        <f>IF(A1312="","",IF(BK1312=1,"Neu; ","")&amp;IF(AND(BK1312=0,BF1312&lt;0),"negativer Bestand (Export "&amp;BF1312&amp;"); ","")&amp;IF(I1312&lt;=0,"Kein Verbrauch; ","")&amp;IF(BO1312=1,"Lose – Fläche geschätzt; ","")&amp;IF(G1312&gt;AM1312,"Überbestand "&amp;ROUND(G1312-AM1312,0)&amp;" Stk / CHF "&amp;ROUND((G1312-AM1312)*F1312,0)&amp;"; ","")&amp;IF(AND(BT1312=1,BU1312&lt;BV1312),"MAX &lt; MB+LG; ","")&amp;IF(AND(BZ1312&gt;0,BY1312*10&gt;BZ1312),"zu hoch für Tablar; ","")&amp;IF(AND(BK1312=0,OR(BT1312=1,V1312&lt;&gt;"",S1312&lt;&gt;"",T1312&lt;&gt;"",W1312&lt;&gt;"")),"manuell übersteuert; ","")&amp;IF(AND(BO1312=0,Q1312=0),"Gebinde unbekannt; ","")&amp;IF(AND(BO1312=0,N(T1312)&lt;=0,N(P1312)&lt;=0),"Menge pro Gebinde fehlt (Ist = 1 Gebinde); ","")&amp;BJ1312)</f>
        <v/>
      </c>
      <c r="BC1312" s="53" t="n"/>
      <c r="BD1312" s="53" t="n"/>
      <c r="BE1312" s="61" t="n"/>
      <c r="BF1312" s="55" t="n">
        <v>-20</v>
      </c>
      <c r="BG1312" s="55" t="n">
        <v>20</v>
      </c>
      <c r="BH1312" s="54" t="n">
        <v>-1300</v>
      </c>
      <c r="BI1312" s="55" t="n">
        <v>0</v>
      </c>
      <c r="BJ1312" s="53" t="inlineStr"/>
      <c r="BK1312" s="58" t="n">
        <v>0</v>
      </c>
      <c r="BL1312" s="58" t="n">
        <v>1312</v>
      </c>
      <c r="BM1312" s="53">
        <f>IF(S1312&lt;&gt;"",UPPER(TRIM(S1312)),IF(O1312="","LOSE",O1312))</f>
        <v/>
      </c>
      <c r="BN1312" s="55">
        <f>IF(BM1312="LOSE",1,IF(N(T1312)&gt;0,T1312,IF(N(P1312)&gt;0,P1312,MAX(1,G1312))))</f>
        <v/>
      </c>
      <c r="BO1312" s="58">
        <f>IF(BM1312="LOSE",1,0)</f>
        <v/>
      </c>
      <c r="BP1312" s="64">
        <f>IF(BO1312=0,0,IF(N(R1312)&gt;0,R1312,IFERROR(VLOOKUP(D1312,Parameter!$A$35:$C$64,3,0)+0,0)))</f>
        <v/>
      </c>
      <c r="BQ1312" s="53">
        <f>IF(V1312&lt;&gt;"",V1312,U1312)</f>
        <v/>
      </c>
      <c r="BR1312" s="53">
        <f>IF(BQ1312=1,"L1",IF(OR(BQ1312=2,BQ1312=3),"L23",IF(BQ1312="Aussen","Aussen","-")))</f>
        <v/>
      </c>
      <c r="BS1312" s="66">
        <f>IF(N(W1312)&gt;0,W1312,0)</f>
        <v/>
      </c>
      <c r="BT1312" s="58">
        <f>IF(ISNUMBER(Z1312),1,0)</f>
        <v/>
      </c>
      <c r="BU1312" s="55">
        <f>N(Z1312)</f>
        <v/>
      </c>
      <c r="BV1312" s="55">
        <f>N(L1312)+N(M1312)</f>
        <v/>
      </c>
      <c r="BW1312" s="55">
        <f>ROUNDUP(G1312/BN1312,0)</f>
        <v/>
      </c>
      <c r="BX1312" s="55">
        <f>ROUNDUP(BU1312/BN1312,0)</f>
        <v/>
      </c>
      <c r="BY1312" s="58">
        <f>IF(BO1312=1,0,IFERROR(VLOOKUP(BM1312,'Gebinde-Kategorie'!$A$5:$G$45,5,0)+0,0))</f>
        <v/>
      </c>
      <c r="BZ1312" s="58">
        <f>IFERROR(IF(OR(BQ1312=1,BQ1312=2,BQ1312=3),N(INDEX(Parameter!$I$5:$I$7,BQ1312)),0),0)</f>
        <v/>
      </c>
    </row>
    <row r="1313">
      <c r="A1313" s="53" t="inlineStr">
        <is>
          <t>OC-100396</t>
        </is>
      </c>
      <c r="B1313" s="53" t="inlineStr">
        <is>
          <t>Ventilpanel komplett, Grundpanel</t>
        </is>
      </c>
      <c r="C1313" s="53" t="inlineStr">
        <is>
          <t>F</t>
        </is>
      </c>
      <c r="D1313" s="53" t="inlineStr">
        <is>
          <t>OCC</t>
        </is>
      </c>
      <c r="E1313" s="53" t="inlineStr">
        <is>
          <t>C</t>
        </is>
      </c>
      <c r="F1313" s="54" t="n">
        <v>1309.41</v>
      </c>
      <c r="G1313" s="55">
        <f>MAX(0,IF(Parameter!$B$20="Jahresanfang 2025 + Export",BG1313+BF1313,BF1313))</f>
        <v/>
      </c>
      <c r="H1313" s="55">
        <f>G1313*F1313</f>
        <v/>
      </c>
      <c r="I1313" s="55">
        <f>BI1313*Parameter!$B$18</f>
        <v/>
      </c>
      <c r="J1313" s="56" t="n">
        <v>0.5</v>
      </c>
      <c r="K1313" s="57" t="n">
        <v>0</v>
      </c>
      <c r="L1313" s="55" t="n">
        <v>0</v>
      </c>
      <c r="M1313" s="55" t="n">
        <v>1</v>
      </c>
      <c r="N1313" s="58" t="n">
        <v>77</v>
      </c>
      <c r="O1313" s="53" t="inlineStr">
        <is>
          <t>LOSE</t>
        </is>
      </c>
      <c r="P1313" s="55" t="n"/>
      <c r="Q1313" s="59">
        <f>IF(BO1313=1,0,IFERROR(VLOOKUP(BM1313,'Gebinde-Kategorie'!$A$5:$G$45,6,0)+0,0))</f>
        <v/>
      </c>
      <c r="R1313" s="60" t="n"/>
      <c r="S1313" s="61" t="n"/>
      <c r="T1313" s="61" t="n"/>
      <c r="U1313" s="53">
        <f>IF(A1313="","",IF(IFERROR(VLOOKUP(D1313,Parameter!$A$35:$C$64,2,0),"Nein")="2+3",IF(ISNUMBER(SEARCH("grosser Artikel",BJ1313)),2,IFERROR(VLOOKUP(BM1313,Parameter!$F$35:$G$64,2,0),2)),IF(OR(IFERROR(VLOOKUP(D1313,Parameter!$A$35:$C$64,2,0),"Nein")="Nein",IFERROR(VLOOKUP(D1313,Parameter!$A$35:$C$64,2,0),"Nein")=""),"-",VLOOKUP(D1313,Parameter!$A$35:$C$64,2,0))))</f>
        <v/>
      </c>
      <c r="V1313" s="61" t="n"/>
      <c r="W1313" s="62" t="n"/>
      <c r="X1313" s="55">
        <f>AM1313</f>
        <v/>
      </c>
      <c r="Y1313" s="55">
        <f>MAX(AM1313,G1313)</f>
        <v/>
      </c>
      <c r="Z1313" s="63" t="n"/>
      <c r="AA1313" s="55">
        <f>IF(LEFT(Cockpit!$C$5,1)="A",G1313,IF(BT1313=1,BU1313,IF(LEFT(Cockpit!$C$5,1)="B",AE1313,MAX(AE1313,G1313))))</f>
        <v/>
      </c>
      <c r="AB1313" s="55">
        <f>IF(BO1313=1,0,ROUNDUP(AA1313/BN1313,0))</f>
        <v/>
      </c>
      <c r="AC1313" s="64">
        <f>IF(BO1313=1,IF(AA1313&lt;=0,0,BP1313*MAX(1,IF(G1313&gt;0,AA1313/G1313,1))),AB1313*Q1313)</f>
        <v/>
      </c>
      <c r="AD1313" s="55">
        <f>AA1313*F1313</f>
        <v/>
      </c>
      <c r="AE1313" s="55">
        <f>ROUNDUP(MAX(I1313/IF(BS1313&gt;0,BS1313,MAX(0.1,N(Cockpit!$C$6))),BV1313)/BN1313,0)*BN1313</f>
        <v/>
      </c>
      <c r="AF1313" s="56">
        <f>IF(AC1313&gt;0,I1313/AC1313,-1)</f>
        <v/>
      </c>
      <c r="AG1313" s="56">
        <f>IF(AND(OR(BR1313="L1",BR1313="L23"),AC1313&gt;0),SUMIFS($AC$7:$AC$1570,$BR$7:$BR$1570,BR1313,$AF$7:$AF$1570,"&gt;"&amp;AF1313)+SUMIFS($AC$7:$AC$1570,$BR$7:$BR$1570,BR1313,$AF$7:$AF$1570,AF1313,$BL$7:$BL$1570,"&lt;="&amp;BL1313),"")</f>
        <v/>
      </c>
      <c r="AH1313" s="65">
        <f>IF(AG1313="",0,MAX(0,MIN(1,(IF(BR1313="L1",Parameter!$K$5,Parameter!$K$6+Parameter!$K$7)-(AG1313-AC1313))/AC1313)))</f>
        <v/>
      </c>
      <c r="AI1313" s="55">
        <f>IF(LEFT(Cockpit!$I$5,1)="A",G1313,IF(BT1313=1,BU1313,IF(LEFT(Cockpit!$I$5,1)="B",AM1313,MAX(AM1313,G1313))))</f>
        <v/>
      </c>
      <c r="AJ1313" s="55">
        <f>IF(BO1313=1,0,ROUNDUP(AI1313/BN1313,0))</f>
        <v/>
      </c>
      <c r="AK1313" s="64">
        <f>IF(BO1313=1,IF(AI1313&lt;=0,0,BP1313*MAX(1,IF(G1313&gt;0,AI1313/G1313,1))),AJ1313*Q1313)</f>
        <v/>
      </c>
      <c r="AL1313" s="55">
        <f>AI1313*F1313</f>
        <v/>
      </c>
      <c r="AM1313" s="55">
        <f>ROUNDUP(MAX(I1313/IF(BS1313&gt;0,BS1313,MAX(0.1,N(Cockpit!$I$6))),BV1313)/BN1313,0)*BN1313</f>
        <v/>
      </c>
      <c r="AN1313" s="56">
        <f>IF(AK1313&gt;0,I1313/AK1313,-1)</f>
        <v/>
      </c>
      <c r="AO1313" s="56">
        <f>IF(AND(OR(BR1313="L1",BR1313="L23"),AK1313&gt;0),SUMIFS($AK$7:$AK$1570,$BR$7:$BR$1570,BR1313,$AN$7:$AN$1570,"&gt;"&amp;AN1313)+SUMIFS($AK$7:$AK$1570,$BR$7:$BR$1570,BR1313,$AN$7:$AN$1570,AN1313,$BL$7:$BL$1570,"&lt;="&amp;BL1313),"")</f>
        <v/>
      </c>
      <c r="AP1313" s="65">
        <f>IF(AO1313="",0,MAX(0,MIN(1,(IF(BR1313="L1",Parameter!$K$5,Parameter!$K$6+Parameter!$K$7)-(AO1313-AK1313))/AK1313)))</f>
        <v/>
      </c>
      <c r="AQ1313" s="55">
        <f>IF(LEFT(Cockpit!$O$5,1)="A",G1313,IF(BT1313=1,BU1313,IF(LEFT(Cockpit!$O$5,1)="B",AU1313,MAX(AU1313,G1313))))</f>
        <v/>
      </c>
      <c r="AR1313" s="55">
        <f>IF(BO1313=1,0,ROUNDUP(AQ1313/BN1313,0))</f>
        <v/>
      </c>
      <c r="AS1313" s="64">
        <f>IF(BO1313=1,IF(AQ1313&lt;=0,0,BP1313*MAX(1,IF(G1313&gt;0,AQ1313/G1313,1))),AR1313*Q1313)</f>
        <v/>
      </c>
      <c r="AT1313" s="55">
        <f>AQ1313*F1313</f>
        <v/>
      </c>
      <c r="AU1313" s="55">
        <f>ROUNDUP(MAX(I1313/IF(BS1313&gt;0,BS1313,MAX(0.1,N(Cockpit!$O$6))),BV1313)/BN1313,0)*BN1313</f>
        <v/>
      </c>
      <c r="AV1313" s="56">
        <f>IF(AS1313&gt;0,I1313/AS1313,-1)</f>
        <v/>
      </c>
      <c r="AW1313" s="56">
        <f>IF(AND(OR(BR1313="L1",BR1313="L23"),AS1313&gt;0),SUMIFS($AS$7:$AS$1570,$BR$7:$BR$1570,BR1313,$AV$7:$AV$1570,"&gt;"&amp;AV1313)+SUMIFS($AS$7:$AS$1570,$BR$7:$BR$1570,BR1313,$AV$7:$AV$1570,AV1313,$BL$7:$BL$1570,"&lt;="&amp;BL1313),"")</f>
        <v/>
      </c>
      <c r="AX1313" s="65">
        <f>IF(AW1313="",0,MAX(0,MIN(1,(IF(BR1313="L1",Parameter!$K$5,Parameter!$K$6+Parameter!$K$7)-(AW1313-AS1313))/AS1313)))</f>
        <v/>
      </c>
      <c r="AY1313" s="53">
        <f>IF(AC1313&lt;=0,"",IF(BR1313="Aussen","Aussenlager",IF(BR1313="-","Nicht im Lift",IF(AH1313&gt;=1,"Lift",IF(AH1313&lt;=0,"Aussenlager","teilweise")))))</f>
        <v/>
      </c>
      <c r="AZ1313" s="53">
        <f>IF(AK1313&lt;=0,"",IF(BR1313="Aussen","Aussenlager",IF(BR1313="-","Nicht im Lift",IF(AP1313&gt;=1,"Lift",IF(AP1313&lt;=0,"Aussenlager","teilweise")))))</f>
        <v/>
      </c>
      <c r="BA1313" s="53">
        <f>IF(AS1313&lt;=0,"",IF(BR1313="Aussen","Aussenlager",IF(BR1313="-","Nicht im Lift",IF(AX1313&gt;=1,"Lift",IF(AX1313&lt;=0,"Aussenlager","teilweise")))))</f>
        <v/>
      </c>
      <c r="BB1313" s="53">
        <f>IF(A1313="","",IF(BK1313=1,"Neu; ","")&amp;IF(AND(BK1313=0,BF1313&lt;0),"negativer Bestand (Export "&amp;BF1313&amp;"); ","")&amp;IF(I1313&lt;=0,"Kein Verbrauch; ","")&amp;IF(BO1313=1,"Lose – Fläche geschätzt; ","")&amp;IF(G1313&gt;AM1313,"Überbestand "&amp;ROUND(G1313-AM1313,0)&amp;" Stk / CHF "&amp;ROUND((G1313-AM1313)*F1313,0)&amp;"; ","")&amp;IF(AND(BT1313=1,BU1313&lt;BV1313),"MAX &lt; MB+LG; ","")&amp;IF(AND(BZ1313&gt;0,BY1313*10&gt;BZ1313),"zu hoch für Tablar; ","")&amp;IF(AND(BK1313=0,OR(BT1313=1,V1313&lt;&gt;"",S1313&lt;&gt;"",T1313&lt;&gt;"",W1313&lt;&gt;"")),"manuell übersteuert; ","")&amp;IF(AND(BO1313=0,Q1313=0),"Gebinde unbekannt; ","")&amp;IF(AND(BO1313=0,N(T1313)&lt;=0,N(P1313)&lt;=0),"Menge pro Gebinde fehlt (Ist = 1 Gebinde); ","")&amp;BJ1313)</f>
        <v/>
      </c>
      <c r="BC1313" s="53" t="n"/>
      <c r="BD1313" s="53" t="n"/>
      <c r="BE1313" s="61" t="n"/>
      <c r="BF1313" s="55" t="n">
        <v>-1</v>
      </c>
      <c r="BG1313" s="55" t="n">
        <v>1</v>
      </c>
      <c r="BH1313" s="54" t="n">
        <v>-1309.41</v>
      </c>
      <c r="BI1313" s="55" t="n">
        <v>0</v>
      </c>
      <c r="BJ1313" s="53" t="inlineStr"/>
      <c r="BK1313" s="58" t="n">
        <v>0</v>
      </c>
      <c r="BL1313" s="58" t="n">
        <v>1313</v>
      </c>
      <c r="BM1313" s="53">
        <f>IF(S1313&lt;&gt;"",UPPER(TRIM(S1313)),IF(O1313="","LOSE",O1313))</f>
        <v/>
      </c>
      <c r="BN1313" s="55">
        <f>IF(BM1313="LOSE",1,IF(N(T1313)&gt;0,T1313,IF(N(P1313)&gt;0,P1313,MAX(1,G1313))))</f>
        <v/>
      </c>
      <c r="BO1313" s="58">
        <f>IF(BM1313="LOSE",1,0)</f>
        <v/>
      </c>
      <c r="BP1313" s="64">
        <f>IF(BO1313=0,0,IF(N(R1313)&gt;0,R1313,IFERROR(VLOOKUP(D1313,Parameter!$A$35:$C$64,3,0)+0,0)))</f>
        <v/>
      </c>
      <c r="BQ1313" s="53">
        <f>IF(V1313&lt;&gt;"",V1313,U1313)</f>
        <v/>
      </c>
      <c r="BR1313" s="53">
        <f>IF(BQ1313=1,"L1",IF(OR(BQ1313=2,BQ1313=3),"L23",IF(BQ1313="Aussen","Aussen","-")))</f>
        <v/>
      </c>
      <c r="BS1313" s="66">
        <f>IF(N(W1313)&gt;0,W1313,0)</f>
        <v/>
      </c>
      <c r="BT1313" s="58">
        <f>IF(ISNUMBER(Z1313),1,0)</f>
        <v/>
      </c>
      <c r="BU1313" s="55">
        <f>N(Z1313)</f>
        <v/>
      </c>
      <c r="BV1313" s="55">
        <f>N(L1313)+N(M1313)</f>
        <v/>
      </c>
      <c r="BW1313" s="55">
        <f>ROUNDUP(G1313/BN1313,0)</f>
        <v/>
      </c>
      <c r="BX1313" s="55">
        <f>ROUNDUP(BU1313/BN1313,0)</f>
        <v/>
      </c>
      <c r="BY1313" s="58">
        <f>IF(BO1313=1,0,IFERROR(VLOOKUP(BM1313,'Gebinde-Kategorie'!$A$5:$G$45,5,0)+0,0))</f>
        <v/>
      </c>
      <c r="BZ1313" s="58">
        <f>IFERROR(IF(OR(BQ1313=1,BQ1313=2,BQ1313=3),N(INDEX(Parameter!$I$5:$I$7,BQ1313)),0),0)</f>
        <v/>
      </c>
    </row>
    <row r="1314">
      <c r="A1314" s="53" t="inlineStr">
        <is>
          <t>110023</t>
        </is>
      </c>
      <c r="B1314" s="53" t="inlineStr">
        <is>
          <t>Kugelschreiber</t>
        </is>
      </c>
      <c r="C1314" s="53" t="inlineStr">
        <is>
          <t>F</t>
        </is>
      </c>
      <c r="D1314" s="53" t="inlineStr">
        <is>
          <t>KTL</t>
        </is>
      </c>
      <c r="E1314" s="53" t="inlineStr">
        <is>
          <t>C</t>
        </is>
      </c>
      <c r="F1314" s="54" t="n">
        <v>1.9</v>
      </c>
      <c r="G1314" s="55">
        <f>MAX(0,IF(Parameter!$B$20="Jahresanfang 2025 + Export",BG1314+BF1314,BF1314))</f>
        <v/>
      </c>
      <c r="H1314" s="55">
        <f>G1314*F1314</f>
        <v/>
      </c>
      <c r="I1314" s="55">
        <f>BI1314*Parameter!$B$18</f>
        <v/>
      </c>
      <c r="J1314" s="56" t="n">
        <v>708</v>
      </c>
      <c r="K1314" s="57" t="n">
        <v>0.4519774011299435</v>
      </c>
      <c r="L1314" s="55" t="n">
        <v>49</v>
      </c>
      <c r="M1314" s="55" t="n">
        <v>320</v>
      </c>
      <c r="N1314" s="58" t="n">
        <v>56</v>
      </c>
      <c r="O1314" s="53" t="inlineStr">
        <is>
          <t>S41</t>
        </is>
      </c>
      <c r="P1314" s="55" t="n">
        <v>360</v>
      </c>
      <c r="Q1314" s="59">
        <f>IF(BO1314=1,0,IFERROR(VLOOKUP(BM1314,'Gebinde-Kategorie'!$A$5:$G$45,6,0)+0,0))</f>
        <v/>
      </c>
      <c r="R1314" s="60" t="n"/>
      <c r="S1314" s="61" t="n"/>
      <c r="T1314" s="61" t="n"/>
      <c r="U1314" s="53">
        <f>IF(A1314="","",IF(IFERROR(VLOOKUP(D1314,Parameter!$A$35:$C$64,2,0),"Nein")="2+3",IF(ISNUMBER(SEARCH("grosser Artikel",BJ1314)),2,IFERROR(VLOOKUP(BM1314,Parameter!$F$35:$G$64,2,0),2)),IF(OR(IFERROR(VLOOKUP(D1314,Parameter!$A$35:$C$64,2,0),"Nein")="Nein",IFERROR(VLOOKUP(D1314,Parameter!$A$35:$C$64,2,0),"Nein")=""),"-",VLOOKUP(D1314,Parameter!$A$35:$C$64,2,0))))</f>
        <v/>
      </c>
      <c r="V1314" s="61" t="n"/>
      <c r="W1314" s="62" t="n"/>
      <c r="X1314" s="55">
        <f>AM1314</f>
        <v/>
      </c>
      <c r="Y1314" s="55">
        <f>MAX(AM1314,G1314)</f>
        <v/>
      </c>
      <c r="Z1314" s="63" t="n"/>
      <c r="AA1314" s="55">
        <f>IF(LEFT(Cockpit!$C$5,1)="A",G1314,IF(BT1314=1,BU1314,IF(LEFT(Cockpit!$C$5,1)="B",AE1314,MAX(AE1314,G1314))))</f>
        <v/>
      </c>
      <c r="AB1314" s="55">
        <f>IF(BO1314=1,0,ROUNDUP(AA1314/BN1314,0))</f>
        <v/>
      </c>
      <c r="AC1314" s="64">
        <f>IF(BO1314=1,IF(AA1314&lt;=0,0,BP1314*MAX(1,IF(G1314&gt;0,AA1314/G1314,1))),AB1314*Q1314)</f>
        <v/>
      </c>
      <c r="AD1314" s="55">
        <f>AA1314*F1314</f>
        <v/>
      </c>
      <c r="AE1314" s="55">
        <f>ROUNDUP(MAX(I1314/IF(BS1314&gt;0,BS1314,MAX(0.1,N(Cockpit!$C$6))),BV1314)/BN1314,0)*BN1314</f>
        <v/>
      </c>
      <c r="AF1314" s="56">
        <f>IF(AC1314&gt;0,I1314/AC1314,-1)</f>
        <v/>
      </c>
      <c r="AG1314" s="56">
        <f>IF(AND(OR(BR1314="L1",BR1314="L23"),AC1314&gt;0),SUMIFS($AC$7:$AC$1570,$BR$7:$BR$1570,BR1314,$AF$7:$AF$1570,"&gt;"&amp;AF1314)+SUMIFS($AC$7:$AC$1570,$BR$7:$BR$1570,BR1314,$AF$7:$AF$1570,AF1314,$BL$7:$BL$1570,"&lt;="&amp;BL1314),"")</f>
        <v/>
      </c>
      <c r="AH1314" s="65">
        <f>IF(AG1314="",0,MAX(0,MIN(1,(IF(BR1314="L1",Parameter!$K$5,Parameter!$K$6+Parameter!$K$7)-(AG1314-AC1314))/AC1314)))</f>
        <v/>
      </c>
      <c r="AI1314" s="55">
        <f>IF(LEFT(Cockpit!$I$5,1)="A",G1314,IF(BT1314=1,BU1314,IF(LEFT(Cockpit!$I$5,1)="B",AM1314,MAX(AM1314,G1314))))</f>
        <v/>
      </c>
      <c r="AJ1314" s="55">
        <f>IF(BO1314=1,0,ROUNDUP(AI1314/BN1314,0))</f>
        <v/>
      </c>
      <c r="AK1314" s="64">
        <f>IF(BO1314=1,IF(AI1314&lt;=0,0,BP1314*MAX(1,IF(G1314&gt;0,AI1314/G1314,1))),AJ1314*Q1314)</f>
        <v/>
      </c>
      <c r="AL1314" s="55">
        <f>AI1314*F1314</f>
        <v/>
      </c>
      <c r="AM1314" s="55">
        <f>ROUNDUP(MAX(I1314/IF(BS1314&gt;0,BS1314,MAX(0.1,N(Cockpit!$I$6))),BV1314)/BN1314,0)*BN1314</f>
        <v/>
      </c>
      <c r="AN1314" s="56">
        <f>IF(AK1314&gt;0,I1314/AK1314,-1)</f>
        <v/>
      </c>
      <c r="AO1314" s="56">
        <f>IF(AND(OR(BR1314="L1",BR1314="L23"),AK1314&gt;0),SUMIFS($AK$7:$AK$1570,$BR$7:$BR$1570,BR1314,$AN$7:$AN$1570,"&gt;"&amp;AN1314)+SUMIFS($AK$7:$AK$1570,$BR$7:$BR$1570,BR1314,$AN$7:$AN$1570,AN1314,$BL$7:$BL$1570,"&lt;="&amp;BL1314),"")</f>
        <v/>
      </c>
      <c r="AP1314" s="65">
        <f>IF(AO1314="",0,MAX(0,MIN(1,(IF(BR1314="L1",Parameter!$K$5,Parameter!$K$6+Parameter!$K$7)-(AO1314-AK1314))/AK1314)))</f>
        <v/>
      </c>
      <c r="AQ1314" s="55">
        <f>IF(LEFT(Cockpit!$O$5,1)="A",G1314,IF(BT1314=1,BU1314,IF(LEFT(Cockpit!$O$5,1)="B",AU1314,MAX(AU1314,G1314))))</f>
        <v/>
      </c>
      <c r="AR1314" s="55">
        <f>IF(BO1314=1,0,ROUNDUP(AQ1314/BN1314,0))</f>
        <v/>
      </c>
      <c r="AS1314" s="64">
        <f>IF(BO1314=1,IF(AQ1314&lt;=0,0,BP1314*MAX(1,IF(G1314&gt;0,AQ1314/G1314,1))),AR1314*Q1314)</f>
        <v/>
      </c>
      <c r="AT1314" s="55">
        <f>AQ1314*F1314</f>
        <v/>
      </c>
      <c r="AU1314" s="55">
        <f>ROUNDUP(MAX(I1314/IF(BS1314&gt;0,BS1314,MAX(0.1,N(Cockpit!$O$6))),BV1314)/BN1314,0)*BN1314</f>
        <v/>
      </c>
      <c r="AV1314" s="56">
        <f>IF(AS1314&gt;0,I1314/AS1314,-1)</f>
        <v/>
      </c>
      <c r="AW1314" s="56">
        <f>IF(AND(OR(BR1314="L1",BR1314="L23"),AS1314&gt;0),SUMIFS($AS$7:$AS$1570,$BR$7:$BR$1570,BR1314,$AV$7:$AV$1570,"&gt;"&amp;AV1314)+SUMIFS($AS$7:$AS$1570,$BR$7:$BR$1570,BR1314,$AV$7:$AV$1570,AV1314,$BL$7:$BL$1570,"&lt;="&amp;BL1314),"")</f>
        <v/>
      </c>
      <c r="AX1314" s="65">
        <f>IF(AW1314="",0,MAX(0,MIN(1,(IF(BR1314="L1",Parameter!$K$5,Parameter!$K$6+Parameter!$K$7)-(AW1314-AS1314))/AS1314)))</f>
        <v/>
      </c>
      <c r="AY1314" s="53">
        <f>IF(AC1314&lt;=0,"",IF(BR1314="Aussen","Aussenlager",IF(BR1314="-","Nicht im Lift",IF(AH1314&gt;=1,"Lift",IF(AH1314&lt;=0,"Aussenlager","teilweise")))))</f>
        <v/>
      </c>
      <c r="AZ1314" s="53">
        <f>IF(AK1314&lt;=0,"",IF(BR1314="Aussen","Aussenlager",IF(BR1314="-","Nicht im Lift",IF(AP1314&gt;=1,"Lift",IF(AP1314&lt;=0,"Aussenlager","teilweise")))))</f>
        <v/>
      </c>
      <c r="BA1314" s="53">
        <f>IF(AS1314&lt;=0,"",IF(BR1314="Aussen","Aussenlager",IF(BR1314="-","Nicht im Lift",IF(AX1314&gt;=1,"Lift",IF(AX1314&lt;=0,"Aussenlager","teilweise")))))</f>
        <v/>
      </c>
      <c r="BB1314" s="53">
        <f>IF(A1314="","",IF(BK1314=1,"Neu; ","")&amp;IF(AND(BK1314=0,BF1314&lt;0),"negativer Bestand (Export "&amp;BF1314&amp;"); ","")&amp;IF(I1314&lt;=0,"Kein Verbrauch; ","")&amp;IF(BO1314=1,"Lose – Fläche geschätzt; ","")&amp;IF(G1314&gt;AM1314,"Überbestand "&amp;ROUND(G1314-AM1314,0)&amp;" Stk / CHF "&amp;ROUND((G1314-AM1314)*F1314,0)&amp;"; ","")&amp;IF(AND(BT1314=1,BU1314&lt;BV1314),"MAX &lt; MB+LG; ","")&amp;IF(AND(BZ1314&gt;0,BY1314*10&gt;BZ1314),"zu hoch für Tablar; ","")&amp;IF(AND(BK1314=0,OR(BT1314=1,V1314&lt;&gt;"",S1314&lt;&gt;"",T1314&lt;&gt;"",W1314&lt;&gt;"")),"manuell übersteuert; ","")&amp;IF(AND(BO1314=0,Q1314=0),"Gebinde unbekannt; ","")&amp;IF(AND(BO1314=0,N(T1314)&lt;=0,N(P1314)&lt;=0),"Menge pro Gebinde fehlt (Ist = 1 Gebinde); ","")&amp;BJ1314)</f>
        <v/>
      </c>
      <c r="BC1314" s="53" t="n"/>
      <c r="BD1314" s="53" t="n"/>
      <c r="BE1314" s="61" t="n"/>
      <c r="BF1314" s="55" t="n">
        <v>-695</v>
      </c>
      <c r="BG1314" s="55" t="n">
        <v>939</v>
      </c>
      <c r="BH1314" s="54" t="n">
        <v>-1320.5</v>
      </c>
      <c r="BI1314" s="55" t="n">
        <v>320</v>
      </c>
      <c r="BJ1314" s="53" t="inlineStr"/>
      <c r="BK1314" s="58" t="n">
        <v>0</v>
      </c>
      <c r="BL1314" s="58" t="n">
        <v>1314</v>
      </c>
      <c r="BM1314" s="53">
        <f>IF(S1314&lt;&gt;"",UPPER(TRIM(S1314)),IF(O1314="","LOSE",O1314))</f>
        <v/>
      </c>
      <c r="BN1314" s="55">
        <f>IF(BM1314="LOSE",1,IF(N(T1314)&gt;0,T1314,IF(N(P1314)&gt;0,P1314,MAX(1,G1314))))</f>
        <v/>
      </c>
      <c r="BO1314" s="58">
        <f>IF(BM1314="LOSE",1,0)</f>
        <v/>
      </c>
      <c r="BP1314" s="64">
        <f>IF(BO1314=0,0,IF(N(R1314)&gt;0,R1314,IFERROR(VLOOKUP(D1314,Parameter!$A$35:$C$64,3,0)+0,0)))</f>
        <v/>
      </c>
      <c r="BQ1314" s="53">
        <f>IF(V1314&lt;&gt;"",V1314,U1314)</f>
        <v/>
      </c>
      <c r="BR1314" s="53">
        <f>IF(BQ1314=1,"L1",IF(OR(BQ1314=2,BQ1314=3),"L23",IF(BQ1314="Aussen","Aussen","-")))</f>
        <v/>
      </c>
      <c r="BS1314" s="66">
        <f>IF(N(W1314)&gt;0,W1314,0)</f>
        <v/>
      </c>
      <c r="BT1314" s="58">
        <f>IF(ISNUMBER(Z1314),1,0)</f>
        <v/>
      </c>
      <c r="BU1314" s="55">
        <f>N(Z1314)</f>
        <v/>
      </c>
      <c r="BV1314" s="55">
        <f>N(L1314)+N(M1314)</f>
        <v/>
      </c>
      <c r="BW1314" s="55">
        <f>ROUNDUP(G1314/BN1314,0)</f>
        <v/>
      </c>
      <c r="BX1314" s="55">
        <f>ROUNDUP(BU1314/BN1314,0)</f>
        <v/>
      </c>
      <c r="BY1314" s="58">
        <f>IF(BO1314=1,0,IFERROR(VLOOKUP(BM1314,'Gebinde-Kategorie'!$A$5:$G$45,5,0)+0,0))</f>
        <v/>
      </c>
      <c r="BZ1314" s="58">
        <f>IFERROR(IF(OR(BQ1314=1,BQ1314=2,BQ1314=3),N(INDEX(Parameter!$I$5:$I$7,BQ1314)),0),0)</f>
        <v/>
      </c>
    </row>
    <row r="1315">
      <c r="A1315" s="53" t="inlineStr">
        <is>
          <t>100787</t>
        </is>
      </c>
      <c r="B1315" s="53" t="inlineStr">
        <is>
          <t>Pilot Magnetventil O2 komplett</t>
        </is>
      </c>
      <c r="C1315" s="53" t="inlineStr">
        <is>
          <t>F</t>
        </is>
      </c>
      <c r="D1315" s="53" t="inlineStr">
        <is>
          <t>KTL</t>
        </is>
      </c>
      <c r="E1315" s="53" t="inlineStr">
        <is>
          <t>C</t>
        </is>
      </c>
      <c r="F1315" s="54" t="n">
        <v>148.68</v>
      </c>
      <c r="G1315" s="55">
        <f>MAX(0,IF(Parameter!$B$20="Jahresanfang 2025 + Export",BG1315+BF1315,BF1315))</f>
        <v/>
      </c>
      <c r="H1315" s="55">
        <f>G1315*F1315</f>
        <v/>
      </c>
      <c r="I1315" s="55">
        <f>BI1315*Parameter!$B$18</f>
        <v/>
      </c>
      <c r="J1315" s="56" t="n">
        <v>20</v>
      </c>
      <c r="K1315" s="57" t="n">
        <v>1.65</v>
      </c>
      <c r="L1315" s="55" t="n">
        <v>2</v>
      </c>
      <c r="M1315" s="55" t="n">
        <v>25</v>
      </c>
      <c r="N1315" s="58" t="n">
        <v>30</v>
      </c>
      <c r="O1315" s="53" t="inlineStr">
        <is>
          <t>S33</t>
        </is>
      </c>
      <c r="P1315" s="55" t="n">
        <v>37</v>
      </c>
      <c r="Q1315" s="59">
        <f>IF(BO1315=1,0,IFERROR(VLOOKUP(BM1315,'Gebinde-Kategorie'!$A$5:$G$45,6,0)+0,0))</f>
        <v/>
      </c>
      <c r="R1315" s="60" t="n"/>
      <c r="S1315" s="61" t="n"/>
      <c r="T1315" s="61" t="n"/>
      <c r="U1315" s="53">
        <f>IF(A1315="","",IF(IFERROR(VLOOKUP(D1315,Parameter!$A$35:$C$64,2,0),"Nein")="2+3",IF(ISNUMBER(SEARCH("grosser Artikel",BJ1315)),2,IFERROR(VLOOKUP(BM1315,Parameter!$F$35:$G$64,2,0),2)),IF(OR(IFERROR(VLOOKUP(D1315,Parameter!$A$35:$C$64,2,0),"Nein")="Nein",IFERROR(VLOOKUP(D1315,Parameter!$A$35:$C$64,2,0),"Nein")=""),"-",VLOOKUP(D1315,Parameter!$A$35:$C$64,2,0))))</f>
        <v/>
      </c>
      <c r="V1315" s="61" t="n"/>
      <c r="W1315" s="62" t="n"/>
      <c r="X1315" s="55">
        <f>AM1315</f>
        <v/>
      </c>
      <c r="Y1315" s="55">
        <f>MAX(AM1315,G1315)</f>
        <v/>
      </c>
      <c r="Z1315" s="63" t="n"/>
      <c r="AA1315" s="55">
        <f>IF(LEFT(Cockpit!$C$5,1)="A",G1315,IF(BT1315=1,BU1315,IF(LEFT(Cockpit!$C$5,1)="B",AE1315,MAX(AE1315,G1315))))</f>
        <v/>
      </c>
      <c r="AB1315" s="55">
        <f>IF(BO1315=1,0,ROUNDUP(AA1315/BN1315,0))</f>
        <v/>
      </c>
      <c r="AC1315" s="64">
        <f>IF(BO1315=1,IF(AA1315&lt;=0,0,BP1315*MAX(1,IF(G1315&gt;0,AA1315/G1315,1))),AB1315*Q1315)</f>
        <v/>
      </c>
      <c r="AD1315" s="55">
        <f>AA1315*F1315</f>
        <v/>
      </c>
      <c r="AE1315" s="55">
        <f>ROUNDUP(MAX(I1315/IF(BS1315&gt;0,BS1315,MAX(0.1,N(Cockpit!$C$6))),BV1315)/BN1315,0)*BN1315</f>
        <v/>
      </c>
      <c r="AF1315" s="56">
        <f>IF(AC1315&gt;0,I1315/AC1315,-1)</f>
        <v/>
      </c>
      <c r="AG1315" s="56">
        <f>IF(AND(OR(BR1315="L1",BR1315="L23"),AC1315&gt;0),SUMIFS($AC$7:$AC$1570,$BR$7:$BR$1570,BR1315,$AF$7:$AF$1570,"&gt;"&amp;AF1315)+SUMIFS($AC$7:$AC$1570,$BR$7:$BR$1570,BR1315,$AF$7:$AF$1570,AF1315,$BL$7:$BL$1570,"&lt;="&amp;BL1315),"")</f>
        <v/>
      </c>
      <c r="AH1315" s="65">
        <f>IF(AG1315="",0,MAX(0,MIN(1,(IF(BR1315="L1",Parameter!$K$5,Parameter!$K$6+Parameter!$K$7)-(AG1315-AC1315))/AC1315)))</f>
        <v/>
      </c>
      <c r="AI1315" s="55">
        <f>IF(LEFT(Cockpit!$I$5,1)="A",G1315,IF(BT1315=1,BU1315,IF(LEFT(Cockpit!$I$5,1)="B",AM1315,MAX(AM1315,G1315))))</f>
        <v/>
      </c>
      <c r="AJ1315" s="55">
        <f>IF(BO1315=1,0,ROUNDUP(AI1315/BN1315,0))</f>
        <v/>
      </c>
      <c r="AK1315" s="64">
        <f>IF(BO1315=1,IF(AI1315&lt;=0,0,BP1315*MAX(1,IF(G1315&gt;0,AI1315/G1315,1))),AJ1315*Q1315)</f>
        <v/>
      </c>
      <c r="AL1315" s="55">
        <f>AI1315*F1315</f>
        <v/>
      </c>
      <c r="AM1315" s="55">
        <f>ROUNDUP(MAX(I1315/IF(BS1315&gt;0,BS1315,MAX(0.1,N(Cockpit!$I$6))),BV1315)/BN1315,0)*BN1315</f>
        <v/>
      </c>
      <c r="AN1315" s="56">
        <f>IF(AK1315&gt;0,I1315/AK1315,-1)</f>
        <v/>
      </c>
      <c r="AO1315" s="56">
        <f>IF(AND(OR(BR1315="L1",BR1315="L23"),AK1315&gt;0),SUMIFS($AK$7:$AK$1570,$BR$7:$BR$1570,BR1315,$AN$7:$AN$1570,"&gt;"&amp;AN1315)+SUMIFS($AK$7:$AK$1570,$BR$7:$BR$1570,BR1315,$AN$7:$AN$1570,AN1315,$BL$7:$BL$1570,"&lt;="&amp;BL1315),"")</f>
        <v/>
      </c>
      <c r="AP1315" s="65">
        <f>IF(AO1315="",0,MAX(0,MIN(1,(IF(BR1315="L1",Parameter!$K$5,Parameter!$K$6+Parameter!$K$7)-(AO1315-AK1315))/AK1315)))</f>
        <v/>
      </c>
      <c r="AQ1315" s="55">
        <f>IF(LEFT(Cockpit!$O$5,1)="A",G1315,IF(BT1315=1,BU1315,IF(LEFT(Cockpit!$O$5,1)="B",AU1315,MAX(AU1315,G1315))))</f>
        <v/>
      </c>
      <c r="AR1315" s="55">
        <f>IF(BO1315=1,0,ROUNDUP(AQ1315/BN1315,0))</f>
        <v/>
      </c>
      <c r="AS1315" s="64">
        <f>IF(BO1315=1,IF(AQ1315&lt;=0,0,BP1315*MAX(1,IF(G1315&gt;0,AQ1315/G1315,1))),AR1315*Q1315)</f>
        <v/>
      </c>
      <c r="AT1315" s="55">
        <f>AQ1315*F1315</f>
        <v/>
      </c>
      <c r="AU1315" s="55">
        <f>ROUNDUP(MAX(I1315/IF(BS1315&gt;0,BS1315,MAX(0.1,N(Cockpit!$O$6))),BV1315)/BN1315,0)*BN1315</f>
        <v/>
      </c>
      <c r="AV1315" s="56">
        <f>IF(AS1315&gt;0,I1315/AS1315,-1)</f>
        <v/>
      </c>
      <c r="AW1315" s="56">
        <f>IF(AND(OR(BR1315="L1",BR1315="L23"),AS1315&gt;0),SUMIFS($AS$7:$AS$1570,$BR$7:$BR$1570,BR1315,$AV$7:$AV$1570,"&gt;"&amp;AV1315)+SUMIFS($AS$7:$AS$1570,$BR$7:$BR$1570,BR1315,$AV$7:$AV$1570,AV1315,$BL$7:$BL$1570,"&lt;="&amp;BL1315),"")</f>
        <v/>
      </c>
      <c r="AX1315" s="65">
        <f>IF(AW1315="",0,MAX(0,MIN(1,(IF(BR1315="L1",Parameter!$K$5,Parameter!$K$6+Parameter!$K$7)-(AW1315-AS1315))/AS1315)))</f>
        <v/>
      </c>
      <c r="AY1315" s="53">
        <f>IF(AC1315&lt;=0,"",IF(BR1315="Aussen","Aussenlager",IF(BR1315="-","Nicht im Lift",IF(AH1315&gt;=1,"Lift",IF(AH1315&lt;=0,"Aussenlager","teilweise")))))</f>
        <v/>
      </c>
      <c r="AZ1315" s="53">
        <f>IF(AK1315&lt;=0,"",IF(BR1315="Aussen","Aussenlager",IF(BR1315="-","Nicht im Lift",IF(AP1315&gt;=1,"Lift",IF(AP1315&lt;=0,"Aussenlager","teilweise")))))</f>
        <v/>
      </c>
      <c r="BA1315" s="53">
        <f>IF(AS1315&lt;=0,"",IF(BR1315="Aussen","Aussenlager",IF(BR1315="-","Nicht im Lift",IF(AX1315&gt;=1,"Lift",IF(AX1315&lt;=0,"Aussenlager","teilweise")))))</f>
        <v/>
      </c>
      <c r="BB1315" s="53">
        <f>IF(A1315="","",IF(BK1315=1,"Neu; ","")&amp;IF(AND(BK1315=0,BF1315&lt;0),"negativer Bestand (Export "&amp;BF1315&amp;"); ","")&amp;IF(I1315&lt;=0,"Kein Verbrauch; ","")&amp;IF(BO1315=1,"Lose – Fläche geschätzt; ","")&amp;IF(G1315&gt;AM1315,"Überbestand "&amp;ROUND(G1315-AM1315,0)&amp;" Stk / CHF "&amp;ROUND((G1315-AM1315)*F1315,0)&amp;"; ","")&amp;IF(AND(BT1315=1,BU1315&lt;BV1315),"MAX &lt; MB+LG; ","")&amp;IF(AND(BZ1315&gt;0,BY1315*10&gt;BZ1315),"zu hoch für Tablar; ","")&amp;IF(AND(BK1315=0,OR(BT1315=1,V1315&lt;&gt;"",S1315&lt;&gt;"",T1315&lt;&gt;"",W1315&lt;&gt;"")),"manuell übersteuert; ","")&amp;IF(AND(BO1315=0,Q1315=0),"Gebinde unbekannt; ","")&amp;IF(AND(BO1315=0,N(T1315)&lt;=0,N(P1315)&lt;=0),"Menge pro Gebinde fehlt (Ist = 1 Gebinde); ","")&amp;BJ1315)</f>
        <v/>
      </c>
      <c r="BC1315" s="53" t="n"/>
      <c r="BD1315" s="53" t="n"/>
      <c r="BE1315" s="61" t="n"/>
      <c r="BF1315" s="55" t="n">
        <v>-9</v>
      </c>
      <c r="BG1315" s="55" t="n">
        <v>21</v>
      </c>
      <c r="BH1315" s="54" t="n">
        <v>-1335.060000000001</v>
      </c>
      <c r="BI1315" s="55" t="n">
        <v>33</v>
      </c>
      <c r="BJ1315" s="53" t="inlineStr"/>
      <c r="BK1315" s="58" t="n">
        <v>0</v>
      </c>
      <c r="BL1315" s="58" t="n">
        <v>1315</v>
      </c>
      <c r="BM1315" s="53">
        <f>IF(S1315&lt;&gt;"",UPPER(TRIM(S1315)),IF(O1315="","LOSE",O1315))</f>
        <v/>
      </c>
      <c r="BN1315" s="55">
        <f>IF(BM1315="LOSE",1,IF(N(T1315)&gt;0,T1315,IF(N(P1315)&gt;0,P1315,MAX(1,G1315))))</f>
        <v/>
      </c>
      <c r="BO1315" s="58">
        <f>IF(BM1315="LOSE",1,0)</f>
        <v/>
      </c>
      <c r="BP1315" s="64">
        <f>IF(BO1315=0,0,IF(N(R1315)&gt;0,R1315,IFERROR(VLOOKUP(D1315,Parameter!$A$35:$C$64,3,0)+0,0)))</f>
        <v/>
      </c>
      <c r="BQ1315" s="53">
        <f>IF(V1315&lt;&gt;"",V1315,U1315)</f>
        <v/>
      </c>
      <c r="BR1315" s="53">
        <f>IF(BQ1315=1,"L1",IF(OR(BQ1315=2,BQ1315=3),"L23",IF(BQ1315="Aussen","Aussen","-")))</f>
        <v/>
      </c>
      <c r="BS1315" s="66">
        <f>IF(N(W1315)&gt;0,W1315,0)</f>
        <v/>
      </c>
      <c r="BT1315" s="58">
        <f>IF(ISNUMBER(Z1315),1,0)</f>
        <v/>
      </c>
      <c r="BU1315" s="55">
        <f>N(Z1315)</f>
        <v/>
      </c>
      <c r="BV1315" s="55">
        <f>N(L1315)+N(M1315)</f>
        <v/>
      </c>
      <c r="BW1315" s="55">
        <f>ROUNDUP(G1315/BN1315,0)</f>
        <v/>
      </c>
      <c r="BX1315" s="55">
        <f>ROUNDUP(BU1315/BN1315,0)</f>
        <v/>
      </c>
      <c r="BY1315" s="58">
        <f>IF(BO1315=1,0,IFERROR(VLOOKUP(BM1315,'Gebinde-Kategorie'!$A$5:$G$45,5,0)+0,0))</f>
        <v/>
      </c>
      <c r="BZ1315" s="58">
        <f>IFERROR(IF(OR(BQ1315=1,BQ1315=2,BQ1315=3),N(INDEX(Parameter!$I$5:$I$7,BQ1315)),0),0)</f>
        <v/>
      </c>
    </row>
    <row r="1316">
      <c r="A1316" s="53" t="inlineStr">
        <is>
          <t>005118</t>
        </is>
      </c>
      <c r="B1316" s="53" t="inlineStr">
        <is>
          <t>Rundstrahlantenne</t>
        </is>
      </c>
      <c r="C1316" s="53" t="inlineStr">
        <is>
          <t>F</t>
        </is>
      </c>
      <c r="D1316" s="53" t="inlineStr">
        <is>
          <t>KTL</t>
        </is>
      </c>
      <c r="E1316" s="53" t="inlineStr">
        <is>
          <t>C</t>
        </is>
      </c>
      <c r="F1316" s="54" t="n">
        <v>31.25</v>
      </c>
      <c r="G1316" s="55">
        <f>MAX(0,IF(Parameter!$B$20="Jahresanfang 2025 + Export",BG1316+BF1316,BF1316))</f>
        <v/>
      </c>
      <c r="H1316" s="55">
        <f>G1316*F1316</f>
        <v/>
      </c>
      <c r="I1316" s="55">
        <f>BI1316*Parameter!$B$18</f>
        <v/>
      </c>
      <c r="J1316" s="56" t="n">
        <v>17</v>
      </c>
      <c r="K1316" s="57" t="n">
        <v>1.705882352941176</v>
      </c>
      <c r="L1316" s="55" t="n">
        <v>1</v>
      </c>
      <c r="M1316" s="55" t="n">
        <v>30</v>
      </c>
      <c r="N1316" s="58" t="n">
        <v>14</v>
      </c>
      <c r="O1316" s="53" t="inlineStr">
        <is>
          <t>S63</t>
        </is>
      </c>
      <c r="P1316" s="55" t="n">
        <v>39</v>
      </c>
      <c r="Q1316" s="59">
        <f>IF(BO1316=1,0,IFERROR(VLOOKUP(BM1316,'Gebinde-Kategorie'!$A$5:$G$45,6,0)+0,0))</f>
        <v/>
      </c>
      <c r="R1316" s="60" t="n"/>
      <c r="S1316" s="61" t="n"/>
      <c r="T1316" s="61" t="n"/>
      <c r="U1316" s="53">
        <f>IF(A1316="","",IF(IFERROR(VLOOKUP(D1316,Parameter!$A$35:$C$64,2,0),"Nein")="2+3",IF(ISNUMBER(SEARCH("grosser Artikel",BJ1316)),2,IFERROR(VLOOKUP(BM1316,Parameter!$F$35:$G$64,2,0),2)),IF(OR(IFERROR(VLOOKUP(D1316,Parameter!$A$35:$C$64,2,0),"Nein")="Nein",IFERROR(VLOOKUP(D1316,Parameter!$A$35:$C$64,2,0),"Nein")=""),"-",VLOOKUP(D1316,Parameter!$A$35:$C$64,2,0))))</f>
        <v/>
      </c>
      <c r="V1316" s="61" t="n"/>
      <c r="W1316" s="62" t="n"/>
      <c r="X1316" s="55">
        <f>AM1316</f>
        <v/>
      </c>
      <c r="Y1316" s="55">
        <f>MAX(AM1316,G1316)</f>
        <v/>
      </c>
      <c r="Z1316" s="63" t="n"/>
      <c r="AA1316" s="55">
        <f>IF(LEFT(Cockpit!$C$5,1)="A",G1316,IF(BT1316=1,BU1316,IF(LEFT(Cockpit!$C$5,1)="B",AE1316,MAX(AE1316,G1316))))</f>
        <v/>
      </c>
      <c r="AB1316" s="55">
        <f>IF(BO1316=1,0,ROUNDUP(AA1316/BN1316,0))</f>
        <v/>
      </c>
      <c r="AC1316" s="64">
        <f>IF(BO1316=1,IF(AA1316&lt;=0,0,BP1316*MAX(1,IF(G1316&gt;0,AA1316/G1316,1))),AB1316*Q1316)</f>
        <v/>
      </c>
      <c r="AD1316" s="55">
        <f>AA1316*F1316</f>
        <v/>
      </c>
      <c r="AE1316" s="55">
        <f>ROUNDUP(MAX(I1316/IF(BS1316&gt;0,BS1316,MAX(0.1,N(Cockpit!$C$6))),BV1316)/BN1316,0)*BN1316</f>
        <v/>
      </c>
      <c r="AF1316" s="56">
        <f>IF(AC1316&gt;0,I1316/AC1316,-1)</f>
        <v/>
      </c>
      <c r="AG1316" s="56">
        <f>IF(AND(OR(BR1316="L1",BR1316="L23"),AC1316&gt;0),SUMIFS($AC$7:$AC$1570,$BR$7:$BR$1570,BR1316,$AF$7:$AF$1570,"&gt;"&amp;AF1316)+SUMIFS($AC$7:$AC$1570,$BR$7:$BR$1570,BR1316,$AF$7:$AF$1570,AF1316,$BL$7:$BL$1570,"&lt;="&amp;BL1316),"")</f>
        <v/>
      </c>
      <c r="AH1316" s="65">
        <f>IF(AG1316="",0,MAX(0,MIN(1,(IF(BR1316="L1",Parameter!$K$5,Parameter!$K$6+Parameter!$K$7)-(AG1316-AC1316))/AC1316)))</f>
        <v/>
      </c>
      <c r="AI1316" s="55">
        <f>IF(LEFT(Cockpit!$I$5,1)="A",G1316,IF(BT1316=1,BU1316,IF(LEFT(Cockpit!$I$5,1)="B",AM1316,MAX(AM1316,G1316))))</f>
        <v/>
      </c>
      <c r="AJ1316" s="55">
        <f>IF(BO1316=1,0,ROUNDUP(AI1316/BN1316,0))</f>
        <v/>
      </c>
      <c r="AK1316" s="64">
        <f>IF(BO1316=1,IF(AI1316&lt;=0,0,BP1316*MAX(1,IF(G1316&gt;0,AI1316/G1316,1))),AJ1316*Q1316)</f>
        <v/>
      </c>
      <c r="AL1316" s="55">
        <f>AI1316*F1316</f>
        <v/>
      </c>
      <c r="AM1316" s="55">
        <f>ROUNDUP(MAX(I1316/IF(BS1316&gt;0,BS1316,MAX(0.1,N(Cockpit!$I$6))),BV1316)/BN1316,0)*BN1316</f>
        <v/>
      </c>
      <c r="AN1316" s="56">
        <f>IF(AK1316&gt;0,I1316/AK1316,-1)</f>
        <v/>
      </c>
      <c r="AO1316" s="56">
        <f>IF(AND(OR(BR1316="L1",BR1316="L23"),AK1316&gt;0),SUMIFS($AK$7:$AK$1570,$BR$7:$BR$1570,BR1316,$AN$7:$AN$1570,"&gt;"&amp;AN1316)+SUMIFS($AK$7:$AK$1570,$BR$7:$BR$1570,BR1316,$AN$7:$AN$1570,AN1316,$BL$7:$BL$1570,"&lt;="&amp;BL1316),"")</f>
        <v/>
      </c>
      <c r="AP1316" s="65">
        <f>IF(AO1316="",0,MAX(0,MIN(1,(IF(BR1316="L1",Parameter!$K$5,Parameter!$K$6+Parameter!$K$7)-(AO1316-AK1316))/AK1316)))</f>
        <v/>
      </c>
      <c r="AQ1316" s="55">
        <f>IF(LEFT(Cockpit!$O$5,1)="A",G1316,IF(BT1316=1,BU1316,IF(LEFT(Cockpit!$O$5,1)="B",AU1316,MAX(AU1316,G1316))))</f>
        <v/>
      </c>
      <c r="AR1316" s="55">
        <f>IF(BO1316=1,0,ROUNDUP(AQ1316/BN1316,0))</f>
        <v/>
      </c>
      <c r="AS1316" s="64">
        <f>IF(BO1316=1,IF(AQ1316&lt;=0,0,BP1316*MAX(1,IF(G1316&gt;0,AQ1316/G1316,1))),AR1316*Q1316)</f>
        <v/>
      </c>
      <c r="AT1316" s="55">
        <f>AQ1316*F1316</f>
        <v/>
      </c>
      <c r="AU1316" s="55">
        <f>ROUNDUP(MAX(I1316/IF(BS1316&gt;0,BS1316,MAX(0.1,N(Cockpit!$O$6))),BV1316)/BN1316,0)*BN1316</f>
        <v/>
      </c>
      <c r="AV1316" s="56">
        <f>IF(AS1316&gt;0,I1316/AS1316,-1)</f>
        <v/>
      </c>
      <c r="AW1316" s="56">
        <f>IF(AND(OR(BR1316="L1",BR1316="L23"),AS1316&gt;0),SUMIFS($AS$7:$AS$1570,$BR$7:$BR$1570,BR1316,$AV$7:$AV$1570,"&gt;"&amp;AV1316)+SUMIFS($AS$7:$AS$1570,$BR$7:$BR$1570,BR1316,$AV$7:$AV$1570,AV1316,$BL$7:$BL$1570,"&lt;="&amp;BL1316),"")</f>
        <v/>
      </c>
      <c r="AX1316" s="65">
        <f>IF(AW1316="",0,MAX(0,MIN(1,(IF(BR1316="L1",Parameter!$K$5,Parameter!$K$6+Parameter!$K$7)-(AW1316-AS1316))/AS1316)))</f>
        <v/>
      </c>
      <c r="AY1316" s="53">
        <f>IF(AC1316&lt;=0,"",IF(BR1316="Aussen","Aussenlager",IF(BR1316="-","Nicht im Lift",IF(AH1316&gt;=1,"Lift",IF(AH1316&lt;=0,"Aussenlager","teilweise")))))</f>
        <v/>
      </c>
      <c r="AZ1316" s="53">
        <f>IF(AK1316&lt;=0,"",IF(BR1316="Aussen","Aussenlager",IF(BR1316="-","Nicht im Lift",IF(AP1316&gt;=1,"Lift",IF(AP1316&lt;=0,"Aussenlager","teilweise")))))</f>
        <v/>
      </c>
      <c r="BA1316" s="53">
        <f>IF(AS1316&lt;=0,"",IF(BR1316="Aussen","Aussenlager",IF(BR1316="-","Nicht im Lift",IF(AX1316&gt;=1,"Lift",IF(AX1316&lt;=0,"Aussenlager","teilweise")))))</f>
        <v/>
      </c>
      <c r="BB1316" s="53">
        <f>IF(A1316="","",IF(BK1316=1,"Neu; ","")&amp;IF(AND(BK1316=0,BF1316&lt;0),"negativer Bestand (Export "&amp;BF1316&amp;"); ","")&amp;IF(I1316&lt;=0,"Kein Verbrauch; ","")&amp;IF(BO1316=1,"Lose – Fläche geschätzt; ","")&amp;IF(G1316&gt;AM1316,"Überbestand "&amp;ROUND(G1316-AM1316,0)&amp;" Stk / CHF "&amp;ROUND((G1316-AM1316)*F1316,0)&amp;"; ","")&amp;IF(AND(BT1316=1,BU1316&lt;BV1316),"MAX &lt; MB+LG; ","")&amp;IF(AND(BZ1316&gt;0,BY1316*10&gt;BZ1316),"zu hoch für Tablar; ","")&amp;IF(AND(BK1316=0,OR(BT1316=1,V1316&lt;&gt;"",S1316&lt;&gt;"",T1316&lt;&gt;"",W1316&lt;&gt;"")),"manuell übersteuert; ","")&amp;IF(AND(BO1316=0,Q1316=0),"Gebinde unbekannt; ","")&amp;IF(AND(BO1316=0,N(T1316)&lt;=0,N(P1316)&lt;=0),"Menge pro Gebinde fehlt (Ist = 1 Gebinde); ","")&amp;BJ1316)</f>
        <v/>
      </c>
      <c r="BC1316" s="53" t="n"/>
      <c r="BD1316" s="53" t="n"/>
      <c r="BE1316" s="61" t="n"/>
      <c r="BF1316" s="55" t="n">
        <v>6</v>
      </c>
      <c r="BG1316" s="55" t="n">
        <v>19</v>
      </c>
      <c r="BH1316" s="54" t="n">
        <v>-1346.560000000001</v>
      </c>
      <c r="BI1316" s="55" t="n">
        <v>29</v>
      </c>
      <c r="BJ1316" s="53" t="inlineStr"/>
      <c r="BK1316" s="58" t="n">
        <v>0</v>
      </c>
      <c r="BL1316" s="58" t="n">
        <v>1316</v>
      </c>
      <c r="BM1316" s="53">
        <f>IF(S1316&lt;&gt;"",UPPER(TRIM(S1316)),IF(O1316="","LOSE",O1316))</f>
        <v/>
      </c>
      <c r="BN1316" s="55">
        <f>IF(BM1316="LOSE",1,IF(N(T1316)&gt;0,T1316,IF(N(P1316)&gt;0,P1316,MAX(1,G1316))))</f>
        <v/>
      </c>
      <c r="BO1316" s="58">
        <f>IF(BM1316="LOSE",1,0)</f>
        <v/>
      </c>
      <c r="BP1316" s="64">
        <f>IF(BO1316=0,0,IF(N(R1316)&gt;0,R1316,IFERROR(VLOOKUP(D1316,Parameter!$A$35:$C$64,3,0)+0,0)))</f>
        <v/>
      </c>
      <c r="BQ1316" s="53">
        <f>IF(V1316&lt;&gt;"",V1316,U1316)</f>
        <v/>
      </c>
      <c r="BR1316" s="53">
        <f>IF(BQ1316=1,"L1",IF(OR(BQ1316=2,BQ1316=3),"L23",IF(BQ1316="Aussen","Aussen","-")))</f>
        <v/>
      </c>
      <c r="BS1316" s="66">
        <f>IF(N(W1316)&gt;0,W1316,0)</f>
        <v/>
      </c>
      <c r="BT1316" s="58">
        <f>IF(ISNUMBER(Z1316),1,0)</f>
        <v/>
      </c>
      <c r="BU1316" s="55">
        <f>N(Z1316)</f>
        <v/>
      </c>
      <c r="BV1316" s="55">
        <f>N(L1316)+N(M1316)</f>
        <v/>
      </c>
      <c r="BW1316" s="55">
        <f>ROUNDUP(G1316/BN1316,0)</f>
        <v/>
      </c>
      <c r="BX1316" s="55">
        <f>ROUNDUP(BU1316/BN1316,0)</f>
        <v/>
      </c>
      <c r="BY1316" s="58">
        <f>IF(BO1316=1,0,IFERROR(VLOOKUP(BM1316,'Gebinde-Kategorie'!$A$5:$G$45,5,0)+0,0))</f>
        <v/>
      </c>
      <c r="BZ1316" s="58">
        <f>IFERROR(IF(OR(BQ1316=1,BQ1316=2,BQ1316=3),N(INDEX(Parameter!$I$5:$I$7,BQ1316)),0),0)</f>
        <v/>
      </c>
    </row>
    <row r="1317">
      <c r="A1317" s="53" t="inlineStr">
        <is>
          <t>107410</t>
        </is>
      </c>
      <c r="B1317" s="53" t="inlineStr">
        <is>
          <t>Konstanthänger</t>
        </is>
      </c>
      <c r="C1317" s="53" t="inlineStr">
        <is>
          <t>A</t>
        </is>
      </c>
      <c r="D1317" s="53" t="inlineStr">
        <is>
          <t>PAL</t>
        </is>
      </c>
      <c r="E1317" s="53" t="inlineStr">
        <is>
          <t>C</t>
        </is>
      </c>
      <c r="F1317" s="54" t="n">
        <v>1415.42</v>
      </c>
      <c r="G1317" s="55">
        <f>MAX(0,IF(Parameter!$B$20="Jahresanfang 2025 + Export",BG1317+BF1317,BF1317))</f>
        <v/>
      </c>
      <c r="H1317" s="55">
        <f>G1317*F1317</f>
        <v/>
      </c>
      <c r="I1317" s="55">
        <f>BI1317*Parameter!$B$18</f>
        <v/>
      </c>
      <c r="J1317" s="56" t="n">
        <v>1.5</v>
      </c>
      <c r="K1317" s="57" t="n">
        <v>8</v>
      </c>
      <c r="L1317" s="55" t="n">
        <v>0</v>
      </c>
      <c r="M1317" s="55" t="n">
        <v>5</v>
      </c>
      <c r="N1317" s="58" t="n">
        <v>70</v>
      </c>
      <c r="O1317" s="53" t="inlineStr">
        <is>
          <t>LOSE</t>
        </is>
      </c>
      <c r="P1317" s="55" t="n"/>
      <c r="Q1317" s="59">
        <f>IF(BO1317=1,0,IFERROR(VLOOKUP(BM1317,'Gebinde-Kategorie'!$A$5:$G$45,6,0)+0,0))</f>
        <v/>
      </c>
      <c r="R1317" s="60" t="n"/>
      <c r="S1317" s="61" t="n"/>
      <c r="T1317" s="61" t="n"/>
      <c r="U1317" s="53">
        <f>IF(A1317="","",IF(IFERROR(VLOOKUP(D1317,Parameter!$A$35:$C$64,2,0),"Nein")="2+3",IF(ISNUMBER(SEARCH("grosser Artikel",BJ1317)),2,IFERROR(VLOOKUP(BM1317,Parameter!$F$35:$G$64,2,0),2)),IF(OR(IFERROR(VLOOKUP(D1317,Parameter!$A$35:$C$64,2,0),"Nein")="Nein",IFERROR(VLOOKUP(D1317,Parameter!$A$35:$C$64,2,0),"Nein")=""),"-",VLOOKUP(D1317,Parameter!$A$35:$C$64,2,0))))</f>
        <v/>
      </c>
      <c r="V1317" s="61" t="n"/>
      <c r="W1317" s="62" t="n"/>
      <c r="X1317" s="55">
        <f>AM1317</f>
        <v/>
      </c>
      <c r="Y1317" s="55">
        <f>MAX(AM1317,G1317)</f>
        <v/>
      </c>
      <c r="Z1317" s="63" t="n"/>
      <c r="AA1317" s="55">
        <f>IF(LEFT(Cockpit!$C$5,1)="A",G1317,IF(BT1317=1,BU1317,IF(LEFT(Cockpit!$C$5,1)="B",AE1317,MAX(AE1317,G1317))))</f>
        <v/>
      </c>
      <c r="AB1317" s="55">
        <f>IF(BO1317=1,0,ROUNDUP(AA1317/BN1317,0))</f>
        <v/>
      </c>
      <c r="AC1317" s="64">
        <f>IF(BO1317=1,IF(AA1317&lt;=0,0,BP1317*MAX(1,IF(G1317&gt;0,AA1317/G1317,1))),AB1317*Q1317)</f>
        <v/>
      </c>
      <c r="AD1317" s="55">
        <f>AA1317*F1317</f>
        <v/>
      </c>
      <c r="AE1317" s="55">
        <f>ROUNDUP(MAX(I1317/IF(BS1317&gt;0,BS1317,MAX(0.1,N(Cockpit!$C$6))),BV1317)/BN1317,0)*BN1317</f>
        <v/>
      </c>
      <c r="AF1317" s="56">
        <f>IF(AC1317&gt;0,I1317/AC1317,-1)</f>
        <v/>
      </c>
      <c r="AG1317" s="56">
        <f>IF(AND(OR(BR1317="L1",BR1317="L23"),AC1317&gt;0),SUMIFS($AC$7:$AC$1570,$BR$7:$BR$1570,BR1317,$AF$7:$AF$1570,"&gt;"&amp;AF1317)+SUMIFS($AC$7:$AC$1570,$BR$7:$BR$1570,BR1317,$AF$7:$AF$1570,AF1317,$BL$7:$BL$1570,"&lt;="&amp;BL1317),"")</f>
        <v/>
      </c>
      <c r="AH1317" s="65">
        <f>IF(AG1317="",0,MAX(0,MIN(1,(IF(BR1317="L1",Parameter!$K$5,Parameter!$K$6+Parameter!$K$7)-(AG1317-AC1317))/AC1317)))</f>
        <v/>
      </c>
      <c r="AI1317" s="55">
        <f>IF(LEFT(Cockpit!$I$5,1)="A",G1317,IF(BT1317=1,BU1317,IF(LEFT(Cockpit!$I$5,1)="B",AM1317,MAX(AM1317,G1317))))</f>
        <v/>
      </c>
      <c r="AJ1317" s="55">
        <f>IF(BO1317=1,0,ROUNDUP(AI1317/BN1317,0))</f>
        <v/>
      </c>
      <c r="AK1317" s="64">
        <f>IF(BO1317=1,IF(AI1317&lt;=0,0,BP1317*MAX(1,IF(G1317&gt;0,AI1317/G1317,1))),AJ1317*Q1317)</f>
        <v/>
      </c>
      <c r="AL1317" s="55">
        <f>AI1317*F1317</f>
        <v/>
      </c>
      <c r="AM1317" s="55">
        <f>ROUNDUP(MAX(I1317/IF(BS1317&gt;0,BS1317,MAX(0.1,N(Cockpit!$I$6))),BV1317)/BN1317,0)*BN1317</f>
        <v/>
      </c>
      <c r="AN1317" s="56">
        <f>IF(AK1317&gt;0,I1317/AK1317,-1)</f>
        <v/>
      </c>
      <c r="AO1317" s="56">
        <f>IF(AND(OR(BR1317="L1",BR1317="L23"),AK1317&gt;0),SUMIFS($AK$7:$AK$1570,$BR$7:$BR$1570,BR1317,$AN$7:$AN$1570,"&gt;"&amp;AN1317)+SUMIFS($AK$7:$AK$1570,$BR$7:$BR$1570,BR1317,$AN$7:$AN$1570,AN1317,$BL$7:$BL$1570,"&lt;="&amp;BL1317),"")</f>
        <v/>
      </c>
      <c r="AP1317" s="65">
        <f>IF(AO1317="",0,MAX(0,MIN(1,(IF(BR1317="L1",Parameter!$K$5,Parameter!$K$6+Parameter!$K$7)-(AO1317-AK1317))/AK1317)))</f>
        <v/>
      </c>
      <c r="AQ1317" s="55">
        <f>IF(LEFT(Cockpit!$O$5,1)="A",G1317,IF(BT1317=1,BU1317,IF(LEFT(Cockpit!$O$5,1)="B",AU1317,MAX(AU1317,G1317))))</f>
        <v/>
      </c>
      <c r="AR1317" s="55">
        <f>IF(BO1317=1,0,ROUNDUP(AQ1317/BN1317,0))</f>
        <v/>
      </c>
      <c r="AS1317" s="64">
        <f>IF(BO1317=1,IF(AQ1317&lt;=0,0,BP1317*MAX(1,IF(G1317&gt;0,AQ1317/G1317,1))),AR1317*Q1317)</f>
        <v/>
      </c>
      <c r="AT1317" s="55">
        <f>AQ1317*F1317</f>
        <v/>
      </c>
      <c r="AU1317" s="55">
        <f>ROUNDUP(MAX(I1317/IF(BS1317&gt;0,BS1317,MAX(0.1,N(Cockpit!$O$6))),BV1317)/BN1317,0)*BN1317</f>
        <v/>
      </c>
      <c r="AV1317" s="56">
        <f>IF(AS1317&gt;0,I1317/AS1317,-1)</f>
        <v/>
      </c>
      <c r="AW1317" s="56">
        <f>IF(AND(OR(BR1317="L1",BR1317="L23"),AS1317&gt;0),SUMIFS($AS$7:$AS$1570,$BR$7:$BR$1570,BR1317,$AV$7:$AV$1570,"&gt;"&amp;AV1317)+SUMIFS($AS$7:$AS$1570,$BR$7:$BR$1570,BR1317,$AV$7:$AV$1570,AV1317,$BL$7:$BL$1570,"&lt;="&amp;BL1317),"")</f>
        <v/>
      </c>
      <c r="AX1317" s="65">
        <f>IF(AW1317="",0,MAX(0,MIN(1,(IF(BR1317="L1",Parameter!$K$5,Parameter!$K$6+Parameter!$K$7)-(AW1317-AS1317))/AS1317)))</f>
        <v/>
      </c>
      <c r="AY1317" s="53">
        <f>IF(AC1317&lt;=0,"",IF(BR1317="Aussen","Aussenlager",IF(BR1317="-","Nicht im Lift",IF(AH1317&gt;=1,"Lift",IF(AH1317&lt;=0,"Aussenlager","teilweise")))))</f>
        <v/>
      </c>
      <c r="AZ1317" s="53">
        <f>IF(AK1317&lt;=0,"",IF(BR1317="Aussen","Aussenlager",IF(BR1317="-","Nicht im Lift",IF(AP1317&gt;=1,"Lift",IF(AP1317&lt;=0,"Aussenlager","teilweise")))))</f>
        <v/>
      </c>
      <c r="BA1317" s="53">
        <f>IF(AS1317&lt;=0,"",IF(BR1317="Aussen","Aussenlager",IF(BR1317="-","Nicht im Lift",IF(AX1317&gt;=1,"Lift",IF(AX1317&lt;=0,"Aussenlager","teilweise")))))</f>
        <v/>
      </c>
      <c r="BB1317" s="53">
        <f>IF(A1317="","",IF(BK1317=1,"Neu; ","")&amp;IF(AND(BK1317=0,BF1317&lt;0),"negativer Bestand (Export "&amp;BF1317&amp;"); ","")&amp;IF(I1317&lt;=0,"Kein Verbrauch; ","")&amp;IF(BO1317=1,"Lose – Fläche geschätzt; ","")&amp;IF(G1317&gt;AM1317,"Überbestand "&amp;ROUND(G1317-AM1317,0)&amp;" Stk / CHF "&amp;ROUND((G1317-AM1317)*F1317,0)&amp;"; ","")&amp;IF(AND(BT1317=1,BU1317&lt;BV1317),"MAX &lt; MB+LG; ","")&amp;IF(AND(BZ1317&gt;0,BY1317*10&gt;BZ1317),"zu hoch für Tablar; ","")&amp;IF(AND(BK1317=0,OR(BT1317=1,V1317&lt;&gt;"",S1317&lt;&gt;"",T1317&lt;&gt;"",W1317&lt;&gt;"")),"manuell übersteuert; ","")&amp;IF(AND(BO1317=0,Q1317=0),"Gebinde unbekannt; ","")&amp;IF(AND(BO1317=0,N(T1317)&lt;=0,N(P1317)&lt;=0),"Menge pro Gebinde fehlt (Ist = 1 Gebinde); ","")&amp;BJ1317)</f>
        <v/>
      </c>
      <c r="BC1317" s="53" t="n"/>
      <c r="BD1317" s="53" t="n"/>
      <c r="BE1317" s="61" t="n"/>
      <c r="BF1317" s="55" t="n">
        <v>-1</v>
      </c>
      <c r="BG1317" s="55" t="n">
        <v>2</v>
      </c>
      <c r="BH1317" s="54" t="n">
        <v>-1350.540000000001</v>
      </c>
      <c r="BI1317" s="55" t="n">
        <v>12</v>
      </c>
      <c r="BJ1317" s="53" t="inlineStr">
        <is>
          <t>Twin</t>
        </is>
      </c>
      <c r="BK1317" s="58" t="n">
        <v>0</v>
      </c>
      <c r="BL1317" s="58" t="n">
        <v>1317</v>
      </c>
      <c r="BM1317" s="53">
        <f>IF(S1317&lt;&gt;"",UPPER(TRIM(S1317)),IF(O1317="","LOSE",O1317))</f>
        <v/>
      </c>
      <c r="BN1317" s="55">
        <f>IF(BM1317="LOSE",1,IF(N(T1317)&gt;0,T1317,IF(N(P1317)&gt;0,P1317,MAX(1,G1317))))</f>
        <v/>
      </c>
      <c r="BO1317" s="58">
        <f>IF(BM1317="LOSE",1,0)</f>
        <v/>
      </c>
      <c r="BP1317" s="64">
        <f>IF(BO1317=0,0,IF(N(R1317)&gt;0,R1317,IFERROR(VLOOKUP(D1317,Parameter!$A$35:$C$64,3,0)+0,0)))</f>
        <v/>
      </c>
      <c r="BQ1317" s="53">
        <f>IF(V1317&lt;&gt;"",V1317,U1317)</f>
        <v/>
      </c>
      <c r="BR1317" s="53">
        <f>IF(BQ1317=1,"L1",IF(OR(BQ1317=2,BQ1317=3),"L23",IF(BQ1317="Aussen","Aussen","-")))</f>
        <v/>
      </c>
      <c r="BS1317" s="66">
        <f>IF(N(W1317)&gt;0,W1317,0)</f>
        <v/>
      </c>
      <c r="BT1317" s="58">
        <f>IF(ISNUMBER(Z1317),1,0)</f>
        <v/>
      </c>
      <c r="BU1317" s="55">
        <f>N(Z1317)</f>
        <v/>
      </c>
      <c r="BV1317" s="55">
        <f>N(L1317)+N(M1317)</f>
        <v/>
      </c>
      <c r="BW1317" s="55">
        <f>ROUNDUP(G1317/BN1317,0)</f>
        <v/>
      </c>
      <c r="BX1317" s="55">
        <f>ROUNDUP(BU1317/BN1317,0)</f>
        <v/>
      </c>
      <c r="BY1317" s="58">
        <f>IF(BO1317=1,0,IFERROR(VLOOKUP(BM1317,'Gebinde-Kategorie'!$A$5:$G$45,5,0)+0,0))</f>
        <v/>
      </c>
      <c r="BZ1317" s="58">
        <f>IFERROR(IF(OR(BQ1317=1,BQ1317=2,BQ1317=3),N(INDEX(Parameter!$I$5:$I$7,BQ1317)),0),0)</f>
        <v/>
      </c>
    </row>
    <row r="1318">
      <c r="A1318" s="53" t="inlineStr">
        <is>
          <t>105980</t>
        </is>
      </c>
      <c r="B1318" s="53" t="inlineStr">
        <is>
          <t>Gasdruckspeicher Gehäuse SPGr16</t>
        </is>
      </c>
      <c r="C1318" s="53" t="inlineStr">
        <is>
          <t>F</t>
        </is>
      </c>
      <c r="D1318" s="53" t="inlineStr">
        <is>
          <t>PAL</t>
        </is>
      </c>
      <c r="E1318" s="53" t="inlineStr">
        <is>
          <t>C</t>
        </is>
      </c>
      <c r="F1318" s="54" t="n">
        <v>724.26</v>
      </c>
      <c r="G1318" s="55">
        <f>MAX(0,IF(Parameter!$B$20="Jahresanfang 2025 + Export",BG1318+BF1318,BF1318))</f>
        <v/>
      </c>
      <c r="H1318" s="55">
        <f>G1318*F1318</f>
        <v/>
      </c>
      <c r="I1318" s="55">
        <f>BI1318*Parameter!$B$18</f>
        <v/>
      </c>
      <c r="J1318" s="56" t="n">
        <v>11.5</v>
      </c>
      <c r="K1318" s="57" t="n">
        <v>2.08695652173913</v>
      </c>
      <c r="L1318" s="55" t="n">
        <v>5</v>
      </c>
      <c r="M1318" s="55" t="n">
        <v>10</v>
      </c>
      <c r="N1318" s="58" t="n">
        <v>70</v>
      </c>
      <c r="O1318" s="53" t="inlineStr">
        <is>
          <t>S71</t>
        </is>
      </c>
      <c r="P1318" s="55" t="n">
        <v>9</v>
      </c>
      <c r="Q1318" s="59">
        <f>IF(BO1318=1,0,IFERROR(VLOOKUP(BM1318,'Gebinde-Kategorie'!$A$5:$G$45,6,0)+0,0))</f>
        <v/>
      </c>
      <c r="R1318" s="60" t="n"/>
      <c r="S1318" s="61" t="n"/>
      <c r="T1318" s="61" t="n"/>
      <c r="U1318" s="53">
        <f>IF(A1318="","",IF(IFERROR(VLOOKUP(D1318,Parameter!$A$35:$C$64,2,0),"Nein")="2+3",IF(ISNUMBER(SEARCH("grosser Artikel",BJ1318)),2,IFERROR(VLOOKUP(BM1318,Parameter!$F$35:$G$64,2,0),2)),IF(OR(IFERROR(VLOOKUP(D1318,Parameter!$A$35:$C$64,2,0),"Nein")="Nein",IFERROR(VLOOKUP(D1318,Parameter!$A$35:$C$64,2,0),"Nein")=""),"-",VLOOKUP(D1318,Parameter!$A$35:$C$64,2,0))))</f>
        <v/>
      </c>
      <c r="V1318" s="61" t="n"/>
      <c r="W1318" s="62" t="n"/>
      <c r="X1318" s="55">
        <f>AM1318</f>
        <v/>
      </c>
      <c r="Y1318" s="55">
        <f>MAX(AM1318,G1318)</f>
        <v/>
      </c>
      <c r="Z1318" s="63" t="n"/>
      <c r="AA1318" s="55">
        <f>IF(LEFT(Cockpit!$C$5,1)="A",G1318,IF(BT1318=1,BU1318,IF(LEFT(Cockpit!$C$5,1)="B",AE1318,MAX(AE1318,G1318))))</f>
        <v/>
      </c>
      <c r="AB1318" s="55">
        <f>IF(BO1318=1,0,ROUNDUP(AA1318/BN1318,0))</f>
        <v/>
      </c>
      <c r="AC1318" s="64">
        <f>IF(BO1318=1,IF(AA1318&lt;=0,0,BP1318*MAX(1,IF(G1318&gt;0,AA1318/G1318,1))),AB1318*Q1318)</f>
        <v/>
      </c>
      <c r="AD1318" s="55">
        <f>AA1318*F1318</f>
        <v/>
      </c>
      <c r="AE1318" s="55">
        <f>ROUNDUP(MAX(I1318/IF(BS1318&gt;0,BS1318,MAX(0.1,N(Cockpit!$C$6))),BV1318)/BN1318,0)*BN1318</f>
        <v/>
      </c>
      <c r="AF1318" s="56">
        <f>IF(AC1318&gt;0,I1318/AC1318,-1)</f>
        <v/>
      </c>
      <c r="AG1318" s="56">
        <f>IF(AND(OR(BR1318="L1",BR1318="L23"),AC1318&gt;0),SUMIFS($AC$7:$AC$1570,$BR$7:$BR$1570,BR1318,$AF$7:$AF$1570,"&gt;"&amp;AF1318)+SUMIFS($AC$7:$AC$1570,$BR$7:$BR$1570,BR1318,$AF$7:$AF$1570,AF1318,$BL$7:$BL$1570,"&lt;="&amp;BL1318),"")</f>
        <v/>
      </c>
      <c r="AH1318" s="65">
        <f>IF(AG1318="",0,MAX(0,MIN(1,(IF(BR1318="L1",Parameter!$K$5,Parameter!$K$6+Parameter!$K$7)-(AG1318-AC1318))/AC1318)))</f>
        <v/>
      </c>
      <c r="AI1318" s="55">
        <f>IF(LEFT(Cockpit!$I$5,1)="A",G1318,IF(BT1318=1,BU1318,IF(LEFT(Cockpit!$I$5,1)="B",AM1318,MAX(AM1318,G1318))))</f>
        <v/>
      </c>
      <c r="AJ1318" s="55">
        <f>IF(BO1318=1,0,ROUNDUP(AI1318/BN1318,0))</f>
        <v/>
      </c>
      <c r="AK1318" s="64">
        <f>IF(BO1318=1,IF(AI1318&lt;=0,0,BP1318*MAX(1,IF(G1318&gt;0,AI1318/G1318,1))),AJ1318*Q1318)</f>
        <v/>
      </c>
      <c r="AL1318" s="55">
        <f>AI1318*F1318</f>
        <v/>
      </c>
      <c r="AM1318" s="55">
        <f>ROUNDUP(MAX(I1318/IF(BS1318&gt;0,BS1318,MAX(0.1,N(Cockpit!$I$6))),BV1318)/BN1318,0)*BN1318</f>
        <v/>
      </c>
      <c r="AN1318" s="56">
        <f>IF(AK1318&gt;0,I1318/AK1318,-1)</f>
        <v/>
      </c>
      <c r="AO1318" s="56">
        <f>IF(AND(OR(BR1318="L1",BR1318="L23"),AK1318&gt;0),SUMIFS($AK$7:$AK$1570,$BR$7:$BR$1570,BR1318,$AN$7:$AN$1570,"&gt;"&amp;AN1318)+SUMIFS($AK$7:$AK$1570,$BR$7:$BR$1570,BR1318,$AN$7:$AN$1570,AN1318,$BL$7:$BL$1570,"&lt;="&amp;BL1318),"")</f>
        <v/>
      </c>
      <c r="AP1318" s="65">
        <f>IF(AO1318="",0,MAX(0,MIN(1,(IF(BR1318="L1",Parameter!$K$5,Parameter!$K$6+Parameter!$K$7)-(AO1318-AK1318))/AK1318)))</f>
        <v/>
      </c>
      <c r="AQ1318" s="55">
        <f>IF(LEFT(Cockpit!$O$5,1)="A",G1318,IF(BT1318=1,BU1318,IF(LEFT(Cockpit!$O$5,1)="B",AU1318,MAX(AU1318,G1318))))</f>
        <v/>
      </c>
      <c r="AR1318" s="55">
        <f>IF(BO1318=1,0,ROUNDUP(AQ1318/BN1318,0))</f>
        <v/>
      </c>
      <c r="AS1318" s="64">
        <f>IF(BO1318=1,IF(AQ1318&lt;=0,0,BP1318*MAX(1,IF(G1318&gt;0,AQ1318/G1318,1))),AR1318*Q1318)</f>
        <v/>
      </c>
      <c r="AT1318" s="55">
        <f>AQ1318*F1318</f>
        <v/>
      </c>
      <c r="AU1318" s="55">
        <f>ROUNDUP(MAX(I1318/IF(BS1318&gt;0,BS1318,MAX(0.1,N(Cockpit!$O$6))),BV1318)/BN1318,0)*BN1318</f>
        <v/>
      </c>
      <c r="AV1318" s="56">
        <f>IF(AS1318&gt;0,I1318/AS1318,-1)</f>
        <v/>
      </c>
      <c r="AW1318" s="56">
        <f>IF(AND(OR(BR1318="L1",BR1318="L23"),AS1318&gt;0),SUMIFS($AS$7:$AS$1570,$BR$7:$BR$1570,BR1318,$AV$7:$AV$1570,"&gt;"&amp;AV1318)+SUMIFS($AS$7:$AS$1570,$BR$7:$BR$1570,BR1318,$AV$7:$AV$1570,AV1318,$BL$7:$BL$1570,"&lt;="&amp;BL1318),"")</f>
        <v/>
      </c>
      <c r="AX1318" s="65">
        <f>IF(AW1318="",0,MAX(0,MIN(1,(IF(BR1318="L1",Parameter!$K$5,Parameter!$K$6+Parameter!$K$7)-(AW1318-AS1318))/AS1318)))</f>
        <v/>
      </c>
      <c r="AY1318" s="53">
        <f>IF(AC1318&lt;=0,"",IF(BR1318="Aussen","Aussenlager",IF(BR1318="-","Nicht im Lift",IF(AH1318&gt;=1,"Lift",IF(AH1318&lt;=0,"Aussenlager","teilweise")))))</f>
        <v/>
      </c>
      <c r="AZ1318" s="53">
        <f>IF(AK1318&lt;=0,"",IF(BR1318="Aussen","Aussenlager",IF(BR1318="-","Nicht im Lift",IF(AP1318&gt;=1,"Lift",IF(AP1318&lt;=0,"Aussenlager","teilweise")))))</f>
        <v/>
      </c>
      <c r="BA1318" s="53">
        <f>IF(AS1318&lt;=0,"",IF(BR1318="Aussen","Aussenlager",IF(BR1318="-","Nicht im Lift",IF(AX1318&gt;=1,"Lift",IF(AX1318&lt;=0,"Aussenlager","teilweise")))))</f>
        <v/>
      </c>
      <c r="BB1318" s="53">
        <f>IF(A1318="","",IF(BK1318=1,"Neu; ","")&amp;IF(AND(BK1318=0,BF1318&lt;0),"negativer Bestand (Export "&amp;BF1318&amp;"); ","")&amp;IF(I1318&lt;=0,"Kein Verbrauch; ","")&amp;IF(BO1318=1,"Lose – Fläche geschätzt; ","")&amp;IF(G1318&gt;AM1318,"Überbestand "&amp;ROUND(G1318-AM1318,0)&amp;" Stk / CHF "&amp;ROUND((G1318-AM1318)*F1318,0)&amp;"; ","")&amp;IF(AND(BT1318=1,BU1318&lt;BV1318),"MAX &lt; MB+LG; ","")&amp;IF(AND(BZ1318&gt;0,BY1318*10&gt;BZ1318),"zu hoch für Tablar; ","")&amp;IF(AND(BK1318=0,OR(BT1318=1,V1318&lt;&gt;"",S1318&lt;&gt;"",T1318&lt;&gt;"",W1318&lt;&gt;"")),"manuell übersteuert; ","")&amp;IF(AND(BO1318=0,Q1318=0),"Gebinde unbekannt; ","")&amp;IF(AND(BO1318=0,N(T1318)&lt;=0,N(P1318)&lt;=0),"Menge pro Gebinde fehlt (Ist = 1 Gebinde); ","")&amp;BJ1318)</f>
        <v/>
      </c>
      <c r="BC1318" s="53" t="n"/>
      <c r="BD1318" s="53" t="n"/>
      <c r="BE1318" s="61" t="n"/>
      <c r="BF1318" s="55" t="n">
        <v>-7</v>
      </c>
      <c r="BG1318" s="55" t="n">
        <v>16</v>
      </c>
      <c r="BH1318" s="54" t="n">
        <v>-1388.670000000006</v>
      </c>
      <c r="BI1318" s="55" t="n">
        <v>24</v>
      </c>
      <c r="BJ1318" s="53" t="inlineStr"/>
      <c r="BK1318" s="58" t="n">
        <v>0</v>
      </c>
      <c r="BL1318" s="58" t="n">
        <v>1318</v>
      </c>
      <c r="BM1318" s="53">
        <f>IF(S1318&lt;&gt;"",UPPER(TRIM(S1318)),IF(O1318="","LOSE",O1318))</f>
        <v/>
      </c>
      <c r="BN1318" s="55">
        <f>IF(BM1318="LOSE",1,IF(N(T1318)&gt;0,T1318,IF(N(P1318)&gt;0,P1318,MAX(1,G1318))))</f>
        <v/>
      </c>
      <c r="BO1318" s="58">
        <f>IF(BM1318="LOSE",1,0)</f>
        <v/>
      </c>
      <c r="BP1318" s="64">
        <f>IF(BO1318=0,0,IF(N(R1318)&gt;0,R1318,IFERROR(VLOOKUP(D1318,Parameter!$A$35:$C$64,3,0)+0,0)))</f>
        <v/>
      </c>
      <c r="BQ1318" s="53">
        <f>IF(V1318&lt;&gt;"",V1318,U1318)</f>
        <v/>
      </c>
      <c r="BR1318" s="53">
        <f>IF(BQ1318=1,"L1",IF(OR(BQ1318=2,BQ1318=3),"L23",IF(BQ1318="Aussen","Aussen","-")))</f>
        <v/>
      </c>
      <c r="BS1318" s="66">
        <f>IF(N(W1318)&gt;0,W1318,0)</f>
        <v/>
      </c>
      <c r="BT1318" s="58">
        <f>IF(ISNUMBER(Z1318),1,0)</f>
        <v/>
      </c>
      <c r="BU1318" s="55">
        <f>N(Z1318)</f>
        <v/>
      </c>
      <c r="BV1318" s="55">
        <f>N(L1318)+N(M1318)</f>
        <v/>
      </c>
      <c r="BW1318" s="55">
        <f>ROUNDUP(G1318/BN1318,0)</f>
        <v/>
      </c>
      <c r="BX1318" s="55">
        <f>ROUNDUP(BU1318/BN1318,0)</f>
        <v/>
      </c>
      <c r="BY1318" s="58">
        <f>IF(BO1318=1,0,IFERROR(VLOOKUP(BM1318,'Gebinde-Kategorie'!$A$5:$G$45,5,0)+0,0))</f>
        <v/>
      </c>
      <c r="BZ1318" s="58">
        <f>IFERROR(IF(OR(BQ1318=1,BQ1318=2,BQ1318=3),N(INDEX(Parameter!$I$5:$I$7,BQ1318)),0),0)</f>
        <v/>
      </c>
    </row>
    <row r="1319">
      <c r="A1319" s="53" t="inlineStr">
        <is>
          <t>001204</t>
        </is>
      </c>
      <c r="B1319" s="53" t="inlineStr">
        <is>
          <t>Holzkiste SPGr16 + SPC800 Luft &amp; See</t>
        </is>
      </c>
      <c r="C1319" s="53" t="inlineStr">
        <is>
          <t>F</t>
        </is>
      </c>
      <c r="D1319" s="53" t="inlineStr">
        <is>
          <t>PAL</t>
        </is>
      </c>
      <c r="E1319" s="53" t="inlineStr">
        <is>
          <t>C</t>
        </is>
      </c>
      <c r="F1319" s="54" t="n">
        <v>701.08</v>
      </c>
      <c r="G1319" s="55">
        <f>MAX(0,IF(Parameter!$B$20="Jahresanfang 2025 + Export",BG1319+BF1319,BF1319))</f>
        <v/>
      </c>
      <c r="H1319" s="55">
        <f>G1319*F1319</f>
        <v/>
      </c>
      <c r="I1319" s="55">
        <f>BI1319*Parameter!$B$18</f>
        <v/>
      </c>
      <c r="J1319" s="56" t="n">
        <v>3</v>
      </c>
      <c r="K1319" s="57" t="n">
        <v>0.6666666666666666</v>
      </c>
      <c r="L1319" s="55" t="n">
        <v>0</v>
      </c>
      <c r="M1319" s="55" t="n">
        <v>1</v>
      </c>
      <c r="N1319" s="58" t="n">
        <v>14</v>
      </c>
      <c r="O1319" s="53" t="inlineStr">
        <is>
          <t>LOSE</t>
        </is>
      </c>
      <c r="P1319" s="55" t="n"/>
      <c r="Q1319" s="59">
        <f>IF(BO1319=1,0,IFERROR(VLOOKUP(BM1319,'Gebinde-Kategorie'!$A$5:$G$45,6,0)+0,0))</f>
        <v/>
      </c>
      <c r="R1319" s="60" t="n"/>
      <c r="S1319" s="61" t="n"/>
      <c r="T1319" s="61" t="n"/>
      <c r="U1319" s="53">
        <f>IF(A1319="","",IF(IFERROR(VLOOKUP(D1319,Parameter!$A$35:$C$64,2,0),"Nein")="2+3",IF(ISNUMBER(SEARCH("grosser Artikel",BJ1319)),2,IFERROR(VLOOKUP(BM1319,Parameter!$F$35:$G$64,2,0),2)),IF(OR(IFERROR(VLOOKUP(D1319,Parameter!$A$35:$C$64,2,0),"Nein")="Nein",IFERROR(VLOOKUP(D1319,Parameter!$A$35:$C$64,2,0),"Nein")=""),"-",VLOOKUP(D1319,Parameter!$A$35:$C$64,2,0))))</f>
        <v/>
      </c>
      <c r="V1319" s="61" t="n"/>
      <c r="W1319" s="62" t="n"/>
      <c r="X1319" s="55">
        <f>AM1319</f>
        <v/>
      </c>
      <c r="Y1319" s="55">
        <f>MAX(AM1319,G1319)</f>
        <v/>
      </c>
      <c r="Z1319" s="63" t="n"/>
      <c r="AA1319" s="55">
        <f>IF(LEFT(Cockpit!$C$5,1)="A",G1319,IF(BT1319=1,BU1319,IF(LEFT(Cockpit!$C$5,1)="B",AE1319,MAX(AE1319,G1319))))</f>
        <v/>
      </c>
      <c r="AB1319" s="55">
        <f>IF(BO1319=1,0,ROUNDUP(AA1319/BN1319,0))</f>
        <v/>
      </c>
      <c r="AC1319" s="64">
        <f>IF(BO1319=1,IF(AA1319&lt;=0,0,BP1319*MAX(1,IF(G1319&gt;0,AA1319/G1319,1))),AB1319*Q1319)</f>
        <v/>
      </c>
      <c r="AD1319" s="55">
        <f>AA1319*F1319</f>
        <v/>
      </c>
      <c r="AE1319" s="55">
        <f>ROUNDUP(MAX(I1319/IF(BS1319&gt;0,BS1319,MAX(0.1,N(Cockpit!$C$6))),BV1319)/BN1319,0)*BN1319</f>
        <v/>
      </c>
      <c r="AF1319" s="56">
        <f>IF(AC1319&gt;0,I1319/AC1319,-1)</f>
        <v/>
      </c>
      <c r="AG1319" s="56">
        <f>IF(AND(OR(BR1319="L1",BR1319="L23"),AC1319&gt;0),SUMIFS($AC$7:$AC$1570,$BR$7:$BR$1570,BR1319,$AF$7:$AF$1570,"&gt;"&amp;AF1319)+SUMIFS($AC$7:$AC$1570,$BR$7:$BR$1570,BR1319,$AF$7:$AF$1570,AF1319,$BL$7:$BL$1570,"&lt;="&amp;BL1319),"")</f>
        <v/>
      </c>
      <c r="AH1319" s="65">
        <f>IF(AG1319="",0,MAX(0,MIN(1,(IF(BR1319="L1",Parameter!$K$5,Parameter!$K$6+Parameter!$K$7)-(AG1319-AC1319))/AC1319)))</f>
        <v/>
      </c>
      <c r="AI1319" s="55">
        <f>IF(LEFT(Cockpit!$I$5,1)="A",G1319,IF(BT1319=1,BU1319,IF(LEFT(Cockpit!$I$5,1)="B",AM1319,MAX(AM1319,G1319))))</f>
        <v/>
      </c>
      <c r="AJ1319" s="55">
        <f>IF(BO1319=1,0,ROUNDUP(AI1319/BN1319,0))</f>
        <v/>
      </c>
      <c r="AK1319" s="64">
        <f>IF(BO1319=1,IF(AI1319&lt;=0,0,BP1319*MAX(1,IF(G1319&gt;0,AI1319/G1319,1))),AJ1319*Q1319)</f>
        <v/>
      </c>
      <c r="AL1319" s="55">
        <f>AI1319*F1319</f>
        <v/>
      </c>
      <c r="AM1319" s="55">
        <f>ROUNDUP(MAX(I1319/IF(BS1319&gt;0,BS1319,MAX(0.1,N(Cockpit!$I$6))),BV1319)/BN1319,0)*BN1319</f>
        <v/>
      </c>
      <c r="AN1319" s="56">
        <f>IF(AK1319&gt;0,I1319/AK1319,-1)</f>
        <v/>
      </c>
      <c r="AO1319" s="56">
        <f>IF(AND(OR(BR1319="L1",BR1319="L23"),AK1319&gt;0),SUMIFS($AK$7:$AK$1570,$BR$7:$BR$1570,BR1319,$AN$7:$AN$1570,"&gt;"&amp;AN1319)+SUMIFS($AK$7:$AK$1570,$BR$7:$BR$1570,BR1319,$AN$7:$AN$1570,AN1319,$BL$7:$BL$1570,"&lt;="&amp;BL1319),"")</f>
        <v/>
      </c>
      <c r="AP1319" s="65">
        <f>IF(AO1319="",0,MAX(0,MIN(1,(IF(BR1319="L1",Parameter!$K$5,Parameter!$K$6+Parameter!$K$7)-(AO1319-AK1319))/AK1319)))</f>
        <v/>
      </c>
      <c r="AQ1319" s="55">
        <f>IF(LEFT(Cockpit!$O$5,1)="A",G1319,IF(BT1319=1,BU1319,IF(LEFT(Cockpit!$O$5,1)="B",AU1319,MAX(AU1319,G1319))))</f>
        <v/>
      </c>
      <c r="AR1319" s="55">
        <f>IF(BO1319=1,0,ROUNDUP(AQ1319/BN1319,0))</f>
        <v/>
      </c>
      <c r="AS1319" s="64">
        <f>IF(BO1319=1,IF(AQ1319&lt;=0,0,BP1319*MAX(1,IF(G1319&gt;0,AQ1319/G1319,1))),AR1319*Q1319)</f>
        <v/>
      </c>
      <c r="AT1319" s="55">
        <f>AQ1319*F1319</f>
        <v/>
      </c>
      <c r="AU1319" s="55">
        <f>ROUNDUP(MAX(I1319/IF(BS1319&gt;0,BS1319,MAX(0.1,N(Cockpit!$O$6))),BV1319)/BN1319,0)*BN1319</f>
        <v/>
      </c>
      <c r="AV1319" s="56">
        <f>IF(AS1319&gt;0,I1319/AS1319,-1)</f>
        <v/>
      </c>
      <c r="AW1319" s="56">
        <f>IF(AND(OR(BR1319="L1",BR1319="L23"),AS1319&gt;0),SUMIFS($AS$7:$AS$1570,$BR$7:$BR$1570,BR1319,$AV$7:$AV$1570,"&gt;"&amp;AV1319)+SUMIFS($AS$7:$AS$1570,$BR$7:$BR$1570,BR1319,$AV$7:$AV$1570,AV1319,$BL$7:$BL$1570,"&lt;="&amp;BL1319),"")</f>
        <v/>
      </c>
      <c r="AX1319" s="65">
        <f>IF(AW1319="",0,MAX(0,MIN(1,(IF(BR1319="L1",Parameter!$K$5,Parameter!$K$6+Parameter!$K$7)-(AW1319-AS1319))/AS1319)))</f>
        <v/>
      </c>
      <c r="AY1319" s="53">
        <f>IF(AC1319&lt;=0,"",IF(BR1319="Aussen","Aussenlager",IF(BR1319="-","Nicht im Lift",IF(AH1319&gt;=1,"Lift",IF(AH1319&lt;=0,"Aussenlager","teilweise")))))</f>
        <v/>
      </c>
      <c r="AZ1319" s="53">
        <f>IF(AK1319&lt;=0,"",IF(BR1319="Aussen","Aussenlager",IF(BR1319="-","Nicht im Lift",IF(AP1319&gt;=1,"Lift",IF(AP1319&lt;=0,"Aussenlager","teilweise")))))</f>
        <v/>
      </c>
      <c r="BA1319" s="53">
        <f>IF(AS1319&lt;=0,"",IF(BR1319="Aussen","Aussenlager",IF(BR1319="-","Nicht im Lift",IF(AX1319&gt;=1,"Lift",IF(AX1319&lt;=0,"Aussenlager","teilweise")))))</f>
        <v/>
      </c>
      <c r="BB1319" s="53">
        <f>IF(A1319="","",IF(BK1319=1,"Neu; ","")&amp;IF(AND(BK1319=0,BF1319&lt;0),"negativer Bestand (Export "&amp;BF1319&amp;"); ","")&amp;IF(I1319&lt;=0,"Kein Verbrauch; ","")&amp;IF(BO1319=1,"Lose – Fläche geschätzt; ","")&amp;IF(G1319&gt;AM1319,"Überbestand "&amp;ROUND(G1319-AM1319,0)&amp;" Stk / CHF "&amp;ROUND((G1319-AM1319)*F1319,0)&amp;"; ","")&amp;IF(AND(BT1319=1,BU1319&lt;BV1319),"MAX &lt; MB+LG; ","")&amp;IF(AND(BZ1319&gt;0,BY1319*10&gt;BZ1319),"zu hoch für Tablar; ","")&amp;IF(AND(BK1319=0,OR(BT1319=1,V1319&lt;&gt;"",S1319&lt;&gt;"",T1319&lt;&gt;"",W1319&lt;&gt;"")),"manuell übersteuert; ","")&amp;IF(AND(BO1319=0,Q1319=0),"Gebinde unbekannt; ","")&amp;IF(AND(BO1319=0,N(T1319)&lt;=0,N(P1319)&lt;=0),"Menge pro Gebinde fehlt (Ist = 1 Gebinde); ","")&amp;BJ1319)</f>
        <v/>
      </c>
      <c r="BC1319" s="53" t="n"/>
      <c r="BD1319" s="53" t="n"/>
      <c r="BE1319" s="61" t="n"/>
      <c r="BF1319" s="55" t="n">
        <v>-2</v>
      </c>
      <c r="BG1319" s="55" t="n">
        <v>2</v>
      </c>
      <c r="BH1319" s="54" t="n">
        <v>-1402.16</v>
      </c>
      <c r="BI1319" s="55" t="n">
        <v>2</v>
      </c>
      <c r="BJ1319" s="53" t="inlineStr"/>
      <c r="BK1319" s="58" t="n">
        <v>0</v>
      </c>
      <c r="BL1319" s="58" t="n">
        <v>1319</v>
      </c>
      <c r="BM1319" s="53">
        <f>IF(S1319&lt;&gt;"",UPPER(TRIM(S1319)),IF(O1319="","LOSE",O1319))</f>
        <v/>
      </c>
      <c r="BN1319" s="55">
        <f>IF(BM1319="LOSE",1,IF(N(T1319)&gt;0,T1319,IF(N(P1319)&gt;0,P1319,MAX(1,G1319))))</f>
        <v/>
      </c>
      <c r="BO1319" s="58">
        <f>IF(BM1319="LOSE",1,0)</f>
        <v/>
      </c>
      <c r="BP1319" s="64">
        <f>IF(BO1319=0,0,IF(N(R1319)&gt;0,R1319,IFERROR(VLOOKUP(D1319,Parameter!$A$35:$C$64,3,0)+0,0)))</f>
        <v/>
      </c>
      <c r="BQ1319" s="53">
        <f>IF(V1319&lt;&gt;"",V1319,U1319)</f>
        <v/>
      </c>
      <c r="BR1319" s="53">
        <f>IF(BQ1319=1,"L1",IF(OR(BQ1319=2,BQ1319=3),"L23",IF(BQ1319="Aussen","Aussen","-")))</f>
        <v/>
      </c>
      <c r="BS1319" s="66">
        <f>IF(N(W1319)&gt;0,W1319,0)</f>
        <v/>
      </c>
      <c r="BT1319" s="58">
        <f>IF(ISNUMBER(Z1319),1,0)</f>
        <v/>
      </c>
      <c r="BU1319" s="55">
        <f>N(Z1319)</f>
        <v/>
      </c>
      <c r="BV1319" s="55">
        <f>N(L1319)+N(M1319)</f>
        <v/>
      </c>
      <c r="BW1319" s="55">
        <f>ROUNDUP(G1319/BN1319,0)</f>
        <v/>
      </c>
      <c r="BX1319" s="55">
        <f>ROUNDUP(BU1319/BN1319,0)</f>
        <v/>
      </c>
      <c r="BY1319" s="58">
        <f>IF(BO1319=1,0,IFERROR(VLOOKUP(BM1319,'Gebinde-Kategorie'!$A$5:$G$45,5,0)+0,0))</f>
        <v/>
      </c>
      <c r="BZ1319" s="58">
        <f>IFERROR(IF(OR(BQ1319=1,BQ1319=2,BQ1319=3),N(INDEX(Parameter!$I$5:$I$7,BQ1319)),0),0)</f>
        <v/>
      </c>
    </row>
    <row r="1320">
      <c r="A1320" s="53" t="inlineStr">
        <is>
          <t>107137</t>
        </is>
      </c>
      <c r="B1320" s="53" t="inlineStr">
        <is>
          <t>Servicepaket AC260-SVC12</t>
        </is>
      </c>
      <c r="C1320" s="53" t="inlineStr">
        <is>
          <t>F</t>
        </is>
      </c>
      <c r="D1320" s="53" t="inlineStr">
        <is>
          <t>KTL</t>
        </is>
      </c>
      <c r="E1320" s="53" t="inlineStr">
        <is>
          <t>C</t>
        </is>
      </c>
      <c r="F1320" s="54" t="n">
        <v>564.84</v>
      </c>
      <c r="G1320" s="55">
        <f>MAX(0,IF(Parameter!$B$20="Jahresanfang 2025 + Export",BG1320+BF1320,BF1320))</f>
        <v/>
      </c>
      <c r="H1320" s="55">
        <f>G1320*F1320</f>
        <v/>
      </c>
      <c r="I1320" s="55">
        <f>BI1320*Parameter!$B$18</f>
        <v/>
      </c>
      <c r="J1320" s="56" t="n">
        <v>3.5</v>
      </c>
      <c r="K1320" s="57" t="n">
        <v>4.285714285714286</v>
      </c>
      <c r="L1320" s="55" t="n">
        <v>0</v>
      </c>
      <c r="M1320" s="55" t="n">
        <v>10</v>
      </c>
      <c r="N1320" s="58" t="n">
        <v>21</v>
      </c>
      <c r="O1320" s="53" t="inlineStr">
        <is>
          <t>S63</t>
        </is>
      </c>
      <c r="P1320" s="55" t="n">
        <v>8</v>
      </c>
      <c r="Q1320" s="59">
        <f>IF(BO1320=1,0,IFERROR(VLOOKUP(BM1320,'Gebinde-Kategorie'!$A$5:$G$45,6,0)+0,0))</f>
        <v/>
      </c>
      <c r="R1320" s="60" t="n"/>
      <c r="S1320" s="61" t="n"/>
      <c r="T1320" s="61" t="n"/>
      <c r="U1320" s="53">
        <f>IF(A1320="","",IF(IFERROR(VLOOKUP(D1320,Parameter!$A$35:$C$64,2,0),"Nein")="2+3",IF(ISNUMBER(SEARCH("grosser Artikel",BJ1320)),2,IFERROR(VLOOKUP(BM1320,Parameter!$F$35:$G$64,2,0),2)),IF(OR(IFERROR(VLOOKUP(D1320,Parameter!$A$35:$C$64,2,0),"Nein")="Nein",IFERROR(VLOOKUP(D1320,Parameter!$A$35:$C$64,2,0),"Nein")=""),"-",VLOOKUP(D1320,Parameter!$A$35:$C$64,2,0))))</f>
        <v/>
      </c>
      <c r="V1320" s="61" t="n"/>
      <c r="W1320" s="62" t="n"/>
      <c r="X1320" s="55">
        <f>AM1320</f>
        <v/>
      </c>
      <c r="Y1320" s="55">
        <f>MAX(AM1320,G1320)</f>
        <v/>
      </c>
      <c r="Z1320" s="63" t="n"/>
      <c r="AA1320" s="55">
        <f>IF(LEFT(Cockpit!$C$5,1)="A",G1320,IF(BT1320=1,BU1320,IF(LEFT(Cockpit!$C$5,1)="B",AE1320,MAX(AE1320,G1320))))</f>
        <v/>
      </c>
      <c r="AB1320" s="55">
        <f>IF(BO1320=1,0,ROUNDUP(AA1320/BN1320,0))</f>
        <v/>
      </c>
      <c r="AC1320" s="64">
        <f>IF(BO1320=1,IF(AA1320&lt;=0,0,BP1320*MAX(1,IF(G1320&gt;0,AA1320/G1320,1))),AB1320*Q1320)</f>
        <v/>
      </c>
      <c r="AD1320" s="55">
        <f>AA1320*F1320</f>
        <v/>
      </c>
      <c r="AE1320" s="55">
        <f>ROUNDUP(MAX(I1320/IF(BS1320&gt;0,BS1320,MAX(0.1,N(Cockpit!$C$6))),BV1320)/BN1320,0)*BN1320</f>
        <v/>
      </c>
      <c r="AF1320" s="56">
        <f>IF(AC1320&gt;0,I1320/AC1320,-1)</f>
        <v/>
      </c>
      <c r="AG1320" s="56">
        <f>IF(AND(OR(BR1320="L1",BR1320="L23"),AC1320&gt;0),SUMIFS($AC$7:$AC$1570,$BR$7:$BR$1570,BR1320,$AF$7:$AF$1570,"&gt;"&amp;AF1320)+SUMIFS($AC$7:$AC$1570,$BR$7:$BR$1570,BR1320,$AF$7:$AF$1570,AF1320,$BL$7:$BL$1570,"&lt;="&amp;BL1320),"")</f>
        <v/>
      </c>
      <c r="AH1320" s="65">
        <f>IF(AG1320="",0,MAX(0,MIN(1,(IF(BR1320="L1",Parameter!$K$5,Parameter!$K$6+Parameter!$K$7)-(AG1320-AC1320))/AC1320)))</f>
        <v/>
      </c>
      <c r="AI1320" s="55">
        <f>IF(LEFT(Cockpit!$I$5,1)="A",G1320,IF(BT1320=1,BU1320,IF(LEFT(Cockpit!$I$5,1)="B",AM1320,MAX(AM1320,G1320))))</f>
        <v/>
      </c>
      <c r="AJ1320" s="55">
        <f>IF(BO1320=1,0,ROUNDUP(AI1320/BN1320,0))</f>
        <v/>
      </c>
      <c r="AK1320" s="64">
        <f>IF(BO1320=1,IF(AI1320&lt;=0,0,BP1320*MAX(1,IF(G1320&gt;0,AI1320/G1320,1))),AJ1320*Q1320)</f>
        <v/>
      </c>
      <c r="AL1320" s="55">
        <f>AI1320*F1320</f>
        <v/>
      </c>
      <c r="AM1320" s="55">
        <f>ROUNDUP(MAX(I1320/IF(BS1320&gt;0,BS1320,MAX(0.1,N(Cockpit!$I$6))),BV1320)/BN1320,0)*BN1320</f>
        <v/>
      </c>
      <c r="AN1320" s="56">
        <f>IF(AK1320&gt;0,I1320/AK1320,-1)</f>
        <v/>
      </c>
      <c r="AO1320" s="56">
        <f>IF(AND(OR(BR1320="L1",BR1320="L23"),AK1320&gt;0),SUMIFS($AK$7:$AK$1570,$BR$7:$BR$1570,BR1320,$AN$7:$AN$1570,"&gt;"&amp;AN1320)+SUMIFS($AK$7:$AK$1570,$BR$7:$BR$1570,BR1320,$AN$7:$AN$1570,AN1320,$BL$7:$BL$1570,"&lt;="&amp;BL1320),"")</f>
        <v/>
      </c>
      <c r="AP1320" s="65">
        <f>IF(AO1320="",0,MAX(0,MIN(1,(IF(BR1320="L1",Parameter!$K$5,Parameter!$K$6+Parameter!$K$7)-(AO1320-AK1320))/AK1320)))</f>
        <v/>
      </c>
      <c r="AQ1320" s="55">
        <f>IF(LEFT(Cockpit!$O$5,1)="A",G1320,IF(BT1320=1,BU1320,IF(LEFT(Cockpit!$O$5,1)="B",AU1320,MAX(AU1320,G1320))))</f>
        <v/>
      </c>
      <c r="AR1320" s="55">
        <f>IF(BO1320=1,0,ROUNDUP(AQ1320/BN1320,0))</f>
        <v/>
      </c>
      <c r="AS1320" s="64">
        <f>IF(BO1320=1,IF(AQ1320&lt;=0,0,BP1320*MAX(1,IF(G1320&gt;0,AQ1320/G1320,1))),AR1320*Q1320)</f>
        <v/>
      </c>
      <c r="AT1320" s="55">
        <f>AQ1320*F1320</f>
        <v/>
      </c>
      <c r="AU1320" s="55">
        <f>ROUNDUP(MAX(I1320/IF(BS1320&gt;0,BS1320,MAX(0.1,N(Cockpit!$O$6))),BV1320)/BN1320,0)*BN1320</f>
        <v/>
      </c>
      <c r="AV1320" s="56">
        <f>IF(AS1320&gt;0,I1320/AS1320,-1)</f>
        <v/>
      </c>
      <c r="AW1320" s="56">
        <f>IF(AND(OR(BR1320="L1",BR1320="L23"),AS1320&gt;0),SUMIFS($AS$7:$AS$1570,$BR$7:$BR$1570,BR1320,$AV$7:$AV$1570,"&gt;"&amp;AV1320)+SUMIFS($AS$7:$AS$1570,$BR$7:$BR$1570,BR1320,$AV$7:$AV$1570,AV1320,$BL$7:$BL$1570,"&lt;="&amp;BL1320),"")</f>
        <v/>
      </c>
      <c r="AX1320" s="65">
        <f>IF(AW1320="",0,MAX(0,MIN(1,(IF(BR1320="L1",Parameter!$K$5,Parameter!$K$6+Parameter!$K$7)-(AW1320-AS1320))/AS1320)))</f>
        <v/>
      </c>
      <c r="AY1320" s="53">
        <f>IF(AC1320&lt;=0,"",IF(BR1320="Aussen","Aussenlager",IF(BR1320="-","Nicht im Lift",IF(AH1320&gt;=1,"Lift",IF(AH1320&lt;=0,"Aussenlager","teilweise")))))</f>
        <v/>
      </c>
      <c r="AZ1320" s="53">
        <f>IF(AK1320&lt;=0,"",IF(BR1320="Aussen","Aussenlager",IF(BR1320="-","Nicht im Lift",IF(AP1320&gt;=1,"Lift",IF(AP1320&lt;=0,"Aussenlager","teilweise")))))</f>
        <v/>
      </c>
      <c r="BA1320" s="53">
        <f>IF(AS1320&lt;=0,"",IF(BR1320="Aussen","Aussenlager",IF(BR1320="-","Nicht im Lift",IF(AX1320&gt;=1,"Lift",IF(AX1320&lt;=0,"Aussenlager","teilweise")))))</f>
        <v/>
      </c>
      <c r="BB1320" s="53">
        <f>IF(A1320="","",IF(BK1320=1,"Neu; ","")&amp;IF(AND(BK1320=0,BF1320&lt;0),"negativer Bestand (Export "&amp;BF1320&amp;"); ","")&amp;IF(I1320&lt;=0,"Kein Verbrauch; ","")&amp;IF(BO1320=1,"Lose – Fläche geschätzt; ","")&amp;IF(G1320&gt;AM1320,"Überbestand "&amp;ROUND(G1320-AM1320,0)&amp;" Stk / CHF "&amp;ROUND((G1320-AM1320)*F1320,0)&amp;"; ","")&amp;IF(AND(BT1320=1,BU1320&lt;BV1320),"MAX &lt; MB+LG; ","")&amp;IF(AND(BZ1320&gt;0,BY1320*10&gt;BZ1320),"zu hoch für Tablar; ","")&amp;IF(AND(BK1320=0,OR(BT1320=1,V1320&lt;&gt;"",S1320&lt;&gt;"",T1320&lt;&gt;"",W1320&lt;&gt;"")),"manuell übersteuert; ","")&amp;IF(AND(BO1320=0,Q1320=0),"Gebinde unbekannt; ","")&amp;IF(AND(BO1320=0,N(T1320)&lt;=0,N(P1320)&lt;=0),"Menge pro Gebinde fehlt (Ist = 1 Gebinde); ","")&amp;BJ1320)</f>
        <v/>
      </c>
      <c r="BC1320" s="53" t="n"/>
      <c r="BD1320" s="53" t="n"/>
      <c r="BE1320" s="61" t="n"/>
      <c r="BF1320" s="55" t="n">
        <v>-3</v>
      </c>
      <c r="BG1320" s="55" t="n">
        <v>4</v>
      </c>
      <c r="BH1320" s="54" t="n">
        <v>-1424.6</v>
      </c>
      <c r="BI1320" s="55" t="n">
        <v>15</v>
      </c>
      <c r="BJ1320" s="53" t="inlineStr"/>
      <c r="BK1320" s="58" t="n">
        <v>0</v>
      </c>
      <c r="BL1320" s="58" t="n">
        <v>1320</v>
      </c>
      <c r="BM1320" s="53">
        <f>IF(S1320&lt;&gt;"",UPPER(TRIM(S1320)),IF(O1320="","LOSE",O1320))</f>
        <v/>
      </c>
      <c r="BN1320" s="55">
        <f>IF(BM1320="LOSE",1,IF(N(T1320)&gt;0,T1320,IF(N(P1320)&gt;0,P1320,MAX(1,G1320))))</f>
        <v/>
      </c>
      <c r="BO1320" s="58">
        <f>IF(BM1320="LOSE",1,0)</f>
        <v/>
      </c>
      <c r="BP1320" s="64">
        <f>IF(BO1320=0,0,IF(N(R1320)&gt;0,R1320,IFERROR(VLOOKUP(D1320,Parameter!$A$35:$C$64,3,0)+0,0)))</f>
        <v/>
      </c>
      <c r="BQ1320" s="53">
        <f>IF(V1320&lt;&gt;"",V1320,U1320)</f>
        <v/>
      </c>
      <c r="BR1320" s="53">
        <f>IF(BQ1320=1,"L1",IF(OR(BQ1320=2,BQ1320=3),"L23",IF(BQ1320="Aussen","Aussen","-")))</f>
        <v/>
      </c>
      <c r="BS1320" s="66">
        <f>IF(N(W1320)&gt;0,W1320,0)</f>
        <v/>
      </c>
      <c r="BT1320" s="58">
        <f>IF(ISNUMBER(Z1320),1,0)</f>
        <v/>
      </c>
      <c r="BU1320" s="55">
        <f>N(Z1320)</f>
        <v/>
      </c>
      <c r="BV1320" s="55">
        <f>N(L1320)+N(M1320)</f>
        <v/>
      </c>
      <c r="BW1320" s="55">
        <f>ROUNDUP(G1320/BN1320,0)</f>
        <v/>
      </c>
      <c r="BX1320" s="55">
        <f>ROUNDUP(BU1320/BN1320,0)</f>
        <v/>
      </c>
      <c r="BY1320" s="58">
        <f>IF(BO1320=1,0,IFERROR(VLOOKUP(BM1320,'Gebinde-Kategorie'!$A$5:$G$45,5,0)+0,0))</f>
        <v/>
      </c>
      <c r="BZ1320" s="58">
        <f>IFERROR(IF(OR(BQ1320=1,BQ1320=2,BQ1320=3),N(INDEX(Parameter!$I$5:$I$7,BQ1320)),0),0)</f>
        <v/>
      </c>
    </row>
    <row r="1321">
      <c r="A1321" s="53" t="inlineStr">
        <is>
          <t>106373</t>
        </is>
      </c>
      <c r="B1321" s="53" t="inlineStr">
        <is>
          <t>Endflansch</t>
        </is>
      </c>
      <c r="C1321" s="53" t="inlineStr">
        <is>
          <t>F</t>
        </is>
      </c>
      <c r="D1321" s="53" t="inlineStr">
        <is>
          <t>PAL</t>
        </is>
      </c>
      <c r="E1321" s="53" t="inlineStr">
        <is>
          <t>C</t>
        </is>
      </c>
      <c r="F1321" s="54" t="n">
        <v>189.21</v>
      </c>
      <c r="G1321" s="55">
        <f>MAX(0,IF(Parameter!$B$20="Jahresanfang 2025 + Export",BG1321+BF1321,BF1321))</f>
        <v/>
      </c>
      <c r="H1321" s="55">
        <f>G1321*F1321</f>
        <v/>
      </c>
      <c r="I1321" s="55">
        <f>BI1321*Parameter!$B$18</f>
        <v/>
      </c>
      <c r="J1321" s="56" t="n">
        <v>12</v>
      </c>
      <c r="K1321" s="57" t="n">
        <v>2.083333333333333</v>
      </c>
      <c r="L1321" s="55" t="n">
        <v>2</v>
      </c>
      <c r="M1321" s="55" t="n">
        <v>10</v>
      </c>
      <c r="N1321" s="58" t="n">
        <v>21</v>
      </c>
      <c r="O1321" s="53" t="inlineStr">
        <is>
          <t>S71</t>
        </is>
      </c>
      <c r="P1321" s="55" t="n">
        <v>13</v>
      </c>
      <c r="Q1321" s="59">
        <f>IF(BO1321=1,0,IFERROR(VLOOKUP(BM1321,'Gebinde-Kategorie'!$A$5:$G$45,6,0)+0,0))</f>
        <v/>
      </c>
      <c r="R1321" s="60" t="n"/>
      <c r="S1321" s="61" t="n"/>
      <c r="T1321" s="61" t="n"/>
      <c r="U1321" s="53">
        <f>IF(A1321="","",IF(IFERROR(VLOOKUP(D1321,Parameter!$A$35:$C$64,2,0),"Nein")="2+3",IF(ISNUMBER(SEARCH("grosser Artikel",BJ1321)),2,IFERROR(VLOOKUP(BM1321,Parameter!$F$35:$G$64,2,0),2)),IF(OR(IFERROR(VLOOKUP(D1321,Parameter!$A$35:$C$64,2,0),"Nein")="Nein",IFERROR(VLOOKUP(D1321,Parameter!$A$35:$C$64,2,0),"Nein")=""),"-",VLOOKUP(D1321,Parameter!$A$35:$C$64,2,0))))</f>
        <v/>
      </c>
      <c r="V1321" s="61" t="n"/>
      <c r="W1321" s="62" t="n"/>
      <c r="X1321" s="55">
        <f>AM1321</f>
        <v/>
      </c>
      <c r="Y1321" s="55">
        <f>MAX(AM1321,G1321)</f>
        <v/>
      </c>
      <c r="Z1321" s="63" t="n"/>
      <c r="AA1321" s="55">
        <f>IF(LEFT(Cockpit!$C$5,1)="A",G1321,IF(BT1321=1,BU1321,IF(LEFT(Cockpit!$C$5,1)="B",AE1321,MAX(AE1321,G1321))))</f>
        <v/>
      </c>
      <c r="AB1321" s="55">
        <f>IF(BO1321=1,0,ROUNDUP(AA1321/BN1321,0))</f>
        <v/>
      </c>
      <c r="AC1321" s="64">
        <f>IF(BO1321=1,IF(AA1321&lt;=0,0,BP1321*MAX(1,IF(G1321&gt;0,AA1321/G1321,1))),AB1321*Q1321)</f>
        <v/>
      </c>
      <c r="AD1321" s="55">
        <f>AA1321*F1321</f>
        <v/>
      </c>
      <c r="AE1321" s="55">
        <f>ROUNDUP(MAX(I1321/IF(BS1321&gt;0,BS1321,MAX(0.1,N(Cockpit!$C$6))),BV1321)/BN1321,0)*BN1321</f>
        <v/>
      </c>
      <c r="AF1321" s="56">
        <f>IF(AC1321&gt;0,I1321/AC1321,-1)</f>
        <v/>
      </c>
      <c r="AG1321" s="56">
        <f>IF(AND(OR(BR1321="L1",BR1321="L23"),AC1321&gt;0),SUMIFS($AC$7:$AC$1570,$BR$7:$BR$1570,BR1321,$AF$7:$AF$1570,"&gt;"&amp;AF1321)+SUMIFS($AC$7:$AC$1570,$BR$7:$BR$1570,BR1321,$AF$7:$AF$1570,AF1321,$BL$7:$BL$1570,"&lt;="&amp;BL1321),"")</f>
        <v/>
      </c>
      <c r="AH1321" s="65">
        <f>IF(AG1321="",0,MAX(0,MIN(1,(IF(BR1321="L1",Parameter!$K$5,Parameter!$K$6+Parameter!$K$7)-(AG1321-AC1321))/AC1321)))</f>
        <v/>
      </c>
      <c r="AI1321" s="55">
        <f>IF(LEFT(Cockpit!$I$5,1)="A",G1321,IF(BT1321=1,BU1321,IF(LEFT(Cockpit!$I$5,1)="B",AM1321,MAX(AM1321,G1321))))</f>
        <v/>
      </c>
      <c r="AJ1321" s="55">
        <f>IF(BO1321=1,0,ROUNDUP(AI1321/BN1321,0))</f>
        <v/>
      </c>
      <c r="AK1321" s="64">
        <f>IF(BO1321=1,IF(AI1321&lt;=0,0,BP1321*MAX(1,IF(G1321&gt;0,AI1321/G1321,1))),AJ1321*Q1321)</f>
        <v/>
      </c>
      <c r="AL1321" s="55">
        <f>AI1321*F1321</f>
        <v/>
      </c>
      <c r="AM1321" s="55">
        <f>ROUNDUP(MAX(I1321/IF(BS1321&gt;0,BS1321,MAX(0.1,N(Cockpit!$I$6))),BV1321)/BN1321,0)*BN1321</f>
        <v/>
      </c>
      <c r="AN1321" s="56">
        <f>IF(AK1321&gt;0,I1321/AK1321,-1)</f>
        <v/>
      </c>
      <c r="AO1321" s="56">
        <f>IF(AND(OR(BR1321="L1",BR1321="L23"),AK1321&gt;0),SUMIFS($AK$7:$AK$1570,$BR$7:$BR$1570,BR1321,$AN$7:$AN$1570,"&gt;"&amp;AN1321)+SUMIFS($AK$7:$AK$1570,$BR$7:$BR$1570,BR1321,$AN$7:$AN$1570,AN1321,$BL$7:$BL$1570,"&lt;="&amp;BL1321),"")</f>
        <v/>
      </c>
      <c r="AP1321" s="65">
        <f>IF(AO1321="",0,MAX(0,MIN(1,(IF(BR1321="L1",Parameter!$K$5,Parameter!$K$6+Parameter!$K$7)-(AO1321-AK1321))/AK1321)))</f>
        <v/>
      </c>
      <c r="AQ1321" s="55">
        <f>IF(LEFT(Cockpit!$O$5,1)="A",G1321,IF(BT1321=1,BU1321,IF(LEFT(Cockpit!$O$5,1)="B",AU1321,MAX(AU1321,G1321))))</f>
        <v/>
      </c>
      <c r="AR1321" s="55">
        <f>IF(BO1321=1,0,ROUNDUP(AQ1321/BN1321,0))</f>
        <v/>
      </c>
      <c r="AS1321" s="64">
        <f>IF(BO1321=1,IF(AQ1321&lt;=0,0,BP1321*MAX(1,IF(G1321&gt;0,AQ1321/G1321,1))),AR1321*Q1321)</f>
        <v/>
      </c>
      <c r="AT1321" s="55">
        <f>AQ1321*F1321</f>
        <v/>
      </c>
      <c r="AU1321" s="55">
        <f>ROUNDUP(MAX(I1321/IF(BS1321&gt;0,BS1321,MAX(0.1,N(Cockpit!$O$6))),BV1321)/BN1321,0)*BN1321</f>
        <v/>
      </c>
      <c r="AV1321" s="56">
        <f>IF(AS1321&gt;0,I1321/AS1321,-1)</f>
        <v/>
      </c>
      <c r="AW1321" s="56">
        <f>IF(AND(OR(BR1321="L1",BR1321="L23"),AS1321&gt;0),SUMIFS($AS$7:$AS$1570,$BR$7:$BR$1570,BR1321,$AV$7:$AV$1570,"&gt;"&amp;AV1321)+SUMIFS($AS$7:$AS$1570,$BR$7:$BR$1570,BR1321,$AV$7:$AV$1570,AV1321,$BL$7:$BL$1570,"&lt;="&amp;BL1321),"")</f>
        <v/>
      </c>
      <c r="AX1321" s="65">
        <f>IF(AW1321="",0,MAX(0,MIN(1,(IF(BR1321="L1",Parameter!$K$5,Parameter!$K$6+Parameter!$K$7)-(AW1321-AS1321))/AS1321)))</f>
        <v/>
      </c>
      <c r="AY1321" s="53">
        <f>IF(AC1321&lt;=0,"",IF(BR1321="Aussen","Aussenlager",IF(BR1321="-","Nicht im Lift",IF(AH1321&gt;=1,"Lift",IF(AH1321&lt;=0,"Aussenlager","teilweise")))))</f>
        <v/>
      </c>
      <c r="AZ1321" s="53">
        <f>IF(AK1321&lt;=0,"",IF(BR1321="Aussen","Aussenlager",IF(BR1321="-","Nicht im Lift",IF(AP1321&gt;=1,"Lift",IF(AP1321&lt;=0,"Aussenlager","teilweise")))))</f>
        <v/>
      </c>
      <c r="BA1321" s="53">
        <f>IF(AS1321&lt;=0,"",IF(BR1321="Aussen","Aussenlager",IF(BR1321="-","Nicht im Lift",IF(AX1321&gt;=1,"Lift",IF(AX1321&lt;=0,"Aussenlager","teilweise")))))</f>
        <v/>
      </c>
      <c r="BB1321" s="53">
        <f>IF(A1321="","",IF(BK1321=1,"Neu; ","")&amp;IF(AND(BK1321=0,BF1321&lt;0),"negativer Bestand (Export "&amp;BF1321&amp;"); ","")&amp;IF(I1321&lt;=0,"Kein Verbrauch; ","")&amp;IF(BO1321=1,"Lose – Fläche geschätzt; ","")&amp;IF(G1321&gt;AM1321,"Überbestand "&amp;ROUND(G1321-AM1321,0)&amp;" Stk / CHF "&amp;ROUND((G1321-AM1321)*F1321,0)&amp;"; ","")&amp;IF(AND(BT1321=1,BU1321&lt;BV1321),"MAX &lt; MB+LG; ","")&amp;IF(AND(BZ1321&gt;0,BY1321*10&gt;BZ1321),"zu hoch für Tablar; ","")&amp;IF(AND(BK1321=0,OR(BT1321=1,V1321&lt;&gt;"",S1321&lt;&gt;"",T1321&lt;&gt;"",W1321&lt;&gt;"")),"manuell übersteuert; ","")&amp;IF(AND(BO1321=0,Q1321=0),"Gebinde unbekannt; ","")&amp;IF(AND(BO1321=0,N(T1321)&lt;=0,N(P1321)&lt;=0),"Menge pro Gebinde fehlt (Ist = 1 Gebinde); ","")&amp;BJ1321)</f>
        <v/>
      </c>
      <c r="BC1321" s="53" t="n"/>
      <c r="BD1321" s="53" t="n"/>
      <c r="BE1321" s="61" t="n"/>
      <c r="BF1321" s="55" t="n">
        <v>-6</v>
      </c>
      <c r="BG1321" s="55" t="n">
        <v>14</v>
      </c>
      <c r="BH1321" s="54" t="n">
        <v>-1429.679999999999</v>
      </c>
      <c r="BI1321" s="55" t="n">
        <v>25</v>
      </c>
      <c r="BJ1321" s="53" t="inlineStr"/>
      <c r="BK1321" s="58" t="n">
        <v>0</v>
      </c>
      <c r="BL1321" s="58" t="n">
        <v>1321</v>
      </c>
      <c r="BM1321" s="53">
        <f>IF(S1321&lt;&gt;"",UPPER(TRIM(S1321)),IF(O1321="","LOSE",O1321))</f>
        <v/>
      </c>
      <c r="BN1321" s="55">
        <f>IF(BM1321="LOSE",1,IF(N(T1321)&gt;0,T1321,IF(N(P1321)&gt;0,P1321,MAX(1,G1321))))</f>
        <v/>
      </c>
      <c r="BO1321" s="58">
        <f>IF(BM1321="LOSE",1,0)</f>
        <v/>
      </c>
      <c r="BP1321" s="64">
        <f>IF(BO1321=0,0,IF(N(R1321)&gt;0,R1321,IFERROR(VLOOKUP(D1321,Parameter!$A$35:$C$64,3,0)+0,0)))</f>
        <v/>
      </c>
      <c r="BQ1321" s="53">
        <f>IF(V1321&lt;&gt;"",V1321,U1321)</f>
        <v/>
      </c>
      <c r="BR1321" s="53">
        <f>IF(BQ1321=1,"L1",IF(OR(BQ1321=2,BQ1321=3),"L23",IF(BQ1321="Aussen","Aussen","-")))</f>
        <v/>
      </c>
      <c r="BS1321" s="66">
        <f>IF(N(W1321)&gt;0,W1321,0)</f>
        <v/>
      </c>
      <c r="BT1321" s="58">
        <f>IF(ISNUMBER(Z1321),1,0)</f>
        <v/>
      </c>
      <c r="BU1321" s="55">
        <f>N(Z1321)</f>
        <v/>
      </c>
      <c r="BV1321" s="55">
        <f>N(L1321)+N(M1321)</f>
        <v/>
      </c>
      <c r="BW1321" s="55">
        <f>ROUNDUP(G1321/BN1321,0)</f>
        <v/>
      </c>
      <c r="BX1321" s="55">
        <f>ROUNDUP(BU1321/BN1321,0)</f>
        <v/>
      </c>
      <c r="BY1321" s="58">
        <f>IF(BO1321=1,0,IFERROR(VLOOKUP(BM1321,'Gebinde-Kategorie'!$A$5:$G$45,5,0)+0,0))</f>
        <v/>
      </c>
      <c r="BZ1321" s="58">
        <f>IFERROR(IF(OR(BQ1321=1,BQ1321=2,BQ1321=3),N(INDEX(Parameter!$I$5:$I$7,BQ1321)),0),0)</f>
        <v/>
      </c>
    </row>
    <row r="1322">
      <c r="A1322" s="53" t="inlineStr">
        <is>
          <t>108507</t>
        </is>
      </c>
      <c r="B1322" s="53" t="inlineStr">
        <is>
          <t>HMI GT2708-VTBD</t>
        </is>
      </c>
      <c r="C1322" s="53" t="inlineStr">
        <is>
          <t>F</t>
        </is>
      </c>
      <c r="D1322" s="53" t="inlineStr">
        <is>
          <t>KTL</t>
        </is>
      </c>
      <c r="E1322" s="53" t="inlineStr">
        <is>
          <t>C</t>
        </is>
      </c>
      <c r="F1322" s="54" t="n">
        <v>1433.79</v>
      </c>
      <c r="G1322" s="55">
        <f>MAX(0,IF(Parameter!$B$20="Jahresanfang 2025 + Export",BG1322+BF1322,BF1322))</f>
        <v/>
      </c>
      <c r="H1322" s="55">
        <f>G1322*F1322</f>
        <v/>
      </c>
      <c r="I1322" s="55">
        <f>BI1322*Parameter!$B$18</f>
        <v/>
      </c>
      <c r="J1322" s="56" t="n">
        <v>7</v>
      </c>
      <c r="K1322" s="57" t="n">
        <v>0</v>
      </c>
      <c r="L1322" s="55" t="n">
        <v>1</v>
      </c>
      <c r="M1322" s="55" t="n">
        <v>1</v>
      </c>
      <c r="N1322" s="58" t="n">
        <v>14</v>
      </c>
      <c r="O1322" s="53" t="inlineStr">
        <is>
          <t>S63</t>
        </is>
      </c>
      <c r="P1322" s="55" t="n">
        <v>6</v>
      </c>
      <c r="Q1322" s="59">
        <f>IF(BO1322=1,0,IFERROR(VLOOKUP(BM1322,'Gebinde-Kategorie'!$A$5:$G$45,6,0)+0,0))</f>
        <v/>
      </c>
      <c r="R1322" s="60" t="n"/>
      <c r="S1322" s="61" t="n"/>
      <c r="T1322" s="61" t="n"/>
      <c r="U1322" s="53">
        <f>IF(A1322="","",IF(IFERROR(VLOOKUP(D1322,Parameter!$A$35:$C$64,2,0),"Nein")="2+3",IF(ISNUMBER(SEARCH("grosser Artikel",BJ1322)),2,IFERROR(VLOOKUP(BM1322,Parameter!$F$35:$G$64,2,0),2)),IF(OR(IFERROR(VLOOKUP(D1322,Parameter!$A$35:$C$64,2,0),"Nein")="Nein",IFERROR(VLOOKUP(D1322,Parameter!$A$35:$C$64,2,0),"Nein")=""),"-",VLOOKUP(D1322,Parameter!$A$35:$C$64,2,0))))</f>
        <v/>
      </c>
      <c r="V1322" s="61" t="n"/>
      <c r="W1322" s="62" t="n"/>
      <c r="X1322" s="55">
        <f>AM1322</f>
        <v/>
      </c>
      <c r="Y1322" s="55">
        <f>MAX(AM1322,G1322)</f>
        <v/>
      </c>
      <c r="Z1322" s="63" t="n"/>
      <c r="AA1322" s="55">
        <f>IF(LEFT(Cockpit!$C$5,1)="A",G1322,IF(BT1322=1,BU1322,IF(LEFT(Cockpit!$C$5,1)="B",AE1322,MAX(AE1322,G1322))))</f>
        <v/>
      </c>
      <c r="AB1322" s="55">
        <f>IF(BO1322=1,0,ROUNDUP(AA1322/BN1322,0))</f>
        <v/>
      </c>
      <c r="AC1322" s="64">
        <f>IF(BO1322=1,IF(AA1322&lt;=0,0,BP1322*MAX(1,IF(G1322&gt;0,AA1322/G1322,1))),AB1322*Q1322)</f>
        <v/>
      </c>
      <c r="AD1322" s="55">
        <f>AA1322*F1322</f>
        <v/>
      </c>
      <c r="AE1322" s="55">
        <f>ROUNDUP(MAX(I1322/IF(BS1322&gt;0,BS1322,MAX(0.1,N(Cockpit!$C$6))),BV1322)/BN1322,0)*BN1322</f>
        <v/>
      </c>
      <c r="AF1322" s="56">
        <f>IF(AC1322&gt;0,I1322/AC1322,-1)</f>
        <v/>
      </c>
      <c r="AG1322" s="56">
        <f>IF(AND(OR(BR1322="L1",BR1322="L23"),AC1322&gt;0),SUMIFS($AC$7:$AC$1570,$BR$7:$BR$1570,BR1322,$AF$7:$AF$1570,"&gt;"&amp;AF1322)+SUMIFS($AC$7:$AC$1570,$BR$7:$BR$1570,BR1322,$AF$7:$AF$1570,AF1322,$BL$7:$BL$1570,"&lt;="&amp;BL1322),"")</f>
        <v/>
      </c>
      <c r="AH1322" s="65">
        <f>IF(AG1322="",0,MAX(0,MIN(1,(IF(BR1322="L1",Parameter!$K$5,Parameter!$K$6+Parameter!$K$7)-(AG1322-AC1322))/AC1322)))</f>
        <v/>
      </c>
      <c r="AI1322" s="55">
        <f>IF(LEFT(Cockpit!$I$5,1)="A",G1322,IF(BT1322=1,BU1322,IF(LEFT(Cockpit!$I$5,1)="B",AM1322,MAX(AM1322,G1322))))</f>
        <v/>
      </c>
      <c r="AJ1322" s="55">
        <f>IF(BO1322=1,0,ROUNDUP(AI1322/BN1322,0))</f>
        <v/>
      </c>
      <c r="AK1322" s="64">
        <f>IF(BO1322=1,IF(AI1322&lt;=0,0,BP1322*MAX(1,IF(G1322&gt;0,AI1322/G1322,1))),AJ1322*Q1322)</f>
        <v/>
      </c>
      <c r="AL1322" s="55">
        <f>AI1322*F1322</f>
        <v/>
      </c>
      <c r="AM1322" s="55">
        <f>ROUNDUP(MAX(I1322/IF(BS1322&gt;0,BS1322,MAX(0.1,N(Cockpit!$I$6))),BV1322)/BN1322,0)*BN1322</f>
        <v/>
      </c>
      <c r="AN1322" s="56">
        <f>IF(AK1322&gt;0,I1322/AK1322,-1)</f>
        <v/>
      </c>
      <c r="AO1322" s="56">
        <f>IF(AND(OR(BR1322="L1",BR1322="L23"),AK1322&gt;0),SUMIFS($AK$7:$AK$1570,$BR$7:$BR$1570,BR1322,$AN$7:$AN$1570,"&gt;"&amp;AN1322)+SUMIFS($AK$7:$AK$1570,$BR$7:$BR$1570,BR1322,$AN$7:$AN$1570,AN1322,$BL$7:$BL$1570,"&lt;="&amp;BL1322),"")</f>
        <v/>
      </c>
      <c r="AP1322" s="65">
        <f>IF(AO1322="",0,MAX(0,MIN(1,(IF(BR1322="L1",Parameter!$K$5,Parameter!$K$6+Parameter!$K$7)-(AO1322-AK1322))/AK1322)))</f>
        <v/>
      </c>
      <c r="AQ1322" s="55">
        <f>IF(LEFT(Cockpit!$O$5,1)="A",G1322,IF(BT1322=1,BU1322,IF(LEFT(Cockpit!$O$5,1)="B",AU1322,MAX(AU1322,G1322))))</f>
        <v/>
      </c>
      <c r="AR1322" s="55">
        <f>IF(BO1322=1,0,ROUNDUP(AQ1322/BN1322,0))</f>
        <v/>
      </c>
      <c r="AS1322" s="64">
        <f>IF(BO1322=1,IF(AQ1322&lt;=0,0,BP1322*MAX(1,IF(G1322&gt;0,AQ1322/G1322,1))),AR1322*Q1322)</f>
        <v/>
      </c>
      <c r="AT1322" s="55">
        <f>AQ1322*F1322</f>
        <v/>
      </c>
      <c r="AU1322" s="55">
        <f>ROUNDUP(MAX(I1322/IF(BS1322&gt;0,BS1322,MAX(0.1,N(Cockpit!$O$6))),BV1322)/BN1322,0)*BN1322</f>
        <v/>
      </c>
      <c r="AV1322" s="56">
        <f>IF(AS1322&gt;0,I1322/AS1322,-1)</f>
        <v/>
      </c>
      <c r="AW1322" s="56">
        <f>IF(AND(OR(BR1322="L1",BR1322="L23"),AS1322&gt;0),SUMIFS($AS$7:$AS$1570,$BR$7:$BR$1570,BR1322,$AV$7:$AV$1570,"&gt;"&amp;AV1322)+SUMIFS($AS$7:$AS$1570,$BR$7:$BR$1570,BR1322,$AV$7:$AV$1570,AV1322,$BL$7:$BL$1570,"&lt;="&amp;BL1322),"")</f>
        <v/>
      </c>
      <c r="AX1322" s="65">
        <f>IF(AW1322="",0,MAX(0,MIN(1,(IF(BR1322="L1",Parameter!$K$5,Parameter!$K$6+Parameter!$K$7)-(AW1322-AS1322))/AS1322)))</f>
        <v/>
      </c>
      <c r="AY1322" s="53">
        <f>IF(AC1322&lt;=0,"",IF(BR1322="Aussen","Aussenlager",IF(BR1322="-","Nicht im Lift",IF(AH1322&gt;=1,"Lift",IF(AH1322&lt;=0,"Aussenlager","teilweise")))))</f>
        <v/>
      </c>
      <c r="AZ1322" s="53">
        <f>IF(AK1322&lt;=0,"",IF(BR1322="Aussen","Aussenlager",IF(BR1322="-","Nicht im Lift",IF(AP1322&gt;=1,"Lift",IF(AP1322&lt;=0,"Aussenlager","teilweise")))))</f>
        <v/>
      </c>
      <c r="BA1322" s="53">
        <f>IF(AS1322&lt;=0,"",IF(BR1322="Aussen","Aussenlager",IF(BR1322="-","Nicht im Lift",IF(AX1322&gt;=1,"Lift",IF(AX1322&lt;=0,"Aussenlager","teilweise")))))</f>
        <v/>
      </c>
      <c r="BB1322" s="53">
        <f>IF(A1322="","",IF(BK1322=1,"Neu; ","")&amp;IF(AND(BK1322=0,BF1322&lt;0),"negativer Bestand (Export "&amp;BF1322&amp;"); ","")&amp;IF(I1322&lt;=0,"Kein Verbrauch; ","")&amp;IF(BO1322=1,"Lose – Fläche geschätzt; ","")&amp;IF(G1322&gt;AM1322,"Überbestand "&amp;ROUND(G1322-AM1322,0)&amp;" Stk / CHF "&amp;ROUND((G1322-AM1322)*F1322,0)&amp;"; ","")&amp;IF(AND(BT1322=1,BU1322&lt;BV1322),"MAX &lt; MB+LG; ","")&amp;IF(AND(BZ1322&gt;0,BY1322*10&gt;BZ1322),"zu hoch für Tablar; ","")&amp;IF(AND(BK1322=0,OR(BT1322=1,V1322&lt;&gt;"",S1322&lt;&gt;"",T1322&lt;&gt;"",W1322&lt;&gt;"")),"manuell übersteuert; ","")&amp;IF(AND(BO1322=0,Q1322=0),"Gebinde unbekannt; ","")&amp;IF(AND(BO1322=0,N(T1322)&lt;=0,N(P1322)&lt;=0),"Menge pro Gebinde fehlt (Ist = 1 Gebinde); ","")&amp;BJ1322)</f>
        <v/>
      </c>
      <c r="BC1322" s="53" t="n"/>
      <c r="BD1322" s="53" t="n"/>
      <c r="BE1322" s="61" t="n"/>
      <c r="BF1322" s="55" t="n">
        <v>-1</v>
      </c>
      <c r="BG1322" s="55" t="n">
        <v>7</v>
      </c>
      <c r="BH1322" s="54" t="n">
        <v>-1433.79</v>
      </c>
      <c r="BI1322" s="55" t="n">
        <v>0</v>
      </c>
      <c r="BJ1322" s="53" t="inlineStr"/>
      <c r="BK1322" s="58" t="n">
        <v>0</v>
      </c>
      <c r="BL1322" s="58" t="n">
        <v>1322</v>
      </c>
      <c r="BM1322" s="53">
        <f>IF(S1322&lt;&gt;"",UPPER(TRIM(S1322)),IF(O1322="","LOSE",O1322))</f>
        <v/>
      </c>
      <c r="BN1322" s="55">
        <f>IF(BM1322="LOSE",1,IF(N(T1322)&gt;0,T1322,IF(N(P1322)&gt;0,P1322,MAX(1,G1322))))</f>
        <v/>
      </c>
      <c r="BO1322" s="58">
        <f>IF(BM1322="LOSE",1,0)</f>
        <v/>
      </c>
      <c r="BP1322" s="64">
        <f>IF(BO1322=0,0,IF(N(R1322)&gt;0,R1322,IFERROR(VLOOKUP(D1322,Parameter!$A$35:$C$64,3,0)+0,0)))</f>
        <v/>
      </c>
      <c r="BQ1322" s="53">
        <f>IF(V1322&lt;&gt;"",V1322,U1322)</f>
        <v/>
      </c>
      <c r="BR1322" s="53">
        <f>IF(BQ1322=1,"L1",IF(OR(BQ1322=2,BQ1322=3),"L23",IF(BQ1322="Aussen","Aussen","-")))</f>
        <v/>
      </c>
      <c r="BS1322" s="66">
        <f>IF(N(W1322)&gt;0,W1322,0)</f>
        <v/>
      </c>
      <c r="BT1322" s="58">
        <f>IF(ISNUMBER(Z1322),1,0)</f>
        <v/>
      </c>
      <c r="BU1322" s="55">
        <f>N(Z1322)</f>
        <v/>
      </c>
      <c r="BV1322" s="55">
        <f>N(L1322)+N(M1322)</f>
        <v/>
      </c>
      <c r="BW1322" s="55">
        <f>ROUNDUP(G1322/BN1322,0)</f>
        <v/>
      </c>
      <c r="BX1322" s="55">
        <f>ROUNDUP(BU1322/BN1322,0)</f>
        <v/>
      </c>
      <c r="BY1322" s="58">
        <f>IF(BO1322=1,0,IFERROR(VLOOKUP(BM1322,'Gebinde-Kategorie'!$A$5:$G$45,5,0)+0,0))</f>
        <v/>
      </c>
      <c r="BZ1322" s="58">
        <f>IFERROR(IF(OR(BQ1322=1,BQ1322=2,BQ1322=3),N(INDEX(Parameter!$I$5:$I$7,BQ1322)),0),0)</f>
        <v/>
      </c>
    </row>
    <row r="1323">
      <c r="A1323" s="53" t="inlineStr">
        <is>
          <t>005233</t>
        </is>
      </c>
      <c r="B1323" s="53" t="inlineStr">
        <is>
          <t>Secomea SiteManager</t>
        </is>
      </c>
      <c r="C1323" s="53" t="inlineStr">
        <is>
          <t>F</t>
        </is>
      </c>
      <c r="D1323" s="53" t="inlineStr">
        <is>
          <t>KTL</t>
        </is>
      </c>
      <c r="E1323" s="53" t="inlineStr">
        <is>
          <t>C</t>
        </is>
      </c>
      <c r="F1323" s="54" t="n">
        <v>516.55</v>
      </c>
      <c r="G1323" s="55">
        <f>MAX(0,IF(Parameter!$B$20="Jahresanfang 2025 + Export",BG1323+BF1323,BF1323))</f>
        <v/>
      </c>
      <c r="H1323" s="55">
        <f>G1323*F1323</f>
        <v/>
      </c>
      <c r="I1323" s="55">
        <f>BI1323*Parameter!$B$18</f>
        <v/>
      </c>
      <c r="J1323" s="56" t="n">
        <v>12.5</v>
      </c>
      <c r="K1323" s="57" t="n">
        <v>1.44</v>
      </c>
      <c r="L1323" s="55" t="n">
        <v>1</v>
      </c>
      <c r="M1323" s="55" t="n">
        <v>10</v>
      </c>
      <c r="N1323" s="58" t="n">
        <v>21</v>
      </c>
      <c r="O1323" s="53" t="inlineStr">
        <is>
          <t>S62</t>
        </is>
      </c>
      <c r="P1323" s="55" t="n">
        <v>38</v>
      </c>
      <c r="Q1323" s="59">
        <f>IF(BO1323=1,0,IFERROR(VLOOKUP(BM1323,'Gebinde-Kategorie'!$A$5:$G$45,6,0)+0,0))</f>
        <v/>
      </c>
      <c r="R1323" s="60" t="n"/>
      <c r="S1323" s="61" t="n"/>
      <c r="T1323" s="61" t="n"/>
      <c r="U1323" s="53">
        <f>IF(A1323="","",IF(IFERROR(VLOOKUP(D1323,Parameter!$A$35:$C$64,2,0),"Nein")="2+3",IF(ISNUMBER(SEARCH("grosser Artikel",BJ1323)),2,IFERROR(VLOOKUP(BM1323,Parameter!$F$35:$G$64,2,0),2)),IF(OR(IFERROR(VLOOKUP(D1323,Parameter!$A$35:$C$64,2,0),"Nein")="Nein",IFERROR(VLOOKUP(D1323,Parameter!$A$35:$C$64,2,0),"Nein")=""),"-",VLOOKUP(D1323,Parameter!$A$35:$C$64,2,0))))</f>
        <v/>
      </c>
      <c r="V1323" s="61" t="n"/>
      <c r="W1323" s="62" t="n"/>
      <c r="X1323" s="55">
        <f>AM1323</f>
        <v/>
      </c>
      <c r="Y1323" s="55">
        <f>MAX(AM1323,G1323)</f>
        <v/>
      </c>
      <c r="Z1323" s="63" t="n"/>
      <c r="AA1323" s="55">
        <f>IF(LEFT(Cockpit!$C$5,1)="A",G1323,IF(BT1323=1,BU1323,IF(LEFT(Cockpit!$C$5,1)="B",AE1323,MAX(AE1323,G1323))))</f>
        <v/>
      </c>
      <c r="AB1323" s="55">
        <f>IF(BO1323=1,0,ROUNDUP(AA1323/BN1323,0))</f>
        <v/>
      </c>
      <c r="AC1323" s="64">
        <f>IF(BO1323=1,IF(AA1323&lt;=0,0,BP1323*MAX(1,IF(G1323&gt;0,AA1323/G1323,1))),AB1323*Q1323)</f>
        <v/>
      </c>
      <c r="AD1323" s="55">
        <f>AA1323*F1323</f>
        <v/>
      </c>
      <c r="AE1323" s="55">
        <f>ROUNDUP(MAX(I1323/IF(BS1323&gt;0,BS1323,MAX(0.1,N(Cockpit!$C$6))),BV1323)/BN1323,0)*BN1323</f>
        <v/>
      </c>
      <c r="AF1323" s="56">
        <f>IF(AC1323&gt;0,I1323/AC1323,-1)</f>
        <v/>
      </c>
      <c r="AG1323" s="56">
        <f>IF(AND(OR(BR1323="L1",BR1323="L23"),AC1323&gt;0),SUMIFS($AC$7:$AC$1570,$BR$7:$BR$1570,BR1323,$AF$7:$AF$1570,"&gt;"&amp;AF1323)+SUMIFS($AC$7:$AC$1570,$BR$7:$BR$1570,BR1323,$AF$7:$AF$1570,AF1323,$BL$7:$BL$1570,"&lt;="&amp;BL1323),"")</f>
        <v/>
      </c>
      <c r="AH1323" s="65">
        <f>IF(AG1323="",0,MAX(0,MIN(1,(IF(BR1323="L1",Parameter!$K$5,Parameter!$K$6+Parameter!$K$7)-(AG1323-AC1323))/AC1323)))</f>
        <v/>
      </c>
      <c r="AI1323" s="55">
        <f>IF(LEFT(Cockpit!$I$5,1)="A",G1323,IF(BT1323=1,BU1323,IF(LEFT(Cockpit!$I$5,1)="B",AM1323,MAX(AM1323,G1323))))</f>
        <v/>
      </c>
      <c r="AJ1323" s="55">
        <f>IF(BO1323=1,0,ROUNDUP(AI1323/BN1323,0))</f>
        <v/>
      </c>
      <c r="AK1323" s="64">
        <f>IF(BO1323=1,IF(AI1323&lt;=0,0,BP1323*MAX(1,IF(G1323&gt;0,AI1323/G1323,1))),AJ1323*Q1323)</f>
        <v/>
      </c>
      <c r="AL1323" s="55">
        <f>AI1323*F1323</f>
        <v/>
      </c>
      <c r="AM1323" s="55">
        <f>ROUNDUP(MAX(I1323/IF(BS1323&gt;0,BS1323,MAX(0.1,N(Cockpit!$I$6))),BV1323)/BN1323,0)*BN1323</f>
        <v/>
      </c>
      <c r="AN1323" s="56">
        <f>IF(AK1323&gt;0,I1323/AK1323,-1)</f>
        <v/>
      </c>
      <c r="AO1323" s="56">
        <f>IF(AND(OR(BR1323="L1",BR1323="L23"),AK1323&gt;0),SUMIFS($AK$7:$AK$1570,$BR$7:$BR$1570,BR1323,$AN$7:$AN$1570,"&gt;"&amp;AN1323)+SUMIFS($AK$7:$AK$1570,$BR$7:$BR$1570,BR1323,$AN$7:$AN$1570,AN1323,$BL$7:$BL$1570,"&lt;="&amp;BL1323),"")</f>
        <v/>
      </c>
      <c r="AP1323" s="65">
        <f>IF(AO1323="",0,MAX(0,MIN(1,(IF(BR1323="L1",Parameter!$K$5,Parameter!$K$6+Parameter!$K$7)-(AO1323-AK1323))/AK1323)))</f>
        <v/>
      </c>
      <c r="AQ1323" s="55">
        <f>IF(LEFT(Cockpit!$O$5,1)="A",G1323,IF(BT1323=1,BU1323,IF(LEFT(Cockpit!$O$5,1)="B",AU1323,MAX(AU1323,G1323))))</f>
        <v/>
      </c>
      <c r="AR1323" s="55">
        <f>IF(BO1323=1,0,ROUNDUP(AQ1323/BN1323,0))</f>
        <v/>
      </c>
      <c r="AS1323" s="64">
        <f>IF(BO1323=1,IF(AQ1323&lt;=0,0,BP1323*MAX(1,IF(G1323&gt;0,AQ1323/G1323,1))),AR1323*Q1323)</f>
        <v/>
      </c>
      <c r="AT1323" s="55">
        <f>AQ1323*F1323</f>
        <v/>
      </c>
      <c r="AU1323" s="55">
        <f>ROUNDUP(MAX(I1323/IF(BS1323&gt;0,BS1323,MAX(0.1,N(Cockpit!$O$6))),BV1323)/BN1323,0)*BN1323</f>
        <v/>
      </c>
      <c r="AV1323" s="56">
        <f>IF(AS1323&gt;0,I1323/AS1323,-1)</f>
        <v/>
      </c>
      <c r="AW1323" s="56">
        <f>IF(AND(OR(BR1323="L1",BR1323="L23"),AS1323&gt;0),SUMIFS($AS$7:$AS$1570,$BR$7:$BR$1570,BR1323,$AV$7:$AV$1570,"&gt;"&amp;AV1323)+SUMIFS($AS$7:$AS$1570,$BR$7:$BR$1570,BR1323,$AV$7:$AV$1570,AV1323,$BL$7:$BL$1570,"&lt;="&amp;BL1323),"")</f>
        <v/>
      </c>
      <c r="AX1323" s="65">
        <f>IF(AW1323="",0,MAX(0,MIN(1,(IF(BR1323="L1",Parameter!$K$5,Parameter!$K$6+Parameter!$K$7)-(AW1323-AS1323))/AS1323)))</f>
        <v/>
      </c>
      <c r="AY1323" s="53">
        <f>IF(AC1323&lt;=0,"",IF(BR1323="Aussen","Aussenlager",IF(BR1323="-","Nicht im Lift",IF(AH1323&gt;=1,"Lift",IF(AH1323&lt;=0,"Aussenlager","teilweise")))))</f>
        <v/>
      </c>
      <c r="AZ1323" s="53">
        <f>IF(AK1323&lt;=0,"",IF(BR1323="Aussen","Aussenlager",IF(BR1323="-","Nicht im Lift",IF(AP1323&gt;=1,"Lift",IF(AP1323&lt;=0,"Aussenlager","teilweise")))))</f>
        <v/>
      </c>
      <c r="BA1323" s="53">
        <f>IF(AS1323&lt;=0,"",IF(BR1323="Aussen","Aussenlager",IF(BR1323="-","Nicht im Lift",IF(AX1323&gt;=1,"Lift",IF(AX1323&lt;=0,"Aussenlager","teilweise")))))</f>
        <v/>
      </c>
      <c r="BB1323" s="53">
        <f>IF(A1323="","",IF(BK1323=1,"Neu; ","")&amp;IF(AND(BK1323=0,BF1323&lt;0),"negativer Bestand (Export "&amp;BF1323&amp;"); ","")&amp;IF(I1323&lt;=0,"Kein Verbrauch; ","")&amp;IF(BO1323=1,"Lose – Fläche geschätzt; ","")&amp;IF(G1323&gt;AM1323,"Überbestand "&amp;ROUND(G1323-AM1323,0)&amp;" Stk / CHF "&amp;ROUND((G1323-AM1323)*F1323,0)&amp;"; ","")&amp;IF(AND(BT1323=1,BU1323&lt;BV1323),"MAX &lt; MB+LG; ","")&amp;IF(AND(BZ1323&gt;0,BY1323*10&gt;BZ1323),"zu hoch für Tablar; ","")&amp;IF(AND(BK1323=0,OR(BT1323=1,V1323&lt;&gt;"",S1323&lt;&gt;"",T1323&lt;&gt;"",W1323&lt;&gt;"")),"manuell übersteuert; ","")&amp;IF(AND(BO1323=0,Q1323=0),"Gebinde unbekannt; ","")&amp;IF(AND(BO1323=0,N(T1323)&lt;=0,N(P1323)&lt;=0),"Menge pro Gebinde fehlt (Ist = 1 Gebinde); ","")&amp;BJ1323)</f>
        <v/>
      </c>
      <c r="BC1323" s="53" t="n"/>
      <c r="BD1323" s="53" t="n"/>
      <c r="BE1323" s="61" t="n"/>
      <c r="BF1323" s="55" t="n">
        <v>-3</v>
      </c>
      <c r="BG1323" s="55" t="n">
        <v>10</v>
      </c>
      <c r="BH1323" s="54" t="n">
        <v>-1450.149999999999</v>
      </c>
      <c r="BI1323" s="55" t="n">
        <v>18</v>
      </c>
      <c r="BJ1323" s="53" t="inlineStr"/>
      <c r="BK1323" s="58" t="n">
        <v>0</v>
      </c>
      <c r="BL1323" s="58" t="n">
        <v>1323</v>
      </c>
      <c r="BM1323" s="53">
        <f>IF(S1323&lt;&gt;"",UPPER(TRIM(S1323)),IF(O1323="","LOSE",O1323))</f>
        <v/>
      </c>
      <c r="BN1323" s="55">
        <f>IF(BM1323="LOSE",1,IF(N(T1323)&gt;0,T1323,IF(N(P1323)&gt;0,P1323,MAX(1,G1323))))</f>
        <v/>
      </c>
      <c r="BO1323" s="58">
        <f>IF(BM1323="LOSE",1,0)</f>
        <v/>
      </c>
      <c r="BP1323" s="64">
        <f>IF(BO1323=0,0,IF(N(R1323)&gt;0,R1323,IFERROR(VLOOKUP(D1323,Parameter!$A$35:$C$64,3,0)+0,0)))</f>
        <v/>
      </c>
      <c r="BQ1323" s="53">
        <f>IF(V1323&lt;&gt;"",V1323,U1323)</f>
        <v/>
      </c>
      <c r="BR1323" s="53">
        <f>IF(BQ1323=1,"L1",IF(OR(BQ1323=2,BQ1323=3),"L23",IF(BQ1323="Aussen","Aussen","-")))</f>
        <v/>
      </c>
      <c r="BS1323" s="66">
        <f>IF(N(W1323)&gt;0,W1323,0)</f>
        <v/>
      </c>
      <c r="BT1323" s="58">
        <f>IF(ISNUMBER(Z1323),1,0)</f>
        <v/>
      </c>
      <c r="BU1323" s="55">
        <f>N(Z1323)</f>
        <v/>
      </c>
      <c r="BV1323" s="55">
        <f>N(L1323)+N(M1323)</f>
        <v/>
      </c>
      <c r="BW1323" s="55">
        <f>ROUNDUP(G1323/BN1323,0)</f>
        <v/>
      </c>
      <c r="BX1323" s="55">
        <f>ROUNDUP(BU1323/BN1323,0)</f>
        <v/>
      </c>
      <c r="BY1323" s="58">
        <f>IF(BO1323=1,0,IFERROR(VLOOKUP(BM1323,'Gebinde-Kategorie'!$A$5:$G$45,5,0)+0,0))</f>
        <v/>
      </c>
      <c r="BZ1323" s="58">
        <f>IFERROR(IF(OR(BQ1323=1,BQ1323=2,BQ1323=3),N(INDEX(Parameter!$I$5:$I$7,BQ1323)),0),0)</f>
        <v/>
      </c>
    </row>
    <row r="1324">
      <c r="A1324" s="53" t="inlineStr">
        <is>
          <t>106706</t>
        </is>
      </c>
      <c r="B1324" s="53" t="inlineStr">
        <is>
          <t>Adapter Edelstahl</t>
        </is>
      </c>
      <c r="C1324" s="53" t="inlineStr">
        <is>
          <t>F</t>
        </is>
      </c>
      <c r="D1324" s="53" t="inlineStr">
        <is>
          <t>KTL</t>
        </is>
      </c>
      <c r="E1324" s="53" t="inlineStr">
        <is>
          <t>C</t>
        </is>
      </c>
      <c r="F1324" s="54" t="n">
        <v>29.61</v>
      </c>
      <c r="G1324" s="55">
        <f>MAX(0,IF(Parameter!$B$20="Jahresanfang 2025 + Export",BG1324+BF1324,BF1324))</f>
        <v/>
      </c>
      <c r="H1324" s="55">
        <f>G1324*F1324</f>
        <v/>
      </c>
      <c r="I1324" s="55">
        <f>BI1324*Parameter!$B$18</f>
        <v/>
      </c>
      <c r="J1324" s="56" t="n">
        <v>83.5</v>
      </c>
      <c r="K1324" s="57" t="n">
        <v>0.8982035928143712</v>
      </c>
      <c r="L1324" s="55" t="n">
        <v>2</v>
      </c>
      <c r="M1324" s="55" t="n">
        <v>75</v>
      </c>
      <c r="N1324" s="58" t="n">
        <v>14</v>
      </c>
      <c r="O1324" s="53" t="inlineStr">
        <is>
          <t>S51</t>
        </is>
      </c>
      <c r="P1324" s="55" t="n">
        <v>109</v>
      </c>
      <c r="Q1324" s="59">
        <f>IF(BO1324=1,0,IFERROR(VLOOKUP(BM1324,'Gebinde-Kategorie'!$A$5:$G$45,6,0)+0,0))</f>
        <v/>
      </c>
      <c r="R1324" s="60" t="n"/>
      <c r="S1324" s="61" t="n"/>
      <c r="T1324" s="61" t="n"/>
      <c r="U1324" s="53">
        <f>IF(A1324="","",IF(IFERROR(VLOOKUP(D1324,Parameter!$A$35:$C$64,2,0),"Nein")="2+3",IF(ISNUMBER(SEARCH("grosser Artikel",BJ1324)),2,IFERROR(VLOOKUP(BM1324,Parameter!$F$35:$G$64,2,0),2)),IF(OR(IFERROR(VLOOKUP(D1324,Parameter!$A$35:$C$64,2,0),"Nein")="Nein",IFERROR(VLOOKUP(D1324,Parameter!$A$35:$C$64,2,0),"Nein")=""),"-",VLOOKUP(D1324,Parameter!$A$35:$C$64,2,0))))</f>
        <v/>
      </c>
      <c r="V1324" s="61" t="n"/>
      <c r="W1324" s="62" t="n"/>
      <c r="X1324" s="55">
        <f>AM1324</f>
        <v/>
      </c>
      <c r="Y1324" s="55">
        <f>MAX(AM1324,G1324)</f>
        <v/>
      </c>
      <c r="Z1324" s="63" t="n"/>
      <c r="AA1324" s="55">
        <f>IF(LEFT(Cockpit!$C$5,1)="A",G1324,IF(BT1324=1,BU1324,IF(LEFT(Cockpit!$C$5,1)="B",AE1324,MAX(AE1324,G1324))))</f>
        <v/>
      </c>
      <c r="AB1324" s="55">
        <f>IF(BO1324=1,0,ROUNDUP(AA1324/BN1324,0))</f>
        <v/>
      </c>
      <c r="AC1324" s="64">
        <f>IF(BO1324=1,IF(AA1324&lt;=0,0,BP1324*MAX(1,IF(G1324&gt;0,AA1324/G1324,1))),AB1324*Q1324)</f>
        <v/>
      </c>
      <c r="AD1324" s="55">
        <f>AA1324*F1324</f>
        <v/>
      </c>
      <c r="AE1324" s="55">
        <f>ROUNDUP(MAX(I1324/IF(BS1324&gt;0,BS1324,MAX(0.1,N(Cockpit!$C$6))),BV1324)/BN1324,0)*BN1324</f>
        <v/>
      </c>
      <c r="AF1324" s="56">
        <f>IF(AC1324&gt;0,I1324/AC1324,-1)</f>
        <v/>
      </c>
      <c r="AG1324" s="56">
        <f>IF(AND(OR(BR1324="L1",BR1324="L23"),AC1324&gt;0),SUMIFS($AC$7:$AC$1570,$BR$7:$BR$1570,BR1324,$AF$7:$AF$1570,"&gt;"&amp;AF1324)+SUMIFS($AC$7:$AC$1570,$BR$7:$BR$1570,BR1324,$AF$7:$AF$1570,AF1324,$BL$7:$BL$1570,"&lt;="&amp;BL1324),"")</f>
        <v/>
      </c>
      <c r="AH1324" s="65">
        <f>IF(AG1324="",0,MAX(0,MIN(1,(IF(BR1324="L1",Parameter!$K$5,Parameter!$K$6+Parameter!$K$7)-(AG1324-AC1324))/AC1324)))</f>
        <v/>
      </c>
      <c r="AI1324" s="55">
        <f>IF(LEFT(Cockpit!$I$5,1)="A",G1324,IF(BT1324=1,BU1324,IF(LEFT(Cockpit!$I$5,1)="B",AM1324,MAX(AM1324,G1324))))</f>
        <v/>
      </c>
      <c r="AJ1324" s="55">
        <f>IF(BO1324=1,0,ROUNDUP(AI1324/BN1324,0))</f>
        <v/>
      </c>
      <c r="AK1324" s="64">
        <f>IF(BO1324=1,IF(AI1324&lt;=0,0,BP1324*MAX(1,IF(G1324&gt;0,AI1324/G1324,1))),AJ1324*Q1324)</f>
        <v/>
      </c>
      <c r="AL1324" s="55">
        <f>AI1324*F1324</f>
        <v/>
      </c>
      <c r="AM1324" s="55">
        <f>ROUNDUP(MAX(I1324/IF(BS1324&gt;0,BS1324,MAX(0.1,N(Cockpit!$I$6))),BV1324)/BN1324,0)*BN1324</f>
        <v/>
      </c>
      <c r="AN1324" s="56">
        <f>IF(AK1324&gt;0,I1324/AK1324,-1)</f>
        <v/>
      </c>
      <c r="AO1324" s="56">
        <f>IF(AND(OR(BR1324="L1",BR1324="L23"),AK1324&gt;0),SUMIFS($AK$7:$AK$1570,$BR$7:$BR$1570,BR1324,$AN$7:$AN$1570,"&gt;"&amp;AN1324)+SUMIFS($AK$7:$AK$1570,$BR$7:$BR$1570,BR1324,$AN$7:$AN$1570,AN1324,$BL$7:$BL$1570,"&lt;="&amp;BL1324),"")</f>
        <v/>
      </c>
      <c r="AP1324" s="65">
        <f>IF(AO1324="",0,MAX(0,MIN(1,(IF(BR1324="L1",Parameter!$K$5,Parameter!$K$6+Parameter!$K$7)-(AO1324-AK1324))/AK1324)))</f>
        <v/>
      </c>
      <c r="AQ1324" s="55">
        <f>IF(LEFT(Cockpit!$O$5,1)="A",G1324,IF(BT1324=1,BU1324,IF(LEFT(Cockpit!$O$5,1)="B",AU1324,MAX(AU1324,G1324))))</f>
        <v/>
      </c>
      <c r="AR1324" s="55">
        <f>IF(BO1324=1,0,ROUNDUP(AQ1324/BN1324,0))</f>
        <v/>
      </c>
      <c r="AS1324" s="64">
        <f>IF(BO1324=1,IF(AQ1324&lt;=0,0,BP1324*MAX(1,IF(G1324&gt;0,AQ1324/G1324,1))),AR1324*Q1324)</f>
        <v/>
      </c>
      <c r="AT1324" s="55">
        <f>AQ1324*F1324</f>
        <v/>
      </c>
      <c r="AU1324" s="55">
        <f>ROUNDUP(MAX(I1324/IF(BS1324&gt;0,BS1324,MAX(0.1,N(Cockpit!$O$6))),BV1324)/BN1324,0)*BN1324</f>
        <v/>
      </c>
      <c r="AV1324" s="56">
        <f>IF(AS1324&gt;0,I1324/AS1324,-1)</f>
        <v/>
      </c>
      <c r="AW1324" s="56">
        <f>IF(AND(OR(BR1324="L1",BR1324="L23"),AS1324&gt;0),SUMIFS($AS$7:$AS$1570,$BR$7:$BR$1570,BR1324,$AV$7:$AV$1570,"&gt;"&amp;AV1324)+SUMIFS($AS$7:$AS$1570,$BR$7:$BR$1570,BR1324,$AV$7:$AV$1570,AV1324,$BL$7:$BL$1570,"&lt;="&amp;BL1324),"")</f>
        <v/>
      </c>
      <c r="AX1324" s="65">
        <f>IF(AW1324="",0,MAX(0,MIN(1,(IF(BR1324="L1",Parameter!$K$5,Parameter!$K$6+Parameter!$K$7)-(AW1324-AS1324))/AS1324)))</f>
        <v/>
      </c>
      <c r="AY1324" s="53">
        <f>IF(AC1324&lt;=0,"",IF(BR1324="Aussen","Aussenlager",IF(BR1324="-","Nicht im Lift",IF(AH1324&gt;=1,"Lift",IF(AH1324&lt;=0,"Aussenlager","teilweise")))))</f>
        <v/>
      </c>
      <c r="AZ1324" s="53">
        <f>IF(AK1324&lt;=0,"",IF(BR1324="Aussen","Aussenlager",IF(BR1324="-","Nicht im Lift",IF(AP1324&gt;=1,"Lift",IF(AP1324&lt;=0,"Aussenlager","teilweise")))))</f>
        <v/>
      </c>
      <c r="BA1324" s="53">
        <f>IF(AS1324&lt;=0,"",IF(BR1324="Aussen","Aussenlager",IF(BR1324="-","Nicht im Lift",IF(AX1324&gt;=1,"Lift",IF(AX1324&lt;=0,"Aussenlager","teilweise")))))</f>
        <v/>
      </c>
      <c r="BB1324" s="53">
        <f>IF(A1324="","",IF(BK1324=1,"Neu; ","")&amp;IF(AND(BK1324=0,BF1324&lt;0),"negativer Bestand (Export "&amp;BF1324&amp;"); ","")&amp;IF(I1324&lt;=0,"Kein Verbrauch; ","")&amp;IF(BO1324=1,"Lose – Fläche geschätzt; ","")&amp;IF(G1324&gt;AM1324,"Überbestand "&amp;ROUND(G1324-AM1324,0)&amp;" Stk / CHF "&amp;ROUND((G1324-AM1324)*F1324,0)&amp;"; ","")&amp;IF(AND(BT1324=1,BU1324&lt;BV1324),"MAX &lt; MB+LG; ","")&amp;IF(AND(BZ1324&gt;0,BY1324*10&gt;BZ1324),"zu hoch für Tablar; ","")&amp;IF(AND(BK1324=0,OR(BT1324=1,V1324&lt;&gt;"",S1324&lt;&gt;"",T1324&lt;&gt;"",W1324&lt;&gt;"")),"manuell übersteuert; ","")&amp;IF(AND(BO1324=0,Q1324=0),"Gebinde unbekannt; ","")&amp;IF(AND(BO1324=0,N(T1324)&lt;=0,N(P1324)&lt;=0),"Menge pro Gebinde fehlt (Ist = 1 Gebinde); ","")&amp;BJ1324)</f>
        <v/>
      </c>
      <c r="BC1324" s="53" t="n"/>
      <c r="BD1324" s="53" t="n"/>
      <c r="BE1324" s="61" t="n"/>
      <c r="BF1324" s="55" t="n">
        <v>-53</v>
      </c>
      <c r="BG1324" s="55" t="n">
        <v>81</v>
      </c>
      <c r="BH1324" s="54" t="n">
        <v>-1451.879999999999</v>
      </c>
      <c r="BI1324" s="55" t="n">
        <v>75</v>
      </c>
      <c r="BJ1324" s="53" t="inlineStr"/>
      <c r="BK1324" s="58" t="n">
        <v>0</v>
      </c>
      <c r="BL1324" s="58" t="n">
        <v>1324</v>
      </c>
      <c r="BM1324" s="53">
        <f>IF(S1324&lt;&gt;"",UPPER(TRIM(S1324)),IF(O1324="","LOSE",O1324))</f>
        <v/>
      </c>
      <c r="BN1324" s="55">
        <f>IF(BM1324="LOSE",1,IF(N(T1324)&gt;0,T1324,IF(N(P1324)&gt;0,P1324,MAX(1,G1324))))</f>
        <v/>
      </c>
      <c r="BO1324" s="58">
        <f>IF(BM1324="LOSE",1,0)</f>
        <v/>
      </c>
      <c r="BP1324" s="64">
        <f>IF(BO1324=0,0,IF(N(R1324)&gt;0,R1324,IFERROR(VLOOKUP(D1324,Parameter!$A$35:$C$64,3,0)+0,0)))</f>
        <v/>
      </c>
      <c r="BQ1324" s="53">
        <f>IF(V1324&lt;&gt;"",V1324,U1324)</f>
        <v/>
      </c>
      <c r="BR1324" s="53">
        <f>IF(BQ1324=1,"L1",IF(OR(BQ1324=2,BQ1324=3),"L23",IF(BQ1324="Aussen","Aussen","-")))</f>
        <v/>
      </c>
      <c r="BS1324" s="66">
        <f>IF(N(W1324)&gt;0,W1324,0)</f>
        <v/>
      </c>
      <c r="BT1324" s="58">
        <f>IF(ISNUMBER(Z1324),1,0)</f>
        <v/>
      </c>
      <c r="BU1324" s="55">
        <f>N(Z1324)</f>
        <v/>
      </c>
      <c r="BV1324" s="55">
        <f>N(L1324)+N(M1324)</f>
        <v/>
      </c>
      <c r="BW1324" s="55">
        <f>ROUNDUP(G1324/BN1324,0)</f>
        <v/>
      </c>
      <c r="BX1324" s="55">
        <f>ROUNDUP(BU1324/BN1324,0)</f>
        <v/>
      </c>
      <c r="BY1324" s="58">
        <f>IF(BO1324=1,0,IFERROR(VLOOKUP(BM1324,'Gebinde-Kategorie'!$A$5:$G$45,5,0)+0,0))</f>
        <v/>
      </c>
      <c r="BZ1324" s="58">
        <f>IFERROR(IF(OR(BQ1324=1,BQ1324=2,BQ1324=3),N(INDEX(Parameter!$I$5:$I$7,BQ1324)),0),0)</f>
        <v/>
      </c>
    </row>
    <row r="1325">
      <c r="A1325" s="53" t="inlineStr">
        <is>
          <t>100156</t>
        </is>
      </c>
      <c r="B1325" s="53" t="inlineStr">
        <is>
          <t>Glühkerze</t>
        </is>
      </c>
      <c r="C1325" s="53" t="inlineStr">
        <is>
          <t>F</t>
        </is>
      </c>
      <c r="D1325" s="53" t="inlineStr">
        <is>
          <t>KTL</t>
        </is>
      </c>
      <c r="E1325" s="53" t="inlineStr">
        <is>
          <t>C</t>
        </is>
      </c>
      <c r="F1325" s="54" t="n">
        <v>8.869999999999999</v>
      </c>
      <c r="G1325" s="55">
        <f>MAX(0,IF(Parameter!$B$20="Jahresanfang 2025 + Export",BG1325+BF1325,BF1325))</f>
        <v/>
      </c>
      <c r="H1325" s="55">
        <f>G1325*F1325</f>
        <v/>
      </c>
      <c r="I1325" s="55">
        <f>BI1325*Parameter!$B$18</f>
        <v/>
      </c>
      <c r="J1325" s="56" t="n">
        <v>657.5</v>
      </c>
      <c r="K1325" s="57" t="n">
        <v>1.995437262357414</v>
      </c>
      <c r="L1325" s="55" t="n">
        <v>206</v>
      </c>
      <c r="M1325" s="55" t="n">
        <v>600</v>
      </c>
      <c r="N1325" s="58" t="n">
        <v>56</v>
      </c>
      <c r="O1325" s="53" t="inlineStr">
        <is>
          <t>S51</t>
        </is>
      </c>
      <c r="P1325" s="55" t="n">
        <v>881</v>
      </c>
      <c r="Q1325" s="59">
        <f>IF(BO1325=1,0,IFERROR(VLOOKUP(BM1325,'Gebinde-Kategorie'!$A$5:$G$45,6,0)+0,0))</f>
        <v/>
      </c>
      <c r="R1325" s="60" t="n"/>
      <c r="S1325" s="61" t="n"/>
      <c r="T1325" s="61" t="n"/>
      <c r="U1325" s="53">
        <f>IF(A1325="","",IF(IFERROR(VLOOKUP(D1325,Parameter!$A$35:$C$64,2,0),"Nein")="2+3",IF(ISNUMBER(SEARCH("grosser Artikel",BJ1325)),2,IFERROR(VLOOKUP(BM1325,Parameter!$F$35:$G$64,2,0),2)),IF(OR(IFERROR(VLOOKUP(D1325,Parameter!$A$35:$C$64,2,0),"Nein")="Nein",IFERROR(VLOOKUP(D1325,Parameter!$A$35:$C$64,2,0),"Nein")=""),"-",VLOOKUP(D1325,Parameter!$A$35:$C$64,2,0))))</f>
        <v/>
      </c>
      <c r="V1325" s="61" t="n"/>
      <c r="W1325" s="62" t="n"/>
      <c r="X1325" s="55">
        <f>AM1325</f>
        <v/>
      </c>
      <c r="Y1325" s="55">
        <f>MAX(AM1325,G1325)</f>
        <v/>
      </c>
      <c r="Z1325" s="63" t="n"/>
      <c r="AA1325" s="55">
        <f>IF(LEFT(Cockpit!$C$5,1)="A",G1325,IF(BT1325=1,BU1325,IF(LEFT(Cockpit!$C$5,1)="B",AE1325,MAX(AE1325,G1325))))</f>
        <v/>
      </c>
      <c r="AB1325" s="55">
        <f>IF(BO1325=1,0,ROUNDUP(AA1325/BN1325,0))</f>
        <v/>
      </c>
      <c r="AC1325" s="64">
        <f>IF(BO1325=1,IF(AA1325&lt;=0,0,BP1325*MAX(1,IF(G1325&gt;0,AA1325/G1325,1))),AB1325*Q1325)</f>
        <v/>
      </c>
      <c r="AD1325" s="55">
        <f>AA1325*F1325</f>
        <v/>
      </c>
      <c r="AE1325" s="55">
        <f>ROUNDUP(MAX(I1325/IF(BS1325&gt;0,BS1325,MAX(0.1,N(Cockpit!$C$6))),BV1325)/BN1325,0)*BN1325</f>
        <v/>
      </c>
      <c r="AF1325" s="56">
        <f>IF(AC1325&gt;0,I1325/AC1325,-1)</f>
        <v/>
      </c>
      <c r="AG1325" s="56">
        <f>IF(AND(OR(BR1325="L1",BR1325="L23"),AC1325&gt;0),SUMIFS($AC$7:$AC$1570,$BR$7:$BR$1570,BR1325,$AF$7:$AF$1570,"&gt;"&amp;AF1325)+SUMIFS($AC$7:$AC$1570,$BR$7:$BR$1570,BR1325,$AF$7:$AF$1570,AF1325,$BL$7:$BL$1570,"&lt;="&amp;BL1325),"")</f>
        <v/>
      </c>
      <c r="AH1325" s="65">
        <f>IF(AG1325="",0,MAX(0,MIN(1,(IF(BR1325="L1",Parameter!$K$5,Parameter!$K$6+Parameter!$K$7)-(AG1325-AC1325))/AC1325)))</f>
        <v/>
      </c>
      <c r="AI1325" s="55">
        <f>IF(LEFT(Cockpit!$I$5,1)="A",G1325,IF(BT1325=1,BU1325,IF(LEFT(Cockpit!$I$5,1)="B",AM1325,MAX(AM1325,G1325))))</f>
        <v/>
      </c>
      <c r="AJ1325" s="55">
        <f>IF(BO1325=1,0,ROUNDUP(AI1325/BN1325,0))</f>
        <v/>
      </c>
      <c r="AK1325" s="64">
        <f>IF(BO1325=1,IF(AI1325&lt;=0,0,BP1325*MAX(1,IF(G1325&gt;0,AI1325/G1325,1))),AJ1325*Q1325)</f>
        <v/>
      </c>
      <c r="AL1325" s="55">
        <f>AI1325*F1325</f>
        <v/>
      </c>
      <c r="AM1325" s="55">
        <f>ROUNDUP(MAX(I1325/IF(BS1325&gt;0,BS1325,MAX(0.1,N(Cockpit!$I$6))),BV1325)/BN1325,0)*BN1325</f>
        <v/>
      </c>
      <c r="AN1325" s="56">
        <f>IF(AK1325&gt;0,I1325/AK1325,-1)</f>
        <v/>
      </c>
      <c r="AO1325" s="56">
        <f>IF(AND(OR(BR1325="L1",BR1325="L23"),AK1325&gt;0),SUMIFS($AK$7:$AK$1570,$BR$7:$BR$1570,BR1325,$AN$7:$AN$1570,"&gt;"&amp;AN1325)+SUMIFS($AK$7:$AK$1570,$BR$7:$BR$1570,BR1325,$AN$7:$AN$1570,AN1325,$BL$7:$BL$1570,"&lt;="&amp;BL1325),"")</f>
        <v/>
      </c>
      <c r="AP1325" s="65">
        <f>IF(AO1325="",0,MAX(0,MIN(1,(IF(BR1325="L1",Parameter!$K$5,Parameter!$K$6+Parameter!$K$7)-(AO1325-AK1325))/AK1325)))</f>
        <v/>
      </c>
      <c r="AQ1325" s="55">
        <f>IF(LEFT(Cockpit!$O$5,1)="A",G1325,IF(BT1325=1,BU1325,IF(LEFT(Cockpit!$O$5,1)="B",AU1325,MAX(AU1325,G1325))))</f>
        <v/>
      </c>
      <c r="AR1325" s="55">
        <f>IF(BO1325=1,0,ROUNDUP(AQ1325/BN1325,0))</f>
        <v/>
      </c>
      <c r="AS1325" s="64">
        <f>IF(BO1325=1,IF(AQ1325&lt;=0,0,BP1325*MAX(1,IF(G1325&gt;0,AQ1325/G1325,1))),AR1325*Q1325)</f>
        <v/>
      </c>
      <c r="AT1325" s="55">
        <f>AQ1325*F1325</f>
        <v/>
      </c>
      <c r="AU1325" s="55">
        <f>ROUNDUP(MAX(I1325/IF(BS1325&gt;0,BS1325,MAX(0.1,N(Cockpit!$O$6))),BV1325)/BN1325,0)*BN1325</f>
        <v/>
      </c>
      <c r="AV1325" s="56">
        <f>IF(AS1325&gt;0,I1325/AS1325,-1)</f>
        <v/>
      </c>
      <c r="AW1325" s="56">
        <f>IF(AND(OR(BR1325="L1",BR1325="L23"),AS1325&gt;0),SUMIFS($AS$7:$AS$1570,$BR$7:$BR$1570,BR1325,$AV$7:$AV$1570,"&gt;"&amp;AV1325)+SUMIFS($AS$7:$AS$1570,$BR$7:$BR$1570,BR1325,$AV$7:$AV$1570,AV1325,$BL$7:$BL$1570,"&lt;="&amp;BL1325),"")</f>
        <v/>
      </c>
      <c r="AX1325" s="65">
        <f>IF(AW1325="",0,MAX(0,MIN(1,(IF(BR1325="L1",Parameter!$K$5,Parameter!$K$6+Parameter!$K$7)-(AW1325-AS1325))/AS1325)))</f>
        <v/>
      </c>
      <c r="AY1325" s="53">
        <f>IF(AC1325&lt;=0,"",IF(BR1325="Aussen","Aussenlager",IF(BR1325="-","Nicht im Lift",IF(AH1325&gt;=1,"Lift",IF(AH1325&lt;=0,"Aussenlager","teilweise")))))</f>
        <v/>
      </c>
      <c r="AZ1325" s="53">
        <f>IF(AK1325&lt;=0,"",IF(BR1325="Aussen","Aussenlager",IF(BR1325="-","Nicht im Lift",IF(AP1325&gt;=1,"Lift",IF(AP1325&lt;=0,"Aussenlager","teilweise")))))</f>
        <v/>
      </c>
      <c r="BA1325" s="53">
        <f>IF(AS1325&lt;=0,"",IF(BR1325="Aussen","Aussenlager",IF(BR1325="-","Nicht im Lift",IF(AX1325&gt;=1,"Lift",IF(AX1325&lt;=0,"Aussenlager","teilweise")))))</f>
        <v/>
      </c>
      <c r="BB1325" s="53">
        <f>IF(A1325="","",IF(BK1325=1,"Neu; ","")&amp;IF(AND(BK1325=0,BF1325&lt;0),"negativer Bestand (Export "&amp;BF1325&amp;"); ","")&amp;IF(I1325&lt;=0,"Kein Verbrauch; ","")&amp;IF(BO1325=1,"Lose – Fläche geschätzt; ","")&amp;IF(G1325&gt;AM1325,"Überbestand "&amp;ROUND(G1325-AM1325,0)&amp;" Stk / CHF "&amp;ROUND((G1325-AM1325)*F1325,0)&amp;"; ","")&amp;IF(AND(BT1325=1,BU1325&lt;BV1325),"MAX &lt; MB+LG; ","")&amp;IF(AND(BZ1325&gt;0,BY1325*10&gt;BZ1325),"zu hoch für Tablar; ","")&amp;IF(AND(BK1325=0,OR(BT1325=1,V1325&lt;&gt;"",S1325&lt;&gt;"",T1325&lt;&gt;"",W1325&lt;&gt;"")),"manuell übersteuert; ","")&amp;IF(AND(BO1325=0,Q1325=0),"Gebinde unbekannt; ","")&amp;IF(AND(BO1325=0,N(T1325)&lt;=0,N(P1325)&lt;=0),"Menge pro Gebinde fehlt (Ist = 1 Gebinde); ","")&amp;BJ1325)</f>
        <v/>
      </c>
      <c r="BC1325" s="53" t="n"/>
      <c r="BD1325" s="53" t="n"/>
      <c r="BE1325" s="61" t="n"/>
      <c r="BF1325" s="55" t="n">
        <v>-179</v>
      </c>
      <c r="BG1325" s="55" t="n">
        <v>556</v>
      </c>
      <c r="BH1325" s="54" t="n">
        <v>-1484.940000000016</v>
      </c>
      <c r="BI1325" s="55" t="n">
        <v>1312</v>
      </c>
      <c r="BJ1325" s="53" t="inlineStr"/>
      <c r="BK1325" s="58" t="n">
        <v>0</v>
      </c>
      <c r="BL1325" s="58" t="n">
        <v>1325</v>
      </c>
      <c r="BM1325" s="53">
        <f>IF(S1325&lt;&gt;"",UPPER(TRIM(S1325)),IF(O1325="","LOSE",O1325))</f>
        <v/>
      </c>
      <c r="BN1325" s="55">
        <f>IF(BM1325="LOSE",1,IF(N(T1325)&gt;0,T1325,IF(N(P1325)&gt;0,P1325,MAX(1,G1325))))</f>
        <v/>
      </c>
      <c r="BO1325" s="58">
        <f>IF(BM1325="LOSE",1,0)</f>
        <v/>
      </c>
      <c r="BP1325" s="64">
        <f>IF(BO1325=0,0,IF(N(R1325)&gt;0,R1325,IFERROR(VLOOKUP(D1325,Parameter!$A$35:$C$64,3,0)+0,0)))</f>
        <v/>
      </c>
      <c r="BQ1325" s="53">
        <f>IF(V1325&lt;&gt;"",V1325,U1325)</f>
        <v/>
      </c>
      <c r="BR1325" s="53">
        <f>IF(BQ1325=1,"L1",IF(OR(BQ1325=2,BQ1325=3),"L23",IF(BQ1325="Aussen","Aussen","-")))</f>
        <v/>
      </c>
      <c r="BS1325" s="66">
        <f>IF(N(W1325)&gt;0,W1325,0)</f>
        <v/>
      </c>
      <c r="BT1325" s="58">
        <f>IF(ISNUMBER(Z1325),1,0)</f>
        <v/>
      </c>
      <c r="BU1325" s="55">
        <f>N(Z1325)</f>
        <v/>
      </c>
      <c r="BV1325" s="55">
        <f>N(L1325)+N(M1325)</f>
        <v/>
      </c>
      <c r="BW1325" s="55">
        <f>ROUNDUP(G1325/BN1325,0)</f>
        <v/>
      </c>
      <c r="BX1325" s="55">
        <f>ROUNDUP(BU1325/BN1325,0)</f>
        <v/>
      </c>
      <c r="BY1325" s="58">
        <f>IF(BO1325=1,0,IFERROR(VLOOKUP(BM1325,'Gebinde-Kategorie'!$A$5:$G$45,5,0)+0,0))</f>
        <v/>
      </c>
      <c r="BZ1325" s="58">
        <f>IFERROR(IF(OR(BQ1325=1,BQ1325=2,BQ1325=3),N(INDEX(Parameter!$I$5:$I$7,BQ1325)),0),0)</f>
        <v/>
      </c>
    </row>
    <row r="1326">
      <c r="A1326" s="53" t="inlineStr">
        <is>
          <t>109042</t>
        </is>
      </c>
      <c r="B1326" s="53" t="inlineStr">
        <is>
          <t>Sensorkabel mit Tüllengehäuse</t>
        </is>
      </c>
      <c r="C1326" s="53" t="inlineStr">
        <is>
          <t>F</t>
        </is>
      </c>
      <c r="D1326" s="53" t="inlineStr">
        <is>
          <t>KTL</t>
        </is>
      </c>
      <c r="E1326" s="53" t="inlineStr">
        <is>
          <t>C</t>
        </is>
      </c>
      <c r="F1326" s="54" t="n">
        <v>55.4</v>
      </c>
      <c r="G1326" s="55">
        <f>MAX(0,IF(Parameter!$B$20="Jahresanfang 2025 + Export",BG1326+BF1326,BF1326))</f>
        <v/>
      </c>
      <c r="H1326" s="55">
        <f>G1326*F1326</f>
        <v/>
      </c>
      <c r="I1326" s="55">
        <f>BI1326*Parameter!$B$18</f>
        <v/>
      </c>
      <c r="J1326" s="56" t="n">
        <v>92</v>
      </c>
      <c r="K1326" s="57" t="n">
        <v>0.1304347826086956</v>
      </c>
      <c r="L1326" s="55" t="n">
        <v>1</v>
      </c>
      <c r="M1326" s="55" t="n">
        <v>10</v>
      </c>
      <c r="N1326" s="58" t="n">
        <v>42</v>
      </c>
      <c r="O1326" s="53" t="inlineStr">
        <is>
          <t>LOSE</t>
        </is>
      </c>
      <c r="P1326" s="55" t="n"/>
      <c r="Q1326" s="59">
        <f>IF(BO1326=1,0,IFERROR(VLOOKUP(BM1326,'Gebinde-Kategorie'!$A$5:$G$45,6,0)+0,0))</f>
        <v/>
      </c>
      <c r="R1326" s="60" t="n"/>
      <c r="S1326" s="61" t="n"/>
      <c r="T1326" s="61" t="n"/>
      <c r="U1326" s="53">
        <f>IF(A1326="","",IF(IFERROR(VLOOKUP(D1326,Parameter!$A$35:$C$64,2,0),"Nein")="2+3",IF(ISNUMBER(SEARCH("grosser Artikel",BJ1326)),2,IFERROR(VLOOKUP(BM1326,Parameter!$F$35:$G$64,2,0),2)),IF(OR(IFERROR(VLOOKUP(D1326,Parameter!$A$35:$C$64,2,0),"Nein")="Nein",IFERROR(VLOOKUP(D1326,Parameter!$A$35:$C$64,2,0),"Nein")=""),"-",VLOOKUP(D1326,Parameter!$A$35:$C$64,2,0))))</f>
        <v/>
      </c>
      <c r="V1326" s="61" t="n"/>
      <c r="W1326" s="62" t="n"/>
      <c r="X1326" s="55">
        <f>AM1326</f>
        <v/>
      </c>
      <c r="Y1326" s="55">
        <f>MAX(AM1326,G1326)</f>
        <v/>
      </c>
      <c r="Z1326" s="63" t="n"/>
      <c r="AA1326" s="55">
        <f>IF(LEFT(Cockpit!$C$5,1)="A",G1326,IF(BT1326=1,BU1326,IF(LEFT(Cockpit!$C$5,1)="B",AE1326,MAX(AE1326,G1326))))</f>
        <v/>
      </c>
      <c r="AB1326" s="55">
        <f>IF(BO1326=1,0,ROUNDUP(AA1326/BN1326,0))</f>
        <v/>
      </c>
      <c r="AC1326" s="64">
        <f>IF(BO1326=1,IF(AA1326&lt;=0,0,BP1326*MAX(1,IF(G1326&gt;0,AA1326/G1326,1))),AB1326*Q1326)</f>
        <v/>
      </c>
      <c r="AD1326" s="55">
        <f>AA1326*F1326</f>
        <v/>
      </c>
      <c r="AE1326" s="55">
        <f>ROUNDUP(MAX(I1326/IF(BS1326&gt;0,BS1326,MAX(0.1,N(Cockpit!$C$6))),BV1326)/BN1326,0)*BN1326</f>
        <v/>
      </c>
      <c r="AF1326" s="56">
        <f>IF(AC1326&gt;0,I1326/AC1326,-1)</f>
        <v/>
      </c>
      <c r="AG1326" s="56">
        <f>IF(AND(OR(BR1326="L1",BR1326="L23"),AC1326&gt;0),SUMIFS($AC$7:$AC$1570,$BR$7:$BR$1570,BR1326,$AF$7:$AF$1570,"&gt;"&amp;AF1326)+SUMIFS($AC$7:$AC$1570,$BR$7:$BR$1570,BR1326,$AF$7:$AF$1570,AF1326,$BL$7:$BL$1570,"&lt;="&amp;BL1326),"")</f>
        <v/>
      </c>
      <c r="AH1326" s="65">
        <f>IF(AG1326="",0,MAX(0,MIN(1,(IF(BR1326="L1",Parameter!$K$5,Parameter!$K$6+Parameter!$K$7)-(AG1326-AC1326))/AC1326)))</f>
        <v/>
      </c>
      <c r="AI1326" s="55">
        <f>IF(LEFT(Cockpit!$I$5,1)="A",G1326,IF(BT1326=1,BU1326,IF(LEFT(Cockpit!$I$5,1)="B",AM1326,MAX(AM1326,G1326))))</f>
        <v/>
      </c>
      <c r="AJ1326" s="55">
        <f>IF(BO1326=1,0,ROUNDUP(AI1326/BN1326,0))</f>
        <v/>
      </c>
      <c r="AK1326" s="64">
        <f>IF(BO1326=1,IF(AI1326&lt;=0,0,BP1326*MAX(1,IF(G1326&gt;0,AI1326/G1326,1))),AJ1326*Q1326)</f>
        <v/>
      </c>
      <c r="AL1326" s="55">
        <f>AI1326*F1326</f>
        <v/>
      </c>
      <c r="AM1326" s="55">
        <f>ROUNDUP(MAX(I1326/IF(BS1326&gt;0,BS1326,MAX(0.1,N(Cockpit!$I$6))),BV1326)/BN1326,0)*BN1326</f>
        <v/>
      </c>
      <c r="AN1326" s="56">
        <f>IF(AK1326&gt;0,I1326/AK1326,-1)</f>
        <v/>
      </c>
      <c r="AO1326" s="56">
        <f>IF(AND(OR(BR1326="L1",BR1326="L23"),AK1326&gt;0),SUMIFS($AK$7:$AK$1570,$BR$7:$BR$1570,BR1326,$AN$7:$AN$1570,"&gt;"&amp;AN1326)+SUMIFS($AK$7:$AK$1570,$BR$7:$BR$1570,BR1326,$AN$7:$AN$1570,AN1326,$BL$7:$BL$1570,"&lt;="&amp;BL1326),"")</f>
        <v/>
      </c>
      <c r="AP1326" s="65">
        <f>IF(AO1326="",0,MAX(0,MIN(1,(IF(BR1326="L1",Parameter!$K$5,Parameter!$K$6+Parameter!$K$7)-(AO1326-AK1326))/AK1326)))</f>
        <v/>
      </c>
      <c r="AQ1326" s="55">
        <f>IF(LEFT(Cockpit!$O$5,1)="A",G1326,IF(BT1326=1,BU1326,IF(LEFT(Cockpit!$O$5,1)="B",AU1326,MAX(AU1326,G1326))))</f>
        <v/>
      </c>
      <c r="AR1326" s="55">
        <f>IF(BO1326=1,0,ROUNDUP(AQ1326/BN1326,0))</f>
        <v/>
      </c>
      <c r="AS1326" s="64">
        <f>IF(BO1326=1,IF(AQ1326&lt;=0,0,BP1326*MAX(1,IF(G1326&gt;0,AQ1326/G1326,1))),AR1326*Q1326)</f>
        <v/>
      </c>
      <c r="AT1326" s="55">
        <f>AQ1326*F1326</f>
        <v/>
      </c>
      <c r="AU1326" s="55">
        <f>ROUNDUP(MAX(I1326/IF(BS1326&gt;0,BS1326,MAX(0.1,N(Cockpit!$O$6))),BV1326)/BN1326,0)*BN1326</f>
        <v/>
      </c>
      <c r="AV1326" s="56">
        <f>IF(AS1326&gt;0,I1326/AS1326,-1)</f>
        <v/>
      </c>
      <c r="AW1326" s="56">
        <f>IF(AND(OR(BR1326="L1",BR1326="L23"),AS1326&gt;0),SUMIFS($AS$7:$AS$1570,$BR$7:$BR$1570,BR1326,$AV$7:$AV$1570,"&gt;"&amp;AV1326)+SUMIFS($AS$7:$AS$1570,$BR$7:$BR$1570,BR1326,$AV$7:$AV$1570,AV1326,$BL$7:$BL$1570,"&lt;="&amp;BL1326),"")</f>
        <v/>
      </c>
      <c r="AX1326" s="65">
        <f>IF(AW1326="",0,MAX(0,MIN(1,(IF(BR1326="L1",Parameter!$K$5,Parameter!$K$6+Parameter!$K$7)-(AW1326-AS1326))/AS1326)))</f>
        <v/>
      </c>
      <c r="AY1326" s="53">
        <f>IF(AC1326&lt;=0,"",IF(BR1326="Aussen","Aussenlager",IF(BR1326="-","Nicht im Lift",IF(AH1326&gt;=1,"Lift",IF(AH1326&lt;=0,"Aussenlager","teilweise")))))</f>
        <v/>
      </c>
      <c r="AZ1326" s="53">
        <f>IF(AK1326&lt;=0,"",IF(BR1326="Aussen","Aussenlager",IF(BR1326="-","Nicht im Lift",IF(AP1326&gt;=1,"Lift",IF(AP1326&lt;=0,"Aussenlager","teilweise")))))</f>
        <v/>
      </c>
      <c r="BA1326" s="53">
        <f>IF(AS1326&lt;=0,"",IF(BR1326="Aussen","Aussenlager",IF(BR1326="-","Nicht im Lift",IF(AX1326&gt;=1,"Lift",IF(AX1326&lt;=0,"Aussenlager","teilweise")))))</f>
        <v/>
      </c>
      <c r="BB1326" s="53">
        <f>IF(A1326="","",IF(BK1326=1,"Neu; ","")&amp;IF(AND(BK1326=0,BF1326&lt;0),"negativer Bestand (Export "&amp;BF1326&amp;"); ","")&amp;IF(I1326&lt;=0,"Kein Verbrauch; ","")&amp;IF(BO1326=1,"Lose – Fläche geschätzt; ","")&amp;IF(G1326&gt;AM1326,"Überbestand "&amp;ROUND(G1326-AM1326,0)&amp;" Stk / CHF "&amp;ROUND((G1326-AM1326)*F1326,0)&amp;"; ","")&amp;IF(AND(BT1326=1,BU1326&lt;BV1326),"MAX &lt; MB+LG; ","")&amp;IF(AND(BZ1326&gt;0,BY1326*10&gt;BZ1326),"zu hoch für Tablar; ","")&amp;IF(AND(BK1326=0,OR(BT1326=1,V1326&lt;&gt;"",S1326&lt;&gt;"",T1326&lt;&gt;"",W1326&lt;&gt;"")),"manuell übersteuert; ","")&amp;IF(AND(BO1326=0,Q1326=0),"Gebinde unbekannt; ","")&amp;IF(AND(BO1326=0,N(T1326)&lt;=0,N(P1326)&lt;=0),"Menge pro Gebinde fehlt (Ist = 1 Gebinde); ","")&amp;BJ1326)</f>
        <v/>
      </c>
      <c r="BC1326" s="53" t="n"/>
      <c r="BD1326" s="53" t="n"/>
      <c r="BE1326" s="61" t="n"/>
      <c r="BF1326" s="55" t="n">
        <v>-27</v>
      </c>
      <c r="BG1326" s="55" t="n">
        <v>98</v>
      </c>
      <c r="BH1326" s="54" t="n">
        <v>-1495.8</v>
      </c>
      <c r="BI1326" s="55" t="n">
        <v>12</v>
      </c>
      <c r="BJ1326" s="53" t="inlineStr"/>
      <c r="BK1326" s="58" t="n">
        <v>0</v>
      </c>
      <c r="BL1326" s="58" t="n">
        <v>1326</v>
      </c>
      <c r="BM1326" s="53">
        <f>IF(S1326&lt;&gt;"",UPPER(TRIM(S1326)),IF(O1326="","LOSE",O1326))</f>
        <v/>
      </c>
      <c r="BN1326" s="55">
        <f>IF(BM1326="LOSE",1,IF(N(T1326)&gt;0,T1326,IF(N(P1326)&gt;0,P1326,MAX(1,G1326))))</f>
        <v/>
      </c>
      <c r="BO1326" s="58">
        <f>IF(BM1326="LOSE",1,0)</f>
        <v/>
      </c>
      <c r="BP1326" s="64">
        <f>IF(BO1326=0,0,IF(N(R1326)&gt;0,R1326,IFERROR(VLOOKUP(D1326,Parameter!$A$35:$C$64,3,0)+0,0)))</f>
        <v/>
      </c>
      <c r="BQ1326" s="53">
        <f>IF(V1326&lt;&gt;"",V1326,U1326)</f>
        <v/>
      </c>
      <c r="BR1326" s="53">
        <f>IF(BQ1326=1,"L1",IF(OR(BQ1326=2,BQ1326=3),"L23",IF(BQ1326="Aussen","Aussen","-")))</f>
        <v/>
      </c>
      <c r="BS1326" s="66">
        <f>IF(N(W1326)&gt;0,W1326,0)</f>
        <v/>
      </c>
      <c r="BT1326" s="58">
        <f>IF(ISNUMBER(Z1326),1,0)</f>
        <v/>
      </c>
      <c r="BU1326" s="55">
        <f>N(Z1326)</f>
        <v/>
      </c>
      <c r="BV1326" s="55">
        <f>N(L1326)+N(M1326)</f>
        <v/>
      </c>
      <c r="BW1326" s="55">
        <f>ROUNDUP(G1326/BN1326,0)</f>
        <v/>
      </c>
      <c r="BX1326" s="55">
        <f>ROUNDUP(BU1326/BN1326,0)</f>
        <v/>
      </c>
      <c r="BY1326" s="58">
        <f>IF(BO1326=1,0,IFERROR(VLOOKUP(BM1326,'Gebinde-Kategorie'!$A$5:$G$45,5,0)+0,0))</f>
        <v/>
      </c>
      <c r="BZ1326" s="58">
        <f>IFERROR(IF(OR(BQ1326=1,BQ1326=2,BQ1326=3),N(INDEX(Parameter!$I$5:$I$7,BQ1326)),0),0)</f>
        <v/>
      </c>
    </row>
    <row r="1327">
      <c r="A1327" s="53" t="inlineStr">
        <is>
          <t>100132</t>
        </is>
      </c>
      <c r="B1327" s="53" t="inlineStr">
        <is>
          <t>Deckel Gasdruckspeicher</t>
        </is>
      </c>
      <c r="C1327" s="53" t="inlineStr">
        <is>
          <t>F</t>
        </is>
      </c>
      <c r="D1327" s="53" t="inlineStr">
        <is>
          <t>PAL</t>
        </is>
      </c>
      <c r="E1327" s="53" t="inlineStr">
        <is>
          <t>C</t>
        </is>
      </c>
      <c r="F1327" s="54" t="n">
        <v>107.09</v>
      </c>
      <c r="G1327" s="55">
        <f>MAX(0,IF(Parameter!$B$20="Jahresanfang 2025 + Export",BG1327+BF1327,BF1327))</f>
        <v/>
      </c>
      <c r="H1327" s="55">
        <f>G1327*F1327</f>
        <v/>
      </c>
      <c r="I1327" s="55">
        <f>BI1327*Parameter!$B$18</f>
        <v/>
      </c>
      <c r="J1327" s="56" t="n">
        <v>45</v>
      </c>
      <c r="K1327" s="57" t="n">
        <v>2.111111111111111</v>
      </c>
      <c r="L1327" s="55" t="n">
        <v>5</v>
      </c>
      <c r="M1327" s="55" t="n">
        <v>40</v>
      </c>
      <c r="N1327" s="58" t="n">
        <v>21</v>
      </c>
      <c r="O1327" s="53" t="inlineStr">
        <is>
          <t>S71</t>
        </is>
      </c>
      <c r="P1327" s="55" t="n">
        <v>60</v>
      </c>
      <c r="Q1327" s="59">
        <f>IF(BO1327=1,0,IFERROR(VLOOKUP(BM1327,'Gebinde-Kategorie'!$A$5:$G$45,6,0)+0,0))</f>
        <v/>
      </c>
      <c r="R1327" s="60" t="n"/>
      <c r="S1327" s="61" t="n"/>
      <c r="T1327" s="61" t="n"/>
      <c r="U1327" s="53">
        <f>IF(A1327="","",IF(IFERROR(VLOOKUP(D1327,Parameter!$A$35:$C$64,2,0),"Nein")="2+3",IF(ISNUMBER(SEARCH("grosser Artikel",BJ1327)),2,IFERROR(VLOOKUP(BM1327,Parameter!$F$35:$G$64,2,0),2)),IF(OR(IFERROR(VLOOKUP(D1327,Parameter!$A$35:$C$64,2,0),"Nein")="Nein",IFERROR(VLOOKUP(D1327,Parameter!$A$35:$C$64,2,0),"Nein")=""),"-",VLOOKUP(D1327,Parameter!$A$35:$C$64,2,0))))</f>
        <v/>
      </c>
      <c r="V1327" s="61" t="n"/>
      <c r="W1327" s="62" t="n"/>
      <c r="X1327" s="55">
        <f>AM1327</f>
        <v/>
      </c>
      <c r="Y1327" s="55">
        <f>MAX(AM1327,G1327)</f>
        <v/>
      </c>
      <c r="Z1327" s="63" t="n"/>
      <c r="AA1327" s="55">
        <f>IF(LEFT(Cockpit!$C$5,1)="A",G1327,IF(BT1327=1,BU1327,IF(LEFT(Cockpit!$C$5,1)="B",AE1327,MAX(AE1327,G1327))))</f>
        <v/>
      </c>
      <c r="AB1327" s="55">
        <f>IF(BO1327=1,0,ROUNDUP(AA1327/BN1327,0))</f>
        <v/>
      </c>
      <c r="AC1327" s="64">
        <f>IF(BO1327=1,IF(AA1327&lt;=0,0,BP1327*MAX(1,IF(G1327&gt;0,AA1327/G1327,1))),AB1327*Q1327)</f>
        <v/>
      </c>
      <c r="AD1327" s="55">
        <f>AA1327*F1327</f>
        <v/>
      </c>
      <c r="AE1327" s="55">
        <f>ROUNDUP(MAX(I1327/IF(BS1327&gt;0,BS1327,MAX(0.1,N(Cockpit!$C$6))),BV1327)/BN1327,0)*BN1327</f>
        <v/>
      </c>
      <c r="AF1327" s="56">
        <f>IF(AC1327&gt;0,I1327/AC1327,-1)</f>
        <v/>
      </c>
      <c r="AG1327" s="56">
        <f>IF(AND(OR(BR1327="L1",BR1327="L23"),AC1327&gt;0),SUMIFS($AC$7:$AC$1570,$BR$7:$BR$1570,BR1327,$AF$7:$AF$1570,"&gt;"&amp;AF1327)+SUMIFS($AC$7:$AC$1570,$BR$7:$BR$1570,BR1327,$AF$7:$AF$1570,AF1327,$BL$7:$BL$1570,"&lt;="&amp;BL1327),"")</f>
        <v/>
      </c>
      <c r="AH1327" s="65">
        <f>IF(AG1327="",0,MAX(0,MIN(1,(IF(BR1327="L1",Parameter!$K$5,Parameter!$K$6+Parameter!$K$7)-(AG1327-AC1327))/AC1327)))</f>
        <v/>
      </c>
      <c r="AI1327" s="55">
        <f>IF(LEFT(Cockpit!$I$5,1)="A",G1327,IF(BT1327=1,BU1327,IF(LEFT(Cockpit!$I$5,1)="B",AM1327,MAX(AM1327,G1327))))</f>
        <v/>
      </c>
      <c r="AJ1327" s="55">
        <f>IF(BO1327=1,0,ROUNDUP(AI1327/BN1327,0))</f>
        <v/>
      </c>
      <c r="AK1327" s="64">
        <f>IF(BO1327=1,IF(AI1327&lt;=0,0,BP1327*MAX(1,IF(G1327&gt;0,AI1327/G1327,1))),AJ1327*Q1327)</f>
        <v/>
      </c>
      <c r="AL1327" s="55">
        <f>AI1327*F1327</f>
        <v/>
      </c>
      <c r="AM1327" s="55">
        <f>ROUNDUP(MAX(I1327/IF(BS1327&gt;0,BS1327,MAX(0.1,N(Cockpit!$I$6))),BV1327)/BN1327,0)*BN1327</f>
        <v/>
      </c>
      <c r="AN1327" s="56">
        <f>IF(AK1327&gt;0,I1327/AK1327,-1)</f>
        <v/>
      </c>
      <c r="AO1327" s="56">
        <f>IF(AND(OR(BR1327="L1",BR1327="L23"),AK1327&gt;0),SUMIFS($AK$7:$AK$1570,$BR$7:$BR$1570,BR1327,$AN$7:$AN$1570,"&gt;"&amp;AN1327)+SUMIFS($AK$7:$AK$1570,$BR$7:$BR$1570,BR1327,$AN$7:$AN$1570,AN1327,$BL$7:$BL$1570,"&lt;="&amp;BL1327),"")</f>
        <v/>
      </c>
      <c r="AP1327" s="65">
        <f>IF(AO1327="",0,MAX(0,MIN(1,(IF(BR1327="L1",Parameter!$K$5,Parameter!$K$6+Parameter!$K$7)-(AO1327-AK1327))/AK1327)))</f>
        <v/>
      </c>
      <c r="AQ1327" s="55">
        <f>IF(LEFT(Cockpit!$O$5,1)="A",G1327,IF(BT1327=1,BU1327,IF(LEFT(Cockpit!$O$5,1)="B",AU1327,MAX(AU1327,G1327))))</f>
        <v/>
      </c>
      <c r="AR1327" s="55">
        <f>IF(BO1327=1,0,ROUNDUP(AQ1327/BN1327,0))</f>
        <v/>
      </c>
      <c r="AS1327" s="64">
        <f>IF(BO1327=1,IF(AQ1327&lt;=0,0,BP1327*MAX(1,IF(G1327&gt;0,AQ1327/G1327,1))),AR1327*Q1327)</f>
        <v/>
      </c>
      <c r="AT1327" s="55">
        <f>AQ1327*F1327</f>
        <v/>
      </c>
      <c r="AU1327" s="55">
        <f>ROUNDUP(MAX(I1327/IF(BS1327&gt;0,BS1327,MAX(0.1,N(Cockpit!$O$6))),BV1327)/BN1327,0)*BN1327</f>
        <v/>
      </c>
      <c r="AV1327" s="56">
        <f>IF(AS1327&gt;0,I1327/AS1327,-1)</f>
        <v/>
      </c>
      <c r="AW1327" s="56">
        <f>IF(AND(OR(BR1327="L1",BR1327="L23"),AS1327&gt;0),SUMIFS($AS$7:$AS$1570,$BR$7:$BR$1570,BR1327,$AV$7:$AV$1570,"&gt;"&amp;AV1327)+SUMIFS($AS$7:$AS$1570,$BR$7:$BR$1570,BR1327,$AV$7:$AV$1570,AV1327,$BL$7:$BL$1570,"&lt;="&amp;BL1327),"")</f>
        <v/>
      </c>
      <c r="AX1327" s="65">
        <f>IF(AW1327="",0,MAX(0,MIN(1,(IF(BR1327="L1",Parameter!$K$5,Parameter!$K$6+Parameter!$K$7)-(AW1327-AS1327))/AS1327)))</f>
        <v/>
      </c>
      <c r="AY1327" s="53">
        <f>IF(AC1327&lt;=0,"",IF(BR1327="Aussen","Aussenlager",IF(BR1327="-","Nicht im Lift",IF(AH1327&gt;=1,"Lift",IF(AH1327&lt;=0,"Aussenlager","teilweise")))))</f>
        <v/>
      </c>
      <c r="AZ1327" s="53">
        <f>IF(AK1327&lt;=0,"",IF(BR1327="Aussen","Aussenlager",IF(BR1327="-","Nicht im Lift",IF(AP1327&gt;=1,"Lift",IF(AP1327&lt;=0,"Aussenlager","teilweise")))))</f>
        <v/>
      </c>
      <c r="BA1327" s="53">
        <f>IF(AS1327&lt;=0,"",IF(BR1327="Aussen","Aussenlager",IF(BR1327="-","Nicht im Lift",IF(AX1327&gt;=1,"Lift",IF(AX1327&lt;=0,"Aussenlager","teilweise")))))</f>
        <v/>
      </c>
      <c r="BB1327" s="53">
        <f>IF(A1327="","",IF(BK1327=1,"Neu; ","")&amp;IF(AND(BK1327=0,BF1327&lt;0),"negativer Bestand (Export "&amp;BF1327&amp;"); ","")&amp;IF(I1327&lt;=0,"Kein Verbrauch; ","")&amp;IF(BO1327=1,"Lose – Fläche geschätzt; ","")&amp;IF(G1327&gt;AM1327,"Überbestand "&amp;ROUND(G1327-AM1327,0)&amp;" Stk / CHF "&amp;ROUND((G1327-AM1327)*F1327,0)&amp;"; ","")&amp;IF(AND(BT1327=1,BU1327&lt;BV1327),"MAX &lt; MB+LG; ","")&amp;IF(AND(BZ1327&gt;0,BY1327*10&gt;BZ1327),"zu hoch für Tablar; ","")&amp;IF(AND(BK1327=0,OR(BT1327=1,V1327&lt;&gt;"",S1327&lt;&gt;"",T1327&lt;&gt;"",W1327&lt;&gt;"")),"manuell übersteuert; ","")&amp;IF(AND(BO1327=0,Q1327=0),"Gebinde unbekannt; ","")&amp;IF(AND(BO1327=0,N(T1327)&lt;=0,N(P1327)&lt;=0),"Menge pro Gebinde fehlt (Ist = 1 Gebinde); ","")&amp;BJ1327)</f>
        <v/>
      </c>
      <c r="BC1327" s="53" t="n"/>
      <c r="BD1327" s="53" t="n"/>
      <c r="BE1327" s="61" t="n"/>
      <c r="BF1327" s="55" t="n">
        <v>-12</v>
      </c>
      <c r="BG1327" s="55" t="n">
        <v>52</v>
      </c>
      <c r="BH1327" s="54" t="n">
        <v>-1519.080000000003</v>
      </c>
      <c r="BI1327" s="55" t="n">
        <v>95</v>
      </c>
      <c r="BJ1327" s="53" t="inlineStr">
        <is>
          <t>grosser Artikel &amp; nicht im KTL</t>
        </is>
      </c>
      <c r="BK1327" s="58" t="n">
        <v>0</v>
      </c>
      <c r="BL1327" s="58" t="n">
        <v>1327</v>
      </c>
      <c r="BM1327" s="53">
        <f>IF(S1327&lt;&gt;"",UPPER(TRIM(S1327)),IF(O1327="","LOSE",O1327))</f>
        <v/>
      </c>
      <c r="BN1327" s="55">
        <f>IF(BM1327="LOSE",1,IF(N(T1327)&gt;0,T1327,IF(N(P1327)&gt;0,P1327,MAX(1,G1327))))</f>
        <v/>
      </c>
      <c r="BO1327" s="58">
        <f>IF(BM1327="LOSE",1,0)</f>
        <v/>
      </c>
      <c r="BP1327" s="64">
        <f>IF(BO1327=0,0,IF(N(R1327)&gt;0,R1327,IFERROR(VLOOKUP(D1327,Parameter!$A$35:$C$64,3,0)+0,0)))</f>
        <v/>
      </c>
      <c r="BQ1327" s="53">
        <f>IF(V1327&lt;&gt;"",V1327,U1327)</f>
        <v/>
      </c>
      <c r="BR1327" s="53">
        <f>IF(BQ1327=1,"L1",IF(OR(BQ1327=2,BQ1327=3),"L23",IF(BQ1327="Aussen","Aussen","-")))</f>
        <v/>
      </c>
      <c r="BS1327" s="66">
        <f>IF(N(W1327)&gt;0,W1327,0)</f>
        <v/>
      </c>
      <c r="BT1327" s="58">
        <f>IF(ISNUMBER(Z1327),1,0)</f>
        <v/>
      </c>
      <c r="BU1327" s="55">
        <f>N(Z1327)</f>
        <v/>
      </c>
      <c r="BV1327" s="55">
        <f>N(L1327)+N(M1327)</f>
        <v/>
      </c>
      <c r="BW1327" s="55">
        <f>ROUNDUP(G1327/BN1327,0)</f>
        <v/>
      </c>
      <c r="BX1327" s="55">
        <f>ROUNDUP(BU1327/BN1327,0)</f>
        <v/>
      </c>
      <c r="BY1327" s="58">
        <f>IF(BO1327=1,0,IFERROR(VLOOKUP(BM1327,'Gebinde-Kategorie'!$A$5:$G$45,5,0)+0,0))</f>
        <v/>
      </c>
      <c r="BZ1327" s="58">
        <f>IFERROR(IF(OR(BQ1327=1,BQ1327=2,BQ1327=3),N(INDEX(Parameter!$I$5:$I$7,BQ1327)),0),0)</f>
        <v/>
      </c>
    </row>
    <row r="1328">
      <c r="A1328" s="53" t="inlineStr">
        <is>
          <t>OC-106435</t>
        </is>
      </c>
      <c r="B1328" s="53" t="inlineStr">
        <is>
          <t>Federkonsole komplett</t>
        </is>
      </c>
      <c r="C1328" s="53" t="inlineStr">
        <is>
          <t>F</t>
        </is>
      </c>
      <c r="D1328" s="53" t="inlineStr">
        <is>
          <t>OCC</t>
        </is>
      </c>
      <c r="E1328" s="53" t="inlineStr">
        <is>
          <t>C</t>
        </is>
      </c>
      <c r="F1328" s="54" t="n">
        <v>1537.04</v>
      </c>
      <c r="G1328" s="55">
        <f>MAX(0,IF(Parameter!$B$20="Jahresanfang 2025 + Export",BG1328+BF1328,BF1328))</f>
        <v/>
      </c>
      <c r="H1328" s="55">
        <f>G1328*F1328</f>
        <v/>
      </c>
      <c r="I1328" s="55">
        <f>BI1328*Parameter!$B$18</f>
        <v/>
      </c>
      <c r="J1328" s="56" t="n">
        <v>0.5</v>
      </c>
      <c r="K1328" s="57" t="n">
        <v>0</v>
      </c>
      <c r="L1328" s="55" t="n">
        <v>0</v>
      </c>
      <c r="M1328" s="55" t="n">
        <v>1</v>
      </c>
      <c r="N1328" s="58" t="n">
        <v>90</v>
      </c>
      <c r="O1328" s="53" t="inlineStr">
        <is>
          <t>LOSE</t>
        </is>
      </c>
      <c r="P1328" s="55" t="n"/>
      <c r="Q1328" s="59">
        <f>IF(BO1328=1,0,IFERROR(VLOOKUP(BM1328,'Gebinde-Kategorie'!$A$5:$G$45,6,0)+0,0))</f>
        <v/>
      </c>
      <c r="R1328" s="60" t="n"/>
      <c r="S1328" s="61" t="n"/>
      <c r="T1328" s="61" t="n"/>
      <c r="U1328" s="53">
        <f>IF(A1328="","",IF(IFERROR(VLOOKUP(D1328,Parameter!$A$35:$C$64,2,0),"Nein")="2+3",IF(ISNUMBER(SEARCH("grosser Artikel",BJ1328)),2,IFERROR(VLOOKUP(BM1328,Parameter!$F$35:$G$64,2,0),2)),IF(OR(IFERROR(VLOOKUP(D1328,Parameter!$A$35:$C$64,2,0),"Nein")="Nein",IFERROR(VLOOKUP(D1328,Parameter!$A$35:$C$64,2,0),"Nein")=""),"-",VLOOKUP(D1328,Parameter!$A$35:$C$64,2,0))))</f>
        <v/>
      </c>
      <c r="V1328" s="61" t="n"/>
      <c r="W1328" s="62" t="n"/>
      <c r="X1328" s="55">
        <f>AM1328</f>
        <v/>
      </c>
      <c r="Y1328" s="55">
        <f>MAX(AM1328,G1328)</f>
        <v/>
      </c>
      <c r="Z1328" s="63" t="n"/>
      <c r="AA1328" s="55">
        <f>IF(LEFT(Cockpit!$C$5,1)="A",G1328,IF(BT1328=1,BU1328,IF(LEFT(Cockpit!$C$5,1)="B",AE1328,MAX(AE1328,G1328))))</f>
        <v/>
      </c>
      <c r="AB1328" s="55">
        <f>IF(BO1328=1,0,ROUNDUP(AA1328/BN1328,0))</f>
        <v/>
      </c>
      <c r="AC1328" s="64">
        <f>IF(BO1328=1,IF(AA1328&lt;=0,0,BP1328*MAX(1,IF(G1328&gt;0,AA1328/G1328,1))),AB1328*Q1328)</f>
        <v/>
      </c>
      <c r="AD1328" s="55">
        <f>AA1328*F1328</f>
        <v/>
      </c>
      <c r="AE1328" s="55">
        <f>ROUNDUP(MAX(I1328/IF(BS1328&gt;0,BS1328,MAX(0.1,N(Cockpit!$C$6))),BV1328)/BN1328,0)*BN1328</f>
        <v/>
      </c>
      <c r="AF1328" s="56">
        <f>IF(AC1328&gt;0,I1328/AC1328,-1)</f>
        <v/>
      </c>
      <c r="AG1328" s="56">
        <f>IF(AND(OR(BR1328="L1",BR1328="L23"),AC1328&gt;0),SUMIFS($AC$7:$AC$1570,$BR$7:$BR$1570,BR1328,$AF$7:$AF$1570,"&gt;"&amp;AF1328)+SUMIFS($AC$7:$AC$1570,$BR$7:$BR$1570,BR1328,$AF$7:$AF$1570,AF1328,$BL$7:$BL$1570,"&lt;="&amp;BL1328),"")</f>
        <v/>
      </c>
      <c r="AH1328" s="65">
        <f>IF(AG1328="",0,MAX(0,MIN(1,(IF(BR1328="L1",Parameter!$K$5,Parameter!$K$6+Parameter!$K$7)-(AG1328-AC1328))/AC1328)))</f>
        <v/>
      </c>
      <c r="AI1328" s="55">
        <f>IF(LEFT(Cockpit!$I$5,1)="A",G1328,IF(BT1328=1,BU1328,IF(LEFT(Cockpit!$I$5,1)="B",AM1328,MAX(AM1328,G1328))))</f>
        <v/>
      </c>
      <c r="AJ1328" s="55">
        <f>IF(BO1328=1,0,ROUNDUP(AI1328/BN1328,0))</f>
        <v/>
      </c>
      <c r="AK1328" s="64">
        <f>IF(BO1328=1,IF(AI1328&lt;=0,0,BP1328*MAX(1,IF(G1328&gt;0,AI1328/G1328,1))),AJ1328*Q1328)</f>
        <v/>
      </c>
      <c r="AL1328" s="55">
        <f>AI1328*F1328</f>
        <v/>
      </c>
      <c r="AM1328" s="55">
        <f>ROUNDUP(MAX(I1328/IF(BS1328&gt;0,BS1328,MAX(0.1,N(Cockpit!$I$6))),BV1328)/BN1328,0)*BN1328</f>
        <v/>
      </c>
      <c r="AN1328" s="56">
        <f>IF(AK1328&gt;0,I1328/AK1328,-1)</f>
        <v/>
      </c>
      <c r="AO1328" s="56">
        <f>IF(AND(OR(BR1328="L1",BR1328="L23"),AK1328&gt;0),SUMIFS($AK$7:$AK$1570,$BR$7:$BR$1570,BR1328,$AN$7:$AN$1570,"&gt;"&amp;AN1328)+SUMIFS($AK$7:$AK$1570,$BR$7:$BR$1570,BR1328,$AN$7:$AN$1570,AN1328,$BL$7:$BL$1570,"&lt;="&amp;BL1328),"")</f>
        <v/>
      </c>
      <c r="AP1328" s="65">
        <f>IF(AO1328="",0,MAX(0,MIN(1,(IF(BR1328="L1",Parameter!$K$5,Parameter!$K$6+Parameter!$K$7)-(AO1328-AK1328))/AK1328)))</f>
        <v/>
      </c>
      <c r="AQ1328" s="55">
        <f>IF(LEFT(Cockpit!$O$5,1)="A",G1328,IF(BT1328=1,BU1328,IF(LEFT(Cockpit!$O$5,1)="B",AU1328,MAX(AU1328,G1328))))</f>
        <v/>
      </c>
      <c r="AR1328" s="55">
        <f>IF(BO1328=1,0,ROUNDUP(AQ1328/BN1328,0))</f>
        <v/>
      </c>
      <c r="AS1328" s="64">
        <f>IF(BO1328=1,IF(AQ1328&lt;=0,0,BP1328*MAX(1,IF(G1328&gt;0,AQ1328/G1328,1))),AR1328*Q1328)</f>
        <v/>
      </c>
      <c r="AT1328" s="55">
        <f>AQ1328*F1328</f>
        <v/>
      </c>
      <c r="AU1328" s="55">
        <f>ROUNDUP(MAX(I1328/IF(BS1328&gt;0,BS1328,MAX(0.1,N(Cockpit!$O$6))),BV1328)/BN1328,0)*BN1328</f>
        <v/>
      </c>
      <c r="AV1328" s="56">
        <f>IF(AS1328&gt;0,I1328/AS1328,-1)</f>
        <v/>
      </c>
      <c r="AW1328" s="56">
        <f>IF(AND(OR(BR1328="L1",BR1328="L23"),AS1328&gt;0),SUMIFS($AS$7:$AS$1570,$BR$7:$BR$1570,BR1328,$AV$7:$AV$1570,"&gt;"&amp;AV1328)+SUMIFS($AS$7:$AS$1570,$BR$7:$BR$1570,BR1328,$AV$7:$AV$1570,AV1328,$BL$7:$BL$1570,"&lt;="&amp;BL1328),"")</f>
        <v/>
      </c>
      <c r="AX1328" s="65">
        <f>IF(AW1328="",0,MAX(0,MIN(1,(IF(BR1328="L1",Parameter!$K$5,Parameter!$K$6+Parameter!$K$7)-(AW1328-AS1328))/AS1328)))</f>
        <v/>
      </c>
      <c r="AY1328" s="53">
        <f>IF(AC1328&lt;=0,"",IF(BR1328="Aussen","Aussenlager",IF(BR1328="-","Nicht im Lift",IF(AH1328&gt;=1,"Lift",IF(AH1328&lt;=0,"Aussenlager","teilweise")))))</f>
        <v/>
      </c>
      <c r="AZ1328" s="53">
        <f>IF(AK1328&lt;=0,"",IF(BR1328="Aussen","Aussenlager",IF(BR1328="-","Nicht im Lift",IF(AP1328&gt;=1,"Lift",IF(AP1328&lt;=0,"Aussenlager","teilweise")))))</f>
        <v/>
      </c>
      <c r="BA1328" s="53">
        <f>IF(AS1328&lt;=0,"",IF(BR1328="Aussen","Aussenlager",IF(BR1328="-","Nicht im Lift",IF(AX1328&gt;=1,"Lift",IF(AX1328&lt;=0,"Aussenlager","teilweise")))))</f>
        <v/>
      </c>
      <c r="BB1328" s="53">
        <f>IF(A1328="","",IF(BK1328=1,"Neu; ","")&amp;IF(AND(BK1328=0,BF1328&lt;0),"negativer Bestand (Export "&amp;BF1328&amp;"); ","")&amp;IF(I1328&lt;=0,"Kein Verbrauch; ","")&amp;IF(BO1328=1,"Lose – Fläche geschätzt; ","")&amp;IF(G1328&gt;AM1328,"Überbestand "&amp;ROUND(G1328-AM1328,0)&amp;" Stk / CHF "&amp;ROUND((G1328-AM1328)*F1328,0)&amp;"; ","")&amp;IF(AND(BT1328=1,BU1328&lt;BV1328),"MAX &lt; MB+LG; ","")&amp;IF(AND(BZ1328&gt;0,BY1328*10&gt;BZ1328),"zu hoch für Tablar; ","")&amp;IF(AND(BK1328=0,OR(BT1328=1,V1328&lt;&gt;"",S1328&lt;&gt;"",T1328&lt;&gt;"",W1328&lt;&gt;"")),"manuell übersteuert; ","")&amp;IF(AND(BO1328=0,Q1328=0),"Gebinde unbekannt; ","")&amp;IF(AND(BO1328=0,N(T1328)&lt;=0,N(P1328)&lt;=0),"Menge pro Gebinde fehlt (Ist = 1 Gebinde); ","")&amp;BJ1328)</f>
        <v/>
      </c>
      <c r="BC1328" s="53" t="n"/>
      <c r="BD1328" s="53" t="n"/>
      <c r="BE1328" s="61" t="n"/>
      <c r="BF1328" s="55" t="n">
        <v>-1</v>
      </c>
      <c r="BG1328" s="55" t="n">
        <v>1</v>
      </c>
      <c r="BH1328" s="54" t="n">
        <v>-1537.04</v>
      </c>
      <c r="BI1328" s="55" t="n">
        <v>0</v>
      </c>
      <c r="BJ1328" s="53" t="inlineStr"/>
      <c r="BK1328" s="58" t="n">
        <v>0</v>
      </c>
      <c r="BL1328" s="58" t="n">
        <v>1328</v>
      </c>
      <c r="BM1328" s="53">
        <f>IF(S1328&lt;&gt;"",UPPER(TRIM(S1328)),IF(O1328="","LOSE",O1328))</f>
        <v/>
      </c>
      <c r="BN1328" s="55">
        <f>IF(BM1328="LOSE",1,IF(N(T1328)&gt;0,T1328,IF(N(P1328)&gt;0,P1328,MAX(1,G1328))))</f>
        <v/>
      </c>
      <c r="BO1328" s="58">
        <f>IF(BM1328="LOSE",1,0)</f>
        <v/>
      </c>
      <c r="BP1328" s="64">
        <f>IF(BO1328=0,0,IF(N(R1328)&gt;0,R1328,IFERROR(VLOOKUP(D1328,Parameter!$A$35:$C$64,3,0)+0,0)))</f>
        <v/>
      </c>
      <c r="BQ1328" s="53">
        <f>IF(V1328&lt;&gt;"",V1328,U1328)</f>
        <v/>
      </c>
      <c r="BR1328" s="53">
        <f>IF(BQ1328=1,"L1",IF(OR(BQ1328=2,BQ1328=3),"L23",IF(BQ1328="Aussen","Aussen","-")))</f>
        <v/>
      </c>
      <c r="BS1328" s="66">
        <f>IF(N(W1328)&gt;0,W1328,0)</f>
        <v/>
      </c>
      <c r="BT1328" s="58">
        <f>IF(ISNUMBER(Z1328),1,0)</f>
        <v/>
      </c>
      <c r="BU1328" s="55">
        <f>N(Z1328)</f>
        <v/>
      </c>
      <c r="BV1328" s="55">
        <f>N(L1328)+N(M1328)</f>
        <v/>
      </c>
      <c r="BW1328" s="55">
        <f>ROUNDUP(G1328/BN1328,0)</f>
        <v/>
      </c>
      <c r="BX1328" s="55">
        <f>ROUNDUP(BU1328/BN1328,0)</f>
        <v/>
      </c>
      <c r="BY1328" s="58">
        <f>IF(BO1328=1,0,IFERROR(VLOOKUP(BM1328,'Gebinde-Kategorie'!$A$5:$G$45,5,0)+0,0))</f>
        <v/>
      </c>
      <c r="BZ1328" s="58">
        <f>IFERROR(IF(OR(BQ1328=1,BQ1328=2,BQ1328=3),N(INDEX(Parameter!$I$5:$I$7,BQ1328)),0),0)</f>
        <v/>
      </c>
    </row>
    <row r="1329">
      <c r="A1329" s="53" t="inlineStr">
        <is>
          <t>101451</t>
        </is>
      </c>
      <c r="B1329" s="53" t="inlineStr">
        <is>
          <t>Zylinderschraube mit Innensechskant</t>
        </is>
      </c>
      <c r="C1329" s="53" t="inlineStr">
        <is>
          <t>F</t>
        </is>
      </c>
      <c r="D1329" s="53" t="inlineStr">
        <is>
          <t>PAL</t>
        </is>
      </c>
      <c r="E1329" s="53" t="inlineStr">
        <is>
          <t>C</t>
        </is>
      </c>
      <c r="F1329" s="54" t="n">
        <v>0.24</v>
      </c>
      <c r="G1329" s="55">
        <f>MAX(0,IF(Parameter!$B$20="Jahresanfang 2025 + Export",BG1329+BF1329,BF1329))</f>
        <v/>
      </c>
      <c r="H1329" s="55">
        <f>G1329*F1329</f>
        <v/>
      </c>
      <c r="I1329" s="55">
        <f>BI1329*Parameter!$B$18</f>
        <v/>
      </c>
      <c r="J1329" s="56" t="n">
        <v>6601.5</v>
      </c>
      <c r="K1329" s="57" t="n">
        <v>2.710444595925169</v>
      </c>
      <c r="L1329" s="55" t="n">
        <v>1043</v>
      </c>
      <c r="M1329" s="55" t="n">
        <v>2000</v>
      </c>
      <c r="N1329" s="58" t="n">
        <v>21</v>
      </c>
      <c r="O1329" s="53" t="inlineStr">
        <is>
          <t>S71</t>
        </is>
      </c>
      <c r="P1329" s="55" t="n">
        <v>3500</v>
      </c>
      <c r="Q1329" s="59">
        <f>IF(BO1329=1,0,IFERROR(VLOOKUP(BM1329,'Gebinde-Kategorie'!$A$5:$G$45,6,0)+0,0))</f>
        <v/>
      </c>
      <c r="R1329" s="60" t="n"/>
      <c r="S1329" s="61" t="n"/>
      <c r="T1329" s="61" t="n"/>
      <c r="U1329" s="53">
        <f>IF(A1329="","",IF(IFERROR(VLOOKUP(D1329,Parameter!$A$35:$C$64,2,0),"Nein")="2+3",IF(ISNUMBER(SEARCH("grosser Artikel",BJ1329)),2,IFERROR(VLOOKUP(BM1329,Parameter!$F$35:$G$64,2,0),2)),IF(OR(IFERROR(VLOOKUP(D1329,Parameter!$A$35:$C$64,2,0),"Nein")="Nein",IFERROR(VLOOKUP(D1329,Parameter!$A$35:$C$64,2,0),"Nein")=""),"-",VLOOKUP(D1329,Parameter!$A$35:$C$64,2,0))))</f>
        <v/>
      </c>
      <c r="V1329" s="61" t="n"/>
      <c r="W1329" s="62" t="n"/>
      <c r="X1329" s="55">
        <f>AM1329</f>
        <v/>
      </c>
      <c r="Y1329" s="55">
        <f>MAX(AM1329,G1329)</f>
        <v/>
      </c>
      <c r="Z1329" s="63" t="n"/>
      <c r="AA1329" s="55">
        <f>IF(LEFT(Cockpit!$C$5,1)="A",G1329,IF(BT1329=1,BU1329,IF(LEFT(Cockpit!$C$5,1)="B",AE1329,MAX(AE1329,G1329))))</f>
        <v/>
      </c>
      <c r="AB1329" s="55">
        <f>IF(BO1329=1,0,ROUNDUP(AA1329/BN1329,0))</f>
        <v/>
      </c>
      <c r="AC1329" s="64">
        <f>IF(BO1329=1,IF(AA1329&lt;=0,0,BP1329*MAX(1,IF(G1329&gt;0,AA1329/G1329,1))),AB1329*Q1329)</f>
        <v/>
      </c>
      <c r="AD1329" s="55">
        <f>AA1329*F1329</f>
        <v/>
      </c>
      <c r="AE1329" s="55">
        <f>ROUNDUP(MAX(I1329/IF(BS1329&gt;0,BS1329,MAX(0.1,N(Cockpit!$C$6))),BV1329)/BN1329,0)*BN1329</f>
        <v/>
      </c>
      <c r="AF1329" s="56">
        <f>IF(AC1329&gt;0,I1329/AC1329,-1)</f>
        <v/>
      </c>
      <c r="AG1329" s="56">
        <f>IF(AND(OR(BR1329="L1",BR1329="L23"),AC1329&gt;0),SUMIFS($AC$7:$AC$1570,$BR$7:$BR$1570,BR1329,$AF$7:$AF$1570,"&gt;"&amp;AF1329)+SUMIFS($AC$7:$AC$1570,$BR$7:$BR$1570,BR1329,$AF$7:$AF$1570,AF1329,$BL$7:$BL$1570,"&lt;="&amp;BL1329),"")</f>
        <v/>
      </c>
      <c r="AH1329" s="65">
        <f>IF(AG1329="",0,MAX(0,MIN(1,(IF(BR1329="L1",Parameter!$K$5,Parameter!$K$6+Parameter!$K$7)-(AG1329-AC1329))/AC1329)))</f>
        <v/>
      </c>
      <c r="AI1329" s="55">
        <f>IF(LEFT(Cockpit!$I$5,1)="A",G1329,IF(BT1329=1,BU1329,IF(LEFT(Cockpit!$I$5,1)="B",AM1329,MAX(AM1329,G1329))))</f>
        <v/>
      </c>
      <c r="AJ1329" s="55">
        <f>IF(BO1329=1,0,ROUNDUP(AI1329/BN1329,0))</f>
        <v/>
      </c>
      <c r="AK1329" s="64">
        <f>IF(BO1329=1,IF(AI1329&lt;=0,0,BP1329*MAX(1,IF(G1329&gt;0,AI1329/G1329,1))),AJ1329*Q1329)</f>
        <v/>
      </c>
      <c r="AL1329" s="55">
        <f>AI1329*F1329</f>
        <v/>
      </c>
      <c r="AM1329" s="55">
        <f>ROUNDUP(MAX(I1329/IF(BS1329&gt;0,BS1329,MAX(0.1,N(Cockpit!$I$6))),BV1329)/BN1329,0)*BN1329</f>
        <v/>
      </c>
      <c r="AN1329" s="56">
        <f>IF(AK1329&gt;0,I1329/AK1329,-1)</f>
        <v/>
      </c>
      <c r="AO1329" s="56">
        <f>IF(AND(OR(BR1329="L1",BR1329="L23"),AK1329&gt;0),SUMIFS($AK$7:$AK$1570,$BR$7:$BR$1570,BR1329,$AN$7:$AN$1570,"&gt;"&amp;AN1329)+SUMIFS($AK$7:$AK$1570,$BR$7:$BR$1570,BR1329,$AN$7:$AN$1570,AN1329,$BL$7:$BL$1570,"&lt;="&amp;BL1329),"")</f>
        <v/>
      </c>
      <c r="AP1329" s="65">
        <f>IF(AO1329="",0,MAX(0,MIN(1,(IF(BR1329="L1",Parameter!$K$5,Parameter!$K$6+Parameter!$K$7)-(AO1329-AK1329))/AK1329)))</f>
        <v/>
      </c>
      <c r="AQ1329" s="55">
        <f>IF(LEFT(Cockpit!$O$5,1)="A",G1329,IF(BT1329=1,BU1329,IF(LEFT(Cockpit!$O$5,1)="B",AU1329,MAX(AU1329,G1329))))</f>
        <v/>
      </c>
      <c r="AR1329" s="55">
        <f>IF(BO1329=1,0,ROUNDUP(AQ1329/BN1329,0))</f>
        <v/>
      </c>
      <c r="AS1329" s="64">
        <f>IF(BO1329=1,IF(AQ1329&lt;=0,0,BP1329*MAX(1,IF(G1329&gt;0,AQ1329/G1329,1))),AR1329*Q1329)</f>
        <v/>
      </c>
      <c r="AT1329" s="55">
        <f>AQ1329*F1329</f>
        <v/>
      </c>
      <c r="AU1329" s="55">
        <f>ROUNDUP(MAX(I1329/IF(BS1329&gt;0,BS1329,MAX(0.1,N(Cockpit!$O$6))),BV1329)/BN1329,0)*BN1329</f>
        <v/>
      </c>
      <c r="AV1329" s="56">
        <f>IF(AS1329&gt;0,I1329/AS1329,-1)</f>
        <v/>
      </c>
      <c r="AW1329" s="56">
        <f>IF(AND(OR(BR1329="L1",BR1329="L23"),AS1329&gt;0),SUMIFS($AS$7:$AS$1570,$BR$7:$BR$1570,BR1329,$AV$7:$AV$1570,"&gt;"&amp;AV1329)+SUMIFS($AS$7:$AS$1570,$BR$7:$BR$1570,BR1329,$AV$7:$AV$1570,AV1329,$BL$7:$BL$1570,"&lt;="&amp;BL1329),"")</f>
        <v/>
      </c>
      <c r="AX1329" s="65">
        <f>IF(AW1329="",0,MAX(0,MIN(1,(IF(BR1329="L1",Parameter!$K$5,Parameter!$K$6+Parameter!$K$7)-(AW1329-AS1329))/AS1329)))</f>
        <v/>
      </c>
      <c r="AY1329" s="53">
        <f>IF(AC1329&lt;=0,"",IF(BR1329="Aussen","Aussenlager",IF(BR1329="-","Nicht im Lift",IF(AH1329&gt;=1,"Lift",IF(AH1329&lt;=0,"Aussenlager","teilweise")))))</f>
        <v/>
      </c>
      <c r="AZ1329" s="53">
        <f>IF(AK1329&lt;=0,"",IF(BR1329="Aussen","Aussenlager",IF(BR1329="-","Nicht im Lift",IF(AP1329&gt;=1,"Lift",IF(AP1329&lt;=0,"Aussenlager","teilweise")))))</f>
        <v/>
      </c>
      <c r="BA1329" s="53">
        <f>IF(AS1329&lt;=0,"",IF(BR1329="Aussen","Aussenlager",IF(BR1329="-","Nicht im Lift",IF(AX1329&gt;=1,"Lift",IF(AX1329&lt;=0,"Aussenlager","teilweise")))))</f>
        <v/>
      </c>
      <c r="BB1329" s="53">
        <f>IF(A1329="","",IF(BK1329=1,"Neu; ","")&amp;IF(AND(BK1329=0,BF1329&lt;0),"negativer Bestand (Export "&amp;BF1329&amp;"); ","")&amp;IF(I1329&lt;=0,"Kein Verbrauch; ","")&amp;IF(BO1329=1,"Lose – Fläche geschätzt; ","")&amp;IF(G1329&gt;AM1329,"Überbestand "&amp;ROUND(G1329-AM1329,0)&amp;" Stk / CHF "&amp;ROUND((G1329-AM1329)*F1329,0)&amp;"; ","")&amp;IF(AND(BT1329=1,BU1329&lt;BV1329),"MAX &lt; MB+LG; ","")&amp;IF(AND(BZ1329&gt;0,BY1329*10&gt;BZ1329),"zu hoch für Tablar; ","")&amp;IF(AND(BK1329=0,OR(BT1329=1,V1329&lt;&gt;"",S1329&lt;&gt;"",T1329&lt;&gt;"",W1329&lt;&gt;"")),"manuell übersteuert; ","")&amp;IF(AND(BO1329=0,Q1329=0),"Gebinde unbekannt; ","")&amp;IF(AND(BO1329=0,N(T1329)&lt;=0,N(P1329)&lt;=0),"Menge pro Gebinde fehlt (Ist = 1 Gebinde); ","")&amp;BJ1329)</f>
        <v/>
      </c>
      <c r="BC1329" s="53" t="n"/>
      <c r="BD1329" s="53" t="n"/>
      <c r="BE1329" s="61" t="n"/>
      <c r="BF1329" s="55" t="n">
        <v>-6796</v>
      </c>
      <c r="BG1329" s="55" t="n">
        <v>9219</v>
      </c>
      <c r="BH1329" s="54" t="n">
        <v>-1539.389999999996</v>
      </c>
      <c r="BI1329" s="55" t="n">
        <v>17893</v>
      </c>
      <c r="BJ1329" s="53" t="inlineStr">
        <is>
          <t>grosse  Artikelmenge</t>
        </is>
      </c>
      <c r="BK1329" s="58" t="n">
        <v>0</v>
      </c>
      <c r="BL1329" s="58" t="n">
        <v>1329</v>
      </c>
      <c r="BM1329" s="53">
        <f>IF(S1329&lt;&gt;"",UPPER(TRIM(S1329)),IF(O1329="","LOSE",O1329))</f>
        <v/>
      </c>
      <c r="BN1329" s="55">
        <f>IF(BM1329="LOSE",1,IF(N(T1329)&gt;0,T1329,IF(N(P1329)&gt;0,P1329,MAX(1,G1329))))</f>
        <v/>
      </c>
      <c r="BO1329" s="58">
        <f>IF(BM1329="LOSE",1,0)</f>
        <v/>
      </c>
      <c r="BP1329" s="64">
        <f>IF(BO1329=0,0,IF(N(R1329)&gt;0,R1329,IFERROR(VLOOKUP(D1329,Parameter!$A$35:$C$64,3,0)+0,0)))</f>
        <v/>
      </c>
      <c r="BQ1329" s="53">
        <f>IF(V1329&lt;&gt;"",V1329,U1329)</f>
        <v/>
      </c>
      <c r="BR1329" s="53">
        <f>IF(BQ1329=1,"L1",IF(OR(BQ1329=2,BQ1329=3),"L23",IF(BQ1329="Aussen","Aussen","-")))</f>
        <v/>
      </c>
      <c r="BS1329" s="66">
        <f>IF(N(W1329)&gt;0,W1329,0)</f>
        <v/>
      </c>
      <c r="BT1329" s="58">
        <f>IF(ISNUMBER(Z1329),1,0)</f>
        <v/>
      </c>
      <c r="BU1329" s="55">
        <f>N(Z1329)</f>
        <v/>
      </c>
      <c r="BV1329" s="55">
        <f>N(L1329)+N(M1329)</f>
        <v/>
      </c>
      <c r="BW1329" s="55">
        <f>ROUNDUP(G1329/BN1329,0)</f>
        <v/>
      </c>
      <c r="BX1329" s="55">
        <f>ROUNDUP(BU1329/BN1329,0)</f>
        <v/>
      </c>
      <c r="BY1329" s="58">
        <f>IF(BO1329=1,0,IFERROR(VLOOKUP(BM1329,'Gebinde-Kategorie'!$A$5:$G$45,5,0)+0,0))</f>
        <v/>
      </c>
      <c r="BZ1329" s="58">
        <f>IFERROR(IF(OR(BQ1329=1,BQ1329=2,BQ1329=3),N(INDEX(Parameter!$I$5:$I$7,BQ1329)),0),0)</f>
        <v/>
      </c>
    </row>
    <row r="1330">
      <c r="A1330" s="53" t="inlineStr">
        <is>
          <t>105250</t>
        </is>
      </c>
      <c r="B1330" s="53" t="inlineStr">
        <is>
          <t>Zylinderschraube mit Innensechskant</t>
        </is>
      </c>
      <c r="C1330" s="53" t="inlineStr">
        <is>
          <t>F</t>
        </is>
      </c>
      <c r="D1330" s="53" t="inlineStr">
        <is>
          <t>PAL</t>
        </is>
      </c>
      <c r="E1330" s="53" t="inlineStr">
        <is>
          <t>C</t>
        </is>
      </c>
      <c r="F1330" s="54" t="n">
        <v>0.42</v>
      </c>
      <c r="G1330" s="55">
        <f>MAX(0,IF(Parameter!$B$20="Jahresanfang 2025 + Export",BG1330+BF1330,BF1330))</f>
        <v/>
      </c>
      <c r="H1330" s="55">
        <f>G1330*F1330</f>
        <v/>
      </c>
      <c r="I1330" s="55">
        <f>BI1330*Parameter!$B$18</f>
        <v/>
      </c>
      <c r="J1330" s="56" t="n">
        <v>3000</v>
      </c>
      <c r="K1330" s="57" t="n">
        <v>6</v>
      </c>
      <c r="L1330" s="55" t="n">
        <v>0</v>
      </c>
      <c r="M1330" s="55" t="n">
        <v>200</v>
      </c>
      <c r="N1330" s="58" t="n">
        <v>21</v>
      </c>
      <c r="O1330" s="53" t="inlineStr">
        <is>
          <t>LOSE</t>
        </is>
      </c>
      <c r="P1330" s="55" t="n"/>
      <c r="Q1330" s="59">
        <f>IF(BO1330=1,0,IFERROR(VLOOKUP(BM1330,'Gebinde-Kategorie'!$A$5:$G$45,6,0)+0,0))</f>
        <v/>
      </c>
      <c r="R1330" s="60" t="n"/>
      <c r="S1330" s="61" t="n"/>
      <c r="T1330" s="61" t="n"/>
      <c r="U1330" s="53">
        <f>IF(A1330="","",IF(IFERROR(VLOOKUP(D1330,Parameter!$A$35:$C$64,2,0),"Nein")="2+3",IF(ISNUMBER(SEARCH("grosser Artikel",BJ1330)),2,IFERROR(VLOOKUP(BM1330,Parameter!$F$35:$G$64,2,0),2)),IF(OR(IFERROR(VLOOKUP(D1330,Parameter!$A$35:$C$64,2,0),"Nein")="Nein",IFERROR(VLOOKUP(D1330,Parameter!$A$35:$C$64,2,0),"Nein")=""),"-",VLOOKUP(D1330,Parameter!$A$35:$C$64,2,0))))</f>
        <v/>
      </c>
      <c r="V1330" s="61" t="n"/>
      <c r="W1330" s="62" t="n"/>
      <c r="X1330" s="55">
        <f>AM1330</f>
        <v/>
      </c>
      <c r="Y1330" s="55">
        <f>MAX(AM1330,G1330)</f>
        <v/>
      </c>
      <c r="Z1330" s="63" t="n"/>
      <c r="AA1330" s="55">
        <f>IF(LEFT(Cockpit!$C$5,1)="A",G1330,IF(BT1330=1,BU1330,IF(LEFT(Cockpit!$C$5,1)="B",AE1330,MAX(AE1330,G1330))))</f>
        <v/>
      </c>
      <c r="AB1330" s="55">
        <f>IF(BO1330=1,0,ROUNDUP(AA1330/BN1330,0))</f>
        <v/>
      </c>
      <c r="AC1330" s="64">
        <f>IF(BO1330=1,IF(AA1330&lt;=0,0,BP1330*MAX(1,IF(G1330&gt;0,AA1330/G1330,1))),AB1330*Q1330)</f>
        <v/>
      </c>
      <c r="AD1330" s="55">
        <f>AA1330*F1330</f>
        <v/>
      </c>
      <c r="AE1330" s="55">
        <f>ROUNDUP(MAX(I1330/IF(BS1330&gt;0,BS1330,MAX(0.1,N(Cockpit!$C$6))),BV1330)/BN1330,0)*BN1330</f>
        <v/>
      </c>
      <c r="AF1330" s="56">
        <f>IF(AC1330&gt;0,I1330/AC1330,-1)</f>
        <v/>
      </c>
      <c r="AG1330" s="56">
        <f>IF(AND(OR(BR1330="L1",BR1330="L23"),AC1330&gt;0),SUMIFS($AC$7:$AC$1570,$BR$7:$BR$1570,BR1330,$AF$7:$AF$1570,"&gt;"&amp;AF1330)+SUMIFS($AC$7:$AC$1570,$BR$7:$BR$1570,BR1330,$AF$7:$AF$1570,AF1330,$BL$7:$BL$1570,"&lt;="&amp;BL1330),"")</f>
        <v/>
      </c>
      <c r="AH1330" s="65">
        <f>IF(AG1330="",0,MAX(0,MIN(1,(IF(BR1330="L1",Parameter!$K$5,Parameter!$K$6+Parameter!$K$7)-(AG1330-AC1330))/AC1330)))</f>
        <v/>
      </c>
      <c r="AI1330" s="55">
        <f>IF(LEFT(Cockpit!$I$5,1)="A",G1330,IF(BT1330=1,BU1330,IF(LEFT(Cockpit!$I$5,1)="B",AM1330,MAX(AM1330,G1330))))</f>
        <v/>
      </c>
      <c r="AJ1330" s="55">
        <f>IF(BO1330=1,0,ROUNDUP(AI1330/BN1330,0))</f>
        <v/>
      </c>
      <c r="AK1330" s="64">
        <f>IF(BO1330=1,IF(AI1330&lt;=0,0,BP1330*MAX(1,IF(G1330&gt;0,AI1330/G1330,1))),AJ1330*Q1330)</f>
        <v/>
      </c>
      <c r="AL1330" s="55">
        <f>AI1330*F1330</f>
        <v/>
      </c>
      <c r="AM1330" s="55">
        <f>ROUNDUP(MAX(I1330/IF(BS1330&gt;0,BS1330,MAX(0.1,N(Cockpit!$I$6))),BV1330)/BN1330,0)*BN1330</f>
        <v/>
      </c>
      <c r="AN1330" s="56">
        <f>IF(AK1330&gt;0,I1330/AK1330,-1)</f>
        <v/>
      </c>
      <c r="AO1330" s="56">
        <f>IF(AND(OR(BR1330="L1",BR1330="L23"),AK1330&gt;0),SUMIFS($AK$7:$AK$1570,$BR$7:$BR$1570,BR1330,$AN$7:$AN$1570,"&gt;"&amp;AN1330)+SUMIFS($AK$7:$AK$1570,$BR$7:$BR$1570,BR1330,$AN$7:$AN$1570,AN1330,$BL$7:$BL$1570,"&lt;="&amp;BL1330),"")</f>
        <v/>
      </c>
      <c r="AP1330" s="65">
        <f>IF(AO1330="",0,MAX(0,MIN(1,(IF(BR1330="L1",Parameter!$K$5,Parameter!$K$6+Parameter!$K$7)-(AO1330-AK1330))/AK1330)))</f>
        <v/>
      </c>
      <c r="AQ1330" s="55">
        <f>IF(LEFT(Cockpit!$O$5,1)="A",G1330,IF(BT1330=1,BU1330,IF(LEFT(Cockpit!$O$5,1)="B",AU1330,MAX(AU1330,G1330))))</f>
        <v/>
      </c>
      <c r="AR1330" s="55">
        <f>IF(BO1330=1,0,ROUNDUP(AQ1330/BN1330,0))</f>
        <v/>
      </c>
      <c r="AS1330" s="64">
        <f>IF(BO1330=1,IF(AQ1330&lt;=0,0,BP1330*MAX(1,IF(G1330&gt;0,AQ1330/G1330,1))),AR1330*Q1330)</f>
        <v/>
      </c>
      <c r="AT1330" s="55">
        <f>AQ1330*F1330</f>
        <v/>
      </c>
      <c r="AU1330" s="55">
        <f>ROUNDUP(MAX(I1330/IF(BS1330&gt;0,BS1330,MAX(0.1,N(Cockpit!$O$6))),BV1330)/BN1330,0)*BN1330</f>
        <v/>
      </c>
      <c r="AV1330" s="56">
        <f>IF(AS1330&gt;0,I1330/AS1330,-1)</f>
        <v/>
      </c>
      <c r="AW1330" s="56">
        <f>IF(AND(OR(BR1330="L1",BR1330="L23"),AS1330&gt;0),SUMIFS($AS$7:$AS$1570,$BR$7:$BR$1570,BR1330,$AV$7:$AV$1570,"&gt;"&amp;AV1330)+SUMIFS($AS$7:$AS$1570,$BR$7:$BR$1570,BR1330,$AV$7:$AV$1570,AV1330,$BL$7:$BL$1570,"&lt;="&amp;BL1330),"")</f>
        <v/>
      </c>
      <c r="AX1330" s="65">
        <f>IF(AW1330="",0,MAX(0,MIN(1,(IF(BR1330="L1",Parameter!$K$5,Parameter!$K$6+Parameter!$K$7)-(AW1330-AS1330))/AS1330)))</f>
        <v/>
      </c>
      <c r="AY1330" s="53">
        <f>IF(AC1330&lt;=0,"",IF(BR1330="Aussen","Aussenlager",IF(BR1330="-","Nicht im Lift",IF(AH1330&gt;=1,"Lift",IF(AH1330&lt;=0,"Aussenlager","teilweise")))))</f>
        <v/>
      </c>
      <c r="AZ1330" s="53">
        <f>IF(AK1330&lt;=0,"",IF(BR1330="Aussen","Aussenlager",IF(BR1330="-","Nicht im Lift",IF(AP1330&gt;=1,"Lift",IF(AP1330&lt;=0,"Aussenlager","teilweise")))))</f>
        <v/>
      </c>
      <c r="BA1330" s="53">
        <f>IF(AS1330&lt;=0,"",IF(BR1330="Aussen","Aussenlager",IF(BR1330="-","Nicht im Lift",IF(AX1330&gt;=1,"Lift",IF(AX1330&lt;=0,"Aussenlager","teilweise")))))</f>
        <v/>
      </c>
      <c r="BB1330" s="53">
        <f>IF(A1330="","",IF(BK1330=1,"Neu; ","")&amp;IF(AND(BK1330=0,BF1330&lt;0),"negativer Bestand (Export "&amp;BF1330&amp;"); ","")&amp;IF(I1330&lt;=0,"Kein Verbrauch; ","")&amp;IF(BO1330=1,"Lose – Fläche geschätzt; ","")&amp;IF(G1330&gt;AM1330,"Überbestand "&amp;ROUND(G1330-AM1330,0)&amp;" Stk / CHF "&amp;ROUND((G1330-AM1330)*F1330,0)&amp;"; ","")&amp;IF(AND(BT1330=1,BU1330&lt;BV1330),"MAX &lt; MB+LG; ","")&amp;IF(AND(BZ1330&gt;0,BY1330*10&gt;BZ1330),"zu hoch für Tablar; ","")&amp;IF(AND(BK1330=0,OR(BT1330=1,V1330&lt;&gt;"",S1330&lt;&gt;"",T1330&lt;&gt;"",W1330&lt;&gt;"")),"manuell übersteuert; ","")&amp;IF(AND(BO1330=0,Q1330=0),"Gebinde unbekannt; ","")&amp;IF(AND(BO1330=0,N(T1330)&lt;=0,N(P1330)&lt;=0),"Menge pro Gebinde fehlt (Ist = 1 Gebinde); ","")&amp;BJ1330)</f>
        <v/>
      </c>
      <c r="BC1330" s="53" t="n"/>
      <c r="BD1330" s="53" t="n"/>
      <c r="BE1330" s="61" t="n"/>
      <c r="BF1330" s="55" t="n">
        <v>-4000</v>
      </c>
      <c r="BG1330" s="55" t="n">
        <v>4000</v>
      </c>
      <c r="BH1330" s="54" t="n">
        <v>-1560</v>
      </c>
      <c r="BI1330" s="55" t="n">
        <v>18000</v>
      </c>
      <c r="BJ1330" s="53" t="inlineStr"/>
      <c r="BK1330" s="58" t="n">
        <v>0</v>
      </c>
      <c r="BL1330" s="58" t="n">
        <v>1330</v>
      </c>
      <c r="BM1330" s="53">
        <f>IF(S1330&lt;&gt;"",UPPER(TRIM(S1330)),IF(O1330="","LOSE",O1330))</f>
        <v/>
      </c>
      <c r="BN1330" s="55">
        <f>IF(BM1330="LOSE",1,IF(N(T1330)&gt;0,T1330,IF(N(P1330)&gt;0,P1330,MAX(1,G1330))))</f>
        <v/>
      </c>
      <c r="BO1330" s="58">
        <f>IF(BM1330="LOSE",1,0)</f>
        <v/>
      </c>
      <c r="BP1330" s="64">
        <f>IF(BO1330=0,0,IF(N(R1330)&gt;0,R1330,IFERROR(VLOOKUP(D1330,Parameter!$A$35:$C$64,3,0)+0,0)))</f>
        <v/>
      </c>
      <c r="BQ1330" s="53">
        <f>IF(V1330&lt;&gt;"",V1330,U1330)</f>
        <v/>
      </c>
      <c r="BR1330" s="53">
        <f>IF(BQ1330=1,"L1",IF(OR(BQ1330=2,BQ1330=3),"L23",IF(BQ1330="Aussen","Aussen","-")))</f>
        <v/>
      </c>
      <c r="BS1330" s="66">
        <f>IF(N(W1330)&gt;0,W1330,0)</f>
        <v/>
      </c>
      <c r="BT1330" s="58">
        <f>IF(ISNUMBER(Z1330),1,0)</f>
        <v/>
      </c>
      <c r="BU1330" s="55">
        <f>N(Z1330)</f>
        <v/>
      </c>
      <c r="BV1330" s="55">
        <f>N(L1330)+N(M1330)</f>
        <v/>
      </c>
      <c r="BW1330" s="55">
        <f>ROUNDUP(G1330/BN1330,0)</f>
        <v/>
      </c>
      <c r="BX1330" s="55">
        <f>ROUNDUP(BU1330/BN1330,0)</f>
        <v/>
      </c>
      <c r="BY1330" s="58">
        <f>IF(BO1330=1,0,IFERROR(VLOOKUP(BM1330,'Gebinde-Kategorie'!$A$5:$G$45,5,0)+0,0))</f>
        <v/>
      </c>
      <c r="BZ1330" s="58">
        <f>IFERROR(IF(OR(BQ1330=1,BQ1330=2,BQ1330=3),N(INDEX(Parameter!$I$5:$I$7,BQ1330)),0),0)</f>
        <v/>
      </c>
    </row>
    <row r="1331">
      <c r="A1331" s="53" t="inlineStr">
        <is>
          <t>106952</t>
        </is>
      </c>
      <c r="B1331" s="53" t="inlineStr">
        <is>
          <t>Digitales I/O-Modul Ausgang</t>
        </is>
      </c>
      <c r="C1331" s="53" t="inlineStr">
        <is>
          <t>F</t>
        </is>
      </c>
      <c r="D1331" s="53" t="inlineStr">
        <is>
          <t>KTL</t>
        </is>
      </c>
      <c r="E1331" s="53" t="inlineStr">
        <is>
          <t>C</t>
        </is>
      </c>
      <c r="F1331" s="54" t="n">
        <v>29.51</v>
      </c>
      <c r="G1331" s="55">
        <f>MAX(0,IF(Parameter!$B$20="Jahresanfang 2025 + Export",BG1331+BF1331,BF1331))</f>
        <v/>
      </c>
      <c r="H1331" s="55">
        <f>G1331*F1331</f>
        <v/>
      </c>
      <c r="I1331" s="55">
        <f>BI1331*Parameter!$B$18</f>
        <v/>
      </c>
      <c r="J1331" s="56" t="n">
        <v>56</v>
      </c>
      <c r="K1331" s="57" t="n">
        <v>0.05357142857142857</v>
      </c>
      <c r="L1331" s="55" t="n">
        <v>0</v>
      </c>
      <c r="M1331" s="55" t="n">
        <v>5</v>
      </c>
      <c r="N1331" s="58" t="n">
        <v>28</v>
      </c>
      <c r="O1331" s="53" t="inlineStr">
        <is>
          <t>S51</t>
        </is>
      </c>
      <c r="P1331" s="55" t="n">
        <v>25</v>
      </c>
      <c r="Q1331" s="59">
        <f>IF(BO1331=1,0,IFERROR(VLOOKUP(BM1331,'Gebinde-Kategorie'!$A$5:$G$45,6,0)+0,0))</f>
        <v/>
      </c>
      <c r="R1331" s="60" t="n"/>
      <c r="S1331" s="61" t="n"/>
      <c r="T1331" s="61" t="n"/>
      <c r="U1331" s="53">
        <f>IF(A1331="","",IF(IFERROR(VLOOKUP(D1331,Parameter!$A$35:$C$64,2,0),"Nein")="2+3",IF(ISNUMBER(SEARCH("grosser Artikel",BJ1331)),2,IFERROR(VLOOKUP(BM1331,Parameter!$F$35:$G$64,2,0),2)),IF(OR(IFERROR(VLOOKUP(D1331,Parameter!$A$35:$C$64,2,0),"Nein")="Nein",IFERROR(VLOOKUP(D1331,Parameter!$A$35:$C$64,2,0),"Nein")=""),"-",VLOOKUP(D1331,Parameter!$A$35:$C$64,2,0))))</f>
        <v/>
      </c>
      <c r="V1331" s="61" t="n"/>
      <c r="W1331" s="62" t="n"/>
      <c r="X1331" s="55">
        <f>AM1331</f>
        <v/>
      </c>
      <c r="Y1331" s="55">
        <f>MAX(AM1331,G1331)</f>
        <v/>
      </c>
      <c r="Z1331" s="63" t="n"/>
      <c r="AA1331" s="55">
        <f>IF(LEFT(Cockpit!$C$5,1)="A",G1331,IF(BT1331=1,BU1331,IF(LEFT(Cockpit!$C$5,1)="B",AE1331,MAX(AE1331,G1331))))</f>
        <v/>
      </c>
      <c r="AB1331" s="55">
        <f>IF(BO1331=1,0,ROUNDUP(AA1331/BN1331,0))</f>
        <v/>
      </c>
      <c r="AC1331" s="64">
        <f>IF(BO1331=1,IF(AA1331&lt;=0,0,BP1331*MAX(1,IF(G1331&gt;0,AA1331/G1331,1))),AB1331*Q1331)</f>
        <v/>
      </c>
      <c r="AD1331" s="55">
        <f>AA1331*F1331</f>
        <v/>
      </c>
      <c r="AE1331" s="55">
        <f>ROUNDUP(MAX(I1331/IF(BS1331&gt;0,BS1331,MAX(0.1,N(Cockpit!$C$6))),BV1331)/BN1331,0)*BN1331</f>
        <v/>
      </c>
      <c r="AF1331" s="56">
        <f>IF(AC1331&gt;0,I1331/AC1331,-1)</f>
        <v/>
      </c>
      <c r="AG1331" s="56">
        <f>IF(AND(OR(BR1331="L1",BR1331="L23"),AC1331&gt;0),SUMIFS($AC$7:$AC$1570,$BR$7:$BR$1570,BR1331,$AF$7:$AF$1570,"&gt;"&amp;AF1331)+SUMIFS($AC$7:$AC$1570,$BR$7:$BR$1570,BR1331,$AF$7:$AF$1570,AF1331,$BL$7:$BL$1570,"&lt;="&amp;BL1331),"")</f>
        <v/>
      </c>
      <c r="AH1331" s="65">
        <f>IF(AG1331="",0,MAX(0,MIN(1,(IF(BR1331="L1",Parameter!$K$5,Parameter!$K$6+Parameter!$K$7)-(AG1331-AC1331))/AC1331)))</f>
        <v/>
      </c>
      <c r="AI1331" s="55">
        <f>IF(LEFT(Cockpit!$I$5,1)="A",G1331,IF(BT1331=1,BU1331,IF(LEFT(Cockpit!$I$5,1)="B",AM1331,MAX(AM1331,G1331))))</f>
        <v/>
      </c>
      <c r="AJ1331" s="55">
        <f>IF(BO1331=1,0,ROUNDUP(AI1331/BN1331,0))</f>
        <v/>
      </c>
      <c r="AK1331" s="64">
        <f>IF(BO1331=1,IF(AI1331&lt;=0,0,BP1331*MAX(1,IF(G1331&gt;0,AI1331/G1331,1))),AJ1331*Q1331)</f>
        <v/>
      </c>
      <c r="AL1331" s="55">
        <f>AI1331*F1331</f>
        <v/>
      </c>
      <c r="AM1331" s="55">
        <f>ROUNDUP(MAX(I1331/IF(BS1331&gt;0,BS1331,MAX(0.1,N(Cockpit!$I$6))),BV1331)/BN1331,0)*BN1331</f>
        <v/>
      </c>
      <c r="AN1331" s="56">
        <f>IF(AK1331&gt;0,I1331/AK1331,-1)</f>
        <v/>
      </c>
      <c r="AO1331" s="56">
        <f>IF(AND(OR(BR1331="L1",BR1331="L23"),AK1331&gt;0),SUMIFS($AK$7:$AK$1570,$BR$7:$BR$1570,BR1331,$AN$7:$AN$1570,"&gt;"&amp;AN1331)+SUMIFS($AK$7:$AK$1570,$BR$7:$BR$1570,BR1331,$AN$7:$AN$1570,AN1331,$BL$7:$BL$1570,"&lt;="&amp;BL1331),"")</f>
        <v/>
      </c>
      <c r="AP1331" s="65">
        <f>IF(AO1331="",0,MAX(0,MIN(1,(IF(BR1331="L1",Parameter!$K$5,Parameter!$K$6+Parameter!$K$7)-(AO1331-AK1331))/AK1331)))</f>
        <v/>
      </c>
      <c r="AQ1331" s="55">
        <f>IF(LEFT(Cockpit!$O$5,1)="A",G1331,IF(BT1331=1,BU1331,IF(LEFT(Cockpit!$O$5,1)="B",AU1331,MAX(AU1331,G1331))))</f>
        <v/>
      </c>
      <c r="AR1331" s="55">
        <f>IF(BO1331=1,0,ROUNDUP(AQ1331/BN1331,0))</f>
        <v/>
      </c>
      <c r="AS1331" s="64">
        <f>IF(BO1331=1,IF(AQ1331&lt;=0,0,BP1331*MAX(1,IF(G1331&gt;0,AQ1331/G1331,1))),AR1331*Q1331)</f>
        <v/>
      </c>
      <c r="AT1331" s="55">
        <f>AQ1331*F1331</f>
        <v/>
      </c>
      <c r="AU1331" s="55">
        <f>ROUNDUP(MAX(I1331/IF(BS1331&gt;0,BS1331,MAX(0.1,N(Cockpit!$O$6))),BV1331)/BN1331,0)*BN1331</f>
        <v/>
      </c>
      <c r="AV1331" s="56">
        <f>IF(AS1331&gt;0,I1331/AS1331,-1)</f>
        <v/>
      </c>
      <c r="AW1331" s="56">
        <f>IF(AND(OR(BR1331="L1",BR1331="L23"),AS1331&gt;0),SUMIFS($AS$7:$AS$1570,$BR$7:$BR$1570,BR1331,$AV$7:$AV$1570,"&gt;"&amp;AV1331)+SUMIFS($AS$7:$AS$1570,$BR$7:$BR$1570,BR1331,$AV$7:$AV$1570,AV1331,$BL$7:$BL$1570,"&lt;="&amp;BL1331),"")</f>
        <v/>
      </c>
      <c r="AX1331" s="65">
        <f>IF(AW1331="",0,MAX(0,MIN(1,(IF(BR1331="L1",Parameter!$K$5,Parameter!$K$6+Parameter!$K$7)-(AW1331-AS1331))/AS1331)))</f>
        <v/>
      </c>
      <c r="AY1331" s="53">
        <f>IF(AC1331&lt;=0,"",IF(BR1331="Aussen","Aussenlager",IF(BR1331="-","Nicht im Lift",IF(AH1331&gt;=1,"Lift",IF(AH1331&lt;=0,"Aussenlager","teilweise")))))</f>
        <v/>
      </c>
      <c r="AZ1331" s="53">
        <f>IF(AK1331&lt;=0,"",IF(BR1331="Aussen","Aussenlager",IF(BR1331="-","Nicht im Lift",IF(AP1331&gt;=1,"Lift",IF(AP1331&lt;=0,"Aussenlager","teilweise")))))</f>
        <v/>
      </c>
      <c r="BA1331" s="53">
        <f>IF(AS1331&lt;=0,"",IF(BR1331="Aussen","Aussenlager",IF(BR1331="-","Nicht im Lift",IF(AX1331&gt;=1,"Lift",IF(AX1331&lt;=0,"Aussenlager","teilweise")))))</f>
        <v/>
      </c>
      <c r="BB1331" s="53">
        <f>IF(A1331="","",IF(BK1331=1,"Neu; ","")&amp;IF(AND(BK1331=0,BF1331&lt;0),"negativer Bestand (Export "&amp;BF1331&amp;"); ","")&amp;IF(I1331&lt;=0,"Kein Verbrauch; ","")&amp;IF(BO1331=1,"Lose – Fläche geschätzt; ","")&amp;IF(G1331&gt;AM1331,"Überbestand "&amp;ROUND(G1331-AM1331,0)&amp;" Stk / CHF "&amp;ROUND((G1331-AM1331)*F1331,0)&amp;"; ","")&amp;IF(AND(BT1331=1,BU1331&lt;BV1331),"MAX &lt; MB+LG; ","")&amp;IF(AND(BZ1331&gt;0,BY1331*10&gt;BZ1331),"zu hoch für Tablar; ","")&amp;IF(AND(BK1331=0,OR(BT1331=1,V1331&lt;&gt;"",S1331&lt;&gt;"",T1331&lt;&gt;"",W1331&lt;&gt;"")),"manuell übersteuert; ","")&amp;IF(AND(BO1331=0,Q1331=0),"Gebinde unbekannt; ","")&amp;IF(AND(BO1331=0,N(T1331)&lt;=0,N(P1331)&lt;=0),"Menge pro Gebinde fehlt (Ist = 1 Gebinde); ","")&amp;BJ1331)</f>
        <v/>
      </c>
      <c r="BC1331" s="53" t="n"/>
      <c r="BD1331" s="53" t="n"/>
      <c r="BE1331" s="61" t="n"/>
      <c r="BF1331" s="55" t="n">
        <v>-54</v>
      </c>
      <c r="BG1331" s="55" t="n">
        <v>58</v>
      </c>
      <c r="BH1331" s="54" t="n">
        <v>-1593.54</v>
      </c>
      <c r="BI1331" s="55" t="n">
        <v>3</v>
      </c>
      <c r="BJ1331" s="53" t="inlineStr">
        <is>
          <t>i.o</t>
        </is>
      </c>
      <c r="BK1331" s="58" t="n">
        <v>0</v>
      </c>
      <c r="BL1331" s="58" t="n">
        <v>1331</v>
      </c>
      <c r="BM1331" s="53">
        <f>IF(S1331&lt;&gt;"",UPPER(TRIM(S1331)),IF(O1331="","LOSE",O1331))</f>
        <v/>
      </c>
      <c r="BN1331" s="55">
        <f>IF(BM1331="LOSE",1,IF(N(T1331)&gt;0,T1331,IF(N(P1331)&gt;0,P1331,MAX(1,G1331))))</f>
        <v/>
      </c>
      <c r="BO1331" s="58">
        <f>IF(BM1331="LOSE",1,0)</f>
        <v/>
      </c>
      <c r="BP1331" s="64">
        <f>IF(BO1331=0,0,IF(N(R1331)&gt;0,R1331,IFERROR(VLOOKUP(D1331,Parameter!$A$35:$C$64,3,0)+0,0)))</f>
        <v/>
      </c>
      <c r="BQ1331" s="53">
        <f>IF(V1331&lt;&gt;"",V1331,U1331)</f>
        <v/>
      </c>
      <c r="BR1331" s="53">
        <f>IF(BQ1331=1,"L1",IF(OR(BQ1331=2,BQ1331=3),"L23",IF(BQ1331="Aussen","Aussen","-")))</f>
        <v/>
      </c>
      <c r="BS1331" s="66">
        <f>IF(N(W1331)&gt;0,W1331,0)</f>
        <v/>
      </c>
      <c r="BT1331" s="58">
        <f>IF(ISNUMBER(Z1331),1,0)</f>
        <v/>
      </c>
      <c r="BU1331" s="55">
        <f>N(Z1331)</f>
        <v/>
      </c>
      <c r="BV1331" s="55">
        <f>N(L1331)+N(M1331)</f>
        <v/>
      </c>
      <c r="BW1331" s="55">
        <f>ROUNDUP(G1331/BN1331,0)</f>
        <v/>
      </c>
      <c r="BX1331" s="55">
        <f>ROUNDUP(BU1331/BN1331,0)</f>
        <v/>
      </c>
      <c r="BY1331" s="58">
        <f>IF(BO1331=1,0,IFERROR(VLOOKUP(BM1331,'Gebinde-Kategorie'!$A$5:$G$45,5,0)+0,0))</f>
        <v/>
      </c>
      <c r="BZ1331" s="58">
        <f>IFERROR(IF(OR(BQ1331=1,BQ1331=2,BQ1331=3),N(INDEX(Parameter!$I$5:$I$7,BQ1331)),0),0)</f>
        <v/>
      </c>
    </row>
    <row r="1332">
      <c r="A1332" s="53" t="inlineStr">
        <is>
          <t>101450</t>
        </is>
      </c>
      <c r="B1332" s="53" t="inlineStr">
        <is>
          <t>Zylinderschraube mit Innensechskant</t>
        </is>
      </c>
      <c r="C1332" s="53" t="inlineStr">
        <is>
          <t>F</t>
        </is>
      </c>
      <c r="D1332" s="53" t="inlineStr">
        <is>
          <t>PAL</t>
        </is>
      </c>
      <c r="E1332" s="53" t="inlineStr">
        <is>
          <t>C</t>
        </is>
      </c>
      <c r="F1332" s="54" t="n">
        <v>0.57</v>
      </c>
      <c r="G1332" s="55">
        <f>MAX(0,IF(Parameter!$B$20="Jahresanfang 2025 + Export",BG1332+BF1332,BF1332))</f>
        <v/>
      </c>
      <c r="H1332" s="55">
        <f>G1332*F1332</f>
        <v/>
      </c>
      <c r="I1332" s="55">
        <f>BI1332*Parameter!$B$18</f>
        <v/>
      </c>
      <c r="J1332" s="56" t="n">
        <v>2976</v>
      </c>
      <c r="K1332" s="57" t="n">
        <v>1.490591397849462</v>
      </c>
      <c r="L1332" s="55" t="n">
        <v>258</v>
      </c>
      <c r="M1332" s="55" t="n">
        <v>1000</v>
      </c>
      <c r="N1332" s="58" t="n">
        <v>21</v>
      </c>
      <c r="O1332" s="53" t="inlineStr">
        <is>
          <t>S71</t>
        </is>
      </c>
      <c r="P1332" s="55" t="n">
        <v>1109</v>
      </c>
      <c r="Q1332" s="59">
        <f>IF(BO1332=1,0,IFERROR(VLOOKUP(BM1332,'Gebinde-Kategorie'!$A$5:$G$45,6,0)+0,0))</f>
        <v/>
      </c>
      <c r="R1332" s="60" t="n"/>
      <c r="S1332" s="61" t="n"/>
      <c r="T1332" s="61" t="n"/>
      <c r="U1332" s="53">
        <f>IF(A1332="","",IF(IFERROR(VLOOKUP(D1332,Parameter!$A$35:$C$64,2,0),"Nein")="2+3",IF(ISNUMBER(SEARCH("grosser Artikel",BJ1332)),2,IFERROR(VLOOKUP(BM1332,Parameter!$F$35:$G$64,2,0),2)),IF(OR(IFERROR(VLOOKUP(D1332,Parameter!$A$35:$C$64,2,0),"Nein")="Nein",IFERROR(VLOOKUP(D1332,Parameter!$A$35:$C$64,2,0),"Nein")=""),"-",VLOOKUP(D1332,Parameter!$A$35:$C$64,2,0))))</f>
        <v/>
      </c>
      <c r="V1332" s="61" t="n"/>
      <c r="W1332" s="62" t="n"/>
      <c r="X1332" s="55">
        <f>AM1332</f>
        <v/>
      </c>
      <c r="Y1332" s="55">
        <f>MAX(AM1332,G1332)</f>
        <v/>
      </c>
      <c r="Z1332" s="63" t="n"/>
      <c r="AA1332" s="55">
        <f>IF(LEFT(Cockpit!$C$5,1)="A",G1332,IF(BT1332=1,BU1332,IF(LEFT(Cockpit!$C$5,1)="B",AE1332,MAX(AE1332,G1332))))</f>
        <v/>
      </c>
      <c r="AB1332" s="55">
        <f>IF(BO1332=1,0,ROUNDUP(AA1332/BN1332,0))</f>
        <v/>
      </c>
      <c r="AC1332" s="64">
        <f>IF(BO1332=1,IF(AA1332&lt;=0,0,BP1332*MAX(1,IF(G1332&gt;0,AA1332/G1332,1))),AB1332*Q1332)</f>
        <v/>
      </c>
      <c r="AD1332" s="55">
        <f>AA1332*F1332</f>
        <v/>
      </c>
      <c r="AE1332" s="55">
        <f>ROUNDUP(MAX(I1332/IF(BS1332&gt;0,BS1332,MAX(0.1,N(Cockpit!$C$6))),BV1332)/BN1332,0)*BN1332</f>
        <v/>
      </c>
      <c r="AF1332" s="56">
        <f>IF(AC1332&gt;0,I1332/AC1332,-1)</f>
        <v/>
      </c>
      <c r="AG1332" s="56">
        <f>IF(AND(OR(BR1332="L1",BR1332="L23"),AC1332&gt;0),SUMIFS($AC$7:$AC$1570,$BR$7:$BR$1570,BR1332,$AF$7:$AF$1570,"&gt;"&amp;AF1332)+SUMIFS($AC$7:$AC$1570,$BR$7:$BR$1570,BR1332,$AF$7:$AF$1570,AF1332,$BL$7:$BL$1570,"&lt;="&amp;BL1332),"")</f>
        <v/>
      </c>
      <c r="AH1332" s="65">
        <f>IF(AG1332="",0,MAX(0,MIN(1,(IF(BR1332="L1",Parameter!$K$5,Parameter!$K$6+Parameter!$K$7)-(AG1332-AC1332))/AC1332)))</f>
        <v/>
      </c>
      <c r="AI1332" s="55">
        <f>IF(LEFT(Cockpit!$I$5,1)="A",G1332,IF(BT1332=1,BU1332,IF(LEFT(Cockpit!$I$5,1)="B",AM1332,MAX(AM1332,G1332))))</f>
        <v/>
      </c>
      <c r="AJ1332" s="55">
        <f>IF(BO1332=1,0,ROUNDUP(AI1332/BN1332,0))</f>
        <v/>
      </c>
      <c r="AK1332" s="64">
        <f>IF(BO1332=1,IF(AI1332&lt;=0,0,BP1332*MAX(1,IF(G1332&gt;0,AI1332/G1332,1))),AJ1332*Q1332)</f>
        <v/>
      </c>
      <c r="AL1332" s="55">
        <f>AI1332*F1332</f>
        <v/>
      </c>
      <c r="AM1332" s="55">
        <f>ROUNDUP(MAX(I1332/IF(BS1332&gt;0,BS1332,MAX(0.1,N(Cockpit!$I$6))),BV1332)/BN1332,0)*BN1332</f>
        <v/>
      </c>
      <c r="AN1332" s="56">
        <f>IF(AK1332&gt;0,I1332/AK1332,-1)</f>
        <v/>
      </c>
      <c r="AO1332" s="56">
        <f>IF(AND(OR(BR1332="L1",BR1332="L23"),AK1332&gt;0),SUMIFS($AK$7:$AK$1570,$BR$7:$BR$1570,BR1332,$AN$7:$AN$1570,"&gt;"&amp;AN1332)+SUMIFS($AK$7:$AK$1570,$BR$7:$BR$1570,BR1332,$AN$7:$AN$1570,AN1332,$BL$7:$BL$1570,"&lt;="&amp;BL1332),"")</f>
        <v/>
      </c>
      <c r="AP1332" s="65">
        <f>IF(AO1332="",0,MAX(0,MIN(1,(IF(BR1332="L1",Parameter!$K$5,Parameter!$K$6+Parameter!$K$7)-(AO1332-AK1332))/AK1332)))</f>
        <v/>
      </c>
      <c r="AQ1332" s="55">
        <f>IF(LEFT(Cockpit!$O$5,1)="A",G1332,IF(BT1332=1,BU1332,IF(LEFT(Cockpit!$O$5,1)="B",AU1332,MAX(AU1332,G1332))))</f>
        <v/>
      </c>
      <c r="AR1332" s="55">
        <f>IF(BO1332=1,0,ROUNDUP(AQ1332/BN1332,0))</f>
        <v/>
      </c>
      <c r="AS1332" s="64">
        <f>IF(BO1332=1,IF(AQ1332&lt;=0,0,BP1332*MAX(1,IF(G1332&gt;0,AQ1332/G1332,1))),AR1332*Q1332)</f>
        <v/>
      </c>
      <c r="AT1332" s="55">
        <f>AQ1332*F1332</f>
        <v/>
      </c>
      <c r="AU1332" s="55">
        <f>ROUNDUP(MAX(I1332/IF(BS1332&gt;0,BS1332,MAX(0.1,N(Cockpit!$O$6))),BV1332)/BN1332,0)*BN1332</f>
        <v/>
      </c>
      <c r="AV1332" s="56">
        <f>IF(AS1332&gt;0,I1332/AS1332,-1)</f>
        <v/>
      </c>
      <c r="AW1332" s="56">
        <f>IF(AND(OR(BR1332="L1",BR1332="L23"),AS1332&gt;0),SUMIFS($AS$7:$AS$1570,$BR$7:$BR$1570,BR1332,$AV$7:$AV$1570,"&gt;"&amp;AV1332)+SUMIFS($AS$7:$AS$1570,$BR$7:$BR$1570,BR1332,$AV$7:$AV$1570,AV1332,$BL$7:$BL$1570,"&lt;="&amp;BL1332),"")</f>
        <v/>
      </c>
      <c r="AX1332" s="65">
        <f>IF(AW1332="",0,MAX(0,MIN(1,(IF(BR1332="L1",Parameter!$K$5,Parameter!$K$6+Parameter!$K$7)-(AW1332-AS1332))/AS1332)))</f>
        <v/>
      </c>
      <c r="AY1332" s="53">
        <f>IF(AC1332&lt;=0,"",IF(BR1332="Aussen","Aussenlager",IF(BR1332="-","Nicht im Lift",IF(AH1332&gt;=1,"Lift",IF(AH1332&lt;=0,"Aussenlager","teilweise")))))</f>
        <v/>
      </c>
      <c r="AZ1332" s="53">
        <f>IF(AK1332&lt;=0,"",IF(BR1332="Aussen","Aussenlager",IF(BR1332="-","Nicht im Lift",IF(AP1332&gt;=1,"Lift",IF(AP1332&lt;=0,"Aussenlager","teilweise")))))</f>
        <v/>
      </c>
      <c r="BA1332" s="53">
        <f>IF(AS1332&lt;=0,"",IF(BR1332="Aussen","Aussenlager",IF(BR1332="-","Nicht im Lift",IF(AX1332&gt;=1,"Lift",IF(AX1332&lt;=0,"Aussenlager","teilweise")))))</f>
        <v/>
      </c>
      <c r="BB1332" s="53">
        <f>IF(A1332="","",IF(BK1332=1,"Neu; ","")&amp;IF(AND(BK1332=0,BF1332&lt;0),"negativer Bestand (Export "&amp;BF1332&amp;"); ","")&amp;IF(I1332&lt;=0,"Kein Verbrauch; ","")&amp;IF(BO1332=1,"Lose – Fläche geschätzt; ","")&amp;IF(G1332&gt;AM1332,"Überbestand "&amp;ROUND(G1332-AM1332,0)&amp;" Stk / CHF "&amp;ROUND((G1332-AM1332)*F1332,0)&amp;"; ","")&amp;IF(AND(BT1332=1,BU1332&lt;BV1332),"MAX &lt; MB+LG; ","")&amp;IF(AND(BZ1332&gt;0,BY1332*10&gt;BZ1332),"zu hoch für Tablar; ","")&amp;IF(AND(BK1332=0,OR(BT1332=1,V1332&lt;&gt;"",S1332&lt;&gt;"",T1332&lt;&gt;"",W1332&lt;&gt;"")),"manuell übersteuert; ","")&amp;IF(AND(BO1332=0,Q1332=0),"Gebinde unbekannt; ","")&amp;IF(AND(BO1332=0,N(T1332)&lt;=0,N(P1332)&lt;=0),"Menge pro Gebinde fehlt (Ist = 1 Gebinde); ","")&amp;BJ1332)</f>
        <v/>
      </c>
      <c r="BC1332" s="53" t="n"/>
      <c r="BD1332" s="53" t="n"/>
      <c r="BE1332" s="61" t="n"/>
      <c r="BF1332" s="55" t="n">
        <v>-2649</v>
      </c>
      <c r="BG1332" s="55" t="n">
        <v>3116</v>
      </c>
      <c r="BH1332" s="54" t="n">
        <v>-1602.660000000001</v>
      </c>
      <c r="BI1332" s="55" t="n">
        <v>4436</v>
      </c>
      <c r="BJ1332" s="53" t="inlineStr">
        <is>
          <t>grosse  Artikelmenge</t>
        </is>
      </c>
      <c r="BK1332" s="58" t="n">
        <v>0</v>
      </c>
      <c r="BL1332" s="58" t="n">
        <v>1332</v>
      </c>
      <c r="BM1332" s="53">
        <f>IF(S1332&lt;&gt;"",UPPER(TRIM(S1332)),IF(O1332="","LOSE",O1332))</f>
        <v/>
      </c>
      <c r="BN1332" s="55">
        <f>IF(BM1332="LOSE",1,IF(N(T1332)&gt;0,T1332,IF(N(P1332)&gt;0,P1332,MAX(1,G1332))))</f>
        <v/>
      </c>
      <c r="BO1332" s="58">
        <f>IF(BM1332="LOSE",1,0)</f>
        <v/>
      </c>
      <c r="BP1332" s="64">
        <f>IF(BO1332=0,0,IF(N(R1332)&gt;0,R1332,IFERROR(VLOOKUP(D1332,Parameter!$A$35:$C$64,3,0)+0,0)))</f>
        <v/>
      </c>
      <c r="BQ1332" s="53">
        <f>IF(V1332&lt;&gt;"",V1332,U1332)</f>
        <v/>
      </c>
      <c r="BR1332" s="53">
        <f>IF(BQ1332=1,"L1",IF(OR(BQ1332=2,BQ1332=3),"L23",IF(BQ1332="Aussen","Aussen","-")))</f>
        <v/>
      </c>
      <c r="BS1332" s="66">
        <f>IF(N(W1332)&gt;0,W1332,0)</f>
        <v/>
      </c>
      <c r="BT1332" s="58">
        <f>IF(ISNUMBER(Z1332),1,0)</f>
        <v/>
      </c>
      <c r="BU1332" s="55">
        <f>N(Z1332)</f>
        <v/>
      </c>
      <c r="BV1332" s="55">
        <f>N(L1332)+N(M1332)</f>
        <v/>
      </c>
      <c r="BW1332" s="55">
        <f>ROUNDUP(G1332/BN1332,0)</f>
        <v/>
      </c>
      <c r="BX1332" s="55">
        <f>ROUNDUP(BU1332/BN1332,0)</f>
        <v/>
      </c>
      <c r="BY1332" s="58">
        <f>IF(BO1332=1,0,IFERROR(VLOOKUP(BM1332,'Gebinde-Kategorie'!$A$5:$G$45,5,0)+0,0))</f>
        <v/>
      </c>
      <c r="BZ1332" s="58">
        <f>IFERROR(IF(OR(BQ1332=1,BQ1332=2,BQ1332=3),N(INDEX(Parameter!$I$5:$I$7,BQ1332)),0),0)</f>
        <v/>
      </c>
    </row>
    <row r="1333">
      <c r="A1333" s="53" t="inlineStr">
        <is>
          <t>106965</t>
        </is>
      </c>
      <c r="B1333" s="53" t="inlineStr">
        <is>
          <t>Feldklemme</t>
        </is>
      </c>
      <c r="C1333" s="53" t="inlineStr">
        <is>
          <t>F</t>
        </is>
      </c>
      <c r="D1333" s="53" t="inlineStr">
        <is>
          <t>KTL</t>
        </is>
      </c>
      <c r="E1333" s="53" t="inlineStr">
        <is>
          <t>C</t>
        </is>
      </c>
      <c r="F1333" s="54" t="n">
        <v>4.38</v>
      </c>
      <c r="G1333" s="55">
        <f>MAX(0,IF(Parameter!$B$20="Jahresanfang 2025 + Export",BG1333+BF1333,BF1333))</f>
        <v/>
      </c>
      <c r="H1333" s="55">
        <f>G1333*F1333</f>
        <v/>
      </c>
      <c r="I1333" s="55">
        <f>BI1333*Parameter!$B$18</f>
        <v/>
      </c>
      <c r="J1333" s="56" t="n">
        <v>465.5</v>
      </c>
      <c r="K1333" s="57" t="n">
        <v>0.8915145005370569</v>
      </c>
      <c r="L1333" s="55" t="n">
        <v>32</v>
      </c>
      <c r="M1333" s="55" t="n">
        <v>415</v>
      </c>
      <c r="N1333" s="58" t="n">
        <v>28</v>
      </c>
      <c r="O1333" s="53" t="inlineStr">
        <is>
          <t>S33</t>
        </is>
      </c>
      <c r="P1333" s="55" t="n">
        <v>139</v>
      </c>
      <c r="Q1333" s="59">
        <f>IF(BO1333=1,0,IFERROR(VLOOKUP(BM1333,'Gebinde-Kategorie'!$A$5:$G$45,6,0)+0,0))</f>
        <v/>
      </c>
      <c r="R1333" s="60" t="n"/>
      <c r="S1333" s="61" t="n"/>
      <c r="T1333" s="61" t="n"/>
      <c r="U1333" s="53">
        <f>IF(A1333="","",IF(IFERROR(VLOOKUP(D1333,Parameter!$A$35:$C$64,2,0),"Nein")="2+3",IF(ISNUMBER(SEARCH("grosser Artikel",BJ1333)),2,IFERROR(VLOOKUP(BM1333,Parameter!$F$35:$G$64,2,0),2)),IF(OR(IFERROR(VLOOKUP(D1333,Parameter!$A$35:$C$64,2,0),"Nein")="Nein",IFERROR(VLOOKUP(D1333,Parameter!$A$35:$C$64,2,0),"Nein")=""),"-",VLOOKUP(D1333,Parameter!$A$35:$C$64,2,0))))</f>
        <v/>
      </c>
      <c r="V1333" s="61" t="n"/>
      <c r="W1333" s="62" t="n"/>
      <c r="X1333" s="55">
        <f>AM1333</f>
        <v/>
      </c>
      <c r="Y1333" s="55">
        <f>MAX(AM1333,G1333)</f>
        <v/>
      </c>
      <c r="Z1333" s="63" t="n"/>
      <c r="AA1333" s="55">
        <f>IF(LEFT(Cockpit!$C$5,1)="A",G1333,IF(BT1333=1,BU1333,IF(LEFT(Cockpit!$C$5,1)="B",AE1333,MAX(AE1333,G1333))))</f>
        <v/>
      </c>
      <c r="AB1333" s="55">
        <f>IF(BO1333=1,0,ROUNDUP(AA1333/BN1333,0))</f>
        <v/>
      </c>
      <c r="AC1333" s="64">
        <f>IF(BO1333=1,IF(AA1333&lt;=0,0,BP1333*MAX(1,IF(G1333&gt;0,AA1333/G1333,1))),AB1333*Q1333)</f>
        <v/>
      </c>
      <c r="AD1333" s="55">
        <f>AA1333*F1333</f>
        <v/>
      </c>
      <c r="AE1333" s="55">
        <f>ROUNDUP(MAX(I1333/IF(BS1333&gt;0,BS1333,MAX(0.1,N(Cockpit!$C$6))),BV1333)/BN1333,0)*BN1333</f>
        <v/>
      </c>
      <c r="AF1333" s="56">
        <f>IF(AC1333&gt;0,I1333/AC1333,-1)</f>
        <v/>
      </c>
      <c r="AG1333" s="56">
        <f>IF(AND(OR(BR1333="L1",BR1333="L23"),AC1333&gt;0),SUMIFS($AC$7:$AC$1570,$BR$7:$BR$1570,BR1333,$AF$7:$AF$1570,"&gt;"&amp;AF1333)+SUMIFS($AC$7:$AC$1570,$BR$7:$BR$1570,BR1333,$AF$7:$AF$1570,AF1333,$BL$7:$BL$1570,"&lt;="&amp;BL1333),"")</f>
        <v/>
      </c>
      <c r="AH1333" s="65">
        <f>IF(AG1333="",0,MAX(0,MIN(1,(IF(BR1333="L1",Parameter!$K$5,Parameter!$K$6+Parameter!$K$7)-(AG1333-AC1333))/AC1333)))</f>
        <v/>
      </c>
      <c r="AI1333" s="55">
        <f>IF(LEFT(Cockpit!$I$5,1)="A",G1333,IF(BT1333=1,BU1333,IF(LEFT(Cockpit!$I$5,1)="B",AM1333,MAX(AM1333,G1333))))</f>
        <v/>
      </c>
      <c r="AJ1333" s="55">
        <f>IF(BO1333=1,0,ROUNDUP(AI1333/BN1333,0))</f>
        <v/>
      </c>
      <c r="AK1333" s="64">
        <f>IF(BO1333=1,IF(AI1333&lt;=0,0,BP1333*MAX(1,IF(G1333&gt;0,AI1333/G1333,1))),AJ1333*Q1333)</f>
        <v/>
      </c>
      <c r="AL1333" s="55">
        <f>AI1333*F1333</f>
        <v/>
      </c>
      <c r="AM1333" s="55">
        <f>ROUNDUP(MAX(I1333/IF(BS1333&gt;0,BS1333,MAX(0.1,N(Cockpit!$I$6))),BV1333)/BN1333,0)*BN1333</f>
        <v/>
      </c>
      <c r="AN1333" s="56">
        <f>IF(AK1333&gt;0,I1333/AK1333,-1)</f>
        <v/>
      </c>
      <c r="AO1333" s="56">
        <f>IF(AND(OR(BR1333="L1",BR1333="L23"),AK1333&gt;0),SUMIFS($AK$7:$AK$1570,$BR$7:$BR$1570,BR1333,$AN$7:$AN$1570,"&gt;"&amp;AN1333)+SUMIFS($AK$7:$AK$1570,$BR$7:$BR$1570,BR1333,$AN$7:$AN$1570,AN1333,$BL$7:$BL$1570,"&lt;="&amp;BL1333),"")</f>
        <v/>
      </c>
      <c r="AP1333" s="65">
        <f>IF(AO1333="",0,MAX(0,MIN(1,(IF(BR1333="L1",Parameter!$K$5,Parameter!$K$6+Parameter!$K$7)-(AO1333-AK1333))/AK1333)))</f>
        <v/>
      </c>
      <c r="AQ1333" s="55">
        <f>IF(LEFT(Cockpit!$O$5,1)="A",G1333,IF(BT1333=1,BU1333,IF(LEFT(Cockpit!$O$5,1)="B",AU1333,MAX(AU1333,G1333))))</f>
        <v/>
      </c>
      <c r="AR1333" s="55">
        <f>IF(BO1333=1,0,ROUNDUP(AQ1333/BN1333,0))</f>
        <v/>
      </c>
      <c r="AS1333" s="64">
        <f>IF(BO1333=1,IF(AQ1333&lt;=0,0,BP1333*MAX(1,IF(G1333&gt;0,AQ1333/G1333,1))),AR1333*Q1333)</f>
        <v/>
      </c>
      <c r="AT1333" s="55">
        <f>AQ1333*F1333</f>
        <v/>
      </c>
      <c r="AU1333" s="55">
        <f>ROUNDUP(MAX(I1333/IF(BS1333&gt;0,BS1333,MAX(0.1,N(Cockpit!$O$6))),BV1333)/BN1333,0)*BN1333</f>
        <v/>
      </c>
      <c r="AV1333" s="56">
        <f>IF(AS1333&gt;0,I1333/AS1333,-1)</f>
        <v/>
      </c>
      <c r="AW1333" s="56">
        <f>IF(AND(OR(BR1333="L1",BR1333="L23"),AS1333&gt;0),SUMIFS($AS$7:$AS$1570,$BR$7:$BR$1570,BR1333,$AV$7:$AV$1570,"&gt;"&amp;AV1333)+SUMIFS($AS$7:$AS$1570,$BR$7:$BR$1570,BR1333,$AV$7:$AV$1570,AV1333,$BL$7:$BL$1570,"&lt;="&amp;BL1333),"")</f>
        <v/>
      </c>
      <c r="AX1333" s="65">
        <f>IF(AW1333="",0,MAX(0,MIN(1,(IF(BR1333="L1",Parameter!$K$5,Parameter!$K$6+Parameter!$K$7)-(AW1333-AS1333))/AS1333)))</f>
        <v/>
      </c>
      <c r="AY1333" s="53">
        <f>IF(AC1333&lt;=0,"",IF(BR1333="Aussen","Aussenlager",IF(BR1333="-","Nicht im Lift",IF(AH1333&gt;=1,"Lift",IF(AH1333&lt;=0,"Aussenlager","teilweise")))))</f>
        <v/>
      </c>
      <c r="AZ1333" s="53">
        <f>IF(AK1333&lt;=0,"",IF(BR1333="Aussen","Aussenlager",IF(BR1333="-","Nicht im Lift",IF(AP1333&gt;=1,"Lift",IF(AP1333&lt;=0,"Aussenlager","teilweise")))))</f>
        <v/>
      </c>
      <c r="BA1333" s="53">
        <f>IF(AS1333&lt;=0,"",IF(BR1333="Aussen","Aussenlager",IF(BR1333="-","Nicht im Lift",IF(AX1333&gt;=1,"Lift",IF(AX1333&lt;=0,"Aussenlager","teilweise")))))</f>
        <v/>
      </c>
      <c r="BB1333" s="53">
        <f>IF(A1333="","",IF(BK1333=1,"Neu; ","")&amp;IF(AND(BK1333=0,BF1333&lt;0),"negativer Bestand (Export "&amp;BF1333&amp;"); ","")&amp;IF(I1333&lt;=0,"Kein Verbrauch; ","")&amp;IF(BO1333=1,"Lose – Fläche geschätzt; ","")&amp;IF(G1333&gt;AM1333,"Überbestand "&amp;ROUND(G1333-AM1333,0)&amp;" Stk / CHF "&amp;ROUND((G1333-AM1333)*F1333,0)&amp;"; ","")&amp;IF(AND(BT1333=1,BU1333&lt;BV1333),"MAX &lt; MB+LG; ","")&amp;IF(AND(BZ1333&gt;0,BY1333*10&gt;BZ1333),"zu hoch für Tablar; ","")&amp;IF(AND(BK1333=0,OR(BT1333=1,V1333&lt;&gt;"",S1333&lt;&gt;"",T1333&lt;&gt;"",W1333&lt;&gt;"")),"manuell übersteuert; ","")&amp;IF(AND(BO1333=0,Q1333=0),"Gebinde unbekannt; ","")&amp;IF(AND(BO1333=0,N(T1333)&lt;=0,N(P1333)&lt;=0),"Menge pro Gebinde fehlt (Ist = 1 Gebinde); ","")&amp;BJ1333)</f>
        <v/>
      </c>
      <c r="BC1333" s="53" t="n"/>
      <c r="BD1333" s="53" t="n"/>
      <c r="BE1333" s="61" t="n"/>
      <c r="BF1333" s="55" t="n">
        <v>-367</v>
      </c>
      <c r="BG1333" s="55" t="n">
        <v>648</v>
      </c>
      <c r="BH1333" s="54" t="n">
        <v>-1607.46</v>
      </c>
      <c r="BI1333" s="55" t="n">
        <v>415</v>
      </c>
      <c r="BJ1333" s="53" t="inlineStr">
        <is>
          <t>B&amp;R</t>
        </is>
      </c>
      <c r="BK1333" s="58" t="n">
        <v>0</v>
      </c>
      <c r="BL1333" s="58" t="n">
        <v>1333</v>
      </c>
      <c r="BM1333" s="53">
        <f>IF(S1333&lt;&gt;"",UPPER(TRIM(S1333)),IF(O1333="","LOSE",O1333))</f>
        <v/>
      </c>
      <c r="BN1333" s="55">
        <f>IF(BM1333="LOSE",1,IF(N(T1333)&gt;0,T1333,IF(N(P1333)&gt;0,P1333,MAX(1,G1333))))</f>
        <v/>
      </c>
      <c r="BO1333" s="58">
        <f>IF(BM1333="LOSE",1,0)</f>
        <v/>
      </c>
      <c r="BP1333" s="64">
        <f>IF(BO1333=0,0,IF(N(R1333)&gt;0,R1333,IFERROR(VLOOKUP(D1333,Parameter!$A$35:$C$64,3,0)+0,0)))</f>
        <v/>
      </c>
      <c r="BQ1333" s="53">
        <f>IF(V1333&lt;&gt;"",V1333,U1333)</f>
        <v/>
      </c>
      <c r="BR1333" s="53">
        <f>IF(BQ1333=1,"L1",IF(OR(BQ1333=2,BQ1333=3),"L23",IF(BQ1333="Aussen","Aussen","-")))</f>
        <v/>
      </c>
      <c r="BS1333" s="66">
        <f>IF(N(W1333)&gt;0,W1333,0)</f>
        <v/>
      </c>
      <c r="BT1333" s="58">
        <f>IF(ISNUMBER(Z1333),1,0)</f>
        <v/>
      </c>
      <c r="BU1333" s="55">
        <f>N(Z1333)</f>
        <v/>
      </c>
      <c r="BV1333" s="55">
        <f>N(L1333)+N(M1333)</f>
        <v/>
      </c>
      <c r="BW1333" s="55">
        <f>ROUNDUP(G1333/BN1333,0)</f>
        <v/>
      </c>
      <c r="BX1333" s="55">
        <f>ROUNDUP(BU1333/BN1333,0)</f>
        <v/>
      </c>
      <c r="BY1333" s="58">
        <f>IF(BO1333=1,0,IFERROR(VLOOKUP(BM1333,'Gebinde-Kategorie'!$A$5:$G$45,5,0)+0,0))</f>
        <v/>
      </c>
      <c r="BZ1333" s="58">
        <f>IFERROR(IF(OR(BQ1333=1,BQ1333=2,BQ1333=3),N(INDEX(Parameter!$I$5:$I$7,BQ1333)),0),0)</f>
        <v/>
      </c>
    </row>
    <row r="1334">
      <c r="A1334" s="53" t="inlineStr">
        <is>
          <t>103490</t>
        </is>
      </c>
      <c r="B1334" s="53" t="inlineStr">
        <is>
          <t>Sicherungsscheibe</t>
        </is>
      </c>
      <c r="C1334" s="53" t="inlineStr">
        <is>
          <t>F</t>
        </is>
      </c>
      <c r="D1334" s="53" t="inlineStr">
        <is>
          <t>KTL</t>
        </is>
      </c>
      <c r="E1334" s="53" t="inlineStr">
        <is>
          <t>C</t>
        </is>
      </c>
      <c r="F1334" s="54" t="n">
        <v>0.73</v>
      </c>
      <c r="G1334" s="55">
        <f>MAX(0,IF(Parameter!$B$20="Jahresanfang 2025 + Export",BG1334+BF1334,BF1334))</f>
        <v/>
      </c>
      <c r="H1334" s="55">
        <f>G1334*F1334</f>
        <v/>
      </c>
      <c r="I1334" s="55">
        <f>BI1334*Parameter!$B$18</f>
        <v/>
      </c>
      <c r="J1334" s="56" t="n">
        <v>5515</v>
      </c>
      <c r="K1334" s="57" t="n">
        <v>1.441160471441523</v>
      </c>
      <c r="L1334" s="55" t="n">
        <v>1786</v>
      </c>
      <c r="M1334" s="55" t="n">
        <v>2000</v>
      </c>
      <c r="N1334" s="58" t="n">
        <v>80</v>
      </c>
      <c r="O1334" s="53" t="inlineStr">
        <is>
          <t>S62</t>
        </is>
      </c>
      <c r="P1334" s="55" t="n">
        <v>9495</v>
      </c>
      <c r="Q1334" s="59">
        <f>IF(BO1334=1,0,IFERROR(VLOOKUP(BM1334,'Gebinde-Kategorie'!$A$5:$G$45,6,0)+0,0))</f>
        <v/>
      </c>
      <c r="R1334" s="60" t="n"/>
      <c r="S1334" s="61" t="n"/>
      <c r="T1334" s="61" t="n"/>
      <c r="U1334" s="53">
        <f>IF(A1334="","",IF(IFERROR(VLOOKUP(D1334,Parameter!$A$35:$C$64,2,0),"Nein")="2+3",IF(ISNUMBER(SEARCH("grosser Artikel",BJ1334)),2,IFERROR(VLOOKUP(BM1334,Parameter!$F$35:$G$64,2,0),2)),IF(OR(IFERROR(VLOOKUP(D1334,Parameter!$A$35:$C$64,2,0),"Nein")="Nein",IFERROR(VLOOKUP(D1334,Parameter!$A$35:$C$64,2,0),"Nein")=""),"-",VLOOKUP(D1334,Parameter!$A$35:$C$64,2,0))))</f>
        <v/>
      </c>
      <c r="V1334" s="61" t="n"/>
      <c r="W1334" s="62" t="n"/>
      <c r="X1334" s="55">
        <f>AM1334</f>
        <v/>
      </c>
      <c r="Y1334" s="55">
        <f>MAX(AM1334,G1334)</f>
        <v/>
      </c>
      <c r="Z1334" s="63" t="n"/>
      <c r="AA1334" s="55">
        <f>IF(LEFT(Cockpit!$C$5,1)="A",G1334,IF(BT1334=1,BU1334,IF(LEFT(Cockpit!$C$5,1)="B",AE1334,MAX(AE1334,G1334))))</f>
        <v/>
      </c>
      <c r="AB1334" s="55">
        <f>IF(BO1334=1,0,ROUNDUP(AA1334/BN1334,0))</f>
        <v/>
      </c>
      <c r="AC1334" s="64">
        <f>IF(BO1334=1,IF(AA1334&lt;=0,0,BP1334*MAX(1,IF(G1334&gt;0,AA1334/G1334,1))),AB1334*Q1334)</f>
        <v/>
      </c>
      <c r="AD1334" s="55">
        <f>AA1334*F1334</f>
        <v/>
      </c>
      <c r="AE1334" s="55">
        <f>ROUNDUP(MAX(I1334/IF(BS1334&gt;0,BS1334,MAX(0.1,N(Cockpit!$C$6))),BV1334)/BN1334,0)*BN1334</f>
        <v/>
      </c>
      <c r="AF1334" s="56">
        <f>IF(AC1334&gt;0,I1334/AC1334,-1)</f>
        <v/>
      </c>
      <c r="AG1334" s="56">
        <f>IF(AND(OR(BR1334="L1",BR1334="L23"),AC1334&gt;0),SUMIFS($AC$7:$AC$1570,$BR$7:$BR$1570,BR1334,$AF$7:$AF$1570,"&gt;"&amp;AF1334)+SUMIFS($AC$7:$AC$1570,$BR$7:$BR$1570,BR1334,$AF$7:$AF$1570,AF1334,$BL$7:$BL$1570,"&lt;="&amp;BL1334),"")</f>
        <v/>
      </c>
      <c r="AH1334" s="65">
        <f>IF(AG1334="",0,MAX(0,MIN(1,(IF(BR1334="L1",Parameter!$K$5,Parameter!$K$6+Parameter!$K$7)-(AG1334-AC1334))/AC1334)))</f>
        <v/>
      </c>
      <c r="AI1334" s="55">
        <f>IF(LEFT(Cockpit!$I$5,1)="A",G1334,IF(BT1334=1,BU1334,IF(LEFT(Cockpit!$I$5,1)="B",AM1334,MAX(AM1334,G1334))))</f>
        <v/>
      </c>
      <c r="AJ1334" s="55">
        <f>IF(BO1334=1,0,ROUNDUP(AI1334/BN1334,0))</f>
        <v/>
      </c>
      <c r="AK1334" s="64">
        <f>IF(BO1334=1,IF(AI1334&lt;=0,0,BP1334*MAX(1,IF(G1334&gt;0,AI1334/G1334,1))),AJ1334*Q1334)</f>
        <v/>
      </c>
      <c r="AL1334" s="55">
        <f>AI1334*F1334</f>
        <v/>
      </c>
      <c r="AM1334" s="55">
        <f>ROUNDUP(MAX(I1334/IF(BS1334&gt;0,BS1334,MAX(0.1,N(Cockpit!$I$6))),BV1334)/BN1334,0)*BN1334</f>
        <v/>
      </c>
      <c r="AN1334" s="56">
        <f>IF(AK1334&gt;0,I1334/AK1334,-1)</f>
        <v/>
      </c>
      <c r="AO1334" s="56">
        <f>IF(AND(OR(BR1334="L1",BR1334="L23"),AK1334&gt;0),SUMIFS($AK$7:$AK$1570,$BR$7:$BR$1570,BR1334,$AN$7:$AN$1570,"&gt;"&amp;AN1334)+SUMIFS($AK$7:$AK$1570,$BR$7:$BR$1570,BR1334,$AN$7:$AN$1570,AN1334,$BL$7:$BL$1570,"&lt;="&amp;BL1334),"")</f>
        <v/>
      </c>
      <c r="AP1334" s="65">
        <f>IF(AO1334="",0,MAX(0,MIN(1,(IF(BR1334="L1",Parameter!$K$5,Parameter!$K$6+Parameter!$K$7)-(AO1334-AK1334))/AK1334)))</f>
        <v/>
      </c>
      <c r="AQ1334" s="55">
        <f>IF(LEFT(Cockpit!$O$5,1)="A",G1334,IF(BT1334=1,BU1334,IF(LEFT(Cockpit!$O$5,1)="B",AU1334,MAX(AU1334,G1334))))</f>
        <v/>
      </c>
      <c r="AR1334" s="55">
        <f>IF(BO1334=1,0,ROUNDUP(AQ1334/BN1334,0))</f>
        <v/>
      </c>
      <c r="AS1334" s="64">
        <f>IF(BO1334=1,IF(AQ1334&lt;=0,0,BP1334*MAX(1,IF(G1334&gt;0,AQ1334/G1334,1))),AR1334*Q1334)</f>
        <v/>
      </c>
      <c r="AT1334" s="55">
        <f>AQ1334*F1334</f>
        <v/>
      </c>
      <c r="AU1334" s="55">
        <f>ROUNDUP(MAX(I1334/IF(BS1334&gt;0,BS1334,MAX(0.1,N(Cockpit!$O$6))),BV1334)/BN1334,0)*BN1334</f>
        <v/>
      </c>
      <c r="AV1334" s="56">
        <f>IF(AS1334&gt;0,I1334/AS1334,-1)</f>
        <v/>
      </c>
      <c r="AW1334" s="56">
        <f>IF(AND(OR(BR1334="L1",BR1334="L23"),AS1334&gt;0),SUMIFS($AS$7:$AS$1570,$BR$7:$BR$1570,BR1334,$AV$7:$AV$1570,"&gt;"&amp;AV1334)+SUMIFS($AS$7:$AS$1570,$BR$7:$BR$1570,BR1334,$AV$7:$AV$1570,AV1334,$BL$7:$BL$1570,"&lt;="&amp;BL1334),"")</f>
        <v/>
      </c>
      <c r="AX1334" s="65">
        <f>IF(AW1334="",0,MAX(0,MIN(1,(IF(BR1334="L1",Parameter!$K$5,Parameter!$K$6+Parameter!$K$7)-(AW1334-AS1334))/AS1334)))</f>
        <v/>
      </c>
      <c r="AY1334" s="53">
        <f>IF(AC1334&lt;=0,"",IF(BR1334="Aussen","Aussenlager",IF(BR1334="-","Nicht im Lift",IF(AH1334&gt;=1,"Lift",IF(AH1334&lt;=0,"Aussenlager","teilweise")))))</f>
        <v/>
      </c>
      <c r="AZ1334" s="53">
        <f>IF(AK1334&lt;=0,"",IF(BR1334="Aussen","Aussenlager",IF(BR1334="-","Nicht im Lift",IF(AP1334&gt;=1,"Lift",IF(AP1334&lt;=0,"Aussenlager","teilweise")))))</f>
        <v/>
      </c>
      <c r="BA1334" s="53">
        <f>IF(AS1334&lt;=0,"",IF(BR1334="Aussen","Aussenlager",IF(BR1334="-","Nicht im Lift",IF(AX1334&gt;=1,"Lift",IF(AX1334&lt;=0,"Aussenlager","teilweise")))))</f>
        <v/>
      </c>
      <c r="BB1334" s="53">
        <f>IF(A1334="","",IF(BK1334=1,"Neu; ","")&amp;IF(AND(BK1334=0,BF1334&lt;0),"negativer Bestand (Export "&amp;BF1334&amp;"); ","")&amp;IF(I1334&lt;=0,"Kein Verbrauch; ","")&amp;IF(BO1334=1,"Lose – Fläche geschätzt; ","")&amp;IF(G1334&gt;AM1334,"Überbestand "&amp;ROUND(G1334-AM1334,0)&amp;" Stk / CHF "&amp;ROUND((G1334-AM1334)*F1334,0)&amp;"; ","")&amp;IF(AND(BT1334=1,BU1334&lt;BV1334),"MAX &lt; MB+LG; ","")&amp;IF(AND(BZ1334&gt;0,BY1334*10&gt;BZ1334),"zu hoch für Tablar; ","")&amp;IF(AND(BK1334=0,OR(BT1334=1,V1334&lt;&gt;"",S1334&lt;&gt;"",T1334&lt;&gt;"",W1334&lt;&gt;"")),"manuell übersteuert; ","")&amp;IF(AND(BO1334=0,Q1334=0),"Gebinde unbekannt; ","")&amp;IF(AND(BO1334=0,N(T1334)&lt;=0,N(P1334)&lt;=0),"Menge pro Gebinde fehlt (Ist = 1 Gebinde); ","")&amp;BJ1334)</f>
        <v/>
      </c>
      <c r="BC1334" s="53" t="n"/>
      <c r="BD1334" s="53" t="n"/>
      <c r="BE1334" s="61" t="n"/>
      <c r="BF1334" s="55" t="n">
        <v>-3141</v>
      </c>
      <c r="BG1334" s="55" t="n">
        <v>7611</v>
      </c>
      <c r="BH1334" s="54" t="n">
        <v>-1613.340000000001</v>
      </c>
      <c r="BI1334" s="55" t="n">
        <v>7948</v>
      </c>
      <c r="BJ1334" s="53" t="inlineStr"/>
      <c r="BK1334" s="58" t="n">
        <v>0</v>
      </c>
      <c r="BL1334" s="58" t="n">
        <v>1334</v>
      </c>
      <c r="BM1334" s="53">
        <f>IF(S1334&lt;&gt;"",UPPER(TRIM(S1334)),IF(O1334="","LOSE",O1334))</f>
        <v/>
      </c>
      <c r="BN1334" s="55">
        <f>IF(BM1334="LOSE",1,IF(N(T1334)&gt;0,T1334,IF(N(P1334)&gt;0,P1334,MAX(1,G1334))))</f>
        <v/>
      </c>
      <c r="BO1334" s="58">
        <f>IF(BM1334="LOSE",1,0)</f>
        <v/>
      </c>
      <c r="BP1334" s="64">
        <f>IF(BO1334=0,0,IF(N(R1334)&gt;0,R1334,IFERROR(VLOOKUP(D1334,Parameter!$A$35:$C$64,3,0)+0,0)))</f>
        <v/>
      </c>
      <c r="BQ1334" s="53">
        <f>IF(V1334&lt;&gt;"",V1334,U1334)</f>
        <v/>
      </c>
      <c r="BR1334" s="53">
        <f>IF(BQ1334=1,"L1",IF(OR(BQ1334=2,BQ1334=3),"L23",IF(BQ1334="Aussen","Aussen","-")))</f>
        <v/>
      </c>
      <c r="BS1334" s="66">
        <f>IF(N(W1334)&gt;0,W1334,0)</f>
        <v/>
      </c>
      <c r="BT1334" s="58">
        <f>IF(ISNUMBER(Z1334),1,0)</f>
        <v/>
      </c>
      <c r="BU1334" s="55">
        <f>N(Z1334)</f>
        <v/>
      </c>
      <c r="BV1334" s="55">
        <f>N(L1334)+N(M1334)</f>
        <v/>
      </c>
      <c r="BW1334" s="55">
        <f>ROUNDUP(G1334/BN1334,0)</f>
        <v/>
      </c>
      <c r="BX1334" s="55">
        <f>ROUNDUP(BU1334/BN1334,0)</f>
        <v/>
      </c>
      <c r="BY1334" s="58">
        <f>IF(BO1334=1,0,IFERROR(VLOOKUP(BM1334,'Gebinde-Kategorie'!$A$5:$G$45,5,0)+0,0))</f>
        <v/>
      </c>
      <c r="BZ1334" s="58">
        <f>IFERROR(IF(OR(BQ1334=1,BQ1334=2,BQ1334=3),N(INDEX(Parameter!$I$5:$I$7,BQ1334)),0),0)</f>
        <v/>
      </c>
    </row>
    <row r="1335">
      <c r="A1335" s="53" t="inlineStr">
        <is>
          <t>005695</t>
        </is>
      </c>
      <c r="B1335" s="53" t="inlineStr">
        <is>
          <t>Leistungsschütz</t>
        </is>
      </c>
      <c r="C1335" s="53" t="inlineStr">
        <is>
          <t>F</t>
        </is>
      </c>
      <c r="D1335" s="53" t="inlineStr">
        <is>
          <t>KTL</t>
        </is>
      </c>
      <c r="E1335" s="53" t="inlineStr">
        <is>
          <t>C</t>
        </is>
      </c>
      <c r="F1335" s="54" t="n">
        <v>46.69</v>
      </c>
      <c r="G1335" s="55">
        <f>MAX(0,IF(Parameter!$B$20="Jahresanfang 2025 + Export",BG1335+BF1335,BF1335))</f>
        <v/>
      </c>
      <c r="H1335" s="55">
        <f>G1335*F1335</f>
        <v/>
      </c>
      <c r="I1335" s="55">
        <f>BI1335*Parameter!$B$18</f>
        <v/>
      </c>
      <c r="J1335" s="56" t="n">
        <v>80.5</v>
      </c>
      <c r="K1335" s="57" t="n">
        <v>0.3354037267080746</v>
      </c>
      <c r="L1335" s="55" t="n">
        <v>1</v>
      </c>
      <c r="M1335" s="55" t="n">
        <v>25</v>
      </c>
      <c r="N1335" s="58" t="n">
        <v>14</v>
      </c>
      <c r="O1335" s="53" t="inlineStr">
        <is>
          <t>S63</t>
        </is>
      </c>
      <c r="P1335" s="55" t="n">
        <v>58</v>
      </c>
      <c r="Q1335" s="59">
        <f>IF(BO1335=1,0,IFERROR(VLOOKUP(BM1335,'Gebinde-Kategorie'!$A$5:$G$45,6,0)+0,0))</f>
        <v/>
      </c>
      <c r="R1335" s="60" t="n"/>
      <c r="S1335" s="61" t="n"/>
      <c r="T1335" s="61" t="n"/>
      <c r="U1335" s="53">
        <f>IF(A1335="","",IF(IFERROR(VLOOKUP(D1335,Parameter!$A$35:$C$64,2,0),"Nein")="2+3",IF(ISNUMBER(SEARCH("grosser Artikel",BJ1335)),2,IFERROR(VLOOKUP(BM1335,Parameter!$F$35:$G$64,2,0),2)),IF(OR(IFERROR(VLOOKUP(D1335,Parameter!$A$35:$C$64,2,0),"Nein")="Nein",IFERROR(VLOOKUP(D1335,Parameter!$A$35:$C$64,2,0),"Nein")=""),"-",VLOOKUP(D1335,Parameter!$A$35:$C$64,2,0))))</f>
        <v/>
      </c>
      <c r="V1335" s="61" t="n"/>
      <c r="W1335" s="62" t="n"/>
      <c r="X1335" s="55">
        <f>AM1335</f>
        <v/>
      </c>
      <c r="Y1335" s="55">
        <f>MAX(AM1335,G1335)</f>
        <v/>
      </c>
      <c r="Z1335" s="63" t="n"/>
      <c r="AA1335" s="55">
        <f>IF(LEFT(Cockpit!$C$5,1)="A",G1335,IF(BT1335=1,BU1335,IF(LEFT(Cockpit!$C$5,1)="B",AE1335,MAX(AE1335,G1335))))</f>
        <v/>
      </c>
      <c r="AB1335" s="55">
        <f>IF(BO1335=1,0,ROUNDUP(AA1335/BN1335,0))</f>
        <v/>
      </c>
      <c r="AC1335" s="64">
        <f>IF(BO1335=1,IF(AA1335&lt;=0,0,BP1335*MAX(1,IF(G1335&gt;0,AA1335/G1335,1))),AB1335*Q1335)</f>
        <v/>
      </c>
      <c r="AD1335" s="55">
        <f>AA1335*F1335</f>
        <v/>
      </c>
      <c r="AE1335" s="55">
        <f>ROUNDUP(MAX(I1335/IF(BS1335&gt;0,BS1335,MAX(0.1,N(Cockpit!$C$6))),BV1335)/BN1335,0)*BN1335</f>
        <v/>
      </c>
      <c r="AF1335" s="56">
        <f>IF(AC1335&gt;0,I1335/AC1335,-1)</f>
        <v/>
      </c>
      <c r="AG1335" s="56">
        <f>IF(AND(OR(BR1335="L1",BR1335="L23"),AC1335&gt;0),SUMIFS($AC$7:$AC$1570,$BR$7:$BR$1570,BR1335,$AF$7:$AF$1570,"&gt;"&amp;AF1335)+SUMIFS($AC$7:$AC$1570,$BR$7:$BR$1570,BR1335,$AF$7:$AF$1570,AF1335,$BL$7:$BL$1570,"&lt;="&amp;BL1335),"")</f>
        <v/>
      </c>
      <c r="AH1335" s="65">
        <f>IF(AG1335="",0,MAX(0,MIN(1,(IF(BR1335="L1",Parameter!$K$5,Parameter!$K$6+Parameter!$K$7)-(AG1335-AC1335))/AC1335)))</f>
        <v/>
      </c>
      <c r="AI1335" s="55">
        <f>IF(LEFT(Cockpit!$I$5,1)="A",G1335,IF(BT1335=1,BU1335,IF(LEFT(Cockpit!$I$5,1)="B",AM1335,MAX(AM1335,G1335))))</f>
        <v/>
      </c>
      <c r="AJ1335" s="55">
        <f>IF(BO1335=1,0,ROUNDUP(AI1335/BN1335,0))</f>
        <v/>
      </c>
      <c r="AK1335" s="64">
        <f>IF(BO1335=1,IF(AI1335&lt;=0,0,BP1335*MAX(1,IF(G1335&gt;0,AI1335/G1335,1))),AJ1335*Q1335)</f>
        <v/>
      </c>
      <c r="AL1335" s="55">
        <f>AI1335*F1335</f>
        <v/>
      </c>
      <c r="AM1335" s="55">
        <f>ROUNDUP(MAX(I1335/IF(BS1335&gt;0,BS1335,MAX(0.1,N(Cockpit!$I$6))),BV1335)/BN1335,0)*BN1335</f>
        <v/>
      </c>
      <c r="AN1335" s="56">
        <f>IF(AK1335&gt;0,I1335/AK1335,-1)</f>
        <v/>
      </c>
      <c r="AO1335" s="56">
        <f>IF(AND(OR(BR1335="L1",BR1335="L23"),AK1335&gt;0),SUMIFS($AK$7:$AK$1570,$BR$7:$BR$1570,BR1335,$AN$7:$AN$1570,"&gt;"&amp;AN1335)+SUMIFS($AK$7:$AK$1570,$BR$7:$BR$1570,BR1335,$AN$7:$AN$1570,AN1335,$BL$7:$BL$1570,"&lt;="&amp;BL1335),"")</f>
        <v/>
      </c>
      <c r="AP1335" s="65">
        <f>IF(AO1335="",0,MAX(0,MIN(1,(IF(BR1335="L1",Parameter!$K$5,Parameter!$K$6+Parameter!$K$7)-(AO1335-AK1335))/AK1335)))</f>
        <v/>
      </c>
      <c r="AQ1335" s="55">
        <f>IF(LEFT(Cockpit!$O$5,1)="A",G1335,IF(BT1335=1,BU1335,IF(LEFT(Cockpit!$O$5,1)="B",AU1335,MAX(AU1335,G1335))))</f>
        <v/>
      </c>
      <c r="AR1335" s="55">
        <f>IF(BO1335=1,0,ROUNDUP(AQ1335/BN1335,0))</f>
        <v/>
      </c>
      <c r="AS1335" s="64">
        <f>IF(BO1335=1,IF(AQ1335&lt;=0,0,BP1335*MAX(1,IF(G1335&gt;0,AQ1335/G1335,1))),AR1335*Q1335)</f>
        <v/>
      </c>
      <c r="AT1335" s="55">
        <f>AQ1335*F1335</f>
        <v/>
      </c>
      <c r="AU1335" s="55">
        <f>ROUNDUP(MAX(I1335/IF(BS1335&gt;0,BS1335,MAX(0.1,N(Cockpit!$O$6))),BV1335)/BN1335,0)*BN1335</f>
        <v/>
      </c>
      <c r="AV1335" s="56">
        <f>IF(AS1335&gt;0,I1335/AS1335,-1)</f>
        <v/>
      </c>
      <c r="AW1335" s="56">
        <f>IF(AND(OR(BR1335="L1",BR1335="L23"),AS1335&gt;0),SUMIFS($AS$7:$AS$1570,$BR$7:$BR$1570,BR1335,$AV$7:$AV$1570,"&gt;"&amp;AV1335)+SUMIFS($AS$7:$AS$1570,$BR$7:$BR$1570,BR1335,$AV$7:$AV$1570,AV1335,$BL$7:$BL$1570,"&lt;="&amp;BL1335),"")</f>
        <v/>
      </c>
      <c r="AX1335" s="65">
        <f>IF(AW1335="",0,MAX(0,MIN(1,(IF(BR1335="L1",Parameter!$K$5,Parameter!$K$6+Parameter!$K$7)-(AW1335-AS1335))/AS1335)))</f>
        <v/>
      </c>
      <c r="AY1335" s="53">
        <f>IF(AC1335&lt;=0,"",IF(BR1335="Aussen","Aussenlager",IF(BR1335="-","Nicht im Lift",IF(AH1335&gt;=1,"Lift",IF(AH1335&lt;=0,"Aussenlager","teilweise")))))</f>
        <v/>
      </c>
      <c r="AZ1335" s="53">
        <f>IF(AK1335&lt;=0,"",IF(BR1335="Aussen","Aussenlager",IF(BR1335="-","Nicht im Lift",IF(AP1335&gt;=1,"Lift",IF(AP1335&lt;=0,"Aussenlager","teilweise")))))</f>
        <v/>
      </c>
      <c r="BA1335" s="53">
        <f>IF(AS1335&lt;=0,"",IF(BR1335="Aussen","Aussenlager",IF(BR1335="-","Nicht im Lift",IF(AX1335&gt;=1,"Lift",IF(AX1335&lt;=0,"Aussenlager","teilweise")))))</f>
        <v/>
      </c>
      <c r="BB1335" s="53">
        <f>IF(A1335="","",IF(BK1335=1,"Neu; ","")&amp;IF(AND(BK1335=0,BF1335&lt;0),"negativer Bestand (Export "&amp;BF1335&amp;"); ","")&amp;IF(I1335&lt;=0,"Kein Verbrauch; ","")&amp;IF(BO1335=1,"Lose – Fläche geschätzt; ","")&amp;IF(G1335&gt;AM1335,"Überbestand "&amp;ROUND(G1335-AM1335,0)&amp;" Stk / CHF "&amp;ROUND((G1335-AM1335)*F1335,0)&amp;"; ","")&amp;IF(AND(BT1335=1,BU1335&lt;BV1335),"MAX &lt; MB+LG; ","")&amp;IF(AND(BZ1335&gt;0,BY1335*10&gt;BZ1335),"zu hoch für Tablar; ","")&amp;IF(AND(BK1335=0,OR(BT1335=1,V1335&lt;&gt;"",S1335&lt;&gt;"",T1335&lt;&gt;"",W1335&lt;&gt;"")),"manuell übersteuert; ","")&amp;IF(AND(BO1335=0,Q1335=0),"Gebinde unbekannt; ","")&amp;IF(AND(BO1335=0,N(T1335)&lt;=0,N(P1335)&lt;=0),"Menge pro Gebinde fehlt (Ist = 1 Gebinde); ","")&amp;BJ1335)</f>
        <v/>
      </c>
      <c r="BC1335" s="53" t="n"/>
      <c r="BD1335" s="53" t="n"/>
      <c r="BE1335" s="61" t="n"/>
      <c r="BF1335" s="55" t="n">
        <v>-35</v>
      </c>
      <c r="BG1335" s="55" t="n">
        <v>94</v>
      </c>
      <c r="BH1335" s="54" t="n">
        <v>-1634.15</v>
      </c>
      <c r="BI1335" s="55" t="n">
        <v>27</v>
      </c>
      <c r="BJ1335" s="53" t="inlineStr"/>
      <c r="BK1335" s="58" t="n">
        <v>0</v>
      </c>
      <c r="BL1335" s="58" t="n">
        <v>1335</v>
      </c>
      <c r="BM1335" s="53">
        <f>IF(S1335&lt;&gt;"",UPPER(TRIM(S1335)),IF(O1335="","LOSE",O1335))</f>
        <v/>
      </c>
      <c r="BN1335" s="55">
        <f>IF(BM1335="LOSE",1,IF(N(T1335)&gt;0,T1335,IF(N(P1335)&gt;0,P1335,MAX(1,G1335))))</f>
        <v/>
      </c>
      <c r="BO1335" s="58">
        <f>IF(BM1335="LOSE",1,0)</f>
        <v/>
      </c>
      <c r="BP1335" s="64">
        <f>IF(BO1335=0,0,IF(N(R1335)&gt;0,R1335,IFERROR(VLOOKUP(D1335,Parameter!$A$35:$C$64,3,0)+0,0)))</f>
        <v/>
      </c>
      <c r="BQ1335" s="53">
        <f>IF(V1335&lt;&gt;"",V1335,U1335)</f>
        <v/>
      </c>
      <c r="BR1335" s="53">
        <f>IF(BQ1335=1,"L1",IF(OR(BQ1335=2,BQ1335=3),"L23",IF(BQ1335="Aussen","Aussen","-")))</f>
        <v/>
      </c>
      <c r="BS1335" s="66">
        <f>IF(N(W1335)&gt;0,W1335,0)</f>
        <v/>
      </c>
      <c r="BT1335" s="58">
        <f>IF(ISNUMBER(Z1335),1,0)</f>
        <v/>
      </c>
      <c r="BU1335" s="55">
        <f>N(Z1335)</f>
        <v/>
      </c>
      <c r="BV1335" s="55">
        <f>N(L1335)+N(M1335)</f>
        <v/>
      </c>
      <c r="BW1335" s="55">
        <f>ROUNDUP(G1335/BN1335,0)</f>
        <v/>
      </c>
      <c r="BX1335" s="55">
        <f>ROUNDUP(BU1335/BN1335,0)</f>
        <v/>
      </c>
      <c r="BY1335" s="58">
        <f>IF(BO1335=1,0,IFERROR(VLOOKUP(BM1335,'Gebinde-Kategorie'!$A$5:$G$45,5,0)+0,0))</f>
        <v/>
      </c>
      <c r="BZ1335" s="58">
        <f>IFERROR(IF(OR(BQ1335=1,BQ1335=2,BQ1335=3),N(INDEX(Parameter!$I$5:$I$7,BQ1335)),0),0)</f>
        <v/>
      </c>
    </row>
    <row r="1336">
      <c r="A1336" s="53" t="inlineStr">
        <is>
          <t>107989</t>
        </is>
      </c>
      <c r="B1336" s="53" t="inlineStr">
        <is>
          <t>Spülluftmodul Gehäuse komplett</t>
        </is>
      </c>
      <c r="C1336" s="53" t="inlineStr">
        <is>
          <t>G</t>
        </is>
      </c>
      <c r="D1336" s="53" t="inlineStr">
        <is>
          <t>PAL</t>
        </is>
      </c>
      <c r="E1336" s="53" t="inlineStr">
        <is>
          <t>C</t>
        </is>
      </c>
      <c r="F1336" s="54" t="n">
        <v>103.25</v>
      </c>
      <c r="G1336" s="55">
        <f>MAX(0,IF(Parameter!$B$20="Jahresanfang 2025 + Export",BG1336+BF1336,BF1336))</f>
        <v/>
      </c>
      <c r="H1336" s="55">
        <f>G1336*F1336</f>
        <v/>
      </c>
      <c r="I1336" s="55">
        <f>BI1336*Parameter!$B$18</f>
        <v/>
      </c>
      <c r="J1336" s="56" t="n">
        <v>16</v>
      </c>
      <c r="K1336" s="57" t="n">
        <v>0</v>
      </c>
      <c r="L1336" s="55" t="n">
        <v>0</v>
      </c>
      <c r="M1336" s="55" t="n">
        <v>1</v>
      </c>
      <c r="N1336" s="58" t="n">
        <v>56</v>
      </c>
      <c r="O1336" s="53" t="inlineStr">
        <is>
          <t>LOSE</t>
        </is>
      </c>
      <c r="P1336" s="55" t="n"/>
      <c r="Q1336" s="59">
        <f>IF(BO1336=1,0,IFERROR(VLOOKUP(BM1336,'Gebinde-Kategorie'!$A$5:$G$45,6,0)+0,0))</f>
        <v/>
      </c>
      <c r="R1336" s="60" t="n"/>
      <c r="S1336" s="61" t="n"/>
      <c r="T1336" s="61" t="n"/>
      <c r="U1336" s="53">
        <f>IF(A1336="","",IF(IFERROR(VLOOKUP(D1336,Parameter!$A$35:$C$64,2,0),"Nein")="2+3",IF(ISNUMBER(SEARCH("grosser Artikel",BJ1336)),2,IFERROR(VLOOKUP(BM1336,Parameter!$F$35:$G$64,2,0),2)),IF(OR(IFERROR(VLOOKUP(D1336,Parameter!$A$35:$C$64,2,0),"Nein")="Nein",IFERROR(VLOOKUP(D1336,Parameter!$A$35:$C$64,2,0),"Nein")=""),"-",VLOOKUP(D1336,Parameter!$A$35:$C$64,2,0))))</f>
        <v/>
      </c>
      <c r="V1336" s="61" t="n"/>
      <c r="W1336" s="62" t="n"/>
      <c r="X1336" s="55">
        <f>AM1336</f>
        <v/>
      </c>
      <c r="Y1336" s="55">
        <f>MAX(AM1336,G1336)</f>
        <v/>
      </c>
      <c r="Z1336" s="63" t="n"/>
      <c r="AA1336" s="55">
        <f>IF(LEFT(Cockpit!$C$5,1)="A",G1336,IF(BT1336=1,BU1336,IF(LEFT(Cockpit!$C$5,1)="B",AE1336,MAX(AE1336,G1336))))</f>
        <v/>
      </c>
      <c r="AB1336" s="55">
        <f>IF(BO1336=1,0,ROUNDUP(AA1336/BN1336,0))</f>
        <v/>
      </c>
      <c r="AC1336" s="64">
        <f>IF(BO1336=1,IF(AA1336&lt;=0,0,BP1336*MAX(1,IF(G1336&gt;0,AA1336/G1336,1))),AB1336*Q1336)</f>
        <v/>
      </c>
      <c r="AD1336" s="55">
        <f>AA1336*F1336</f>
        <v/>
      </c>
      <c r="AE1336" s="55">
        <f>ROUNDUP(MAX(I1336/IF(BS1336&gt;0,BS1336,MAX(0.1,N(Cockpit!$C$6))),BV1336)/BN1336,0)*BN1336</f>
        <v/>
      </c>
      <c r="AF1336" s="56">
        <f>IF(AC1336&gt;0,I1336/AC1336,-1)</f>
        <v/>
      </c>
      <c r="AG1336" s="56">
        <f>IF(AND(OR(BR1336="L1",BR1336="L23"),AC1336&gt;0),SUMIFS($AC$7:$AC$1570,$BR$7:$BR$1570,BR1336,$AF$7:$AF$1570,"&gt;"&amp;AF1336)+SUMIFS($AC$7:$AC$1570,$BR$7:$BR$1570,BR1336,$AF$7:$AF$1570,AF1336,$BL$7:$BL$1570,"&lt;="&amp;BL1336),"")</f>
        <v/>
      </c>
      <c r="AH1336" s="65">
        <f>IF(AG1336="",0,MAX(0,MIN(1,(IF(BR1336="L1",Parameter!$K$5,Parameter!$K$6+Parameter!$K$7)-(AG1336-AC1336))/AC1336)))</f>
        <v/>
      </c>
      <c r="AI1336" s="55">
        <f>IF(LEFT(Cockpit!$I$5,1)="A",G1336,IF(BT1336=1,BU1336,IF(LEFT(Cockpit!$I$5,1)="B",AM1336,MAX(AM1336,G1336))))</f>
        <v/>
      </c>
      <c r="AJ1336" s="55">
        <f>IF(BO1336=1,0,ROUNDUP(AI1336/BN1336,0))</f>
        <v/>
      </c>
      <c r="AK1336" s="64">
        <f>IF(BO1336=1,IF(AI1336&lt;=0,0,BP1336*MAX(1,IF(G1336&gt;0,AI1336/G1336,1))),AJ1336*Q1336)</f>
        <v/>
      </c>
      <c r="AL1336" s="55">
        <f>AI1336*F1336</f>
        <v/>
      </c>
      <c r="AM1336" s="55">
        <f>ROUNDUP(MAX(I1336/IF(BS1336&gt;0,BS1336,MAX(0.1,N(Cockpit!$I$6))),BV1336)/BN1336,0)*BN1336</f>
        <v/>
      </c>
      <c r="AN1336" s="56">
        <f>IF(AK1336&gt;0,I1336/AK1336,-1)</f>
        <v/>
      </c>
      <c r="AO1336" s="56">
        <f>IF(AND(OR(BR1336="L1",BR1336="L23"),AK1336&gt;0),SUMIFS($AK$7:$AK$1570,$BR$7:$BR$1570,BR1336,$AN$7:$AN$1570,"&gt;"&amp;AN1336)+SUMIFS($AK$7:$AK$1570,$BR$7:$BR$1570,BR1336,$AN$7:$AN$1570,AN1336,$BL$7:$BL$1570,"&lt;="&amp;BL1336),"")</f>
        <v/>
      </c>
      <c r="AP1336" s="65">
        <f>IF(AO1336="",0,MAX(0,MIN(1,(IF(BR1336="L1",Parameter!$K$5,Parameter!$K$6+Parameter!$K$7)-(AO1336-AK1336))/AK1336)))</f>
        <v/>
      </c>
      <c r="AQ1336" s="55">
        <f>IF(LEFT(Cockpit!$O$5,1)="A",G1336,IF(BT1336=1,BU1336,IF(LEFT(Cockpit!$O$5,1)="B",AU1336,MAX(AU1336,G1336))))</f>
        <v/>
      </c>
      <c r="AR1336" s="55">
        <f>IF(BO1336=1,0,ROUNDUP(AQ1336/BN1336,0))</f>
        <v/>
      </c>
      <c r="AS1336" s="64">
        <f>IF(BO1336=1,IF(AQ1336&lt;=0,0,BP1336*MAX(1,IF(G1336&gt;0,AQ1336/G1336,1))),AR1336*Q1336)</f>
        <v/>
      </c>
      <c r="AT1336" s="55">
        <f>AQ1336*F1336</f>
        <v/>
      </c>
      <c r="AU1336" s="55">
        <f>ROUNDUP(MAX(I1336/IF(BS1336&gt;0,BS1336,MAX(0.1,N(Cockpit!$O$6))),BV1336)/BN1336,0)*BN1336</f>
        <v/>
      </c>
      <c r="AV1336" s="56">
        <f>IF(AS1336&gt;0,I1336/AS1336,-1)</f>
        <v/>
      </c>
      <c r="AW1336" s="56">
        <f>IF(AND(OR(BR1336="L1",BR1336="L23"),AS1336&gt;0),SUMIFS($AS$7:$AS$1570,$BR$7:$BR$1570,BR1336,$AV$7:$AV$1570,"&gt;"&amp;AV1336)+SUMIFS($AS$7:$AS$1570,$BR$7:$BR$1570,BR1336,$AV$7:$AV$1570,AV1336,$BL$7:$BL$1570,"&lt;="&amp;BL1336),"")</f>
        <v/>
      </c>
      <c r="AX1336" s="65">
        <f>IF(AW1336="",0,MAX(0,MIN(1,(IF(BR1336="L1",Parameter!$K$5,Parameter!$K$6+Parameter!$K$7)-(AW1336-AS1336))/AS1336)))</f>
        <v/>
      </c>
      <c r="AY1336" s="53">
        <f>IF(AC1336&lt;=0,"",IF(BR1336="Aussen","Aussenlager",IF(BR1336="-","Nicht im Lift",IF(AH1336&gt;=1,"Lift",IF(AH1336&lt;=0,"Aussenlager","teilweise")))))</f>
        <v/>
      </c>
      <c r="AZ1336" s="53">
        <f>IF(AK1336&lt;=0,"",IF(BR1336="Aussen","Aussenlager",IF(BR1336="-","Nicht im Lift",IF(AP1336&gt;=1,"Lift",IF(AP1336&lt;=0,"Aussenlager","teilweise")))))</f>
        <v/>
      </c>
      <c r="BA1336" s="53">
        <f>IF(AS1336&lt;=0,"",IF(BR1336="Aussen","Aussenlager",IF(BR1336="-","Nicht im Lift",IF(AX1336&gt;=1,"Lift",IF(AX1336&lt;=0,"Aussenlager","teilweise")))))</f>
        <v/>
      </c>
      <c r="BB1336" s="53">
        <f>IF(A1336="","",IF(BK1336=1,"Neu; ","")&amp;IF(AND(BK1336=0,BF1336&lt;0),"negativer Bestand (Export "&amp;BF1336&amp;"); ","")&amp;IF(I1336&lt;=0,"Kein Verbrauch; ","")&amp;IF(BO1336=1,"Lose – Fläche geschätzt; ","")&amp;IF(G1336&gt;AM1336,"Überbestand "&amp;ROUND(G1336-AM1336,0)&amp;" Stk / CHF "&amp;ROUND((G1336-AM1336)*F1336,0)&amp;"; ","")&amp;IF(AND(BT1336=1,BU1336&lt;BV1336),"MAX &lt; MB+LG; ","")&amp;IF(AND(BZ1336&gt;0,BY1336*10&gt;BZ1336),"zu hoch für Tablar; ","")&amp;IF(AND(BK1336=0,OR(BT1336=1,V1336&lt;&gt;"",S1336&lt;&gt;"",T1336&lt;&gt;"",W1336&lt;&gt;"")),"manuell übersteuert; ","")&amp;IF(AND(BO1336=0,Q1336=0),"Gebinde unbekannt; ","")&amp;IF(AND(BO1336=0,N(T1336)&lt;=0,N(P1336)&lt;=0),"Menge pro Gebinde fehlt (Ist = 1 Gebinde); ","")&amp;BJ1336)</f>
        <v/>
      </c>
      <c r="BC1336" s="53" t="n"/>
      <c r="BD1336" s="53" t="n"/>
      <c r="BE1336" s="61" t="n"/>
      <c r="BF1336" s="55" t="n">
        <v>-16</v>
      </c>
      <c r="BG1336" s="55" t="n">
        <v>16</v>
      </c>
      <c r="BH1336" s="54" t="n">
        <v>-1652</v>
      </c>
      <c r="BI1336" s="55" t="n">
        <v>0</v>
      </c>
      <c r="BJ1336" s="53" t="inlineStr">
        <is>
          <t>grosser Artikel &amp; nicht im KTL</t>
        </is>
      </c>
      <c r="BK1336" s="58" t="n">
        <v>0</v>
      </c>
      <c r="BL1336" s="58" t="n">
        <v>1336</v>
      </c>
      <c r="BM1336" s="53">
        <f>IF(S1336&lt;&gt;"",UPPER(TRIM(S1336)),IF(O1336="","LOSE",O1336))</f>
        <v/>
      </c>
      <c r="BN1336" s="55">
        <f>IF(BM1336="LOSE",1,IF(N(T1336)&gt;0,T1336,IF(N(P1336)&gt;0,P1336,MAX(1,G1336))))</f>
        <v/>
      </c>
      <c r="BO1336" s="58">
        <f>IF(BM1336="LOSE",1,0)</f>
        <v/>
      </c>
      <c r="BP1336" s="64">
        <f>IF(BO1336=0,0,IF(N(R1336)&gt;0,R1336,IFERROR(VLOOKUP(D1336,Parameter!$A$35:$C$64,3,0)+0,0)))</f>
        <v/>
      </c>
      <c r="BQ1336" s="53">
        <f>IF(V1336&lt;&gt;"",V1336,U1336)</f>
        <v/>
      </c>
      <c r="BR1336" s="53">
        <f>IF(BQ1336=1,"L1",IF(OR(BQ1336=2,BQ1336=3),"L23",IF(BQ1336="Aussen","Aussen","-")))</f>
        <v/>
      </c>
      <c r="BS1336" s="66">
        <f>IF(N(W1336)&gt;0,W1336,0)</f>
        <v/>
      </c>
      <c r="BT1336" s="58">
        <f>IF(ISNUMBER(Z1336),1,0)</f>
        <v/>
      </c>
      <c r="BU1336" s="55">
        <f>N(Z1336)</f>
        <v/>
      </c>
      <c r="BV1336" s="55">
        <f>N(L1336)+N(M1336)</f>
        <v/>
      </c>
      <c r="BW1336" s="55">
        <f>ROUNDUP(G1336/BN1336,0)</f>
        <v/>
      </c>
      <c r="BX1336" s="55">
        <f>ROUNDUP(BU1336/BN1336,0)</f>
        <v/>
      </c>
      <c r="BY1336" s="58">
        <f>IF(BO1336=1,0,IFERROR(VLOOKUP(BM1336,'Gebinde-Kategorie'!$A$5:$G$45,5,0)+0,0))</f>
        <v/>
      </c>
      <c r="BZ1336" s="58">
        <f>IFERROR(IF(OR(BQ1336=1,BQ1336=2,BQ1336=3),N(INDEX(Parameter!$I$5:$I$7,BQ1336)),0),0)</f>
        <v/>
      </c>
    </row>
    <row r="1337">
      <c r="A1337" s="53" t="inlineStr">
        <is>
          <t>100356</t>
        </is>
      </c>
      <c r="B1337" s="53" t="inlineStr">
        <is>
          <t>Adapter Edelstahl</t>
        </is>
      </c>
      <c r="C1337" s="53" t="inlineStr">
        <is>
          <t>F</t>
        </is>
      </c>
      <c r="D1337" s="53" t="inlineStr">
        <is>
          <t>KTL</t>
        </is>
      </c>
      <c r="E1337" s="53" t="inlineStr">
        <is>
          <t>C</t>
        </is>
      </c>
      <c r="F1337" s="54" t="n">
        <v>15.91</v>
      </c>
      <c r="G1337" s="55">
        <f>MAX(0,IF(Parameter!$B$20="Jahresanfang 2025 + Export",BG1337+BF1337,BF1337))</f>
        <v/>
      </c>
      <c r="H1337" s="55">
        <f>G1337*F1337</f>
        <v/>
      </c>
      <c r="I1337" s="55">
        <f>BI1337*Parameter!$B$18</f>
        <v/>
      </c>
      <c r="J1337" s="56" t="n">
        <v>101.5</v>
      </c>
      <c r="K1337" s="57" t="n">
        <v>0.6798029556650246</v>
      </c>
      <c r="L1337" s="55" t="n">
        <v>2</v>
      </c>
      <c r="M1337" s="55" t="n">
        <v>70</v>
      </c>
      <c r="N1337" s="58" t="n">
        <v>14</v>
      </c>
      <c r="O1337" s="53" t="inlineStr">
        <is>
          <t>S33</t>
        </is>
      </c>
      <c r="P1337" s="55" t="n">
        <v>86</v>
      </c>
      <c r="Q1337" s="59">
        <f>IF(BO1337=1,0,IFERROR(VLOOKUP(BM1337,'Gebinde-Kategorie'!$A$5:$G$45,6,0)+0,0))</f>
        <v/>
      </c>
      <c r="R1337" s="60" t="n"/>
      <c r="S1337" s="61" t="n"/>
      <c r="T1337" s="61" t="n"/>
      <c r="U1337" s="53">
        <f>IF(A1337="","",IF(IFERROR(VLOOKUP(D1337,Parameter!$A$35:$C$64,2,0),"Nein")="2+3",IF(ISNUMBER(SEARCH("grosser Artikel",BJ1337)),2,IFERROR(VLOOKUP(BM1337,Parameter!$F$35:$G$64,2,0),2)),IF(OR(IFERROR(VLOOKUP(D1337,Parameter!$A$35:$C$64,2,0),"Nein")="Nein",IFERROR(VLOOKUP(D1337,Parameter!$A$35:$C$64,2,0),"Nein")=""),"-",VLOOKUP(D1337,Parameter!$A$35:$C$64,2,0))))</f>
        <v/>
      </c>
      <c r="V1337" s="61" t="n"/>
      <c r="W1337" s="62" t="n"/>
      <c r="X1337" s="55">
        <f>AM1337</f>
        <v/>
      </c>
      <c r="Y1337" s="55">
        <f>MAX(AM1337,G1337)</f>
        <v/>
      </c>
      <c r="Z1337" s="63" t="n"/>
      <c r="AA1337" s="55">
        <f>IF(LEFT(Cockpit!$C$5,1)="A",G1337,IF(BT1337=1,BU1337,IF(LEFT(Cockpit!$C$5,1)="B",AE1337,MAX(AE1337,G1337))))</f>
        <v/>
      </c>
      <c r="AB1337" s="55">
        <f>IF(BO1337=1,0,ROUNDUP(AA1337/BN1337,0))</f>
        <v/>
      </c>
      <c r="AC1337" s="64">
        <f>IF(BO1337=1,IF(AA1337&lt;=0,0,BP1337*MAX(1,IF(G1337&gt;0,AA1337/G1337,1))),AB1337*Q1337)</f>
        <v/>
      </c>
      <c r="AD1337" s="55">
        <f>AA1337*F1337</f>
        <v/>
      </c>
      <c r="AE1337" s="55">
        <f>ROUNDUP(MAX(I1337/IF(BS1337&gt;0,BS1337,MAX(0.1,N(Cockpit!$C$6))),BV1337)/BN1337,0)*BN1337</f>
        <v/>
      </c>
      <c r="AF1337" s="56">
        <f>IF(AC1337&gt;0,I1337/AC1337,-1)</f>
        <v/>
      </c>
      <c r="AG1337" s="56">
        <f>IF(AND(OR(BR1337="L1",BR1337="L23"),AC1337&gt;0),SUMIFS($AC$7:$AC$1570,$BR$7:$BR$1570,BR1337,$AF$7:$AF$1570,"&gt;"&amp;AF1337)+SUMIFS($AC$7:$AC$1570,$BR$7:$BR$1570,BR1337,$AF$7:$AF$1570,AF1337,$BL$7:$BL$1570,"&lt;="&amp;BL1337),"")</f>
        <v/>
      </c>
      <c r="AH1337" s="65">
        <f>IF(AG1337="",0,MAX(0,MIN(1,(IF(BR1337="L1",Parameter!$K$5,Parameter!$K$6+Parameter!$K$7)-(AG1337-AC1337))/AC1337)))</f>
        <v/>
      </c>
      <c r="AI1337" s="55">
        <f>IF(LEFT(Cockpit!$I$5,1)="A",G1337,IF(BT1337=1,BU1337,IF(LEFT(Cockpit!$I$5,1)="B",AM1337,MAX(AM1337,G1337))))</f>
        <v/>
      </c>
      <c r="AJ1337" s="55">
        <f>IF(BO1337=1,0,ROUNDUP(AI1337/BN1337,0))</f>
        <v/>
      </c>
      <c r="AK1337" s="64">
        <f>IF(BO1337=1,IF(AI1337&lt;=0,0,BP1337*MAX(1,IF(G1337&gt;0,AI1337/G1337,1))),AJ1337*Q1337)</f>
        <v/>
      </c>
      <c r="AL1337" s="55">
        <f>AI1337*F1337</f>
        <v/>
      </c>
      <c r="AM1337" s="55">
        <f>ROUNDUP(MAX(I1337/IF(BS1337&gt;0,BS1337,MAX(0.1,N(Cockpit!$I$6))),BV1337)/BN1337,0)*BN1337</f>
        <v/>
      </c>
      <c r="AN1337" s="56">
        <f>IF(AK1337&gt;0,I1337/AK1337,-1)</f>
        <v/>
      </c>
      <c r="AO1337" s="56">
        <f>IF(AND(OR(BR1337="L1",BR1337="L23"),AK1337&gt;0),SUMIFS($AK$7:$AK$1570,$BR$7:$BR$1570,BR1337,$AN$7:$AN$1570,"&gt;"&amp;AN1337)+SUMIFS($AK$7:$AK$1570,$BR$7:$BR$1570,BR1337,$AN$7:$AN$1570,AN1337,$BL$7:$BL$1570,"&lt;="&amp;BL1337),"")</f>
        <v/>
      </c>
      <c r="AP1337" s="65">
        <f>IF(AO1337="",0,MAX(0,MIN(1,(IF(BR1337="L1",Parameter!$K$5,Parameter!$K$6+Parameter!$K$7)-(AO1337-AK1337))/AK1337)))</f>
        <v/>
      </c>
      <c r="AQ1337" s="55">
        <f>IF(LEFT(Cockpit!$O$5,1)="A",G1337,IF(BT1337=1,BU1337,IF(LEFT(Cockpit!$O$5,1)="B",AU1337,MAX(AU1337,G1337))))</f>
        <v/>
      </c>
      <c r="AR1337" s="55">
        <f>IF(BO1337=1,0,ROUNDUP(AQ1337/BN1337,0))</f>
        <v/>
      </c>
      <c r="AS1337" s="64">
        <f>IF(BO1337=1,IF(AQ1337&lt;=0,0,BP1337*MAX(1,IF(G1337&gt;0,AQ1337/G1337,1))),AR1337*Q1337)</f>
        <v/>
      </c>
      <c r="AT1337" s="55">
        <f>AQ1337*F1337</f>
        <v/>
      </c>
      <c r="AU1337" s="55">
        <f>ROUNDUP(MAX(I1337/IF(BS1337&gt;0,BS1337,MAX(0.1,N(Cockpit!$O$6))),BV1337)/BN1337,0)*BN1337</f>
        <v/>
      </c>
      <c r="AV1337" s="56">
        <f>IF(AS1337&gt;0,I1337/AS1337,-1)</f>
        <v/>
      </c>
      <c r="AW1337" s="56">
        <f>IF(AND(OR(BR1337="L1",BR1337="L23"),AS1337&gt;0),SUMIFS($AS$7:$AS$1570,$BR$7:$BR$1570,BR1337,$AV$7:$AV$1570,"&gt;"&amp;AV1337)+SUMIFS($AS$7:$AS$1570,$BR$7:$BR$1570,BR1337,$AV$7:$AV$1570,AV1337,$BL$7:$BL$1570,"&lt;="&amp;BL1337),"")</f>
        <v/>
      </c>
      <c r="AX1337" s="65">
        <f>IF(AW1337="",0,MAX(0,MIN(1,(IF(BR1337="L1",Parameter!$K$5,Parameter!$K$6+Parameter!$K$7)-(AW1337-AS1337))/AS1337)))</f>
        <v/>
      </c>
      <c r="AY1337" s="53">
        <f>IF(AC1337&lt;=0,"",IF(BR1337="Aussen","Aussenlager",IF(BR1337="-","Nicht im Lift",IF(AH1337&gt;=1,"Lift",IF(AH1337&lt;=0,"Aussenlager","teilweise")))))</f>
        <v/>
      </c>
      <c r="AZ1337" s="53">
        <f>IF(AK1337&lt;=0,"",IF(BR1337="Aussen","Aussenlager",IF(BR1337="-","Nicht im Lift",IF(AP1337&gt;=1,"Lift",IF(AP1337&lt;=0,"Aussenlager","teilweise")))))</f>
        <v/>
      </c>
      <c r="BA1337" s="53">
        <f>IF(AS1337&lt;=0,"",IF(BR1337="Aussen","Aussenlager",IF(BR1337="-","Nicht im Lift",IF(AX1337&gt;=1,"Lift",IF(AX1337&lt;=0,"Aussenlager","teilweise")))))</f>
        <v/>
      </c>
      <c r="BB1337" s="53">
        <f>IF(A1337="","",IF(BK1337=1,"Neu; ","")&amp;IF(AND(BK1337=0,BF1337&lt;0),"negativer Bestand (Export "&amp;BF1337&amp;"); ","")&amp;IF(I1337&lt;=0,"Kein Verbrauch; ","")&amp;IF(BO1337=1,"Lose – Fläche geschätzt; ","")&amp;IF(G1337&gt;AM1337,"Überbestand "&amp;ROUND(G1337-AM1337,0)&amp;" Stk / CHF "&amp;ROUND((G1337-AM1337)*F1337,0)&amp;"; ","")&amp;IF(AND(BT1337=1,BU1337&lt;BV1337),"MAX &lt; MB+LG; ","")&amp;IF(AND(BZ1337&gt;0,BY1337*10&gt;BZ1337),"zu hoch für Tablar; ","")&amp;IF(AND(BK1337=0,OR(BT1337=1,V1337&lt;&gt;"",S1337&lt;&gt;"",T1337&lt;&gt;"",W1337&lt;&gt;"")),"manuell übersteuert; ","")&amp;IF(AND(BO1337=0,Q1337=0),"Gebinde unbekannt; ","")&amp;IF(AND(BO1337=0,N(T1337)&lt;=0,N(P1337)&lt;=0),"Menge pro Gebinde fehlt (Ist = 1 Gebinde); ","")&amp;BJ1337)</f>
        <v/>
      </c>
      <c r="BC1337" s="53" t="n"/>
      <c r="BD1337" s="53" t="n"/>
      <c r="BE1337" s="61" t="n"/>
      <c r="BF1337" s="55" t="n">
        <v>-104</v>
      </c>
      <c r="BG1337" s="55" t="n">
        <v>135</v>
      </c>
      <c r="BH1337" s="54" t="n">
        <v>-1654.64</v>
      </c>
      <c r="BI1337" s="55" t="n">
        <v>69</v>
      </c>
      <c r="BJ1337" s="53" t="inlineStr"/>
      <c r="BK1337" s="58" t="n">
        <v>0</v>
      </c>
      <c r="BL1337" s="58" t="n">
        <v>1337</v>
      </c>
      <c r="BM1337" s="53">
        <f>IF(S1337&lt;&gt;"",UPPER(TRIM(S1337)),IF(O1337="","LOSE",O1337))</f>
        <v/>
      </c>
      <c r="BN1337" s="55">
        <f>IF(BM1337="LOSE",1,IF(N(T1337)&gt;0,T1337,IF(N(P1337)&gt;0,P1337,MAX(1,G1337))))</f>
        <v/>
      </c>
      <c r="BO1337" s="58">
        <f>IF(BM1337="LOSE",1,0)</f>
        <v/>
      </c>
      <c r="BP1337" s="64">
        <f>IF(BO1337=0,0,IF(N(R1337)&gt;0,R1337,IFERROR(VLOOKUP(D1337,Parameter!$A$35:$C$64,3,0)+0,0)))</f>
        <v/>
      </c>
      <c r="BQ1337" s="53">
        <f>IF(V1337&lt;&gt;"",V1337,U1337)</f>
        <v/>
      </c>
      <c r="BR1337" s="53">
        <f>IF(BQ1337=1,"L1",IF(OR(BQ1337=2,BQ1337=3),"L23",IF(BQ1337="Aussen","Aussen","-")))</f>
        <v/>
      </c>
      <c r="BS1337" s="66">
        <f>IF(N(W1337)&gt;0,W1337,0)</f>
        <v/>
      </c>
      <c r="BT1337" s="58">
        <f>IF(ISNUMBER(Z1337),1,0)</f>
        <v/>
      </c>
      <c r="BU1337" s="55">
        <f>N(Z1337)</f>
        <v/>
      </c>
      <c r="BV1337" s="55">
        <f>N(L1337)+N(M1337)</f>
        <v/>
      </c>
      <c r="BW1337" s="55">
        <f>ROUNDUP(G1337/BN1337,0)</f>
        <v/>
      </c>
      <c r="BX1337" s="55">
        <f>ROUNDUP(BU1337/BN1337,0)</f>
        <v/>
      </c>
      <c r="BY1337" s="58">
        <f>IF(BO1337=1,0,IFERROR(VLOOKUP(BM1337,'Gebinde-Kategorie'!$A$5:$G$45,5,0)+0,0))</f>
        <v/>
      </c>
      <c r="BZ1337" s="58">
        <f>IFERROR(IF(OR(BQ1337=1,BQ1337=2,BQ1337=3),N(INDEX(Parameter!$I$5:$I$7,BQ1337)),0),0)</f>
        <v/>
      </c>
    </row>
    <row r="1338">
      <c r="A1338" s="53" t="inlineStr">
        <is>
          <t>110021</t>
        </is>
      </c>
      <c r="B1338" s="53" t="inlineStr">
        <is>
          <t>Temperatursensor PT100</t>
        </is>
      </c>
      <c r="C1338" s="53" t="inlineStr">
        <is>
          <t>F</t>
        </is>
      </c>
      <c r="D1338" s="53" t="inlineStr">
        <is>
          <t>KTL</t>
        </is>
      </c>
      <c r="E1338" s="53" t="inlineStr">
        <is>
          <t>C</t>
        </is>
      </c>
      <c r="F1338" s="54" t="n">
        <v>84.95999999999999</v>
      </c>
      <c r="G1338" s="55">
        <f>MAX(0,IF(Parameter!$B$20="Jahresanfang 2025 + Export",BG1338+BF1338,BF1338))</f>
        <v/>
      </c>
      <c r="H1338" s="55">
        <f>G1338*F1338</f>
        <v/>
      </c>
      <c r="I1338" s="55">
        <f>BI1338*Parameter!$B$18</f>
        <v/>
      </c>
      <c r="J1338" s="56" t="n">
        <v>38</v>
      </c>
      <c r="K1338" s="57" t="n">
        <v>5.052631578947368</v>
      </c>
      <c r="L1338" s="55" t="n">
        <v>10</v>
      </c>
      <c r="M1338" s="55" t="n">
        <v>60</v>
      </c>
      <c r="N1338" s="58" t="n">
        <v>14</v>
      </c>
      <c r="O1338" s="53" t="inlineStr">
        <is>
          <t>S62</t>
        </is>
      </c>
      <c r="P1338" s="55" t="n">
        <v>100</v>
      </c>
      <c r="Q1338" s="59">
        <f>IF(BO1338=1,0,IFERROR(VLOOKUP(BM1338,'Gebinde-Kategorie'!$A$5:$G$45,6,0)+0,0))</f>
        <v/>
      </c>
      <c r="R1338" s="60" t="n"/>
      <c r="S1338" s="61" t="n"/>
      <c r="T1338" s="61" t="n"/>
      <c r="U1338" s="53">
        <f>IF(A1338="","",IF(IFERROR(VLOOKUP(D1338,Parameter!$A$35:$C$64,2,0),"Nein")="2+3",IF(ISNUMBER(SEARCH("grosser Artikel",BJ1338)),2,IFERROR(VLOOKUP(BM1338,Parameter!$F$35:$G$64,2,0),2)),IF(OR(IFERROR(VLOOKUP(D1338,Parameter!$A$35:$C$64,2,0),"Nein")="Nein",IFERROR(VLOOKUP(D1338,Parameter!$A$35:$C$64,2,0),"Nein")=""),"-",VLOOKUP(D1338,Parameter!$A$35:$C$64,2,0))))</f>
        <v/>
      </c>
      <c r="V1338" s="61" t="n"/>
      <c r="W1338" s="62" t="n"/>
      <c r="X1338" s="55">
        <f>AM1338</f>
        <v/>
      </c>
      <c r="Y1338" s="55">
        <f>MAX(AM1338,G1338)</f>
        <v/>
      </c>
      <c r="Z1338" s="63" t="n"/>
      <c r="AA1338" s="55">
        <f>IF(LEFT(Cockpit!$C$5,1)="A",G1338,IF(BT1338=1,BU1338,IF(LEFT(Cockpit!$C$5,1)="B",AE1338,MAX(AE1338,G1338))))</f>
        <v/>
      </c>
      <c r="AB1338" s="55">
        <f>IF(BO1338=1,0,ROUNDUP(AA1338/BN1338,0))</f>
        <v/>
      </c>
      <c r="AC1338" s="64">
        <f>IF(BO1338=1,IF(AA1338&lt;=0,0,BP1338*MAX(1,IF(G1338&gt;0,AA1338/G1338,1))),AB1338*Q1338)</f>
        <v/>
      </c>
      <c r="AD1338" s="55">
        <f>AA1338*F1338</f>
        <v/>
      </c>
      <c r="AE1338" s="55">
        <f>ROUNDUP(MAX(I1338/IF(BS1338&gt;0,BS1338,MAX(0.1,N(Cockpit!$C$6))),BV1338)/BN1338,0)*BN1338</f>
        <v/>
      </c>
      <c r="AF1338" s="56">
        <f>IF(AC1338&gt;0,I1338/AC1338,-1)</f>
        <v/>
      </c>
      <c r="AG1338" s="56">
        <f>IF(AND(OR(BR1338="L1",BR1338="L23"),AC1338&gt;0),SUMIFS($AC$7:$AC$1570,$BR$7:$BR$1570,BR1338,$AF$7:$AF$1570,"&gt;"&amp;AF1338)+SUMIFS($AC$7:$AC$1570,$BR$7:$BR$1570,BR1338,$AF$7:$AF$1570,AF1338,$BL$7:$BL$1570,"&lt;="&amp;BL1338),"")</f>
        <v/>
      </c>
      <c r="AH1338" s="65">
        <f>IF(AG1338="",0,MAX(0,MIN(1,(IF(BR1338="L1",Parameter!$K$5,Parameter!$K$6+Parameter!$K$7)-(AG1338-AC1338))/AC1338)))</f>
        <v/>
      </c>
      <c r="AI1338" s="55">
        <f>IF(LEFT(Cockpit!$I$5,1)="A",G1338,IF(BT1338=1,BU1338,IF(LEFT(Cockpit!$I$5,1)="B",AM1338,MAX(AM1338,G1338))))</f>
        <v/>
      </c>
      <c r="AJ1338" s="55">
        <f>IF(BO1338=1,0,ROUNDUP(AI1338/BN1338,0))</f>
        <v/>
      </c>
      <c r="AK1338" s="64">
        <f>IF(BO1338=1,IF(AI1338&lt;=0,0,BP1338*MAX(1,IF(G1338&gt;0,AI1338/G1338,1))),AJ1338*Q1338)</f>
        <v/>
      </c>
      <c r="AL1338" s="55">
        <f>AI1338*F1338</f>
        <v/>
      </c>
      <c r="AM1338" s="55">
        <f>ROUNDUP(MAX(I1338/IF(BS1338&gt;0,BS1338,MAX(0.1,N(Cockpit!$I$6))),BV1338)/BN1338,0)*BN1338</f>
        <v/>
      </c>
      <c r="AN1338" s="56">
        <f>IF(AK1338&gt;0,I1338/AK1338,-1)</f>
        <v/>
      </c>
      <c r="AO1338" s="56">
        <f>IF(AND(OR(BR1338="L1",BR1338="L23"),AK1338&gt;0),SUMIFS($AK$7:$AK$1570,$BR$7:$BR$1570,BR1338,$AN$7:$AN$1570,"&gt;"&amp;AN1338)+SUMIFS($AK$7:$AK$1570,$BR$7:$BR$1570,BR1338,$AN$7:$AN$1570,AN1338,$BL$7:$BL$1570,"&lt;="&amp;BL1338),"")</f>
        <v/>
      </c>
      <c r="AP1338" s="65">
        <f>IF(AO1338="",0,MAX(0,MIN(1,(IF(BR1338="L1",Parameter!$K$5,Parameter!$K$6+Parameter!$K$7)-(AO1338-AK1338))/AK1338)))</f>
        <v/>
      </c>
      <c r="AQ1338" s="55">
        <f>IF(LEFT(Cockpit!$O$5,1)="A",G1338,IF(BT1338=1,BU1338,IF(LEFT(Cockpit!$O$5,1)="B",AU1338,MAX(AU1338,G1338))))</f>
        <v/>
      </c>
      <c r="AR1338" s="55">
        <f>IF(BO1338=1,0,ROUNDUP(AQ1338/BN1338,0))</f>
        <v/>
      </c>
      <c r="AS1338" s="64">
        <f>IF(BO1338=1,IF(AQ1338&lt;=0,0,BP1338*MAX(1,IF(G1338&gt;0,AQ1338/G1338,1))),AR1338*Q1338)</f>
        <v/>
      </c>
      <c r="AT1338" s="55">
        <f>AQ1338*F1338</f>
        <v/>
      </c>
      <c r="AU1338" s="55">
        <f>ROUNDUP(MAX(I1338/IF(BS1338&gt;0,BS1338,MAX(0.1,N(Cockpit!$O$6))),BV1338)/BN1338,0)*BN1338</f>
        <v/>
      </c>
      <c r="AV1338" s="56">
        <f>IF(AS1338&gt;0,I1338/AS1338,-1)</f>
        <v/>
      </c>
      <c r="AW1338" s="56">
        <f>IF(AND(OR(BR1338="L1",BR1338="L23"),AS1338&gt;0),SUMIFS($AS$7:$AS$1570,$BR$7:$BR$1570,BR1338,$AV$7:$AV$1570,"&gt;"&amp;AV1338)+SUMIFS($AS$7:$AS$1570,$BR$7:$BR$1570,BR1338,$AV$7:$AV$1570,AV1338,$BL$7:$BL$1570,"&lt;="&amp;BL1338),"")</f>
        <v/>
      </c>
      <c r="AX1338" s="65">
        <f>IF(AW1338="",0,MAX(0,MIN(1,(IF(BR1338="L1",Parameter!$K$5,Parameter!$K$6+Parameter!$K$7)-(AW1338-AS1338))/AS1338)))</f>
        <v/>
      </c>
      <c r="AY1338" s="53">
        <f>IF(AC1338&lt;=0,"",IF(BR1338="Aussen","Aussenlager",IF(BR1338="-","Nicht im Lift",IF(AH1338&gt;=1,"Lift",IF(AH1338&lt;=0,"Aussenlager","teilweise")))))</f>
        <v/>
      </c>
      <c r="AZ1338" s="53">
        <f>IF(AK1338&lt;=0,"",IF(BR1338="Aussen","Aussenlager",IF(BR1338="-","Nicht im Lift",IF(AP1338&gt;=1,"Lift",IF(AP1338&lt;=0,"Aussenlager","teilweise")))))</f>
        <v/>
      </c>
      <c r="BA1338" s="53">
        <f>IF(AS1338&lt;=0,"",IF(BR1338="Aussen","Aussenlager",IF(BR1338="-","Nicht im Lift",IF(AX1338&gt;=1,"Lift",IF(AX1338&lt;=0,"Aussenlager","teilweise")))))</f>
        <v/>
      </c>
      <c r="BB1338" s="53">
        <f>IF(A1338="","",IF(BK1338=1,"Neu; ","")&amp;IF(AND(BK1338=0,BF1338&lt;0),"negativer Bestand (Export "&amp;BF1338&amp;"); ","")&amp;IF(I1338&lt;=0,"Kein Verbrauch; ","")&amp;IF(BO1338=1,"Lose – Fläche geschätzt; ","")&amp;IF(G1338&gt;AM1338,"Überbestand "&amp;ROUND(G1338-AM1338,0)&amp;" Stk / CHF "&amp;ROUND((G1338-AM1338)*F1338,0)&amp;"; ","")&amp;IF(AND(BT1338=1,BU1338&lt;BV1338),"MAX &lt; MB+LG; ","")&amp;IF(AND(BZ1338&gt;0,BY1338*10&gt;BZ1338),"zu hoch für Tablar; ","")&amp;IF(AND(BK1338=0,OR(BT1338=1,V1338&lt;&gt;"",S1338&lt;&gt;"",T1338&lt;&gt;"",W1338&lt;&gt;"")),"manuell übersteuert; ","")&amp;IF(AND(BO1338=0,Q1338=0),"Gebinde unbekannt; ","")&amp;IF(AND(BO1338=0,N(T1338)&lt;=0,N(P1338)&lt;=0),"Menge pro Gebinde fehlt (Ist = 1 Gebinde); ","")&amp;BJ1338)</f>
        <v/>
      </c>
      <c r="BC1338" s="53" t="n"/>
      <c r="BD1338" s="53" t="n"/>
      <c r="BE1338" s="61" t="n"/>
      <c r="BF1338" s="55" t="n">
        <v>10</v>
      </c>
      <c r="BG1338" s="55" t="n">
        <v>38</v>
      </c>
      <c r="BH1338" s="54" t="n">
        <v>-1696.370000000006</v>
      </c>
      <c r="BI1338" s="55" t="n">
        <v>192</v>
      </c>
      <c r="BJ1338" s="53" t="inlineStr"/>
      <c r="BK1338" s="58" t="n">
        <v>0</v>
      </c>
      <c r="BL1338" s="58" t="n">
        <v>1338</v>
      </c>
      <c r="BM1338" s="53">
        <f>IF(S1338&lt;&gt;"",UPPER(TRIM(S1338)),IF(O1338="","LOSE",O1338))</f>
        <v/>
      </c>
      <c r="BN1338" s="55">
        <f>IF(BM1338="LOSE",1,IF(N(T1338)&gt;0,T1338,IF(N(P1338)&gt;0,P1338,MAX(1,G1338))))</f>
        <v/>
      </c>
      <c r="BO1338" s="58">
        <f>IF(BM1338="LOSE",1,0)</f>
        <v/>
      </c>
      <c r="BP1338" s="64">
        <f>IF(BO1338=0,0,IF(N(R1338)&gt;0,R1338,IFERROR(VLOOKUP(D1338,Parameter!$A$35:$C$64,3,0)+0,0)))</f>
        <v/>
      </c>
      <c r="BQ1338" s="53">
        <f>IF(V1338&lt;&gt;"",V1338,U1338)</f>
        <v/>
      </c>
      <c r="BR1338" s="53">
        <f>IF(BQ1338=1,"L1",IF(OR(BQ1338=2,BQ1338=3),"L23",IF(BQ1338="Aussen","Aussen","-")))</f>
        <v/>
      </c>
      <c r="BS1338" s="66">
        <f>IF(N(W1338)&gt;0,W1338,0)</f>
        <v/>
      </c>
      <c r="BT1338" s="58">
        <f>IF(ISNUMBER(Z1338),1,0)</f>
        <v/>
      </c>
      <c r="BU1338" s="55">
        <f>N(Z1338)</f>
        <v/>
      </c>
      <c r="BV1338" s="55">
        <f>N(L1338)+N(M1338)</f>
        <v/>
      </c>
      <c r="BW1338" s="55">
        <f>ROUNDUP(G1338/BN1338,0)</f>
        <v/>
      </c>
      <c r="BX1338" s="55">
        <f>ROUNDUP(BU1338/BN1338,0)</f>
        <v/>
      </c>
      <c r="BY1338" s="58">
        <f>IF(BO1338=1,0,IFERROR(VLOOKUP(BM1338,'Gebinde-Kategorie'!$A$5:$G$45,5,0)+0,0))</f>
        <v/>
      </c>
      <c r="BZ1338" s="58">
        <f>IFERROR(IF(OR(BQ1338=1,BQ1338=2,BQ1338=3),N(INDEX(Parameter!$I$5:$I$7,BQ1338)),0),0)</f>
        <v/>
      </c>
    </row>
    <row r="1339">
      <c r="A1339" s="53" t="inlineStr">
        <is>
          <t>107091</t>
        </is>
      </c>
      <c r="B1339" s="53" t="inlineStr">
        <is>
          <t>Spezial Inbusschlüsseleinsatz</t>
        </is>
      </c>
      <c r="C1339" s="53" t="inlineStr">
        <is>
          <t>F</t>
        </is>
      </c>
      <c r="D1339" s="53" t="inlineStr">
        <is>
          <t>KTL</t>
        </is>
      </c>
      <c r="E1339" s="53" t="inlineStr">
        <is>
          <t>C</t>
        </is>
      </c>
      <c r="F1339" s="54" t="n">
        <v>90.06999999999999</v>
      </c>
      <c r="G1339" s="55">
        <f>MAX(0,IF(Parameter!$B$20="Jahresanfang 2025 + Export",BG1339+BF1339,BF1339))</f>
        <v/>
      </c>
      <c r="H1339" s="55">
        <f>G1339*F1339</f>
        <v/>
      </c>
      <c r="I1339" s="55">
        <f>BI1339*Parameter!$B$18</f>
        <v/>
      </c>
      <c r="J1339" s="56" t="n">
        <v>24</v>
      </c>
      <c r="K1339" s="57" t="n">
        <v>0.8333333333333334</v>
      </c>
      <c r="L1339" s="55" t="n">
        <v>7</v>
      </c>
      <c r="M1339" s="55" t="n">
        <v>50</v>
      </c>
      <c r="N1339" s="58" t="n">
        <v>126</v>
      </c>
      <c r="O1339" s="53" t="inlineStr">
        <is>
          <t>S41</t>
        </is>
      </c>
      <c r="P1339" s="55" t="n">
        <v>52</v>
      </c>
      <c r="Q1339" s="59">
        <f>IF(BO1339=1,0,IFERROR(VLOOKUP(BM1339,'Gebinde-Kategorie'!$A$5:$G$45,6,0)+0,0))</f>
        <v/>
      </c>
      <c r="R1339" s="60" t="n"/>
      <c r="S1339" s="61" t="n"/>
      <c r="T1339" s="61" t="n"/>
      <c r="U1339" s="53">
        <f>IF(A1339="","",IF(IFERROR(VLOOKUP(D1339,Parameter!$A$35:$C$64,2,0),"Nein")="2+3",IF(ISNUMBER(SEARCH("grosser Artikel",BJ1339)),2,IFERROR(VLOOKUP(BM1339,Parameter!$F$35:$G$64,2,0),2)),IF(OR(IFERROR(VLOOKUP(D1339,Parameter!$A$35:$C$64,2,0),"Nein")="Nein",IFERROR(VLOOKUP(D1339,Parameter!$A$35:$C$64,2,0),"Nein")=""),"-",VLOOKUP(D1339,Parameter!$A$35:$C$64,2,0))))</f>
        <v/>
      </c>
      <c r="V1339" s="61" t="n"/>
      <c r="W1339" s="62" t="n"/>
      <c r="X1339" s="55">
        <f>AM1339</f>
        <v/>
      </c>
      <c r="Y1339" s="55">
        <f>MAX(AM1339,G1339)</f>
        <v/>
      </c>
      <c r="Z1339" s="63" t="n"/>
      <c r="AA1339" s="55">
        <f>IF(LEFT(Cockpit!$C$5,1)="A",G1339,IF(BT1339=1,BU1339,IF(LEFT(Cockpit!$C$5,1)="B",AE1339,MAX(AE1339,G1339))))</f>
        <v/>
      </c>
      <c r="AB1339" s="55">
        <f>IF(BO1339=1,0,ROUNDUP(AA1339/BN1339,0))</f>
        <v/>
      </c>
      <c r="AC1339" s="64">
        <f>IF(BO1339=1,IF(AA1339&lt;=0,0,BP1339*MAX(1,IF(G1339&gt;0,AA1339/G1339,1))),AB1339*Q1339)</f>
        <v/>
      </c>
      <c r="AD1339" s="55">
        <f>AA1339*F1339</f>
        <v/>
      </c>
      <c r="AE1339" s="55">
        <f>ROUNDUP(MAX(I1339/IF(BS1339&gt;0,BS1339,MAX(0.1,N(Cockpit!$C$6))),BV1339)/BN1339,0)*BN1339</f>
        <v/>
      </c>
      <c r="AF1339" s="56">
        <f>IF(AC1339&gt;0,I1339/AC1339,-1)</f>
        <v/>
      </c>
      <c r="AG1339" s="56">
        <f>IF(AND(OR(BR1339="L1",BR1339="L23"),AC1339&gt;0),SUMIFS($AC$7:$AC$1570,$BR$7:$BR$1570,BR1339,$AF$7:$AF$1570,"&gt;"&amp;AF1339)+SUMIFS($AC$7:$AC$1570,$BR$7:$BR$1570,BR1339,$AF$7:$AF$1570,AF1339,$BL$7:$BL$1570,"&lt;="&amp;BL1339),"")</f>
        <v/>
      </c>
      <c r="AH1339" s="65">
        <f>IF(AG1339="",0,MAX(0,MIN(1,(IF(BR1339="L1",Parameter!$K$5,Parameter!$K$6+Parameter!$K$7)-(AG1339-AC1339))/AC1339)))</f>
        <v/>
      </c>
      <c r="AI1339" s="55">
        <f>IF(LEFT(Cockpit!$I$5,1)="A",G1339,IF(BT1339=1,BU1339,IF(LEFT(Cockpit!$I$5,1)="B",AM1339,MAX(AM1339,G1339))))</f>
        <v/>
      </c>
      <c r="AJ1339" s="55">
        <f>IF(BO1339=1,0,ROUNDUP(AI1339/BN1339,0))</f>
        <v/>
      </c>
      <c r="AK1339" s="64">
        <f>IF(BO1339=1,IF(AI1339&lt;=0,0,BP1339*MAX(1,IF(G1339&gt;0,AI1339/G1339,1))),AJ1339*Q1339)</f>
        <v/>
      </c>
      <c r="AL1339" s="55">
        <f>AI1339*F1339</f>
        <v/>
      </c>
      <c r="AM1339" s="55">
        <f>ROUNDUP(MAX(I1339/IF(BS1339&gt;0,BS1339,MAX(0.1,N(Cockpit!$I$6))),BV1339)/BN1339,0)*BN1339</f>
        <v/>
      </c>
      <c r="AN1339" s="56">
        <f>IF(AK1339&gt;0,I1339/AK1339,-1)</f>
        <v/>
      </c>
      <c r="AO1339" s="56">
        <f>IF(AND(OR(BR1339="L1",BR1339="L23"),AK1339&gt;0),SUMIFS($AK$7:$AK$1570,$BR$7:$BR$1570,BR1339,$AN$7:$AN$1570,"&gt;"&amp;AN1339)+SUMIFS($AK$7:$AK$1570,$BR$7:$BR$1570,BR1339,$AN$7:$AN$1570,AN1339,$BL$7:$BL$1570,"&lt;="&amp;BL1339),"")</f>
        <v/>
      </c>
      <c r="AP1339" s="65">
        <f>IF(AO1339="",0,MAX(0,MIN(1,(IF(BR1339="L1",Parameter!$K$5,Parameter!$K$6+Parameter!$K$7)-(AO1339-AK1339))/AK1339)))</f>
        <v/>
      </c>
      <c r="AQ1339" s="55">
        <f>IF(LEFT(Cockpit!$O$5,1)="A",G1339,IF(BT1339=1,BU1339,IF(LEFT(Cockpit!$O$5,1)="B",AU1339,MAX(AU1339,G1339))))</f>
        <v/>
      </c>
      <c r="AR1339" s="55">
        <f>IF(BO1339=1,0,ROUNDUP(AQ1339/BN1339,0))</f>
        <v/>
      </c>
      <c r="AS1339" s="64">
        <f>IF(BO1339=1,IF(AQ1339&lt;=0,0,BP1339*MAX(1,IF(G1339&gt;0,AQ1339/G1339,1))),AR1339*Q1339)</f>
        <v/>
      </c>
      <c r="AT1339" s="55">
        <f>AQ1339*F1339</f>
        <v/>
      </c>
      <c r="AU1339" s="55">
        <f>ROUNDUP(MAX(I1339/IF(BS1339&gt;0,BS1339,MAX(0.1,N(Cockpit!$O$6))),BV1339)/BN1339,0)*BN1339</f>
        <v/>
      </c>
      <c r="AV1339" s="56">
        <f>IF(AS1339&gt;0,I1339/AS1339,-1)</f>
        <v/>
      </c>
      <c r="AW1339" s="56">
        <f>IF(AND(OR(BR1339="L1",BR1339="L23"),AS1339&gt;0),SUMIFS($AS$7:$AS$1570,$BR$7:$BR$1570,BR1339,$AV$7:$AV$1570,"&gt;"&amp;AV1339)+SUMIFS($AS$7:$AS$1570,$BR$7:$BR$1570,BR1339,$AV$7:$AV$1570,AV1339,$BL$7:$BL$1570,"&lt;="&amp;BL1339),"")</f>
        <v/>
      </c>
      <c r="AX1339" s="65">
        <f>IF(AW1339="",0,MAX(0,MIN(1,(IF(BR1339="L1",Parameter!$K$5,Parameter!$K$6+Parameter!$K$7)-(AW1339-AS1339))/AS1339)))</f>
        <v/>
      </c>
      <c r="AY1339" s="53">
        <f>IF(AC1339&lt;=0,"",IF(BR1339="Aussen","Aussenlager",IF(BR1339="-","Nicht im Lift",IF(AH1339&gt;=1,"Lift",IF(AH1339&lt;=0,"Aussenlager","teilweise")))))</f>
        <v/>
      </c>
      <c r="AZ1339" s="53">
        <f>IF(AK1339&lt;=0,"",IF(BR1339="Aussen","Aussenlager",IF(BR1339="-","Nicht im Lift",IF(AP1339&gt;=1,"Lift",IF(AP1339&lt;=0,"Aussenlager","teilweise")))))</f>
        <v/>
      </c>
      <c r="BA1339" s="53">
        <f>IF(AS1339&lt;=0,"",IF(BR1339="Aussen","Aussenlager",IF(BR1339="-","Nicht im Lift",IF(AX1339&gt;=1,"Lift",IF(AX1339&lt;=0,"Aussenlager","teilweise")))))</f>
        <v/>
      </c>
      <c r="BB1339" s="53">
        <f>IF(A1339="","",IF(BK1339=1,"Neu; ","")&amp;IF(AND(BK1339=0,BF1339&lt;0),"negativer Bestand (Export "&amp;BF1339&amp;"); ","")&amp;IF(I1339&lt;=0,"Kein Verbrauch; ","")&amp;IF(BO1339=1,"Lose – Fläche geschätzt; ","")&amp;IF(G1339&gt;AM1339,"Überbestand "&amp;ROUND(G1339-AM1339,0)&amp;" Stk / CHF "&amp;ROUND((G1339-AM1339)*F1339,0)&amp;"; ","")&amp;IF(AND(BT1339=1,BU1339&lt;BV1339),"MAX &lt; MB+LG; ","")&amp;IF(AND(BZ1339&gt;0,BY1339*10&gt;BZ1339),"zu hoch für Tablar; ","")&amp;IF(AND(BK1339=0,OR(BT1339=1,V1339&lt;&gt;"",S1339&lt;&gt;"",T1339&lt;&gt;"",W1339&lt;&gt;"")),"manuell übersteuert; ","")&amp;IF(AND(BO1339=0,Q1339=0),"Gebinde unbekannt; ","")&amp;IF(AND(BO1339=0,N(T1339)&lt;=0,N(P1339)&lt;=0),"Menge pro Gebinde fehlt (Ist = 1 Gebinde); ","")&amp;BJ1339)</f>
        <v/>
      </c>
      <c r="BC1339" s="53" t="n"/>
      <c r="BD1339" s="53" t="n"/>
      <c r="BE1339" s="61" t="n"/>
      <c r="BF1339" s="55" t="n">
        <v>-15</v>
      </c>
      <c r="BG1339" s="55" t="n">
        <v>24</v>
      </c>
      <c r="BH1339" s="54" t="n">
        <v>-1726.410000000001</v>
      </c>
      <c r="BI1339" s="55" t="n">
        <v>20</v>
      </c>
      <c r="BJ1339" s="53" t="inlineStr"/>
      <c r="BK1339" s="58" t="n">
        <v>0</v>
      </c>
      <c r="BL1339" s="58" t="n">
        <v>1339</v>
      </c>
      <c r="BM1339" s="53">
        <f>IF(S1339&lt;&gt;"",UPPER(TRIM(S1339)),IF(O1339="","LOSE",O1339))</f>
        <v/>
      </c>
      <c r="BN1339" s="55">
        <f>IF(BM1339="LOSE",1,IF(N(T1339)&gt;0,T1339,IF(N(P1339)&gt;0,P1339,MAX(1,G1339))))</f>
        <v/>
      </c>
      <c r="BO1339" s="58">
        <f>IF(BM1339="LOSE",1,0)</f>
        <v/>
      </c>
      <c r="BP1339" s="64">
        <f>IF(BO1339=0,0,IF(N(R1339)&gt;0,R1339,IFERROR(VLOOKUP(D1339,Parameter!$A$35:$C$64,3,0)+0,0)))</f>
        <v/>
      </c>
      <c r="BQ1339" s="53">
        <f>IF(V1339&lt;&gt;"",V1339,U1339)</f>
        <v/>
      </c>
      <c r="BR1339" s="53">
        <f>IF(BQ1339=1,"L1",IF(OR(BQ1339=2,BQ1339=3),"L23",IF(BQ1339="Aussen","Aussen","-")))</f>
        <v/>
      </c>
      <c r="BS1339" s="66">
        <f>IF(N(W1339)&gt;0,W1339,0)</f>
        <v/>
      </c>
      <c r="BT1339" s="58">
        <f>IF(ISNUMBER(Z1339),1,0)</f>
        <v/>
      </c>
      <c r="BU1339" s="55">
        <f>N(Z1339)</f>
        <v/>
      </c>
      <c r="BV1339" s="55">
        <f>N(L1339)+N(M1339)</f>
        <v/>
      </c>
      <c r="BW1339" s="55">
        <f>ROUNDUP(G1339/BN1339,0)</f>
        <v/>
      </c>
      <c r="BX1339" s="55">
        <f>ROUNDUP(BU1339/BN1339,0)</f>
        <v/>
      </c>
      <c r="BY1339" s="58">
        <f>IF(BO1339=1,0,IFERROR(VLOOKUP(BM1339,'Gebinde-Kategorie'!$A$5:$G$45,5,0)+0,0))</f>
        <v/>
      </c>
      <c r="BZ1339" s="58">
        <f>IFERROR(IF(OR(BQ1339=1,BQ1339=2,BQ1339=3),N(INDEX(Parameter!$I$5:$I$7,BQ1339)),0),0)</f>
        <v/>
      </c>
    </row>
    <row r="1340">
      <c r="A1340" s="53" t="inlineStr">
        <is>
          <t>106176</t>
        </is>
      </c>
      <c r="B1340" s="53" t="inlineStr">
        <is>
          <t>Ventilsitzgehäuse SPGr10</t>
        </is>
      </c>
      <c r="C1340" s="53" t="inlineStr">
        <is>
          <t>F</t>
        </is>
      </c>
      <c r="D1340" s="53" t="inlineStr">
        <is>
          <t>LIFT1</t>
        </is>
      </c>
      <c r="E1340" s="53" t="inlineStr">
        <is>
          <t>C</t>
        </is>
      </c>
      <c r="F1340" s="54" t="n">
        <v>2313.78</v>
      </c>
      <c r="G1340" s="55">
        <f>MAX(0,IF(Parameter!$B$20="Jahresanfang 2025 + Export",BG1340+BF1340,BF1340))</f>
        <v/>
      </c>
      <c r="H1340" s="55">
        <f>G1340*F1340</f>
        <v/>
      </c>
      <c r="I1340" s="55">
        <f>BI1340*Parameter!$B$18</f>
        <v/>
      </c>
      <c r="J1340" s="56" t="n">
        <v>28</v>
      </c>
      <c r="K1340" s="57" t="n">
        <v>1.035714285714286</v>
      </c>
      <c r="L1340" s="55" t="n">
        <v>3</v>
      </c>
      <c r="M1340" s="55" t="n">
        <v>10</v>
      </c>
      <c r="N1340" s="58" t="n">
        <v>21</v>
      </c>
      <c r="O1340" s="53" t="inlineStr">
        <is>
          <t>LOSE</t>
        </is>
      </c>
      <c r="P1340" s="55" t="n"/>
      <c r="Q1340" s="59">
        <f>IF(BO1340=1,0,IFERROR(VLOOKUP(BM1340,'Gebinde-Kategorie'!$A$5:$G$45,6,0)+0,0))</f>
        <v/>
      </c>
      <c r="R1340" s="60" t="n"/>
      <c r="S1340" s="61" t="n"/>
      <c r="T1340" s="61" t="n"/>
      <c r="U1340" s="53">
        <f>IF(A1340="","",IF(IFERROR(VLOOKUP(D1340,Parameter!$A$35:$C$64,2,0),"Nein")="2+3",IF(ISNUMBER(SEARCH("grosser Artikel",BJ1340)),2,IFERROR(VLOOKUP(BM1340,Parameter!$F$35:$G$64,2,0),2)),IF(OR(IFERROR(VLOOKUP(D1340,Parameter!$A$35:$C$64,2,0),"Nein")="Nein",IFERROR(VLOOKUP(D1340,Parameter!$A$35:$C$64,2,0),"Nein")=""),"-",VLOOKUP(D1340,Parameter!$A$35:$C$64,2,0))))</f>
        <v/>
      </c>
      <c r="V1340" s="61" t="n"/>
      <c r="W1340" s="62" t="n"/>
      <c r="X1340" s="55">
        <f>AM1340</f>
        <v/>
      </c>
      <c r="Y1340" s="55">
        <f>MAX(AM1340,G1340)</f>
        <v/>
      </c>
      <c r="Z1340" s="63" t="n"/>
      <c r="AA1340" s="55">
        <f>IF(LEFT(Cockpit!$C$5,1)="A",G1340,IF(BT1340=1,BU1340,IF(LEFT(Cockpit!$C$5,1)="B",AE1340,MAX(AE1340,G1340))))</f>
        <v/>
      </c>
      <c r="AB1340" s="55">
        <f>IF(BO1340=1,0,ROUNDUP(AA1340/BN1340,0))</f>
        <v/>
      </c>
      <c r="AC1340" s="64">
        <f>IF(BO1340=1,IF(AA1340&lt;=0,0,BP1340*MAX(1,IF(G1340&gt;0,AA1340/G1340,1))),AB1340*Q1340)</f>
        <v/>
      </c>
      <c r="AD1340" s="55">
        <f>AA1340*F1340</f>
        <v/>
      </c>
      <c r="AE1340" s="55">
        <f>ROUNDUP(MAX(I1340/IF(BS1340&gt;0,BS1340,MAX(0.1,N(Cockpit!$C$6))),BV1340)/BN1340,0)*BN1340</f>
        <v/>
      </c>
      <c r="AF1340" s="56">
        <f>IF(AC1340&gt;0,I1340/AC1340,-1)</f>
        <v/>
      </c>
      <c r="AG1340" s="56">
        <f>IF(AND(OR(BR1340="L1",BR1340="L23"),AC1340&gt;0),SUMIFS($AC$7:$AC$1570,$BR$7:$BR$1570,BR1340,$AF$7:$AF$1570,"&gt;"&amp;AF1340)+SUMIFS($AC$7:$AC$1570,$BR$7:$BR$1570,BR1340,$AF$7:$AF$1570,AF1340,$BL$7:$BL$1570,"&lt;="&amp;BL1340),"")</f>
        <v/>
      </c>
      <c r="AH1340" s="65">
        <f>IF(AG1340="",0,MAX(0,MIN(1,(IF(BR1340="L1",Parameter!$K$5,Parameter!$K$6+Parameter!$K$7)-(AG1340-AC1340))/AC1340)))</f>
        <v/>
      </c>
      <c r="AI1340" s="55">
        <f>IF(LEFT(Cockpit!$I$5,1)="A",G1340,IF(BT1340=1,BU1340,IF(LEFT(Cockpit!$I$5,1)="B",AM1340,MAX(AM1340,G1340))))</f>
        <v/>
      </c>
      <c r="AJ1340" s="55">
        <f>IF(BO1340=1,0,ROUNDUP(AI1340/BN1340,0))</f>
        <v/>
      </c>
      <c r="AK1340" s="64">
        <f>IF(BO1340=1,IF(AI1340&lt;=0,0,BP1340*MAX(1,IF(G1340&gt;0,AI1340/G1340,1))),AJ1340*Q1340)</f>
        <v/>
      </c>
      <c r="AL1340" s="55">
        <f>AI1340*F1340</f>
        <v/>
      </c>
      <c r="AM1340" s="55">
        <f>ROUNDUP(MAX(I1340/IF(BS1340&gt;0,BS1340,MAX(0.1,N(Cockpit!$I$6))),BV1340)/BN1340,0)*BN1340</f>
        <v/>
      </c>
      <c r="AN1340" s="56">
        <f>IF(AK1340&gt;0,I1340/AK1340,-1)</f>
        <v/>
      </c>
      <c r="AO1340" s="56">
        <f>IF(AND(OR(BR1340="L1",BR1340="L23"),AK1340&gt;0),SUMIFS($AK$7:$AK$1570,$BR$7:$BR$1570,BR1340,$AN$7:$AN$1570,"&gt;"&amp;AN1340)+SUMIFS($AK$7:$AK$1570,$BR$7:$BR$1570,BR1340,$AN$7:$AN$1570,AN1340,$BL$7:$BL$1570,"&lt;="&amp;BL1340),"")</f>
        <v/>
      </c>
      <c r="AP1340" s="65">
        <f>IF(AO1340="",0,MAX(0,MIN(1,(IF(BR1340="L1",Parameter!$K$5,Parameter!$K$6+Parameter!$K$7)-(AO1340-AK1340))/AK1340)))</f>
        <v/>
      </c>
      <c r="AQ1340" s="55">
        <f>IF(LEFT(Cockpit!$O$5,1)="A",G1340,IF(BT1340=1,BU1340,IF(LEFT(Cockpit!$O$5,1)="B",AU1340,MAX(AU1340,G1340))))</f>
        <v/>
      </c>
      <c r="AR1340" s="55">
        <f>IF(BO1340=1,0,ROUNDUP(AQ1340/BN1340,0))</f>
        <v/>
      </c>
      <c r="AS1340" s="64">
        <f>IF(BO1340=1,IF(AQ1340&lt;=0,0,BP1340*MAX(1,IF(G1340&gt;0,AQ1340/G1340,1))),AR1340*Q1340)</f>
        <v/>
      </c>
      <c r="AT1340" s="55">
        <f>AQ1340*F1340</f>
        <v/>
      </c>
      <c r="AU1340" s="55">
        <f>ROUNDUP(MAX(I1340/IF(BS1340&gt;0,BS1340,MAX(0.1,N(Cockpit!$O$6))),BV1340)/BN1340,0)*BN1340</f>
        <v/>
      </c>
      <c r="AV1340" s="56">
        <f>IF(AS1340&gt;0,I1340/AS1340,-1)</f>
        <v/>
      </c>
      <c r="AW1340" s="56">
        <f>IF(AND(OR(BR1340="L1",BR1340="L23"),AS1340&gt;0),SUMIFS($AS$7:$AS$1570,$BR$7:$BR$1570,BR1340,$AV$7:$AV$1570,"&gt;"&amp;AV1340)+SUMIFS($AS$7:$AS$1570,$BR$7:$BR$1570,BR1340,$AV$7:$AV$1570,AV1340,$BL$7:$BL$1570,"&lt;="&amp;BL1340),"")</f>
        <v/>
      </c>
      <c r="AX1340" s="65">
        <f>IF(AW1340="",0,MAX(0,MIN(1,(IF(BR1340="L1",Parameter!$K$5,Parameter!$K$6+Parameter!$K$7)-(AW1340-AS1340))/AS1340)))</f>
        <v/>
      </c>
      <c r="AY1340" s="53">
        <f>IF(AC1340&lt;=0,"",IF(BR1340="Aussen","Aussenlager",IF(BR1340="-","Nicht im Lift",IF(AH1340&gt;=1,"Lift",IF(AH1340&lt;=0,"Aussenlager","teilweise")))))</f>
        <v/>
      </c>
      <c r="AZ1340" s="53">
        <f>IF(AK1340&lt;=0,"",IF(BR1340="Aussen","Aussenlager",IF(BR1340="-","Nicht im Lift",IF(AP1340&gt;=1,"Lift",IF(AP1340&lt;=0,"Aussenlager","teilweise")))))</f>
        <v/>
      </c>
      <c r="BA1340" s="53">
        <f>IF(AS1340&lt;=0,"",IF(BR1340="Aussen","Aussenlager",IF(BR1340="-","Nicht im Lift",IF(AX1340&gt;=1,"Lift",IF(AX1340&lt;=0,"Aussenlager","teilweise")))))</f>
        <v/>
      </c>
      <c r="BB1340" s="53">
        <f>IF(A1340="","",IF(BK1340=1,"Neu; ","")&amp;IF(AND(BK1340=0,BF1340&lt;0),"negativer Bestand (Export "&amp;BF1340&amp;"); ","")&amp;IF(I1340&lt;=0,"Kein Verbrauch; ","")&amp;IF(BO1340=1,"Lose – Fläche geschätzt; ","")&amp;IF(G1340&gt;AM1340,"Überbestand "&amp;ROUND(G1340-AM1340,0)&amp;" Stk / CHF "&amp;ROUND((G1340-AM1340)*F1340,0)&amp;"; ","")&amp;IF(AND(BT1340=1,BU1340&lt;BV1340),"MAX &lt; MB+LG; ","")&amp;IF(AND(BZ1340&gt;0,BY1340*10&gt;BZ1340),"zu hoch für Tablar; ","")&amp;IF(AND(BK1340=0,OR(BT1340=1,V1340&lt;&gt;"",S1340&lt;&gt;"",T1340&lt;&gt;"",W1340&lt;&gt;"")),"manuell übersteuert; ","")&amp;IF(AND(BO1340=0,Q1340=0),"Gebinde unbekannt; ","")&amp;IF(AND(BO1340=0,N(T1340)&lt;=0,N(P1340)&lt;=0),"Menge pro Gebinde fehlt (Ist = 1 Gebinde); ","")&amp;BJ1340)</f>
        <v/>
      </c>
      <c r="BC1340" s="53" t="n"/>
      <c r="BD1340" s="53" t="n"/>
      <c r="BE1340" s="61" t="n"/>
      <c r="BF1340" s="55" t="n">
        <v>0</v>
      </c>
      <c r="BG1340" s="55" t="n">
        <v>31</v>
      </c>
      <c r="BH1340" s="54" t="n">
        <v>-1735.110000000019</v>
      </c>
      <c r="BI1340" s="55" t="n">
        <v>29</v>
      </c>
      <c r="BJ1340" s="53" t="inlineStr">
        <is>
          <t>grosser Artikel &amp; nicht im KTL</t>
        </is>
      </c>
      <c r="BK1340" s="58" t="n">
        <v>0</v>
      </c>
      <c r="BL1340" s="58" t="n">
        <v>1340</v>
      </c>
      <c r="BM1340" s="53">
        <f>IF(S1340&lt;&gt;"",UPPER(TRIM(S1340)),IF(O1340="","LOSE",O1340))</f>
        <v/>
      </c>
      <c r="BN1340" s="55">
        <f>IF(BM1340="LOSE",1,IF(N(T1340)&gt;0,T1340,IF(N(P1340)&gt;0,P1340,MAX(1,G1340))))</f>
        <v/>
      </c>
      <c r="BO1340" s="58">
        <f>IF(BM1340="LOSE",1,0)</f>
        <v/>
      </c>
      <c r="BP1340" s="64">
        <f>IF(BO1340=0,0,IF(N(R1340)&gt;0,R1340,IFERROR(VLOOKUP(D1340,Parameter!$A$35:$C$64,3,0)+0,0)))</f>
        <v/>
      </c>
      <c r="BQ1340" s="53">
        <f>IF(V1340&lt;&gt;"",V1340,U1340)</f>
        <v/>
      </c>
      <c r="BR1340" s="53">
        <f>IF(BQ1340=1,"L1",IF(OR(BQ1340=2,BQ1340=3),"L23",IF(BQ1340="Aussen","Aussen","-")))</f>
        <v/>
      </c>
      <c r="BS1340" s="66">
        <f>IF(N(W1340)&gt;0,W1340,0)</f>
        <v/>
      </c>
      <c r="BT1340" s="58">
        <f>IF(ISNUMBER(Z1340),1,0)</f>
        <v/>
      </c>
      <c r="BU1340" s="55">
        <f>N(Z1340)</f>
        <v/>
      </c>
      <c r="BV1340" s="55">
        <f>N(L1340)+N(M1340)</f>
        <v/>
      </c>
      <c r="BW1340" s="55">
        <f>ROUNDUP(G1340/BN1340,0)</f>
        <v/>
      </c>
      <c r="BX1340" s="55">
        <f>ROUNDUP(BU1340/BN1340,0)</f>
        <v/>
      </c>
      <c r="BY1340" s="58">
        <f>IF(BO1340=1,0,IFERROR(VLOOKUP(BM1340,'Gebinde-Kategorie'!$A$5:$G$45,5,0)+0,0))</f>
        <v/>
      </c>
      <c r="BZ1340" s="58">
        <f>IFERROR(IF(OR(BQ1340=1,BQ1340=2,BQ1340=3),N(INDEX(Parameter!$I$5:$I$7,BQ1340)),0),0)</f>
        <v/>
      </c>
    </row>
    <row r="1341">
      <c r="A1341" s="53" t="inlineStr">
        <is>
          <t>105317</t>
        </is>
      </c>
      <c r="B1341" s="53" t="inlineStr">
        <is>
          <t>Stützring</t>
        </is>
      </c>
      <c r="C1341" s="53" t="inlineStr">
        <is>
          <t>F</t>
        </is>
      </c>
      <c r="D1341" s="53" t="inlineStr">
        <is>
          <t>KTL</t>
        </is>
      </c>
      <c r="E1341" s="53" t="inlineStr">
        <is>
          <t>C</t>
        </is>
      </c>
      <c r="F1341" s="54" t="n">
        <v>12.6</v>
      </c>
      <c r="G1341" s="55">
        <f>MAX(0,IF(Parameter!$B$20="Jahresanfang 2025 + Export",BG1341+BF1341,BF1341))</f>
        <v/>
      </c>
      <c r="H1341" s="55">
        <f>G1341*F1341</f>
        <v/>
      </c>
      <c r="I1341" s="55">
        <f>BI1341*Parameter!$B$18</f>
        <v/>
      </c>
      <c r="J1341" s="56" t="n">
        <v>182</v>
      </c>
      <c r="K1341" s="57" t="n">
        <v>2.752747252747253</v>
      </c>
      <c r="L1341" s="55" t="n">
        <v>10</v>
      </c>
      <c r="M1341" s="55" t="n">
        <v>200</v>
      </c>
      <c r="N1341" s="58" t="n">
        <v>7</v>
      </c>
      <c r="O1341" s="53" t="inlineStr">
        <is>
          <t>S52</t>
        </is>
      </c>
      <c r="P1341" s="55" t="n">
        <v>179</v>
      </c>
      <c r="Q1341" s="59">
        <f>IF(BO1341=1,0,IFERROR(VLOOKUP(BM1341,'Gebinde-Kategorie'!$A$5:$G$45,6,0)+0,0))</f>
        <v/>
      </c>
      <c r="R1341" s="60" t="n"/>
      <c r="S1341" s="61" t="n"/>
      <c r="T1341" s="61" t="n"/>
      <c r="U1341" s="53">
        <f>IF(A1341="","",IF(IFERROR(VLOOKUP(D1341,Parameter!$A$35:$C$64,2,0),"Nein")="2+3",IF(ISNUMBER(SEARCH("grosser Artikel",BJ1341)),2,IFERROR(VLOOKUP(BM1341,Parameter!$F$35:$G$64,2,0),2)),IF(OR(IFERROR(VLOOKUP(D1341,Parameter!$A$35:$C$64,2,0),"Nein")="Nein",IFERROR(VLOOKUP(D1341,Parameter!$A$35:$C$64,2,0),"Nein")=""),"-",VLOOKUP(D1341,Parameter!$A$35:$C$64,2,0))))</f>
        <v/>
      </c>
      <c r="V1341" s="61" t="n"/>
      <c r="W1341" s="62" t="n"/>
      <c r="X1341" s="55">
        <f>AM1341</f>
        <v/>
      </c>
      <c r="Y1341" s="55">
        <f>MAX(AM1341,G1341)</f>
        <v/>
      </c>
      <c r="Z1341" s="63" t="n"/>
      <c r="AA1341" s="55">
        <f>IF(LEFT(Cockpit!$C$5,1)="A",G1341,IF(BT1341=1,BU1341,IF(LEFT(Cockpit!$C$5,1)="B",AE1341,MAX(AE1341,G1341))))</f>
        <v/>
      </c>
      <c r="AB1341" s="55">
        <f>IF(BO1341=1,0,ROUNDUP(AA1341/BN1341,0))</f>
        <v/>
      </c>
      <c r="AC1341" s="64">
        <f>IF(BO1341=1,IF(AA1341&lt;=0,0,BP1341*MAX(1,IF(G1341&gt;0,AA1341/G1341,1))),AB1341*Q1341)</f>
        <v/>
      </c>
      <c r="AD1341" s="55">
        <f>AA1341*F1341</f>
        <v/>
      </c>
      <c r="AE1341" s="55">
        <f>ROUNDUP(MAX(I1341/IF(BS1341&gt;0,BS1341,MAX(0.1,N(Cockpit!$C$6))),BV1341)/BN1341,0)*BN1341</f>
        <v/>
      </c>
      <c r="AF1341" s="56">
        <f>IF(AC1341&gt;0,I1341/AC1341,-1)</f>
        <v/>
      </c>
      <c r="AG1341" s="56">
        <f>IF(AND(OR(BR1341="L1",BR1341="L23"),AC1341&gt;0),SUMIFS($AC$7:$AC$1570,$BR$7:$BR$1570,BR1341,$AF$7:$AF$1570,"&gt;"&amp;AF1341)+SUMIFS($AC$7:$AC$1570,$BR$7:$BR$1570,BR1341,$AF$7:$AF$1570,AF1341,$BL$7:$BL$1570,"&lt;="&amp;BL1341),"")</f>
        <v/>
      </c>
      <c r="AH1341" s="65">
        <f>IF(AG1341="",0,MAX(0,MIN(1,(IF(BR1341="L1",Parameter!$K$5,Parameter!$K$6+Parameter!$K$7)-(AG1341-AC1341))/AC1341)))</f>
        <v/>
      </c>
      <c r="AI1341" s="55">
        <f>IF(LEFT(Cockpit!$I$5,1)="A",G1341,IF(BT1341=1,BU1341,IF(LEFT(Cockpit!$I$5,1)="B",AM1341,MAX(AM1341,G1341))))</f>
        <v/>
      </c>
      <c r="AJ1341" s="55">
        <f>IF(BO1341=1,0,ROUNDUP(AI1341/BN1341,0))</f>
        <v/>
      </c>
      <c r="AK1341" s="64">
        <f>IF(BO1341=1,IF(AI1341&lt;=0,0,BP1341*MAX(1,IF(G1341&gt;0,AI1341/G1341,1))),AJ1341*Q1341)</f>
        <v/>
      </c>
      <c r="AL1341" s="55">
        <f>AI1341*F1341</f>
        <v/>
      </c>
      <c r="AM1341" s="55">
        <f>ROUNDUP(MAX(I1341/IF(BS1341&gt;0,BS1341,MAX(0.1,N(Cockpit!$I$6))),BV1341)/BN1341,0)*BN1341</f>
        <v/>
      </c>
      <c r="AN1341" s="56">
        <f>IF(AK1341&gt;0,I1341/AK1341,-1)</f>
        <v/>
      </c>
      <c r="AO1341" s="56">
        <f>IF(AND(OR(BR1341="L1",BR1341="L23"),AK1341&gt;0),SUMIFS($AK$7:$AK$1570,$BR$7:$BR$1570,BR1341,$AN$7:$AN$1570,"&gt;"&amp;AN1341)+SUMIFS($AK$7:$AK$1570,$BR$7:$BR$1570,BR1341,$AN$7:$AN$1570,AN1341,$BL$7:$BL$1570,"&lt;="&amp;BL1341),"")</f>
        <v/>
      </c>
      <c r="AP1341" s="65">
        <f>IF(AO1341="",0,MAX(0,MIN(1,(IF(BR1341="L1",Parameter!$K$5,Parameter!$K$6+Parameter!$K$7)-(AO1341-AK1341))/AK1341)))</f>
        <v/>
      </c>
      <c r="AQ1341" s="55">
        <f>IF(LEFT(Cockpit!$O$5,1)="A",G1341,IF(BT1341=1,BU1341,IF(LEFT(Cockpit!$O$5,1)="B",AU1341,MAX(AU1341,G1341))))</f>
        <v/>
      </c>
      <c r="AR1341" s="55">
        <f>IF(BO1341=1,0,ROUNDUP(AQ1341/BN1341,0))</f>
        <v/>
      </c>
      <c r="AS1341" s="64">
        <f>IF(BO1341=1,IF(AQ1341&lt;=0,0,BP1341*MAX(1,IF(G1341&gt;0,AQ1341/G1341,1))),AR1341*Q1341)</f>
        <v/>
      </c>
      <c r="AT1341" s="55">
        <f>AQ1341*F1341</f>
        <v/>
      </c>
      <c r="AU1341" s="55">
        <f>ROUNDUP(MAX(I1341/IF(BS1341&gt;0,BS1341,MAX(0.1,N(Cockpit!$O$6))),BV1341)/BN1341,0)*BN1341</f>
        <v/>
      </c>
      <c r="AV1341" s="56">
        <f>IF(AS1341&gt;0,I1341/AS1341,-1)</f>
        <v/>
      </c>
      <c r="AW1341" s="56">
        <f>IF(AND(OR(BR1341="L1",BR1341="L23"),AS1341&gt;0),SUMIFS($AS$7:$AS$1570,$BR$7:$BR$1570,BR1341,$AV$7:$AV$1570,"&gt;"&amp;AV1341)+SUMIFS($AS$7:$AS$1570,$BR$7:$BR$1570,BR1341,$AV$7:$AV$1570,AV1341,$BL$7:$BL$1570,"&lt;="&amp;BL1341),"")</f>
        <v/>
      </c>
      <c r="AX1341" s="65">
        <f>IF(AW1341="",0,MAX(0,MIN(1,(IF(BR1341="L1",Parameter!$K$5,Parameter!$K$6+Parameter!$K$7)-(AW1341-AS1341))/AS1341)))</f>
        <v/>
      </c>
      <c r="AY1341" s="53">
        <f>IF(AC1341&lt;=0,"",IF(BR1341="Aussen","Aussenlager",IF(BR1341="-","Nicht im Lift",IF(AH1341&gt;=1,"Lift",IF(AH1341&lt;=0,"Aussenlager","teilweise")))))</f>
        <v/>
      </c>
      <c r="AZ1341" s="53">
        <f>IF(AK1341&lt;=0,"",IF(BR1341="Aussen","Aussenlager",IF(BR1341="-","Nicht im Lift",IF(AP1341&gt;=1,"Lift",IF(AP1341&lt;=0,"Aussenlager","teilweise")))))</f>
        <v/>
      </c>
      <c r="BA1341" s="53">
        <f>IF(AS1341&lt;=0,"",IF(BR1341="Aussen","Aussenlager",IF(BR1341="-","Nicht im Lift",IF(AX1341&gt;=1,"Lift",IF(AX1341&lt;=0,"Aussenlager","teilweise")))))</f>
        <v/>
      </c>
      <c r="BB1341" s="53">
        <f>IF(A1341="","",IF(BK1341=1,"Neu; ","")&amp;IF(AND(BK1341=0,BF1341&lt;0),"negativer Bestand (Export "&amp;BF1341&amp;"); ","")&amp;IF(I1341&lt;=0,"Kein Verbrauch; ","")&amp;IF(BO1341=1,"Lose – Fläche geschätzt; ","")&amp;IF(G1341&gt;AM1341,"Überbestand "&amp;ROUND(G1341-AM1341,0)&amp;" Stk / CHF "&amp;ROUND((G1341-AM1341)*F1341,0)&amp;"; ","")&amp;IF(AND(BT1341=1,BU1341&lt;BV1341),"MAX &lt; MB+LG; ","")&amp;IF(AND(BZ1341&gt;0,BY1341*10&gt;BZ1341),"zu hoch für Tablar; ","")&amp;IF(AND(BK1341=0,OR(BT1341=1,V1341&lt;&gt;"",S1341&lt;&gt;"",T1341&lt;&gt;"",W1341&lt;&gt;"")),"manuell übersteuert; ","")&amp;IF(AND(BO1341=0,Q1341=0),"Gebinde unbekannt; ","")&amp;IF(AND(BO1341=0,N(T1341)&lt;=0,N(P1341)&lt;=0),"Menge pro Gebinde fehlt (Ist = 1 Gebinde); ","")&amp;BJ1341)</f>
        <v/>
      </c>
      <c r="BC1341" s="53" t="n"/>
      <c r="BD1341" s="53" t="n"/>
      <c r="BE1341" s="61" t="n"/>
      <c r="BF1341" s="55" t="n">
        <v>-136</v>
      </c>
      <c r="BG1341" s="55" t="n">
        <v>171</v>
      </c>
      <c r="BH1341" s="54" t="n">
        <v>-1772.05</v>
      </c>
      <c r="BI1341" s="55" t="n">
        <v>501</v>
      </c>
      <c r="BJ1341" s="53" t="inlineStr"/>
      <c r="BK1341" s="58" t="n">
        <v>0</v>
      </c>
      <c r="BL1341" s="58" t="n">
        <v>1341</v>
      </c>
      <c r="BM1341" s="53">
        <f>IF(S1341&lt;&gt;"",UPPER(TRIM(S1341)),IF(O1341="","LOSE",O1341))</f>
        <v/>
      </c>
      <c r="BN1341" s="55">
        <f>IF(BM1341="LOSE",1,IF(N(T1341)&gt;0,T1341,IF(N(P1341)&gt;0,P1341,MAX(1,G1341))))</f>
        <v/>
      </c>
      <c r="BO1341" s="58">
        <f>IF(BM1341="LOSE",1,0)</f>
        <v/>
      </c>
      <c r="BP1341" s="64">
        <f>IF(BO1341=0,0,IF(N(R1341)&gt;0,R1341,IFERROR(VLOOKUP(D1341,Parameter!$A$35:$C$64,3,0)+0,0)))</f>
        <v/>
      </c>
      <c r="BQ1341" s="53">
        <f>IF(V1341&lt;&gt;"",V1341,U1341)</f>
        <v/>
      </c>
      <c r="BR1341" s="53">
        <f>IF(BQ1341=1,"L1",IF(OR(BQ1341=2,BQ1341=3),"L23",IF(BQ1341="Aussen","Aussen","-")))</f>
        <v/>
      </c>
      <c r="BS1341" s="66">
        <f>IF(N(W1341)&gt;0,W1341,0)</f>
        <v/>
      </c>
      <c r="BT1341" s="58">
        <f>IF(ISNUMBER(Z1341),1,0)</f>
        <v/>
      </c>
      <c r="BU1341" s="55">
        <f>N(Z1341)</f>
        <v/>
      </c>
      <c r="BV1341" s="55">
        <f>N(L1341)+N(M1341)</f>
        <v/>
      </c>
      <c r="BW1341" s="55">
        <f>ROUNDUP(G1341/BN1341,0)</f>
        <v/>
      </c>
      <c r="BX1341" s="55">
        <f>ROUNDUP(BU1341/BN1341,0)</f>
        <v/>
      </c>
      <c r="BY1341" s="58">
        <f>IF(BO1341=1,0,IFERROR(VLOOKUP(BM1341,'Gebinde-Kategorie'!$A$5:$G$45,5,0)+0,0))</f>
        <v/>
      </c>
      <c r="BZ1341" s="58">
        <f>IFERROR(IF(OR(BQ1341=1,BQ1341=2,BQ1341=3),N(INDEX(Parameter!$I$5:$I$7,BQ1341)),0),0)</f>
        <v/>
      </c>
    </row>
    <row r="1342">
      <c r="A1342" s="53" t="inlineStr">
        <is>
          <t>106958</t>
        </is>
      </c>
      <c r="B1342" s="53" t="inlineStr">
        <is>
          <t>Einspeisemodul für Bus-Leiterplatte</t>
        </is>
      </c>
      <c r="C1342" s="53" t="inlineStr">
        <is>
          <t>F</t>
        </is>
      </c>
      <c r="D1342" s="53" t="inlineStr">
        <is>
          <t>KTL</t>
        </is>
      </c>
      <c r="E1342" s="53" t="inlineStr">
        <is>
          <t>C</t>
        </is>
      </c>
      <c r="F1342" s="54" t="n">
        <v>27.71</v>
      </c>
      <c r="G1342" s="55">
        <f>MAX(0,IF(Parameter!$B$20="Jahresanfang 2025 + Export",BG1342+BF1342,BF1342))</f>
        <v/>
      </c>
      <c r="H1342" s="55">
        <f>G1342*F1342</f>
        <v/>
      </c>
      <c r="I1342" s="55">
        <f>BI1342*Parameter!$B$18</f>
        <v/>
      </c>
      <c r="J1342" s="56" t="n">
        <v>63.5</v>
      </c>
      <c r="K1342" s="57" t="n">
        <v>0.01574803149606299</v>
      </c>
      <c r="L1342" s="55" t="n">
        <v>0</v>
      </c>
      <c r="M1342" s="55" t="n">
        <v>1</v>
      </c>
      <c r="N1342" s="58" t="n">
        <v>49</v>
      </c>
      <c r="O1342" s="53" t="inlineStr">
        <is>
          <t>S51</t>
        </is>
      </c>
      <c r="P1342" s="55" t="n">
        <v>35</v>
      </c>
      <c r="Q1342" s="59">
        <f>IF(BO1342=1,0,IFERROR(VLOOKUP(BM1342,'Gebinde-Kategorie'!$A$5:$G$45,6,0)+0,0))</f>
        <v/>
      </c>
      <c r="R1342" s="60" t="n"/>
      <c r="S1342" s="61" t="n"/>
      <c r="T1342" s="61" t="n"/>
      <c r="U1342" s="53">
        <f>IF(A1342="","",IF(IFERROR(VLOOKUP(D1342,Parameter!$A$35:$C$64,2,0),"Nein")="2+3",IF(ISNUMBER(SEARCH("grosser Artikel",BJ1342)),2,IFERROR(VLOOKUP(BM1342,Parameter!$F$35:$G$64,2,0),2)),IF(OR(IFERROR(VLOOKUP(D1342,Parameter!$A$35:$C$64,2,0),"Nein")="Nein",IFERROR(VLOOKUP(D1342,Parameter!$A$35:$C$64,2,0),"Nein")=""),"-",VLOOKUP(D1342,Parameter!$A$35:$C$64,2,0))))</f>
        <v/>
      </c>
      <c r="V1342" s="61" t="n"/>
      <c r="W1342" s="62" t="n"/>
      <c r="X1342" s="55">
        <f>AM1342</f>
        <v/>
      </c>
      <c r="Y1342" s="55">
        <f>MAX(AM1342,G1342)</f>
        <v/>
      </c>
      <c r="Z1342" s="63" t="n"/>
      <c r="AA1342" s="55">
        <f>IF(LEFT(Cockpit!$C$5,1)="A",G1342,IF(BT1342=1,BU1342,IF(LEFT(Cockpit!$C$5,1)="B",AE1342,MAX(AE1342,G1342))))</f>
        <v/>
      </c>
      <c r="AB1342" s="55">
        <f>IF(BO1342=1,0,ROUNDUP(AA1342/BN1342,0))</f>
        <v/>
      </c>
      <c r="AC1342" s="64">
        <f>IF(BO1342=1,IF(AA1342&lt;=0,0,BP1342*MAX(1,IF(G1342&gt;0,AA1342/G1342,1))),AB1342*Q1342)</f>
        <v/>
      </c>
      <c r="AD1342" s="55">
        <f>AA1342*F1342</f>
        <v/>
      </c>
      <c r="AE1342" s="55">
        <f>ROUNDUP(MAX(I1342/IF(BS1342&gt;0,BS1342,MAX(0.1,N(Cockpit!$C$6))),BV1342)/BN1342,0)*BN1342</f>
        <v/>
      </c>
      <c r="AF1342" s="56">
        <f>IF(AC1342&gt;0,I1342/AC1342,-1)</f>
        <v/>
      </c>
      <c r="AG1342" s="56">
        <f>IF(AND(OR(BR1342="L1",BR1342="L23"),AC1342&gt;0),SUMIFS($AC$7:$AC$1570,$BR$7:$BR$1570,BR1342,$AF$7:$AF$1570,"&gt;"&amp;AF1342)+SUMIFS($AC$7:$AC$1570,$BR$7:$BR$1570,BR1342,$AF$7:$AF$1570,AF1342,$BL$7:$BL$1570,"&lt;="&amp;BL1342),"")</f>
        <v/>
      </c>
      <c r="AH1342" s="65">
        <f>IF(AG1342="",0,MAX(0,MIN(1,(IF(BR1342="L1",Parameter!$K$5,Parameter!$K$6+Parameter!$K$7)-(AG1342-AC1342))/AC1342)))</f>
        <v/>
      </c>
      <c r="AI1342" s="55">
        <f>IF(LEFT(Cockpit!$I$5,1)="A",G1342,IF(BT1342=1,BU1342,IF(LEFT(Cockpit!$I$5,1)="B",AM1342,MAX(AM1342,G1342))))</f>
        <v/>
      </c>
      <c r="AJ1342" s="55">
        <f>IF(BO1342=1,0,ROUNDUP(AI1342/BN1342,0))</f>
        <v/>
      </c>
      <c r="AK1342" s="64">
        <f>IF(BO1342=1,IF(AI1342&lt;=0,0,BP1342*MAX(1,IF(G1342&gt;0,AI1342/G1342,1))),AJ1342*Q1342)</f>
        <v/>
      </c>
      <c r="AL1342" s="55">
        <f>AI1342*F1342</f>
        <v/>
      </c>
      <c r="AM1342" s="55">
        <f>ROUNDUP(MAX(I1342/IF(BS1342&gt;0,BS1342,MAX(0.1,N(Cockpit!$I$6))),BV1342)/BN1342,0)*BN1342</f>
        <v/>
      </c>
      <c r="AN1342" s="56">
        <f>IF(AK1342&gt;0,I1342/AK1342,-1)</f>
        <v/>
      </c>
      <c r="AO1342" s="56">
        <f>IF(AND(OR(BR1342="L1",BR1342="L23"),AK1342&gt;0),SUMIFS($AK$7:$AK$1570,$BR$7:$BR$1570,BR1342,$AN$7:$AN$1570,"&gt;"&amp;AN1342)+SUMIFS($AK$7:$AK$1570,$BR$7:$BR$1570,BR1342,$AN$7:$AN$1570,AN1342,$BL$7:$BL$1570,"&lt;="&amp;BL1342),"")</f>
        <v/>
      </c>
      <c r="AP1342" s="65">
        <f>IF(AO1342="",0,MAX(0,MIN(1,(IF(BR1342="L1",Parameter!$K$5,Parameter!$K$6+Parameter!$K$7)-(AO1342-AK1342))/AK1342)))</f>
        <v/>
      </c>
      <c r="AQ1342" s="55">
        <f>IF(LEFT(Cockpit!$O$5,1)="A",G1342,IF(BT1342=1,BU1342,IF(LEFT(Cockpit!$O$5,1)="B",AU1342,MAX(AU1342,G1342))))</f>
        <v/>
      </c>
      <c r="AR1342" s="55">
        <f>IF(BO1342=1,0,ROUNDUP(AQ1342/BN1342,0))</f>
        <v/>
      </c>
      <c r="AS1342" s="64">
        <f>IF(BO1342=1,IF(AQ1342&lt;=0,0,BP1342*MAX(1,IF(G1342&gt;0,AQ1342/G1342,1))),AR1342*Q1342)</f>
        <v/>
      </c>
      <c r="AT1342" s="55">
        <f>AQ1342*F1342</f>
        <v/>
      </c>
      <c r="AU1342" s="55">
        <f>ROUNDUP(MAX(I1342/IF(BS1342&gt;0,BS1342,MAX(0.1,N(Cockpit!$O$6))),BV1342)/BN1342,0)*BN1342</f>
        <v/>
      </c>
      <c r="AV1342" s="56">
        <f>IF(AS1342&gt;0,I1342/AS1342,-1)</f>
        <v/>
      </c>
      <c r="AW1342" s="56">
        <f>IF(AND(OR(BR1342="L1",BR1342="L23"),AS1342&gt;0),SUMIFS($AS$7:$AS$1570,$BR$7:$BR$1570,BR1342,$AV$7:$AV$1570,"&gt;"&amp;AV1342)+SUMIFS($AS$7:$AS$1570,$BR$7:$BR$1570,BR1342,$AV$7:$AV$1570,AV1342,$BL$7:$BL$1570,"&lt;="&amp;BL1342),"")</f>
        <v/>
      </c>
      <c r="AX1342" s="65">
        <f>IF(AW1342="",0,MAX(0,MIN(1,(IF(BR1342="L1",Parameter!$K$5,Parameter!$K$6+Parameter!$K$7)-(AW1342-AS1342))/AS1342)))</f>
        <v/>
      </c>
      <c r="AY1342" s="53">
        <f>IF(AC1342&lt;=0,"",IF(BR1342="Aussen","Aussenlager",IF(BR1342="-","Nicht im Lift",IF(AH1342&gt;=1,"Lift",IF(AH1342&lt;=0,"Aussenlager","teilweise")))))</f>
        <v/>
      </c>
      <c r="AZ1342" s="53">
        <f>IF(AK1342&lt;=0,"",IF(BR1342="Aussen","Aussenlager",IF(BR1342="-","Nicht im Lift",IF(AP1342&gt;=1,"Lift",IF(AP1342&lt;=0,"Aussenlager","teilweise")))))</f>
        <v/>
      </c>
      <c r="BA1342" s="53">
        <f>IF(AS1342&lt;=0,"",IF(BR1342="Aussen","Aussenlager",IF(BR1342="-","Nicht im Lift",IF(AX1342&gt;=1,"Lift",IF(AX1342&lt;=0,"Aussenlager","teilweise")))))</f>
        <v/>
      </c>
      <c r="BB1342" s="53">
        <f>IF(A1342="","",IF(BK1342=1,"Neu; ","")&amp;IF(AND(BK1342=0,BF1342&lt;0),"negativer Bestand (Export "&amp;BF1342&amp;"); ","")&amp;IF(I1342&lt;=0,"Kein Verbrauch; ","")&amp;IF(BO1342=1,"Lose – Fläche geschätzt; ","")&amp;IF(G1342&gt;AM1342,"Überbestand "&amp;ROUND(G1342-AM1342,0)&amp;" Stk / CHF "&amp;ROUND((G1342-AM1342)*F1342,0)&amp;"; ","")&amp;IF(AND(BT1342=1,BU1342&lt;BV1342),"MAX &lt; MB+LG; ","")&amp;IF(AND(BZ1342&gt;0,BY1342*10&gt;BZ1342),"zu hoch für Tablar; ","")&amp;IF(AND(BK1342=0,OR(BT1342=1,V1342&lt;&gt;"",S1342&lt;&gt;"",T1342&lt;&gt;"",W1342&lt;&gt;"")),"manuell übersteuert; ","")&amp;IF(AND(BO1342=0,Q1342=0),"Gebinde unbekannt; ","")&amp;IF(AND(BO1342=0,N(T1342)&lt;=0,N(P1342)&lt;=0),"Menge pro Gebinde fehlt (Ist = 1 Gebinde); ","")&amp;BJ1342)</f>
        <v/>
      </c>
      <c r="BC1342" s="53" t="n"/>
      <c r="BD1342" s="53" t="n"/>
      <c r="BE1342" s="61" t="n"/>
      <c r="BF1342" s="55" t="n">
        <v>-65</v>
      </c>
      <c r="BG1342" s="55" t="n">
        <v>76</v>
      </c>
      <c r="BH1342" s="54" t="n">
        <v>-1801.15</v>
      </c>
      <c r="BI1342" s="55" t="n">
        <v>1</v>
      </c>
      <c r="BJ1342" s="53" t="inlineStr"/>
      <c r="BK1342" s="58" t="n">
        <v>0</v>
      </c>
      <c r="BL1342" s="58" t="n">
        <v>1342</v>
      </c>
      <c r="BM1342" s="53">
        <f>IF(S1342&lt;&gt;"",UPPER(TRIM(S1342)),IF(O1342="","LOSE",O1342))</f>
        <v/>
      </c>
      <c r="BN1342" s="55">
        <f>IF(BM1342="LOSE",1,IF(N(T1342)&gt;0,T1342,IF(N(P1342)&gt;0,P1342,MAX(1,G1342))))</f>
        <v/>
      </c>
      <c r="BO1342" s="58">
        <f>IF(BM1342="LOSE",1,0)</f>
        <v/>
      </c>
      <c r="BP1342" s="64">
        <f>IF(BO1342=0,0,IF(N(R1342)&gt;0,R1342,IFERROR(VLOOKUP(D1342,Parameter!$A$35:$C$64,3,0)+0,0)))</f>
        <v/>
      </c>
      <c r="BQ1342" s="53">
        <f>IF(V1342&lt;&gt;"",V1342,U1342)</f>
        <v/>
      </c>
      <c r="BR1342" s="53">
        <f>IF(BQ1342=1,"L1",IF(OR(BQ1342=2,BQ1342=3),"L23",IF(BQ1342="Aussen","Aussen","-")))</f>
        <v/>
      </c>
      <c r="BS1342" s="66">
        <f>IF(N(W1342)&gt;0,W1342,0)</f>
        <v/>
      </c>
      <c r="BT1342" s="58">
        <f>IF(ISNUMBER(Z1342),1,0)</f>
        <v/>
      </c>
      <c r="BU1342" s="55">
        <f>N(Z1342)</f>
        <v/>
      </c>
      <c r="BV1342" s="55">
        <f>N(L1342)+N(M1342)</f>
        <v/>
      </c>
      <c r="BW1342" s="55">
        <f>ROUNDUP(G1342/BN1342,0)</f>
        <v/>
      </c>
      <c r="BX1342" s="55">
        <f>ROUNDUP(BU1342/BN1342,0)</f>
        <v/>
      </c>
      <c r="BY1342" s="58">
        <f>IF(BO1342=1,0,IFERROR(VLOOKUP(BM1342,'Gebinde-Kategorie'!$A$5:$G$45,5,0)+0,0))</f>
        <v/>
      </c>
      <c r="BZ1342" s="58">
        <f>IFERROR(IF(OR(BQ1342=1,BQ1342=2,BQ1342=3),N(INDEX(Parameter!$I$5:$I$7,BQ1342)),0),0)</f>
        <v/>
      </c>
    </row>
    <row r="1343">
      <c r="A1343" s="53" t="inlineStr">
        <is>
          <t>107401</t>
        </is>
      </c>
      <c r="B1343" s="53" t="inlineStr">
        <is>
          <t>Ventilkabel Luft</t>
        </is>
      </c>
      <c r="C1343" s="53" t="inlineStr">
        <is>
          <t>F</t>
        </is>
      </c>
      <c r="D1343" s="53" t="inlineStr">
        <is>
          <t>PAL</t>
        </is>
      </c>
      <c r="E1343" s="53" t="inlineStr">
        <is>
          <t>C</t>
        </is>
      </c>
      <c r="F1343" s="54" t="n">
        <v>278.37</v>
      </c>
      <c r="G1343" s="55">
        <f>MAX(0,IF(Parameter!$B$20="Jahresanfang 2025 + Export",BG1343+BF1343,BF1343))</f>
        <v/>
      </c>
      <c r="H1343" s="55">
        <f>G1343*F1343</f>
        <v/>
      </c>
      <c r="I1343" s="55">
        <f>BI1343*Parameter!$B$18</f>
        <v/>
      </c>
      <c r="J1343" s="56" t="n">
        <v>9</v>
      </c>
      <c r="K1343" s="57" t="n">
        <v>4.888888888888889</v>
      </c>
      <c r="L1343" s="55" t="n">
        <v>2</v>
      </c>
      <c r="M1343" s="55" t="n">
        <v>10</v>
      </c>
      <c r="N1343" s="58" t="n">
        <v>21</v>
      </c>
      <c r="O1343" s="53" t="inlineStr">
        <is>
          <t>S71</t>
        </is>
      </c>
      <c r="P1343" s="55" t="n">
        <v>12</v>
      </c>
      <c r="Q1343" s="59">
        <f>IF(BO1343=1,0,IFERROR(VLOOKUP(BM1343,'Gebinde-Kategorie'!$A$5:$G$45,6,0)+0,0))</f>
        <v/>
      </c>
      <c r="R1343" s="60" t="n"/>
      <c r="S1343" s="61" t="n"/>
      <c r="T1343" s="61" t="n"/>
      <c r="U1343" s="53">
        <f>IF(A1343="","",IF(IFERROR(VLOOKUP(D1343,Parameter!$A$35:$C$64,2,0),"Nein")="2+3",IF(ISNUMBER(SEARCH("grosser Artikel",BJ1343)),2,IFERROR(VLOOKUP(BM1343,Parameter!$F$35:$G$64,2,0),2)),IF(OR(IFERROR(VLOOKUP(D1343,Parameter!$A$35:$C$64,2,0),"Nein")="Nein",IFERROR(VLOOKUP(D1343,Parameter!$A$35:$C$64,2,0),"Nein")=""),"-",VLOOKUP(D1343,Parameter!$A$35:$C$64,2,0))))</f>
        <v/>
      </c>
      <c r="V1343" s="61" t="n"/>
      <c r="W1343" s="62" t="n"/>
      <c r="X1343" s="55">
        <f>AM1343</f>
        <v/>
      </c>
      <c r="Y1343" s="55">
        <f>MAX(AM1343,G1343)</f>
        <v/>
      </c>
      <c r="Z1343" s="63" t="n"/>
      <c r="AA1343" s="55">
        <f>IF(LEFT(Cockpit!$C$5,1)="A",G1343,IF(BT1343=1,BU1343,IF(LEFT(Cockpit!$C$5,1)="B",AE1343,MAX(AE1343,G1343))))</f>
        <v/>
      </c>
      <c r="AB1343" s="55">
        <f>IF(BO1343=1,0,ROUNDUP(AA1343/BN1343,0))</f>
        <v/>
      </c>
      <c r="AC1343" s="64">
        <f>IF(BO1343=1,IF(AA1343&lt;=0,0,BP1343*MAX(1,IF(G1343&gt;0,AA1343/G1343,1))),AB1343*Q1343)</f>
        <v/>
      </c>
      <c r="AD1343" s="55">
        <f>AA1343*F1343</f>
        <v/>
      </c>
      <c r="AE1343" s="55">
        <f>ROUNDUP(MAX(I1343/IF(BS1343&gt;0,BS1343,MAX(0.1,N(Cockpit!$C$6))),BV1343)/BN1343,0)*BN1343</f>
        <v/>
      </c>
      <c r="AF1343" s="56">
        <f>IF(AC1343&gt;0,I1343/AC1343,-1)</f>
        <v/>
      </c>
      <c r="AG1343" s="56">
        <f>IF(AND(OR(BR1343="L1",BR1343="L23"),AC1343&gt;0),SUMIFS($AC$7:$AC$1570,$BR$7:$BR$1570,BR1343,$AF$7:$AF$1570,"&gt;"&amp;AF1343)+SUMIFS($AC$7:$AC$1570,$BR$7:$BR$1570,BR1343,$AF$7:$AF$1570,AF1343,$BL$7:$BL$1570,"&lt;="&amp;BL1343),"")</f>
        <v/>
      </c>
      <c r="AH1343" s="65">
        <f>IF(AG1343="",0,MAX(0,MIN(1,(IF(BR1343="L1",Parameter!$K$5,Parameter!$K$6+Parameter!$K$7)-(AG1343-AC1343))/AC1343)))</f>
        <v/>
      </c>
      <c r="AI1343" s="55">
        <f>IF(LEFT(Cockpit!$I$5,1)="A",G1343,IF(BT1343=1,BU1343,IF(LEFT(Cockpit!$I$5,1)="B",AM1343,MAX(AM1343,G1343))))</f>
        <v/>
      </c>
      <c r="AJ1343" s="55">
        <f>IF(BO1343=1,0,ROUNDUP(AI1343/BN1343,0))</f>
        <v/>
      </c>
      <c r="AK1343" s="64">
        <f>IF(BO1343=1,IF(AI1343&lt;=0,0,BP1343*MAX(1,IF(G1343&gt;0,AI1343/G1343,1))),AJ1343*Q1343)</f>
        <v/>
      </c>
      <c r="AL1343" s="55">
        <f>AI1343*F1343</f>
        <v/>
      </c>
      <c r="AM1343" s="55">
        <f>ROUNDUP(MAX(I1343/IF(BS1343&gt;0,BS1343,MAX(0.1,N(Cockpit!$I$6))),BV1343)/BN1343,0)*BN1343</f>
        <v/>
      </c>
      <c r="AN1343" s="56">
        <f>IF(AK1343&gt;0,I1343/AK1343,-1)</f>
        <v/>
      </c>
      <c r="AO1343" s="56">
        <f>IF(AND(OR(BR1343="L1",BR1343="L23"),AK1343&gt;0),SUMIFS($AK$7:$AK$1570,$BR$7:$BR$1570,BR1343,$AN$7:$AN$1570,"&gt;"&amp;AN1343)+SUMIFS($AK$7:$AK$1570,$BR$7:$BR$1570,BR1343,$AN$7:$AN$1570,AN1343,$BL$7:$BL$1570,"&lt;="&amp;BL1343),"")</f>
        <v/>
      </c>
      <c r="AP1343" s="65">
        <f>IF(AO1343="",0,MAX(0,MIN(1,(IF(BR1343="L1",Parameter!$K$5,Parameter!$K$6+Parameter!$K$7)-(AO1343-AK1343))/AK1343)))</f>
        <v/>
      </c>
      <c r="AQ1343" s="55">
        <f>IF(LEFT(Cockpit!$O$5,1)="A",G1343,IF(BT1343=1,BU1343,IF(LEFT(Cockpit!$O$5,1)="B",AU1343,MAX(AU1343,G1343))))</f>
        <v/>
      </c>
      <c r="AR1343" s="55">
        <f>IF(BO1343=1,0,ROUNDUP(AQ1343/BN1343,0))</f>
        <v/>
      </c>
      <c r="AS1343" s="64">
        <f>IF(BO1343=1,IF(AQ1343&lt;=0,0,BP1343*MAX(1,IF(G1343&gt;0,AQ1343/G1343,1))),AR1343*Q1343)</f>
        <v/>
      </c>
      <c r="AT1343" s="55">
        <f>AQ1343*F1343</f>
        <v/>
      </c>
      <c r="AU1343" s="55">
        <f>ROUNDUP(MAX(I1343/IF(BS1343&gt;0,BS1343,MAX(0.1,N(Cockpit!$O$6))),BV1343)/BN1343,0)*BN1343</f>
        <v/>
      </c>
      <c r="AV1343" s="56">
        <f>IF(AS1343&gt;0,I1343/AS1343,-1)</f>
        <v/>
      </c>
      <c r="AW1343" s="56">
        <f>IF(AND(OR(BR1343="L1",BR1343="L23"),AS1343&gt;0),SUMIFS($AS$7:$AS$1570,$BR$7:$BR$1570,BR1343,$AV$7:$AV$1570,"&gt;"&amp;AV1343)+SUMIFS($AS$7:$AS$1570,$BR$7:$BR$1570,BR1343,$AV$7:$AV$1570,AV1343,$BL$7:$BL$1570,"&lt;="&amp;BL1343),"")</f>
        <v/>
      </c>
      <c r="AX1343" s="65">
        <f>IF(AW1343="",0,MAX(0,MIN(1,(IF(BR1343="L1",Parameter!$K$5,Parameter!$K$6+Parameter!$K$7)-(AW1343-AS1343))/AS1343)))</f>
        <v/>
      </c>
      <c r="AY1343" s="53">
        <f>IF(AC1343&lt;=0,"",IF(BR1343="Aussen","Aussenlager",IF(BR1343="-","Nicht im Lift",IF(AH1343&gt;=1,"Lift",IF(AH1343&lt;=0,"Aussenlager","teilweise")))))</f>
        <v/>
      </c>
      <c r="AZ1343" s="53">
        <f>IF(AK1343&lt;=0,"",IF(BR1343="Aussen","Aussenlager",IF(BR1343="-","Nicht im Lift",IF(AP1343&gt;=1,"Lift",IF(AP1343&lt;=0,"Aussenlager","teilweise")))))</f>
        <v/>
      </c>
      <c r="BA1343" s="53">
        <f>IF(AS1343&lt;=0,"",IF(BR1343="Aussen","Aussenlager",IF(BR1343="-","Nicht im Lift",IF(AX1343&gt;=1,"Lift",IF(AX1343&lt;=0,"Aussenlager","teilweise")))))</f>
        <v/>
      </c>
      <c r="BB1343" s="53">
        <f>IF(A1343="","",IF(BK1343=1,"Neu; ","")&amp;IF(AND(BK1343=0,BF1343&lt;0),"negativer Bestand (Export "&amp;BF1343&amp;"); ","")&amp;IF(I1343&lt;=0,"Kein Verbrauch; ","")&amp;IF(BO1343=1,"Lose – Fläche geschätzt; ","")&amp;IF(G1343&gt;AM1343,"Überbestand "&amp;ROUND(G1343-AM1343,0)&amp;" Stk / CHF "&amp;ROUND((G1343-AM1343)*F1343,0)&amp;"; ","")&amp;IF(AND(BT1343=1,BU1343&lt;BV1343),"MAX &lt; MB+LG; ","")&amp;IF(AND(BZ1343&gt;0,BY1343*10&gt;BZ1343),"zu hoch für Tablar; ","")&amp;IF(AND(BK1343=0,OR(BT1343=1,V1343&lt;&gt;"",S1343&lt;&gt;"",T1343&lt;&gt;"",W1343&lt;&gt;"")),"manuell übersteuert; ","")&amp;IF(AND(BO1343=0,Q1343=0),"Gebinde unbekannt; ","")&amp;IF(AND(BO1343=0,N(T1343)&lt;=0,N(P1343)&lt;=0),"Menge pro Gebinde fehlt (Ist = 1 Gebinde); ","")&amp;BJ1343)</f>
        <v/>
      </c>
      <c r="BC1343" s="53" t="n"/>
      <c r="BD1343" s="53" t="n"/>
      <c r="BE1343" s="61" t="n"/>
      <c r="BF1343" s="55" t="n">
        <v>-4</v>
      </c>
      <c r="BG1343" s="55" t="n">
        <v>8</v>
      </c>
      <c r="BH1343" s="54" t="n">
        <v>-1807.160000000002</v>
      </c>
      <c r="BI1343" s="55" t="n">
        <v>44</v>
      </c>
      <c r="BJ1343" s="53" t="inlineStr">
        <is>
          <t>grosser Artikel &amp; nicht im KTL</t>
        </is>
      </c>
      <c r="BK1343" s="58" t="n">
        <v>0</v>
      </c>
      <c r="BL1343" s="58" t="n">
        <v>1343</v>
      </c>
      <c r="BM1343" s="53">
        <f>IF(S1343&lt;&gt;"",UPPER(TRIM(S1343)),IF(O1343="","LOSE",O1343))</f>
        <v/>
      </c>
      <c r="BN1343" s="55">
        <f>IF(BM1343="LOSE",1,IF(N(T1343)&gt;0,T1343,IF(N(P1343)&gt;0,P1343,MAX(1,G1343))))</f>
        <v/>
      </c>
      <c r="BO1343" s="58">
        <f>IF(BM1343="LOSE",1,0)</f>
        <v/>
      </c>
      <c r="BP1343" s="64">
        <f>IF(BO1343=0,0,IF(N(R1343)&gt;0,R1343,IFERROR(VLOOKUP(D1343,Parameter!$A$35:$C$64,3,0)+0,0)))</f>
        <v/>
      </c>
      <c r="BQ1343" s="53">
        <f>IF(V1343&lt;&gt;"",V1343,U1343)</f>
        <v/>
      </c>
      <c r="BR1343" s="53">
        <f>IF(BQ1343=1,"L1",IF(OR(BQ1343=2,BQ1343=3),"L23",IF(BQ1343="Aussen","Aussen","-")))</f>
        <v/>
      </c>
      <c r="BS1343" s="66">
        <f>IF(N(W1343)&gt;0,W1343,0)</f>
        <v/>
      </c>
      <c r="BT1343" s="58">
        <f>IF(ISNUMBER(Z1343),1,0)</f>
        <v/>
      </c>
      <c r="BU1343" s="55">
        <f>N(Z1343)</f>
        <v/>
      </c>
      <c r="BV1343" s="55">
        <f>N(L1343)+N(M1343)</f>
        <v/>
      </c>
      <c r="BW1343" s="55">
        <f>ROUNDUP(G1343/BN1343,0)</f>
        <v/>
      </c>
      <c r="BX1343" s="55">
        <f>ROUNDUP(BU1343/BN1343,0)</f>
        <v/>
      </c>
      <c r="BY1343" s="58">
        <f>IF(BO1343=1,0,IFERROR(VLOOKUP(BM1343,'Gebinde-Kategorie'!$A$5:$G$45,5,0)+0,0))</f>
        <v/>
      </c>
      <c r="BZ1343" s="58">
        <f>IFERROR(IF(OR(BQ1343=1,BQ1343=2,BQ1343=3),N(INDEX(Parameter!$I$5:$I$7,BQ1343)),0),0)</f>
        <v/>
      </c>
    </row>
    <row r="1344">
      <c r="A1344" s="53" t="inlineStr">
        <is>
          <t>108741</t>
        </is>
      </c>
      <c r="B1344" s="53" t="inlineStr">
        <is>
          <t>Ansaugfilter zu Spülluftmodul</t>
        </is>
      </c>
      <c r="C1344" s="53" t="inlineStr">
        <is>
          <t>F</t>
        </is>
      </c>
      <c r="D1344" s="53" t="inlineStr">
        <is>
          <t>PAL</t>
        </is>
      </c>
      <c r="E1344" s="53" t="inlineStr">
        <is>
          <t>C</t>
        </is>
      </c>
      <c r="F1344" s="54" t="n">
        <v>38.6</v>
      </c>
      <c r="G1344" s="55">
        <f>MAX(0,IF(Parameter!$B$20="Jahresanfang 2025 + Export",BG1344+BF1344,BF1344))</f>
        <v/>
      </c>
      <c r="H1344" s="55">
        <f>G1344*F1344</f>
        <v/>
      </c>
      <c r="I1344" s="55">
        <f>BI1344*Parameter!$B$18</f>
        <v/>
      </c>
      <c r="J1344" s="56" t="n">
        <v>79</v>
      </c>
      <c r="K1344" s="57" t="n">
        <v>2</v>
      </c>
      <c r="L1344" s="55" t="n">
        <v>20</v>
      </c>
      <c r="M1344" s="55" t="n">
        <v>100</v>
      </c>
      <c r="N1344" s="58" t="n">
        <v>42</v>
      </c>
      <c r="O1344" s="53" t="inlineStr">
        <is>
          <t>S62</t>
        </is>
      </c>
      <c r="P1344" s="55" t="n">
        <v>23</v>
      </c>
      <c r="Q1344" s="59">
        <f>IF(BO1344=1,0,IFERROR(VLOOKUP(BM1344,'Gebinde-Kategorie'!$A$5:$G$45,6,0)+0,0))</f>
        <v/>
      </c>
      <c r="R1344" s="60" t="n"/>
      <c r="S1344" s="61" t="n"/>
      <c r="T1344" s="61" t="n"/>
      <c r="U1344" s="53">
        <f>IF(A1344="","",IF(IFERROR(VLOOKUP(D1344,Parameter!$A$35:$C$64,2,0),"Nein")="2+3",IF(ISNUMBER(SEARCH("grosser Artikel",BJ1344)),2,IFERROR(VLOOKUP(BM1344,Parameter!$F$35:$G$64,2,0),2)),IF(OR(IFERROR(VLOOKUP(D1344,Parameter!$A$35:$C$64,2,0),"Nein")="Nein",IFERROR(VLOOKUP(D1344,Parameter!$A$35:$C$64,2,0),"Nein")=""),"-",VLOOKUP(D1344,Parameter!$A$35:$C$64,2,0))))</f>
        <v/>
      </c>
      <c r="V1344" s="61" t="n"/>
      <c r="W1344" s="62" t="n"/>
      <c r="X1344" s="55">
        <f>AM1344</f>
        <v/>
      </c>
      <c r="Y1344" s="55">
        <f>MAX(AM1344,G1344)</f>
        <v/>
      </c>
      <c r="Z1344" s="63" t="n"/>
      <c r="AA1344" s="55">
        <f>IF(LEFT(Cockpit!$C$5,1)="A",G1344,IF(BT1344=1,BU1344,IF(LEFT(Cockpit!$C$5,1)="B",AE1344,MAX(AE1344,G1344))))</f>
        <v/>
      </c>
      <c r="AB1344" s="55">
        <f>IF(BO1344=1,0,ROUNDUP(AA1344/BN1344,0))</f>
        <v/>
      </c>
      <c r="AC1344" s="64">
        <f>IF(BO1344=1,IF(AA1344&lt;=0,0,BP1344*MAX(1,IF(G1344&gt;0,AA1344/G1344,1))),AB1344*Q1344)</f>
        <v/>
      </c>
      <c r="AD1344" s="55">
        <f>AA1344*F1344</f>
        <v/>
      </c>
      <c r="AE1344" s="55">
        <f>ROUNDUP(MAX(I1344/IF(BS1344&gt;0,BS1344,MAX(0.1,N(Cockpit!$C$6))),BV1344)/BN1344,0)*BN1344</f>
        <v/>
      </c>
      <c r="AF1344" s="56">
        <f>IF(AC1344&gt;0,I1344/AC1344,-1)</f>
        <v/>
      </c>
      <c r="AG1344" s="56">
        <f>IF(AND(OR(BR1344="L1",BR1344="L23"),AC1344&gt;0),SUMIFS($AC$7:$AC$1570,$BR$7:$BR$1570,BR1344,$AF$7:$AF$1570,"&gt;"&amp;AF1344)+SUMIFS($AC$7:$AC$1570,$BR$7:$BR$1570,BR1344,$AF$7:$AF$1570,AF1344,$BL$7:$BL$1570,"&lt;="&amp;BL1344),"")</f>
        <v/>
      </c>
      <c r="AH1344" s="65">
        <f>IF(AG1344="",0,MAX(0,MIN(1,(IF(BR1344="L1",Parameter!$K$5,Parameter!$K$6+Parameter!$K$7)-(AG1344-AC1344))/AC1344)))</f>
        <v/>
      </c>
      <c r="AI1344" s="55">
        <f>IF(LEFT(Cockpit!$I$5,1)="A",G1344,IF(BT1344=1,BU1344,IF(LEFT(Cockpit!$I$5,1)="B",AM1344,MAX(AM1344,G1344))))</f>
        <v/>
      </c>
      <c r="AJ1344" s="55">
        <f>IF(BO1344=1,0,ROUNDUP(AI1344/BN1344,0))</f>
        <v/>
      </c>
      <c r="AK1344" s="64">
        <f>IF(BO1344=1,IF(AI1344&lt;=0,0,BP1344*MAX(1,IF(G1344&gt;0,AI1344/G1344,1))),AJ1344*Q1344)</f>
        <v/>
      </c>
      <c r="AL1344" s="55">
        <f>AI1344*F1344</f>
        <v/>
      </c>
      <c r="AM1344" s="55">
        <f>ROUNDUP(MAX(I1344/IF(BS1344&gt;0,BS1344,MAX(0.1,N(Cockpit!$I$6))),BV1344)/BN1344,0)*BN1344</f>
        <v/>
      </c>
      <c r="AN1344" s="56">
        <f>IF(AK1344&gt;0,I1344/AK1344,-1)</f>
        <v/>
      </c>
      <c r="AO1344" s="56">
        <f>IF(AND(OR(BR1344="L1",BR1344="L23"),AK1344&gt;0),SUMIFS($AK$7:$AK$1570,$BR$7:$BR$1570,BR1344,$AN$7:$AN$1570,"&gt;"&amp;AN1344)+SUMIFS($AK$7:$AK$1570,$BR$7:$BR$1570,BR1344,$AN$7:$AN$1570,AN1344,$BL$7:$BL$1570,"&lt;="&amp;BL1344),"")</f>
        <v/>
      </c>
      <c r="AP1344" s="65">
        <f>IF(AO1344="",0,MAX(0,MIN(1,(IF(BR1344="L1",Parameter!$K$5,Parameter!$K$6+Parameter!$K$7)-(AO1344-AK1344))/AK1344)))</f>
        <v/>
      </c>
      <c r="AQ1344" s="55">
        <f>IF(LEFT(Cockpit!$O$5,1)="A",G1344,IF(BT1344=1,BU1344,IF(LEFT(Cockpit!$O$5,1)="B",AU1344,MAX(AU1344,G1344))))</f>
        <v/>
      </c>
      <c r="AR1344" s="55">
        <f>IF(BO1344=1,0,ROUNDUP(AQ1344/BN1344,0))</f>
        <v/>
      </c>
      <c r="AS1344" s="64">
        <f>IF(BO1344=1,IF(AQ1344&lt;=0,0,BP1344*MAX(1,IF(G1344&gt;0,AQ1344/G1344,1))),AR1344*Q1344)</f>
        <v/>
      </c>
      <c r="AT1344" s="55">
        <f>AQ1344*F1344</f>
        <v/>
      </c>
      <c r="AU1344" s="55">
        <f>ROUNDUP(MAX(I1344/IF(BS1344&gt;0,BS1344,MAX(0.1,N(Cockpit!$O$6))),BV1344)/BN1344,0)*BN1344</f>
        <v/>
      </c>
      <c r="AV1344" s="56">
        <f>IF(AS1344&gt;0,I1344/AS1344,-1)</f>
        <v/>
      </c>
      <c r="AW1344" s="56">
        <f>IF(AND(OR(BR1344="L1",BR1344="L23"),AS1344&gt;0),SUMIFS($AS$7:$AS$1570,$BR$7:$BR$1570,BR1344,$AV$7:$AV$1570,"&gt;"&amp;AV1344)+SUMIFS($AS$7:$AS$1570,$BR$7:$BR$1570,BR1344,$AV$7:$AV$1570,AV1344,$BL$7:$BL$1570,"&lt;="&amp;BL1344),"")</f>
        <v/>
      </c>
      <c r="AX1344" s="65">
        <f>IF(AW1344="",0,MAX(0,MIN(1,(IF(BR1344="L1",Parameter!$K$5,Parameter!$K$6+Parameter!$K$7)-(AW1344-AS1344))/AS1344)))</f>
        <v/>
      </c>
      <c r="AY1344" s="53">
        <f>IF(AC1344&lt;=0,"",IF(BR1344="Aussen","Aussenlager",IF(BR1344="-","Nicht im Lift",IF(AH1344&gt;=1,"Lift",IF(AH1344&lt;=0,"Aussenlager","teilweise")))))</f>
        <v/>
      </c>
      <c r="AZ1344" s="53">
        <f>IF(AK1344&lt;=0,"",IF(BR1344="Aussen","Aussenlager",IF(BR1344="-","Nicht im Lift",IF(AP1344&gt;=1,"Lift",IF(AP1344&lt;=0,"Aussenlager","teilweise")))))</f>
        <v/>
      </c>
      <c r="BA1344" s="53">
        <f>IF(AS1344&lt;=0,"",IF(BR1344="Aussen","Aussenlager",IF(BR1344="-","Nicht im Lift",IF(AX1344&gt;=1,"Lift",IF(AX1344&lt;=0,"Aussenlager","teilweise")))))</f>
        <v/>
      </c>
      <c r="BB1344" s="53">
        <f>IF(A1344="","",IF(BK1344=1,"Neu; ","")&amp;IF(AND(BK1344=0,BF1344&lt;0),"negativer Bestand (Export "&amp;BF1344&amp;"); ","")&amp;IF(I1344&lt;=0,"Kein Verbrauch; ","")&amp;IF(BO1344=1,"Lose – Fläche geschätzt; ","")&amp;IF(G1344&gt;AM1344,"Überbestand "&amp;ROUND(G1344-AM1344,0)&amp;" Stk / CHF "&amp;ROUND((G1344-AM1344)*F1344,0)&amp;"; ","")&amp;IF(AND(BT1344=1,BU1344&lt;BV1344),"MAX &lt; MB+LG; ","")&amp;IF(AND(BZ1344&gt;0,BY1344*10&gt;BZ1344),"zu hoch für Tablar; ","")&amp;IF(AND(BK1344=0,OR(BT1344=1,V1344&lt;&gt;"",S1344&lt;&gt;"",T1344&lt;&gt;"",W1344&lt;&gt;"")),"manuell übersteuert; ","")&amp;IF(AND(BO1344=0,Q1344=0),"Gebinde unbekannt; ","")&amp;IF(AND(BO1344=0,N(T1344)&lt;=0,N(P1344)&lt;=0),"Menge pro Gebinde fehlt (Ist = 1 Gebinde); ","")&amp;BJ1344)</f>
        <v/>
      </c>
      <c r="BC1344" s="53" t="n"/>
      <c r="BD1344" s="53" t="n"/>
      <c r="BE1344" s="61" t="n"/>
      <c r="BF1344" s="55" t="n">
        <v>-36</v>
      </c>
      <c r="BG1344" s="55" t="n">
        <v>83</v>
      </c>
      <c r="BH1344" s="54" t="n">
        <v>-1818.71</v>
      </c>
      <c r="BI1344" s="55" t="n">
        <v>158</v>
      </c>
      <c r="BJ1344" s="53" t="inlineStr"/>
      <c r="BK1344" s="58" t="n">
        <v>0</v>
      </c>
      <c r="BL1344" s="58" t="n">
        <v>1344</v>
      </c>
      <c r="BM1344" s="53">
        <f>IF(S1344&lt;&gt;"",UPPER(TRIM(S1344)),IF(O1344="","LOSE",O1344))</f>
        <v/>
      </c>
      <c r="BN1344" s="55">
        <f>IF(BM1344="LOSE",1,IF(N(T1344)&gt;0,T1344,IF(N(P1344)&gt;0,P1344,MAX(1,G1344))))</f>
        <v/>
      </c>
      <c r="BO1344" s="58">
        <f>IF(BM1344="LOSE",1,0)</f>
        <v/>
      </c>
      <c r="BP1344" s="64">
        <f>IF(BO1344=0,0,IF(N(R1344)&gt;0,R1344,IFERROR(VLOOKUP(D1344,Parameter!$A$35:$C$64,3,0)+0,0)))</f>
        <v/>
      </c>
      <c r="BQ1344" s="53">
        <f>IF(V1344&lt;&gt;"",V1344,U1344)</f>
        <v/>
      </c>
      <c r="BR1344" s="53">
        <f>IF(BQ1344=1,"L1",IF(OR(BQ1344=2,BQ1344=3),"L23",IF(BQ1344="Aussen","Aussen","-")))</f>
        <v/>
      </c>
      <c r="BS1344" s="66">
        <f>IF(N(W1344)&gt;0,W1344,0)</f>
        <v/>
      </c>
      <c r="BT1344" s="58">
        <f>IF(ISNUMBER(Z1344),1,0)</f>
        <v/>
      </c>
      <c r="BU1344" s="55">
        <f>N(Z1344)</f>
        <v/>
      </c>
      <c r="BV1344" s="55">
        <f>N(L1344)+N(M1344)</f>
        <v/>
      </c>
      <c r="BW1344" s="55">
        <f>ROUNDUP(G1344/BN1344,0)</f>
        <v/>
      </c>
      <c r="BX1344" s="55">
        <f>ROUNDUP(BU1344/BN1344,0)</f>
        <v/>
      </c>
      <c r="BY1344" s="58">
        <f>IF(BO1344=1,0,IFERROR(VLOOKUP(BM1344,'Gebinde-Kategorie'!$A$5:$G$45,5,0)+0,0))</f>
        <v/>
      </c>
      <c r="BZ1344" s="58">
        <f>IFERROR(IF(OR(BQ1344=1,BQ1344=2,BQ1344=3),N(INDEX(Parameter!$I$5:$I$7,BQ1344)),0),0)</f>
        <v/>
      </c>
    </row>
    <row r="1345">
      <c r="A1345" s="53" t="inlineStr">
        <is>
          <t>108670</t>
        </is>
      </c>
      <c r="B1345" s="53" t="inlineStr">
        <is>
          <t>Sensorkabel SPC800 - VP</t>
        </is>
      </c>
      <c r="C1345" s="53" t="inlineStr">
        <is>
          <t>A</t>
        </is>
      </c>
      <c r="D1345" s="53" t="inlineStr">
        <is>
          <t>KTL</t>
        </is>
      </c>
      <c r="E1345" s="53" t="inlineStr">
        <is>
          <t>C</t>
        </is>
      </c>
      <c r="F1345" s="54" t="n">
        <v>21.45</v>
      </c>
      <c r="G1345" s="55">
        <f>MAX(0,IF(Parameter!$B$20="Jahresanfang 2025 + Export",BG1345+BF1345,BF1345))</f>
        <v/>
      </c>
      <c r="H1345" s="55">
        <f>G1345*F1345</f>
        <v/>
      </c>
      <c r="I1345" s="55">
        <f>BI1345*Parameter!$B$18</f>
        <v/>
      </c>
      <c r="J1345" s="56" t="n">
        <v>122.5</v>
      </c>
      <c r="K1345" s="57" t="n">
        <v>3.13469387755102</v>
      </c>
      <c r="L1345" s="55" t="n">
        <v>0</v>
      </c>
      <c r="M1345" s="55" t="n">
        <v>210</v>
      </c>
      <c r="N1345" s="58" t="n">
        <v>21</v>
      </c>
      <c r="O1345" s="53" t="inlineStr">
        <is>
          <t>S51</t>
        </is>
      </c>
      <c r="P1345" s="55" t="n">
        <v>57</v>
      </c>
      <c r="Q1345" s="59">
        <f>IF(BO1345=1,0,IFERROR(VLOOKUP(BM1345,'Gebinde-Kategorie'!$A$5:$G$45,6,0)+0,0))</f>
        <v/>
      </c>
      <c r="R1345" s="60" t="n"/>
      <c r="S1345" s="61" t="n"/>
      <c r="T1345" s="61" t="n"/>
      <c r="U1345" s="53">
        <f>IF(A1345="","",IF(IFERROR(VLOOKUP(D1345,Parameter!$A$35:$C$64,2,0),"Nein")="2+3",IF(ISNUMBER(SEARCH("grosser Artikel",BJ1345)),2,IFERROR(VLOOKUP(BM1345,Parameter!$F$35:$G$64,2,0),2)),IF(OR(IFERROR(VLOOKUP(D1345,Parameter!$A$35:$C$64,2,0),"Nein")="Nein",IFERROR(VLOOKUP(D1345,Parameter!$A$35:$C$64,2,0),"Nein")=""),"-",VLOOKUP(D1345,Parameter!$A$35:$C$64,2,0))))</f>
        <v/>
      </c>
      <c r="V1345" s="61" t="n"/>
      <c r="W1345" s="62" t="n"/>
      <c r="X1345" s="55">
        <f>AM1345</f>
        <v/>
      </c>
      <c r="Y1345" s="55">
        <f>MAX(AM1345,G1345)</f>
        <v/>
      </c>
      <c r="Z1345" s="63" t="n"/>
      <c r="AA1345" s="55">
        <f>IF(LEFT(Cockpit!$C$5,1)="A",G1345,IF(BT1345=1,BU1345,IF(LEFT(Cockpit!$C$5,1)="B",AE1345,MAX(AE1345,G1345))))</f>
        <v/>
      </c>
      <c r="AB1345" s="55">
        <f>IF(BO1345=1,0,ROUNDUP(AA1345/BN1345,0))</f>
        <v/>
      </c>
      <c r="AC1345" s="64">
        <f>IF(BO1345=1,IF(AA1345&lt;=0,0,BP1345*MAX(1,IF(G1345&gt;0,AA1345/G1345,1))),AB1345*Q1345)</f>
        <v/>
      </c>
      <c r="AD1345" s="55">
        <f>AA1345*F1345</f>
        <v/>
      </c>
      <c r="AE1345" s="55">
        <f>ROUNDUP(MAX(I1345/IF(BS1345&gt;0,BS1345,MAX(0.1,N(Cockpit!$C$6))),BV1345)/BN1345,0)*BN1345</f>
        <v/>
      </c>
      <c r="AF1345" s="56">
        <f>IF(AC1345&gt;0,I1345/AC1345,-1)</f>
        <v/>
      </c>
      <c r="AG1345" s="56">
        <f>IF(AND(OR(BR1345="L1",BR1345="L23"),AC1345&gt;0),SUMIFS($AC$7:$AC$1570,$BR$7:$BR$1570,BR1345,$AF$7:$AF$1570,"&gt;"&amp;AF1345)+SUMIFS($AC$7:$AC$1570,$BR$7:$BR$1570,BR1345,$AF$7:$AF$1570,AF1345,$BL$7:$BL$1570,"&lt;="&amp;BL1345),"")</f>
        <v/>
      </c>
      <c r="AH1345" s="65">
        <f>IF(AG1345="",0,MAX(0,MIN(1,(IF(BR1345="L1",Parameter!$K$5,Parameter!$K$6+Parameter!$K$7)-(AG1345-AC1345))/AC1345)))</f>
        <v/>
      </c>
      <c r="AI1345" s="55">
        <f>IF(LEFT(Cockpit!$I$5,1)="A",G1345,IF(BT1345=1,BU1345,IF(LEFT(Cockpit!$I$5,1)="B",AM1345,MAX(AM1345,G1345))))</f>
        <v/>
      </c>
      <c r="AJ1345" s="55">
        <f>IF(BO1345=1,0,ROUNDUP(AI1345/BN1345,0))</f>
        <v/>
      </c>
      <c r="AK1345" s="64">
        <f>IF(BO1345=1,IF(AI1345&lt;=0,0,BP1345*MAX(1,IF(G1345&gt;0,AI1345/G1345,1))),AJ1345*Q1345)</f>
        <v/>
      </c>
      <c r="AL1345" s="55">
        <f>AI1345*F1345</f>
        <v/>
      </c>
      <c r="AM1345" s="55">
        <f>ROUNDUP(MAX(I1345/IF(BS1345&gt;0,BS1345,MAX(0.1,N(Cockpit!$I$6))),BV1345)/BN1345,0)*BN1345</f>
        <v/>
      </c>
      <c r="AN1345" s="56">
        <f>IF(AK1345&gt;0,I1345/AK1345,-1)</f>
        <v/>
      </c>
      <c r="AO1345" s="56">
        <f>IF(AND(OR(BR1345="L1",BR1345="L23"),AK1345&gt;0),SUMIFS($AK$7:$AK$1570,$BR$7:$BR$1570,BR1345,$AN$7:$AN$1570,"&gt;"&amp;AN1345)+SUMIFS($AK$7:$AK$1570,$BR$7:$BR$1570,BR1345,$AN$7:$AN$1570,AN1345,$BL$7:$BL$1570,"&lt;="&amp;BL1345),"")</f>
        <v/>
      </c>
      <c r="AP1345" s="65">
        <f>IF(AO1345="",0,MAX(0,MIN(1,(IF(BR1345="L1",Parameter!$K$5,Parameter!$K$6+Parameter!$K$7)-(AO1345-AK1345))/AK1345)))</f>
        <v/>
      </c>
      <c r="AQ1345" s="55">
        <f>IF(LEFT(Cockpit!$O$5,1)="A",G1345,IF(BT1345=1,BU1345,IF(LEFT(Cockpit!$O$5,1)="B",AU1345,MAX(AU1345,G1345))))</f>
        <v/>
      </c>
      <c r="AR1345" s="55">
        <f>IF(BO1345=1,0,ROUNDUP(AQ1345/BN1345,0))</f>
        <v/>
      </c>
      <c r="AS1345" s="64">
        <f>IF(BO1345=1,IF(AQ1345&lt;=0,0,BP1345*MAX(1,IF(G1345&gt;0,AQ1345/G1345,1))),AR1345*Q1345)</f>
        <v/>
      </c>
      <c r="AT1345" s="55">
        <f>AQ1345*F1345</f>
        <v/>
      </c>
      <c r="AU1345" s="55">
        <f>ROUNDUP(MAX(I1345/IF(BS1345&gt;0,BS1345,MAX(0.1,N(Cockpit!$O$6))),BV1345)/BN1345,0)*BN1345</f>
        <v/>
      </c>
      <c r="AV1345" s="56">
        <f>IF(AS1345&gt;0,I1345/AS1345,-1)</f>
        <v/>
      </c>
      <c r="AW1345" s="56">
        <f>IF(AND(OR(BR1345="L1",BR1345="L23"),AS1345&gt;0),SUMIFS($AS$7:$AS$1570,$BR$7:$BR$1570,BR1345,$AV$7:$AV$1570,"&gt;"&amp;AV1345)+SUMIFS($AS$7:$AS$1570,$BR$7:$BR$1570,BR1345,$AV$7:$AV$1570,AV1345,$BL$7:$BL$1570,"&lt;="&amp;BL1345),"")</f>
        <v/>
      </c>
      <c r="AX1345" s="65">
        <f>IF(AW1345="",0,MAX(0,MIN(1,(IF(BR1345="L1",Parameter!$K$5,Parameter!$K$6+Parameter!$K$7)-(AW1345-AS1345))/AS1345)))</f>
        <v/>
      </c>
      <c r="AY1345" s="53">
        <f>IF(AC1345&lt;=0,"",IF(BR1345="Aussen","Aussenlager",IF(BR1345="-","Nicht im Lift",IF(AH1345&gt;=1,"Lift",IF(AH1345&lt;=0,"Aussenlager","teilweise")))))</f>
        <v/>
      </c>
      <c r="AZ1345" s="53">
        <f>IF(AK1345&lt;=0,"",IF(BR1345="Aussen","Aussenlager",IF(BR1345="-","Nicht im Lift",IF(AP1345&gt;=1,"Lift",IF(AP1345&lt;=0,"Aussenlager","teilweise")))))</f>
        <v/>
      </c>
      <c r="BA1345" s="53">
        <f>IF(AS1345&lt;=0,"",IF(BR1345="Aussen","Aussenlager",IF(BR1345="-","Nicht im Lift",IF(AX1345&gt;=1,"Lift",IF(AX1345&lt;=0,"Aussenlager","teilweise")))))</f>
        <v/>
      </c>
      <c r="BB1345" s="53">
        <f>IF(A1345="","",IF(BK1345=1,"Neu; ","")&amp;IF(AND(BK1345=0,BF1345&lt;0),"negativer Bestand (Export "&amp;BF1345&amp;"); ","")&amp;IF(I1345&lt;=0,"Kein Verbrauch; ","")&amp;IF(BO1345=1,"Lose – Fläche geschätzt; ","")&amp;IF(G1345&gt;AM1345,"Überbestand "&amp;ROUND(G1345-AM1345,0)&amp;" Stk / CHF "&amp;ROUND((G1345-AM1345)*F1345,0)&amp;"; ","")&amp;IF(AND(BT1345=1,BU1345&lt;BV1345),"MAX &lt; MB+LG; ","")&amp;IF(AND(BZ1345&gt;0,BY1345*10&gt;BZ1345),"zu hoch für Tablar; ","")&amp;IF(AND(BK1345=0,OR(BT1345=1,V1345&lt;&gt;"",S1345&lt;&gt;"",T1345&lt;&gt;"",W1345&lt;&gt;"")),"manuell übersteuert; ","")&amp;IF(AND(BO1345=0,Q1345=0),"Gebinde unbekannt; ","")&amp;IF(AND(BO1345=0,N(T1345)&lt;=0,N(P1345)&lt;=0),"Menge pro Gebinde fehlt (Ist = 1 Gebinde); ","")&amp;BJ1345)</f>
        <v/>
      </c>
      <c r="BC1345" s="53" t="n"/>
      <c r="BD1345" s="53" t="n"/>
      <c r="BE1345" s="61" t="n"/>
      <c r="BF1345" s="55" t="n">
        <v>-165</v>
      </c>
      <c r="BG1345" s="55" t="n">
        <v>207</v>
      </c>
      <c r="BH1345" s="54" t="n">
        <v>-1852.2</v>
      </c>
      <c r="BI1345" s="55" t="n">
        <v>384</v>
      </c>
      <c r="BJ1345" s="53" t="inlineStr"/>
      <c r="BK1345" s="58" t="n">
        <v>0</v>
      </c>
      <c r="BL1345" s="58" t="n">
        <v>1345</v>
      </c>
      <c r="BM1345" s="53">
        <f>IF(S1345&lt;&gt;"",UPPER(TRIM(S1345)),IF(O1345="","LOSE",O1345))</f>
        <v/>
      </c>
      <c r="BN1345" s="55">
        <f>IF(BM1345="LOSE",1,IF(N(T1345)&gt;0,T1345,IF(N(P1345)&gt;0,P1345,MAX(1,G1345))))</f>
        <v/>
      </c>
      <c r="BO1345" s="58">
        <f>IF(BM1345="LOSE",1,0)</f>
        <v/>
      </c>
      <c r="BP1345" s="64">
        <f>IF(BO1345=0,0,IF(N(R1345)&gt;0,R1345,IFERROR(VLOOKUP(D1345,Parameter!$A$35:$C$64,3,0)+0,0)))</f>
        <v/>
      </c>
      <c r="BQ1345" s="53">
        <f>IF(V1345&lt;&gt;"",V1345,U1345)</f>
        <v/>
      </c>
      <c r="BR1345" s="53">
        <f>IF(BQ1345=1,"L1",IF(OR(BQ1345=2,BQ1345=3),"L23",IF(BQ1345="Aussen","Aussen","-")))</f>
        <v/>
      </c>
      <c r="BS1345" s="66">
        <f>IF(N(W1345)&gt;0,W1345,0)</f>
        <v/>
      </c>
      <c r="BT1345" s="58">
        <f>IF(ISNUMBER(Z1345),1,0)</f>
        <v/>
      </c>
      <c r="BU1345" s="55">
        <f>N(Z1345)</f>
        <v/>
      </c>
      <c r="BV1345" s="55">
        <f>N(L1345)+N(M1345)</f>
        <v/>
      </c>
      <c r="BW1345" s="55">
        <f>ROUNDUP(G1345/BN1345,0)</f>
        <v/>
      </c>
      <c r="BX1345" s="55">
        <f>ROUNDUP(BU1345/BN1345,0)</f>
        <v/>
      </c>
      <c r="BY1345" s="58">
        <f>IF(BO1345=1,0,IFERROR(VLOOKUP(BM1345,'Gebinde-Kategorie'!$A$5:$G$45,5,0)+0,0))</f>
        <v/>
      </c>
      <c r="BZ1345" s="58">
        <f>IFERROR(IF(OR(BQ1345=1,BQ1345=2,BQ1345=3),N(INDEX(Parameter!$I$5:$I$7,BQ1345)),0),0)</f>
        <v/>
      </c>
    </row>
    <row r="1346">
      <c r="A1346" s="53" t="inlineStr">
        <is>
          <t>103382</t>
        </is>
      </c>
      <c r="B1346" s="53" t="inlineStr">
        <is>
          <t>Kranbahnprofil</t>
        </is>
      </c>
      <c r="C1346" s="53" t="inlineStr">
        <is>
          <t>F</t>
        </is>
      </c>
      <c r="D1346" s="53" t="inlineStr">
        <is>
          <t>PAL</t>
        </is>
      </c>
      <c r="E1346" s="53" t="inlineStr">
        <is>
          <t>C</t>
        </is>
      </c>
      <c r="F1346" s="54" t="n">
        <v>238.48</v>
      </c>
      <c r="G1346" s="55">
        <f>MAX(0,IF(Parameter!$B$20="Jahresanfang 2025 + Export",BG1346+BF1346,BF1346))</f>
        <v/>
      </c>
      <c r="H1346" s="55">
        <f>G1346*F1346</f>
        <v/>
      </c>
      <c r="I1346" s="55">
        <f>BI1346*Parameter!$B$18</f>
        <v/>
      </c>
      <c r="J1346" s="56" t="n">
        <v>14.5</v>
      </c>
      <c r="K1346" s="57" t="n">
        <v>2.689655172413793</v>
      </c>
      <c r="L1346" s="55" t="n">
        <v>3</v>
      </c>
      <c r="M1346" s="55" t="n">
        <v>10</v>
      </c>
      <c r="N1346" s="58" t="n">
        <v>28</v>
      </c>
      <c r="O1346" s="53" t="inlineStr">
        <is>
          <t>LOSE</t>
        </is>
      </c>
      <c r="P1346" s="55" t="n"/>
      <c r="Q1346" s="59">
        <f>IF(BO1346=1,0,IFERROR(VLOOKUP(BM1346,'Gebinde-Kategorie'!$A$5:$G$45,6,0)+0,0))</f>
        <v/>
      </c>
      <c r="R1346" s="60" t="n"/>
      <c r="S1346" s="61" t="n"/>
      <c r="T1346" s="61" t="n"/>
      <c r="U1346" s="53">
        <f>IF(A1346="","",IF(IFERROR(VLOOKUP(D1346,Parameter!$A$35:$C$64,2,0),"Nein")="2+3",IF(ISNUMBER(SEARCH("grosser Artikel",BJ1346)),2,IFERROR(VLOOKUP(BM1346,Parameter!$F$35:$G$64,2,0),2)),IF(OR(IFERROR(VLOOKUP(D1346,Parameter!$A$35:$C$64,2,0),"Nein")="Nein",IFERROR(VLOOKUP(D1346,Parameter!$A$35:$C$64,2,0),"Nein")=""),"-",VLOOKUP(D1346,Parameter!$A$35:$C$64,2,0))))</f>
        <v/>
      </c>
      <c r="V1346" s="61" t="n"/>
      <c r="W1346" s="62" t="n"/>
      <c r="X1346" s="55">
        <f>AM1346</f>
        <v/>
      </c>
      <c r="Y1346" s="55">
        <f>MAX(AM1346,G1346)</f>
        <v/>
      </c>
      <c r="Z1346" s="63" t="n"/>
      <c r="AA1346" s="55">
        <f>IF(LEFT(Cockpit!$C$5,1)="A",G1346,IF(BT1346=1,BU1346,IF(LEFT(Cockpit!$C$5,1)="B",AE1346,MAX(AE1346,G1346))))</f>
        <v/>
      </c>
      <c r="AB1346" s="55">
        <f>IF(BO1346=1,0,ROUNDUP(AA1346/BN1346,0))</f>
        <v/>
      </c>
      <c r="AC1346" s="64">
        <f>IF(BO1346=1,IF(AA1346&lt;=0,0,BP1346*MAX(1,IF(G1346&gt;0,AA1346/G1346,1))),AB1346*Q1346)</f>
        <v/>
      </c>
      <c r="AD1346" s="55">
        <f>AA1346*F1346</f>
        <v/>
      </c>
      <c r="AE1346" s="55">
        <f>ROUNDUP(MAX(I1346/IF(BS1346&gt;0,BS1346,MAX(0.1,N(Cockpit!$C$6))),BV1346)/BN1346,0)*BN1346</f>
        <v/>
      </c>
      <c r="AF1346" s="56">
        <f>IF(AC1346&gt;0,I1346/AC1346,-1)</f>
        <v/>
      </c>
      <c r="AG1346" s="56">
        <f>IF(AND(OR(BR1346="L1",BR1346="L23"),AC1346&gt;0),SUMIFS($AC$7:$AC$1570,$BR$7:$BR$1570,BR1346,$AF$7:$AF$1570,"&gt;"&amp;AF1346)+SUMIFS($AC$7:$AC$1570,$BR$7:$BR$1570,BR1346,$AF$7:$AF$1570,AF1346,$BL$7:$BL$1570,"&lt;="&amp;BL1346),"")</f>
        <v/>
      </c>
      <c r="AH1346" s="65">
        <f>IF(AG1346="",0,MAX(0,MIN(1,(IF(BR1346="L1",Parameter!$K$5,Parameter!$K$6+Parameter!$K$7)-(AG1346-AC1346))/AC1346)))</f>
        <v/>
      </c>
      <c r="AI1346" s="55">
        <f>IF(LEFT(Cockpit!$I$5,1)="A",G1346,IF(BT1346=1,BU1346,IF(LEFT(Cockpit!$I$5,1)="B",AM1346,MAX(AM1346,G1346))))</f>
        <v/>
      </c>
      <c r="AJ1346" s="55">
        <f>IF(BO1346=1,0,ROUNDUP(AI1346/BN1346,0))</f>
        <v/>
      </c>
      <c r="AK1346" s="64">
        <f>IF(BO1346=1,IF(AI1346&lt;=0,0,BP1346*MAX(1,IF(G1346&gt;0,AI1346/G1346,1))),AJ1346*Q1346)</f>
        <v/>
      </c>
      <c r="AL1346" s="55">
        <f>AI1346*F1346</f>
        <v/>
      </c>
      <c r="AM1346" s="55">
        <f>ROUNDUP(MAX(I1346/IF(BS1346&gt;0,BS1346,MAX(0.1,N(Cockpit!$I$6))),BV1346)/BN1346,0)*BN1346</f>
        <v/>
      </c>
      <c r="AN1346" s="56">
        <f>IF(AK1346&gt;0,I1346/AK1346,-1)</f>
        <v/>
      </c>
      <c r="AO1346" s="56">
        <f>IF(AND(OR(BR1346="L1",BR1346="L23"),AK1346&gt;0),SUMIFS($AK$7:$AK$1570,$BR$7:$BR$1570,BR1346,$AN$7:$AN$1570,"&gt;"&amp;AN1346)+SUMIFS($AK$7:$AK$1570,$BR$7:$BR$1570,BR1346,$AN$7:$AN$1570,AN1346,$BL$7:$BL$1570,"&lt;="&amp;BL1346),"")</f>
        <v/>
      </c>
      <c r="AP1346" s="65">
        <f>IF(AO1346="",0,MAX(0,MIN(1,(IF(BR1346="L1",Parameter!$K$5,Parameter!$K$6+Parameter!$K$7)-(AO1346-AK1346))/AK1346)))</f>
        <v/>
      </c>
      <c r="AQ1346" s="55">
        <f>IF(LEFT(Cockpit!$O$5,1)="A",G1346,IF(BT1346=1,BU1346,IF(LEFT(Cockpit!$O$5,1)="B",AU1346,MAX(AU1346,G1346))))</f>
        <v/>
      </c>
      <c r="AR1346" s="55">
        <f>IF(BO1346=1,0,ROUNDUP(AQ1346/BN1346,0))</f>
        <v/>
      </c>
      <c r="AS1346" s="64">
        <f>IF(BO1346=1,IF(AQ1346&lt;=0,0,BP1346*MAX(1,IF(G1346&gt;0,AQ1346/G1346,1))),AR1346*Q1346)</f>
        <v/>
      </c>
      <c r="AT1346" s="55">
        <f>AQ1346*F1346</f>
        <v/>
      </c>
      <c r="AU1346" s="55">
        <f>ROUNDUP(MAX(I1346/IF(BS1346&gt;0,BS1346,MAX(0.1,N(Cockpit!$O$6))),BV1346)/BN1346,0)*BN1346</f>
        <v/>
      </c>
      <c r="AV1346" s="56">
        <f>IF(AS1346&gt;0,I1346/AS1346,-1)</f>
        <v/>
      </c>
      <c r="AW1346" s="56">
        <f>IF(AND(OR(BR1346="L1",BR1346="L23"),AS1346&gt;0),SUMIFS($AS$7:$AS$1570,$BR$7:$BR$1570,BR1346,$AV$7:$AV$1570,"&gt;"&amp;AV1346)+SUMIFS($AS$7:$AS$1570,$BR$7:$BR$1570,BR1346,$AV$7:$AV$1570,AV1346,$BL$7:$BL$1570,"&lt;="&amp;BL1346),"")</f>
        <v/>
      </c>
      <c r="AX1346" s="65">
        <f>IF(AW1346="",0,MAX(0,MIN(1,(IF(BR1346="L1",Parameter!$K$5,Parameter!$K$6+Parameter!$K$7)-(AW1346-AS1346))/AS1346)))</f>
        <v/>
      </c>
      <c r="AY1346" s="53">
        <f>IF(AC1346&lt;=0,"",IF(BR1346="Aussen","Aussenlager",IF(BR1346="-","Nicht im Lift",IF(AH1346&gt;=1,"Lift",IF(AH1346&lt;=0,"Aussenlager","teilweise")))))</f>
        <v/>
      </c>
      <c r="AZ1346" s="53">
        <f>IF(AK1346&lt;=0,"",IF(BR1346="Aussen","Aussenlager",IF(BR1346="-","Nicht im Lift",IF(AP1346&gt;=1,"Lift",IF(AP1346&lt;=0,"Aussenlager","teilweise")))))</f>
        <v/>
      </c>
      <c r="BA1346" s="53">
        <f>IF(AS1346&lt;=0,"",IF(BR1346="Aussen","Aussenlager",IF(BR1346="-","Nicht im Lift",IF(AX1346&gt;=1,"Lift",IF(AX1346&lt;=0,"Aussenlager","teilweise")))))</f>
        <v/>
      </c>
      <c r="BB1346" s="53">
        <f>IF(A1346="","",IF(BK1346=1,"Neu; ","")&amp;IF(AND(BK1346=0,BF1346&lt;0),"negativer Bestand (Export "&amp;BF1346&amp;"); ","")&amp;IF(I1346&lt;=0,"Kein Verbrauch; ","")&amp;IF(BO1346=1,"Lose – Fläche geschätzt; ","")&amp;IF(G1346&gt;AM1346,"Überbestand "&amp;ROUND(G1346-AM1346,0)&amp;" Stk / CHF "&amp;ROUND((G1346-AM1346)*F1346,0)&amp;"; ","")&amp;IF(AND(BT1346=1,BU1346&lt;BV1346),"MAX &lt; MB+LG; ","")&amp;IF(AND(BZ1346&gt;0,BY1346*10&gt;BZ1346),"zu hoch für Tablar; ","")&amp;IF(AND(BK1346=0,OR(BT1346=1,V1346&lt;&gt;"",S1346&lt;&gt;"",T1346&lt;&gt;"",W1346&lt;&gt;"")),"manuell übersteuert; ","")&amp;IF(AND(BO1346=0,Q1346=0),"Gebinde unbekannt; ","")&amp;IF(AND(BO1346=0,N(T1346)&lt;=0,N(P1346)&lt;=0),"Menge pro Gebinde fehlt (Ist = 1 Gebinde); ","")&amp;BJ1346)</f>
        <v/>
      </c>
      <c r="BC1346" s="53" t="n"/>
      <c r="BD1346" s="53" t="n"/>
      <c r="BE1346" s="61" t="n"/>
      <c r="BF1346" s="55" t="n">
        <v>-8</v>
      </c>
      <c r="BG1346" s="55" t="n">
        <v>19</v>
      </c>
      <c r="BH1346" s="54" t="n">
        <v>-1918.860000000001</v>
      </c>
      <c r="BI1346" s="55" t="n">
        <v>39</v>
      </c>
      <c r="BJ1346" s="53" t="inlineStr">
        <is>
          <t>grosser Artikel &amp; nicht im KTL</t>
        </is>
      </c>
      <c r="BK1346" s="58" t="n">
        <v>0</v>
      </c>
      <c r="BL1346" s="58" t="n">
        <v>1346</v>
      </c>
      <c r="BM1346" s="53">
        <f>IF(S1346&lt;&gt;"",UPPER(TRIM(S1346)),IF(O1346="","LOSE",O1346))</f>
        <v/>
      </c>
      <c r="BN1346" s="55">
        <f>IF(BM1346="LOSE",1,IF(N(T1346)&gt;0,T1346,IF(N(P1346)&gt;0,P1346,MAX(1,G1346))))</f>
        <v/>
      </c>
      <c r="BO1346" s="58">
        <f>IF(BM1346="LOSE",1,0)</f>
        <v/>
      </c>
      <c r="BP1346" s="64">
        <f>IF(BO1346=0,0,IF(N(R1346)&gt;0,R1346,IFERROR(VLOOKUP(D1346,Parameter!$A$35:$C$64,3,0)+0,0)))</f>
        <v/>
      </c>
      <c r="BQ1346" s="53">
        <f>IF(V1346&lt;&gt;"",V1346,U1346)</f>
        <v/>
      </c>
      <c r="BR1346" s="53">
        <f>IF(BQ1346=1,"L1",IF(OR(BQ1346=2,BQ1346=3),"L23",IF(BQ1346="Aussen","Aussen","-")))</f>
        <v/>
      </c>
      <c r="BS1346" s="66">
        <f>IF(N(W1346)&gt;0,W1346,0)</f>
        <v/>
      </c>
      <c r="BT1346" s="58">
        <f>IF(ISNUMBER(Z1346),1,0)</f>
        <v/>
      </c>
      <c r="BU1346" s="55">
        <f>N(Z1346)</f>
        <v/>
      </c>
      <c r="BV1346" s="55">
        <f>N(L1346)+N(M1346)</f>
        <v/>
      </c>
      <c r="BW1346" s="55">
        <f>ROUNDUP(G1346/BN1346,0)</f>
        <v/>
      </c>
      <c r="BX1346" s="55">
        <f>ROUNDUP(BU1346/BN1346,0)</f>
        <v/>
      </c>
      <c r="BY1346" s="58">
        <f>IF(BO1346=1,0,IFERROR(VLOOKUP(BM1346,'Gebinde-Kategorie'!$A$5:$G$45,5,0)+0,0))</f>
        <v/>
      </c>
      <c r="BZ1346" s="58">
        <f>IFERROR(IF(OR(BQ1346=1,BQ1346=2,BQ1346=3),N(INDEX(Parameter!$I$5:$I$7,BQ1346)),0),0)</f>
        <v/>
      </c>
    </row>
    <row r="1347">
      <c r="A1347" s="53" t="inlineStr">
        <is>
          <t>107992</t>
        </is>
      </c>
      <c r="B1347" s="53" t="inlineStr">
        <is>
          <t>Unterstützungsblech Spülluftmodul</t>
        </is>
      </c>
      <c r="C1347" s="53" t="inlineStr">
        <is>
          <t>G</t>
        </is>
      </c>
      <c r="D1347" s="53" t="inlineStr">
        <is>
          <t>PAL</t>
        </is>
      </c>
      <c r="E1347" s="53" t="inlineStr">
        <is>
          <t>C</t>
        </is>
      </c>
      <c r="F1347" s="54" t="n">
        <v>115.06</v>
      </c>
      <c r="G1347" s="55">
        <f>MAX(0,IF(Parameter!$B$20="Jahresanfang 2025 + Export",BG1347+BF1347,BF1347))</f>
        <v/>
      </c>
      <c r="H1347" s="55">
        <f>G1347*F1347</f>
        <v/>
      </c>
      <c r="I1347" s="55">
        <f>BI1347*Parameter!$B$18</f>
        <v/>
      </c>
      <c r="J1347" s="56" t="n">
        <v>16.5</v>
      </c>
      <c r="K1347" s="57" t="n">
        <v>0</v>
      </c>
      <c r="L1347" s="55" t="n">
        <v>0</v>
      </c>
      <c r="M1347" s="55" t="n">
        <v>1</v>
      </c>
      <c r="N1347" s="58" t="n">
        <v>56</v>
      </c>
      <c r="O1347" s="53" t="inlineStr">
        <is>
          <t>LOSE</t>
        </is>
      </c>
      <c r="P1347" s="55" t="n"/>
      <c r="Q1347" s="59">
        <f>IF(BO1347=1,0,IFERROR(VLOOKUP(BM1347,'Gebinde-Kategorie'!$A$5:$G$45,6,0)+0,0))</f>
        <v/>
      </c>
      <c r="R1347" s="60" t="n"/>
      <c r="S1347" s="61" t="n"/>
      <c r="T1347" s="61" t="n"/>
      <c r="U1347" s="53">
        <f>IF(A1347="","",IF(IFERROR(VLOOKUP(D1347,Parameter!$A$35:$C$64,2,0),"Nein")="2+3",IF(ISNUMBER(SEARCH("grosser Artikel",BJ1347)),2,IFERROR(VLOOKUP(BM1347,Parameter!$F$35:$G$64,2,0),2)),IF(OR(IFERROR(VLOOKUP(D1347,Parameter!$A$35:$C$64,2,0),"Nein")="Nein",IFERROR(VLOOKUP(D1347,Parameter!$A$35:$C$64,2,0),"Nein")=""),"-",VLOOKUP(D1347,Parameter!$A$35:$C$64,2,0))))</f>
        <v/>
      </c>
      <c r="V1347" s="61" t="n"/>
      <c r="W1347" s="62" t="n"/>
      <c r="X1347" s="55">
        <f>AM1347</f>
        <v/>
      </c>
      <c r="Y1347" s="55">
        <f>MAX(AM1347,G1347)</f>
        <v/>
      </c>
      <c r="Z1347" s="63" t="n"/>
      <c r="AA1347" s="55">
        <f>IF(LEFT(Cockpit!$C$5,1)="A",G1347,IF(BT1347=1,BU1347,IF(LEFT(Cockpit!$C$5,1)="B",AE1347,MAX(AE1347,G1347))))</f>
        <v/>
      </c>
      <c r="AB1347" s="55">
        <f>IF(BO1347=1,0,ROUNDUP(AA1347/BN1347,0))</f>
        <v/>
      </c>
      <c r="AC1347" s="64">
        <f>IF(BO1347=1,IF(AA1347&lt;=0,0,BP1347*MAX(1,IF(G1347&gt;0,AA1347/G1347,1))),AB1347*Q1347)</f>
        <v/>
      </c>
      <c r="AD1347" s="55">
        <f>AA1347*F1347</f>
        <v/>
      </c>
      <c r="AE1347" s="55">
        <f>ROUNDUP(MAX(I1347/IF(BS1347&gt;0,BS1347,MAX(0.1,N(Cockpit!$C$6))),BV1347)/BN1347,0)*BN1347</f>
        <v/>
      </c>
      <c r="AF1347" s="56">
        <f>IF(AC1347&gt;0,I1347/AC1347,-1)</f>
        <v/>
      </c>
      <c r="AG1347" s="56">
        <f>IF(AND(OR(BR1347="L1",BR1347="L23"),AC1347&gt;0),SUMIFS($AC$7:$AC$1570,$BR$7:$BR$1570,BR1347,$AF$7:$AF$1570,"&gt;"&amp;AF1347)+SUMIFS($AC$7:$AC$1570,$BR$7:$BR$1570,BR1347,$AF$7:$AF$1570,AF1347,$BL$7:$BL$1570,"&lt;="&amp;BL1347),"")</f>
        <v/>
      </c>
      <c r="AH1347" s="65">
        <f>IF(AG1347="",0,MAX(0,MIN(1,(IF(BR1347="L1",Parameter!$K$5,Parameter!$K$6+Parameter!$K$7)-(AG1347-AC1347))/AC1347)))</f>
        <v/>
      </c>
      <c r="AI1347" s="55">
        <f>IF(LEFT(Cockpit!$I$5,1)="A",G1347,IF(BT1347=1,BU1347,IF(LEFT(Cockpit!$I$5,1)="B",AM1347,MAX(AM1347,G1347))))</f>
        <v/>
      </c>
      <c r="AJ1347" s="55">
        <f>IF(BO1347=1,0,ROUNDUP(AI1347/BN1347,0))</f>
        <v/>
      </c>
      <c r="AK1347" s="64">
        <f>IF(BO1347=1,IF(AI1347&lt;=0,0,BP1347*MAX(1,IF(G1347&gt;0,AI1347/G1347,1))),AJ1347*Q1347)</f>
        <v/>
      </c>
      <c r="AL1347" s="55">
        <f>AI1347*F1347</f>
        <v/>
      </c>
      <c r="AM1347" s="55">
        <f>ROUNDUP(MAX(I1347/IF(BS1347&gt;0,BS1347,MAX(0.1,N(Cockpit!$I$6))),BV1347)/BN1347,0)*BN1347</f>
        <v/>
      </c>
      <c r="AN1347" s="56">
        <f>IF(AK1347&gt;0,I1347/AK1347,-1)</f>
        <v/>
      </c>
      <c r="AO1347" s="56">
        <f>IF(AND(OR(BR1347="L1",BR1347="L23"),AK1347&gt;0),SUMIFS($AK$7:$AK$1570,$BR$7:$BR$1570,BR1347,$AN$7:$AN$1570,"&gt;"&amp;AN1347)+SUMIFS($AK$7:$AK$1570,$BR$7:$BR$1570,BR1347,$AN$7:$AN$1570,AN1347,$BL$7:$BL$1570,"&lt;="&amp;BL1347),"")</f>
        <v/>
      </c>
      <c r="AP1347" s="65">
        <f>IF(AO1347="",0,MAX(0,MIN(1,(IF(BR1347="L1",Parameter!$K$5,Parameter!$K$6+Parameter!$K$7)-(AO1347-AK1347))/AK1347)))</f>
        <v/>
      </c>
      <c r="AQ1347" s="55">
        <f>IF(LEFT(Cockpit!$O$5,1)="A",G1347,IF(BT1347=1,BU1347,IF(LEFT(Cockpit!$O$5,1)="B",AU1347,MAX(AU1347,G1347))))</f>
        <v/>
      </c>
      <c r="AR1347" s="55">
        <f>IF(BO1347=1,0,ROUNDUP(AQ1347/BN1347,0))</f>
        <v/>
      </c>
      <c r="AS1347" s="64">
        <f>IF(BO1347=1,IF(AQ1347&lt;=0,0,BP1347*MAX(1,IF(G1347&gt;0,AQ1347/G1347,1))),AR1347*Q1347)</f>
        <v/>
      </c>
      <c r="AT1347" s="55">
        <f>AQ1347*F1347</f>
        <v/>
      </c>
      <c r="AU1347" s="55">
        <f>ROUNDUP(MAX(I1347/IF(BS1347&gt;0,BS1347,MAX(0.1,N(Cockpit!$O$6))),BV1347)/BN1347,0)*BN1347</f>
        <v/>
      </c>
      <c r="AV1347" s="56">
        <f>IF(AS1347&gt;0,I1347/AS1347,-1)</f>
        <v/>
      </c>
      <c r="AW1347" s="56">
        <f>IF(AND(OR(BR1347="L1",BR1347="L23"),AS1347&gt;0),SUMIFS($AS$7:$AS$1570,$BR$7:$BR$1570,BR1347,$AV$7:$AV$1570,"&gt;"&amp;AV1347)+SUMIFS($AS$7:$AS$1570,$BR$7:$BR$1570,BR1347,$AV$7:$AV$1570,AV1347,$BL$7:$BL$1570,"&lt;="&amp;BL1347),"")</f>
        <v/>
      </c>
      <c r="AX1347" s="65">
        <f>IF(AW1347="",0,MAX(0,MIN(1,(IF(BR1347="L1",Parameter!$K$5,Parameter!$K$6+Parameter!$K$7)-(AW1347-AS1347))/AS1347)))</f>
        <v/>
      </c>
      <c r="AY1347" s="53">
        <f>IF(AC1347&lt;=0,"",IF(BR1347="Aussen","Aussenlager",IF(BR1347="-","Nicht im Lift",IF(AH1347&gt;=1,"Lift",IF(AH1347&lt;=0,"Aussenlager","teilweise")))))</f>
        <v/>
      </c>
      <c r="AZ1347" s="53">
        <f>IF(AK1347&lt;=0,"",IF(BR1347="Aussen","Aussenlager",IF(BR1347="-","Nicht im Lift",IF(AP1347&gt;=1,"Lift",IF(AP1347&lt;=0,"Aussenlager","teilweise")))))</f>
        <v/>
      </c>
      <c r="BA1347" s="53">
        <f>IF(AS1347&lt;=0,"",IF(BR1347="Aussen","Aussenlager",IF(BR1347="-","Nicht im Lift",IF(AX1347&gt;=1,"Lift",IF(AX1347&lt;=0,"Aussenlager","teilweise")))))</f>
        <v/>
      </c>
      <c r="BB1347" s="53">
        <f>IF(A1347="","",IF(BK1347=1,"Neu; ","")&amp;IF(AND(BK1347=0,BF1347&lt;0),"negativer Bestand (Export "&amp;BF1347&amp;"); ","")&amp;IF(I1347&lt;=0,"Kein Verbrauch; ","")&amp;IF(BO1347=1,"Lose – Fläche geschätzt; ","")&amp;IF(G1347&gt;AM1347,"Überbestand "&amp;ROUND(G1347-AM1347,0)&amp;" Stk / CHF "&amp;ROUND((G1347-AM1347)*F1347,0)&amp;"; ","")&amp;IF(AND(BT1347=1,BU1347&lt;BV1347),"MAX &lt; MB+LG; ","")&amp;IF(AND(BZ1347&gt;0,BY1347*10&gt;BZ1347),"zu hoch für Tablar; ","")&amp;IF(AND(BK1347=0,OR(BT1347=1,V1347&lt;&gt;"",S1347&lt;&gt;"",T1347&lt;&gt;"",W1347&lt;&gt;"")),"manuell übersteuert; ","")&amp;IF(AND(BO1347=0,Q1347=0),"Gebinde unbekannt; ","")&amp;IF(AND(BO1347=0,N(T1347)&lt;=0,N(P1347)&lt;=0),"Menge pro Gebinde fehlt (Ist = 1 Gebinde); ","")&amp;BJ1347)</f>
        <v/>
      </c>
      <c r="BC1347" s="53" t="n"/>
      <c r="BD1347" s="53" t="n"/>
      <c r="BE1347" s="61" t="n"/>
      <c r="BF1347" s="55" t="n">
        <v>-17</v>
      </c>
      <c r="BG1347" s="55" t="n">
        <v>17</v>
      </c>
      <c r="BH1347" s="54" t="n">
        <v>-1956.02</v>
      </c>
      <c r="BI1347" s="55" t="n">
        <v>0</v>
      </c>
      <c r="BJ1347" s="53" t="inlineStr">
        <is>
          <t>grosser Artikel &amp; nicht im KTL</t>
        </is>
      </c>
      <c r="BK1347" s="58" t="n">
        <v>0</v>
      </c>
      <c r="BL1347" s="58" t="n">
        <v>1347</v>
      </c>
      <c r="BM1347" s="53">
        <f>IF(S1347&lt;&gt;"",UPPER(TRIM(S1347)),IF(O1347="","LOSE",O1347))</f>
        <v/>
      </c>
      <c r="BN1347" s="55">
        <f>IF(BM1347="LOSE",1,IF(N(T1347)&gt;0,T1347,IF(N(P1347)&gt;0,P1347,MAX(1,G1347))))</f>
        <v/>
      </c>
      <c r="BO1347" s="58">
        <f>IF(BM1347="LOSE",1,0)</f>
        <v/>
      </c>
      <c r="BP1347" s="64">
        <f>IF(BO1347=0,0,IF(N(R1347)&gt;0,R1347,IFERROR(VLOOKUP(D1347,Parameter!$A$35:$C$64,3,0)+0,0)))</f>
        <v/>
      </c>
      <c r="BQ1347" s="53">
        <f>IF(V1347&lt;&gt;"",V1347,U1347)</f>
        <v/>
      </c>
      <c r="BR1347" s="53">
        <f>IF(BQ1347=1,"L1",IF(OR(BQ1347=2,BQ1347=3),"L23",IF(BQ1347="Aussen","Aussen","-")))</f>
        <v/>
      </c>
      <c r="BS1347" s="66">
        <f>IF(N(W1347)&gt;0,W1347,0)</f>
        <v/>
      </c>
      <c r="BT1347" s="58">
        <f>IF(ISNUMBER(Z1347),1,0)</f>
        <v/>
      </c>
      <c r="BU1347" s="55">
        <f>N(Z1347)</f>
        <v/>
      </c>
      <c r="BV1347" s="55">
        <f>N(L1347)+N(M1347)</f>
        <v/>
      </c>
      <c r="BW1347" s="55">
        <f>ROUNDUP(G1347/BN1347,0)</f>
        <v/>
      </c>
      <c r="BX1347" s="55">
        <f>ROUNDUP(BU1347/BN1347,0)</f>
        <v/>
      </c>
      <c r="BY1347" s="58">
        <f>IF(BO1347=1,0,IFERROR(VLOOKUP(BM1347,'Gebinde-Kategorie'!$A$5:$G$45,5,0)+0,0))</f>
        <v/>
      </c>
      <c r="BZ1347" s="58">
        <f>IFERROR(IF(OR(BQ1347=1,BQ1347=2,BQ1347=3),N(INDEX(Parameter!$I$5:$I$7,BQ1347)),0),0)</f>
        <v/>
      </c>
    </row>
    <row r="1348">
      <c r="A1348" s="53" t="inlineStr">
        <is>
          <t>109171</t>
        </is>
      </c>
      <c r="B1348" s="53" t="inlineStr">
        <is>
          <t>Bündelanschlussschlauch Druckluft</t>
        </is>
      </c>
      <c r="C1348" s="53" t="inlineStr">
        <is>
          <t>F</t>
        </is>
      </c>
      <c r="D1348" s="53" t="inlineStr">
        <is>
          <t>PAL</t>
        </is>
      </c>
      <c r="E1348" s="53" t="inlineStr">
        <is>
          <t>C</t>
        </is>
      </c>
      <c r="F1348" s="54" t="n">
        <v>393.01</v>
      </c>
      <c r="G1348" s="55">
        <f>MAX(0,IF(Parameter!$B$20="Jahresanfang 2025 + Export",BG1348+BF1348,BF1348))</f>
        <v/>
      </c>
      <c r="H1348" s="55">
        <f>G1348*F1348</f>
        <v/>
      </c>
      <c r="I1348" s="55">
        <f>BI1348*Parameter!$B$18</f>
        <v/>
      </c>
      <c r="J1348" s="56" t="n">
        <v>6.5</v>
      </c>
      <c r="K1348" s="57" t="n">
        <v>0.1538461538461539</v>
      </c>
      <c r="L1348" s="55" t="n">
        <v>0</v>
      </c>
      <c r="M1348" s="55" t="n">
        <v>1</v>
      </c>
      <c r="N1348" s="58" t="n">
        <v>35</v>
      </c>
      <c r="O1348" s="53" t="inlineStr">
        <is>
          <t>S71</t>
        </is>
      </c>
      <c r="P1348" s="55" t="n">
        <v>10</v>
      </c>
      <c r="Q1348" s="59">
        <f>IF(BO1348=1,0,IFERROR(VLOOKUP(BM1348,'Gebinde-Kategorie'!$A$5:$G$45,6,0)+0,0))</f>
        <v/>
      </c>
      <c r="R1348" s="60" t="n"/>
      <c r="S1348" s="61" t="n"/>
      <c r="T1348" s="61" t="n"/>
      <c r="U1348" s="53">
        <f>IF(A1348="","",IF(IFERROR(VLOOKUP(D1348,Parameter!$A$35:$C$64,2,0),"Nein")="2+3",IF(ISNUMBER(SEARCH("grosser Artikel",BJ1348)),2,IFERROR(VLOOKUP(BM1348,Parameter!$F$35:$G$64,2,0),2)),IF(OR(IFERROR(VLOOKUP(D1348,Parameter!$A$35:$C$64,2,0),"Nein")="Nein",IFERROR(VLOOKUP(D1348,Parameter!$A$35:$C$64,2,0),"Nein")=""),"-",VLOOKUP(D1348,Parameter!$A$35:$C$64,2,0))))</f>
        <v/>
      </c>
      <c r="V1348" s="61" t="n"/>
      <c r="W1348" s="62" t="n"/>
      <c r="X1348" s="55">
        <f>AM1348</f>
        <v/>
      </c>
      <c r="Y1348" s="55">
        <f>MAX(AM1348,G1348)</f>
        <v/>
      </c>
      <c r="Z1348" s="63" t="n"/>
      <c r="AA1348" s="55">
        <f>IF(LEFT(Cockpit!$C$5,1)="A",G1348,IF(BT1348=1,BU1348,IF(LEFT(Cockpit!$C$5,1)="B",AE1348,MAX(AE1348,G1348))))</f>
        <v/>
      </c>
      <c r="AB1348" s="55">
        <f>IF(BO1348=1,0,ROUNDUP(AA1348/BN1348,0))</f>
        <v/>
      </c>
      <c r="AC1348" s="64">
        <f>IF(BO1348=1,IF(AA1348&lt;=0,0,BP1348*MAX(1,IF(G1348&gt;0,AA1348/G1348,1))),AB1348*Q1348)</f>
        <v/>
      </c>
      <c r="AD1348" s="55">
        <f>AA1348*F1348</f>
        <v/>
      </c>
      <c r="AE1348" s="55">
        <f>ROUNDUP(MAX(I1348/IF(BS1348&gt;0,BS1348,MAX(0.1,N(Cockpit!$C$6))),BV1348)/BN1348,0)*BN1348</f>
        <v/>
      </c>
      <c r="AF1348" s="56">
        <f>IF(AC1348&gt;0,I1348/AC1348,-1)</f>
        <v/>
      </c>
      <c r="AG1348" s="56">
        <f>IF(AND(OR(BR1348="L1",BR1348="L23"),AC1348&gt;0),SUMIFS($AC$7:$AC$1570,$BR$7:$BR$1570,BR1348,$AF$7:$AF$1570,"&gt;"&amp;AF1348)+SUMIFS($AC$7:$AC$1570,$BR$7:$BR$1570,BR1348,$AF$7:$AF$1570,AF1348,$BL$7:$BL$1570,"&lt;="&amp;BL1348),"")</f>
        <v/>
      </c>
      <c r="AH1348" s="65">
        <f>IF(AG1348="",0,MAX(0,MIN(1,(IF(BR1348="L1",Parameter!$K$5,Parameter!$K$6+Parameter!$K$7)-(AG1348-AC1348))/AC1348)))</f>
        <v/>
      </c>
      <c r="AI1348" s="55">
        <f>IF(LEFT(Cockpit!$I$5,1)="A",G1348,IF(BT1348=1,BU1348,IF(LEFT(Cockpit!$I$5,1)="B",AM1348,MAX(AM1348,G1348))))</f>
        <v/>
      </c>
      <c r="AJ1348" s="55">
        <f>IF(BO1348=1,0,ROUNDUP(AI1348/BN1348,0))</f>
        <v/>
      </c>
      <c r="AK1348" s="64">
        <f>IF(BO1348=1,IF(AI1348&lt;=0,0,BP1348*MAX(1,IF(G1348&gt;0,AI1348/G1348,1))),AJ1348*Q1348)</f>
        <v/>
      </c>
      <c r="AL1348" s="55">
        <f>AI1348*F1348</f>
        <v/>
      </c>
      <c r="AM1348" s="55">
        <f>ROUNDUP(MAX(I1348/IF(BS1348&gt;0,BS1348,MAX(0.1,N(Cockpit!$I$6))),BV1348)/BN1348,0)*BN1348</f>
        <v/>
      </c>
      <c r="AN1348" s="56">
        <f>IF(AK1348&gt;0,I1348/AK1348,-1)</f>
        <v/>
      </c>
      <c r="AO1348" s="56">
        <f>IF(AND(OR(BR1348="L1",BR1348="L23"),AK1348&gt;0),SUMIFS($AK$7:$AK$1570,$BR$7:$BR$1570,BR1348,$AN$7:$AN$1570,"&gt;"&amp;AN1348)+SUMIFS($AK$7:$AK$1570,$BR$7:$BR$1570,BR1348,$AN$7:$AN$1570,AN1348,$BL$7:$BL$1570,"&lt;="&amp;BL1348),"")</f>
        <v/>
      </c>
      <c r="AP1348" s="65">
        <f>IF(AO1348="",0,MAX(0,MIN(1,(IF(BR1348="L1",Parameter!$K$5,Parameter!$K$6+Parameter!$K$7)-(AO1348-AK1348))/AK1348)))</f>
        <v/>
      </c>
      <c r="AQ1348" s="55">
        <f>IF(LEFT(Cockpit!$O$5,1)="A",G1348,IF(BT1348=1,BU1348,IF(LEFT(Cockpit!$O$5,1)="B",AU1348,MAX(AU1348,G1348))))</f>
        <v/>
      </c>
      <c r="AR1348" s="55">
        <f>IF(BO1348=1,0,ROUNDUP(AQ1348/BN1348,0))</f>
        <v/>
      </c>
      <c r="AS1348" s="64">
        <f>IF(BO1348=1,IF(AQ1348&lt;=0,0,BP1348*MAX(1,IF(G1348&gt;0,AQ1348/G1348,1))),AR1348*Q1348)</f>
        <v/>
      </c>
      <c r="AT1348" s="55">
        <f>AQ1348*F1348</f>
        <v/>
      </c>
      <c r="AU1348" s="55">
        <f>ROUNDUP(MAX(I1348/IF(BS1348&gt;0,BS1348,MAX(0.1,N(Cockpit!$O$6))),BV1348)/BN1348,0)*BN1348</f>
        <v/>
      </c>
      <c r="AV1348" s="56">
        <f>IF(AS1348&gt;0,I1348/AS1348,-1)</f>
        <v/>
      </c>
      <c r="AW1348" s="56">
        <f>IF(AND(OR(BR1348="L1",BR1348="L23"),AS1348&gt;0),SUMIFS($AS$7:$AS$1570,$BR$7:$BR$1570,BR1348,$AV$7:$AV$1570,"&gt;"&amp;AV1348)+SUMIFS($AS$7:$AS$1570,$BR$7:$BR$1570,BR1348,$AV$7:$AV$1570,AV1348,$BL$7:$BL$1570,"&lt;="&amp;BL1348),"")</f>
        <v/>
      </c>
      <c r="AX1348" s="65">
        <f>IF(AW1348="",0,MAX(0,MIN(1,(IF(BR1348="L1",Parameter!$K$5,Parameter!$K$6+Parameter!$K$7)-(AW1348-AS1348))/AS1348)))</f>
        <v/>
      </c>
      <c r="AY1348" s="53">
        <f>IF(AC1348&lt;=0,"",IF(BR1348="Aussen","Aussenlager",IF(BR1348="-","Nicht im Lift",IF(AH1348&gt;=1,"Lift",IF(AH1348&lt;=0,"Aussenlager","teilweise")))))</f>
        <v/>
      </c>
      <c r="AZ1348" s="53">
        <f>IF(AK1348&lt;=0,"",IF(BR1348="Aussen","Aussenlager",IF(BR1348="-","Nicht im Lift",IF(AP1348&gt;=1,"Lift",IF(AP1348&lt;=0,"Aussenlager","teilweise")))))</f>
        <v/>
      </c>
      <c r="BA1348" s="53">
        <f>IF(AS1348&lt;=0,"",IF(BR1348="Aussen","Aussenlager",IF(BR1348="-","Nicht im Lift",IF(AX1348&gt;=1,"Lift",IF(AX1348&lt;=0,"Aussenlager","teilweise")))))</f>
        <v/>
      </c>
      <c r="BB1348" s="53">
        <f>IF(A1348="","",IF(BK1348=1,"Neu; ","")&amp;IF(AND(BK1348=0,BF1348&lt;0),"negativer Bestand (Export "&amp;BF1348&amp;"); ","")&amp;IF(I1348&lt;=0,"Kein Verbrauch; ","")&amp;IF(BO1348=1,"Lose – Fläche geschätzt; ","")&amp;IF(G1348&gt;AM1348,"Überbestand "&amp;ROUND(G1348-AM1348,0)&amp;" Stk / CHF "&amp;ROUND((G1348-AM1348)*F1348,0)&amp;"; ","")&amp;IF(AND(BT1348=1,BU1348&lt;BV1348),"MAX &lt; MB+LG; ","")&amp;IF(AND(BZ1348&gt;0,BY1348*10&gt;BZ1348),"zu hoch für Tablar; ","")&amp;IF(AND(BK1348=0,OR(BT1348=1,V1348&lt;&gt;"",S1348&lt;&gt;"",T1348&lt;&gt;"",W1348&lt;&gt;"")),"manuell übersteuert; ","")&amp;IF(AND(BO1348=0,Q1348=0),"Gebinde unbekannt; ","")&amp;IF(AND(BO1348=0,N(T1348)&lt;=0,N(P1348)&lt;=0),"Menge pro Gebinde fehlt (Ist = 1 Gebinde); ","")&amp;BJ1348)</f>
        <v/>
      </c>
      <c r="BC1348" s="53" t="n"/>
      <c r="BD1348" s="53" t="n"/>
      <c r="BE1348" s="61" t="n"/>
      <c r="BF1348" s="55" t="n">
        <v>-5</v>
      </c>
      <c r="BG1348" s="55" t="n">
        <v>9</v>
      </c>
      <c r="BH1348" s="54" t="n">
        <v>-1965.05</v>
      </c>
      <c r="BI1348" s="55" t="n">
        <v>1</v>
      </c>
      <c r="BJ1348" s="53" t="inlineStr"/>
      <c r="BK1348" s="58" t="n">
        <v>0</v>
      </c>
      <c r="BL1348" s="58" t="n">
        <v>1348</v>
      </c>
      <c r="BM1348" s="53">
        <f>IF(S1348&lt;&gt;"",UPPER(TRIM(S1348)),IF(O1348="","LOSE",O1348))</f>
        <v/>
      </c>
      <c r="BN1348" s="55">
        <f>IF(BM1348="LOSE",1,IF(N(T1348)&gt;0,T1348,IF(N(P1348)&gt;0,P1348,MAX(1,G1348))))</f>
        <v/>
      </c>
      <c r="BO1348" s="58">
        <f>IF(BM1348="LOSE",1,0)</f>
        <v/>
      </c>
      <c r="BP1348" s="64">
        <f>IF(BO1348=0,0,IF(N(R1348)&gt;0,R1348,IFERROR(VLOOKUP(D1348,Parameter!$A$35:$C$64,3,0)+0,0)))</f>
        <v/>
      </c>
      <c r="BQ1348" s="53">
        <f>IF(V1348&lt;&gt;"",V1348,U1348)</f>
        <v/>
      </c>
      <c r="BR1348" s="53">
        <f>IF(BQ1348=1,"L1",IF(OR(BQ1348=2,BQ1348=3),"L23",IF(BQ1348="Aussen","Aussen","-")))</f>
        <v/>
      </c>
      <c r="BS1348" s="66">
        <f>IF(N(W1348)&gt;0,W1348,0)</f>
        <v/>
      </c>
      <c r="BT1348" s="58">
        <f>IF(ISNUMBER(Z1348),1,0)</f>
        <v/>
      </c>
      <c r="BU1348" s="55">
        <f>N(Z1348)</f>
        <v/>
      </c>
      <c r="BV1348" s="55">
        <f>N(L1348)+N(M1348)</f>
        <v/>
      </c>
      <c r="BW1348" s="55">
        <f>ROUNDUP(G1348/BN1348,0)</f>
        <v/>
      </c>
      <c r="BX1348" s="55">
        <f>ROUNDUP(BU1348/BN1348,0)</f>
        <v/>
      </c>
      <c r="BY1348" s="58">
        <f>IF(BO1348=1,0,IFERROR(VLOOKUP(BM1348,'Gebinde-Kategorie'!$A$5:$G$45,5,0)+0,0))</f>
        <v/>
      </c>
      <c r="BZ1348" s="58">
        <f>IFERROR(IF(OR(BQ1348=1,BQ1348=2,BQ1348=3),N(INDEX(Parameter!$I$5:$I$7,BQ1348)),0),0)</f>
        <v/>
      </c>
    </row>
    <row r="1349">
      <c r="A1349" s="53" t="inlineStr">
        <is>
          <t>OC-105719</t>
        </is>
      </c>
      <c r="B1349" s="53" t="inlineStr">
        <is>
          <t>Steuerschrank SUB</t>
        </is>
      </c>
      <c r="C1349" s="53" t="inlineStr">
        <is>
          <t>F</t>
        </is>
      </c>
      <c r="D1349" s="53" t="inlineStr">
        <is>
          <t>OCC</t>
        </is>
      </c>
      <c r="E1349" s="53" t="inlineStr">
        <is>
          <t>C</t>
        </is>
      </c>
      <c r="F1349" s="54" t="n">
        <v>1997.24</v>
      </c>
      <c r="G1349" s="55">
        <f>MAX(0,IF(Parameter!$B$20="Jahresanfang 2025 + Export",BG1349+BF1349,BF1349))</f>
        <v/>
      </c>
      <c r="H1349" s="55">
        <f>G1349*F1349</f>
        <v/>
      </c>
      <c r="I1349" s="55">
        <f>BI1349*Parameter!$B$18</f>
        <v/>
      </c>
      <c r="J1349" s="56" t="n">
        <v>0.5</v>
      </c>
      <c r="K1349" s="57" t="n">
        <v>2</v>
      </c>
      <c r="L1349" s="55" t="n">
        <v>0</v>
      </c>
      <c r="M1349" s="55" t="n">
        <v>1</v>
      </c>
      <c r="N1349" s="58" t="n">
        <v>0</v>
      </c>
      <c r="O1349" s="53" t="inlineStr">
        <is>
          <t>LOSE</t>
        </is>
      </c>
      <c r="P1349" s="55" t="n"/>
      <c r="Q1349" s="59">
        <f>IF(BO1349=1,0,IFERROR(VLOOKUP(BM1349,'Gebinde-Kategorie'!$A$5:$G$45,6,0)+0,0))</f>
        <v/>
      </c>
      <c r="R1349" s="60" t="n"/>
      <c r="S1349" s="61" t="n"/>
      <c r="T1349" s="61" t="n"/>
      <c r="U1349" s="53">
        <f>IF(A1349="","",IF(IFERROR(VLOOKUP(D1349,Parameter!$A$35:$C$64,2,0),"Nein")="2+3",IF(ISNUMBER(SEARCH("grosser Artikel",BJ1349)),2,IFERROR(VLOOKUP(BM1349,Parameter!$F$35:$G$64,2,0),2)),IF(OR(IFERROR(VLOOKUP(D1349,Parameter!$A$35:$C$64,2,0),"Nein")="Nein",IFERROR(VLOOKUP(D1349,Parameter!$A$35:$C$64,2,0),"Nein")=""),"-",VLOOKUP(D1349,Parameter!$A$35:$C$64,2,0))))</f>
        <v/>
      </c>
      <c r="V1349" s="61" t="n"/>
      <c r="W1349" s="62" t="n"/>
      <c r="X1349" s="55">
        <f>AM1349</f>
        <v/>
      </c>
      <c r="Y1349" s="55">
        <f>MAX(AM1349,G1349)</f>
        <v/>
      </c>
      <c r="Z1349" s="63" t="n"/>
      <c r="AA1349" s="55">
        <f>IF(LEFT(Cockpit!$C$5,1)="A",G1349,IF(BT1349=1,BU1349,IF(LEFT(Cockpit!$C$5,1)="B",AE1349,MAX(AE1349,G1349))))</f>
        <v/>
      </c>
      <c r="AB1349" s="55">
        <f>IF(BO1349=1,0,ROUNDUP(AA1349/BN1349,0))</f>
        <v/>
      </c>
      <c r="AC1349" s="64">
        <f>IF(BO1349=1,IF(AA1349&lt;=0,0,BP1349*MAX(1,IF(G1349&gt;0,AA1349/G1349,1))),AB1349*Q1349)</f>
        <v/>
      </c>
      <c r="AD1349" s="55">
        <f>AA1349*F1349</f>
        <v/>
      </c>
      <c r="AE1349" s="55">
        <f>ROUNDUP(MAX(I1349/IF(BS1349&gt;0,BS1349,MAX(0.1,N(Cockpit!$C$6))),BV1349)/BN1349,0)*BN1349</f>
        <v/>
      </c>
      <c r="AF1349" s="56">
        <f>IF(AC1349&gt;0,I1349/AC1349,-1)</f>
        <v/>
      </c>
      <c r="AG1349" s="56">
        <f>IF(AND(OR(BR1349="L1",BR1349="L23"),AC1349&gt;0),SUMIFS($AC$7:$AC$1570,$BR$7:$BR$1570,BR1349,$AF$7:$AF$1570,"&gt;"&amp;AF1349)+SUMIFS($AC$7:$AC$1570,$BR$7:$BR$1570,BR1349,$AF$7:$AF$1570,AF1349,$BL$7:$BL$1570,"&lt;="&amp;BL1349),"")</f>
        <v/>
      </c>
      <c r="AH1349" s="65">
        <f>IF(AG1349="",0,MAX(0,MIN(1,(IF(BR1349="L1",Parameter!$K$5,Parameter!$K$6+Parameter!$K$7)-(AG1349-AC1349))/AC1349)))</f>
        <v/>
      </c>
      <c r="AI1349" s="55">
        <f>IF(LEFT(Cockpit!$I$5,1)="A",G1349,IF(BT1349=1,BU1349,IF(LEFT(Cockpit!$I$5,1)="B",AM1349,MAX(AM1349,G1349))))</f>
        <v/>
      </c>
      <c r="AJ1349" s="55">
        <f>IF(BO1349=1,0,ROUNDUP(AI1349/BN1349,0))</f>
        <v/>
      </c>
      <c r="AK1349" s="64">
        <f>IF(BO1349=1,IF(AI1349&lt;=0,0,BP1349*MAX(1,IF(G1349&gt;0,AI1349/G1349,1))),AJ1349*Q1349)</f>
        <v/>
      </c>
      <c r="AL1349" s="55">
        <f>AI1349*F1349</f>
        <v/>
      </c>
      <c r="AM1349" s="55">
        <f>ROUNDUP(MAX(I1349/IF(BS1349&gt;0,BS1349,MAX(0.1,N(Cockpit!$I$6))),BV1349)/BN1349,0)*BN1349</f>
        <v/>
      </c>
      <c r="AN1349" s="56">
        <f>IF(AK1349&gt;0,I1349/AK1349,-1)</f>
        <v/>
      </c>
      <c r="AO1349" s="56">
        <f>IF(AND(OR(BR1349="L1",BR1349="L23"),AK1349&gt;0),SUMIFS($AK$7:$AK$1570,$BR$7:$BR$1570,BR1349,$AN$7:$AN$1570,"&gt;"&amp;AN1349)+SUMIFS($AK$7:$AK$1570,$BR$7:$BR$1570,BR1349,$AN$7:$AN$1570,AN1349,$BL$7:$BL$1570,"&lt;="&amp;BL1349),"")</f>
        <v/>
      </c>
      <c r="AP1349" s="65">
        <f>IF(AO1349="",0,MAX(0,MIN(1,(IF(BR1349="L1",Parameter!$K$5,Parameter!$K$6+Parameter!$K$7)-(AO1349-AK1349))/AK1349)))</f>
        <v/>
      </c>
      <c r="AQ1349" s="55">
        <f>IF(LEFT(Cockpit!$O$5,1)="A",G1349,IF(BT1349=1,BU1349,IF(LEFT(Cockpit!$O$5,1)="B",AU1349,MAX(AU1349,G1349))))</f>
        <v/>
      </c>
      <c r="AR1349" s="55">
        <f>IF(BO1349=1,0,ROUNDUP(AQ1349/BN1349,0))</f>
        <v/>
      </c>
      <c r="AS1349" s="64">
        <f>IF(BO1349=1,IF(AQ1349&lt;=0,0,BP1349*MAX(1,IF(G1349&gt;0,AQ1349/G1349,1))),AR1349*Q1349)</f>
        <v/>
      </c>
      <c r="AT1349" s="55">
        <f>AQ1349*F1349</f>
        <v/>
      </c>
      <c r="AU1349" s="55">
        <f>ROUNDUP(MAX(I1349/IF(BS1349&gt;0,BS1349,MAX(0.1,N(Cockpit!$O$6))),BV1349)/BN1349,0)*BN1349</f>
        <v/>
      </c>
      <c r="AV1349" s="56">
        <f>IF(AS1349&gt;0,I1349/AS1349,-1)</f>
        <v/>
      </c>
      <c r="AW1349" s="56">
        <f>IF(AND(OR(BR1349="L1",BR1349="L23"),AS1349&gt;0),SUMIFS($AS$7:$AS$1570,$BR$7:$BR$1570,BR1349,$AV$7:$AV$1570,"&gt;"&amp;AV1349)+SUMIFS($AS$7:$AS$1570,$BR$7:$BR$1570,BR1349,$AV$7:$AV$1570,AV1349,$BL$7:$BL$1570,"&lt;="&amp;BL1349),"")</f>
        <v/>
      </c>
      <c r="AX1349" s="65">
        <f>IF(AW1349="",0,MAX(0,MIN(1,(IF(BR1349="L1",Parameter!$K$5,Parameter!$K$6+Parameter!$K$7)-(AW1349-AS1349))/AS1349)))</f>
        <v/>
      </c>
      <c r="AY1349" s="53">
        <f>IF(AC1349&lt;=0,"",IF(BR1349="Aussen","Aussenlager",IF(BR1349="-","Nicht im Lift",IF(AH1349&gt;=1,"Lift",IF(AH1349&lt;=0,"Aussenlager","teilweise")))))</f>
        <v/>
      </c>
      <c r="AZ1349" s="53">
        <f>IF(AK1349&lt;=0,"",IF(BR1349="Aussen","Aussenlager",IF(BR1349="-","Nicht im Lift",IF(AP1349&gt;=1,"Lift",IF(AP1349&lt;=0,"Aussenlager","teilweise")))))</f>
        <v/>
      </c>
      <c r="BA1349" s="53">
        <f>IF(AS1349&lt;=0,"",IF(BR1349="Aussen","Aussenlager",IF(BR1349="-","Nicht im Lift",IF(AX1349&gt;=1,"Lift",IF(AX1349&lt;=0,"Aussenlager","teilweise")))))</f>
        <v/>
      </c>
      <c r="BB1349" s="53">
        <f>IF(A1349="","",IF(BK1349=1,"Neu; ","")&amp;IF(AND(BK1349=0,BF1349&lt;0),"negativer Bestand (Export "&amp;BF1349&amp;"); ","")&amp;IF(I1349&lt;=0,"Kein Verbrauch; ","")&amp;IF(BO1349=1,"Lose – Fläche geschätzt; ","")&amp;IF(G1349&gt;AM1349,"Überbestand "&amp;ROUND(G1349-AM1349,0)&amp;" Stk / CHF "&amp;ROUND((G1349-AM1349)*F1349,0)&amp;"; ","")&amp;IF(AND(BT1349=1,BU1349&lt;BV1349),"MAX &lt; MB+LG; ","")&amp;IF(AND(BZ1349&gt;0,BY1349*10&gt;BZ1349),"zu hoch für Tablar; ","")&amp;IF(AND(BK1349=0,OR(BT1349=1,V1349&lt;&gt;"",S1349&lt;&gt;"",T1349&lt;&gt;"",W1349&lt;&gt;"")),"manuell übersteuert; ","")&amp;IF(AND(BO1349=0,Q1349=0),"Gebinde unbekannt; ","")&amp;IF(AND(BO1349=0,N(T1349)&lt;=0,N(P1349)&lt;=0),"Menge pro Gebinde fehlt (Ist = 1 Gebinde); ","")&amp;BJ1349)</f>
        <v/>
      </c>
      <c r="BC1349" s="53" t="n"/>
      <c r="BD1349" s="53" t="n"/>
      <c r="BE1349" s="61" t="n"/>
      <c r="BF1349" s="55" t="n">
        <v>-1</v>
      </c>
      <c r="BG1349" s="55" t="n">
        <v>1</v>
      </c>
      <c r="BH1349" s="54" t="n">
        <v>-1997.24</v>
      </c>
      <c r="BI1349" s="55" t="n">
        <v>1</v>
      </c>
      <c r="BJ1349" s="53" t="inlineStr"/>
      <c r="BK1349" s="58" t="n">
        <v>0</v>
      </c>
      <c r="BL1349" s="58" t="n">
        <v>1349</v>
      </c>
      <c r="BM1349" s="53">
        <f>IF(S1349&lt;&gt;"",UPPER(TRIM(S1349)),IF(O1349="","LOSE",O1349))</f>
        <v/>
      </c>
      <c r="BN1349" s="55">
        <f>IF(BM1349="LOSE",1,IF(N(T1349)&gt;0,T1349,IF(N(P1349)&gt;0,P1349,MAX(1,G1349))))</f>
        <v/>
      </c>
      <c r="BO1349" s="58">
        <f>IF(BM1349="LOSE",1,0)</f>
        <v/>
      </c>
      <c r="BP1349" s="64">
        <f>IF(BO1349=0,0,IF(N(R1349)&gt;0,R1349,IFERROR(VLOOKUP(D1349,Parameter!$A$35:$C$64,3,0)+0,0)))</f>
        <v/>
      </c>
      <c r="BQ1349" s="53">
        <f>IF(V1349&lt;&gt;"",V1349,U1349)</f>
        <v/>
      </c>
      <c r="BR1349" s="53">
        <f>IF(BQ1349=1,"L1",IF(OR(BQ1349=2,BQ1349=3),"L23",IF(BQ1349="Aussen","Aussen","-")))</f>
        <v/>
      </c>
      <c r="BS1349" s="66">
        <f>IF(N(W1349)&gt;0,W1349,0)</f>
        <v/>
      </c>
      <c r="BT1349" s="58">
        <f>IF(ISNUMBER(Z1349),1,0)</f>
        <v/>
      </c>
      <c r="BU1349" s="55">
        <f>N(Z1349)</f>
        <v/>
      </c>
      <c r="BV1349" s="55">
        <f>N(L1349)+N(M1349)</f>
        <v/>
      </c>
      <c r="BW1349" s="55">
        <f>ROUNDUP(G1349/BN1349,0)</f>
        <v/>
      </c>
      <c r="BX1349" s="55">
        <f>ROUNDUP(BU1349/BN1349,0)</f>
        <v/>
      </c>
      <c r="BY1349" s="58">
        <f>IF(BO1349=1,0,IFERROR(VLOOKUP(BM1349,'Gebinde-Kategorie'!$A$5:$G$45,5,0)+0,0))</f>
        <v/>
      </c>
      <c r="BZ1349" s="58">
        <f>IFERROR(IF(OR(BQ1349=1,BQ1349=2,BQ1349=3),N(INDEX(Parameter!$I$5:$I$7,BQ1349)),0),0)</f>
        <v/>
      </c>
    </row>
    <row r="1350">
      <c r="A1350" s="53" t="inlineStr">
        <is>
          <t>107710</t>
        </is>
      </c>
      <c r="B1350" s="53" t="inlineStr">
        <is>
          <t>Austrittsdüse SPGr10</t>
        </is>
      </c>
      <c r="C1350" s="53" t="inlineStr">
        <is>
          <t>G</t>
        </is>
      </c>
      <c r="D1350" s="53" t="inlineStr">
        <is>
          <t>LIFT1</t>
        </is>
      </c>
      <c r="E1350" s="53" t="inlineStr">
        <is>
          <t>C</t>
        </is>
      </c>
      <c r="F1350" s="54" t="n">
        <v>1004.29</v>
      </c>
      <c r="G1350" s="55">
        <f>MAX(0,IF(Parameter!$B$20="Jahresanfang 2025 + Export",BG1350+BF1350,BF1350))</f>
        <v/>
      </c>
      <c r="H1350" s="55">
        <f>G1350*F1350</f>
        <v/>
      </c>
      <c r="I1350" s="55">
        <f>BI1350*Parameter!$B$18</f>
        <v/>
      </c>
      <c r="J1350" s="56" t="n">
        <v>1.5</v>
      </c>
      <c r="K1350" s="57" t="n">
        <v>0.6666666666666666</v>
      </c>
      <c r="L1350" s="55" t="n">
        <v>0</v>
      </c>
      <c r="M1350" s="55" t="n">
        <v>1</v>
      </c>
      <c r="N1350" s="58" t="n">
        <v>35</v>
      </c>
      <c r="O1350" s="53" t="inlineStr">
        <is>
          <t>LOSE</t>
        </is>
      </c>
      <c r="P1350" s="55" t="n"/>
      <c r="Q1350" s="59">
        <f>IF(BO1350=1,0,IFERROR(VLOOKUP(BM1350,'Gebinde-Kategorie'!$A$5:$G$45,6,0)+0,0))</f>
        <v/>
      </c>
      <c r="R1350" s="60" t="n"/>
      <c r="S1350" s="61" t="n"/>
      <c r="T1350" s="61" t="n"/>
      <c r="U1350" s="53">
        <f>IF(A1350="","",IF(IFERROR(VLOOKUP(D1350,Parameter!$A$35:$C$64,2,0),"Nein")="2+3",IF(ISNUMBER(SEARCH("grosser Artikel",BJ1350)),2,IFERROR(VLOOKUP(BM1350,Parameter!$F$35:$G$64,2,0),2)),IF(OR(IFERROR(VLOOKUP(D1350,Parameter!$A$35:$C$64,2,0),"Nein")="Nein",IFERROR(VLOOKUP(D1350,Parameter!$A$35:$C$64,2,0),"Nein")=""),"-",VLOOKUP(D1350,Parameter!$A$35:$C$64,2,0))))</f>
        <v/>
      </c>
      <c r="V1350" s="61" t="n"/>
      <c r="W1350" s="62" t="n"/>
      <c r="X1350" s="55">
        <f>AM1350</f>
        <v/>
      </c>
      <c r="Y1350" s="55">
        <f>MAX(AM1350,G1350)</f>
        <v/>
      </c>
      <c r="Z1350" s="63" t="n"/>
      <c r="AA1350" s="55">
        <f>IF(LEFT(Cockpit!$C$5,1)="A",G1350,IF(BT1350=1,BU1350,IF(LEFT(Cockpit!$C$5,1)="B",AE1350,MAX(AE1350,G1350))))</f>
        <v/>
      </c>
      <c r="AB1350" s="55">
        <f>IF(BO1350=1,0,ROUNDUP(AA1350/BN1350,0))</f>
        <v/>
      </c>
      <c r="AC1350" s="64">
        <f>IF(BO1350=1,IF(AA1350&lt;=0,0,BP1350*MAX(1,IF(G1350&gt;0,AA1350/G1350,1))),AB1350*Q1350)</f>
        <v/>
      </c>
      <c r="AD1350" s="55">
        <f>AA1350*F1350</f>
        <v/>
      </c>
      <c r="AE1350" s="55">
        <f>ROUNDUP(MAX(I1350/IF(BS1350&gt;0,BS1350,MAX(0.1,N(Cockpit!$C$6))),BV1350)/BN1350,0)*BN1350</f>
        <v/>
      </c>
      <c r="AF1350" s="56">
        <f>IF(AC1350&gt;0,I1350/AC1350,-1)</f>
        <v/>
      </c>
      <c r="AG1350" s="56">
        <f>IF(AND(OR(BR1350="L1",BR1350="L23"),AC1350&gt;0),SUMIFS($AC$7:$AC$1570,$BR$7:$BR$1570,BR1350,$AF$7:$AF$1570,"&gt;"&amp;AF1350)+SUMIFS($AC$7:$AC$1570,$BR$7:$BR$1570,BR1350,$AF$7:$AF$1570,AF1350,$BL$7:$BL$1570,"&lt;="&amp;BL1350),"")</f>
        <v/>
      </c>
      <c r="AH1350" s="65">
        <f>IF(AG1350="",0,MAX(0,MIN(1,(IF(BR1350="L1",Parameter!$K$5,Parameter!$K$6+Parameter!$K$7)-(AG1350-AC1350))/AC1350)))</f>
        <v/>
      </c>
      <c r="AI1350" s="55">
        <f>IF(LEFT(Cockpit!$I$5,1)="A",G1350,IF(BT1350=1,BU1350,IF(LEFT(Cockpit!$I$5,1)="B",AM1350,MAX(AM1350,G1350))))</f>
        <v/>
      </c>
      <c r="AJ1350" s="55">
        <f>IF(BO1350=1,0,ROUNDUP(AI1350/BN1350,0))</f>
        <v/>
      </c>
      <c r="AK1350" s="64">
        <f>IF(BO1350=1,IF(AI1350&lt;=0,0,BP1350*MAX(1,IF(G1350&gt;0,AI1350/G1350,1))),AJ1350*Q1350)</f>
        <v/>
      </c>
      <c r="AL1350" s="55">
        <f>AI1350*F1350</f>
        <v/>
      </c>
      <c r="AM1350" s="55">
        <f>ROUNDUP(MAX(I1350/IF(BS1350&gt;0,BS1350,MAX(0.1,N(Cockpit!$I$6))),BV1350)/BN1350,0)*BN1350</f>
        <v/>
      </c>
      <c r="AN1350" s="56">
        <f>IF(AK1350&gt;0,I1350/AK1350,-1)</f>
        <v/>
      </c>
      <c r="AO1350" s="56">
        <f>IF(AND(OR(BR1350="L1",BR1350="L23"),AK1350&gt;0),SUMIFS($AK$7:$AK$1570,$BR$7:$BR$1570,BR1350,$AN$7:$AN$1570,"&gt;"&amp;AN1350)+SUMIFS($AK$7:$AK$1570,$BR$7:$BR$1570,BR1350,$AN$7:$AN$1570,AN1350,$BL$7:$BL$1570,"&lt;="&amp;BL1350),"")</f>
        <v/>
      </c>
      <c r="AP1350" s="65">
        <f>IF(AO1350="",0,MAX(0,MIN(1,(IF(BR1350="L1",Parameter!$K$5,Parameter!$K$6+Parameter!$K$7)-(AO1350-AK1350))/AK1350)))</f>
        <v/>
      </c>
      <c r="AQ1350" s="55">
        <f>IF(LEFT(Cockpit!$O$5,1)="A",G1350,IF(BT1350=1,BU1350,IF(LEFT(Cockpit!$O$5,1)="B",AU1350,MAX(AU1350,G1350))))</f>
        <v/>
      </c>
      <c r="AR1350" s="55">
        <f>IF(BO1350=1,0,ROUNDUP(AQ1350/BN1350,0))</f>
        <v/>
      </c>
      <c r="AS1350" s="64">
        <f>IF(BO1350=1,IF(AQ1350&lt;=0,0,BP1350*MAX(1,IF(G1350&gt;0,AQ1350/G1350,1))),AR1350*Q1350)</f>
        <v/>
      </c>
      <c r="AT1350" s="55">
        <f>AQ1350*F1350</f>
        <v/>
      </c>
      <c r="AU1350" s="55">
        <f>ROUNDUP(MAX(I1350/IF(BS1350&gt;0,BS1350,MAX(0.1,N(Cockpit!$O$6))),BV1350)/BN1350,0)*BN1350</f>
        <v/>
      </c>
      <c r="AV1350" s="56">
        <f>IF(AS1350&gt;0,I1350/AS1350,-1)</f>
        <v/>
      </c>
      <c r="AW1350" s="56">
        <f>IF(AND(OR(BR1350="L1",BR1350="L23"),AS1350&gt;0),SUMIFS($AS$7:$AS$1570,$BR$7:$BR$1570,BR1350,$AV$7:$AV$1570,"&gt;"&amp;AV1350)+SUMIFS($AS$7:$AS$1570,$BR$7:$BR$1570,BR1350,$AV$7:$AV$1570,AV1350,$BL$7:$BL$1570,"&lt;="&amp;BL1350),"")</f>
        <v/>
      </c>
      <c r="AX1350" s="65">
        <f>IF(AW1350="",0,MAX(0,MIN(1,(IF(BR1350="L1",Parameter!$K$5,Parameter!$K$6+Parameter!$K$7)-(AW1350-AS1350))/AS1350)))</f>
        <v/>
      </c>
      <c r="AY1350" s="53">
        <f>IF(AC1350&lt;=0,"",IF(BR1350="Aussen","Aussenlager",IF(BR1350="-","Nicht im Lift",IF(AH1350&gt;=1,"Lift",IF(AH1350&lt;=0,"Aussenlager","teilweise")))))</f>
        <v/>
      </c>
      <c r="AZ1350" s="53">
        <f>IF(AK1350&lt;=0,"",IF(BR1350="Aussen","Aussenlager",IF(BR1350="-","Nicht im Lift",IF(AP1350&gt;=1,"Lift",IF(AP1350&lt;=0,"Aussenlager","teilweise")))))</f>
        <v/>
      </c>
      <c r="BA1350" s="53">
        <f>IF(AS1350&lt;=0,"",IF(BR1350="Aussen","Aussenlager",IF(BR1350="-","Nicht im Lift",IF(AX1350&gt;=1,"Lift",IF(AX1350&lt;=0,"Aussenlager","teilweise")))))</f>
        <v/>
      </c>
      <c r="BB1350" s="53">
        <f>IF(A1350="","",IF(BK1350=1,"Neu; ","")&amp;IF(AND(BK1350=0,BF1350&lt;0),"negativer Bestand (Export "&amp;BF1350&amp;"); ","")&amp;IF(I1350&lt;=0,"Kein Verbrauch; ","")&amp;IF(BO1350=1,"Lose – Fläche geschätzt; ","")&amp;IF(G1350&gt;AM1350,"Überbestand "&amp;ROUND(G1350-AM1350,0)&amp;" Stk / CHF "&amp;ROUND((G1350-AM1350)*F1350,0)&amp;"; ","")&amp;IF(AND(BT1350=1,BU1350&lt;BV1350),"MAX &lt; MB+LG; ","")&amp;IF(AND(BZ1350&gt;0,BY1350*10&gt;BZ1350),"zu hoch für Tablar; ","")&amp;IF(AND(BK1350=0,OR(BT1350=1,V1350&lt;&gt;"",S1350&lt;&gt;"",T1350&lt;&gt;"",W1350&lt;&gt;"")),"manuell übersteuert; ","")&amp;IF(AND(BO1350=0,Q1350=0),"Gebinde unbekannt; ","")&amp;IF(AND(BO1350=0,N(T1350)&lt;=0,N(P1350)&lt;=0),"Menge pro Gebinde fehlt (Ist = 1 Gebinde); ","")&amp;BJ1350)</f>
        <v/>
      </c>
      <c r="BC1350" s="53" t="n"/>
      <c r="BD1350" s="53" t="n"/>
      <c r="BE1350" s="61" t="n"/>
      <c r="BF1350" s="55" t="n">
        <v>-2</v>
      </c>
      <c r="BG1350" s="55" t="n">
        <v>2</v>
      </c>
      <c r="BH1350" s="54" t="n">
        <v>-2008.58</v>
      </c>
      <c r="BI1350" s="55" t="n">
        <v>1</v>
      </c>
      <c r="BJ1350" s="53" t="inlineStr">
        <is>
          <t>Neuer Art.</t>
        </is>
      </c>
      <c r="BK1350" s="58" t="n">
        <v>0</v>
      </c>
      <c r="BL1350" s="58" t="n">
        <v>1350</v>
      </c>
      <c r="BM1350" s="53">
        <f>IF(S1350&lt;&gt;"",UPPER(TRIM(S1350)),IF(O1350="","LOSE",O1350))</f>
        <v/>
      </c>
      <c r="BN1350" s="55">
        <f>IF(BM1350="LOSE",1,IF(N(T1350)&gt;0,T1350,IF(N(P1350)&gt;0,P1350,MAX(1,G1350))))</f>
        <v/>
      </c>
      <c r="BO1350" s="58">
        <f>IF(BM1350="LOSE",1,0)</f>
        <v/>
      </c>
      <c r="BP1350" s="64">
        <f>IF(BO1350=0,0,IF(N(R1350)&gt;0,R1350,IFERROR(VLOOKUP(D1350,Parameter!$A$35:$C$64,3,0)+0,0)))</f>
        <v/>
      </c>
      <c r="BQ1350" s="53">
        <f>IF(V1350&lt;&gt;"",V1350,U1350)</f>
        <v/>
      </c>
      <c r="BR1350" s="53">
        <f>IF(BQ1350=1,"L1",IF(OR(BQ1350=2,BQ1350=3),"L23",IF(BQ1350="Aussen","Aussen","-")))</f>
        <v/>
      </c>
      <c r="BS1350" s="66">
        <f>IF(N(W1350)&gt;0,W1350,0)</f>
        <v/>
      </c>
      <c r="BT1350" s="58">
        <f>IF(ISNUMBER(Z1350),1,0)</f>
        <v/>
      </c>
      <c r="BU1350" s="55">
        <f>N(Z1350)</f>
        <v/>
      </c>
      <c r="BV1350" s="55">
        <f>N(L1350)+N(M1350)</f>
        <v/>
      </c>
      <c r="BW1350" s="55">
        <f>ROUNDUP(G1350/BN1350,0)</f>
        <v/>
      </c>
      <c r="BX1350" s="55">
        <f>ROUNDUP(BU1350/BN1350,0)</f>
        <v/>
      </c>
      <c r="BY1350" s="58">
        <f>IF(BO1350=1,0,IFERROR(VLOOKUP(BM1350,'Gebinde-Kategorie'!$A$5:$G$45,5,0)+0,0))</f>
        <v/>
      </c>
      <c r="BZ1350" s="58">
        <f>IFERROR(IF(OR(BQ1350=1,BQ1350=2,BQ1350=3),N(INDEX(Parameter!$I$5:$I$7,BQ1350)),0),0)</f>
        <v/>
      </c>
    </row>
    <row r="1351">
      <c r="A1351" s="53" t="inlineStr">
        <is>
          <t>108475</t>
        </is>
      </c>
      <c r="B1351" s="53" t="inlineStr">
        <is>
          <t>Austrittsdüse SPGr10</t>
        </is>
      </c>
      <c r="C1351" s="53" t="inlineStr">
        <is>
          <t>F</t>
        </is>
      </c>
      <c r="D1351" s="53" t="inlineStr">
        <is>
          <t>LIFT1</t>
        </is>
      </c>
      <c r="E1351" s="53" t="inlineStr">
        <is>
          <t>C</t>
        </is>
      </c>
      <c r="F1351" s="54" t="n">
        <v>2008.66</v>
      </c>
      <c r="G1351" s="55">
        <f>MAX(0,IF(Parameter!$B$20="Jahresanfang 2025 + Export",BG1351+BF1351,BF1351))</f>
        <v/>
      </c>
      <c r="H1351" s="55">
        <f>G1351*F1351</f>
        <v/>
      </c>
      <c r="I1351" s="55">
        <f>BI1351*Parameter!$B$18</f>
        <v/>
      </c>
      <c r="J1351" s="56" t="n">
        <v>10</v>
      </c>
      <c r="K1351" s="57" t="n">
        <v>0</v>
      </c>
      <c r="L1351" s="55" t="n">
        <v>0</v>
      </c>
      <c r="M1351" s="55" t="n">
        <v>5</v>
      </c>
      <c r="N1351" s="58" t="n">
        <v>86</v>
      </c>
      <c r="O1351" s="53" t="inlineStr">
        <is>
          <t>LOSE</t>
        </is>
      </c>
      <c r="P1351" s="55" t="n"/>
      <c r="Q1351" s="59">
        <f>IF(BO1351=1,0,IFERROR(VLOOKUP(BM1351,'Gebinde-Kategorie'!$A$5:$G$45,6,0)+0,0))</f>
        <v/>
      </c>
      <c r="R1351" s="60" t="n"/>
      <c r="S1351" s="61" t="n"/>
      <c r="T1351" s="61" t="n"/>
      <c r="U1351" s="53">
        <f>IF(A1351="","",IF(IFERROR(VLOOKUP(D1351,Parameter!$A$35:$C$64,2,0),"Nein")="2+3",IF(ISNUMBER(SEARCH("grosser Artikel",BJ1351)),2,IFERROR(VLOOKUP(BM1351,Parameter!$F$35:$G$64,2,0),2)),IF(OR(IFERROR(VLOOKUP(D1351,Parameter!$A$35:$C$64,2,0),"Nein")="Nein",IFERROR(VLOOKUP(D1351,Parameter!$A$35:$C$64,2,0),"Nein")=""),"-",VLOOKUP(D1351,Parameter!$A$35:$C$64,2,0))))</f>
        <v/>
      </c>
      <c r="V1351" s="61" t="n"/>
      <c r="W1351" s="62" t="n"/>
      <c r="X1351" s="55">
        <f>AM1351</f>
        <v/>
      </c>
      <c r="Y1351" s="55">
        <f>MAX(AM1351,G1351)</f>
        <v/>
      </c>
      <c r="Z1351" s="63" t="n"/>
      <c r="AA1351" s="55">
        <f>IF(LEFT(Cockpit!$C$5,1)="A",G1351,IF(BT1351=1,BU1351,IF(LEFT(Cockpit!$C$5,1)="B",AE1351,MAX(AE1351,G1351))))</f>
        <v/>
      </c>
      <c r="AB1351" s="55">
        <f>IF(BO1351=1,0,ROUNDUP(AA1351/BN1351,0))</f>
        <v/>
      </c>
      <c r="AC1351" s="64">
        <f>IF(BO1351=1,IF(AA1351&lt;=0,0,BP1351*MAX(1,IF(G1351&gt;0,AA1351/G1351,1))),AB1351*Q1351)</f>
        <v/>
      </c>
      <c r="AD1351" s="55">
        <f>AA1351*F1351</f>
        <v/>
      </c>
      <c r="AE1351" s="55">
        <f>ROUNDUP(MAX(I1351/IF(BS1351&gt;0,BS1351,MAX(0.1,N(Cockpit!$C$6))),BV1351)/BN1351,0)*BN1351</f>
        <v/>
      </c>
      <c r="AF1351" s="56">
        <f>IF(AC1351&gt;0,I1351/AC1351,-1)</f>
        <v/>
      </c>
      <c r="AG1351" s="56">
        <f>IF(AND(OR(BR1351="L1",BR1351="L23"),AC1351&gt;0),SUMIFS($AC$7:$AC$1570,$BR$7:$BR$1570,BR1351,$AF$7:$AF$1570,"&gt;"&amp;AF1351)+SUMIFS($AC$7:$AC$1570,$BR$7:$BR$1570,BR1351,$AF$7:$AF$1570,AF1351,$BL$7:$BL$1570,"&lt;="&amp;BL1351),"")</f>
        <v/>
      </c>
      <c r="AH1351" s="65">
        <f>IF(AG1351="",0,MAX(0,MIN(1,(IF(BR1351="L1",Parameter!$K$5,Parameter!$K$6+Parameter!$K$7)-(AG1351-AC1351))/AC1351)))</f>
        <v/>
      </c>
      <c r="AI1351" s="55">
        <f>IF(LEFT(Cockpit!$I$5,1)="A",G1351,IF(BT1351=1,BU1351,IF(LEFT(Cockpit!$I$5,1)="B",AM1351,MAX(AM1351,G1351))))</f>
        <v/>
      </c>
      <c r="AJ1351" s="55">
        <f>IF(BO1351=1,0,ROUNDUP(AI1351/BN1351,0))</f>
        <v/>
      </c>
      <c r="AK1351" s="64">
        <f>IF(BO1351=1,IF(AI1351&lt;=0,0,BP1351*MAX(1,IF(G1351&gt;0,AI1351/G1351,1))),AJ1351*Q1351)</f>
        <v/>
      </c>
      <c r="AL1351" s="55">
        <f>AI1351*F1351</f>
        <v/>
      </c>
      <c r="AM1351" s="55">
        <f>ROUNDUP(MAX(I1351/IF(BS1351&gt;0,BS1351,MAX(0.1,N(Cockpit!$I$6))),BV1351)/BN1351,0)*BN1351</f>
        <v/>
      </c>
      <c r="AN1351" s="56">
        <f>IF(AK1351&gt;0,I1351/AK1351,-1)</f>
        <v/>
      </c>
      <c r="AO1351" s="56">
        <f>IF(AND(OR(BR1351="L1",BR1351="L23"),AK1351&gt;0),SUMIFS($AK$7:$AK$1570,$BR$7:$BR$1570,BR1351,$AN$7:$AN$1570,"&gt;"&amp;AN1351)+SUMIFS($AK$7:$AK$1570,$BR$7:$BR$1570,BR1351,$AN$7:$AN$1570,AN1351,$BL$7:$BL$1570,"&lt;="&amp;BL1351),"")</f>
        <v/>
      </c>
      <c r="AP1351" s="65">
        <f>IF(AO1351="",0,MAX(0,MIN(1,(IF(BR1351="L1",Parameter!$K$5,Parameter!$K$6+Parameter!$K$7)-(AO1351-AK1351))/AK1351)))</f>
        <v/>
      </c>
      <c r="AQ1351" s="55">
        <f>IF(LEFT(Cockpit!$O$5,1)="A",G1351,IF(BT1351=1,BU1351,IF(LEFT(Cockpit!$O$5,1)="B",AU1351,MAX(AU1351,G1351))))</f>
        <v/>
      </c>
      <c r="AR1351" s="55">
        <f>IF(BO1351=1,0,ROUNDUP(AQ1351/BN1351,0))</f>
        <v/>
      </c>
      <c r="AS1351" s="64">
        <f>IF(BO1351=1,IF(AQ1351&lt;=0,0,BP1351*MAX(1,IF(G1351&gt;0,AQ1351/G1351,1))),AR1351*Q1351)</f>
        <v/>
      </c>
      <c r="AT1351" s="55">
        <f>AQ1351*F1351</f>
        <v/>
      </c>
      <c r="AU1351" s="55">
        <f>ROUNDUP(MAX(I1351/IF(BS1351&gt;0,BS1351,MAX(0.1,N(Cockpit!$O$6))),BV1351)/BN1351,0)*BN1351</f>
        <v/>
      </c>
      <c r="AV1351" s="56">
        <f>IF(AS1351&gt;0,I1351/AS1351,-1)</f>
        <v/>
      </c>
      <c r="AW1351" s="56">
        <f>IF(AND(OR(BR1351="L1",BR1351="L23"),AS1351&gt;0),SUMIFS($AS$7:$AS$1570,$BR$7:$BR$1570,BR1351,$AV$7:$AV$1570,"&gt;"&amp;AV1351)+SUMIFS($AS$7:$AS$1570,$BR$7:$BR$1570,BR1351,$AV$7:$AV$1570,AV1351,$BL$7:$BL$1570,"&lt;="&amp;BL1351),"")</f>
        <v/>
      </c>
      <c r="AX1351" s="65">
        <f>IF(AW1351="",0,MAX(0,MIN(1,(IF(BR1351="L1",Parameter!$K$5,Parameter!$K$6+Parameter!$K$7)-(AW1351-AS1351))/AS1351)))</f>
        <v/>
      </c>
      <c r="AY1351" s="53">
        <f>IF(AC1351&lt;=0,"",IF(BR1351="Aussen","Aussenlager",IF(BR1351="-","Nicht im Lift",IF(AH1351&gt;=1,"Lift",IF(AH1351&lt;=0,"Aussenlager","teilweise")))))</f>
        <v/>
      </c>
      <c r="AZ1351" s="53">
        <f>IF(AK1351&lt;=0,"",IF(BR1351="Aussen","Aussenlager",IF(BR1351="-","Nicht im Lift",IF(AP1351&gt;=1,"Lift",IF(AP1351&lt;=0,"Aussenlager","teilweise")))))</f>
        <v/>
      </c>
      <c r="BA1351" s="53">
        <f>IF(AS1351&lt;=0,"",IF(BR1351="Aussen","Aussenlager",IF(BR1351="-","Nicht im Lift",IF(AX1351&gt;=1,"Lift",IF(AX1351&lt;=0,"Aussenlager","teilweise")))))</f>
        <v/>
      </c>
      <c r="BB1351" s="53">
        <f>IF(A1351="","",IF(BK1351=1,"Neu; ","")&amp;IF(AND(BK1351=0,BF1351&lt;0),"negativer Bestand (Export "&amp;BF1351&amp;"); ","")&amp;IF(I1351&lt;=0,"Kein Verbrauch; ","")&amp;IF(BO1351=1,"Lose – Fläche geschätzt; ","")&amp;IF(G1351&gt;AM1351,"Überbestand "&amp;ROUND(G1351-AM1351,0)&amp;" Stk / CHF "&amp;ROUND((G1351-AM1351)*F1351,0)&amp;"; ","")&amp;IF(AND(BT1351=1,BU1351&lt;BV1351),"MAX &lt; MB+LG; ","")&amp;IF(AND(BZ1351&gt;0,BY1351*10&gt;BZ1351),"zu hoch für Tablar; ","")&amp;IF(AND(BK1351=0,OR(BT1351=1,V1351&lt;&gt;"",S1351&lt;&gt;"",T1351&lt;&gt;"",W1351&lt;&gt;"")),"manuell übersteuert; ","")&amp;IF(AND(BO1351=0,Q1351=0),"Gebinde unbekannt; ","")&amp;IF(AND(BO1351=0,N(T1351)&lt;=0,N(P1351)&lt;=0),"Menge pro Gebinde fehlt (Ist = 1 Gebinde); ","")&amp;BJ1351)</f>
        <v/>
      </c>
      <c r="BC1351" s="53" t="n"/>
      <c r="BD1351" s="53" t="n"/>
      <c r="BE1351" s="61" t="n"/>
      <c r="BF1351" s="55" t="n">
        <v>-1</v>
      </c>
      <c r="BG1351" s="55" t="n">
        <v>10</v>
      </c>
      <c r="BH1351" s="54" t="n">
        <v>-2008.659999999999</v>
      </c>
      <c r="BI1351" s="55" t="n">
        <v>0</v>
      </c>
      <c r="BJ1351" s="53" t="inlineStr"/>
      <c r="BK1351" s="58" t="n">
        <v>0</v>
      </c>
      <c r="BL1351" s="58" t="n">
        <v>1351</v>
      </c>
      <c r="BM1351" s="53">
        <f>IF(S1351&lt;&gt;"",UPPER(TRIM(S1351)),IF(O1351="","LOSE",O1351))</f>
        <v/>
      </c>
      <c r="BN1351" s="55">
        <f>IF(BM1351="LOSE",1,IF(N(T1351)&gt;0,T1351,IF(N(P1351)&gt;0,P1351,MAX(1,G1351))))</f>
        <v/>
      </c>
      <c r="BO1351" s="58">
        <f>IF(BM1351="LOSE",1,0)</f>
        <v/>
      </c>
      <c r="BP1351" s="64">
        <f>IF(BO1351=0,0,IF(N(R1351)&gt;0,R1351,IFERROR(VLOOKUP(D1351,Parameter!$A$35:$C$64,3,0)+0,0)))</f>
        <v/>
      </c>
      <c r="BQ1351" s="53">
        <f>IF(V1351&lt;&gt;"",V1351,U1351)</f>
        <v/>
      </c>
      <c r="BR1351" s="53">
        <f>IF(BQ1351=1,"L1",IF(OR(BQ1351=2,BQ1351=3),"L23",IF(BQ1351="Aussen","Aussen","-")))</f>
        <v/>
      </c>
      <c r="BS1351" s="66">
        <f>IF(N(W1351)&gt;0,W1351,0)</f>
        <v/>
      </c>
      <c r="BT1351" s="58">
        <f>IF(ISNUMBER(Z1351),1,0)</f>
        <v/>
      </c>
      <c r="BU1351" s="55">
        <f>N(Z1351)</f>
        <v/>
      </c>
      <c r="BV1351" s="55">
        <f>N(L1351)+N(M1351)</f>
        <v/>
      </c>
      <c r="BW1351" s="55">
        <f>ROUNDUP(G1351/BN1351,0)</f>
        <v/>
      </c>
      <c r="BX1351" s="55">
        <f>ROUNDUP(BU1351/BN1351,0)</f>
        <v/>
      </c>
      <c r="BY1351" s="58">
        <f>IF(BO1351=1,0,IFERROR(VLOOKUP(BM1351,'Gebinde-Kategorie'!$A$5:$G$45,5,0)+0,0))</f>
        <v/>
      </c>
      <c r="BZ1351" s="58">
        <f>IFERROR(IF(OR(BQ1351=1,BQ1351=2,BQ1351=3),N(INDEX(Parameter!$I$5:$I$7,BQ1351)),0),0)</f>
        <v/>
      </c>
    </row>
    <row r="1352">
      <c r="A1352" s="53" t="inlineStr">
        <is>
          <t>106948</t>
        </is>
      </c>
      <c r="B1352" s="53" t="inlineStr">
        <is>
          <t>Busmodul für Safe I/O-Module</t>
        </is>
      </c>
      <c r="C1352" s="53" t="inlineStr">
        <is>
          <t>F</t>
        </is>
      </c>
      <c r="D1352" s="53" t="inlineStr">
        <is>
          <t>KTL</t>
        </is>
      </c>
      <c r="E1352" s="53" t="inlineStr">
        <is>
          <t>C</t>
        </is>
      </c>
      <c r="F1352" s="54" t="n">
        <v>14.73</v>
      </c>
      <c r="G1352" s="55">
        <f>MAX(0,IF(Parameter!$B$20="Jahresanfang 2025 + Export",BG1352+BF1352,BF1352))</f>
        <v/>
      </c>
      <c r="H1352" s="55">
        <f>G1352*F1352</f>
        <v/>
      </c>
      <c r="I1352" s="55">
        <f>BI1352*Parameter!$B$18</f>
        <v/>
      </c>
      <c r="J1352" s="56" t="n">
        <v>126</v>
      </c>
      <c r="K1352" s="57" t="n">
        <v>1.492063492063492</v>
      </c>
      <c r="L1352" s="55" t="n">
        <v>35</v>
      </c>
      <c r="M1352" s="55" t="n">
        <v>190</v>
      </c>
      <c r="N1352" s="58" t="n">
        <v>63</v>
      </c>
      <c r="O1352" s="53" t="inlineStr">
        <is>
          <t>S63</t>
        </is>
      </c>
      <c r="P1352" s="55" t="n">
        <v>100</v>
      </c>
      <c r="Q1352" s="59">
        <f>IF(BO1352=1,0,IFERROR(VLOOKUP(BM1352,'Gebinde-Kategorie'!$A$5:$G$45,6,0)+0,0))</f>
        <v/>
      </c>
      <c r="R1352" s="60" t="n"/>
      <c r="S1352" s="61" t="n"/>
      <c r="T1352" s="61" t="n"/>
      <c r="U1352" s="53">
        <f>IF(A1352="","",IF(IFERROR(VLOOKUP(D1352,Parameter!$A$35:$C$64,2,0),"Nein")="2+3",IF(ISNUMBER(SEARCH("grosser Artikel",BJ1352)),2,IFERROR(VLOOKUP(BM1352,Parameter!$F$35:$G$64,2,0),2)),IF(OR(IFERROR(VLOOKUP(D1352,Parameter!$A$35:$C$64,2,0),"Nein")="Nein",IFERROR(VLOOKUP(D1352,Parameter!$A$35:$C$64,2,0),"Nein")=""),"-",VLOOKUP(D1352,Parameter!$A$35:$C$64,2,0))))</f>
        <v/>
      </c>
      <c r="V1352" s="61" t="n"/>
      <c r="W1352" s="62" t="n"/>
      <c r="X1352" s="55">
        <f>AM1352</f>
        <v/>
      </c>
      <c r="Y1352" s="55">
        <f>MAX(AM1352,G1352)</f>
        <v/>
      </c>
      <c r="Z1352" s="63" t="n"/>
      <c r="AA1352" s="55">
        <f>IF(LEFT(Cockpit!$C$5,1)="A",G1352,IF(BT1352=1,BU1352,IF(LEFT(Cockpit!$C$5,1)="B",AE1352,MAX(AE1352,G1352))))</f>
        <v/>
      </c>
      <c r="AB1352" s="55">
        <f>IF(BO1352=1,0,ROUNDUP(AA1352/BN1352,0))</f>
        <v/>
      </c>
      <c r="AC1352" s="64">
        <f>IF(BO1352=1,IF(AA1352&lt;=0,0,BP1352*MAX(1,IF(G1352&gt;0,AA1352/G1352,1))),AB1352*Q1352)</f>
        <v/>
      </c>
      <c r="AD1352" s="55">
        <f>AA1352*F1352</f>
        <v/>
      </c>
      <c r="AE1352" s="55">
        <f>ROUNDUP(MAX(I1352/IF(BS1352&gt;0,BS1352,MAX(0.1,N(Cockpit!$C$6))),BV1352)/BN1352,0)*BN1352</f>
        <v/>
      </c>
      <c r="AF1352" s="56">
        <f>IF(AC1352&gt;0,I1352/AC1352,-1)</f>
        <v/>
      </c>
      <c r="AG1352" s="56">
        <f>IF(AND(OR(BR1352="L1",BR1352="L23"),AC1352&gt;0),SUMIFS($AC$7:$AC$1570,$BR$7:$BR$1570,BR1352,$AF$7:$AF$1570,"&gt;"&amp;AF1352)+SUMIFS($AC$7:$AC$1570,$BR$7:$BR$1570,BR1352,$AF$7:$AF$1570,AF1352,$BL$7:$BL$1570,"&lt;="&amp;BL1352),"")</f>
        <v/>
      </c>
      <c r="AH1352" s="65">
        <f>IF(AG1352="",0,MAX(0,MIN(1,(IF(BR1352="L1",Parameter!$K$5,Parameter!$K$6+Parameter!$K$7)-(AG1352-AC1352))/AC1352)))</f>
        <v/>
      </c>
      <c r="AI1352" s="55">
        <f>IF(LEFT(Cockpit!$I$5,1)="A",G1352,IF(BT1352=1,BU1352,IF(LEFT(Cockpit!$I$5,1)="B",AM1352,MAX(AM1352,G1352))))</f>
        <v/>
      </c>
      <c r="AJ1352" s="55">
        <f>IF(BO1352=1,0,ROUNDUP(AI1352/BN1352,0))</f>
        <v/>
      </c>
      <c r="AK1352" s="64">
        <f>IF(BO1352=1,IF(AI1352&lt;=0,0,BP1352*MAX(1,IF(G1352&gt;0,AI1352/G1352,1))),AJ1352*Q1352)</f>
        <v/>
      </c>
      <c r="AL1352" s="55">
        <f>AI1352*F1352</f>
        <v/>
      </c>
      <c r="AM1352" s="55">
        <f>ROUNDUP(MAX(I1352/IF(BS1352&gt;0,BS1352,MAX(0.1,N(Cockpit!$I$6))),BV1352)/BN1352,0)*BN1352</f>
        <v/>
      </c>
      <c r="AN1352" s="56">
        <f>IF(AK1352&gt;0,I1352/AK1352,-1)</f>
        <v/>
      </c>
      <c r="AO1352" s="56">
        <f>IF(AND(OR(BR1352="L1",BR1352="L23"),AK1352&gt;0),SUMIFS($AK$7:$AK$1570,$BR$7:$BR$1570,BR1352,$AN$7:$AN$1570,"&gt;"&amp;AN1352)+SUMIFS($AK$7:$AK$1570,$BR$7:$BR$1570,BR1352,$AN$7:$AN$1570,AN1352,$BL$7:$BL$1570,"&lt;="&amp;BL1352),"")</f>
        <v/>
      </c>
      <c r="AP1352" s="65">
        <f>IF(AO1352="",0,MAX(0,MIN(1,(IF(BR1352="L1",Parameter!$K$5,Parameter!$K$6+Parameter!$K$7)-(AO1352-AK1352))/AK1352)))</f>
        <v/>
      </c>
      <c r="AQ1352" s="55">
        <f>IF(LEFT(Cockpit!$O$5,1)="A",G1352,IF(BT1352=1,BU1352,IF(LEFT(Cockpit!$O$5,1)="B",AU1352,MAX(AU1352,G1352))))</f>
        <v/>
      </c>
      <c r="AR1352" s="55">
        <f>IF(BO1352=1,0,ROUNDUP(AQ1352/BN1352,0))</f>
        <v/>
      </c>
      <c r="AS1352" s="64">
        <f>IF(BO1352=1,IF(AQ1352&lt;=0,0,BP1352*MAX(1,IF(G1352&gt;0,AQ1352/G1352,1))),AR1352*Q1352)</f>
        <v/>
      </c>
      <c r="AT1352" s="55">
        <f>AQ1352*F1352</f>
        <v/>
      </c>
      <c r="AU1352" s="55">
        <f>ROUNDUP(MAX(I1352/IF(BS1352&gt;0,BS1352,MAX(0.1,N(Cockpit!$O$6))),BV1352)/BN1352,0)*BN1352</f>
        <v/>
      </c>
      <c r="AV1352" s="56">
        <f>IF(AS1352&gt;0,I1352/AS1352,-1)</f>
        <v/>
      </c>
      <c r="AW1352" s="56">
        <f>IF(AND(OR(BR1352="L1",BR1352="L23"),AS1352&gt;0),SUMIFS($AS$7:$AS$1570,$BR$7:$BR$1570,BR1352,$AV$7:$AV$1570,"&gt;"&amp;AV1352)+SUMIFS($AS$7:$AS$1570,$BR$7:$BR$1570,BR1352,$AV$7:$AV$1570,AV1352,$BL$7:$BL$1570,"&lt;="&amp;BL1352),"")</f>
        <v/>
      </c>
      <c r="AX1352" s="65">
        <f>IF(AW1352="",0,MAX(0,MIN(1,(IF(BR1352="L1",Parameter!$K$5,Parameter!$K$6+Parameter!$K$7)-(AW1352-AS1352))/AS1352)))</f>
        <v/>
      </c>
      <c r="AY1352" s="53">
        <f>IF(AC1352&lt;=0,"",IF(BR1352="Aussen","Aussenlager",IF(BR1352="-","Nicht im Lift",IF(AH1352&gt;=1,"Lift",IF(AH1352&lt;=0,"Aussenlager","teilweise")))))</f>
        <v/>
      </c>
      <c r="AZ1352" s="53">
        <f>IF(AK1352&lt;=0,"",IF(BR1352="Aussen","Aussenlager",IF(BR1352="-","Nicht im Lift",IF(AP1352&gt;=1,"Lift",IF(AP1352&lt;=0,"Aussenlager","teilweise")))))</f>
        <v/>
      </c>
      <c r="BA1352" s="53">
        <f>IF(AS1352&lt;=0,"",IF(BR1352="Aussen","Aussenlager",IF(BR1352="-","Nicht im Lift",IF(AX1352&gt;=1,"Lift",IF(AX1352&lt;=0,"Aussenlager","teilweise")))))</f>
        <v/>
      </c>
      <c r="BB1352" s="53">
        <f>IF(A1352="","",IF(BK1352=1,"Neu; ","")&amp;IF(AND(BK1352=0,BF1352&lt;0),"negativer Bestand (Export "&amp;BF1352&amp;"); ","")&amp;IF(I1352&lt;=0,"Kein Verbrauch; ","")&amp;IF(BO1352=1,"Lose – Fläche geschätzt; ","")&amp;IF(G1352&gt;AM1352,"Überbestand "&amp;ROUND(G1352-AM1352,0)&amp;" Stk / CHF "&amp;ROUND((G1352-AM1352)*F1352,0)&amp;"; ","")&amp;IF(AND(BT1352=1,BU1352&lt;BV1352),"MAX &lt; MB+LG; ","")&amp;IF(AND(BZ1352&gt;0,BY1352*10&gt;BZ1352),"zu hoch für Tablar; ","")&amp;IF(AND(BK1352=0,OR(BT1352=1,V1352&lt;&gt;"",S1352&lt;&gt;"",T1352&lt;&gt;"",W1352&lt;&gt;"")),"manuell übersteuert; ","")&amp;IF(AND(BO1352=0,Q1352=0),"Gebinde unbekannt; ","")&amp;IF(AND(BO1352=0,N(T1352)&lt;=0,N(P1352)&lt;=0),"Menge pro Gebinde fehlt (Ist = 1 Gebinde); ","")&amp;BJ1352)</f>
        <v/>
      </c>
      <c r="BC1352" s="53" t="n"/>
      <c r="BD1352" s="53" t="n"/>
      <c r="BE1352" s="61" t="n"/>
      <c r="BF1352" s="55" t="n">
        <v>-139</v>
      </c>
      <c r="BG1352" s="55" t="n">
        <v>200</v>
      </c>
      <c r="BH1352" s="54" t="n">
        <v>-2015.47</v>
      </c>
      <c r="BI1352" s="55" t="n">
        <v>188</v>
      </c>
      <c r="BJ1352" s="53" t="inlineStr"/>
      <c r="BK1352" s="58" t="n">
        <v>0</v>
      </c>
      <c r="BL1352" s="58" t="n">
        <v>1352</v>
      </c>
      <c r="BM1352" s="53">
        <f>IF(S1352&lt;&gt;"",UPPER(TRIM(S1352)),IF(O1352="","LOSE",O1352))</f>
        <v/>
      </c>
      <c r="BN1352" s="55">
        <f>IF(BM1352="LOSE",1,IF(N(T1352)&gt;0,T1352,IF(N(P1352)&gt;0,P1352,MAX(1,G1352))))</f>
        <v/>
      </c>
      <c r="BO1352" s="58">
        <f>IF(BM1352="LOSE",1,0)</f>
        <v/>
      </c>
      <c r="BP1352" s="64">
        <f>IF(BO1352=0,0,IF(N(R1352)&gt;0,R1352,IFERROR(VLOOKUP(D1352,Parameter!$A$35:$C$64,3,0)+0,0)))</f>
        <v/>
      </c>
      <c r="BQ1352" s="53">
        <f>IF(V1352&lt;&gt;"",V1352,U1352)</f>
        <v/>
      </c>
      <c r="BR1352" s="53">
        <f>IF(BQ1352=1,"L1",IF(OR(BQ1352=2,BQ1352=3),"L23",IF(BQ1352="Aussen","Aussen","-")))</f>
        <v/>
      </c>
      <c r="BS1352" s="66">
        <f>IF(N(W1352)&gt;0,W1352,0)</f>
        <v/>
      </c>
      <c r="BT1352" s="58">
        <f>IF(ISNUMBER(Z1352),1,0)</f>
        <v/>
      </c>
      <c r="BU1352" s="55">
        <f>N(Z1352)</f>
        <v/>
      </c>
      <c r="BV1352" s="55">
        <f>N(L1352)+N(M1352)</f>
        <v/>
      </c>
      <c r="BW1352" s="55">
        <f>ROUNDUP(G1352/BN1352,0)</f>
        <v/>
      </c>
      <c r="BX1352" s="55">
        <f>ROUNDUP(BU1352/BN1352,0)</f>
        <v/>
      </c>
      <c r="BY1352" s="58">
        <f>IF(BO1352=1,0,IFERROR(VLOOKUP(BM1352,'Gebinde-Kategorie'!$A$5:$G$45,5,0)+0,0))</f>
        <v/>
      </c>
      <c r="BZ1352" s="58">
        <f>IFERROR(IF(OR(BQ1352=1,BQ1352=2,BQ1352=3),N(INDEX(Parameter!$I$5:$I$7,BQ1352)),0),0)</f>
        <v/>
      </c>
    </row>
    <row r="1353">
      <c r="A1353" s="53" t="inlineStr">
        <is>
          <t>108798</t>
        </is>
      </c>
      <c r="B1353" s="53" t="inlineStr">
        <is>
          <t>Flansch</t>
        </is>
      </c>
      <c r="C1353" s="53" t="inlineStr">
        <is>
          <t>F</t>
        </is>
      </c>
      <c r="D1353" s="53" t="inlineStr">
        <is>
          <t>PAL</t>
        </is>
      </c>
      <c r="E1353" s="53" t="inlineStr">
        <is>
          <t>C</t>
        </is>
      </c>
      <c r="F1353" s="54" t="n">
        <v>107.1</v>
      </c>
      <c r="G1353" s="55">
        <f>MAX(0,IF(Parameter!$B$20="Jahresanfang 2025 + Export",BG1353+BF1353,BF1353))</f>
        <v/>
      </c>
      <c r="H1353" s="55">
        <f>G1353*F1353</f>
        <v/>
      </c>
      <c r="I1353" s="55">
        <f>BI1353*Parameter!$B$18</f>
        <v/>
      </c>
      <c r="J1353" s="56" t="n">
        <v>54</v>
      </c>
      <c r="K1353" s="57" t="n">
        <v>0.2592592592592592</v>
      </c>
      <c r="L1353" s="55" t="n">
        <v>0</v>
      </c>
      <c r="M1353" s="55" t="n">
        <v>15</v>
      </c>
      <c r="N1353" s="58" t="n">
        <v>21</v>
      </c>
      <c r="O1353" s="53" t="inlineStr">
        <is>
          <t>S61</t>
        </is>
      </c>
      <c r="P1353" s="55" t="n">
        <v>56</v>
      </c>
      <c r="Q1353" s="59">
        <f>IF(BO1353=1,0,IFERROR(VLOOKUP(BM1353,'Gebinde-Kategorie'!$A$5:$G$45,6,0)+0,0))</f>
        <v/>
      </c>
      <c r="R1353" s="60" t="n"/>
      <c r="S1353" s="61" t="n"/>
      <c r="T1353" s="61" t="n"/>
      <c r="U1353" s="53">
        <f>IF(A1353="","",IF(IFERROR(VLOOKUP(D1353,Parameter!$A$35:$C$64,2,0),"Nein")="2+3",IF(ISNUMBER(SEARCH("grosser Artikel",BJ1353)),2,IFERROR(VLOOKUP(BM1353,Parameter!$F$35:$G$64,2,0),2)),IF(OR(IFERROR(VLOOKUP(D1353,Parameter!$A$35:$C$64,2,0),"Nein")="Nein",IFERROR(VLOOKUP(D1353,Parameter!$A$35:$C$64,2,0),"Nein")=""),"-",VLOOKUP(D1353,Parameter!$A$35:$C$64,2,0))))</f>
        <v/>
      </c>
      <c r="V1353" s="61" t="n"/>
      <c r="W1353" s="62" t="n"/>
      <c r="X1353" s="55">
        <f>AM1353</f>
        <v/>
      </c>
      <c r="Y1353" s="55">
        <f>MAX(AM1353,G1353)</f>
        <v/>
      </c>
      <c r="Z1353" s="63" t="n"/>
      <c r="AA1353" s="55">
        <f>IF(LEFT(Cockpit!$C$5,1)="A",G1353,IF(BT1353=1,BU1353,IF(LEFT(Cockpit!$C$5,1)="B",AE1353,MAX(AE1353,G1353))))</f>
        <v/>
      </c>
      <c r="AB1353" s="55">
        <f>IF(BO1353=1,0,ROUNDUP(AA1353/BN1353,0))</f>
        <v/>
      </c>
      <c r="AC1353" s="64">
        <f>IF(BO1353=1,IF(AA1353&lt;=0,0,BP1353*MAX(1,IF(G1353&gt;0,AA1353/G1353,1))),AB1353*Q1353)</f>
        <v/>
      </c>
      <c r="AD1353" s="55">
        <f>AA1353*F1353</f>
        <v/>
      </c>
      <c r="AE1353" s="55">
        <f>ROUNDUP(MAX(I1353/IF(BS1353&gt;0,BS1353,MAX(0.1,N(Cockpit!$C$6))),BV1353)/BN1353,0)*BN1353</f>
        <v/>
      </c>
      <c r="AF1353" s="56">
        <f>IF(AC1353&gt;0,I1353/AC1353,-1)</f>
        <v/>
      </c>
      <c r="AG1353" s="56">
        <f>IF(AND(OR(BR1353="L1",BR1353="L23"),AC1353&gt;0),SUMIFS($AC$7:$AC$1570,$BR$7:$BR$1570,BR1353,$AF$7:$AF$1570,"&gt;"&amp;AF1353)+SUMIFS($AC$7:$AC$1570,$BR$7:$BR$1570,BR1353,$AF$7:$AF$1570,AF1353,$BL$7:$BL$1570,"&lt;="&amp;BL1353),"")</f>
        <v/>
      </c>
      <c r="AH1353" s="65">
        <f>IF(AG1353="",0,MAX(0,MIN(1,(IF(BR1353="L1",Parameter!$K$5,Parameter!$K$6+Parameter!$K$7)-(AG1353-AC1353))/AC1353)))</f>
        <v/>
      </c>
      <c r="AI1353" s="55">
        <f>IF(LEFT(Cockpit!$I$5,1)="A",G1353,IF(BT1353=1,BU1353,IF(LEFT(Cockpit!$I$5,1)="B",AM1353,MAX(AM1353,G1353))))</f>
        <v/>
      </c>
      <c r="AJ1353" s="55">
        <f>IF(BO1353=1,0,ROUNDUP(AI1353/BN1353,0))</f>
        <v/>
      </c>
      <c r="AK1353" s="64">
        <f>IF(BO1353=1,IF(AI1353&lt;=0,0,BP1353*MAX(1,IF(G1353&gt;0,AI1353/G1353,1))),AJ1353*Q1353)</f>
        <v/>
      </c>
      <c r="AL1353" s="55">
        <f>AI1353*F1353</f>
        <v/>
      </c>
      <c r="AM1353" s="55">
        <f>ROUNDUP(MAX(I1353/IF(BS1353&gt;0,BS1353,MAX(0.1,N(Cockpit!$I$6))),BV1353)/BN1353,0)*BN1353</f>
        <v/>
      </c>
      <c r="AN1353" s="56">
        <f>IF(AK1353&gt;0,I1353/AK1353,-1)</f>
        <v/>
      </c>
      <c r="AO1353" s="56">
        <f>IF(AND(OR(BR1353="L1",BR1353="L23"),AK1353&gt;0),SUMIFS($AK$7:$AK$1570,$BR$7:$BR$1570,BR1353,$AN$7:$AN$1570,"&gt;"&amp;AN1353)+SUMIFS($AK$7:$AK$1570,$BR$7:$BR$1570,BR1353,$AN$7:$AN$1570,AN1353,$BL$7:$BL$1570,"&lt;="&amp;BL1353),"")</f>
        <v/>
      </c>
      <c r="AP1353" s="65">
        <f>IF(AO1353="",0,MAX(0,MIN(1,(IF(BR1353="L1",Parameter!$K$5,Parameter!$K$6+Parameter!$K$7)-(AO1353-AK1353))/AK1353)))</f>
        <v/>
      </c>
      <c r="AQ1353" s="55">
        <f>IF(LEFT(Cockpit!$O$5,1)="A",G1353,IF(BT1353=1,BU1353,IF(LEFT(Cockpit!$O$5,1)="B",AU1353,MAX(AU1353,G1353))))</f>
        <v/>
      </c>
      <c r="AR1353" s="55">
        <f>IF(BO1353=1,0,ROUNDUP(AQ1353/BN1353,0))</f>
        <v/>
      </c>
      <c r="AS1353" s="64">
        <f>IF(BO1353=1,IF(AQ1353&lt;=0,0,BP1353*MAX(1,IF(G1353&gt;0,AQ1353/G1353,1))),AR1353*Q1353)</f>
        <v/>
      </c>
      <c r="AT1353" s="55">
        <f>AQ1353*F1353</f>
        <v/>
      </c>
      <c r="AU1353" s="55">
        <f>ROUNDUP(MAX(I1353/IF(BS1353&gt;0,BS1353,MAX(0.1,N(Cockpit!$O$6))),BV1353)/BN1353,0)*BN1353</f>
        <v/>
      </c>
      <c r="AV1353" s="56">
        <f>IF(AS1353&gt;0,I1353/AS1353,-1)</f>
        <v/>
      </c>
      <c r="AW1353" s="56">
        <f>IF(AND(OR(BR1353="L1",BR1353="L23"),AS1353&gt;0),SUMIFS($AS$7:$AS$1570,$BR$7:$BR$1570,BR1353,$AV$7:$AV$1570,"&gt;"&amp;AV1353)+SUMIFS($AS$7:$AS$1570,$BR$7:$BR$1570,BR1353,$AV$7:$AV$1570,AV1353,$BL$7:$BL$1570,"&lt;="&amp;BL1353),"")</f>
        <v/>
      </c>
      <c r="AX1353" s="65">
        <f>IF(AW1353="",0,MAX(0,MIN(1,(IF(BR1353="L1",Parameter!$K$5,Parameter!$K$6+Parameter!$K$7)-(AW1353-AS1353))/AS1353)))</f>
        <v/>
      </c>
      <c r="AY1353" s="53">
        <f>IF(AC1353&lt;=0,"",IF(BR1353="Aussen","Aussenlager",IF(BR1353="-","Nicht im Lift",IF(AH1353&gt;=1,"Lift",IF(AH1353&lt;=0,"Aussenlager","teilweise")))))</f>
        <v/>
      </c>
      <c r="AZ1353" s="53">
        <f>IF(AK1353&lt;=0,"",IF(BR1353="Aussen","Aussenlager",IF(BR1353="-","Nicht im Lift",IF(AP1353&gt;=1,"Lift",IF(AP1353&lt;=0,"Aussenlager","teilweise")))))</f>
        <v/>
      </c>
      <c r="BA1353" s="53">
        <f>IF(AS1353&lt;=0,"",IF(BR1353="Aussen","Aussenlager",IF(BR1353="-","Nicht im Lift",IF(AX1353&gt;=1,"Lift",IF(AX1353&lt;=0,"Aussenlager","teilweise")))))</f>
        <v/>
      </c>
      <c r="BB1353" s="53">
        <f>IF(A1353="","",IF(BK1353=1,"Neu; ","")&amp;IF(AND(BK1353=0,BF1353&lt;0),"negativer Bestand (Export "&amp;BF1353&amp;"); ","")&amp;IF(I1353&lt;=0,"Kein Verbrauch; ","")&amp;IF(BO1353=1,"Lose – Fläche geschätzt; ","")&amp;IF(G1353&gt;AM1353,"Überbestand "&amp;ROUND(G1353-AM1353,0)&amp;" Stk / CHF "&amp;ROUND((G1353-AM1353)*F1353,0)&amp;"; ","")&amp;IF(AND(BT1353=1,BU1353&lt;BV1353),"MAX &lt; MB+LG; ","")&amp;IF(AND(BZ1353&gt;0,BY1353*10&gt;BZ1353),"zu hoch für Tablar; ","")&amp;IF(AND(BK1353=0,OR(BT1353=1,V1353&lt;&gt;"",S1353&lt;&gt;"",T1353&lt;&gt;"",W1353&lt;&gt;"")),"manuell übersteuert; ","")&amp;IF(AND(BO1353=0,Q1353=0),"Gebinde unbekannt; ","")&amp;IF(AND(BO1353=0,N(T1353)&lt;=0,N(P1353)&lt;=0),"Menge pro Gebinde fehlt (Ist = 1 Gebinde); ","")&amp;BJ1353)</f>
        <v/>
      </c>
      <c r="BC1353" s="53" t="n"/>
      <c r="BD1353" s="53" t="n"/>
      <c r="BE1353" s="61" t="n"/>
      <c r="BF1353" s="55" t="n">
        <v>-19</v>
      </c>
      <c r="BG1353" s="55" t="n">
        <v>61</v>
      </c>
      <c r="BH1353" s="54" t="n">
        <v>-2034.9</v>
      </c>
      <c r="BI1353" s="55" t="n">
        <v>14</v>
      </c>
      <c r="BJ1353" s="53" t="inlineStr">
        <is>
          <t>Neu</t>
        </is>
      </c>
      <c r="BK1353" s="58" t="n">
        <v>0</v>
      </c>
      <c r="BL1353" s="58" t="n">
        <v>1353</v>
      </c>
      <c r="BM1353" s="53">
        <f>IF(S1353&lt;&gt;"",UPPER(TRIM(S1353)),IF(O1353="","LOSE",O1353))</f>
        <v/>
      </c>
      <c r="BN1353" s="55">
        <f>IF(BM1353="LOSE",1,IF(N(T1353)&gt;0,T1353,IF(N(P1353)&gt;0,P1353,MAX(1,G1353))))</f>
        <v/>
      </c>
      <c r="BO1353" s="58">
        <f>IF(BM1353="LOSE",1,0)</f>
        <v/>
      </c>
      <c r="BP1353" s="64">
        <f>IF(BO1353=0,0,IF(N(R1353)&gt;0,R1353,IFERROR(VLOOKUP(D1353,Parameter!$A$35:$C$64,3,0)+0,0)))</f>
        <v/>
      </c>
      <c r="BQ1353" s="53">
        <f>IF(V1353&lt;&gt;"",V1353,U1353)</f>
        <v/>
      </c>
      <c r="BR1353" s="53">
        <f>IF(BQ1353=1,"L1",IF(OR(BQ1353=2,BQ1353=3),"L23",IF(BQ1353="Aussen","Aussen","-")))</f>
        <v/>
      </c>
      <c r="BS1353" s="66">
        <f>IF(N(W1353)&gt;0,W1353,0)</f>
        <v/>
      </c>
      <c r="BT1353" s="58">
        <f>IF(ISNUMBER(Z1353),1,0)</f>
        <v/>
      </c>
      <c r="BU1353" s="55">
        <f>N(Z1353)</f>
        <v/>
      </c>
      <c r="BV1353" s="55">
        <f>N(L1353)+N(M1353)</f>
        <v/>
      </c>
      <c r="BW1353" s="55">
        <f>ROUNDUP(G1353/BN1353,0)</f>
        <v/>
      </c>
      <c r="BX1353" s="55">
        <f>ROUNDUP(BU1353/BN1353,0)</f>
        <v/>
      </c>
      <c r="BY1353" s="58">
        <f>IF(BO1353=1,0,IFERROR(VLOOKUP(BM1353,'Gebinde-Kategorie'!$A$5:$G$45,5,0)+0,0))</f>
        <v/>
      </c>
      <c r="BZ1353" s="58">
        <f>IFERROR(IF(OR(BQ1353=1,BQ1353=2,BQ1353=3),N(INDEX(Parameter!$I$5:$I$7,BQ1353)),0),0)</f>
        <v/>
      </c>
    </row>
    <row r="1354">
      <c r="A1354" s="53" t="inlineStr">
        <is>
          <t>100118</t>
        </is>
      </c>
      <c r="B1354" s="53" t="inlineStr">
        <is>
          <t>Ventilsitzeinsatz D40</t>
        </is>
      </c>
      <c r="C1354" s="53" t="inlineStr">
        <is>
          <t>F</t>
        </is>
      </c>
      <c r="D1354" s="53" t="inlineStr">
        <is>
          <t>PAL</t>
        </is>
      </c>
      <c r="E1354" s="53" t="inlineStr">
        <is>
          <t>C</t>
        </is>
      </c>
      <c r="F1354" s="54" t="n">
        <v>104.19</v>
      </c>
      <c r="G1354" s="55">
        <f>MAX(0,IF(Parameter!$B$20="Jahresanfang 2025 + Export",BG1354+BF1354,BF1354))</f>
        <v/>
      </c>
      <c r="H1354" s="55">
        <f>G1354*F1354</f>
        <v/>
      </c>
      <c r="I1354" s="55">
        <f>BI1354*Parameter!$B$18</f>
        <v/>
      </c>
      <c r="J1354" s="56" t="n">
        <v>140.5</v>
      </c>
      <c r="K1354" s="57" t="n">
        <v>3.259786476868328</v>
      </c>
      <c r="L1354" s="55" t="n">
        <v>26</v>
      </c>
      <c r="M1354" s="55" t="n">
        <v>110</v>
      </c>
      <c r="N1354" s="58" t="n">
        <v>21</v>
      </c>
      <c r="O1354" s="53" t="inlineStr">
        <is>
          <t>S71</t>
        </is>
      </c>
      <c r="P1354" s="55" t="n">
        <v>56</v>
      </c>
      <c r="Q1354" s="59">
        <f>IF(BO1354=1,0,IFERROR(VLOOKUP(BM1354,'Gebinde-Kategorie'!$A$5:$G$45,6,0)+0,0))</f>
        <v/>
      </c>
      <c r="R1354" s="60" t="n"/>
      <c r="S1354" s="61" t="n"/>
      <c r="T1354" s="61" t="n"/>
      <c r="U1354" s="53">
        <f>IF(A1354="","",IF(IFERROR(VLOOKUP(D1354,Parameter!$A$35:$C$64,2,0),"Nein")="2+3",IF(ISNUMBER(SEARCH("grosser Artikel",BJ1354)),2,IFERROR(VLOOKUP(BM1354,Parameter!$F$35:$G$64,2,0),2)),IF(OR(IFERROR(VLOOKUP(D1354,Parameter!$A$35:$C$64,2,0),"Nein")="Nein",IFERROR(VLOOKUP(D1354,Parameter!$A$35:$C$64,2,0),"Nein")=""),"-",VLOOKUP(D1354,Parameter!$A$35:$C$64,2,0))))</f>
        <v/>
      </c>
      <c r="V1354" s="61" t="n"/>
      <c r="W1354" s="62" t="n"/>
      <c r="X1354" s="55">
        <f>AM1354</f>
        <v/>
      </c>
      <c r="Y1354" s="55">
        <f>MAX(AM1354,G1354)</f>
        <v/>
      </c>
      <c r="Z1354" s="63" t="n"/>
      <c r="AA1354" s="55">
        <f>IF(LEFT(Cockpit!$C$5,1)="A",G1354,IF(BT1354=1,BU1354,IF(LEFT(Cockpit!$C$5,1)="B",AE1354,MAX(AE1354,G1354))))</f>
        <v/>
      </c>
      <c r="AB1354" s="55">
        <f>IF(BO1354=1,0,ROUNDUP(AA1354/BN1354,0))</f>
        <v/>
      </c>
      <c r="AC1354" s="64">
        <f>IF(BO1354=1,IF(AA1354&lt;=0,0,BP1354*MAX(1,IF(G1354&gt;0,AA1354/G1354,1))),AB1354*Q1354)</f>
        <v/>
      </c>
      <c r="AD1354" s="55">
        <f>AA1354*F1354</f>
        <v/>
      </c>
      <c r="AE1354" s="55">
        <f>ROUNDUP(MAX(I1354/IF(BS1354&gt;0,BS1354,MAX(0.1,N(Cockpit!$C$6))),BV1354)/BN1354,0)*BN1354</f>
        <v/>
      </c>
      <c r="AF1354" s="56">
        <f>IF(AC1354&gt;0,I1354/AC1354,-1)</f>
        <v/>
      </c>
      <c r="AG1354" s="56">
        <f>IF(AND(OR(BR1354="L1",BR1354="L23"),AC1354&gt;0),SUMIFS($AC$7:$AC$1570,$BR$7:$BR$1570,BR1354,$AF$7:$AF$1570,"&gt;"&amp;AF1354)+SUMIFS($AC$7:$AC$1570,$BR$7:$BR$1570,BR1354,$AF$7:$AF$1570,AF1354,$BL$7:$BL$1570,"&lt;="&amp;BL1354),"")</f>
        <v/>
      </c>
      <c r="AH1354" s="65">
        <f>IF(AG1354="",0,MAX(0,MIN(1,(IF(BR1354="L1",Parameter!$K$5,Parameter!$K$6+Parameter!$K$7)-(AG1354-AC1354))/AC1354)))</f>
        <v/>
      </c>
      <c r="AI1354" s="55">
        <f>IF(LEFT(Cockpit!$I$5,1)="A",G1354,IF(BT1354=1,BU1354,IF(LEFT(Cockpit!$I$5,1)="B",AM1354,MAX(AM1354,G1354))))</f>
        <v/>
      </c>
      <c r="AJ1354" s="55">
        <f>IF(BO1354=1,0,ROUNDUP(AI1354/BN1354,0))</f>
        <v/>
      </c>
      <c r="AK1354" s="64">
        <f>IF(BO1354=1,IF(AI1354&lt;=0,0,BP1354*MAX(1,IF(G1354&gt;0,AI1354/G1354,1))),AJ1354*Q1354)</f>
        <v/>
      </c>
      <c r="AL1354" s="55">
        <f>AI1354*F1354</f>
        <v/>
      </c>
      <c r="AM1354" s="55">
        <f>ROUNDUP(MAX(I1354/IF(BS1354&gt;0,BS1354,MAX(0.1,N(Cockpit!$I$6))),BV1354)/BN1354,0)*BN1354</f>
        <v/>
      </c>
      <c r="AN1354" s="56">
        <f>IF(AK1354&gt;0,I1354/AK1354,-1)</f>
        <v/>
      </c>
      <c r="AO1354" s="56">
        <f>IF(AND(OR(BR1354="L1",BR1354="L23"),AK1354&gt;0),SUMIFS($AK$7:$AK$1570,$BR$7:$BR$1570,BR1354,$AN$7:$AN$1570,"&gt;"&amp;AN1354)+SUMIFS($AK$7:$AK$1570,$BR$7:$BR$1570,BR1354,$AN$7:$AN$1570,AN1354,$BL$7:$BL$1570,"&lt;="&amp;BL1354),"")</f>
        <v/>
      </c>
      <c r="AP1354" s="65">
        <f>IF(AO1354="",0,MAX(0,MIN(1,(IF(BR1354="L1",Parameter!$K$5,Parameter!$K$6+Parameter!$K$7)-(AO1354-AK1354))/AK1354)))</f>
        <v/>
      </c>
      <c r="AQ1354" s="55">
        <f>IF(LEFT(Cockpit!$O$5,1)="A",G1354,IF(BT1354=1,BU1354,IF(LEFT(Cockpit!$O$5,1)="B",AU1354,MAX(AU1354,G1354))))</f>
        <v/>
      </c>
      <c r="AR1354" s="55">
        <f>IF(BO1354=1,0,ROUNDUP(AQ1354/BN1354,0))</f>
        <v/>
      </c>
      <c r="AS1354" s="64">
        <f>IF(BO1354=1,IF(AQ1354&lt;=0,0,BP1354*MAX(1,IF(G1354&gt;0,AQ1354/G1354,1))),AR1354*Q1354)</f>
        <v/>
      </c>
      <c r="AT1354" s="55">
        <f>AQ1354*F1354</f>
        <v/>
      </c>
      <c r="AU1354" s="55">
        <f>ROUNDUP(MAX(I1354/IF(BS1354&gt;0,BS1354,MAX(0.1,N(Cockpit!$O$6))),BV1354)/BN1354,0)*BN1354</f>
        <v/>
      </c>
      <c r="AV1354" s="56">
        <f>IF(AS1354&gt;0,I1354/AS1354,-1)</f>
        <v/>
      </c>
      <c r="AW1354" s="56">
        <f>IF(AND(OR(BR1354="L1",BR1354="L23"),AS1354&gt;0),SUMIFS($AS$7:$AS$1570,$BR$7:$BR$1570,BR1354,$AV$7:$AV$1570,"&gt;"&amp;AV1354)+SUMIFS($AS$7:$AS$1570,$BR$7:$BR$1570,BR1354,$AV$7:$AV$1570,AV1354,$BL$7:$BL$1570,"&lt;="&amp;BL1354),"")</f>
        <v/>
      </c>
      <c r="AX1354" s="65">
        <f>IF(AW1354="",0,MAX(0,MIN(1,(IF(BR1354="L1",Parameter!$K$5,Parameter!$K$6+Parameter!$K$7)-(AW1354-AS1354))/AS1354)))</f>
        <v/>
      </c>
      <c r="AY1354" s="53">
        <f>IF(AC1354&lt;=0,"",IF(BR1354="Aussen","Aussenlager",IF(BR1354="-","Nicht im Lift",IF(AH1354&gt;=1,"Lift",IF(AH1354&lt;=0,"Aussenlager","teilweise")))))</f>
        <v/>
      </c>
      <c r="AZ1354" s="53">
        <f>IF(AK1354&lt;=0,"",IF(BR1354="Aussen","Aussenlager",IF(BR1354="-","Nicht im Lift",IF(AP1354&gt;=1,"Lift",IF(AP1354&lt;=0,"Aussenlager","teilweise")))))</f>
        <v/>
      </c>
      <c r="BA1354" s="53">
        <f>IF(AS1354&lt;=0,"",IF(BR1354="Aussen","Aussenlager",IF(BR1354="-","Nicht im Lift",IF(AX1354&gt;=1,"Lift",IF(AX1354&lt;=0,"Aussenlager","teilweise")))))</f>
        <v/>
      </c>
      <c r="BB1354" s="53">
        <f>IF(A1354="","",IF(BK1354=1,"Neu; ","")&amp;IF(AND(BK1354=0,BF1354&lt;0),"negativer Bestand (Export "&amp;BF1354&amp;"); ","")&amp;IF(I1354&lt;=0,"Kein Verbrauch; ","")&amp;IF(BO1354=1,"Lose – Fläche geschätzt; ","")&amp;IF(G1354&gt;AM1354,"Überbestand "&amp;ROUND(G1354-AM1354,0)&amp;" Stk / CHF "&amp;ROUND((G1354-AM1354)*F1354,0)&amp;"; ","")&amp;IF(AND(BT1354=1,BU1354&lt;BV1354),"MAX &lt; MB+LG; ","")&amp;IF(AND(BZ1354&gt;0,BY1354*10&gt;BZ1354),"zu hoch für Tablar; ","")&amp;IF(AND(BK1354=0,OR(BT1354=1,V1354&lt;&gt;"",S1354&lt;&gt;"",T1354&lt;&gt;"",W1354&lt;&gt;"")),"manuell übersteuert; ","")&amp;IF(AND(BO1354=0,Q1354=0),"Gebinde unbekannt; ","")&amp;IF(AND(BO1354=0,N(T1354)&lt;=0,N(P1354)&lt;=0),"Menge pro Gebinde fehlt (Ist = 1 Gebinde); ","")&amp;BJ1354)</f>
        <v/>
      </c>
      <c r="BC1354" s="53" t="n"/>
      <c r="BD1354" s="53" t="n"/>
      <c r="BE1354" s="61" t="n"/>
      <c r="BF1354" s="55" t="n">
        <v>-4</v>
      </c>
      <c r="BG1354" s="55" t="n">
        <v>151</v>
      </c>
      <c r="BH1354" s="54" t="n">
        <v>-2108.759999999995</v>
      </c>
      <c r="BI1354" s="55" t="n">
        <v>458</v>
      </c>
      <c r="BJ1354" s="53" t="inlineStr">
        <is>
          <t>grosser Artikel &amp; nicht im KTL</t>
        </is>
      </c>
      <c r="BK1354" s="58" t="n">
        <v>0</v>
      </c>
      <c r="BL1354" s="58" t="n">
        <v>1354</v>
      </c>
      <c r="BM1354" s="53">
        <f>IF(S1354&lt;&gt;"",UPPER(TRIM(S1354)),IF(O1354="","LOSE",O1354))</f>
        <v/>
      </c>
      <c r="BN1354" s="55">
        <f>IF(BM1354="LOSE",1,IF(N(T1354)&gt;0,T1354,IF(N(P1354)&gt;0,P1354,MAX(1,G1354))))</f>
        <v/>
      </c>
      <c r="BO1354" s="58">
        <f>IF(BM1354="LOSE",1,0)</f>
        <v/>
      </c>
      <c r="BP1354" s="64">
        <f>IF(BO1354=0,0,IF(N(R1354)&gt;0,R1354,IFERROR(VLOOKUP(D1354,Parameter!$A$35:$C$64,3,0)+0,0)))</f>
        <v/>
      </c>
      <c r="BQ1354" s="53">
        <f>IF(V1354&lt;&gt;"",V1354,U1354)</f>
        <v/>
      </c>
      <c r="BR1354" s="53">
        <f>IF(BQ1354=1,"L1",IF(OR(BQ1354=2,BQ1354=3),"L23",IF(BQ1354="Aussen","Aussen","-")))</f>
        <v/>
      </c>
      <c r="BS1354" s="66">
        <f>IF(N(W1354)&gt;0,W1354,0)</f>
        <v/>
      </c>
      <c r="BT1354" s="58">
        <f>IF(ISNUMBER(Z1354),1,0)</f>
        <v/>
      </c>
      <c r="BU1354" s="55">
        <f>N(Z1354)</f>
        <v/>
      </c>
      <c r="BV1354" s="55">
        <f>N(L1354)+N(M1354)</f>
        <v/>
      </c>
      <c r="BW1354" s="55">
        <f>ROUNDUP(G1354/BN1354,0)</f>
        <v/>
      </c>
      <c r="BX1354" s="55">
        <f>ROUNDUP(BU1354/BN1354,0)</f>
        <v/>
      </c>
      <c r="BY1354" s="58">
        <f>IF(BO1354=1,0,IFERROR(VLOOKUP(BM1354,'Gebinde-Kategorie'!$A$5:$G$45,5,0)+0,0))</f>
        <v/>
      </c>
      <c r="BZ1354" s="58">
        <f>IFERROR(IF(OR(BQ1354=1,BQ1354=2,BQ1354=3),N(INDEX(Parameter!$I$5:$I$7,BQ1354)),0),0)</f>
        <v/>
      </c>
    </row>
    <row r="1355">
      <c r="A1355" s="53" t="inlineStr">
        <is>
          <t>107685</t>
        </is>
      </c>
      <c r="B1355" s="53" t="inlineStr">
        <is>
          <t>Druckregler</t>
        </is>
      </c>
      <c r="C1355" s="53" t="inlineStr">
        <is>
          <t>F</t>
        </is>
      </c>
      <c r="D1355" s="53" t="inlineStr">
        <is>
          <t>KTL</t>
        </is>
      </c>
      <c r="E1355" s="53" t="inlineStr">
        <is>
          <t>C</t>
        </is>
      </c>
      <c r="F1355" s="54" t="n">
        <v>440.01</v>
      </c>
      <c r="G1355" s="55">
        <f>MAX(0,IF(Parameter!$B$20="Jahresanfang 2025 + Export",BG1355+BF1355,BF1355))</f>
        <v/>
      </c>
      <c r="H1355" s="55">
        <f>G1355*F1355</f>
        <v/>
      </c>
      <c r="I1355" s="55">
        <f>BI1355*Parameter!$B$18</f>
        <v/>
      </c>
      <c r="J1355" s="56" t="n">
        <v>12.5</v>
      </c>
      <c r="K1355" s="57" t="n">
        <v>0.72</v>
      </c>
      <c r="L1355" s="55" t="n">
        <v>1</v>
      </c>
      <c r="M1355" s="55" t="n">
        <v>5</v>
      </c>
      <c r="N1355" s="58" t="n">
        <v>28</v>
      </c>
      <c r="O1355" s="53" t="inlineStr">
        <is>
          <t>S62</t>
        </is>
      </c>
      <c r="P1355" s="55" t="n">
        <v>4</v>
      </c>
      <c r="Q1355" s="59">
        <f>IF(BO1355=1,0,IFERROR(VLOOKUP(BM1355,'Gebinde-Kategorie'!$A$5:$G$45,6,0)+0,0))</f>
        <v/>
      </c>
      <c r="R1355" s="60" t="n"/>
      <c r="S1355" s="61" t="n"/>
      <c r="T1355" s="61" t="n"/>
      <c r="U1355" s="53">
        <f>IF(A1355="","",IF(IFERROR(VLOOKUP(D1355,Parameter!$A$35:$C$64,2,0),"Nein")="2+3",IF(ISNUMBER(SEARCH("grosser Artikel",BJ1355)),2,IFERROR(VLOOKUP(BM1355,Parameter!$F$35:$G$64,2,0),2)),IF(OR(IFERROR(VLOOKUP(D1355,Parameter!$A$35:$C$64,2,0),"Nein")="Nein",IFERROR(VLOOKUP(D1355,Parameter!$A$35:$C$64,2,0),"Nein")=""),"-",VLOOKUP(D1355,Parameter!$A$35:$C$64,2,0))))</f>
        <v/>
      </c>
      <c r="V1355" s="61" t="n"/>
      <c r="W1355" s="62" t="n"/>
      <c r="X1355" s="55">
        <f>AM1355</f>
        <v/>
      </c>
      <c r="Y1355" s="55">
        <f>MAX(AM1355,G1355)</f>
        <v/>
      </c>
      <c r="Z1355" s="63" t="n"/>
      <c r="AA1355" s="55">
        <f>IF(LEFT(Cockpit!$C$5,1)="A",G1355,IF(BT1355=1,BU1355,IF(LEFT(Cockpit!$C$5,1)="B",AE1355,MAX(AE1355,G1355))))</f>
        <v/>
      </c>
      <c r="AB1355" s="55">
        <f>IF(BO1355=1,0,ROUNDUP(AA1355/BN1355,0))</f>
        <v/>
      </c>
      <c r="AC1355" s="64">
        <f>IF(BO1355=1,IF(AA1355&lt;=0,0,BP1355*MAX(1,IF(G1355&gt;0,AA1355/G1355,1))),AB1355*Q1355)</f>
        <v/>
      </c>
      <c r="AD1355" s="55">
        <f>AA1355*F1355</f>
        <v/>
      </c>
      <c r="AE1355" s="55">
        <f>ROUNDUP(MAX(I1355/IF(BS1355&gt;0,BS1355,MAX(0.1,N(Cockpit!$C$6))),BV1355)/BN1355,0)*BN1355</f>
        <v/>
      </c>
      <c r="AF1355" s="56">
        <f>IF(AC1355&gt;0,I1355/AC1355,-1)</f>
        <v/>
      </c>
      <c r="AG1355" s="56">
        <f>IF(AND(OR(BR1355="L1",BR1355="L23"),AC1355&gt;0),SUMIFS($AC$7:$AC$1570,$BR$7:$BR$1570,BR1355,$AF$7:$AF$1570,"&gt;"&amp;AF1355)+SUMIFS($AC$7:$AC$1570,$BR$7:$BR$1570,BR1355,$AF$7:$AF$1570,AF1355,$BL$7:$BL$1570,"&lt;="&amp;BL1355),"")</f>
        <v/>
      </c>
      <c r="AH1355" s="65">
        <f>IF(AG1355="",0,MAX(0,MIN(1,(IF(BR1355="L1",Parameter!$K$5,Parameter!$K$6+Parameter!$K$7)-(AG1355-AC1355))/AC1355)))</f>
        <v/>
      </c>
      <c r="AI1355" s="55">
        <f>IF(LEFT(Cockpit!$I$5,1)="A",G1355,IF(BT1355=1,BU1355,IF(LEFT(Cockpit!$I$5,1)="B",AM1355,MAX(AM1355,G1355))))</f>
        <v/>
      </c>
      <c r="AJ1355" s="55">
        <f>IF(BO1355=1,0,ROUNDUP(AI1355/BN1355,0))</f>
        <v/>
      </c>
      <c r="AK1355" s="64">
        <f>IF(BO1355=1,IF(AI1355&lt;=0,0,BP1355*MAX(1,IF(G1355&gt;0,AI1355/G1355,1))),AJ1355*Q1355)</f>
        <v/>
      </c>
      <c r="AL1355" s="55">
        <f>AI1355*F1355</f>
        <v/>
      </c>
      <c r="AM1355" s="55">
        <f>ROUNDUP(MAX(I1355/IF(BS1355&gt;0,BS1355,MAX(0.1,N(Cockpit!$I$6))),BV1355)/BN1355,0)*BN1355</f>
        <v/>
      </c>
      <c r="AN1355" s="56">
        <f>IF(AK1355&gt;0,I1355/AK1355,-1)</f>
        <v/>
      </c>
      <c r="AO1355" s="56">
        <f>IF(AND(OR(BR1355="L1",BR1355="L23"),AK1355&gt;0),SUMIFS($AK$7:$AK$1570,$BR$7:$BR$1570,BR1355,$AN$7:$AN$1570,"&gt;"&amp;AN1355)+SUMIFS($AK$7:$AK$1570,$BR$7:$BR$1570,BR1355,$AN$7:$AN$1570,AN1355,$BL$7:$BL$1570,"&lt;="&amp;BL1355),"")</f>
        <v/>
      </c>
      <c r="AP1355" s="65">
        <f>IF(AO1355="",0,MAX(0,MIN(1,(IF(BR1355="L1",Parameter!$K$5,Parameter!$K$6+Parameter!$K$7)-(AO1355-AK1355))/AK1355)))</f>
        <v/>
      </c>
      <c r="AQ1355" s="55">
        <f>IF(LEFT(Cockpit!$O$5,1)="A",G1355,IF(BT1355=1,BU1355,IF(LEFT(Cockpit!$O$5,1)="B",AU1355,MAX(AU1355,G1355))))</f>
        <v/>
      </c>
      <c r="AR1355" s="55">
        <f>IF(BO1355=1,0,ROUNDUP(AQ1355/BN1355,0))</f>
        <v/>
      </c>
      <c r="AS1355" s="64">
        <f>IF(BO1355=1,IF(AQ1355&lt;=0,0,BP1355*MAX(1,IF(G1355&gt;0,AQ1355/G1355,1))),AR1355*Q1355)</f>
        <v/>
      </c>
      <c r="AT1355" s="55">
        <f>AQ1355*F1355</f>
        <v/>
      </c>
      <c r="AU1355" s="55">
        <f>ROUNDUP(MAX(I1355/IF(BS1355&gt;0,BS1355,MAX(0.1,N(Cockpit!$O$6))),BV1355)/BN1355,0)*BN1355</f>
        <v/>
      </c>
      <c r="AV1355" s="56">
        <f>IF(AS1355&gt;0,I1355/AS1355,-1)</f>
        <v/>
      </c>
      <c r="AW1355" s="56">
        <f>IF(AND(OR(BR1355="L1",BR1355="L23"),AS1355&gt;0),SUMIFS($AS$7:$AS$1570,$BR$7:$BR$1570,BR1355,$AV$7:$AV$1570,"&gt;"&amp;AV1355)+SUMIFS($AS$7:$AS$1570,$BR$7:$BR$1570,BR1355,$AV$7:$AV$1570,AV1355,$BL$7:$BL$1570,"&lt;="&amp;BL1355),"")</f>
        <v/>
      </c>
      <c r="AX1355" s="65">
        <f>IF(AW1355="",0,MAX(0,MIN(1,(IF(BR1355="L1",Parameter!$K$5,Parameter!$K$6+Parameter!$K$7)-(AW1355-AS1355))/AS1355)))</f>
        <v/>
      </c>
      <c r="AY1355" s="53">
        <f>IF(AC1355&lt;=0,"",IF(BR1355="Aussen","Aussenlager",IF(BR1355="-","Nicht im Lift",IF(AH1355&gt;=1,"Lift",IF(AH1355&lt;=0,"Aussenlager","teilweise")))))</f>
        <v/>
      </c>
      <c r="AZ1355" s="53">
        <f>IF(AK1355&lt;=0,"",IF(BR1355="Aussen","Aussenlager",IF(BR1355="-","Nicht im Lift",IF(AP1355&gt;=1,"Lift",IF(AP1355&lt;=0,"Aussenlager","teilweise")))))</f>
        <v/>
      </c>
      <c r="BA1355" s="53">
        <f>IF(AS1355&lt;=0,"",IF(BR1355="Aussen","Aussenlager",IF(BR1355="-","Nicht im Lift",IF(AX1355&gt;=1,"Lift",IF(AX1355&lt;=0,"Aussenlager","teilweise")))))</f>
        <v/>
      </c>
      <c r="BB1355" s="53">
        <f>IF(A1355="","",IF(BK1355=1,"Neu; ","")&amp;IF(AND(BK1355=0,BF1355&lt;0),"negativer Bestand (Export "&amp;BF1355&amp;"); ","")&amp;IF(I1355&lt;=0,"Kein Verbrauch; ","")&amp;IF(BO1355=1,"Lose – Fläche geschätzt; ","")&amp;IF(G1355&gt;AM1355,"Überbestand "&amp;ROUND(G1355-AM1355,0)&amp;" Stk / CHF "&amp;ROUND((G1355-AM1355)*F1355,0)&amp;"; ","")&amp;IF(AND(BT1355=1,BU1355&lt;BV1355),"MAX &lt; MB+LG; ","")&amp;IF(AND(BZ1355&gt;0,BY1355*10&gt;BZ1355),"zu hoch für Tablar; ","")&amp;IF(AND(BK1355=0,OR(BT1355=1,V1355&lt;&gt;"",S1355&lt;&gt;"",T1355&lt;&gt;"",W1355&lt;&gt;"")),"manuell übersteuert; ","")&amp;IF(AND(BO1355=0,Q1355=0),"Gebinde unbekannt; ","")&amp;IF(AND(BO1355=0,N(T1355)&lt;=0,N(P1355)&lt;=0),"Menge pro Gebinde fehlt (Ist = 1 Gebinde); ","")&amp;BJ1355)</f>
        <v/>
      </c>
      <c r="BC1355" s="53" t="n"/>
      <c r="BD1355" s="53" t="n"/>
      <c r="BE1355" s="61" t="n"/>
      <c r="BF1355" s="55" t="n">
        <v>-5</v>
      </c>
      <c r="BG1355" s="55" t="n">
        <v>15</v>
      </c>
      <c r="BH1355" s="54" t="n">
        <v>-2167.05</v>
      </c>
      <c r="BI1355" s="55" t="n">
        <v>9</v>
      </c>
      <c r="BJ1355" s="53" t="inlineStr"/>
      <c r="BK1355" s="58" t="n">
        <v>0</v>
      </c>
      <c r="BL1355" s="58" t="n">
        <v>1355</v>
      </c>
      <c r="BM1355" s="53">
        <f>IF(S1355&lt;&gt;"",UPPER(TRIM(S1355)),IF(O1355="","LOSE",O1355))</f>
        <v/>
      </c>
      <c r="BN1355" s="55">
        <f>IF(BM1355="LOSE",1,IF(N(T1355)&gt;0,T1355,IF(N(P1355)&gt;0,P1355,MAX(1,G1355))))</f>
        <v/>
      </c>
      <c r="BO1355" s="58">
        <f>IF(BM1355="LOSE",1,0)</f>
        <v/>
      </c>
      <c r="BP1355" s="64">
        <f>IF(BO1355=0,0,IF(N(R1355)&gt;0,R1355,IFERROR(VLOOKUP(D1355,Parameter!$A$35:$C$64,3,0)+0,0)))</f>
        <v/>
      </c>
      <c r="BQ1355" s="53">
        <f>IF(V1355&lt;&gt;"",V1355,U1355)</f>
        <v/>
      </c>
      <c r="BR1355" s="53">
        <f>IF(BQ1355=1,"L1",IF(OR(BQ1355=2,BQ1355=3),"L23",IF(BQ1355="Aussen","Aussen","-")))</f>
        <v/>
      </c>
      <c r="BS1355" s="66">
        <f>IF(N(W1355)&gt;0,W1355,0)</f>
        <v/>
      </c>
      <c r="BT1355" s="58">
        <f>IF(ISNUMBER(Z1355),1,0)</f>
        <v/>
      </c>
      <c r="BU1355" s="55">
        <f>N(Z1355)</f>
        <v/>
      </c>
      <c r="BV1355" s="55">
        <f>N(L1355)+N(M1355)</f>
        <v/>
      </c>
      <c r="BW1355" s="55">
        <f>ROUNDUP(G1355/BN1355,0)</f>
        <v/>
      </c>
      <c r="BX1355" s="55">
        <f>ROUNDUP(BU1355/BN1355,0)</f>
        <v/>
      </c>
      <c r="BY1355" s="58">
        <f>IF(BO1355=1,0,IFERROR(VLOOKUP(BM1355,'Gebinde-Kategorie'!$A$5:$G$45,5,0)+0,0))</f>
        <v/>
      </c>
      <c r="BZ1355" s="58">
        <f>IFERROR(IF(OR(BQ1355=1,BQ1355=2,BQ1355=3),N(INDEX(Parameter!$I$5:$I$7,BQ1355)),0),0)</f>
        <v/>
      </c>
    </row>
    <row r="1356">
      <c r="A1356" s="53" t="inlineStr">
        <is>
          <t>005205</t>
        </is>
      </c>
      <c r="B1356" s="53" t="inlineStr">
        <is>
          <t>Druckregelstrecke N2</t>
        </is>
      </c>
      <c r="C1356" s="53" t="inlineStr">
        <is>
          <t>F</t>
        </is>
      </c>
      <c r="D1356" s="53" t="inlineStr">
        <is>
          <t>PAL</t>
        </is>
      </c>
      <c r="E1356" s="53" t="inlineStr">
        <is>
          <t>C</t>
        </is>
      </c>
      <c r="F1356" s="54" t="n">
        <v>2251.23</v>
      </c>
      <c r="G1356" s="55">
        <f>MAX(0,IF(Parameter!$B$20="Jahresanfang 2025 + Export",BG1356+BF1356,BF1356))</f>
        <v/>
      </c>
      <c r="H1356" s="55">
        <f>G1356*F1356</f>
        <v/>
      </c>
      <c r="I1356" s="55">
        <f>BI1356*Parameter!$B$18</f>
        <v/>
      </c>
      <c r="J1356" s="56" t="n">
        <v>2.5</v>
      </c>
      <c r="K1356" s="57" t="n">
        <v>0.8</v>
      </c>
      <c r="L1356" s="55" t="n">
        <v>1</v>
      </c>
      <c r="M1356" s="55" t="n">
        <v>1</v>
      </c>
      <c r="N1356" s="58" t="n">
        <v>56</v>
      </c>
      <c r="O1356" s="53" t="inlineStr">
        <is>
          <t>LOSE</t>
        </is>
      </c>
      <c r="P1356" s="55" t="n"/>
      <c r="Q1356" s="59">
        <f>IF(BO1356=1,0,IFERROR(VLOOKUP(BM1356,'Gebinde-Kategorie'!$A$5:$G$45,6,0)+0,0))</f>
        <v/>
      </c>
      <c r="R1356" s="60" t="n"/>
      <c r="S1356" s="61" t="n"/>
      <c r="T1356" s="61" t="n"/>
      <c r="U1356" s="53">
        <f>IF(A1356="","",IF(IFERROR(VLOOKUP(D1356,Parameter!$A$35:$C$64,2,0),"Nein")="2+3",IF(ISNUMBER(SEARCH("grosser Artikel",BJ1356)),2,IFERROR(VLOOKUP(BM1356,Parameter!$F$35:$G$64,2,0),2)),IF(OR(IFERROR(VLOOKUP(D1356,Parameter!$A$35:$C$64,2,0),"Nein")="Nein",IFERROR(VLOOKUP(D1356,Parameter!$A$35:$C$64,2,0),"Nein")=""),"-",VLOOKUP(D1356,Parameter!$A$35:$C$64,2,0))))</f>
        <v/>
      </c>
      <c r="V1356" s="61" t="n"/>
      <c r="W1356" s="62" t="n"/>
      <c r="X1356" s="55">
        <f>AM1356</f>
        <v/>
      </c>
      <c r="Y1356" s="55">
        <f>MAX(AM1356,G1356)</f>
        <v/>
      </c>
      <c r="Z1356" s="63" t="n"/>
      <c r="AA1356" s="55">
        <f>IF(LEFT(Cockpit!$C$5,1)="A",G1356,IF(BT1356=1,BU1356,IF(LEFT(Cockpit!$C$5,1)="B",AE1356,MAX(AE1356,G1356))))</f>
        <v/>
      </c>
      <c r="AB1356" s="55">
        <f>IF(BO1356=1,0,ROUNDUP(AA1356/BN1356,0))</f>
        <v/>
      </c>
      <c r="AC1356" s="64">
        <f>IF(BO1356=1,IF(AA1356&lt;=0,0,BP1356*MAX(1,IF(G1356&gt;0,AA1356/G1356,1))),AB1356*Q1356)</f>
        <v/>
      </c>
      <c r="AD1356" s="55">
        <f>AA1356*F1356</f>
        <v/>
      </c>
      <c r="AE1356" s="55">
        <f>ROUNDUP(MAX(I1356/IF(BS1356&gt;0,BS1356,MAX(0.1,N(Cockpit!$C$6))),BV1356)/BN1356,0)*BN1356</f>
        <v/>
      </c>
      <c r="AF1356" s="56">
        <f>IF(AC1356&gt;0,I1356/AC1356,-1)</f>
        <v/>
      </c>
      <c r="AG1356" s="56">
        <f>IF(AND(OR(BR1356="L1",BR1356="L23"),AC1356&gt;0),SUMIFS($AC$7:$AC$1570,$BR$7:$BR$1570,BR1356,$AF$7:$AF$1570,"&gt;"&amp;AF1356)+SUMIFS($AC$7:$AC$1570,$BR$7:$BR$1570,BR1356,$AF$7:$AF$1570,AF1356,$BL$7:$BL$1570,"&lt;="&amp;BL1356),"")</f>
        <v/>
      </c>
      <c r="AH1356" s="65">
        <f>IF(AG1356="",0,MAX(0,MIN(1,(IF(BR1356="L1",Parameter!$K$5,Parameter!$K$6+Parameter!$K$7)-(AG1356-AC1356))/AC1356)))</f>
        <v/>
      </c>
      <c r="AI1356" s="55">
        <f>IF(LEFT(Cockpit!$I$5,1)="A",G1356,IF(BT1356=1,BU1356,IF(LEFT(Cockpit!$I$5,1)="B",AM1356,MAX(AM1356,G1356))))</f>
        <v/>
      </c>
      <c r="AJ1356" s="55">
        <f>IF(BO1356=1,0,ROUNDUP(AI1356/BN1356,0))</f>
        <v/>
      </c>
      <c r="AK1356" s="64">
        <f>IF(BO1356=1,IF(AI1356&lt;=0,0,BP1356*MAX(1,IF(G1356&gt;0,AI1356/G1356,1))),AJ1356*Q1356)</f>
        <v/>
      </c>
      <c r="AL1356" s="55">
        <f>AI1356*F1356</f>
        <v/>
      </c>
      <c r="AM1356" s="55">
        <f>ROUNDUP(MAX(I1356/IF(BS1356&gt;0,BS1356,MAX(0.1,N(Cockpit!$I$6))),BV1356)/BN1356,0)*BN1356</f>
        <v/>
      </c>
      <c r="AN1356" s="56">
        <f>IF(AK1356&gt;0,I1356/AK1356,-1)</f>
        <v/>
      </c>
      <c r="AO1356" s="56">
        <f>IF(AND(OR(BR1356="L1",BR1356="L23"),AK1356&gt;0),SUMIFS($AK$7:$AK$1570,$BR$7:$BR$1570,BR1356,$AN$7:$AN$1570,"&gt;"&amp;AN1356)+SUMIFS($AK$7:$AK$1570,$BR$7:$BR$1570,BR1356,$AN$7:$AN$1570,AN1356,$BL$7:$BL$1570,"&lt;="&amp;BL1356),"")</f>
        <v/>
      </c>
      <c r="AP1356" s="65">
        <f>IF(AO1356="",0,MAX(0,MIN(1,(IF(BR1356="L1",Parameter!$K$5,Parameter!$K$6+Parameter!$K$7)-(AO1356-AK1356))/AK1356)))</f>
        <v/>
      </c>
      <c r="AQ1356" s="55">
        <f>IF(LEFT(Cockpit!$O$5,1)="A",G1356,IF(BT1356=1,BU1356,IF(LEFT(Cockpit!$O$5,1)="B",AU1356,MAX(AU1356,G1356))))</f>
        <v/>
      </c>
      <c r="AR1356" s="55">
        <f>IF(BO1356=1,0,ROUNDUP(AQ1356/BN1356,0))</f>
        <v/>
      </c>
      <c r="AS1356" s="64">
        <f>IF(BO1356=1,IF(AQ1356&lt;=0,0,BP1356*MAX(1,IF(G1356&gt;0,AQ1356/G1356,1))),AR1356*Q1356)</f>
        <v/>
      </c>
      <c r="AT1356" s="55">
        <f>AQ1356*F1356</f>
        <v/>
      </c>
      <c r="AU1356" s="55">
        <f>ROUNDUP(MAX(I1356/IF(BS1356&gt;0,BS1356,MAX(0.1,N(Cockpit!$O$6))),BV1356)/BN1356,0)*BN1356</f>
        <v/>
      </c>
      <c r="AV1356" s="56">
        <f>IF(AS1356&gt;0,I1356/AS1356,-1)</f>
        <v/>
      </c>
      <c r="AW1356" s="56">
        <f>IF(AND(OR(BR1356="L1",BR1356="L23"),AS1356&gt;0),SUMIFS($AS$7:$AS$1570,$BR$7:$BR$1570,BR1356,$AV$7:$AV$1570,"&gt;"&amp;AV1356)+SUMIFS($AS$7:$AS$1570,$BR$7:$BR$1570,BR1356,$AV$7:$AV$1570,AV1356,$BL$7:$BL$1570,"&lt;="&amp;BL1356),"")</f>
        <v/>
      </c>
      <c r="AX1356" s="65">
        <f>IF(AW1356="",0,MAX(0,MIN(1,(IF(BR1356="L1",Parameter!$K$5,Parameter!$K$6+Parameter!$K$7)-(AW1356-AS1356))/AS1356)))</f>
        <v/>
      </c>
      <c r="AY1356" s="53">
        <f>IF(AC1356&lt;=0,"",IF(BR1356="Aussen","Aussenlager",IF(BR1356="-","Nicht im Lift",IF(AH1356&gt;=1,"Lift",IF(AH1356&lt;=0,"Aussenlager","teilweise")))))</f>
        <v/>
      </c>
      <c r="AZ1356" s="53">
        <f>IF(AK1356&lt;=0,"",IF(BR1356="Aussen","Aussenlager",IF(BR1356="-","Nicht im Lift",IF(AP1356&gt;=1,"Lift",IF(AP1356&lt;=0,"Aussenlager","teilweise")))))</f>
        <v/>
      </c>
      <c r="BA1356" s="53">
        <f>IF(AS1356&lt;=0,"",IF(BR1356="Aussen","Aussenlager",IF(BR1356="-","Nicht im Lift",IF(AX1356&gt;=1,"Lift",IF(AX1356&lt;=0,"Aussenlager","teilweise")))))</f>
        <v/>
      </c>
      <c r="BB1356" s="53">
        <f>IF(A1356="","",IF(BK1356=1,"Neu; ","")&amp;IF(AND(BK1356=0,BF1356&lt;0),"negativer Bestand (Export "&amp;BF1356&amp;"); ","")&amp;IF(I1356&lt;=0,"Kein Verbrauch; ","")&amp;IF(BO1356=1,"Lose – Fläche geschätzt; ","")&amp;IF(G1356&gt;AM1356,"Überbestand "&amp;ROUND(G1356-AM1356,0)&amp;" Stk / CHF "&amp;ROUND((G1356-AM1356)*F1356,0)&amp;"; ","")&amp;IF(AND(BT1356=1,BU1356&lt;BV1356),"MAX &lt; MB+LG; ","")&amp;IF(AND(BZ1356&gt;0,BY1356*10&gt;BZ1356),"zu hoch für Tablar; ","")&amp;IF(AND(BK1356=0,OR(BT1356=1,V1356&lt;&gt;"",S1356&lt;&gt;"",T1356&lt;&gt;"",W1356&lt;&gt;"")),"manuell übersteuert; ","")&amp;IF(AND(BO1356=0,Q1356=0),"Gebinde unbekannt; ","")&amp;IF(AND(BO1356=0,N(T1356)&lt;=0,N(P1356)&lt;=0),"Menge pro Gebinde fehlt (Ist = 1 Gebinde); ","")&amp;BJ1356)</f>
        <v/>
      </c>
      <c r="BC1356" s="53" t="n"/>
      <c r="BD1356" s="53" t="n"/>
      <c r="BE1356" s="61" t="n"/>
      <c r="BF1356" s="55" t="n">
        <v>-1</v>
      </c>
      <c r="BG1356" s="55" t="n">
        <v>2</v>
      </c>
      <c r="BH1356" s="54" t="n">
        <v>-2169.729999999999</v>
      </c>
      <c r="BI1356" s="55" t="n">
        <v>2</v>
      </c>
      <c r="BJ1356" s="53" t="inlineStr"/>
      <c r="BK1356" s="58" t="n">
        <v>0</v>
      </c>
      <c r="BL1356" s="58" t="n">
        <v>1356</v>
      </c>
      <c r="BM1356" s="53">
        <f>IF(S1356&lt;&gt;"",UPPER(TRIM(S1356)),IF(O1356="","LOSE",O1356))</f>
        <v/>
      </c>
      <c r="BN1356" s="55">
        <f>IF(BM1356="LOSE",1,IF(N(T1356)&gt;0,T1356,IF(N(P1356)&gt;0,P1356,MAX(1,G1356))))</f>
        <v/>
      </c>
      <c r="BO1356" s="58">
        <f>IF(BM1356="LOSE",1,0)</f>
        <v/>
      </c>
      <c r="BP1356" s="64">
        <f>IF(BO1356=0,0,IF(N(R1356)&gt;0,R1356,IFERROR(VLOOKUP(D1356,Parameter!$A$35:$C$64,3,0)+0,0)))</f>
        <v/>
      </c>
      <c r="BQ1356" s="53">
        <f>IF(V1356&lt;&gt;"",V1356,U1356)</f>
        <v/>
      </c>
      <c r="BR1356" s="53">
        <f>IF(BQ1356=1,"L1",IF(OR(BQ1356=2,BQ1356=3),"L23",IF(BQ1356="Aussen","Aussen","-")))</f>
        <v/>
      </c>
      <c r="BS1356" s="66">
        <f>IF(N(W1356)&gt;0,W1356,0)</f>
        <v/>
      </c>
      <c r="BT1356" s="58">
        <f>IF(ISNUMBER(Z1356),1,0)</f>
        <v/>
      </c>
      <c r="BU1356" s="55">
        <f>N(Z1356)</f>
        <v/>
      </c>
      <c r="BV1356" s="55">
        <f>N(L1356)+N(M1356)</f>
        <v/>
      </c>
      <c r="BW1356" s="55">
        <f>ROUNDUP(G1356/BN1356,0)</f>
        <v/>
      </c>
      <c r="BX1356" s="55">
        <f>ROUNDUP(BU1356/BN1356,0)</f>
        <v/>
      </c>
      <c r="BY1356" s="58">
        <f>IF(BO1356=1,0,IFERROR(VLOOKUP(BM1356,'Gebinde-Kategorie'!$A$5:$G$45,5,0)+0,0))</f>
        <v/>
      </c>
      <c r="BZ1356" s="58">
        <f>IFERROR(IF(OR(BQ1356=1,BQ1356=2,BQ1356=3),N(INDEX(Parameter!$I$5:$I$7,BQ1356)),0),0)</f>
        <v/>
      </c>
    </row>
    <row r="1357">
      <c r="A1357" s="53" t="inlineStr">
        <is>
          <t>108068</t>
        </is>
      </c>
      <c r="B1357" s="53" t="inlineStr">
        <is>
          <t>Sicherheitsventil letzte Stufe AC260</t>
        </is>
      </c>
      <c r="C1357" s="53" t="inlineStr">
        <is>
          <t>F</t>
        </is>
      </c>
      <c r="D1357" s="53" t="inlineStr">
        <is>
          <t>KTL</t>
        </is>
      </c>
      <c r="E1357" s="53" t="inlineStr">
        <is>
          <t>C</t>
        </is>
      </c>
      <c r="F1357" s="54" t="n">
        <v>369.31</v>
      </c>
      <c r="G1357" s="55">
        <f>MAX(0,IF(Parameter!$B$20="Jahresanfang 2025 + Export",BG1357+BF1357,BF1357))</f>
        <v/>
      </c>
      <c r="H1357" s="55">
        <f>G1357*F1357</f>
        <v/>
      </c>
      <c r="I1357" s="55">
        <f>BI1357*Parameter!$B$18</f>
        <v/>
      </c>
      <c r="J1357" s="56" t="n">
        <v>5.5</v>
      </c>
      <c r="K1357" s="57" t="n">
        <v>0.5454545454545454</v>
      </c>
      <c r="L1357" s="55" t="n">
        <v>0</v>
      </c>
      <c r="M1357" s="55" t="n">
        <v>5</v>
      </c>
      <c r="N1357" s="58" t="n">
        <v>21</v>
      </c>
      <c r="O1357" s="53" t="inlineStr">
        <is>
          <t>S51</t>
        </is>
      </c>
      <c r="P1357" s="55" t="n">
        <v>4</v>
      </c>
      <c r="Q1357" s="59">
        <f>IF(BO1357=1,0,IFERROR(VLOOKUP(BM1357,'Gebinde-Kategorie'!$A$5:$G$45,6,0)+0,0))</f>
        <v/>
      </c>
      <c r="R1357" s="60" t="n"/>
      <c r="S1357" s="61" t="n"/>
      <c r="T1357" s="61" t="n"/>
      <c r="U1357" s="53">
        <f>IF(A1357="","",IF(IFERROR(VLOOKUP(D1357,Parameter!$A$35:$C$64,2,0),"Nein")="2+3",IF(ISNUMBER(SEARCH("grosser Artikel",BJ1357)),2,IFERROR(VLOOKUP(BM1357,Parameter!$F$35:$G$64,2,0),2)),IF(OR(IFERROR(VLOOKUP(D1357,Parameter!$A$35:$C$64,2,0),"Nein")="Nein",IFERROR(VLOOKUP(D1357,Parameter!$A$35:$C$64,2,0),"Nein")=""),"-",VLOOKUP(D1357,Parameter!$A$35:$C$64,2,0))))</f>
        <v/>
      </c>
      <c r="V1357" s="61" t="n"/>
      <c r="W1357" s="62" t="n"/>
      <c r="X1357" s="55">
        <f>AM1357</f>
        <v/>
      </c>
      <c r="Y1357" s="55">
        <f>MAX(AM1357,G1357)</f>
        <v/>
      </c>
      <c r="Z1357" s="63" t="n"/>
      <c r="AA1357" s="55">
        <f>IF(LEFT(Cockpit!$C$5,1)="A",G1357,IF(BT1357=1,BU1357,IF(LEFT(Cockpit!$C$5,1)="B",AE1357,MAX(AE1357,G1357))))</f>
        <v/>
      </c>
      <c r="AB1357" s="55">
        <f>IF(BO1357=1,0,ROUNDUP(AA1357/BN1357,0))</f>
        <v/>
      </c>
      <c r="AC1357" s="64">
        <f>IF(BO1357=1,IF(AA1357&lt;=0,0,BP1357*MAX(1,IF(G1357&gt;0,AA1357/G1357,1))),AB1357*Q1357)</f>
        <v/>
      </c>
      <c r="AD1357" s="55">
        <f>AA1357*F1357</f>
        <v/>
      </c>
      <c r="AE1357" s="55">
        <f>ROUNDUP(MAX(I1357/IF(BS1357&gt;0,BS1357,MAX(0.1,N(Cockpit!$C$6))),BV1357)/BN1357,0)*BN1357</f>
        <v/>
      </c>
      <c r="AF1357" s="56">
        <f>IF(AC1357&gt;0,I1357/AC1357,-1)</f>
        <v/>
      </c>
      <c r="AG1357" s="56">
        <f>IF(AND(OR(BR1357="L1",BR1357="L23"),AC1357&gt;0),SUMIFS($AC$7:$AC$1570,$BR$7:$BR$1570,BR1357,$AF$7:$AF$1570,"&gt;"&amp;AF1357)+SUMIFS($AC$7:$AC$1570,$BR$7:$BR$1570,BR1357,$AF$7:$AF$1570,AF1357,$BL$7:$BL$1570,"&lt;="&amp;BL1357),"")</f>
        <v/>
      </c>
      <c r="AH1357" s="65">
        <f>IF(AG1357="",0,MAX(0,MIN(1,(IF(BR1357="L1",Parameter!$K$5,Parameter!$K$6+Parameter!$K$7)-(AG1357-AC1357))/AC1357)))</f>
        <v/>
      </c>
      <c r="AI1357" s="55">
        <f>IF(LEFT(Cockpit!$I$5,1)="A",G1357,IF(BT1357=1,BU1357,IF(LEFT(Cockpit!$I$5,1)="B",AM1357,MAX(AM1357,G1357))))</f>
        <v/>
      </c>
      <c r="AJ1357" s="55">
        <f>IF(BO1357=1,0,ROUNDUP(AI1357/BN1357,0))</f>
        <v/>
      </c>
      <c r="AK1357" s="64">
        <f>IF(BO1357=1,IF(AI1357&lt;=0,0,BP1357*MAX(1,IF(G1357&gt;0,AI1357/G1357,1))),AJ1357*Q1357)</f>
        <v/>
      </c>
      <c r="AL1357" s="55">
        <f>AI1357*F1357</f>
        <v/>
      </c>
      <c r="AM1357" s="55">
        <f>ROUNDUP(MAX(I1357/IF(BS1357&gt;0,BS1357,MAX(0.1,N(Cockpit!$I$6))),BV1357)/BN1357,0)*BN1357</f>
        <v/>
      </c>
      <c r="AN1357" s="56">
        <f>IF(AK1357&gt;0,I1357/AK1357,-1)</f>
        <v/>
      </c>
      <c r="AO1357" s="56">
        <f>IF(AND(OR(BR1357="L1",BR1357="L23"),AK1357&gt;0),SUMIFS($AK$7:$AK$1570,$BR$7:$BR$1570,BR1357,$AN$7:$AN$1570,"&gt;"&amp;AN1357)+SUMIFS($AK$7:$AK$1570,$BR$7:$BR$1570,BR1357,$AN$7:$AN$1570,AN1357,$BL$7:$BL$1570,"&lt;="&amp;BL1357),"")</f>
        <v/>
      </c>
      <c r="AP1357" s="65">
        <f>IF(AO1357="",0,MAX(0,MIN(1,(IF(BR1357="L1",Parameter!$K$5,Parameter!$K$6+Parameter!$K$7)-(AO1357-AK1357))/AK1357)))</f>
        <v/>
      </c>
      <c r="AQ1357" s="55">
        <f>IF(LEFT(Cockpit!$O$5,1)="A",G1357,IF(BT1357=1,BU1357,IF(LEFT(Cockpit!$O$5,1)="B",AU1357,MAX(AU1357,G1357))))</f>
        <v/>
      </c>
      <c r="AR1357" s="55">
        <f>IF(BO1357=1,0,ROUNDUP(AQ1357/BN1357,0))</f>
        <v/>
      </c>
      <c r="AS1357" s="64">
        <f>IF(BO1357=1,IF(AQ1357&lt;=0,0,BP1357*MAX(1,IF(G1357&gt;0,AQ1357/G1357,1))),AR1357*Q1357)</f>
        <v/>
      </c>
      <c r="AT1357" s="55">
        <f>AQ1357*F1357</f>
        <v/>
      </c>
      <c r="AU1357" s="55">
        <f>ROUNDUP(MAX(I1357/IF(BS1357&gt;0,BS1357,MAX(0.1,N(Cockpit!$O$6))),BV1357)/BN1357,0)*BN1357</f>
        <v/>
      </c>
      <c r="AV1357" s="56">
        <f>IF(AS1357&gt;0,I1357/AS1357,-1)</f>
        <v/>
      </c>
      <c r="AW1357" s="56">
        <f>IF(AND(OR(BR1357="L1",BR1357="L23"),AS1357&gt;0),SUMIFS($AS$7:$AS$1570,$BR$7:$BR$1570,BR1357,$AV$7:$AV$1570,"&gt;"&amp;AV1357)+SUMIFS($AS$7:$AS$1570,$BR$7:$BR$1570,BR1357,$AV$7:$AV$1570,AV1357,$BL$7:$BL$1570,"&lt;="&amp;BL1357),"")</f>
        <v/>
      </c>
      <c r="AX1357" s="65">
        <f>IF(AW1357="",0,MAX(0,MIN(1,(IF(BR1357="L1",Parameter!$K$5,Parameter!$K$6+Parameter!$K$7)-(AW1357-AS1357))/AS1357)))</f>
        <v/>
      </c>
      <c r="AY1357" s="53">
        <f>IF(AC1357&lt;=0,"",IF(BR1357="Aussen","Aussenlager",IF(BR1357="-","Nicht im Lift",IF(AH1357&gt;=1,"Lift",IF(AH1357&lt;=0,"Aussenlager","teilweise")))))</f>
        <v/>
      </c>
      <c r="AZ1357" s="53">
        <f>IF(AK1357&lt;=0,"",IF(BR1357="Aussen","Aussenlager",IF(BR1357="-","Nicht im Lift",IF(AP1357&gt;=1,"Lift",IF(AP1357&lt;=0,"Aussenlager","teilweise")))))</f>
        <v/>
      </c>
      <c r="BA1357" s="53">
        <f>IF(AS1357&lt;=0,"",IF(BR1357="Aussen","Aussenlager",IF(BR1357="-","Nicht im Lift",IF(AX1357&gt;=1,"Lift",IF(AX1357&lt;=0,"Aussenlager","teilweise")))))</f>
        <v/>
      </c>
      <c r="BB1357" s="53">
        <f>IF(A1357="","",IF(BK1357=1,"Neu; ","")&amp;IF(AND(BK1357=0,BF1357&lt;0),"negativer Bestand (Export "&amp;BF1357&amp;"); ","")&amp;IF(I1357&lt;=0,"Kein Verbrauch; ","")&amp;IF(BO1357=1,"Lose – Fläche geschätzt; ","")&amp;IF(G1357&gt;AM1357,"Überbestand "&amp;ROUND(G1357-AM1357,0)&amp;" Stk / CHF "&amp;ROUND((G1357-AM1357)*F1357,0)&amp;"; ","")&amp;IF(AND(BT1357=1,BU1357&lt;BV1357),"MAX &lt; MB+LG; ","")&amp;IF(AND(BZ1357&gt;0,BY1357*10&gt;BZ1357),"zu hoch für Tablar; ","")&amp;IF(AND(BK1357=0,OR(BT1357=1,V1357&lt;&gt;"",S1357&lt;&gt;"",T1357&lt;&gt;"",W1357&lt;&gt;"")),"manuell übersteuert; ","")&amp;IF(AND(BO1357=0,Q1357=0),"Gebinde unbekannt; ","")&amp;IF(AND(BO1357=0,N(T1357)&lt;=0,N(P1357)&lt;=0),"Menge pro Gebinde fehlt (Ist = 1 Gebinde); ","")&amp;BJ1357)</f>
        <v/>
      </c>
      <c r="BC1357" s="53" t="n"/>
      <c r="BD1357" s="53" t="n"/>
      <c r="BE1357" s="61" t="n"/>
      <c r="BF1357" s="55" t="n">
        <v>-6</v>
      </c>
      <c r="BG1357" s="55" t="n">
        <v>7</v>
      </c>
      <c r="BH1357" s="54" t="n">
        <v>-2215.86</v>
      </c>
      <c r="BI1357" s="55" t="n">
        <v>3</v>
      </c>
      <c r="BJ1357" s="53" t="inlineStr">
        <is>
          <t>Neu</t>
        </is>
      </c>
      <c r="BK1357" s="58" t="n">
        <v>0</v>
      </c>
      <c r="BL1357" s="58" t="n">
        <v>1357</v>
      </c>
      <c r="BM1357" s="53">
        <f>IF(S1357&lt;&gt;"",UPPER(TRIM(S1357)),IF(O1357="","LOSE",O1357))</f>
        <v/>
      </c>
      <c r="BN1357" s="55">
        <f>IF(BM1357="LOSE",1,IF(N(T1357)&gt;0,T1357,IF(N(P1357)&gt;0,P1357,MAX(1,G1357))))</f>
        <v/>
      </c>
      <c r="BO1357" s="58">
        <f>IF(BM1357="LOSE",1,0)</f>
        <v/>
      </c>
      <c r="BP1357" s="64">
        <f>IF(BO1357=0,0,IF(N(R1357)&gt;0,R1357,IFERROR(VLOOKUP(D1357,Parameter!$A$35:$C$64,3,0)+0,0)))</f>
        <v/>
      </c>
      <c r="BQ1357" s="53">
        <f>IF(V1357&lt;&gt;"",V1357,U1357)</f>
        <v/>
      </c>
      <c r="BR1357" s="53">
        <f>IF(BQ1357=1,"L1",IF(OR(BQ1357=2,BQ1357=3),"L23",IF(BQ1357="Aussen","Aussen","-")))</f>
        <v/>
      </c>
      <c r="BS1357" s="66">
        <f>IF(N(W1357)&gt;0,W1357,0)</f>
        <v/>
      </c>
      <c r="BT1357" s="58">
        <f>IF(ISNUMBER(Z1357),1,0)</f>
        <v/>
      </c>
      <c r="BU1357" s="55">
        <f>N(Z1357)</f>
        <v/>
      </c>
      <c r="BV1357" s="55">
        <f>N(L1357)+N(M1357)</f>
        <v/>
      </c>
      <c r="BW1357" s="55">
        <f>ROUNDUP(G1357/BN1357,0)</f>
        <v/>
      </c>
      <c r="BX1357" s="55">
        <f>ROUNDUP(BU1357/BN1357,0)</f>
        <v/>
      </c>
      <c r="BY1357" s="58">
        <f>IF(BO1357=1,0,IFERROR(VLOOKUP(BM1357,'Gebinde-Kategorie'!$A$5:$G$45,5,0)+0,0))</f>
        <v/>
      </c>
      <c r="BZ1357" s="58">
        <f>IFERROR(IF(OR(BQ1357=1,BQ1357=2,BQ1357=3),N(INDEX(Parameter!$I$5:$I$7,BQ1357)),0),0)</f>
        <v/>
      </c>
    </row>
    <row r="1358">
      <c r="A1358" s="53" t="inlineStr">
        <is>
          <t>005052</t>
        </is>
      </c>
      <c r="B1358" s="53" t="inlineStr">
        <is>
          <t>Ringwellschlauch</t>
        </is>
      </c>
      <c r="C1358" s="53" t="inlineStr">
        <is>
          <t>F</t>
        </is>
      </c>
      <c r="D1358" s="53" t="inlineStr">
        <is>
          <t>PAL</t>
        </is>
      </c>
      <c r="E1358" s="53" t="inlineStr">
        <is>
          <t>C</t>
        </is>
      </c>
      <c r="F1358" s="54" t="n">
        <v>221.79</v>
      </c>
      <c r="G1358" s="55">
        <f>MAX(0,IF(Parameter!$B$20="Jahresanfang 2025 + Export",BG1358+BF1358,BF1358))</f>
        <v/>
      </c>
      <c r="H1358" s="55">
        <f>G1358*F1358</f>
        <v/>
      </c>
      <c r="I1358" s="55">
        <f>BI1358*Parameter!$B$18</f>
        <v/>
      </c>
      <c r="J1358" s="56" t="n">
        <v>26.5</v>
      </c>
      <c r="K1358" s="57" t="n">
        <v>0.1886792452830189</v>
      </c>
      <c r="L1358" s="55" t="n">
        <v>0</v>
      </c>
      <c r="M1358" s="55" t="n">
        <v>5</v>
      </c>
      <c r="N1358" s="58" t="n">
        <v>56</v>
      </c>
      <c r="O1358" s="53" t="inlineStr">
        <is>
          <t>S71</t>
        </is>
      </c>
      <c r="P1358" s="55" t="n">
        <v>20</v>
      </c>
      <c r="Q1358" s="59">
        <f>IF(BO1358=1,0,IFERROR(VLOOKUP(BM1358,'Gebinde-Kategorie'!$A$5:$G$45,6,0)+0,0))</f>
        <v/>
      </c>
      <c r="R1358" s="60" t="n"/>
      <c r="S1358" s="61" t="n"/>
      <c r="T1358" s="61" t="n"/>
      <c r="U1358" s="53">
        <f>IF(A1358="","",IF(IFERROR(VLOOKUP(D1358,Parameter!$A$35:$C$64,2,0),"Nein")="2+3",IF(ISNUMBER(SEARCH("grosser Artikel",BJ1358)),2,IFERROR(VLOOKUP(BM1358,Parameter!$F$35:$G$64,2,0),2)),IF(OR(IFERROR(VLOOKUP(D1358,Parameter!$A$35:$C$64,2,0),"Nein")="Nein",IFERROR(VLOOKUP(D1358,Parameter!$A$35:$C$64,2,0),"Nein")=""),"-",VLOOKUP(D1358,Parameter!$A$35:$C$64,2,0))))</f>
        <v/>
      </c>
      <c r="V1358" s="61" t="n"/>
      <c r="W1358" s="62" t="n"/>
      <c r="X1358" s="55">
        <f>AM1358</f>
        <v/>
      </c>
      <c r="Y1358" s="55">
        <f>MAX(AM1358,G1358)</f>
        <v/>
      </c>
      <c r="Z1358" s="63" t="n"/>
      <c r="AA1358" s="55">
        <f>IF(LEFT(Cockpit!$C$5,1)="A",G1358,IF(BT1358=1,BU1358,IF(LEFT(Cockpit!$C$5,1)="B",AE1358,MAX(AE1358,G1358))))</f>
        <v/>
      </c>
      <c r="AB1358" s="55">
        <f>IF(BO1358=1,0,ROUNDUP(AA1358/BN1358,0))</f>
        <v/>
      </c>
      <c r="AC1358" s="64">
        <f>IF(BO1358=1,IF(AA1358&lt;=0,0,BP1358*MAX(1,IF(G1358&gt;0,AA1358/G1358,1))),AB1358*Q1358)</f>
        <v/>
      </c>
      <c r="AD1358" s="55">
        <f>AA1358*F1358</f>
        <v/>
      </c>
      <c r="AE1358" s="55">
        <f>ROUNDUP(MAX(I1358/IF(BS1358&gt;0,BS1358,MAX(0.1,N(Cockpit!$C$6))),BV1358)/BN1358,0)*BN1358</f>
        <v/>
      </c>
      <c r="AF1358" s="56">
        <f>IF(AC1358&gt;0,I1358/AC1358,-1)</f>
        <v/>
      </c>
      <c r="AG1358" s="56">
        <f>IF(AND(OR(BR1358="L1",BR1358="L23"),AC1358&gt;0),SUMIFS($AC$7:$AC$1570,$BR$7:$BR$1570,BR1358,$AF$7:$AF$1570,"&gt;"&amp;AF1358)+SUMIFS($AC$7:$AC$1570,$BR$7:$BR$1570,BR1358,$AF$7:$AF$1570,AF1358,$BL$7:$BL$1570,"&lt;="&amp;BL1358),"")</f>
        <v/>
      </c>
      <c r="AH1358" s="65">
        <f>IF(AG1358="",0,MAX(0,MIN(1,(IF(BR1358="L1",Parameter!$K$5,Parameter!$K$6+Parameter!$K$7)-(AG1358-AC1358))/AC1358)))</f>
        <v/>
      </c>
      <c r="AI1358" s="55">
        <f>IF(LEFT(Cockpit!$I$5,1)="A",G1358,IF(BT1358=1,BU1358,IF(LEFT(Cockpit!$I$5,1)="B",AM1358,MAX(AM1358,G1358))))</f>
        <v/>
      </c>
      <c r="AJ1358" s="55">
        <f>IF(BO1358=1,0,ROUNDUP(AI1358/BN1358,0))</f>
        <v/>
      </c>
      <c r="AK1358" s="64">
        <f>IF(BO1358=1,IF(AI1358&lt;=0,0,BP1358*MAX(1,IF(G1358&gt;0,AI1358/G1358,1))),AJ1358*Q1358)</f>
        <v/>
      </c>
      <c r="AL1358" s="55">
        <f>AI1358*F1358</f>
        <v/>
      </c>
      <c r="AM1358" s="55">
        <f>ROUNDUP(MAX(I1358/IF(BS1358&gt;0,BS1358,MAX(0.1,N(Cockpit!$I$6))),BV1358)/BN1358,0)*BN1358</f>
        <v/>
      </c>
      <c r="AN1358" s="56">
        <f>IF(AK1358&gt;0,I1358/AK1358,-1)</f>
        <v/>
      </c>
      <c r="AO1358" s="56">
        <f>IF(AND(OR(BR1358="L1",BR1358="L23"),AK1358&gt;0),SUMIFS($AK$7:$AK$1570,$BR$7:$BR$1570,BR1358,$AN$7:$AN$1570,"&gt;"&amp;AN1358)+SUMIFS($AK$7:$AK$1570,$BR$7:$BR$1570,BR1358,$AN$7:$AN$1570,AN1358,$BL$7:$BL$1570,"&lt;="&amp;BL1358),"")</f>
        <v/>
      </c>
      <c r="AP1358" s="65">
        <f>IF(AO1358="",0,MAX(0,MIN(1,(IF(BR1358="L1",Parameter!$K$5,Parameter!$K$6+Parameter!$K$7)-(AO1358-AK1358))/AK1358)))</f>
        <v/>
      </c>
      <c r="AQ1358" s="55">
        <f>IF(LEFT(Cockpit!$O$5,1)="A",G1358,IF(BT1358=1,BU1358,IF(LEFT(Cockpit!$O$5,1)="B",AU1358,MAX(AU1358,G1358))))</f>
        <v/>
      </c>
      <c r="AR1358" s="55">
        <f>IF(BO1358=1,0,ROUNDUP(AQ1358/BN1358,0))</f>
        <v/>
      </c>
      <c r="AS1358" s="64">
        <f>IF(BO1358=1,IF(AQ1358&lt;=0,0,BP1358*MAX(1,IF(G1358&gt;0,AQ1358/G1358,1))),AR1358*Q1358)</f>
        <v/>
      </c>
      <c r="AT1358" s="55">
        <f>AQ1358*F1358</f>
        <v/>
      </c>
      <c r="AU1358" s="55">
        <f>ROUNDUP(MAX(I1358/IF(BS1358&gt;0,BS1358,MAX(0.1,N(Cockpit!$O$6))),BV1358)/BN1358,0)*BN1358</f>
        <v/>
      </c>
      <c r="AV1358" s="56">
        <f>IF(AS1358&gt;0,I1358/AS1358,-1)</f>
        <v/>
      </c>
      <c r="AW1358" s="56">
        <f>IF(AND(OR(BR1358="L1",BR1358="L23"),AS1358&gt;0),SUMIFS($AS$7:$AS$1570,$BR$7:$BR$1570,BR1358,$AV$7:$AV$1570,"&gt;"&amp;AV1358)+SUMIFS($AS$7:$AS$1570,$BR$7:$BR$1570,BR1358,$AV$7:$AV$1570,AV1358,$BL$7:$BL$1570,"&lt;="&amp;BL1358),"")</f>
        <v/>
      </c>
      <c r="AX1358" s="65">
        <f>IF(AW1358="",0,MAX(0,MIN(1,(IF(BR1358="L1",Parameter!$K$5,Parameter!$K$6+Parameter!$K$7)-(AW1358-AS1358))/AS1358)))</f>
        <v/>
      </c>
      <c r="AY1358" s="53">
        <f>IF(AC1358&lt;=0,"",IF(BR1358="Aussen","Aussenlager",IF(BR1358="-","Nicht im Lift",IF(AH1358&gt;=1,"Lift",IF(AH1358&lt;=0,"Aussenlager","teilweise")))))</f>
        <v/>
      </c>
      <c r="AZ1358" s="53">
        <f>IF(AK1358&lt;=0,"",IF(BR1358="Aussen","Aussenlager",IF(BR1358="-","Nicht im Lift",IF(AP1358&gt;=1,"Lift",IF(AP1358&lt;=0,"Aussenlager","teilweise")))))</f>
        <v/>
      </c>
      <c r="BA1358" s="53">
        <f>IF(AS1358&lt;=0,"",IF(BR1358="Aussen","Aussenlager",IF(BR1358="-","Nicht im Lift",IF(AX1358&gt;=1,"Lift",IF(AX1358&lt;=0,"Aussenlager","teilweise")))))</f>
        <v/>
      </c>
      <c r="BB1358" s="53">
        <f>IF(A1358="","",IF(BK1358=1,"Neu; ","")&amp;IF(AND(BK1358=0,BF1358&lt;0),"negativer Bestand (Export "&amp;BF1358&amp;"); ","")&amp;IF(I1358&lt;=0,"Kein Verbrauch; ","")&amp;IF(BO1358=1,"Lose – Fläche geschätzt; ","")&amp;IF(G1358&gt;AM1358,"Überbestand "&amp;ROUND(G1358-AM1358,0)&amp;" Stk / CHF "&amp;ROUND((G1358-AM1358)*F1358,0)&amp;"; ","")&amp;IF(AND(BT1358=1,BU1358&lt;BV1358),"MAX &lt; MB+LG; ","")&amp;IF(AND(BZ1358&gt;0,BY1358*10&gt;BZ1358),"zu hoch für Tablar; ","")&amp;IF(AND(BK1358=0,OR(BT1358=1,V1358&lt;&gt;"",S1358&lt;&gt;"",T1358&lt;&gt;"",W1358&lt;&gt;"")),"manuell übersteuert; ","")&amp;IF(AND(BO1358=0,Q1358=0),"Gebinde unbekannt; ","")&amp;IF(AND(BO1358=0,N(T1358)&lt;=0,N(P1358)&lt;=0),"Menge pro Gebinde fehlt (Ist = 1 Gebinde); ","")&amp;BJ1358)</f>
        <v/>
      </c>
      <c r="BC1358" s="53" t="n"/>
      <c r="BD1358" s="53" t="n"/>
      <c r="BE1358" s="61" t="n"/>
      <c r="BF1358" s="55" t="n">
        <v>-10</v>
      </c>
      <c r="BG1358" s="55" t="n">
        <v>30</v>
      </c>
      <c r="BH1358" s="54" t="n">
        <v>-2217.9</v>
      </c>
      <c r="BI1358" s="55" t="n">
        <v>5</v>
      </c>
      <c r="BJ1358" s="53" t="inlineStr"/>
      <c r="BK1358" s="58" t="n">
        <v>0</v>
      </c>
      <c r="BL1358" s="58" t="n">
        <v>1358</v>
      </c>
      <c r="BM1358" s="53">
        <f>IF(S1358&lt;&gt;"",UPPER(TRIM(S1358)),IF(O1358="","LOSE",O1358))</f>
        <v/>
      </c>
      <c r="BN1358" s="55">
        <f>IF(BM1358="LOSE",1,IF(N(T1358)&gt;0,T1358,IF(N(P1358)&gt;0,P1358,MAX(1,G1358))))</f>
        <v/>
      </c>
      <c r="BO1358" s="58">
        <f>IF(BM1358="LOSE",1,0)</f>
        <v/>
      </c>
      <c r="BP1358" s="64">
        <f>IF(BO1358=0,0,IF(N(R1358)&gt;0,R1358,IFERROR(VLOOKUP(D1358,Parameter!$A$35:$C$64,3,0)+0,0)))</f>
        <v/>
      </c>
      <c r="BQ1358" s="53">
        <f>IF(V1358&lt;&gt;"",V1358,U1358)</f>
        <v/>
      </c>
      <c r="BR1358" s="53">
        <f>IF(BQ1358=1,"L1",IF(OR(BQ1358=2,BQ1358=3),"L23",IF(BQ1358="Aussen","Aussen","-")))</f>
        <v/>
      </c>
      <c r="BS1358" s="66">
        <f>IF(N(W1358)&gt;0,W1358,0)</f>
        <v/>
      </c>
      <c r="BT1358" s="58">
        <f>IF(ISNUMBER(Z1358),1,0)</f>
        <v/>
      </c>
      <c r="BU1358" s="55">
        <f>N(Z1358)</f>
        <v/>
      </c>
      <c r="BV1358" s="55">
        <f>N(L1358)+N(M1358)</f>
        <v/>
      </c>
      <c r="BW1358" s="55">
        <f>ROUNDUP(G1358/BN1358,0)</f>
        <v/>
      </c>
      <c r="BX1358" s="55">
        <f>ROUNDUP(BU1358/BN1358,0)</f>
        <v/>
      </c>
      <c r="BY1358" s="58">
        <f>IF(BO1358=1,0,IFERROR(VLOOKUP(BM1358,'Gebinde-Kategorie'!$A$5:$G$45,5,0)+0,0))</f>
        <v/>
      </c>
      <c r="BZ1358" s="58">
        <f>IFERROR(IF(OR(BQ1358=1,BQ1358=2,BQ1358=3),N(INDEX(Parameter!$I$5:$I$7,BQ1358)),0),0)</f>
        <v/>
      </c>
    </row>
    <row r="1359">
      <c r="A1359" s="53" t="inlineStr">
        <is>
          <t>106705</t>
        </is>
      </c>
      <c r="B1359" s="53" t="inlineStr">
        <is>
          <t>Adapter Edelstahl</t>
        </is>
      </c>
      <c r="C1359" s="53" t="inlineStr">
        <is>
          <t>F</t>
        </is>
      </c>
      <c r="D1359" s="53" t="inlineStr">
        <is>
          <t>KTL</t>
        </is>
      </c>
      <c r="E1359" s="53" t="inlineStr">
        <is>
          <t>C</t>
        </is>
      </c>
      <c r="F1359" s="54" t="n">
        <v>49.99</v>
      </c>
      <c r="G1359" s="55">
        <f>MAX(0,IF(Parameter!$B$20="Jahresanfang 2025 + Export",BG1359+BF1359,BF1359))</f>
        <v/>
      </c>
      <c r="H1359" s="55">
        <f>G1359*F1359</f>
        <v/>
      </c>
      <c r="I1359" s="55">
        <f>BI1359*Parameter!$B$18</f>
        <v/>
      </c>
      <c r="J1359" s="56" t="n">
        <v>92.5</v>
      </c>
      <c r="K1359" s="57" t="n">
        <v>0.3243243243243243</v>
      </c>
      <c r="L1359" s="55" t="n">
        <v>2</v>
      </c>
      <c r="M1359" s="55" t="n">
        <v>30</v>
      </c>
      <c r="N1359" s="58" t="n">
        <v>28</v>
      </c>
      <c r="O1359" s="53" t="inlineStr">
        <is>
          <t>S51</t>
        </is>
      </c>
      <c r="P1359" s="55" t="n">
        <v>161</v>
      </c>
      <c r="Q1359" s="59">
        <f>IF(BO1359=1,0,IFERROR(VLOOKUP(BM1359,'Gebinde-Kategorie'!$A$5:$G$45,6,0)+0,0))</f>
        <v/>
      </c>
      <c r="R1359" s="60" t="n"/>
      <c r="S1359" s="61" t="n"/>
      <c r="T1359" s="61" t="n"/>
      <c r="U1359" s="53">
        <f>IF(A1359="","",IF(IFERROR(VLOOKUP(D1359,Parameter!$A$35:$C$64,2,0),"Nein")="2+3",IF(ISNUMBER(SEARCH("grosser Artikel",BJ1359)),2,IFERROR(VLOOKUP(BM1359,Parameter!$F$35:$G$64,2,0),2)),IF(OR(IFERROR(VLOOKUP(D1359,Parameter!$A$35:$C$64,2,0),"Nein")="Nein",IFERROR(VLOOKUP(D1359,Parameter!$A$35:$C$64,2,0),"Nein")=""),"-",VLOOKUP(D1359,Parameter!$A$35:$C$64,2,0))))</f>
        <v/>
      </c>
      <c r="V1359" s="61" t="n"/>
      <c r="W1359" s="62" t="n"/>
      <c r="X1359" s="55">
        <f>AM1359</f>
        <v/>
      </c>
      <c r="Y1359" s="55">
        <f>MAX(AM1359,G1359)</f>
        <v/>
      </c>
      <c r="Z1359" s="63" t="n"/>
      <c r="AA1359" s="55">
        <f>IF(LEFT(Cockpit!$C$5,1)="A",G1359,IF(BT1359=1,BU1359,IF(LEFT(Cockpit!$C$5,1)="B",AE1359,MAX(AE1359,G1359))))</f>
        <v/>
      </c>
      <c r="AB1359" s="55">
        <f>IF(BO1359=1,0,ROUNDUP(AA1359/BN1359,0))</f>
        <v/>
      </c>
      <c r="AC1359" s="64">
        <f>IF(BO1359=1,IF(AA1359&lt;=0,0,BP1359*MAX(1,IF(G1359&gt;0,AA1359/G1359,1))),AB1359*Q1359)</f>
        <v/>
      </c>
      <c r="AD1359" s="55">
        <f>AA1359*F1359</f>
        <v/>
      </c>
      <c r="AE1359" s="55">
        <f>ROUNDUP(MAX(I1359/IF(BS1359&gt;0,BS1359,MAX(0.1,N(Cockpit!$C$6))),BV1359)/BN1359,0)*BN1359</f>
        <v/>
      </c>
      <c r="AF1359" s="56">
        <f>IF(AC1359&gt;0,I1359/AC1359,-1)</f>
        <v/>
      </c>
      <c r="AG1359" s="56">
        <f>IF(AND(OR(BR1359="L1",BR1359="L23"),AC1359&gt;0),SUMIFS($AC$7:$AC$1570,$BR$7:$BR$1570,BR1359,$AF$7:$AF$1570,"&gt;"&amp;AF1359)+SUMIFS($AC$7:$AC$1570,$BR$7:$BR$1570,BR1359,$AF$7:$AF$1570,AF1359,$BL$7:$BL$1570,"&lt;="&amp;BL1359),"")</f>
        <v/>
      </c>
      <c r="AH1359" s="65">
        <f>IF(AG1359="",0,MAX(0,MIN(1,(IF(BR1359="L1",Parameter!$K$5,Parameter!$K$6+Parameter!$K$7)-(AG1359-AC1359))/AC1359)))</f>
        <v/>
      </c>
      <c r="AI1359" s="55">
        <f>IF(LEFT(Cockpit!$I$5,1)="A",G1359,IF(BT1359=1,BU1359,IF(LEFT(Cockpit!$I$5,1)="B",AM1359,MAX(AM1359,G1359))))</f>
        <v/>
      </c>
      <c r="AJ1359" s="55">
        <f>IF(BO1359=1,0,ROUNDUP(AI1359/BN1359,0))</f>
        <v/>
      </c>
      <c r="AK1359" s="64">
        <f>IF(BO1359=1,IF(AI1359&lt;=0,0,BP1359*MAX(1,IF(G1359&gt;0,AI1359/G1359,1))),AJ1359*Q1359)</f>
        <v/>
      </c>
      <c r="AL1359" s="55">
        <f>AI1359*F1359</f>
        <v/>
      </c>
      <c r="AM1359" s="55">
        <f>ROUNDUP(MAX(I1359/IF(BS1359&gt;0,BS1359,MAX(0.1,N(Cockpit!$I$6))),BV1359)/BN1359,0)*BN1359</f>
        <v/>
      </c>
      <c r="AN1359" s="56">
        <f>IF(AK1359&gt;0,I1359/AK1359,-1)</f>
        <v/>
      </c>
      <c r="AO1359" s="56">
        <f>IF(AND(OR(BR1359="L1",BR1359="L23"),AK1359&gt;0),SUMIFS($AK$7:$AK$1570,$BR$7:$BR$1570,BR1359,$AN$7:$AN$1570,"&gt;"&amp;AN1359)+SUMIFS($AK$7:$AK$1570,$BR$7:$BR$1570,BR1359,$AN$7:$AN$1570,AN1359,$BL$7:$BL$1570,"&lt;="&amp;BL1359),"")</f>
        <v/>
      </c>
      <c r="AP1359" s="65">
        <f>IF(AO1359="",0,MAX(0,MIN(1,(IF(BR1359="L1",Parameter!$K$5,Parameter!$K$6+Parameter!$K$7)-(AO1359-AK1359))/AK1359)))</f>
        <v/>
      </c>
      <c r="AQ1359" s="55">
        <f>IF(LEFT(Cockpit!$O$5,1)="A",G1359,IF(BT1359=1,BU1359,IF(LEFT(Cockpit!$O$5,1)="B",AU1359,MAX(AU1359,G1359))))</f>
        <v/>
      </c>
      <c r="AR1359" s="55">
        <f>IF(BO1359=1,0,ROUNDUP(AQ1359/BN1359,0))</f>
        <v/>
      </c>
      <c r="AS1359" s="64">
        <f>IF(BO1359=1,IF(AQ1359&lt;=0,0,BP1359*MAX(1,IF(G1359&gt;0,AQ1359/G1359,1))),AR1359*Q1359)</f>
        <v/>
      </c>
      <c r="AT1359" s="55">
        <f>AQ1359*F1359</f>
        <v/>
      </c>
      <c r="AU1359" s="55">
        <f>ROUNDUP(MAX(I1359/IF(BS1359&gt;0,BS1359,MAX(0.1,N(Cockpit!$O$6))),BV1359)/BN1359,0)*BN1359</f>
        <v/>
      </c>
      <c r="AV1359" s="56">
        <f>IF(AS1359&gt;0,I1359/AS1359,-1)</f>
        <v/>
      </c>
      <c r="AW1359" s="56">
        <f>IF(AND(OR(BR1359="L1",BR1359="L23"),AS1359&gt;0),SUMIFS($AS$7:$AS$1570,$BR$7:$BR$1570,BR1359,$AV$7:$AV$1570,"&gt;"&amp;AV1359)+SUMIFS($AS$7:$AS$1570,$BR$7:$BR$1570,BR1359,$AV$7:$AV$1570,AV1359,$BL$7:$BL$1570,"&lt;="&amp;BL1359),"")</f>
        <v/>
      </c>
      <c r="AX1359" s="65">
        <f>IF(AW1359="",0,MAX(0,MIN(1,(IF(BR1359="L1",Parameter!$K$5,Parameter!$K$6+Parameter!$K$7)-(AW1359-AS1359))/AS1359)))</f>
        <v/>
      </c>
      <c r="AY1359" s="53">
        <f>IF(AC1359&lt;=0,"",IF(BR1359="Aussen","Aussenlager",IF(BR1359="-","Nicht im Lift",IF(AH1359&gt;=1,"Lift",IF(AH1359&lt;=0,"Aussenlager","teilweise")))))</f>
        <v/>
      </c>
      <c r="AZ1359" s="53">
        <f>IF(AK1359&lt;=0,"",IF(BR1359="Aussen","Aussenlager",IF(BR1359="-","Nicht im Lift",IF(AP1359&gt;=1,"Lift",IF(AP1359&lt;=0,"Aussenlager","teilweise")))))</f>
        <v/>
      </c>
      <c r="BA1359" s="53">
        <f>IF(AS1359&lt;=0,"",IF(BR1359="Aussen","Aussenlager",IF(BR1359="-","Nicht im Lift",IF(AX1359&gt;=1,"Lift",IF(AX1359&lt;=0,"Aussenlager","teilweise")))))</f>
        <v/>
      </c>
      <c r="BB1359" s="53">
        <f>IF(A1359="","",IF(BK1359=1,"Neu; ","")&amp;IF(AND(BK1359=0,BF1359&lt;0),"negativer Bestand (Export "&amp;BF1359&amp;"); ","")&amp;IF(I1359&lt;=0,"Kein Verbrauch; ","")&amp;IF(BO1359=1,"Lose – Fläche geschätzt; ","")&amp;IF(G1359&gt;AM1359,"Überbestand "&amp;ROUND(G1359-AM1359,0)&amp;" Stk / CHF "&amp;ROUND((G1359-AM1359)*F1359,0)&amp;"; ","")&amp;IF(AND(BT1359=1,BU1359&lt;BV1359),"MAX &lt; MB+LG; ","")&amp;IF(AND(BZ1359&gt;0,BY1359*10&gt;BZ1359),"zu hoch für Tablar; ","")&amp;IF(AND(BK1359=0,OR(BT1359=1,V1359&lt;&gt;"",S1359&lt;&gt;"",T1359&lt;&gt;"",W1359&lt;&gt;"")),"manuell übersteuert; ","")&amp;IF(AND(BO1359=0,Q1359=0),"Gebinde unbekannt; ","")&amp;IF(AND(BO1359=0,N(T1359)&lt;=0,N(P1359)&lt;=0),"Menge pro Gebinde fehlt (Ist = 1 Gebinde); ","")&amp;BJ1359)</f>
        <v/>
      </c>
      <c r="BC1359" s="53" t="n"/>
      <c r="BD1359" s="53" t="n"/>
      <c r="BE1359" s="61" t="n"/>
      <c r="BF1359" s="55" t="n">
        <v>-45</v>
      </c>
      <c r="BG1359" s="55" t="n">
        <v>108</v>
      </c>
      <c r="BH1359" s="54" t="n">
        <v>-2249.55</v>
      </c>
      <c r="BI1359" s="55" t="n">
        <v>30</v>
      </c>
      <c r="BJ1359" s="53" t="inlineStr"/>
      <c r="BK1359" s="58" t="n">
        <v>0</v>
      </c>
      <c r="BL1359" s="58" t="n">
        <v>1359</v>
      </c>
      <c r="BM1359" s="53">
        <f>IF(S1359&lt;&gt;"",UPPER(TRIM(S1359)),IF(O1359="","LOSE",O1359))</f>
        <v/>
      </c>
      <c r="BN1359" s="55">
        <f>IF(BM1359="LOSE",1,IF(N(T1359)&gt;0,T1359,IF(N(P1359)&gt;0,P1359,MAX(1,G1359))))</f>
        <v/>
      </c>
      <c r="BO1359" s="58">
        <f>IF(BM1359="LOSE",1,0)</f>
        <v/>
      </c>
      <c r="BP1359" s="64">
        <f>IF(BO1359=0,0,IF(N(R1359)&gt;0,R1359,IFERROR(VLOOKUP(D1359,Parameter!$A$35:$C$64,3,0)+0,0)))</f>
        <v/>
      </c>
      <c r="BQ1359" s="53">
        <f>IF(V1359&lt;&gt;"",V1359,U1359)</f>
        <v/>
      </c>
      <c r="BR1359" s="53">
        <f>IF(BQ1359=1,"L1",IF(OR(BQ1359=2,BQ1359=3),"L23",IF(BQ1359="Aussen","Aussen","-")))</f>
        <v/>
      </c>
      <c r="BS1359" s="66">
        <f>IF(N(W1359)&gt;0,W1359,0)</f>
        <v/>
      </c>
      <c r="BT1359" s="58">
        <f>IF(ISNUMBER(Z1359),1,0)</f>
        <v/>
      </c>
      <c r="BU1359" s="55">
        <f>N(Z1359)</f>
        <v/>
      </c>
      <c r="BV1359" s="55">
        <f>N(L1359)+N(M1359)</f>
        <v/>
      </c>
      <c r="BW1359" s="55">
        <f>ROUNDUP(G1359/BN1359,0)</f>
        <v/>
      </c>
      <c r="BX1359" s="55">
        <f>ROUNDUP(BU1359/BN1359,0)</f>
        <v/>
      </c>
      <c r="BY1359" s="58">
        <f>IF(BO1359=1,0,IFERROR(VLOOKUP(BM1359,'Gebinde-Kategorie'!$A$5:$G$45,5,0)+0,0))</f>
        <v/>
      </c>
      <c r="BZ1359" s="58">
        <f>IFERROR(IF(OR(BQ1359=1,BQ1359=2,BQ1359=3),N(INDEX(Parameter!$I$5:$I$7,BQ1359)),0),0)</f>
        <v/>
      </c>
    </row>
    <row r="1360">
      <c r="A1360" s="53" t="inlineStr">
        <is>
          <t>107825</t>
        </is>
      </c>
      <c r="B1360" s="53" t="inlineStr">
        <is>
          <t>Austrittsdüse SPGr16</t>
        </is>
      </c>
      <c r="C1360" s="53" t="inlineStr">
        <is>
          <t>A</t>
        </is>
      </c>
      <c r="D1360" s="53" t="inlineStr">
        <is>
          <t>PAL</t>
        </is>
      </c>
      <c r="E1360" s="53" t="inlineStr">
        <is>
          <t>C</t>
        </is>
      </c>
      <c r="F1360" s="54" t="n">
        <v>2326.66</v>
      </c>
      <c r="G1360" s="55">
        <f>MAX(0,IF(Parameter!$B$20="Jahresanfang 2025 + Export",BG1360+BF1360,BF1360))</f>
        <v/>
      </c>
      <c r="H1360" s="55">
        <f>G1360*F1360</f>
        <v/>
      </c>
      <c r="I1360" s="55">
        <f>BI1360*Parameter!$B$18</f>
        <v/>
      </c>
      <c r="J1360" s="56" t="n">
        <v>10</v>
      </c>
      <c r="K1360" s="57" t="n">
        <v>0</v>
      </c>
      <c r="L1360" s="55" t="n">
        <v>0</v>
      </c>
      <c r="M1360" s="55" t="n">
        <v>1</v>
      </c>
      <c r="N1360" s="58" t="n">
        <v>49</v>
      </c>
      <c r="O1360" s="53" t="inlineStr">
        <is>
          <t>LOSE</t>
        </is>
      </c>
      <c r="P1360" s="55" t="n"/>
      <c r="Q1360" s="59">
        <f>IF(BO1360=1,0,IFERROR(VLOOKUP(BM1360,'Gebinde-Kategorie'!$A$5:$G$45,6,0)+0,0))</f>
        <v/>
      </c>
      <c r="R1360" s="60" t="n"/>
      <c r="S1360" s="61" t="n"/>
      <c r="T1360" s="61" t="n"/>
      <c r="U1360" s="53">
        <f>IF(A1360="","",IF(IFERROR(VLOOKUP(D1360,Parameter!$A$35:$C$64,2,0),"Nein")="2+3",IF(ISNUMBER(SEARCH("grosser Artikel",BJ1360)),2,IFERROR(VLOOKUP(BM1360,Parameter!$F$35:$G$64,2,0),2)),IF(OR(IFERROR(VLOOKUP(D1360,Parameter!$A$35:$C$64,2,0),"Nein")="Nein",IFERROR(VLOOKUP(D1360,Parameter!$A$35:$C$64,2,0),"Nein")=""),"-",VLOOKUP(D1360,Parameter!$A$35:$C$64,2,0))))</f>
        <v/>
      </c>
      <c r="V1360" s="61" t="n"/>
      <c r="W1360" s="62" t="n"/>
      <c r="X1360" s="55">
        <f>AM1360</f>
        <v/>
      </c>
      <c r="Y1360" s="55">
        <f>MAX(AM1360,G1360)</f>
        <v/>
      </c>
      <c r="Z1360" s="63" t="n"/>
      <c r="AA1360" s="55">
        <f>IF(LEFT(Cockpit!$C$5,1)="A",G1360,IF(BT1360=1,BU1360,IF(LEFT(Cockpit!$C$5,1)="B",AE1360,MAX(AE1360,G1360))))</f>
        <v/>
      </c>
      <c r="AB1360" s="55">
        <f>IF(BO1360=1,0,ROUNDUP(AA1360/BN1360,0))</f>
        <v/>
      </c>
      <c r="AC1360" s="64">
        <f>IF(BO1360=1,IF(AA1360&lt;=0,0,BP1360*MAX(1,IF(G1360&gt;0,AA1360/G1360,1))),AB1360*Q1360)</f>
        <v/>
      </c>
      <c r="AD1360" s="55">
        <f>AA1360*F1360</f>
        <v/>
      </c>
      <c r="AE1360" s="55">
        <f>ROUNDUP(MAX(I1360/IF(BS1360&gt;0,BS1360,MAX(0.1,N(Cockpit!$C$6))),BV1360)/BN1360,0)*BN1360</f>
        <v/>
      </c>
      <c r="AF1360" s="56">
        <f>IF(AC1360&gt;0,I1360/AC1360,-1)</f>
        <v/>
      </c>
      <c r="AG1360" s="56">
        <f>IF(AND(OR(BR1360="L1",BR1360="L23"),AC1360&gt;0),SUMIFS($AC$7:$AC$1570,$BR$7:$BR$1570,BR1360,$AF$7:$AF$1570,"&gt;"&amp;AF1360)+SUMIFS($AC$7:$AC$1570,$BR$7:$BR$1570,BR1360,$AF$7:$AF$1570,AF1360,$BL$7:$BL$1570,"&lt;="&amp;BL1360),"")</f>
        <v/>
      </c>
      <c r="AH1360" s="65">
        <f>IF(AG1360="",0,MAX(0,MIN(1,(IF(BR1360="L1",Parameter!$K$5,Parameter!$K$6+Parameter!$K$7)-(AG1360-AC1360))/AC1360)))</f>
        <v/>
      </c>
      <c r="AI1360" s="55">
        <f>IF(LEFT(Cockpit!$I$5,1)="A",G1360,IF(BT1360=1,BU1360,IF(LEFT(Cockpit!$I$5,1)="B",AM1360,MAX(AM1360,G1360))))</f>
        <v/>
      </c>
      <c r="AJ1360" s="55">
        <f>IF(BO1360=1,0,ROUNDUP(AI1360/BN1360,0))</f>
        <v/>
      </c>
      <c r="AK1360" s="64">
        <f>IF(BO1360=1,IF(AI1360&lt;=0,0,BP1360*MAX(1,IF(G1360&gt;0,AI1360/G1360,1))),AJ1360*Q1360)</f>
        <v/>
      </c>
      <c r="AL1360" s="55">
        <f>AI1360*F1360</f>
        <v/>
      </c>
      <c r="AM1360" s="55">
        <f>ROUNDUP(MAX(I1360/IF(BS1360&gt;0,BS1360,MAX(0.1,N(Cockpit!$I$6))),BV1360)/BN1360,0)*BN1360</f>
        <v/>
      </c>
      <c r="AN1360" s="56">
        <f>IF(AK1360&gt;0,I1360/AK1360,-1)</f>
        <v/>
      </c>
      <c r="AO1360" s="56">
        <f>IF(AND(OR(BR1360="L1",BR1360="L23"),AK1360&gt;0),SUMIFS($AK$7:$AK$1570,$BR$7:$BR$1570,BR1360,$AN$7:$AN$1570,"&gt;"&amp;AN1360)+SUMIFS($AK$7:$AK$1570,$BR$7:$BR$1570,BR1360,$AN$7:$AN$1570,AN1360,$BL$7:$BL$1570,"&lt;="&amp;BL1360),"")</f>
        <v/>
      </c>
      <c r="AP1360" s="65">
        <f>IF(AO1360="",0,MAX(0,MIN(1,(IF(BR1360="L1",Parameter!$K$5,Parameter!$K$6+Parameter!$K$7)-(AO1360-AK1360))/AK1360)))</f>
        <v/>
      </c>
      <c r="AQ1360" s="55">
        <f>IF(LEFT(Cockpit!$O$5,1)="A",G1360,IF(BT1360=1,BU1360,IF(LEFT(Cockpit!$O$5,1)="B",AU1360,MAX(AU1360,G1360))))</f>
        <v/>
      </c>
      <c r="AR1360" s="55">
        <f>IF(BO1360=1,0,ROUNDUP(AQ1360/BN1360,0))</f>
        <v/>
      </c>
      <c r="AS1360" s="64">
        <f>IF(BO1360=1,IF(AQ1360&lt;=0,0,BP1360*MAX(1,IF(G1360&gt;0,AQ1360/G1360,1))),AR1360*Q1360)</f>
        <v/>
      </c>
      <c r="AT1360" s="55">
        <f>AQ1360*F1360</f>
        <v/>
      </c>
      <c r="AU1360" s="55">
        <f>ROUNDUP(MAX(I1360/IF(BS1360&gt;0,BS1360,MAX(0.1,N(Cockpit!$O$6))),BV1360)/BN1360,0)*BN1360</f>
        <v/>
      </c>
      <c r="AV1360" s="56">
        <f>IF(AS1360&gt;0,I1360/AS1360,-1)</f>
        <v/>
      </c>
      <c r="AW1360" s="56">
        <f>IF(AND(OR(BR1360="L1",BR1360="L23"),AS1360&gt;0),SUMIFS($AS$7:$AS$1570,$BR$7:$BR$1570,BR1360,$AV$7:$AV$1570,"&gt;"&amp;AV1360)+SUMIFS($AS$7:$AS$1570,$BR$7:$BR$1570,BR1360,$AV$7:$AV$1570,AV1360,$BL$7:$BL$1570,"&lt;="&amp;BL1360),"")</f>
        <v/>
      </c>
      <c r="AX1360" s="65">
        <f>IF(AW1360="",0,MAX(0,MIN(1,(IF(BR1360="L1",Parameter!$K$5,Parameter!$K$6+Parameter!$K$7)-(AW1360-AS1360))/AS1360)))</f>
        <v/>
      </c>
      <c r="AY1360" s="53">
        <f>IF(AC1360&lt;=0,"",IF(BR1360="Aussen","Aussenlager",IF(BR1360="-","Nicht im Lift",IF(AH1360&gt;=1,"Lift",IF(AH1360&lt;=0,"Aussenlager","teilweise")))))</f>
        <v/>
      </c>
      <c r="AZ1360" s="53">
        <f>IF(AK1360&lt;=0,"",IF(BR1360="Aussen","Aussenlager",IF(BR1360="-","Nicht im Lift",IF(AP1360&gt;=1,"Lift",IF(AP1360&lt;=0,"Aussenlager","teilweise")))))</f>
        <v/>
      </c>
      <c r="BA1360" s="53">
        <f>IF(AS1360&lt;=0,"",IF(BR1360="Aussen","Aussenlager",IF(BR1360="-","Nicht im Lift",IF(AX1360&gt;=1,"Lift",IF(AX1360&lt;=0,"Aussenlager","teilweise")))))</f>
        <v/>
      </c>
      <c r="BB1360" s="53">
        <f>IF(A1360="","",IF(BK1360=1,"Neu; ","")&amp;IF(AND(BK1360=0,BF1360&lt;0),"negativer Bestand (Export "&amp;BF1360&amp;"); ","")&amp;IF(I1360&lt;=0,"Kein Verbrauch; ","")&amp;IF(BO1360=1,"Lose – Fläche geschätzt; ","")&amp;IF(G1360&gt;AM1360,"Überbestand "&amp;ROUND(G1360-AM1360,0)&amp;" Stk / CHF "&amp;ROUND((G1360-AM1360)*F1360,0)&amp;"; ","")&amp;IF(AND(BT1360=1,BU1360&lt;BV1360),"MAX &lt; MB+LG; ","")&amp;IF(AND(BZ1360&gt;0,BY1360*10&gt;BZ1360),"zu hoch für Tablar; ","")&amp;IF(AND(BK1360=0,OR(BT1360=1,V1360&lt;&gt;"",S1360&lt;&gt;"",T1360&lt;&gt;"",W1360&lt;&gt;"")),"manuell übersteuert; ","")&amp;IF(AND(BO1360=0,Q1360=0),"Gebinde unbekannt; ","")&amp;IF(AND(BO1360=0,N(T1360)&lt;=0,N(P1360)&lt;=0),"Menge pro Gebinde fehlt (Ist = 1 Gebinde); ","")&amp;BJ1360)</f>
        <v/>
      </c>
      <c r="BC1360" s="53" t="n"/>
      <c r="BD1360" s="53" t="n"/>
      <c r="BE1360" s="61" t="n"/>
      <c r="BF1360" s="55" t="n">
        <v>-1</v>
      </c>
      <c r="BG1360" s="55" t="n">
        <v>10</v>
      </c>
      <c r="BH1360" s="54" t="n">
        <v>-2326.66</v>
      </c>
      <c r="BI1360" s="55" t="n">
        <v>0</v>
      </c>
      <c r="BJ1360" s="53" t="inlineStr">
        <is>
          <t>Standartdüse</t>
        </is>
      </c>
      <c r="BK1360" s="58" t="n">
        <v>0</v>
      </c>
      <c r="BL1360" s="58" t="n">
        <v>1360</v>
      </c>
      <c r="BM1360" s="53">
        <f>IF(S1360&lt;&gt;"",UPPER(TRIM(S1360)),IF(O1360="","LOSE",O1360))</f>
        <v/>
      </c>
      <c r="BN1360" s="55">
        <f>IF(BM1360="LOSE",1,IF(N(T1360)&gt;0,T1360,IF(N(P1360)&gt;0,P1360,MAX(1,G1360))))</f>
        <v/>
      </c>
      <c r="BO1360" s="58">
        <f>IF(BM1360="LOSE",1,0)</f>
        <v/>
      </c>
      <c r="BP1360" s="64">
        <f>IF(BO1360=0,0,IF(N(R1360)&gt;0,R1360,IFERROR(VLOOKUP(D1360,Parameter!$A$35:$C$64,3,0)+0,0)))</f>
        <v/>
      </c>
      <c r="BQ1360" s="53">
        <f>IF(V1360&lt;&gt;"",V1360,U1360)</f>
        <v/>
      </c>
      <c r="BR1360" s="53">
        <f>IF(BQ1360=1,"L1",IF(OR(BQ1360=2,BQ1360=3),"L23",IF(BQ1360="Aussen","Aussen","-")))</f>
        <v/>
      </c>
      <c r="BS1360" s="66">
        <f>IF(N(W1360)&gt;0,W1360,0)</f>
        <v/>
      </c>
      <c r="BT1360" s="58">
        <f>IF(ISNUMBER(Z1360),1,0)</f>
        <v/>
      </c>
      <c r="BU1360" s="55">
        <f>N(Z1360)</f>
        <v/>
      </c>
      <c r="BV1360" s="55">
        <f>N(L1360)+N(M1360)</f>
        <v/>
      </c>
      <c r="BW1360" s="55">
        <f>ROUNDUP(G1360/BN1360,0)</f>
        <v/>
      </c>
      <c r="BX1360" s="55">
        <f>ROUNDUP(BU1360/BN1360,0)</f>
        <v/>
      </c>
      <c r="BY1360" s="58">
        <f>IF(BO1360=1,0,IFERROR(VLOOKUP(BM1360,'Gebinde-Kategorie'!$A$5:$G$45,5,0)+0,0))</f>
        <v/>
      </c>
      <c r="BZ1360" s="58">
        <f>IFERROR(IF(OR(BQ1360=1,BQ1360=2,BQ1360=3),N(INDEX(Parameter!$I$5:$I$7,BQ1360)),0),0)</f>
        <v/>
      </c>
    </row>
    <row r="1361">
      <c r="A1361" s="53" t="inlineStr">
        <is>
          <t>100353</t>
        </is>
      </c>
      <c r="B1361" s="53" t="inlineStr">
        <is>
          <t>Adapter Edelstahl</t>
        </is>
      </c>
      <c r="C1361" s="53" t="inlineStr">
        <is>
          <t>F</t>
        </is>
      </c>
      <c r="D1361" s="53" t="inlineStr">
        <is>
          <t>KTL</t>
        </is>
      </c>
      <c r="E1361" s="53" t="inlineStr">
        <is>
          <t>C</t>
        </is>
      </c>
      <c r="F1361" s="54" t="n">
        <v>18.95</v>
      </c>
      <c r="G1361" s="55">
        <f>MAX(0,IF(Parameter!$B$20="Jahresanfang 2025 + Export",BG1361+BF1361,BF1361))</f>
        <v/>
      </c>
      <c r="H1361" s="55">
        <f>G1361*F1361</f>
        <v/>
      </c>
      <c r="I1361" s="55">
        <f>BI1361*Parameter!$B$18</f>
        <v/>
      </c>
      <c r="J1361" s="56" t="n">
        <v>133</v>
      </c>
      <c r="K1361" s="57" t="n">
        <v>0.6165413533834586</v>
      </c>
      <c r="L1361" s="55" t="n">
        <v>3</v>
      </c>
      <c r="M1361" s="55" t="n">
        <v>90</v>
      </c>
      <c r="N1361" s="58" t="n">
        <v>14</v>
      </c>
      <c r="O1361" s="53" t="inlineStr">
        <is>
          <t>S51</t>
        </is>
      </c>
      <c r="P1361" s="55" t="n">
        <v>123</v>
      </c>
      <c r="Q1361" s="59">
        <f>IF(BO1361=1,0,IFERROR(VLOOKUP(BM1361,'Gebinde-Kategorie'!$A$5:$G$45,6,0)+0,0))</f>
        <v/>
      </c>
      <c r="R1361" s="60" t="n"/>
      <c r="S1361" s="61" t="n"/>
      <c r="T1361" s="61" t="n"/>
      <c r="U1361" s="53">
        <f>IF(A1361="","",IF(IFERROR(VLOOKUP(D1361,Parameter!$A$35:$C$64,2,0),"Nein")="2+3",IF(ISNUMBER(SEARCH("grosser Artikel",BJ1361)),2,IFERROR(VLOOKUP(BM1361,Parameter!$F$35:$G$64,2,0),2)),IF(OR(IFERROR(VLOOKUP(D1361,Parameter!$A$35:$C$64,2,0),"Nein")="Nein",IFERROR(VLOOKUP(D1361,Parameter!$A$35:$C$64,2,0),"Nein")=""),"-",VLOOKUP(D1361,Parameter!$A$35:$C$64,2,0))))</f>
        <v/>
      </c>
      <c r="V1361" s="61" t="n"/>
      <c r="W1361" s="62" t="n"/>
      <c r="X1361" s="55">
        <f>AM1361</f>
        <v/>
      </c>
      <c r="Y1361" s="55">
        <f>MAX(AM1361,G1361)</f>
        <v/>
      </c>
      <c r="Z1361" s="63" t="n"/>
      <c r="AA1361" s="55">
        <f>IF(LEFT(Cockpit!$C$5,1)="A",G1361,IF(BT1361=1,BU1361,IF(LEFT(Cockpit!$C$5,1)="B",AE1361,MAX(AE1361,G1361))))</f>
        <v/>
      </c>
      <c r="AB1361" s="55">
        <f>IF(BO1361=1,0,ROUNDUP(AA1361/BN1361,0))</f>
        <v/>
      </c>
      <c r="AC1361" s="64">
        <f>IF(BO1361=1,IF(AA1361&lt;=0,0,BP1361*MAX(1,IF(G1361&gt;0,AA1361/G1361,1))),AB1361*Q1361)</f>
        <v/>
      </c>
      <c r="AD1361" s="55">
        <f>AA1361*F1361</f>
        <v/>
      </c>
      <c r="AE1361" s="55">
        <f>ROUNDUP(MAX(I1361/IF(BS1361&gt;0,BS1361,MAX(0.1,N(Cockpit!$C$6))),BV1361)/BN1361,0)*BN1361</f>
        <v/>
      </c>
      <c r="AF1361" s="56">
        <f>IF(AC1361&gt;0,I1361/AC1361,-1)</f>
        <v/>
      </c>
      <c r="AG1361" s="56">
        <f>IF(AND(OR(BR1361="L1",BR1361="L23"),AC1361&gt;0),SUMIFS($AC$7:$AC$1570,$BR$7:$BR$1570,BR1361,$AF$7:$AF$1570,"&gt;"&amp;AF1361)+SUMIFS($AC$7:$AC$1570,$BR$7:$BR$1570,BR1361,$AF$7:$AF$1570,AF1361,$BL$7:$BL$1570,"&lt;="&amp;BL1361),"")</f>
        <v/>
      </c>
      <c r="AH1361" s="65">
        <f>IF(AG1361="",0,MAX(0,MIN(1,(IF(BR1361="L1",Parameter!$K$5,Parameter!$K$6+Parameter!$K$7)-(AG1361-AC1361))/AC1361)))</f>
        <v/>
      </c>
      <c r="AI1361" s="55">
        <f>IF(LEFT(Cockpit!$I$5,1)="A",G1361,IF(BT1361=1,BU1361,IF(LEFT(Cockpit!$I$5,1)="B",AM1361,MAX(AM1361,G1361))))</f>
        <v/>
      </c>
      <c r="AJ1361" s="55">
        <f>IF(BO1361=1,0,ROUNDUP(AI1361/BN1361,0))</f>
        <v/>
      </c>
      <c r="AK1361" s="64">
        <f>IF(BO1361=1,IF(AI1361&lt;=0,0,BP1361*MAX(1,IF(G1361&gt;0,AI1361/G1361,1))),AJ1361*Q1361)</f>
        <v/>
      </c>
      <c r="AL1361" s="55">
        <f>AI1361*F1361</f>
        <v/>
      </c>
      <c r="AM1361" s="55">
        <f>ROUNDUP(MAX(I1361/IF(BS1361&gt;0,BS1361,MAX(0.1,N(Cockpit!$I$6))),BV1361)/BN1361,0)*BN1361</f>
        <v/>
      </c>
      <c r="AN1361" s="56">
        <f>IF(AK1361&gt;0,I1361/AK1361,-1)</f>
        <v/>
      </c>
      <c r="AO1361" s="56">
        <f>IF(AND(OR(BR1361="L1",BR1361="L23"),AK1361&gt;0),SUMIFS($AK$7:$AK$1570,$BR$7:$BR$1570,BR1361,$AN$7:$AN$1570,"&gt;"&amp;AN1361)+SUMIFS($AK$7:$AK$1570,$BR$7:$BR$1570,BR1361,$AN$7:$AN$1570,AN1361,$BL$7:$BL$1570,"&lt;="&amp;BL1361),"")</f>
        <v/>
      </c>
      <c r="AP1361" s="65">
        <f>IF(AO1361="",0,MAX(0,MIN(1,(IF(BR1361="L1",Parameter!$K$5,Parameter!$K$6+Parameter!$K$7)-(AO1361-AK1361))/AK1361)))</f>
        <v/>
      </c>
      <c r="AQ1361" s="55">
        <f>IF(LEFT(Cockpit!$O$5,1)="A",G1361,IF(BT1361=1,BU1361,IF(LEFT(Cockpit!$O$5,1)="B",AU1361,MAX(AU1361,G1361))))</f>
        <v/>
      </c>
      <c r="AR1361" s="55">
        <f>IF(BO1361=1,0,ROUNDUP(AQ1361/BN1361,0))</f>
        <v/>
      </c>
      <c r="AS1361" s="64">
        <f>IF(BO1361=1,IF(AQ1361&lt;=0,0,BP1361*MAX(1,IF(G1361&gt;0,AQ1361/G1361,1))),AR1361*Q1361)</f>
        <v/>
      </c>
      <c r="AT1361" s="55">
        <f>AQ1361*F1361</f>
        <v/>
      </c>
      <c r="AU1361" s="55">
        <f>ROUNDUP(MAX(I1361/IF(BS1361&gt;0,BS1361,MAX(0.1,N(Cockpit!$O$6))),BV1361)/BN1361,0)*BN1361</f>
        <v/>
      </c>
      <c r="AV1361" s="56">
        <f>IF(AS1361&gt;0,I1361/AS1361,-1)</f>
        <v/>
      </c>
      <c r="AW1361" s="56">
        <f>IF(AND(OR(BR1361="L1",BR1361="L23"),AS1361&gt;0),SUMIFS($AS$7:$AS$1570,$BR$7:$BR$1570,BR1361,$AV$7:$AV$1570,"&gt;"&amp;AV1361)+SUMIFS($AS$7:$AS$1570,$BR$7:$BR$1570,BR1361,$AV$7:$AV$1570,AV1361,$BL$7:$BL$1570,"&lt;="&amp;BL1361),"")</f>
        <v/>
      </c>
      <c r="AX1361" s="65">
        <f>IF(AW1361="",0,MAX(0,MIN(1,(IF(BR1361="L1",Parameter!$K$5,Parameter!$K$6+Parameter!$K$7)-(AW1361-AS1361))/AS1361)))</f>
        <v/>
      </c>
      <c r="AY1361" s="53">
        <f>IF(AC1361&lt;=0,"",IF(BR1361="Aussen","Aussenlager",IF(BR1361="-","Nicht im Lift",IF(AH1361&gt;=1,"Lift",IF(AH1361&lt;=0,"Aussenlager","teilweise")))))</f>
        <v/>
      </c>
      <c r="AZ1361" s="53">
        <f>IF(AK1361&lt;=0,"",IF(BR1361="Aussen","Aussenlager",IF(BR1361="-","Nicht im Lift",IF(AP1361&gt;=1,"Lift",IF(AP1361&lt;=0,"Aussenlager","teilweise")))))</f>
        <v/>
      </c>
      <c r="BA1361" s="53">
        <f>IF(AS1361&lt;=0,"",IF(BR1361="Aussen","Aussenlager",IF(BR1361="-","Nicht im Lift",IF(AX1361&gt;=1,"Lift",IF(AX1361&lt;=0,"Aussenlager","teilweise")))))</f>
        <v/>
      </c>
      <c r="BB1361" s="53">
        <f>IF(A1361="","",IF(BK1361=1,"Neu; ","")&amp;IF(AND(BK1361=0,BF1361&lt;0),"negativer Bestand (Export "&amp;BF1361&amp;"); ","")&amp;IF(I1361&lt;=0,"Kein Verbrauch; ","")&amp;IF(BO1361=1,"Lose – Fläche geschätzt; ","")&amp;IF(G1361&gt;AM1361,"Überbestand "&amp;ROUND(G1361-AM1361,0)&amp;" Stk / CHF "&amp;ROUND((G1361-AM1361)*F1361,0)&amp;"; ","")&amp;IF(AND(BT1361=1,BU1361&lt;BV1361),"MAX &lt; MB+LG; ","")&amp;IF(AND(BZ1361&gt;0,BY1361*10&gt;BZ1361),"zu hoch für Tablar; ","")&amp;IF(AND(BK1361=0,OR(BT1361=1,V1361&lt;&gt;"",S1361&lt;&gt;"",T1361&lt;&gt;"",W1361&lt;&gt;"")),"manuell übersteuert; ","")&amp;IF(AND(BO1361=0,Q1361=0),"Gebinde unbekannt; ","")&amp;IF(AND(BO1361=0,N(T1361)&lt;=0,N(P1361)&lt;=0),"Menge pro Gebinde fehlt (Ist = 1 Gebinde); ","")&amp;BJ1361)</f>
        <v/>
      </c>
      <c r="BC1361" s="53" t="n"/>
      <c r="BD1361" s="53" t="n"/>
      <c r="BE1361" s="61" t="n"/>
      <c r="BF1361" s="55" t="n">
        <v>-124</v>
      </c>
      <c r="BG1361" s="55" t="n">
        <v>174</v>
      </c>
      <c r="BH1361" s="54" t="n">
        <v>-2349.800000000001</v>
      </c>
      <c r="BI1361" s="55" t="n">
        <v>82</v>
      </c>
      <c r="BJ1361" s="53" t="inlineStr"/>
      <c r="BK1361" s="58" t="n">
        <v>0</v>
      </c>
      <c r="BL1361" s="58" t="n">
        <v>1361</v>
      </c>
      <c r="BM1361" s="53">
        <f>IF(S1361&lt;&gt;"",UPPER(TRIM(S1361)),IF(O1361="","LOSE",O1361))</f>
        <v/>
      </c>
      <c r="BN1361" s="55">
        <f>IF(BM1361="LOSE",1,IF(N(T1361)&gt;0,T1361,IF(N(P1361)&gt;0,P1361,MAX(1,G1361))))</f>
        <v/>
      </c>
      <c r="BO1361" s="58">
        <f>IF(BM1361="LOSE",1,0)</f>
        <v/>
      </c>
      <c r="BP1361" s="64">
        <f>IF(BO1361=0,0,IF(N(R1361)&gt;0,R1361,IFERROR(VLOOKUP(D1361,Parameter!$A$35:$C$64,3,0)+0,0)))</f>
        <v/>
      </c>
      <c r="BQ1361" s="53">
        <f>IF(V1361&lt;&gt;"",V1361,U1361)</f>
        <v/>
      </c>
      <c r="BR1361" s="53">
        <f>IF(BQ1361=1,"L1",IF(OR(BQ1361=2,BQ1361=3),"L23",IF(BQ1361="Aussen","Aussen","-")))</f>
        <v/>
      </c>
      <c r="BS1361" s="66">
        <f>IF(N(W1361)&gt;0,W1361,0)</f>
        <v/>
      </c>
      <c r="BT1361" s="58">
        <f>IF(ISNUMBER(Z1361),1,0)</f>
        <v/>
      </c>
      <c r="BU1361" s="55">
        <f>N(Z1361)</f>
        <v/>
      </c>
      <c r="BV1361" s="55">
        <f>N(L1361)+N(M1361)</f>
        <v/>
      </c>
      <c r="BW1361" s="55">
        <f>ROUNDUP(G1361/BN1361,0)</f>
        <v/>
      </c>
      <c r="BX1361" s="55">
        <f>ROUNDUP(BU1361/BN1361,0)</f>
        <v/>
      </c>
      <c r="BY1361" s="58">
        <f>IF(BO1361=1,0,IFERROR(VLOOKUP(BM1361,'Gebinde-Kategorie'!$A$5:$G$45,5,0)+0,0))</f>
        <v/>
      </c>
      <c r="BZ1361" s="58">
        <f>IFERROR(IF(OR(BQ1361=1,BQ1361=2,BQ1361=3),N(INDEX(Parameter!$I$5:$I$7,BQ1361)),0),0)</f>
        <v/>
      </c>
    </row>
    <row r="1362">
      <c r="A1362" s="53" t="inlineStr">
        <is>
          <t>101249</t>
        </is>
      </c>
      <c r="B1362" s="53" t="inlineStr">
        <is>
          <t>Endflansch</t>
        </is>
      </c>
      <c r="C1362" s="53" t="inlineStr">
        <is>
          <t>F</t>
        </is>
      </c>
      <c r="D1362" s="53" t="inlineStr">
        <is>
          <t>PAL</t>
        </is>
      </c>
      <c r="E1362" s="53" t="inlineStr">
        <is>
          <t>C</t>
        </is>
      </c>
      <c r="F1362" s="54" t="n">
        <v>133.49</v>
      </c>
      <c r="G1362" s="55">
        <f>MAX(0,IF(Parameter!$B$20="Jahresanfang 2025 + Export",BG1362+BF1362,BF1362))</f>
        <v/>
      </c>
      <c r="H1362" s="55">
        <f>G1362*F1362</f>
        <v/>
      </c>
      <c r="I1362" s="55">
        <f>BI1362*Parameter!$B$18</f>
        <v/>
      </c>
      <c r="J1362" s="56" t="n">
        <v>26</v>
      </c>
      <c r="K1362" s="57" t="n">
        <v>2.653846153846154</v>
      </c>
      <c r="L1362" s="55" t="n">
        <v>4</v>
      </c>
      <c r="M1362" s="55" t="n">
        <v>35</v>
      </c>
      <c r="N1362" s="58" t="n">
        <v>21</v>
      </c>
      <c r="O1362" s="53" t="inlineStr">
        <is>
          <t>S71</t>
        </is>
      </c>
      <c r="P1362" s="55" t="n">
        <v>35</v>
      </c>
      <c r="Q1362" s="59">
        <f>IF(BO1362=1,0,IFERROR(VLOOKUP(BM1362,'Gebinde-Kategorie'!$A$5:$G$45,6,0)+0,0))</f>
        <v/>
      </c>
      <c r="R1362" s="60" t="n"/>
      <c r="S1362" s="61" t="n"/>
      <c r="T1362" s="61" t="n"/>
      <c r="U1362" s="53">
        <f>IF(A1362="","",IF(IFERROR(VLOOKUP(D1362,Parameter!$A$35:$C$64,2,0),"Nein")="2+3",IF(ISNUMBER(SEARCH("grosser Artikel",BJ1362)),2,IFERROR(VLOOKUP(BM1362,Parameter!$F$35:$G$64,2,0),2)),IF(OR(IFERROR(VLOOKUP(D1362,Parameter!$A$35:$C$64,2,0),"Nein")="Nein",IFERROR(VLOOKUP(D1362,Parameter!$A$35:$C$64,2,0),"Nein")=""),"-",VLOOKUP(D1362,Parameter!$A$35:$C$64,2,0))))</f>
        <v/>
      </c>
      <c r="V1362" s="61" t="n"/>
      <c r="W1362" s="62" t="n"/>
      <c r="X1362" s="55">
        <f>AM1362</f>
        <v/>
      </c>
      <c r="Y1362" s="55">
        <f>MAX(AM1362,G1362)</f>
        <v/>
      </c>
      <c r="Z1362" s="63" t="n"/>
      <c r="AA1362" s="55">
        <f>IF(LEFT(Cockpit!$C$5,1)="A",G1362,IF(BT1362=1,BU1362,IF(LEFT(Cockpit!$C$5,1)="B",AE1362,MAX(AE1362,G1362))))</f>
        <v/>
      </c>
      <c r="AB1362" s="55">
        <f>IF(BO1362=1,0,ROUNDUP(AA1362/BN1362,0))</f>
        <v/>
      </c>
      <c r="AC1362" s="64">
        <f>IF(BO1362=1,IF(AA1362&lt;=0,0,BP1362*MAX(1,IF(G1362&gt;0,AA1362/G1362,1))),AB1362*Q1362)</f>
        <v/>
      </c>
      <c r="AD1362" s="55">
        <f>AA1362*F1362</f>
        <v/>
      </c>
      <c r="AE1362" s="55">
        <f>ROUNDUP(MAX(I1362/IF(BS1362&gt;0,BS1362,MAX(0.1,N(Cockpit!$C$6))),BV1362)/BN1362,0)*BN1362</f>
        <v/>
      </c>
      <c r="AF1362" s="56">
        <f>IF(AC1362&gt;0,I1362/AC1362,-1)</f>
        <v/>
      </c>
      <c r="AG1362" s="56">
        <f>IF(AND(OR(BR1362="L1",BR1362="L23"),AC1362&gt;0),SUMIFS($AC$7:$AC$1570,$BR$7:$BR$1570,BR1362,$AF$7:$AF$1570,"&gt;"&amp;AF1362)+SUMIFS($AC$7:$AC$1570,$BR$7:$BR$1570,BR1362,$AF$7:$AF$1570,AF1362,$BL$7:$BL$1570,"&lt;="&amp;BL1362),"")</f>
        <v/>
      </c>
      <c r="AH1362" s="65">
        <f>IF(AG1362="",0,MAX(0,MIN(1,(IF(BR1362="L1",Parameter!$K$5,Parameter!$K$6+Parameter!$K$7)-(AG1362-AC1362))/AC1362)))</f>
        <v/>
      </c>
      <c r="AI1362" s="55">
        <f>IF(LEFT(Cockpit!$I$5,1)="A",G1362,IF(BT1362=1,BU1362,IF(LEFT(Cockpit!$I$5,1)="B",AM1362,MAX(AM1362,G1362))))</f>
        <v/>
      </c>
      <c r="AJ1362" s="55">
        <f>IF(BO1362=1,0,ROUNDUP(AI1362/BN1362,0))</f>
        <v/>
      </c>
      <c r="AK1362" s="64">
        <f>IF(BO1362=1,IF(AI1362&lt;=0,0,BP1362*MAX(1,IF(G1362&gt;0,AI1362/G1362,1))),AJ1362*Q1362)</f>
        <v/>
      </c>
      <c r="AL1362" s="55">
        <f>AI1362*F1362</f>
        <v/>
      </c>
      <c r="AM1362" s="55">
        <f>ROUNDUP(MAX(I1362/IF(BS1362&gt;0,BS1362,MAX(0.1,N(Cockpit!$I$6))),BV1362)/BN1362,0)*BN1362</f>
        <v/>
      </c>
      <c r="AN1362" s="56">
        <f>IF(AK1362&gt;0,I1362/AK1362,-1)</f>
        <v/>
      </c>
      <c r="AO1362" s="56">
        <f>IF(AND(OR(BR1362="L1",BR1362="L23"),AK1362&gt;0),SUMIFS($AK$7:$AK$1570,$BR$7:$BR$1570,BR1362,$AN$7:$AN$1570,"&gt;"&amp;AN1362)+SUMIFS($AK$7:$AK$1570,$BR$7:$BR$1570,BR1362,$AN$7:$AN$1570,AN1362,$BL$7:$BL$1570,"&lt;="&amp;BL1362),"")</f>
        <v/>
      </c>
      <c r="AP1362" s="65">
        <f>IF(AO1362="",0,MAX(0,MIN(1,(IF(BR1362="L1",Parameter!$K$5,Parameter!$K$6+Parameter!$K$7)-(AO1362-AK1362))/AK1362)))</f>
        <v/>
      </c>
      <c r="AQ1362" s="55">
        <f>IF(LEFT(Cockpit!$O$5,1)="A",G1362,IF(BT1362=1,BU1362,IF(LEFT(Cockpit!$O$5,1)="B",AU1362,MAX(AU1362,G1362))))</f>
        <v/>
      </c>
      <c r="AR1362" s="55">
        <f>IF(BO1362=1,0,ROUNDUP(AQ1362/BN1362,0))</f>
        <v/>
      </c>
      <c r="AS1362" s="64">
        <f>IF(BO1362=1,IF(AQ1362&lt;=0,0,BP1362*MAX(1,IF(G1362&gt;0,AQ1362/G1362,1))),AR1362*Q1362)</f>
        <v/>
      </c>
      <c r="AT1362" s="55">
        <f>AQ1362*F1362</f>
        <v/>
      </c>
      <c r="AU1362" s="55">
        <f>ROUNDUP(MAX(I1362/IF(BS1362&gt;0,BS1362,MAX(0.1,N(Cockpit!$O$6))),BV1362)/BN1362,0)*BN1362</f>
        <v/>
      </c>
      <c r="AV1362" s="56">
        <f>IF(AS1362&gt;0,I1362/AS1362,-1)</f>
        <v/>
      </c>
      <c r="AW1362" s="56">
        <f>IF(AND(OR(BR1362="L1",BR1362="L23"),AS1362&gt;0),SUMIFS($AS$7:$AS$1570,$BR$7:$BR$1570,BR1362,$AV$7:$AV$1570,"&gt;"&amp;AV1362)+SUMIFS($AS$7:$AS$1570,$BR$7:$BR$1570,BR1362,$AV$7:$AV$1570,AV1362,$BL$7:$BL$1570,"&lt;="&amp;BL1362),"")</f>
        <v/>
      </c>
      <c r="AX1362" s="65">
        <f>IF(AW1362="",0,MAX(0,MIN(1,(IF(BR1362="L1",Parameter!$K$5,Parameter!$K$6+Parameter!$K$7)-(AW1362-AS1362))/AS1362)))</f>
        <v/>
      </c>
      <c r="AY1362" s="53">
        <f>IF(AC1362&lt;=0,"",IF(BR1362="Aussen","Aussenlager",IF(BR1362="-","Nicht im Lift",IF(AH1362&gt;=1,"Lift",IF(AH1362&lt;=0,"Aussenlager","teilweise")))))</f>
        <v/>
      </c>
      <c r="AZ1362" s="53">
        <f>IF(AK1362&lt;=0,"",IF(BR1362="Aussen","Aussenlager",IF(BR1362="-","Nicht im Lift",IF(AP1362&gt;=1,"Lift",IF(AP1362&lt;=0,"Aussenlager","teilweise")))))</f>
        <v/>
      </c>
      <c r="BA1362" s="53">
        <f>IF(AS1362&lt;=0,"",IF(BR1362="Aussen","Aussenlager",IF(BR1362="-","Nicht im Lift",IF(AX1362&gt;=1,"Lift",IF(AX1362&lt;=0,"Aussenlager","teilweise")))))</f>
        <v/>
      </c>
      <c r="BB1362" s="53">
        <f>IF(A1362="","",IF(BK1362=1,"Neu; ","")&amp;IF(AND(BK1362=0,BF1362&lt;0),"negativer Bestand (Export "&amp;BF1362&amp;"); ","")&amp;IF(I1362&lt;=0,"Kein Verbrauch; ","")&amp;IF(BO1362=1,"Lose – Fläche geschätzt; ","")&amp;IF(G1362&gt;AM1362,"Überbestand "&amp;ROUND(G1362-AM1362,0)&amp;" Stk / CHF "&amp;ROUND((G1362-AM1362)*F1362,0)&amp;"; ","")&amp;IF(AND(BT1362=1,BU1362&lt;BV1362),"MAX &lt; MB+LG; ","")&amp;IF(AND(BZ1362&gt;0,BY1362*10&gt;BZ1362),"zu hoch für Tablar; ","")&amp;IF(AND(BK1362=0,OR(BT1362=1,V1362&lt;&gt;"",S1362&lt;&gt;"",T1362&lt;&gt;"",W1362&lt;&gt;"")),"manuell übersteuert; ","")&amp;IF(AND(BO1362=0,Q1362=0),"Gebinde unbekannt; ","")&amp;IF(AND(BO1362=0,N(T1362)&lt;=0,N(P1362)&lt;=0),"Menge pro Gebinde fehlt (Ist = 1 Gebinde); ","")&amp;BJ1362)</f>
        <v/>
      </c>
      <c r="BC1362" s="53" t="n"/>
      <c r="BD1362" s="53" t="n"/>
      <c r="BE1362" s="61" t="n"/>
      <c r="BF1362" s="55" t="n">
        <v>-18</v>
      </c>
      <c r="BG1362" s="55" t="n">
        <v>36</v>
      </c>
      <c r="BH1362" s="54" t="n">
        <v>-2395.98</v>
      </c>
      <c r="BI1362" s="55" t="n">
        <v>69</v>
      </c>
      <c r="BJ1362" s="53" t="inlineStr">
        <is>
          <t>01C</t>
        </is>
      </c>
      <c r="BK1362" s="58" t="n">
        <v>0</v>
      </c>
      <c r="BL1362" s="58" t="n">
        <v>1362</v>
      </c>
      <c r="BM1362" s="53">
        <f>IF(S1362&lt;&gt;"",UPPER(TRIM(S1362)),IF(O1362="","LOSE",O1362))</f>
        <v/>
      </c>
      <c r="BN1362" s="55">
        <f>IF(BM1362="LOSE",1,IF(N(T1362)&gt;0,T1362,IF(N(P1362)&gt;0,P1362,MAX(1,G1362))))</f>
        <v/>
      </c>
      <c r="BO1362" s="58">
        <f>IF(BM1362="LOSE",1,0)</f>
        <v/>
      </c>
      <c r="BP1362" s="64">
        <f>IF(BO1362=0,0,IF(N(R1362)&gt;0,R1362,IFERROR(VLOOKUP(D1362,Parameter!$A$35:$C$64,3,0)+0,0)))</f>
        <v/>
      </c>
      <c r="BQ1362" s="53">
        <f>IF(V1362&lt;&gt;"",V1362,U1362)</f>
        <v/>
      </c>
      <c r="BR1362" s="53">
        <f>IF(BQ1362=1,"L1",IF(OR(BQ1362=2,BQ1362=3),"L23",IF(BQ1362="Aussen","Aussen","-")))</f>
        <v/>
      </c>
      <c r="BS1362" s="66">
        <f>IF(N(W1362)&gt;0,W1362,0)</f>
        <v/>
      </c>
      <c r="BT1362" s="58">
        <f>IF(ISNUMBER(Z1362),1,0)</f>
        <v/>
      </c>
      <c r="BU1362" s="55">
        <f>N(Z1362)</f>
        <v/>
      </c>
      <c r="BV1362" s="55">
        <f>N(L1362)+N(M1362)</f>
        <v/>
      </c>
      <c r="BW1362" s="55">
        <f>ROUNDUP(G1362/BN1362,0)</f>
        <v/>
      </c>
      <c r="BX1362" s="55">
        <f>ROUNDUP(BU1362/BN1362,0)</f>
        <v/>
      </c>
      <c r="BY1362" s="58">
        <f>IF(BO1362=1,0,IFERROR(VLOOKUP(BM1362,'Gebinde-Kategorie'!$A$5:$G$45,5,0)+0,0))</f>
        <v/>
      </c>
      <c r="BZ1362" s="58">
        <f>IFERROR(IF(OR(BQ1362=1,BQ1362=2,BQ1362=3),N(INDEX(Parameter!$I$5:$I$7,BQ1362)),0),0)</f>
        <v/>
      </c>
    </row>
    <row r="1363">
      <c r="A1363" s="53" t="inlineStr">
        <is>
          <t>107402</t>
        </is>
      </c>
      <c r="B1363" s="53" t="inlineStr">
        <is>
          <t>Ventilkabel Brenngas</t>
        </is>
      </c>
      <c r="C1363" s="53" t="inlineStr">
        <is>
          <t>F</t>
        </is>
      </c>
      <c r="D1363" s="53" t="inlineStr">
        <is>
          <t>PAL</t>
        </is>
      </c>
      <c r="E1363" s="53" t="inlineStr">
        <is>
          <t>C</t>
        </is>
      </c>
      <c r="F1363" s="54" t="n">
        <v>280.07</v>
      </c>
      <c r="G1363" s="55">
        <f>MAX(0,IF(Parameter!$B$20="Jahresanfang 2025 + Export",BG1363+BF1363,BF1363))</f>
        <v/>
      </c>
      <c r="H1363" s="55">
        <f>G1363*F1363</f>
        <v/>
      </c>
      <c r="I1363" s="55">
        <f>BI1363*Parameter!$B$18</f>
        <v/>
      </c>
      <c r="J1363" s="56" t="n">
        <v>9</v>
      </c>
      <c r="K1363" s="57" t="n">
        <v>5.111111111111111</v>
      </c>
      <c r="L1363" s="55" t="n">
        <v>2</v>
      </c>
      <c r="M1363" s="55" t="n">
        <v>10</v>
      </c>
      <c r="N1363" s="58" t="n">
        <v>21</v>
      </c>
      <c r="O1363" s="53" t="inlineStr">
        <is>
          <t>S71</t>
        </is>
      </c>
      <c r="P1363" s="55" t="n">
        <v>12</v>
      </c>
      <c r="Q1363" s="59">
        <f>IF(BO1363=1,0,IFERROR(VLOOKUP(BM1363,'Gebinde-Kategorie'!$A$5:$G$45,6,0)+0,0))</f>
        <v/>
      </c>
      <c r="R1363" s="60" t="n"/>
      <c r="S1363" s="61" t="n"/>
      <c r="T1363" s="61" t="n"/>
      <c r="U1363" s="53">
        <f>IF(A1363="","",IF(IFERROR(VLOOKUP(D1363,Parameter!$A$35:$C$64,2,0),"Nein")="2+3",IF(ISNUMBER(SEARCH("grosser Artikel",BJ1363)),2,IFERROR(VLOOKUP(BM1363,Parameter!$F$35:$G$64,2,0),2)),IF(OR(IFERROR(VLOOKUP(D1363,Parameter!$A$35:$C$64,2,0),"Nein")="Nein",IFERROR(VLOOKUP(D1363,Parameter!$A$35:$C$64,2,0),"Nein")=""),"-",VLOOKUP(D1363,Parameter!$A$35:$C$64,2,0))))</f>
        <v/>
      </c>
      <c r="V1363" s="61" t="n"/>
      <c r="W1363" s="62" t="n"/>
      <c r="X1363" s="55">
        <f>AM1363</f>
        <v/>
      </c>
      <c r="Y1363" s="55">
        <f>MAX(AM1363,G1363)</f>
        <v/>
      </c>
      <c r="Z1363" s="63" t="n"/>
      <c r="AA1363" s="55">
        <f>IF(LEFT(Cockpit!$C$5,1)="A",G1363,IF(BT1363=1,BU1363,IF(LEFT(Cockpit!$C$5,1)="B",AE1363,MAX(AE1363,G1363))))</f>
        <v/>
      </c>
      <c r="AB1363" s="55">
        <f>IF(BO1363=1,0,ROUNDUP(AA1363/BN1363,0))</f>
        <v/>
      </c>
      <c r="AC1363" s="64">
        <f>IF(BO1363=1,IF(AA1363&lt;=0,0,BP1363*MAX(1,IF(G1363&gt;0,AA1363/G1363,1))),AB1363*Q1363)</f>
        <v/>
      </c>
      <c r="AD1363" s="55">
        <f>AA1363*F1363</f>
        <v/>
      </c>
      <c r="AE1363" s="55">
        <f>ROUNDUP(MAX(I1363/IF(BS1363&gt;0,BS1363,MAX(0.1,N(Cockpit!$C$6))),BV1363)/BN1363,0)*BN1363</f>
        <v/>
      </c>
      <c r="AF1363" s="56">
        <f>IF(AC1363&gt;0,I1363/AC1363,-1)</f>
        <v/>
      </c>
      <c r="AG1363" s="56">
        <f>IF(AND(OR(BR1363="L1",BR1363="L23"),AC1363&gt;0),SUMIFS($AC$7:$AC$1570,$BR$7:$BR$1570,BR1363,$AF$7:$AF$1570,"&gt;"&amp;AF1363)+SUMIFS($AC$7:$AC$1570,$BR$7:$BR$1570,BR1363,$AF$7:$AF$1570,AF1363,$BL$7:$BL$1570,"&lt;="&amp;BL1363),"")</f>
        <v/>
      </c>
      <c r="AH1363" s="65">
        <f>IF(AG1363="",0,MAX(0,MIN(1,(IF(BR1363="L1",Parameter!$K$5,Parameter!$K$6+Parameter!$K$7)-(AG1363-AC1363))/AC1363)))</f>
        <v/>
      </c>
      <c r="AI1363" s="55">
        <f>IF(LEFT(Cockpit!$I$5,1)="A",G1363,IF(BT1363=1,BU1363,IF(LEFT(Cockpit!$I$5,1)="B",AM1363,MAX(AM1363,G1363))))</f>
        <v/>
      </c>
      <c r="AJ1363" s="55">
        <f>IF(BO1363=1,0,ROUNDUP(AI1363/BN1363,0))</f>
        <v/>
      </c>
      <c r="AK1363" s="64">
        <f>IF(BO1363=1,IF(AI1363&lt;=0,0,BP1363*MAX(1,IF(G1363&gt;0,AI1363/G1363,1))),AJ1363*Q1363)</f>
        <v/>
      </c>
      <c r="AL1363" s="55">
        <f>AI1363*F1363</f>
        <v/>
      </c>
      <c r="AM1363" s="55">
        <f>ROUNDUP(MAX(I1363/IF(BS1363&gt;0,BS1363,MAX(0.1,N(Cockpit!$I$6))),BV1363)/BN1363,0)*BN1363</f>
        <v/>
      </c>
      <c r="AN1363" s="56">
        <f>IF(AK1363&gt;0,I1363/AK1363,-1)</f>
        <v/>
      </c>
      <c r="AO1363" s="56">
        <f>IF(AND(OR(BR1363="L1",BR1363="L23"),AK1363&gt;0),SUMIFS($AK$7:$AK$1570,$BR$7:$BR$1570,BR1363,$AN$7:$AN$1570,"&gt;"&amp;AN1363)+SUMIFS($AK$7:$AK$1570,$BR$7:$BR$1570,BR1363,$AN$7:$AN$1570,AN1363,$BL$7:$BL$1570,"&lt;="&amp;BL1363),"")</f>
        <v/>
      </c>
      <c r="AP1363" s="65">
        <f>IF(AO1363="",0,MAX(0,MIN(1,(IF(BR1363="L1",Parameter!$K$5,Parameter!$K$6+Parameter!$K$7)-(AO1363-AK1363))/AK1363)))</f>
        <v/>
      </c>
      <c r="AQ1363" s="55">
        <f>IF(LEFT(Cockpit!$O$5,1)="A",G1363,IF(BT1363=1,BU1363,IF(LEFT(Cockpit!$O$5,1)="B",AU1363,MAX(AU1363,G1363))))</f>
        <v/>
      </c>
      <c r="AR1363" s="55">
        <f>IF(BO1363=1,0,ROUNDUP(AQ1363/BN1363,0))</f>
        <v/>
      </c>
      <c r="AS1363" s="64">
        <f>IF(BO1363=1,IF(AQ1363&lt;=0,0,BP1363*MAX(1,IF(G1363&gt;0,AQ1363/G1363,1))),AR1363*Q1363)</f>
        <v/>
      </c>
      <c r="AT1363" s="55">
        <f>AQ1363*F1363</f>
        <v/>
      </c>
      <c r="AU1363" s="55">
        <f>ROUNDUP(MAX(I1363/IF(BS1363&gt;0,BS1363,MAX(0.1,N(Cockpit!$O$6))),BV1363)/BN1363,0)*BN1363</f>
        <v/>
      </c>
      <c r="AV1363" s="56">
        <f>IF(AS1363&gt;0,I1363/AS1363,-1)</f>
        <v/>
      </c>
      <c r="AW1363" s="56">
        <f>IF(AND(OR(BR1363="L1",BR1363="L23"),AS1363&gt;0),SUMIFS($AS$7:$AS$1570,$BR$7:$BR$1570,BR1363,$AV$7:$AV$1570,"&gt;"&amp;AV1363)+SUMIFS($AS$7:$AS$1570,$BR$7:$BR$1570,BR1363,$AV$7:$AV$1570,AV1363,$BL$7:$BL$1570,"&lt;="&amp;BL1363),"")</f>
        <v/>
      </c>
      <c r="AX1363" s="65">
        <f>IF(AW1363="",0,MAX(0,MIN(1,(IF(BR1363="L1",Parameter!$K$5,Parameter!$K$6+Parameter!$K$7)-(AW1363-AS1363))/AS1363)))</f>
        <v/>
      </c>
      <c r="AY1363" s="53">
        <f>IF(AC1363&lt;=0,"",IF(BR1363="Aussen","Aussenlager",IF(BR1363="-","Nicht im Lift",IF(AH1363&gt;=1,"Lift",IF(AH1363&lt;=0,"Aussenlager","teilweise")))))</f>
        <v/>
      </c>
      <c r="AZ1363" s="53">
        <f>IF(AK1363&lt;=0,"",IF(BR1363="Aussen","Aussenlager",IF(BR1363="-","Nicht im Lift",IF(AP1363&gt;=1,"Lift",IF(AP1363&lt;=0,"Aussenlager","teilweise")))))</f>
        <v/>
      </c>
      <c r="BA1363" s="53">
        <f>IF(AS1363&lt;=0,"",IF(BR1363="Aussen","Aussenlager",IF(BR1363="-","Nicht im Lift",IF(AX1363&gt;=1,"Lift",IF(AX1363&lt;=0,"Aussenlager","teilweise")))))</f>
        <v/>
      </c>
      <c r="BB1363" s="53">
        <f>IF(A1363="","",IF(BK1363=1,"Neu; ","")&amp;IF(AND(BK1363=0,BF1363&lt;0),"negativer Bestand (Export "&amp;BF1363&amp;"); ","")&amp;IF(I1363&lt;=0,"Kein Verbrauch; ","")&amp;IF(BO1363=1,"Lose – Fläche geschätzt; ","")&amp;IF(G1363&gt;AM1363,"Überbestand "&amp;ROUND(G1363-AM1363,0)&amp;" Stk / CHF "&amp;ROUND((G1363-AM1363)*F1363,0)&amp;"; ","")&amp;IF(AND(BT1363=1,BU1363&lt;BV1363),"MAX &lt; MB+LG; ","")&amp;IF(AND(BZ1363&gt;0,BY1363*10&gt;BZ1363),"zu hoch für Tablar; ","")&amp;IF(AND(BK1363=0,OR(BT1363=1,V1363&lt;&gt;"",S1363&lt;&gt;"",T1363&lt;&gt;"",W1363&lt;&gt;"")),"manuell übersteuert; ","")&amp;IF(AND(BO1363=0,Q1363=0),"Gebinde unbekannt; ","")&amp;IF(AND(BO1363=0,N(T1363)&lt;=0,N(P1363)&lt;=0),"Menge pro Gebinde fehlt (Ist = 1 Gebinde); ","")&amp;BJ1363)</f>
        <v/>
      </c>
      <c r="BC1363" s="53" t="n"/>
      <c r="BD1363" s="53" t="n"/>
      <c r="BE1363" s="61" t="n"/>
      <c r="BF1363" s="55" t="n">
        <v>-6</v>
      </c>
      <c r="BG1363" s="55" t="n">
        <v>9</v>
      </c>
      <c r="BH1363" s="54" t="n">
        <v>-2447.76</v>
      </c>
      <c r="BI1363" s="55" t="n">
        <v>46</v>
      </c>
      <c r="BJ1363" s="53" t="inlineStr">
        <is>
          <t>grosser Artikel &amp; nicht im KTL</t>
        </is>
      </c>
      <c r="BK1363" s="58" t="n">
        <v>0</v>
      </c>
      <c r="BL1363" s="58" t="n">
        <v>1363</v>
      </c>
      <c r="BM1363" s="53">
        <f>IF(S1363&lt;&gt;"",UPPER(TRIM(S1363)),IF(O1363="","LOSE",O1363))</f>
        <v/>
      </c>
      <c r="BN1363" s="55">
        <f>IF(BM1363="LOSE",1,IF(N(T1363)&gt;0,T1363,IF(N(P1363)&gt;0,P1363,MAX(1,G1363))))</f>
        <v/>
      </c>
      <c r="BO1363" s="58">
        <f>IF(BM1363="LOSE",1,0)</f>
        <v/>
      </c>
      <c r="BP1363" s="64">
        <f>IF(BO1363=0,0,IF(N(R1363)&gt;0,R1363,IFERROR(VLOOKUP(D1363,Parameter!$A$35:$C$64,3,0)+0,0)))</f>
        <v/>
      </c>
      <c r="BQ1363" s="53">
        <f>IF(V1363&lt;&gt;"",V1363,U1363)</f>
        <v/>
      </c>
      <c r="BR1363" s="53">
        <f>IF(BQ1363=1,"L1",IF(OR(BQ1363=2,BQ1363=3),"L23",IF(BQ1363="Aussen","Aussen","-")))</f>
        <v/>
      </c>
      <c r="BS1363" s="66">
        <f>IF(N(W1363)&gt;0,W1363,0)</f>
        <v/>
      </c>
      <c r="BT1363" s="58">
        <f>IF(ISNUMBER(Z1363),1,0)</f>
        <v/>
      </c>
      <c r="BU1363" s="55">
        <f>N(Z1363)</f>
        <v/>
      </c>
      <c r="BV1363" s="55">
        <f>N(L1363)+N(M1363)</f>
        <v/>
      </c>
      <c r="BW1363" s="55">
        <f>ROUNDUP(G1363/BN1363,0)</f>
        <v/>
      </c>
      <c r="BX1363" s="55">
        <f>ROUNDUP(BU1363/BN1363,0)</f>
        <v/>
      </c>
      <c r="BY1363" s="58">
        <f>IF(BO1363=1,0,IFERROR(VLOOKUP(BM1363,'Gebinde-Kategorie'!$A$5:$G$45,5,0)+0,0))</f>
        <v/>
      </c>
      <c r="BZ1363" s="58">
        <f>IFERROR(IF(OR(BQ1363=1,BQ1363=2,BQ1363=3),N(INDEX(Parameter!$I$5:$I$7,BQ1363)),0),0)</f>
        <v/>
      </c>
    </row>
    <row r="1364">
      <c r="A1364" s="53" t="inlineStr">
        <is>
          <t>106943</t>
        </is>
      </c>
      <c r="B1364" s="53" t="inlineStr">
        <is>
          <t>Busmodul</t>
        </is>
      </c>
      <c r="C1364" s="53" t="inlineStr">
        <is>
          <t>F</t>
        </is>
      </c>
      <c r="D1364" s="53" t="inlineStr">
        <is>
          <t>KTL</t>
        </is>
      </c>
      <c r="E1364" s="53" t="inlineStr">
        <is>
          <t>C</t>
        </is>
      </c>
      <c r="F1364" s="54" t="n">
        <v>7.42</v>
      </c>
      <c r="G1364" s="55">
        <f>MAX(0,IF(Parameter!$B$20="Jahresanfang 2025 + Export",BG1364+BF1364,BF1364))</f>
        <v/>
      </c>
      <c r="H1364" s="55">
        <f>G1364*F1364</f>
        <v/>
      </c>
      <c r="I1364" s="55">
        <f>BI1364*Parameter!$B$18</f>
        <v/>
      </c>
      <c r="J1364" s="56" t="n">
        <v>280.5</v>
      </c>
      <c r="K1364" s="57" t="n">
        <v>1.390374331550802</v>
      </c>
      <c r="L1364" s="55" t="n">
        <v>35</v>
      </c>
      <c r="M1364" s="55" t="n">
        <v>390</v>
      </c>
      <c r="N1364" s="58" t="n">
        <v>28</v>
      </c>
      <c r="O1364" s="53" t="inlineStr">
        <is>
          <t>S51</t>
        </is>
      </c>
      <c r="P1364" s="55" t="n">
        <v>30</v>
      </c>
      <c r="Q1364" s="59">
        <f>IF(BO1364=1,0,IFERROR(VLOOKUP(BM1364,'Gebinde-Kategorie'!$A$5:$G$45,6,0)+0,0))</f>
        <v/>
      </c>
      <c r="R1364" s="60" t="n"/>
      <c r="S1364" s="61" t="n"/>
      <c r="T1364" s="61" t="n"/>
      <c r="U1364" s="53">
        <f>IF(A1364="","",IF(IFERROR(VLOOKUP(D1364,Parameter!$A$35:$C$64,2,0),"Nein")="2+3",IF(ISNUMBER(SEARCH("grosser Artikel",BJ1364)),2,IFERROR(VLOOKUP(BM1364,Parameter!$F$35:$G$64,2,0),2)),IF(OR(IFERROR(VLOOKUP(D1364,Parameter!$A$35:$C$64,2,0),"Nein")="Nein",IFERROR(VLOOKUP(D1364,Parameter!$A$35:$C$64,2,0),"Nein")=""),"-",VLOOKUP(D1364,Parameter!$A$35:$C$64,2,0))))</f>
        <v/>
      </c>
      <c r="V1364" s="61" t="n"/>
      <c r="W1364" s="62" t="n"/>
      <c r="X1364" s="55">
        <f>AM1364</f>
        <v/>
      </c>
      <c r="Y1364" s="55">
        <f>MAX(AM1364,G1364)</f>
        <v/>
      </c>
      <c r="Z1364" s="63" t="n"/>
      <c r="AA1364" s="55">
        <f>IF(LEFT(Cockpit!$C$5,1)="A",G1364,IF(BT1364=1,BU1364,IF(LEFT(Cockpit!$C$5,1)="B",AE1364,MAX(AE1364,G1364))))</f>
        <v/>
      </c>
      <c r="AB1364" s="55">
        <f>IF(BO1364=1,0,ROUNDUP(AA1364/BN1364,0))</f>
        <v/>
      </c>
      <c r="AC1364" s="64">
        <f>IF(BO1364=1,IF(AA1364&lt;=0,0,BP1364*MAX(1,IF(G1364&gt;0,AA1364/G1364,1))),AB1364*Q1364)</f>
        <v/>
      </c>
      <c r="AD1364" s="55">
        <f>AA1364*F1364</f>
        <v/>
      </c>
      <c r="AE1364" s="55">
        <f>ROUNDUP(MAX(I1364/IF(BS1364&gt;0,BS1364,MAX(0.1,N(Cockpit!$C$6))),BV1364)/BN1364,0)*BN1364</f>
        <v/>
      </c>
      <c r="AF1364" s="56">
        <f>IF(AC1364&gt;0,I1364/AC1364,-1)</f>
        <v/>
      </c>
      <c r="AG1364" s="56">
        <f>IF(AND(OR(BR1364="L1",BR1364="L23"),AC1364&gt;0),SUMIFS($AC$7:$AC$1570,$BR$7:$BR$1570,BR1364,$AF$7:$AF$1570,"&gt;"&amp;AF1364)+SUMIFS($AC$7:$AC$1570,$BR$7:$BR$1570,BR1364,$AF$7:$AF$1570,AF1364,$BL$7:$BL$1570,"&lt;="&amp;BL1364),"")</f>
        <v/>
      </c>
      <c r="AH1364" s="65">
        <f>IF(AG1364="",0,MAX(0,MIN(1,(IF(BR1364="L1",Parameter!$K$5,Parameter!$K$6+Parameter!$K$7)-(AG1364-AC1364))/AC1364)))</f>
        <v/>
      </c>
      <c r="AI1364" s="55">
        <f>IF(LEFT(Cockpit!$I$5,1)="A",G1364,IF(BT1364=1,BU1364,IF(LEFT(Cockpit!$I$5,1)="B",AM1364,MAX(AM1364,G1364))))</f>
        <v/>
      </c>
      <c r="AJ1364" s="55">
        <f>IF(BO1364=1,0,ROUNDUP(AI1364/BN1364,0))</f>
        <v/>
      </c>
      <c r="AK1364" s="64">
        <f>IF(BO1364=1,IF(AI1364&lt;=0,0,BP1364*MAX(1,IF(G1364&gt;0,AI1364/G1364,1))),AJ1364*Q1364)</f>
        <v/>
      </c>
      <c r="AL1364" s="55">
        <f>AI1364*F1364</f>
        <v/>
      </c>
      <c r="AM1364" s="55">
        <f>ROUNDUP(MAX(I1364/IF(BS1364&gt;0,BS1364,MAX(0.1,N(Cockpit!$I$6))),BV1364)/BN1364,0)*BN1364</f>
        <v/>
      </c>
      <c r="AN1364" s="56">
        <f>IF(AK1364&gt;0,I1364/AK1364,-1)</f>
        <v/>
      </c>
      <c r="AO1364" s="56">
        <f>IF(AND(OR(BR1364="L1",BR1364="L23"),AK1364&gt;0),SUMIFS($AK$7:$AK$1570,$BR$7:$BR$1570,BR1364,$AN$7:$AN$1570,"&gt;"&amp;AN1364)+SUMIFS($AK$7:$AK$1570,$BR$7:$BR$1570,BR1364,$AN$7:$AN$1570,AN1364,$BL$7:$BL$1570,"&lt;="&amp;BL1364),"")</f>
        <v/>
      </c>
      <c r="AP1364" s="65">
        <f>IF(AO1364="",0,MAX(0,MIN(1,(IF(BR1364="L1",Parameter!$K$5,Parameter!$K$6+Parameter!$K$7)-(AO1364-AK1364))/AK1364)))</f>
        <v/>
      </c>
      <c r="AQ1364" s="55">
        <f>IF(LEFT(Cockpit!$O$5,1)="A",G1364,IF(BT1364=1,BU1364,IF(LEFT(Cockpit!$O$5,1)="B",AU1364,MAX(AU1364,G1364))))</f>
        <v/>
      </c>
      <c r="AR1364" s="55">
        <f>IF(BO1364=1,0,ROUNDUP(AQ1364/BN1364,0))</f>
        <v/>
      </c>
      <c r="AS1364" s="64">
        <f>IF(BO1364=1,IF(AQ1364&lt;=0,0,BP1364*MAX(1,IF(G1364&gt;0,AQ1364/G1364,1))),AR1364*Q1364)</f>
        <v/>
      </c>
      <c r="AT1364" s="55">
        <f>AQ1364*F1364</f>
        <v/>
      </c>
      <c r="AU1364" s="55">
        <f>ROUNDUP(MAX(I1364/IF(BS1364&gt;0,BS1364,MAX(0.1,N(Cockpit!$O$6))),BV1364)/BN1364,0)*BN1364</f>
        <v/>
      </c>
      <c r="AV1364" s="56">
        <f>IF(AS1364&gt;0,I1364/AS1364,-1)</f>
        <v/>
      </c>
      <c r="AW1364" s="56">
        <f>IF(AND(OR(BR1364="L1",BR1364="L23"),AS1364&gt;0),SUMIFS($AS$7:$AS$1570,$BR$7:$BR$1570,BR1364,$AV$7:$AV$1570,"&gt;"&amp;AV1364)+SUMIFS($AS$7:$AS$1570,$BR$7:$BR$1570,BR1364,$AV$7:$AV$1570,AV1364,$BL$7:$BL$1570,"&lt;="&amp;BL1364),"")</f>
        <v/>
      </c>
      <c r="AX1364" s="65">
        <f>IF(AW1364="",0,MAX(0,MIN(1,(IF(BR1364="L1",Parameter!$K$5,Parameter!$K$6+Parameter!$K$7)-(AW1364-AS1364))/AS1364)))</f>
        <v/>
      </c>
      <c r="AY1364" s="53">
        <f>IF(AC1364&lt;=0,"",IF(BR1364="Aussen","Aussenlager",IF(BR1364="-","Nicht im Lift",IF(AH1364&gt;=1,"Lift",IF(AH1364&lt;=0,"Aussenlager","teilweise")))))</f>
        <v/>
      </c>
      <c r="AZ1364" s="53">
        <f>IF(AK1364&lt;=0,"",IF(BR1364="Aussen","Aussenlager",IF(BR1364="-","Nicht im Lift",IF(AP1364&gt;=1,"Lift",IF(AP1364&lt;=0,"Aussenlager","teilweise")))))</f>
        <v/>
      </c>
      <c r="BA1364" s="53">
        <f>IF(AS1364&lt;=0,"",IF(BR1364="Aussen","Aussenlager",IF(BR1364="-","Nicht im Lift",IF(AX1364&gt;=1,"Lift",IF(AX1364&lt;=0,"Aussenlager","teilweise")))))</f>
        <v/>
      </c>
      <c r="BB1364" s="53">
        <f>IF(A1364="","",IF(BK1364=1,"Neu; ","")&amp;IF(AND(BK1364=0,BF1364&lt;0),"negativer Bestand (Export "&amp;BF1364&amp;"); ","")&amp;IF(I1364&lt;=0,"Kein Verbrauch; ","")&amp;IF(BO1364=1,"Lose – Fläche geschätzt; ","")&amp;IF(G1364&gt;AM1364,"Überbestand "&amp;ROUND(G1364-AM1364,0)&amp;" Stk / CHF "&amp;ROUND((G1364-AM1364)*F1364,0)&amp;"; ","")&amp;IF(AND(BT1364=1,BU1364&lt;BV1364),"MAX &lt; MB+LG; ","")&amp;IF(AND(BZ1364&gt;0,BY1364*10&gt;BZ1364),"zu hoch für Tablar; ","")&amp;IF(AND(BK1364=0,OR(BT1364=1,V1364&lt;&gt;"",S1364&lt;&gt;"",T1364&lt;&gt;"",W1364&lt;&gt;"")),"manuell übersteuert; ","")&amp;IF(AND(BO1364=0,Q1364=0),"Gebinde unbekannt; ","")&amp;IF(AND(BO1364=0,N(T1364)&lt;=0,N(P1364)&lt;=0),"Menge pro Gebinde fehlt (Ist = 1 Gebinde); ","")&amp;BJ1364)</f>
        <v/>
      </c>
      <c r="BC1364" s="53" t="n"/>
      <c r="BD1364" s="53" t="n"/>
      <c r="BE1364" s="61" t="n"/>
      <c r="BF1364" s="55" t="n">
        <v>-334</v>
      </c>
      <c r="BG1364" s="55" t="n">
        <v>456</v>
      </c>
      <c r="BH1364" s="54" t="n">
        <v>-2464.6</v>
      </c>
      <c r="BI1364" s="55" t="n">
        <v>390</v>
      </c>
      <c r="BJ1364" s="53" t="inlineStr">
        <is>
          <t>B&amp;R</t>
        </is>
      </c>
      <c r="BK1364" s="58" t="n">
        <v>0</v>
      </c>
      <c r="BL1364" s="58" t="n">
        <v>1364</v>
      </c>
      <c r="BM1364" s="53">
        <f>IF(S1364&lt;&gt;"",UPPER(TRIM(S1364)),IF(O1364="","LOSE",O1364))</f>
        <v/>
      </c>
      <c r="BN1364" s="55">
        <f>IF(BM1364="LOSE",1,IF(N(T1364)&gt;0,T1364,IF(N(P1364)&gt;0,P1364,MAX(1,G1364))))</f>
        <v/>
      </c>
      <c r="BO1364" s="58">
        <f>IF(BM1364="LOSE",1,0)</f>
        <v/>
      </c>
      <c r="BP1364" s="64">
        <f>IF(BO1364=0,0,IF(N(R1364)&gt;0,R1364,IFERROR(VLOOKUP(D1364,Parameter!$A$35:$C$64,3,0)+0,0)))</f>
        <v/>
      </c>
      <c r="BQ1364" s="53">
        <f>IF(V1364&lt;&gt;"",V1364,U1364)</f>
        <v/>
      </c>
      <c r="BR1364" s="53">
        <f>IF(BQ1364=1,"L1",IF(OR(BQ1364=2,BQ1364=3),"L23",IF(BQ1364="Aussen","Aussen","-")))</f>
        <v/>
      </c>
      <c r="BS1364" s="66">
        <f>IF(N(W1364)&gt;0,W1364,0)</f>
        <v/>
      </c>
      <c r="BT1364" s="58">
        <f>IF(ISNUMBER(Z1364),1,0)</f>
        <v/>
      </c>
      <c r="BU1364" s="55">
        <f>N(Z1364)</f>
        <v/>
      </c>
      <c r="BV1364" s="55">
        <f>N(L1364)+N(M1364)</f>
        <v/>
      </c>
      <c r="BW1364" s="55">
        <f>ROUNDUP(G1364/BN1364,0)</f>
        <v/>
      </c>
      <c r="BX1364" s="55">
        <f>ROUNDUP(BU1364/BN1364,0)</f>
        <v/>
      </c>
      <c r="BY1364" s="58">
        <f>IF(BO1364=1,0,IFERROR(VLOOKUP(BM1364,'Gebinde-Kategorie'!$A$5:$G$45,5,0)+0,0))</f>
        <v/>
      </c>
      <c r="BZ1364" s="58">
        <f>IFERROR(IF(OR(BQ1364=1,BQ1364=2,BQ1364=3),N(INDEX(Parameter!$I$5:$I$7,BQ1364)),0),0)</f>
        <v/>
      </c>
    </row>
    <row r="1365">
      <c r="A1365" s="53" t="inlineStr">
        <is>
          <t>106940</t>
        </is>
      </c>
      <c r="B1365" s="53" t="inlineStr">
        <is>
          <t>Bus Controller</t>
        </is>
      </c>
      <c r="C1365" s="53" t="inlineStr">
        <is>
          <t>F</t>
        </is>
      </c>
      <c r="D1365" s="53" t="inlineStr">
        <is>
          <t>KTL</t>
        </is>
      </c>
      <c r="E1365" s="53" t="inlineStr">
        <is>
          <t>C</t>
        </is>
      </c>
      <c r="F1365" s="54" t="n">
        <v>82.23</v>
      </c>
      <c r="G1365" s="55">
        <f>MAX(0,IF(Parameter!$B$20="Jahresanfang 2025 + Export",BG1365+BF1365,BF1365))</f>
        <v/>
      </c>
      <c r="H1365" s="55">
        <f>G1365*F1365</f>
        <v/>
      </c>
      <c r="I1365" s="55">
        <f>BI1365*Parameter!$B$18</f>
        <v/>
      </c>
      <c r="J1365" s="56" t="n">
        <v>31.5</v>
      </c>
      <c r="K1365" s="57" t="n">
        <v>0.09523809523809523</v>
      </c>
      <c r="L1365" s="55" t="n">
        <v>0</v>
      </c>
      <c r="M1365" s="55" t="n">
        <v>5</v>
      </c>
      <c r="N1365" s="58" t="n">
        <v>28</v>
      </c>
      <c r="O1365" s="53" t="inlineStr">
        <is>
          <t>S33</t>
        </is>
      </c>
      <c r="P1365" s="55" t="n">
        <v>10</v>
      </c>
      <c r="Q1365" s="59">
        <f>IF(BO1365=1,0,IFERROR(VLOOKUP(BM1365,'Gebinde-Kategorie'!$A$5:$G$45,6,0)+0,0))</f>
        <v/>
      </c>
      <c r="R1365" s="60" t="n"/>
      <c r="S1365" s="61" t="n"/>
      <c r="T1365" s="61" t="n"/>
      <c r="U1365" s="53">
        <f>IF(A1365="","",IF(IFERROR(VLOOKUP(D1365,Parameter!$A$35:$C$64,2,0),"Nein")="2+3",IF(ISNUMBER(SEARCH("grosser Artikel",BJ1365)),2,IFERROR(VLOOKUP(BM1365,Parameter!$F$35:$G$64,2,0),2)),IF(OR(IFERROR(VLOOKUP(D1365,Parameter!$A$35:$C$64,2,0),"Nein")="Nein",IFERROR(VLOOKUP(D1365,Parameter!$A$35:$C$64,2,0),"Nein")=""),"-",VLOOKUP(D1365,Parameter!$A$35:$C$64,2,0))))</f>
        <v/>
      </c>
      <c r="V1365" s="61" t="n"/>
      <c r="W1365" s="62" t="n"/>
      <c r="X1365" s="55">
        <f>AM1365</f>
        <v/>
      </c>
      <c r="Y1365" s="55">
        <f>MAX(AM1365,G1365)</f>
        <v/>
      </c>
      <c r="Z1365" s="63" t="n"/>
      <c r="AA1365" s="55">
        <f>IF(LEFT(Cockpit!$C$5,1)="A",G1365,IF(BT1365=1,BU1365,IF(LEFT(Cockpit!$C$5,1)="B",AE1365,MAX(AE1365,G1365))))</f>
        <v/>
      </c>
      <c r="AB1365" s="55">
        <f>IF(BO1365=1,0,ROUNDUP(AA1365/BN1365,0))</f>
        <v/>
      </c>
      <c r="AC1365" s="64">
        <f>IF(BO1365=1,IF(AA1365&lt;=0,0,BP1365*MAX(1,IF(G1365&gt;0,AA1365/G1365,1))),AB1365*Q1365)</f>
        <v/>
      </c>
      <c r="AD1365" s="55">
        <f>AA1365*F1365</f>
        <v/>
      </c>
      <c r="AE1365" s="55">
        <f>ROUNDUP(MAX(I1365/IF(BS1365&gt;0,BS1365,MAX(0.1,N(Cockpit!$C$6))),BV1365)/BN1365,0)*BN1365</f>
        <v/>
      </c>
      <c r="AF1365" s="56">
        <f>IF(AC1365&gt;0,I1365/AC1365,-1)</f>
        <v/>
      </c>
      <c r="AG1365" s="56">
        <f>IF(AND(OR(BR1365="L1",BR1365="L23"),AC1365&gt;0),SUMIFS($AC$7:$AC$1570,$BR$7:$BR$1570,BR1365,$AF$7:$AF$1570,"&gt;"&amp;AF1365)+SUMIFS($AC$7:$AC$1570,$BR$7:$BR$1570,BR1365,$AF$7:$AF$1570,AF1365,$BL$7:$BL$1570,"&lt;="&amp;BL1365),"")</f>
        <v/>
      </c>
      <c r="AH1365" s="65">
        <f>IF(AG1365="",0,MAX(0,MIN(1,(IF(BR1365="L1",Parameter!$K$5,Parameter!$K$6+Parameter!$K$7)-(AG1365-AC1365))/AC1365)))</f>
        <v/>
      </c>
      <c r="AI1365" s="55">
        <f>IF(LEFT(Cockpit!$I$5,1)="A",G1365,IF(BT1365=1,BU1365,IF(LEFT(Cockpit!$I$5,1)="B",AM1365,MAX(AM1365,G1365))))</f>
        <v/>
      </c>
      <c r="AJ1365" s="55">
        <f>IF(BO1365=1,0,ROUNDUP(AI1365/BN1365,0))</f>
        <v/>
      </c>
      <c r="AK1365" s="64">
        <f>IF(BO1365=1,IF(AI1365&lt;=0,0,BP1365*MAX(1,IF(G1365&gt;0,AI1365/G1365,1))),AJ1365*Q1365)</f>
        <v/>
      </c>
      <c r="AL1365" s="55">
        <f>AI1365*F1365</f>
        <v/>
      </c>
      <c r="AM1365" s="55">
        <f>ROUNDUP(MAX(I1365/IF(BS1365&gt;0,BS1365,MAX(0.1,N(Cockpit!$I$6))),BV1365)/BN1365,0)*BN1365</f>
        <v/>
      </c>
      <c r="AN1365" s="56">
        <f>IF(AK1365&gt;0,I1365/AK1365,-1)</f>
        <v/>
      </c>
      <c r="AO1365" s="56">
        <f>IF(AND(OR(BR1365="L1",BR1365="L23"),AK1365&gt;0),SUMIFS($AK$7:$AK$1570,$BR$7:$BR$1570,BR1365,$AN$7:$AN$1570,"&gt;"&amp;AN1365)+SUMIFS($AK$7:$AK$1570,$BR$7:$BR$1570,BR1365,$AN$7:$AN$1570,AN1365,$BL$7:$BL$1570,"&lt;="&amp;BL1365),"")</f>
        <v/>
      </c>
      <c r="AP1365" s="65">
        <f>IF(AO1365="",0,MAX(0,MIN(1,(IF(BR1365="L1",Parameter!$K$5,Parameter!$K$6+Parameter!$K$7)-(AO1365-AK1365))/AK1365)))</f>
        <v/>
      </c>
      <c r="AQ1365" s="55">
        <f>IF(LEFT(Cockpit!$O$5,1)="A",G1365,IF(BT1365=1,BU1365,IF(LEFT(Cockpit!$O$5,1)="B",AU1365,MAX(AU1365,G1365))))</f>
        <v/>
      </c>
      <c r="AR1365" s="55">
        <f>IF(BO1365=1,0,ROUNDUP(AQ1365/BN1365,0))</f>
        <v/>
      </c>
      <c r="AS1365" s="64">
        <f>IF(BO1365=1,IF(AQ1365&lt;=0,0,BP1365*MAX(1,IF(G1365&gt;0,AQ1365/G1365,1))),AR1365*Q1365)</f>
        <v/>
      </c>
      <c r="AT1365" s="55">
        <f>AQ1365*F1365</f>
        <v/>
      </c>
      <c r="AU1365" s="55">
        <f>ROUNDUP(MAX(I1365/IF(BS1365&gt;0,BS1365,MAX(0.1,N(Cockpit!$O$6))),BV1365)/BN1365,0)*BN1365</f>
        <v/>
      </c>
      <c r="AV1365" s="56">
        <f>IF(AS1365&gt;0,I1365/AS1365,-1)</f>
        <v/>
      </c>
      <c r="AW1365" s="56">
        <f>IF(AND(OR(BR1365="L1",BR1365="L23"),AS1365&gt;0),SUMIFS($AS$7:$AS$1570,$BR$7:$BR$1570,BR1365,$AV$7:$AV$1570,"&gt;"&amp;AV1365)+SUMIFS($AS$7:$AS$1570,$BR$7:$BR$1570,BR1365,$AV$7:$AV$1570,AV1365,$BL$7:$BL$1570,"&lt;="&amp;BL1365),"")</f>
        <v/>
      </c>
      <c r="AX1365" s="65">
        <f>IF(AW1365="",0,MAX(0,MIN(1,(IF(BR1365="L1",Parameter!$K$5,Parameter!$K$6+Parameter!$K$7)-(AW1365-AS1365))/AS1365)))</f>
        <v/>
      </c>
      <c r="AY1365" s="53">
        <f>IF(AC1365&lt;=0,"",IF(BR1365="Aussen","Aussenlager",IF(BR1365="-","Nicht im Lift",IF(AH1365&gt;=1,"Lift",IF(AH1365&lt;=0,"Aussenlager","teilweise")))))</f>
        <v/>
      </c>
      <c r="AZ1365" s="53">
        <f>IF(AK1365&lt;=0,"",IF(BR1365="Aussen","Aussenlager",IF(BR1365="-","Nicht im Lift",IF(AP1365&gt;=1,"Lift",IF(AP1365&lt;=0,"Aussenlager","teilweise")))))</f>
        <v/>
      </c>
      <c r="BA1365" s="53">
        <f>IF(AS1365&lt;=0,"",IF(BR1365="Aussen","Aussenlager",IF(BR1365="-","Nicht im Lift",IF(AX1365&gt;=1,"Lift",IF(AX1365&lt;=0,"Aussenlager","teilweise")))))</f>
        <v/>
      </c>
      <c r="BB1365" s="53">
        <f>IF(A1365="","",IF(BK1365=1,"Neu; ","")&amp;IF(AND(BK1365=0,BF1365&lt;0),"negativer Bestand (Export "&amp;BF1365&amp;"); ","")&amp;IF(I1365&lt;=0,"Kein Verbrauch; ","")&amp;IF(BO1365=1,"Lose – Fläche geschätzt; ","")&amp;IF(G1365&gt;AM1365,"Überbestand "&amp;ROUND(G1365-AM1365,0)&amp;" Stk / CHF "&amp;ROUND((G1365-AM1365)*F1365,0)&amp;"; ","")&amp;IF(AND(BT1365=1,BU1365&lt;BV1365),"MAX &lt; MB+LG; ","")&amp;IF(AND(BZ1365&gt;0,BY1365*10&gt;BZ1365),"zu hoch für Tablar; ","")&amp;IF(AND(BK1365=0,OR(BT1365=1,V1365&lt;&gt;"",S1365&lt;&gt;"",T1365&lt;&gt;"",W1365&lt;&gt;"")),"manuell übersteuert; ","")&amp;IF(AND(BO1365=0,Q1365=0),"Gebinde unbekannt; ","")&amp;IF(AND(BO1365=0,N(T1365)&lt;=0,N(P1365)&lt;=0),"Menge pro Gebinde fehlt (Ist = 1 Gebinde); ","")&amp;BJ1365)</f>
        <v/>
      </c>
      <c r="BC1365" s="53" t="n"/>
      <c r="BD1365" s="53" t="n"/>
      <c r="BE1365" s="61" t="n"/>
      <c r="BF1365" s="55" t="n">
        <v>-30</v>
      </c>
      <c r="BG1365" s="55" t="n">
        <v>34</v>
      </c>
      <c r="BH1365" s="54" t="n">
        <v>-2466.9</v>
      </c>
      <c r="BI1365" s="55" t="n">
        <v>3</v>
      </c>
      <c r="BJ1365" s="53" t="inlineStr"/>
      <c r="BK1365" s="58" t="n">
        <v>0</v>
      </c>
      <c r="BL1365" s="58" t="n">
        <v>1365</v>
      </c>
      <c r="BM1365" s="53">
        <f>IF(S1365&lt;&gt;"",UPPER(TRIM(S1365)),IF(O1365="","LOSE",O1365))</f>
        <v/>
      </c>
      <c r="BN1365" s="55">
        <f>IF(BM1365="LOSE",1,IF(N(T1365)&gt;0,T1365,IF(N(P1365)&gt;0,P1365,MAX(1,G1365))))</f>
        <v/>
      </c>
      <c r="BO1365" s="58">
        <f>IF(BM1365="LOSE",1,0)</f>
        <v/>
      </c>
      <c r="BP1365" s="64">
        <f>IF(BO1365=0,0,IF(N(R1365)&gt;0,R1365,IFERROR(VLOOKUP(D1365,Parameter!$A$35:$C$64,3,0)+0,0)))</f>
        <v/>
      </c>
      <c r="BQ1365" s="53">
        <f>IF(V1365&lt;&gt;"",V1365,U1365)</f>
        <v/>
      </c>
      <c r="BR1365" s="53">
        <f>IF(BQ1365=1,"L1",IF(OR(BQ1365=2,BQ1365=3),"L23",IF(BQ1365="Aussen","Aussen","-")))</f>
        <v/>
      </c>
      <c r="BS1365" s="66">
        <f>IF(N(W1365)&gt;0,W1365,0)</f>
        <v/>
      </c>
      <c r="BT1365" s="58">
        <f>IF(ISNUMBER(Z1365),1,0)</f>
        <v/>
      </c>
      <c r="BU1365" s="55">
        <f>N(Z1365)</f>
        <v/>
      </c>
      <c r="BV1365" s="55">
        <f>N(L1365)+N(M1365)</f>
        <v/>
      </c>
      <c r="BW1365" s="55">
        <f>ROUNDUP(G1365/BN1365,0)</f>
        <v/>
      </c>
      <c r="BX1365" s="55">
        <f>ROUNDUP(BU1365/BN1365,0)</f>
        <v/>
      </c>
      <c r="BY1365" s="58">
        <f>IF(BO1365=1,0,IFERROR(VLOOKUP(BM1365,'Gebinde-Kategorie'!$A$5:$G$45,5,0)+0,0))</f>
        <v/>
      </c>
      <c r="BZ1365" s="58">
        <f>IFERROR(IF(OR(BQ1365=1,BQ1365=2,BQ1365=3),N(INDEX(Parameter!$I$5:$I$7,BQ1365)),0),0)</f>
        <v/>
      </c>
    </row>
    <row r="1366">
      <c r="A1366" s="53" t="inlineStr">
        <is>
          <t>101169</t>
        </is>
      </c>
      <c r="B1366" s="53" t="inlineStr">
        <is>
          <t>Federkonsole</t>
        </is>
      </c>
      <c r="C1366" s="53" t="inlineStr">
        <is>
          <t>F</t>
        </is>
      </c>
      <c r="D1366" s="53" t="inlineStr">
        <is>
          <t>PAL</t>
        </is>
      </c>
      <c r="E1366" s="53" t="inlineStr">
        <is>
          <t>C</t>
        </is>
      </c>
      <c r="F1366" s="54" t="n">
        <v>362.99</v>
      </c>
      <c r="G1366" s="55">
        <f>MAX(0,IF(Parameter!$B$20="Jahresanfang 2025 + Export",BG1366+BF1366,BF1366))</f>
        <v/>
      </c>
      <c r="H1366" s="55">
        <f>G1366*F1366</f>
        <v/>
      </c>
      <c r="I1366" s="55">
        <f>BI1366*Parameter!$B$18</f>
        <v/>
      </c>
      <c r="J1366" s="56" t="n">
        <v>25.5</v>
      </c>
      <c r="K1366" s="57" t="n">
        <v>1.529411764705882</v>
      </c>
      <c r="L1366" s="55" t="n">
        <v>5</v>
      </c>
      <c r="M1366" s="55" t="n">
        <v>15</v>
      </c>
      <c r="N1366" s="58" t="n">
        <v>35</v>
      </c>
      <c r="O1366" s="53" t="inlineStr">
        <is>
          <t>S72</t>
        </is>
      </c>
      <c r="P1366" s="55" t="n">
        <v>10</v>
      </c>
      <c r="Q1366" s="59">
        <f>IF(BO1366=1,0,IFERROR(VLOOKUP(BM1366,'Gebinde-Kategorie'!$A$5:$G$45,6,0)+0,0))</f>
        <v/>
      </c>
      <c r="R1366" s="60" t="n"/>
      <c r="S1366" s="61" t="n"/>
      <c r="T1366" s="61" t="n"/>
      <c r="U1366" s="53">
        <f>IF(A1366="","",IF(IFERROR(VLOOKUP(D1366,Parameter!$A$35:$C$64,2,0),"Nein")="2+3",IF(ISNUMBER(SEARCH("grosser Artikel",BJ1366)),2,IFERROR(VLOOKUP(BM1366,Parameter!$F$35:$G$64,2,0),2)),IF(OR(IFERROR(VLOOKUP(D1366,Parameter!$A$35:$C$64,2,0),"Nein")="Nein",IFERROR(VLOOKUP(D1366,Parameter!$A$35:$C$64,2,0),"Nein")=""),"-",VLOOKUP(D1366,Parameter!$A$35:$C$64,2,0))))</f>
        <v/>
      </c>
      <c r="V1366" s="61" t="n"/>
      <c r="W1366" s="62" t="n"/>
      <c r="X1366" s="55">
        <f>AM1366</f>
        <v/>
      </c>
      <c r="Y1366" s="55">
        <f>MAX(AM1366,G1366)</f>
        <v/>
      </c>
      <c r="Z1366" s="63" t="n"/>
      <c r="AA1366" s="55">
        <f>IF(LEFT(Cockpit!$C$5,1)="A",G1366,IF(BT1366=1,BU1366,IF(LEFT(Cockpit!$C$5,1)="B",AE1366,MAX(AE1366,G1366))))</f>
        <v/>
      </c>
      <c r="AB1366" s="55">
        <f>IF(BO1366=1,0,ROUNDUP(AA1366/BN1366,0))</f>
        <v/>
      </c>
      <c r="AC1366" s="64">
        <f>IF(BO1366=1,IF(AA1366&lt;=0,0,BP1366*MAX(1,IF(G1366&gt;0,AA1366/G1366,1))),AB1366*Q1366)</f>
        <v/>
      </c>
      <c r="AD1366" s="55">
        <f>AA1366*F1366</f>
        <v/>
      </c>
      <c r="AE1366" s="55">
        <f>ROUNDUP(MAX(I1366/IF(BS1366&gt;0,BS1366,MAX(0.1,N(Cockpit!$C$6))),BV1366)/BN1366,0)*BN1366</f>
        <v/>
      </c>
      <c r="AF1366" s="56">
        <f>IF(AC1366&gt;0,I1366/AC1366,-1)</f>
        <v/>
      </c>
      <c r="AG1366" s="56">
        <f>IF(AND(OR(BR1366="L1",BR1366="L23"),AC1366&gt;0),SUMIFS($AC$7:$AC$1570,$BR$7:$BR$1570,BR1366,$AF$7:$AF$1570,"&gt;"&amp;AF1366)+SUMIFS($AC$7:$AC$1570,$BR$7:$BR$1570,BR1366,$AF$7:$AF$1570,AF1366,$BL$7:$BL$1570,"&lt;="&amp;BL1366),"")</f>
        <v/>
      </c>
      <c r="AH1366" s="65">
        <f>IF(AG1366="",0,MAX(0,MIN(1,(IF(BR1366="L1",Parameter!$K$5,Parameter!$K$6+Parameter!$K$7)-(AG1366-AC1366))/AC1366)))</f>
        <v/>
      </c>
      <c r="AI1366" s="55">
        <f>IF(LEFT(Cockpit!$I$5,1)="A",G1366,IF(BT1366=1,BU1366,IF(LEFT(Cockpit!$I$5,1)="B",AM1366,MAX(AM1366,G1366))))</f>
        <v/>
      </c>
      <c r="AJ1366" s="55">
        <f>IF(BO1366=1,0,ROUNDUP(AI1366/BN1366,0))</f>
        <v/>
      </c>
      <c r="AK1366" s="64">
        <f>IF(BO1366=1,IF(AI1366&lt;=0,0,BP1366*MAX(1,IF(G1366&gt;0,AI1366/G1366,1))),AJ1366*Q1366)</f>
        <v/>
      </c>
      <c r="AL1366" s="55">
        <f>AI1366*F1366</f>
        <v/>
      </c>
      <c r="AM1366" s="55">
        <f>ROUNDUP(MAX(I1366/IF(BS1366&gt;0,BS1366,MAX(0.1,N(Cockpit!$I$6))),BV1366)/BN1366,0)*BN1366</f>
        <v/>
      </c>
      <c r="AN1366" s="56">
        <f>IF(AK1366&gt;0,I1366/AK1366,-1)</f>
        <v/>
      </c>
      <c r="AO1366" s="56">
        <f>IF(AND(OR(BR1366="L1",BR1366="L23"),AK1366&gt;0),SUMIFS($AK$7:$AK$1570,$BR$7:$BR$1570,BR1366,$AN$7:$AN$1570,"&gt;"&amp;AN1366)+SUMIFS($AK$7:$AK$1570,$BR$7:$BR$1570,BR1366,$AN$7:$AN$1570,AN1366,$BL$7:$BL$1570,"&lt;="&amp;BL1366),"")</f>
        <v/>
      </c>
      <c r="AP1366" s="65">
        <f>IF(AO1366="",0,MAX(0,MIN(1,(IF(BR1366="L1",Parameter!$K$5,Parameter!$K$6+Parameter!$K$7)-(AO1366-AK1366))/AK1366)))</f>
        <v/>
      </c>
      <c r="AQ1366" s="55">
        <f>IF(LEFT(Cockpit!$O$5,1)="A",G1366,IF(BT1366=1,BU1366,IF(LEFT(Cockpit!$O$5,1)="B",AU1366,MAX(AU1366,G1366))))</f>
        <v/>
      </c>
      <c r="AR1366" s="55">
        <f>IF(BO1366=1,0,ROUNDUP(AQ1366/BN1366,0))</f>
        <v/>
      </c>
      <c r="AS1366" s="64">
        <f>IF(BO1366=1,IF(AQ1366&lt;=0,0,BP1366*MAX(1,IF(G1366&gt;0,AQ1366/G1366,1))),AR1366*Q1366)</f>
        <v/>
      </c>
      <c r="AT1366" s="55">
        <f>AQ1366*F1366</f>
        <v/>
      </c>
      <c r="AU1366" s="55">
        <f>ROUNDUP(MAX(I1366/IF(BS1366&gt;0,BS1366,MAX(0.1,N(Cockpit!$O$6))),BV1366)/BN1366,0)*BN1366</f>
        <v/>
      </c>
      <c r="AV1366" s="56">
        <f>IF(AS1366&gt;0,I1366/AS1366,-1)</f>
        <v/>
      </c>
      <c r="AW1366" s="56">
        <f>IF(AND(OR(BR1366="L1",BR1366="L23"),AS1366&gt;0),SUMIFS($AS$7:$AS$1570,$BR$7:$BR$1570,BR1366,$AV$7:$AV$1570,"&gt;"&amp;AV1366)+SUMIFS($AS$7:$AS$1570,$BR$7:$BR$1570,BR1366,$AV$7:$AV$1570,AV1366,$BL$7:$BL$1570,"&lt;="&amp;BL1366),"")</f>
        <v/>
      </c>
      <c r="AX1366" s="65">
        <f>IF(AW1366="",0,MAX(0,MIN(1,(IF(BR1366="L1",Parameter!$K$5,Parameter!$K$6+Parameter!$K$7)-(AW1366-AS1366))/AS1366)))</f>
        <v/>
      </c>
      <c r="AY1366" s="53">
        <f>IF(AC1366&lt;=0,"",IF(BR1366="Aussen","Aussenlager",IF(BR1366="-","Nicht im Lift",IF(AH1366&gt;=1,"Lift",IF(AH1366&lt;=0,"Aussenlager","teilweise")))))</f>
        <v/>
      </c>
      <c r="AZ1366" s="53">
        <f>IF(AK1366&lt;=0,"",IF(BR1366="Aussen","Aussenlager",IF(BR1366="-","Nicht im Lift",IF(AP1366&gt;=1,"Lift",IF(AP1366&lt;=0,"Aussenlager","teilweise")))))</f>
        <v/>
      </c>
      <c r="BA1366" s="53">
        <f>IF(AS1366&lt;=0,"",IF(BR1366="Aussen","Aussenlager",IF(BR1366="-","Nicht im Lift",IF(AX1366&gt;=1,"Lift",IF(AX1366&lt;=0,"Aussenlager","teilweise")))))</f>
        <v/>
      </c>
      <c r="BB1366" s="53">
        <f>IF(A1366="","",IF(BK1366=1,"Neu; ","")&amp;IF(AND(BK1366=0,BF1366&lt;0),"negativer Bestand (Export "&amp;BF1366&amp;"); ","")&amp;IF(I1366&lt;=0,"Kein Verbrauch; ","")&amp;IF(BO1366=1,"Lose – Fläche geschätzt; ","")&amp;IF(G1366&gt;AM1366,"Überbestand "&amp;ROUND(G1366-AM1366,0)&amp;" Stk / CHF "&amp;ROUND((G1366-AM1366)*F1366,0)&amp;"; ","")&amp;IF(AND(BT1366=1,BU1366&lt;BV1366),"MAX &lt; MB+LG; ","")&amp;IF(AND(BZ1366&gt;0,BY1366*10&gt;BZ1366),"zu hoch für Tablar; ","")&amp;IF(AND(BK1366=0,OR(BT1366=1,V1366&lt;&gt;"",S1366&lt;&gt;"",T1366&lt;&gt;"",W1366&lt;&gt;"")),"manuell übersteuert; ","")&amp;IF(AND(BO1366=0,Q1366=0),"Gebinde unbekannt; ","")&amp;IF(AND(BO1366=0,N(T1366)&lt;=0,N(P1366)&lt;=0),"Menge pro Gebinde fehlt (Ist = 1 Gebinde); ","")&amp;BJ1366)</f>
        <v/>
      </c>
      <c r="BC1366" s="53" t="n"/>
      <c r="BD1366" s="53" t="n"/>
      <c r="BE1366" s="61" t="n"/>
      <c r="BF1366" s="55" t="n">
        <v>-7</v>
      </c>
      <c r="BG1366" s="55" t="n">
        <v>24</v>
      </c>
      <c r="BH1366" s="54" t="n">
        <v>-2540.210000000005</v>
      </c>
      <c r="BI1366" s="55" t="n">
        <v>39</v>
      </c>
      <c r="BJ1366" s="53" t="inlineStr"/>
      <c r="BK1366" s="58" t="n">
        <v>0</v>
      </c>
      <c r="BL1366" s="58" t="n">
        <v>1366</v>
      </c>
      <c r="BM1366" s="53">
        <f>IF(S1366&lt;&gt;"",UPPER(TRIM(S1366)),IF(O1366="","LOSE",O1366))</f>
        <v/>
      </c>
      <c r="BN1366" s="55">
        <f>IF(BM1366="LOSE",1,IF(N(T1366)&gt;0,T1366,IF(N(P1366)&gt;0,P1366,MAX(1,G1366))))</f>
        <v/>
      </c>
      <c r="BO1366" s="58">
        <f>IF(BM1366="LOSE",1,0)</f>
        <v/>
      </c>
      <c r="BP1366" s="64">
        <f>IF(BO1366=0,0,IF(N(R1366)&gt;0,R1366,IFERROR(VLOOKUP(D1366,Parameter!$A$35:$C$64,3,0)+0,0)))</f>
        <v/>
      </c>
      <c r="BQ1366" s="53">
        <f>IF(V1366&lt;&gt;"",V1366,U1366)</f>
        <v/>
      </c>
      <c r="BR1366" s="53">
        <f>IF(BQ1366=1,"L1",IF(OR(BQ1366=2,BQ1366=3),"L23",IF(BQ1366="Aussen","Aussen","-")))</f>
        <v/>
      </c>
      <c r="BS1366" s="66">
        <f>IF(N(W1366)&gt;0,W1366,0)</f>
        <v/>
      </c>
      <c r="BT1366" s="58">
        <f>IF(ISNUMBER(Z1366),1,0)</f>
        <v/>
      </c>
      <c r="BU1366" s="55">
        <f>N(Z1366)</f>
        <v/>
      </c>
      <c r="BV1366" s="55">
        <f>N(L1366)+N(M1366)</f>
        <v/>
      </c>
      <c r="BW1366" s="55">
        <f>ROUNDUP(G1366/BN1366,0)</f>
        <v/>
      </c>
      <c r="BX1366" s="55">
        <f>ROUNDUP(BU1366/BN1366,0)</f>
        <v/>
      </c>
      <c r="BY1366" s="58">
        <f>IF(BO1366=1,0,IFERROR(VLOOKUP(BM1366,'Gebinde-Kategorie'!$A$5:$G$45,5,0)+0,0))</f>
        <v/>
      </c>
      <c r="BZ1366" s="58">
        <f>IFERROR(IF(OR(BQ1366=1,BQ1366=2,BQ1366=3),N(INDEX(Parameter!$I$5:$I$7,BQ1366)),0),0)</f>
        <v/>
      </c>
    </row>
    <row r="1367">
      <c r="A1367" s="53" t="inlineStr">
        <is>
          <t>106951</t>
        </is>
      </c>
      <c r="B1367" s="53" t="inlineStr">
        <is>
          <t>Digitales I/O-Modul Eingang</t>
        </is>
      </c>
      <c r="C1367" s="53" t="inlineStr">
        <is>
          <t>F</t>
        </is>
      </c>
      <c r="D1367" s="53" t="inlineStr">
        <is>
          <t>KTL</t>
        </is>
      </c>
      <c r="E1367" s="53" t="inlineStr">
        <is>
          <t>C</t>
        </is>
      </c>
      <c r="F1367" s="54" t="n">
        <v>24.67</v>
      </c>
      <c r="G1367" s="55">
        <f>MAX(0,IF(Parameter!$B$20="Jahresanfang 2025 + Export",BG1367+BF1367,BF1367))</f>
        <v/>
      </c>
      <c r="H1367" s="55">
        <f>G1367*F1367</f>
        <v/>
      </c>
      <c r="I1367" s="55">
        <f>BI1367*Parameter!$B$18</f>
        <v/>
      </c>
      <c r="J1367" s="56" t="n">
        <v>121</v>
      </c>
      <c r="K1367" s="57" t="n">
        <v>0.1818181818181818</v>
      </c>
      <c r="L1367" s="55" t="n">
        <v>1</v>
      </c>
      <c r="M1367" s="55" t="n">
        <v>20</v>
      </c>
      <c r="N1367" s="58" t="n">
        <v>28</v>
      </c>
      <c r="O1367" s="53" t="inlineStr">
        <is>
          <t>S51</t>
        </is>
      </c>
      <c r="P1367" s="55" t="n">
        <v>60</v>
      </c>
      <c r="Q1367" s="59">
        <f>IF(BO1367=1,0,IFERROR(VLOOKUP(BM1367,'Gebinde-Kategorie'!$A$5:$G$45,6,0)+0,0))</f>
        <v/>
      </c>
      <c r="R1367" s="60" t="n"/>
      <c r="S1367" s="61" t="n"/>
      <c r="T1367" s="61" t="n"/>
      <c r="U1367" s="53">
        <f>IF(A1367="","",IF(IFERROR(VLOOKUP(D1367,Parameter!$A$35:$C$64,2,0),"Nein")="2+3",IF(ISNUMBER(SEARCH("grosser Artikel",BJ1367)),2,IFERROR(VLOOKUP(BM1367,Parameter!$F$35:$G$64,2,0),2)),IF(OR(IFERROR(VLOOKUP(D1367,Parameter!$A$35:$C$64,2,0),"Nein")="Nein",IFERROR(VLOOKUP(D1367,Parameter!$A$35:$C$64,2,0),"Nein")=""),"-",VLOOKUP(D1367,Parameter!$A$35:$C$64,2,0))))</f>
        <v/>
      </c>
      <c r="V1367" s="61" t="n"/>
      <c r="W1367" s="62" t="n"/>
      <c r="X1367" s="55">
        <f>AM1367</f>
        <v/>
      </c>
      <c r="Y1367" s="55">
        <f>MAX(AM1367,G1367)</f>
        <v/>
      </c>
      <c r="Z1367" s="63" t="n"/>
      <c r="AA1367" s="55">
        <f>IF(LEFT(Cockpit!$C$5,1)="A",G1367,IF(BT1367=1,BU1367,IF(LEFT(Cockpit!$C$5,1)="B",AE1367,MAX(AE1367,G1367))))</f>
        <v/>
      </c>
      <c r="AB1367" s="55">
        <f>IF(BO1367=1,0,ROUNDUP(AA1367/BN1367,0))</f>
        <v/>
      </c>
      <c r="AC1367" s="64">
        <f>IF(BO1367=1,IF(AA1367&lt;=0,0,BP1367*MAX(1,IF(G1367&gt;0,AA1367/G1367,1))),AB1367*Q1367)</f>
        <v/>
      </c>
      <c r="AD1367" s="55">
        <f>AA1367*F1367</f>
        <v/>
      </c>
      <c r="AE1367" s="55">
        <f>ROUNDUP(MAX(I1367/IF(BS1367&gt;0,BS1367,MAX(0.1,N(Cockpit!$C$6))),BV1367)/BN1367,0)*BN1367</f>
        <v/>
      </c>
      <c r="AF1367" s="56">
        <f>IF(AC1367&gt;0,I1367/AC1367,-1)</f>
        <v/>
      </c>
      <c r="AG1367" s="56">
        <f>IF(AND(OR(BR1367="L1",BR1367="L23"),AC1367&gt;0),SUMIFS($AC$7:$AC$1570,$BR$7:$BR$1570,BR1367,$AF$7:$AF$1570,"&gt;"&amp;AF1367)+SUMIFS($AC$7:$AC$1570,$BR$7:$BR$1570,BR1367,$AF$7:$AF$1570,AF1367,$BL$7:$BL$1570,"&lt;="&amp;BL1367),"")</f>
        <v/>
      </c>
      <c r="AH1367" s="65">
        <f>IF(AG1367="",0,MAX(0,MIN(1,(IF(BR1367="L1",Parameter!$K$5,Parameter!$K$6+Parameter!$K$7)-(AG1367-AC1367))/AC1367)))</f>
        <v/>
      </c>
      <c r="AI1367" s="55">
        <f>IF(LEFT(Cockpit!$I$5,1)="A",G1367,IF(BT1367=1,BU1367,IF(LEFT(Cockpit!$I$5,1)="B",AM1367,MAX(AM1367,G1367))))</f>
        <v/>
      </c>
      <c r="AJ1367" s="55">
        <f>IF(BO1367=1,0,ROUNDUP(AI1367/BN1367,0))</f>
        <v/>
      </c>
      <c r="AK1367" s="64">
        <f>IF(BO1367=1,IF(AI1367&lt;=0,0,BP1367*MAX(1,IF(G1367&gt;0,AI1367/G1367,1))),AJ1367*Q1367)</f>
        <v/>
      </c>
      <c r="AL1367" s="55">
        <f>AI1367*F1367</f>
        <v/>
      </c>
      <c r="AM1367" s="55">
        <f>ROUNDUP(MAX(I1367/IF(BS1367&gt;0,BS1367,MAX(0.1,N(Cockpit!$I$6))),BV1367)/BN1367,0)*BN1367</f>
        <v/>
      </c>
      <c r="AN1367" s="56">
        <f>IF(AK1367&gt;0,I1367/AK1367,-1)</f>
        <v/>
      </c>
      <c r="AO1367" s="56">
        <f>IF(AND(OR(BR1367="L1",BR1367="L23"),AK1367&gt;0),SUMIFS($AK$7:$AK$1570,$BR$7:$BR$1570,BR1367,$AN$7:$AN$1570,"&gt;"&amp;AN1367)+SUMIFS($AK$7:$AK$1570,$BR$7:$BR$1570,BR1367,$AN$7:$AN$1570,AN1367,$BL$7:$BL$1570,"&lt;="&amp;BL1367),"")</f>
        <v/>
      </c>
      <c r="AP1367" s="65">
        <f>IF(AO1367="",0,MAX(0,MIN(1,(IF(BR1367="L1",Parameter!$K$5,Parameter!$K$6+Parameter!$K$7)-(AO1367-AK1367))/AK1367)))</f>
        <v/>
      </c>
      <c r="AQ1367" s="55">
        <f>IF(LEFT(Cockpit!$O$5,1)="A",G1367,IF(BT1367=1,BU1367,IF(LEFT(Cockpit!$O$5,1)="B",AU1367,MAX(AU1367,G1367))))</f>
        <v/>
      </c>
      <c r="AR1367" s="55">
        <f>IF(BO1367=1,0,ROUNDUP(AQ1367/BN1367,0))</f>
        <v/>
      </c>
      <c r="AS1367" s="64">
        <f>IF(BO1367=1,IF(AQ1367&lt;=0,0,BP1367*MAX(1,IF(G1367&gt;0,AQ1367/G1367,1))),AR1367*Q1367)</f>
        <v/>
      </c>
      <c r="AT1367" s="55">
        <f>AQ1367*F1367</f>
        <v/>
      </c>
      <c r="AU1367" s="55">
        <f>ROUNDUP(MAX(I1367/IF(BS1367&gt;0,BS1367,MAX(0.1,N(Cockpit!$O$6))),BV1367)/BN1367,0)*BN1367</f>
        <v/>
      </c>
      <c r="AV1367" s="56">
        <f>IF(AS1367&gt;0,I1367/AS1367,-1)</f>
        <v/>
      </c>
      <c r="AW1367" s="56">
        <f>IF(AND(OR(BR1367="L1",BR1367="L23"),AS1367&gt;0),SUMIFS($AS$7:$AS$1570,$BR$7:$BR$1570,BR1367,$AV$7:$AV$1570,"&gt;"&amp;AV1367)+SUMIFS($AS$7:$AS$1570,$BR$7:$BR$1570,BR1367,$AV$7:$AV$1570,AV1367,$BL$7:$BL$1570,"&lt;="&amp;BL1367),"")</f>
        <v/>
      </c>
      <c r="AX1367" s="65">
        <f>IF(AW1367="",0,MAX(0,MIN(1,(IF(BR1367="L1",Parameter!$K$5,Parameter!$K$6+Parameter!$K$7)-(AW1367-AS1367))/AS1367)))</f>
        <v/>
      </c>
      <c r="AY1367" s="53">
        <f>IF(AC1367&lt;=0,"",IF(BR1367="Aussen","Aussenlager",IF(BR1367="-","Nicht im Lift",IF(AH1367&gt;=1,"Lift",IF(AH1367&lt;=0,"Aussenlager","teilweise")))))</f>
        <v/>
      </c>
      <c r="AZ1367" s="53">
        <f>IF(AK1367&lt;=0,"",IF(BR1367="Aussen","Aussenlager",IF(BR1367="-","Nicht im Lift",IF(AP1367&gt;=1,"Lift",IF(AP1367&lt;=0,"Aussenlager","teilweise")))))</f>
        <v/>
      </c>
      <c r="BA1367" s="53">
        <f>IF(AS1367&lt;=0,"",IF(BR1367="Aussen","Aussenlager",IF(BR1367="-","Nicht im Lift",IF(AX1367&gt;=1,"Lift",IF(AX1367&lt;=0,"Aussenlager","teilweise")))))</f>
        <v/>
      </c>
      <c r="BB1367" s="53">
        <f>IF(A1367="","",IF(BK1367=1,"Neu; ","")&amp;IF(AND(BK1367=0,BF1367&lt;0),"negativer Bestand (Export "&amp;BF1367&amp;"); ","")&amp;IF(I1367&lt;=0,"Kein Verbrauch; ","")&amp;IF(BO1367=1,"Lose – Fläche geschätzt; ","")&amp;IF(G1367&gt;AM1367,"Überbestand "&amp;ROUND(G1367-AM1367,0)&amp;" Stk / CHF "&amp;ROUND((G1367-AM1367)*F1367,0)&amp;"; ","")&amp;IF(AND(BT1367=1,BU1367&lt;BV1367),"MAX &lt; MB+LG; ","")&amp;IF(AND(BZ1367&gt;0,BY1367*10&gt;BZ1367),"zu hoch für Tablar; ","")&amp;IF(AND(BK1367=0,OR(BT1367=1,V1367&lt;&gt;"",S1367&lt;&gt;"",T1367&lt;&gt;"",W1367&lt;&gt;"")),"manuell übersteuert; ","")&amp;IF(AND(BO1367=0,Q1367=0),"Gebinde unbekannt; ","")&amp;IF(AND(BO1367=0,N(T1367)&lt;=0,N(P1367)&lt;=0),"Menge pro Gebinde fehlt (Ist = 1 Gebinde); ","")&amp;BJ1367)</f>
        <v/>
      </c>
      <c r="BC1367" s="53" t="n"/>
      <c r="BD1367" s="53" t="n"/>
      <c r="BE1367" s="61" t="n"/>
      <c r="BF1367" s="55" t="n">
        <v>-103</v>
      </c>
      <c r="BG1367" s="55" t="n">
        <v>135</v>
      </c>
      <c r="BH1367" s="54" t="n">
        <v>-2541.01</v>
      </c>
      <c r="BI1367" s="55" t="n">
        <v>22</v>
      </c>
      <c r="BJ1367" s="53" t="inlineStr">
        <is>
          <t>B&amp;R</t>
        </is>
      </c>
      <c r="BK1367" s="58" t="n">
        <v>0</v>
      </c>
      <c r="BL1367" s="58" t="n">
        <v>1367</v>
      </c>
      <c r="BM1367" s="53">
        <f>IF(S1367&lt;&gt;"",UPPER(TRIM(S1367)),IF(O1367="","LOSE",O1367))</f>
        <v/>
      </c>
      <c r="BN1367" s="55">
        <f>IF(BM1367="LOSE",1,IF(N(T1367)&gt;0,T1367,IF(N(P1367)&gt;0,P1367,MAX(1,G1367))))</f>
        <v/>
      </c>
      <c r="BO1367" s="58">
        <f>IF(BM1367="LOSE",1,0)</f>
        <v/>
      </c>
      <c r="BP1367" s="64">
        <f>IF(BO1367=0,0,IF(N(R1367)&gt;0,R1367,IFERROR(VLOOKUP(D1367,Parameter!$A$35:$C$64,3,0)+0,0)))</f>
        <v/>
      </c>
      <c r="BQ1367" s="53">
        <f>IF(V1367&lt;&gt;"",V1367,U1367)</f>
        <v/>
      </c>
      <c r="BR1367" s="53">
        <f>IF(BQ1367=1,"L1",IF(OR(BQ1367=2,BQ1367=3),"L23",IF(BQ1367="Aussen","Aussen","-")))</f>
        <v/>
      </c>
      <c r="BS1367" s="66">
        <f>IF(N(W1367)&gt;0,W1367,0)</f>
        <v/>
      </c>
      <c r="BT1367" s="58">
        <f>IF(ISNUMBER(Z1367),1,0)</f>
        <v/>
      </c>
      <c r="BU1367" s="55">
        <f>N(Z1367)</f>
        <v/>
      </c>
      <c r="BV1367" s="55">
        <f>N(L1367)+N(M1367)</f>
        <v/>
      </c>
      <c r="BW1367" s="55">
        <f>ROUNDUP(G1367/BN1367,0)</f>
        <v/>
      </c>
      <c r="BX1367" s="55">
        <f>ROUNDUP(BU1367/BN1367,0)</f>
        <v/>
      </c>
      <c r="BY1367" s="58">
        <f>IF(BO1367=1,0,IFERROR(VLOOKUP(BM1367,'Gebinde-Kategorie'!$A$5:$G$45,5,0)+0,0))</f>
        <v/>
      </c>
      <c r="BZ1367" s="58">
        <f>IFERROR(IF(OR(BQ1367=1,BQ1367=2,BQ1367=3),N(INDEX(Parameter!$I$5:$I$7,BQ1367)),0),0)</f>
        <v/>
      </c>
    </row>
    <row r="1368">
      <c r="A1368" s="53" t="inlineStr">
        <is>
          <t>109689</t>
        </is>
      </c>
      <c r="B1368" s="53" t="inlineStr">
        <is>
          <t>SPS Zentraleinheit</t>
        </is>
      </c>
      <c r="C1368" s="53" t="inlineStr">
        <is>
          <t>F</t>
        </is>
      </c>
      <c r="D1368" s="53" t="inlineStr">
        <is>
          <t>KTL</t>
        </is>
      </c>
      <c r="E1368" s="53" t="inlineStr">
        <is>
          <t>C</t>
        </is>
      </c>
      <c r="F1368" s="54" t="n">
        <v>1272.53</v>
      </c>
      <c r="G1368" s="55">
        <f>MAX(0,IF(Parameter!$B$20="Jahresanfang 2025 + Export",BG1368+BF1368,BF1368))</f>
        <v/>
      </c>
      <c r="H1368" s="55">
        <f>G1368*F1368</f>
        <v/>
      </c>
      <c r="I1368" s="55">
        <f>BI1368*Parameter!$B$18</f>
        <v/>
      </c>
      <c r="J1368" s="56" t="n">
        <v>3.5</v>
      </c>
      <c r="K1368" s="57" t="n">
        <v>0.2857142857142857</v>
      </c>
      <c r="L1368" s="55" t="n">
        <v>0</v>
      </c>
      <c r="M1368" s="55" t="n">
        <v>1</v>
      </c>
      <c r="N1368" s="58" t="n">
        <v>70</v>
      </c>
      <c r="O1368" s="53" t="inlineStr">
        <is>
          <t>S51</t>
        </is>
      </c>
      <c r="P1368" s="55" t="n">
        <v>3</v>
      </c>
      <c r="Q1368" s="59">
        <f>IF(BO1368=1,0,IFERROR(VLOOKUP(BM1368,'Gebinde-Kategorie'!$A$5:$G$45,6,0)+0,0))</f>
        <v/>
      </c>
      <c r="R1368" s="60" t="n"/>
      <c r="S1368" s="61" t="n"/>
      <c r="T1368" s="61" t="n"/>
      <c r="U1368" s="53">
        <f>IF(A1368="","",IF(IFERROR(VLOOKUP(D1368,Parameter!$A$35:$C$64,2,0),"Nein")="2+3",IF(ISNUMBER(SEARCH("grosser Artikel",BJ1368)),2,IFERROR(VLOOKUP(BM1368,Parameter!$F$35:$G$64,2,0),2)),IF(OR(IFERROR(VLOOKUP(D1368,Parameter!$A$35:$C$64,2,0),"Nein")="Nein",IFERROR(VLOOKUP(D1368,Parameter!$A$35:$C$64,2,0),"Nein")=""),"-",VLOOKUP(D1368,Parameter!$A$35:$C$64,2,0))))</f>
        <v/>
      </c>
      <c r="V1368" s="61" t="n"/>
      <c r="W1368" s="62" t="n"/>
      <c r="X1368" s="55">
        <f>AM1368</f>
        <v/>
      </c>
      <c r="Y1368" s="55">
        <f>MAX(AM1368,G1368)</f>
        <v/>
      </c>
      <c r="Z1368" s="63" t="n"/>
      <c r="AA1368" s="55">
        <f>IF(LEFT(Cockpit!$C$5,1)="A",G1368,IF(BT1368=1,BU1368,IF(LEFT(Cockpit!$C$5,1)="B",AE1368,MAX(AE1368,G1368))))</f>
        <v/>
      </c>
      <c r="AB1368" s="55">
        <f>IF(BO1368=1,0,ROUNDUP(AA1368/BN1368,0))</f>
        <v/>
      </c>
      <c r="AC1368" s="64">
        <f>IF(BO1368=1,IF(AA1368&lt;=0,0,BP1368*MAX(1,IF(G1368&gt;0,AA1368/G1368,1))),AB1368*Q1368)</f>
        <v/>
      </c>
      <c r="AD1368" s="55">
        <f>AA1368*F1368</f>
        <v/>
      </c>
      <c r="AE1368" s="55">
        <f>ROUNDUP(MAX(I1368/IF(BS1368&gt;0,BS1368,MAX(0.1,N(Cockpit!$C$6))),BV1368)/BN1368,0)*BN1368</f>
        <v/>
      </c>
      <c r="AF1368" s="56">
        <f>IF(AC1368&gt;0,I1368/AC1368,-1)</f>
        <v/>
      </c>
      <c r="AG1368" s="56">
        <f>IF(AND(OR(BR1368="L1",BR1368="L23"),AC1368&gt;0),SUMIFS($AC$7:$AC$1570,$BR$7:$BR$1570,BR1368,$AF$7:$AF$1570,"&gt;"&amp;AF1368)+SUMIFS($AC$7:$AC$1570,$BR$7:$BR$1570,BR1368,$AF$7:$AF$1570,AF1368,$BL$7:$BL$1570,"&lt;="&amp;BL1368),"")</f>
        <v/>
      </c>
      <c r="AH1368" s="65">
        <f>IF(AG1368="",0,MAX(0,MIN(1,(IF(BR1368="L1",Parameter!$K$5,Parameter!$K$6+Parameter!$K$7)-(AG1368-AC1368))/AC1368)))</f>
        <v/>
      </c>
      <c r="AI1368" s="55">
        <f>IF(LEFT(Cockpit!$I$5,1)="A",G1368,IF(BT1368=1,BU1368,IF(LEFT(Cockpit!$I$5,1)="B",AM1368,MAX(AM1368,G1368))))</f>
        <v/>
      </c>
      <c r="AJ1368" s="55">
        <f>IF(BO1368=1,0,ROUNDUP(AI1368/BN1368,0))</f>
        <v/>
      </c>
      <c r="AK1368" s="64">
        <f>IF(BO1368=1,IF(AI1368&lt;=0,0,BP1368*MAX(1,IF(G1368&gt;0,AI1368/G1368,1))),AJ1368*Q1368)</f>
        <v/>
      </c>
      <c r="AL1368" s="55">
        <f>AI1368*F1368</f>
        <v/>
      </c>
      <c r="AM1368" s="55">
        <f>ROUNDUP(MAX(I1368/IF(BS1368&gt;0,BS1368,MAX(0.1,N(Cockpit!$I$6))),BV1368)/BN1368,0)*BN1368</f>
        <v/>
      </c>
      <c r="AN1368" s="56">
        <f>IF(AK1368&gt;0,I1368/AK1368,-1)</f>
        <v/>
      </c>
      <c r="AO1368" s="56">
        <f>IF(AND(OR(BR1368="L1",BR1368="L23"),AK1368&gt;0),SUMIFS($AK$7:$AK$1570,$BR$7:$BR$1570,BR1368,$AN$7:$AN$1570,"&gt;"&amp;AN1368)+SUMIFS($AK$7:$AK$1570,$BR$7:$BR$1570,BR1368,$AN$7:$AN$1570,AN1368,$BL$7:$BL$1570,"&lt;="&amp;BL1368),"")</f>
        <v/>
      </c>
      <c r="AP1368" s="65">
        <f>IF(AO1368="",0,MAX(0,MIN(1,(IF(BR1368="L1",Parameter!$K$5,Parameter!$K$6+Parameter!$K$7)-(AO1368-AK1368))/AK1368)))</f>
        <v/>
      </c>
      <c r="AQ1368" s="55">
        <f>IF(LEFT(Cockpit!$O$5,1)="A",G1368,IF(BT1368=1,BU1368,IF(LEFT(Cockpit!$O$5,1)="B",AU1368,MAX(AU1368,G1368))))</f>
        <v/>
      </c>
      <c r="AR1368" s="55">
        <f>IF(BO1368=1,0,ROUNDUP(AQ1368/BN1368,0))</f>
        <v/>
      </c>
      <c r="AS1368" s="64">
        <f>IF(BO1368=1,IF(AQ1368&lt;=0,0,BP1368*MAX(1,IF(G1368&gt;0,AQ1368/G1368,1))),AR1368*Q1368)</f>
        <v/>
      </c>
      <c r="AT1368" s="55">
        <f>AQ1368*F1368</f>
        <v/>
      </c>
      <c r="AU1368" s="55">
        <f>ROUNDUP(MAX(I1368/IF(BS1368&gt;0,BS1368,MAX(0.1,N(Cockpit!$O$6))),BV1368)/BN1368,0)*BN1368</f>
        <v/>
      </c>
      <c r="AV1368" s="56">
        <f>IF(AS1368&gt;0,I1368/AS1368,-1)</f>
        <v/>
      </c>
      <c r="AW1368" s="56">
        <f>IF(AND(OR(BR1368="L1",BR1368="L23"),AS1368&gt;0),SUMIFS($AS$7:$AS$1570,$BR$7:$BR$1570,BR1368,$AV$7:$AV$1570,"&gt;"&amp;AV1368)+SUMIFS($AS$7:$AS$1570,$BR$7:$BR$1570,BR1368,$AV$7:$AV$1570,AV1368,$BL$7:$BL$1570,"&lt;="&amp;BL1368),"")</f>
        <v/>
      </c>
      <c r="AX1368" s="65">
        <f>IF(AW1368="",0,MAX(0,MIN(1,(IF(BR1368="L1",Parameter!$K$5,Parameter!$K$6+Parameter!$K$7)-(AW1368-AS1368))/AS1368)))</f>
        <v/>
      </c>
      <c r="AY1368" s="53">
        <f>IF(AC1368&lt;=0,"",IF(BR1368="Aussen","Aussenlager",IF(BR1368="-","Nicht im Lift",IF(AH1368&gt;=1,"Lift",IF(AH1368&lt;=0,"Aussenlager","teilweise")))))</f>
        <v/>
      </c>
      <c r="AZ1368" s="53">
        <f>IF(AK1368&lt;=0,"",IF(BR1368="Aussen","Aussenlager",IF(BR1368="-","Nicht im Lift",IF(AP1368&gt;=1,"Lift",IF(AP1368&lt;=0,"Aussenlager","teilweise")))))</f>
        <v/>
      </c>
      <c r="BA1368" s="53">
        <f>IF(AS1368&lt;=0,"",IF(BR1368="Aussen","Aussenlager",IF(BR1368="-","Nicht im Lift",IF(AX1368&gt;=1,"Lift",IF(AX1368&lt;=0,"Aussenlager","teilweise")))))</f>
        <v/>
      </c>
      <c r="BB1368" s="53">
        <f>IF(A1368="","",IF(BK1368=1,"Neu; ","")&amp;IF(AND(BK1368=0,BF1368&lt;0),"negativer Bestand (Export "&amp;BF1368&amp;"); ","")&amp;IF(I1368&lt;=0,"Kein Verbrauch; ","")&amp;IF(BO1368=1,"Lose – Fläche geschätzt; ","")&amp;IF(G1368&gt;AM1368,"Überbestand "&amp;ROUND(G1368-AM1368,0)&amp;" Stk / CHF "&amp;ROUND((G1368-AM1368)*F1368,0)&amp;"; ","")&amp;IF(AND(BT1368=1,BU1368&lt;BV1368),"MAX &lt; MB+LG; ","")&amp;IF(AND(BZ1368&gt;0,BY1368*10&gt;BZ1368),"zu hoch für Tablar; ","")&amp;IF(AND(BK1368=0,OR(BT1368=1,V1368&lt;&gt;"",S1368&lt;&gt;"",T1368&lt;&gt;"",W1368&lt;&gt;"")),"manuell übersteuert; ","")&amp;IF(AND(BO1368=0,Q1368=0),"Gebinde unbekannt; ","")&amp;IF(AND(BO1368=0,N(T1368)&lt;=0,N(P1368)&lt;=0),"Menge pro Gebinde fehlt (Ist = 1 Gebinde); ","")&amp;BJ1368)</f>
        <v/>
      </c>
      <c r="BC1368" s="53" t="n"/>
      <c r="BD1368" s="53" t="n"/>
      <c r="BE1368" s="61" t="n"/>
      <c r="BF1368" s="55" t="n">
        <v>-2</v>
      </c>
      <c r="BG1368" s="55" t="n">
        <v>4</v>
      </c>
      <c r="BH1368" s="54" t="n">
        <v>-2545.06</v>
      </c>
      <c r="BI1368" s="55" t="n">
        <v>1</v>
      </c>
      <c r="BJ1368" s="53" t="inlineStr"/>
      <c r="BK1368" s="58" t="n">
        <v>0</v>
      </c>
      <c r="BL1368" s="58" t="n">
        <v>1368</v>
      </c>
      <c r="BM1368" s="53">
        <f>IF(S1368&lt;&gt;"",UPPER(TRIM(S1368)),IF(O1368="","LOSE",O1368))</f>
        <v/>
      </c>
      <c r="BN1368" s="55">
        <f>IF(BM1368="LOSE",1,IF(N(T1368)&gt;0,T1368,IF(N(P1368)&gt;0,P1368,MAX(1,G1368))))</f>
        <v/>
      </c>
      <c r="BO1368" s="58">
        <f>IF(BM1368="LOSE",1,0)</f>
        <v/>
      </c>
      <c r="BP1368" s="64">
        <f>IF(BO1368=0,0,IF(N(R1368)&gt;0,R1368,IFERROR(VLOOKUP(D1368,Parameter!$A$35:$C$64,3,0)+0,0)))</f>
        <v/>
      </c>
      <c r="BQ1368" s="53">
        <f>IF(V1368&lt;&gt;"",V1368,U1368)</f>
        <v/>
      </c>
      <c r="BR1368" s="53">
        <f>IF(BQ1368=1,"L1",IF(OR(BQ1368=2,BQ1368=3),"L23",IF(BQ1368="Aussen","Aussen","-")))</f>
        <v/>
      </c>
      <c r="BS1368" s="66">
        <f>IF(N(W1368)&gt;0,W1368,0)</f>
        <v/>
      </c>
      <c r="BT1368" s="58">
        <f>IF(ISNUMBER(Z1368),1,0)</f>
        <v/>
      </c>
      <c r="BU1368" s="55">
        <f>N(Z1368)</f>
        <v/>
      </c>
      <c r="BV1368" s="55">
        <f>N(L1368)+N(M1368)</f>
        <v/>
      </c>
      <c r="BW1368" s="55">
        <f>ROUNDUP(G1368/BN1368,0)</f>
        <v/>
      </c>
      <c r="BX1368" s="55">
        <f>ROUNDUP(BU1368/BN1368,0)</f>
        <v/>
      </c>
      <c r="BY1368" s="58">
        <f>IF(BO1368=1,0,IFERROR(VLOOKUP(BM1368,'Gebinde-Kategorie'!$A$5:$G$45,5,0)+0,0))</f>
        <v/>
      </c>
      <c r="BZ1368" s="58">
        <f>IFERROR(IF(OR(BQ1368=1,BQ1368=2,BQ1368=3),N(INDEX(Parameter!$I$5:$I$7,BQ1368)),0),0)</f>
        <v/>
      </c>
    </row>
    <row r="1369">
      <c r="A1369" s="53" t="inlineStr">
        <is>
          <t>OC-107514</t>
        </is>
      </c>
      <c r="B1369" s="53" t="inlineStr">
        <is>
          <t>Federkonsole komplett</t>
        </is>
      </c>
      <c r="C1369" s="53" t="inlineStr">
        <is>
          <t>G</t>
        </is>
      </c>
      <c r="D1369" s="53" t="inlineStr">
        <is>
          <t>OCC</t>
        </is>
      </c>
      <c r="E1369" s="53" t="inlineStr">
        <is>
          <t>C</t>
        </is>
      </c>
      <c r="F1369" s="54" t="n">
        <v>1275.67</v>
      </c>
      <c r="G1369" s="55">
        <f>MAX(0,IF(Parameter!$B$20="Jahresanfang 2025 + Export",BG1369+BF1369,BF1369))</f>
        <v/>
      </c>
      <c r="H1369" s="55">
        <f>G1369*F1369</f>
        <v/>
      </c>
      <c r="I1369" s="55">
        <f>BI1369*Parameter!$B$18</f>
        <v/>
      </c>
      <c r="J1369" s="56" t="n">
        <v>1</v>
      </c>
      <c r="K1369" s="57" t="n">
        <v>0</v>
      </c>
      <c r="L1369" s="55" t="n">
        <v>0</v>
      </c>
      <c r="M1369" s="55" t="n">
        <v>1</v>
      </c>
      <c r="N1369" s="58" t="n">
        <v>0</v>
      </c>
      <c r="O1369" s="53" t="inlineStr">
        <is>
          <t>LOSE</t>
        </is>
      </c>
      <c r="P1369" s="55" t="n"/>
      <c r="Q1369" s="59">
        <f>IF(BO1369=1,0,IFERROR(VLOOKUP(BM1369,'Gebinde-Kategorie'!$A$5:$G$45,6,0)+0,0))</f>
        <v/>
      </c>
      <c r="R1369" s="60" t="n"/>
      <c r="S1369" s="61" t="n"/>
      <c r="T1369" s="61" t="n"/>
      <c r="U1369" s="53">
        <f>IF(A1369="","",IF(IFERROR(VLOOKUP(D1369,Parameter!$A$35:$C$64,2,0),"Nein")="2+3",IF(ISNUMBER(SEARCH("grosser Artikel",BJ1369)),2,IFERROR(VLOOKUP(BM1369,Parameter!$F$35:$G$64,2,0),2)),IF(OR(IFERROR(VLOOKUP(D1369,Parameter!$A$35:$C$64,2,0),"Nein")="Nein",IFERROR(VLOOKUP(D1369,Parameter!$A$35:$C$64,2,0),"Nein")=""),"-",VLOOKUP(D1369,Parameter!$A$35:$C$64,2,0))))</f>
        <v/>
      </c>
      <c r="V1369" s="61" t="n"/>
      <c r="W1369" s="62" t="n"/>
      <c r="X1369" s="55">
        <f>AM1369</f>
        <v/>
      </c>
      <c r="Y1369" s="55">
        <f>MAX(AM1369,G1369)</f>
        <v/>
      </c>
      <c r="Z1369" s="63" t="n"/>
      <c r="AA1369" s="55">
        <f>IF(LEFT(Cockpit!$C$5,1)="A",G1369,IF(BT1369=1,BU1369,IF(LEFT(Cockpit!$C$5,1)="B",AE1369,MAX(AE1369,G1369))))</f>
        <v/>
      </c>
      <c r="AB1369" s="55">
        <f>IF(BO1369=1,0,ROUNDUP(AA1369/BN1369,0))</f>
        <v/>
      </c>
      <c r="AC1369" s="64">
        <f>IF(BO1369=1,IF(AA1369&lt;=0,0,BP1369*MAX(1,IF(G1369&gt;0,AA1369/G1369,1))),AB1369*Q1369)</f>
        <v/>
      </c>
      <c r="AD1369" s="55">
        <f>AA1369*F1369</f>
        <v/>
      </c>
      <c r="AE1369" s="55">
        <f>ROUNDUP(MAX(I1369/IF(BS1369&gt;0,BS1369,MAX(0.1,N(Cockpit!$C$6))),BV1369)/BN1369,0)*BN1369</f>
        <v/>
      </c>
      <c r="AF1369" s="56">
        <f>IF(AC1369&gt;0,I1369/AC1369,-1)</f>
        <v/>
      </c>
      <c r="AG1369" s="56">
        <f>IF(AND(OR(BR1369="L1",BR1369="L23"),AC1369&gt;0),SUMIFS($AC$7:$AC$1570,$BR$7:$BR$1570,BR1369,$AF$7:$AF$1570,"&gt;"&amp;AF1369)+SUMIFS($AC$7:$AC$1570,$BR$7:$BR$1570,BR1369,$AF$7:$AF$1570,AF1369,$BL$7:$BL$1570,"&lt;="&amp;BL1369),"")</f>
        <v/>
      </c>
      <c r="AH1369" s="65">
        <f>IF(AG1369="",0,MAX(0,MIN(1,(IF(BR1369="L1",Parameter!$K$5,Parameter!$K$6+Parameter!$K$7)-(AG1369-AC1369))/AC1369)))</f>
        <v/>
      </c>
      <c r="AI1369" s="55">
        <f>IF(LEFT(Cockpit!$I$5,1)="A",G1369,IF(BT1369=1,BU1369,IF(LEFT(Cockpit!$I$5,1)="B",AM1369,MAX(AM1369,G1369))))</f>
        <v/>
      </c>
      <c r="AJ1369" s="55">
        <f>IF(BO1369=1,0,ROUNDUP(AI1369/BN1369,0))</f>
        <v/>
      </c>
      <c r="AK1369" s="64">
        <f>IF(BO1369=1,IF(AI1369&lt;=0,0,BP1369*MAX(1,IF(G1369&gt;0,AI1369/G1369,1))),AJ1369*Q1369)</f>
        <v/>
      </c>
      <c r="AL1369" s="55">
        <f>AI1369*F1369</f>
        <v/>
      </c>
      <c r="AM1369" s="55">
        <f>ROUNDUP(MAX(I1369/IF(BS1369&gt;0,BS1369,MAX(0.1,N(Cockpit!$I$6))),BV1369)/BN1369,0)*BN1369</f>
        <v/>
      </c>
      <c r="AN1369" s="56">
        <f>IF(AK1369&gt;0,I1369/AK1369,-1)</f>
        <v/>
      </c>
      <c r="AO1369" s="56">
        <f>IF(AND(OR(BR1369="L1",BR1369="L23"),AK1369&gt;0),SUMIFS($AK$7:$AK$1570,$BR$7:$BR$1570,BR1369,$AN$7:$AN$1570,"&gt;"&amp;AN1369)+SUMIFS($AK$7:$AK$1570,$BR$7:$BR$1570,BR1369,$AN$7:$AN$1570,AN1369,$BL$7:$BL$1570,"&lt;="&amp;BL1369),"")</f>
        <v/>
      </c>
      <c r="AP1369" s="65">
        <f>IF(AO1369="",0,MAX(0,MIN(1,(IF(BR1369="L1",Parameter!$K$5,Parameter!$K$6+Parameter!$K$7)-(AO1369-AK1369))/AK1369)))</f>
        <v/>
      </c>
      <c r="AQ1369" s="55">
        <f>IF(LEFT(Cockpit!$O$5,1)="A",G1369,IF(BT1369=1,BU1369,IF(LEFT(Cockpit!$O$5,1)="B",AU1369,MAX(AU1369,G1369))))</f>
        <v/>
      </c>
      <c r="AR1369" s="55">
        <f>IF(BO1369=1,0,ROUNDUP(AQ1369/BN1369,0))</f>
        <v/>
      </c>
      <c r="AS1369" s="64">
        <f>IF(BO1369=1,IF(AQ1369&lt;=0,0,BP1369*MAX(1,IF(G1369&gt;0,AQ1369/G1369,1))),AR1369*Q1369)</f>
        <v/>
      </c>
      <c r="AT1369" s="55">
        <f>AQ1369*F1369</f>
        <v/>
      </c>
      <c r="AU1369" s="55">
        <f>ROUNDUP(MAX(I1369/IF(BS1369&gt;0,BS1369,MAX(0.1,N(Cockpit!$O$6))),BV1369)/BN1369,0)*BN1369</f>
        <v/>
      </c>
      <c r="AV1369" s="56">
        <f>IF(AS1369&gt;0,I1369/AS1369,-1)</f>
        <v/>
      </c>
      <c r="AW1369" s="56">
        <f>IF(AND(OR(BR1369="L1",BR1369="L23"),AS1369&gt;0),SUMIFS($AS$7:$AS$1570,$BR$7:$BR$1570,BR1369,$AV$7:$AV$1570,"&gt;"&amp;AV1369)+SUMIFS($AS$7:$AS$1570,$BR$7:$BR$1570,BR1369,$AV$7:$AV$1570,AV1369,$BL$7:$BL$1570,"&lt;="&amp;BL1369),"")</f>
        <v/>
      </c>
      <c r="AX1369" s="65">
        <f>IF(AW1369="",0,MAX(0,MIN(1,(IF(BR1369="L1",Parameter!$K$5,Parameter!$K$6+Parameter!$K$7)-(AW1369-AS1369))/AS1369)))</f>
        <v/>
      </c>
      <c r="AY1369" s="53">
        <f>IF(AC1369&lt;=0,"",IF(BR1369="Aussen","Aussenlager",IF(BR1369="-","Nicht im Lift",IF(AH1369&gt;=1,"Lift",IF(AH1369&lt;=0,"Aussenlager","teilweise")))))</f>
        <v/>
      </c>
      <c r="AZ1369" s="53">
        <f>IF(AK1369&lt;=0,"",IF(BR1369="Aussen","Aussenlager",IF(BR1369="-","Nicht im Lift",IF(AP1369&gt;=1,"Lift",IF(AP1369&lt;=0,"Aussenlager","teilweise")))))</f>
        <v/>
      </c>
      <c r="BA1369" s="53">
        <f>IF(AS1369&lt;=0,"",IF(BR1369="Aussen","Aussenlager",IF(BR1369="-","Nicht im Lift",IF(AX1369&gt;=1,"Lift",IF(AX1369&lt;=0,"Aussenlager","teilweise")))))</f>
        <v/>
      </c>
      <c r="BB1369" s="53">
        <f>IF(A1369="","",IF(BK1369=1,"Neu; ","")&amp;IF(AND(BK1369=0,BF1369&lt;0),"negativer Bestand (Export "&amp;BF1369&amp;"); ","")&amp;IF(I1369&lt;=0,"Kein Verbrauch; ","")&amp;IF(BO1369=1,"Lose – Fläche geschätzt; ","")&amp;IF(G1369&gt;AM1369,"Überbestand "&amp;ROUND(G1369-AM1369,0)&amp;" Stk / CHF "&amp;ROUND((G1369-AM1369)*F1369,0)&amp;"; ","")&amp;IF(AND(BT1369=1,BU1369&lt;BV1369),"MAX &lt; MB+LG; ","")&amp;IF(AND(BZ1369&gt;0,BY1369*10&gt;BZ1369),"zu hoch für Tablar; ","")&amp;IF(AND(BK1369=0,OR(BT1369=1,V1369&lt;&gt;"",S1369&lt;&gt;"",T1369&lt;&gt;"",W1369&lt;&gt;"")),"manuell übersteuert; ","")&amp;IF(AND(BO1369=0,Q1369=0),"Gebinde unbekannt; ","")&amp;IF(AND(BO1369=0,N(T1369)&lt;=0,N(P1369)&lt;=0),"Menge pro Gebinde fehlt (Ist = 1 Gebinde); ","")&amp;BJ1369)</f>
        <v/>
      </c>
      <c r="BC1369" s="53" t="n"/>
      <c r="BD1369" s="53" t="n"/>
      <c r="BE1369" s="61" t="n"/>
      <c r="BF1369" s="55" t="n">
        <v>-2</v>
      </c>
      <c r="BG1369" s="55" t="n">
        <v>2</v>
      </c>
      <c r="BH1369" s="54" t="n">
        <v>-2551.34</v>
      </c>
      <c r="BI1369" s="55" t="n">
        <v>0</v>
      </c>
      <c r="BJ1369" s="53" t="inlineStr"/>
      <c r="BK1369" s="58" t="n">
        <v>0</v>
      </c>
      <c r="BL1369" s="58" t="n">
        <v>1369</v>
      </c>
      <c r="BM1369" s="53">
        <f>IF(S1369&lt;&gt;"",UPPER(TRIM(S1369)),IF(O1369="","LOSE",O1369))</f>
        <v/>
      </c>
      <c r="BN1369" s="55">
        <f>IF(BM1369="LOSE",1,IF(N(T1369)&gt;0,T1369,IF(N(P1369)&gt;0,P1369,MAX(1,G1369))))</f>
        <v/>
      </c>
      <c r="BO1369" s="58">
        <f>IF(BM1369="LOSE",1,0)</f>
        <v/>
      </c>
      <c r="BP1369" s="64">
        <f>IF(BO1369=0,0,IF(N(R1369)&gt;0,R1369,IFERROR(VLOOKUP(D1369,Parameter!$A$35:$C$64,3,0)+0,0)))</f>
        <v/>
      </c>
      <c r="BQ1369" s="53">
        <f>IF(V1369&lt;&gt;"",V1369,U1369)</f>
        <v/>
      </c>
      <c r="BR1369" s="53">
        <f>IF(BQ1369=1,"L1",IF(OR(BQ1369=2,BQ1369=3),"L23",IF(BQ1369="Aussen","Aussen","-")))</f>
        <v/>
      </c>
      <c r="BS1369" s="66">
        <f>IF(N(W1369)&gt;0,W1369,0)</f>
        <v/>
      </c>
      <c r="BT1369" s="58">
        <f>IF(ISNUMBER(Z1369),1,0)</f>
        <v/>
      </c>
      <c r="BU1369" s="55">
        <f>N(Z1369)</f>
        <v/>
      </c>
      <c r="BV1369" s="55">
        <f>N(L1369)+N(M1369)</f>
        <v/>
      </c>
      <c r="BW1369" s="55">
        <f>ROUNDUP(G1369/BN1369,0)</f>
        <v/>
      </c>
      <c r="BX1369" s="55">
        <f>ROUNDUP(BU1369/BN1369,0)</f>
        <v/>
      </c>
      <c r="BY1369" s="58">
        <f>IF(BO1369=1,0,IFERROR(VLOOKUP(BM1369,'Gebinde-Kategorie'!$A$5:$G$45,5,0)+0,0))</f>
        <v/>
      </c>
      <c r="BZ1369" s="58">
        <f>IFERROR(IF(OR(BQ1369=1,BQ1369=2,BQ1369=3),N(INDEX(Parameter!$I$5:$I$7,BQ1369)),0),0)</f>
        <v/>
      </c>
    </row>
    <row r="1370">
      <c r="A1370" s="53" t="inlineStr">
        <is>
          <t>108072</t>
        </is>
      </c>
      <c r="B1370" s="53" t="inlineStr">
        <is>
          <t>Palettenbox SPGr10 SVC1</t>
        </is>
      </c>
      <c r="C1370" s="53" t="inlineStr">
        <is>
          <t>G</t>
        </is>
      </c>
      <c r="D1370" s="53" t="inlineStr">
        <is>
          <t>PAL</t>
        </is>
      </c>
      <c r="E1370" s="53" t="inlineStr">
        <is>
          <t>C</t>
        </is>
      </c>
      <c r="F1370" s="54" t="n">
        <v>99.31</v>
      </c>
      <c r="G1370" s="55">
        <f>MAX(0,IF(Parameter!$B$20="Jahresanfang 2025 + Export",BG1370+BF1370,BF1370))</f>
        <v/>
      </c>
      <c r="H1370" s="55">
        <f>G1370*F1370</f>
        <v/>
      </c>
      <c r="I1370" s="55">
        <f>BI1370*Parameter!$B$18</f>
        <v/>
      </c>
      <c r="J1370" s="56" t="n">
        <v>21</v>
      </c>
      <c r="K1370" s="57" t="n">
        <v>0</v>
      </c>
      <c r="L1370" s="55" t="n">
        <v>0</v>
      </c>
      <c r="M1370" s="55" t="n">
        <v>1</v>
      </c>
      <c r="N1370" s="58" t="n">
        <v>56</v>
      </c>
      <c r="O1370" s="53" t="inlineStr">
        <is>
          <t>LOSE</t>
        </is>
      </c>
      <c r="P1370" s="55" t="n"/>
      <c r="Q1370" s="59">
        <f>IF(BO1370=1,0,IFERROR(VLOOKUP(BM1370,'Gebinde-Kategorie'!$A$5:$G$45,6,0)+0,0))</f>
        <v/>
      </c>
      <c r="R1370" s="60" t="n"/>
      <c r="S1370" s="61" t="n"/>
      <c r="T1370" s="61" t="n"/>
      <c r="U1370" s="53">
        <f>IF(A1370="","",IF(IFERROR(VLOOKUP(D1370,Parameter!$A$35:$C$64,2,0),"Nein")="2+3",IF(ISNUMBER(SEARCH("grosser Artikel",BJ1370)),2,IFERROR(VLOOKUP(BM1370,Parameter!$F$35:$G$64,2,0),2)),IF(OR(IFERROR(VLOOKUP(D1370,Parameter!$A$35:$C$64,2,0),"Nein")="Nein",IFERROR(VLOOKUP(D1370,Parameter!$A$35:$C$64,2,0),"Nein")=""),"-",VLOOKUP(D1370,Parameter!$A$35:$C$64,2,0))))</f>
        <v/>
      </c>
      <c r="V1370" s="61" t="n"/>
      <c r="W1370" s="62" t="n"/>
      <c r="X1370" s="55">
        <f>AM1370</f>
        <v/>
      </c>
      <c r="Y1370" s="55">
        <f>MAX(AM1370,G1370)</f>
        <v/>
      </c>
      <c r="Z1370" s="63" t="n"/>
      <c r="AA1370" s="55">
        <f>IF(LEFT(Cockpit!$C$5,1)="A",G1370,IF(BT1370=1,BU1370,IF(LEFT(Cockpit!$C$5,1)="B",AE1370,MAX(AE1370,G1370))))</f>
        <v/>
      </c>
      <c r="AB1370" s="55">
        <f>IF(BO1370=1,0,ROUNDUP(AA1370/BN1370,0))</f>
        <v/>
      </c>
      <c r="AC1370" s="64">
        <f>IF(BO1370=1,IF(AA1370&lt;=0,0,BP1370*MAX(1,IF(G1370&gt;0,AA1370/G1370,1))),AB1370*Q1370)</f>
        <v/>
      </c>
      <c r="AD1370" s="55">
        <f>AA1370*F1370</f>
        <v/>
      </c>
      <c r="AE1370" s="55">
        <f>ROUNDUP(MAX(I1370/IF(BS1370&gt;0,BS1370,MAX(0.1,N(Cockpit!$C$6))),BV1370)/BN1370,0)*BN1370</f>
        <v/>
      </c>
      <c r="AF1370" s="56">
        <f>IF(AC1370&gt;0,I1370/AC1370,-1)</f>
        <v/>
      </c>
      <c r="AG1370" s="56">
        <f>IF(AND(OR(BR1370="L1",BR1370="L23"),AC1370&gt;0),SUMIFS($AC$7:$AC$1570,$BR$7:$BR$1570,BR1370,$AF$7:$AF$1570,"&gt;"&amp;AF1370)+SUMIFS($AC$7:$AC$1570,$BR$7:$BR$1570,BR1370,$AF$7:$AF$1570,AF1370,$BL$7:$BL$1570,"&lt;="&amp;BL1370),"")</f>
        <v/>
      </c>
      <c r="AH1370" s="65">
        <f>IF(AG1370="",0,MAX(0,MIN(1,(IF(BR1370="L1",Parameter!$K$5,Parameter!$K$6+Parameter!$K$7)-(AG1370-AC1370))/AC1370)))</f>
        <v/>
      </c>
      <c r="AI1370" s="55">
        <f>IF(LEFT(Cockpit!$I$5,1)="A",G1370,IF(BT1370=1,BU1370,IF(LEFT(Cockpit!$I$5,1)="B",AM1370,MAX(AM1370,G1370))))</f>
        <v/>
      </c>
      <c r="AJ1370" s="55">
        <f>IF(BO1370=1,0,ROUNDUP(AI1370/BN1370,0))</f>
        <v/>
      </c>
      <c r="AK1370" s="64">
        <f>IF(BO1370=1,IF(AI1370&lt;=0,0,BP1370*MAX(1,IF(G1370&gt;0,AI1370/G1370,1))),AJ1370*Q1370)</f>
        <v/>
      </c>
      <c r="AL1370" s="55">
        <f>AI1370*F1370</f>
        <v/>
      </c>
      <c r="AM1370" s="55">
        <f>ROUNDUP(MAX(I1370/IF(BS1370&gt;0,BS1370,MAX(0.1,N(Cockpit!$I$6))),BV1370)/BN1370,0)*BN1370</f>
        <v/>
      </c>
      <c r="AN1370" s="56">
        <f>IF(AK1370&gt;0,I1370/AK1370,-1)</f>
        <v/>
      </c>
      <c r="AO1370" s="56">
        <f>IF(AND(OR(BR1370="L1",BR1370="L23"),AK1370&gt;0),SUMIFS($AK$7:$AK$1570,$BR$7:$BR$1570,BR1370,$AN$7:$AN$1570,"&gt;"&amp;AN1370)+SUMIFS($AK$7:$AK$1570,$BR$7:$BR$1570,BR1370,$AN$7:$AN$1570,AN1370,$BL$7:$BL$1570,"&lt;="&amp;BL1370),"")</f>
        <v/>
      </c>
      <c r="AP1370" s="65">
        <f>IF(AO1370="",0,MAX(0,MIN(1,(IF(BR1370="L1",Parameter!$K$5,Parameter!$K$6+Parameter!$K$7)-(AO1370-AK1370))/AK1370)))</f>
        <v/>
      </c>
      <c r="AQ1370" s="55">
        <f>IF(LEFT(Cockpit!$O$5,1)="A",G1370,IF(BT1370=1,BU1370,IF(LEFT(Cockpit!$O$5,1)="B",AU1370,MAX(AU1370,G1370))))</f>
        <v/>
      </c>
      <c r="AR1370" s="55">
        <f>IF(BO1370=1,0,ROUNDUP(AQ1370/BN1370,0))</f>
        <v/>
      </c>
      <c r="AS1370" s="64">
        <f>IF(BO1370=1,IF(AQ1370&lt;=0,0,BP1370*MAX(1,IF(G1370&gt;0,AQ1370/G1370,1))),AR1370*Q1370)</f>
        <v/>
      </c>
      <c r="AT1370" s="55">
        <f>AQ1370*F1370</f>
        <v/>
      </c>
      <c r="AU1370" s="55">
        <f>ROUNDUP(MAX(I1370/IF(BS1370&gt;0,BS1370,MAX(0.1,N(Cockpit!$O$6))),BV1370)/BN1370,0)*BN1370</f>
        <v/>
      </c>
      <c r="AV1370" s="56">
        <f>IF(AS1370&gt;0,I1370/AS1370,-1)</f>
        <v/>
      </c>
      <c r="AW1370" s="56">
        <f>IF(AND(OR(BR1370="L1",BR1370="L23"),AS1370&gt;0),SUMIFS($AS$7:$AS$1570,$BR$7:$BR$1570,BR1370,$AV$7:$AV$1570,"&gt;"&amp;AV1370)+SUMIFS($AS$7:$AS$1570,$BR$7:$BR$1570,BR1370,$AV$7:$AV$1570,AV1370,$BL$7:$BL$1570,"&lt;="&amp;BL1370),"")</f>
        <v/>
      </c>
      <c r="AX1370" s="65">
        <f>IF(AW1370="",0,MAX(0,MIN(1,(IF(BR1370="L1",Parameter!$K$5,Parameter!$K$6+Parameter!$K$7)-(AW1370-AS1370))/AS1370)))</f>
        <v/>
      </c>
      <c r="AY1370" s="53">
        <f>IF(AC1370&lt;=0,"",IF(BR1370="Aussen","Aussenlager",IF(BR1370="-","Nicht im Lift",IF(AH1370&gt;=1,"Lift",IF(AH1370&lt;=0,"Aussenlager","teilweise")))))</f>
        <v/>
      </c>
      <c r="AZ1370" s="53">
        <f>IF(AK1370&lt;=0,"",IF(BR1370="Aussen","Aussenlager",IF(BR1370="-","Nicht im Lift",IF(AP1370&gt;=1,"Lift",IF(AP1370&lt;=0,"Aussenlager","teilweise")))))</f>
        <v/>
      </c>
      <c r="BA1370" s="53">
        <f>IF(AS1370&lt;=0,"",IF(BR1370="Aussen","Aussenlager",IF(BR1370="-","Nicht im Lift",IF(AX1370&gt;=1,"Lift",IF(AX1370&lt;=0,"Aussenlager","teilweise")))))</f>
        <v/>
      </c>
      <c r="BB1370" s="53">
        <f>IF(A1370="","",IF(BK1370=1,"Neu; ","")&amp;IF(AND(BK1370=0,BF1370&lt;0),"negativer Bestand (Export "&amp;BF1370&amp;"); ","")&amp;IF(I1370&lt;=0,"Kein Verbrauch; ","")&amp;IF(BO1370=1,"Lose – Fläche geschätzt; ","")&amp;IF(G1370&gt;AM1370,"Überbestand "&amp;ROUND(G1370-AM1370,0)&amp;" Stk / CHF "&amp;ROUND((G1370-AM1370)*F1370,0)&amp;"; ","")&amp;IF(AND(BT1370=1,BU1370&lt;BV1370),"MAX &lt; MB+LG; ","")&amp;IF(AND(BZ1370&gt;0,BY1370*10&gt;BZ1370),"zu hoch für Tablar; ","")&amp;IF(AND(BK1370=0,OR(BT1370=1,V1370&lt;&gt;"",S1370&lt;&gt;"",T1370&lt;&gt;"",W1370&lt;&gt;"")),"manuell übersteuert; ","")&amp;IF(AND(BO1370=0,Q1370=0),"Gebinde unbekannt; ","")&amp;IF(AND(BO1370=0,N(T1370)&lt;=0,N(P1370)&lt;=0),"Menge pro Gebinde fehlt (Ist = 1 Gebinde); ","")&amp;BJ1370)</f>
        <v/>
      </c>
      <c r="BC1370" s="53" t="n"/>
      <c r="BD1370" s="53" t="n"/>
      <c r="BE1370" s="61" t="n"/>
      <c r="BF1370" s="55" t="n">
        <v>-26</v>
      </c>
      <c r="BG1370" s="55" t="n">
        <v>26</v>
      </c>
      <c r="BH1370" s="54" t="n">
        <v>-2582.06</v>
      </c>
      <c r="BI1370" s="55" t="n">
        <v>0</v>
      </c>
      <c r="BJ1370" s="53" t="inlineStr"/>
      <c r="BK1370" s="58" t="n">
        <v>0</v>
      </c>
      <c r="BL1370" s="58" t="n">
        <v>1370</v>
      </c>
      <c r="BM1370" s="53">
        <f>IF(S1370&lt;&gt;"",UPPER(TRIM(S1370)),IF(O1370="","LOSE",O1370))</f>
        <v/>
      </c>
      <c r="BN1370" s="55">
        <f>IF(BM1370="LOSE",1,IF(N(T1370)&gt;0,T1370,IF(N(P1370)&gt;0,P1370,MAX(1,G1370))))</f>
        <v/>
      </c>
      <c r="BO1370" s="58">
        <f>IF(BM1370="LOSE",1,0)</f>
        <v/>
      </c>
      <c r="BP1370" s="64">
        <f>IF(BO1370=0,0,IF(N(R1370)&gt;0,R1370,IFERROR(VLOOKUP(D1370,Parameter!$A$35:$C$64,3,0)+0,0)))</f>
        <v/>
      </c>
      <c r="BQ1370" s="53">
        <f>IF(V1370&lt;&gt;"",V1370,U1370)</f>
        <v/>
      </c>
      <c r="BR1370" s="53">
        <f>IF(BQ1370=1,"L1",IF(OR(BQ1370=2,BQ1370=3),"L23",IF(BQ1370="Aussen","Aussen","-")))</f>
        <v/>
      </c>
      <c r="BS1370" s="66">
        <f>IF(N(W1370)&gt;0,W1370,0)</f>
        <v/>
      </c>
      <c r="BT1370" s="58">
        <f>IF(ISNUMBER(Z1370),1,0)</f>
        <v/>
      </c>
      <c r="BU1370" s="55">
        <f>N(Z1370)</f>
        <v/>
      </c>
      <c r="BV1370" s="55">
        <f>N(L1370)+N(M1370)</f>
        <v/>
      </c>
      <c r="BW1370" s="55">
        <f>ROUNDUP(G1370/BN1370,0)</f>
        <v/>
      </c>
      <c r="BX1370" s="55">
        <f>ROUNDUP(BU1370/BN1370,0)</f>
        <v/>
      </c>
      <c r="BY1370" s="58">
        <f>IF(BO1370=1,0,IFERROR(VLOOKUP(BM1370,'Gebinde-Kategorie'!$A$5:$G$45,5,0)+0,0))</f>
        <v/>
      </c>
      <c r="BZ1370" s="58">
        <f>IFERROR(IF(OR(BQ1370=1,BQ1370=2,BQ1370=3),N(INDEX(Parameter!$I$5:$I$7,BQ1370)),0),0)</f>
        <v/>
      </c>
    </row>
    <row r="1371">
      <c r="A1371" s="53" t="inlineStr">
        <is>
          <t>107136</t>
        </is>
      </c>
      <c r="B1371" s="53" t="inlineStr">
        <is>
          <t>Servicepaket AC260-SVC11</t>
        </is>
      </c>
      <c r="C1371" s="53" t="inlineStr">
        <is>
          <t>F</t>
        </is>
      </c>
      <c r="D1371" s="53" t="inlineStr">
        <is>
          <t>KTL</t>
        </is>
      </c>
      <c r="E1371" s="53" t="inlineStr">
        <is>
          <t>C</t>
        </is>
      </c>
      <c r="F1371" s="54" t="n">
        <v>525.8</v>
      </c>
      <c r="G1371" s="55">
        <f>MAX(0,IF(Parameter!$B$20="Jahresanfang 2025 + Export",BG1371+BF1371,BF1371))</f>
        <v/>
      </c>
      <c r="H1371" s="55">
        <f>G1371*F1371</f>
        <v/>
      </c>
      <c r="I1371" s="55">
        <f>BI1371*Parameter!$B$18</f>
        <v/>
      </c>
      <c r="J1371" s="56" t="n">
        <v>8</v>
      </c>
      <c r="K1371" s="57" t="n">
        <v>2.75</v>
      </c>
      <c r="L1371" s="55" t="n">
        <v>1</v>
      </c>
      <c r="M1371" s="55" t="n">
        <v>10</v>
      </c>
      <c r="N1371" s="58" t="n">
        <v>21</v>
      </c>
      <c r="O1371" s="53" t="inlineStr">
        <is>
          <t>S63</t>
        </is>
      </c>
      <c r="P1371" s="55" t="n">
        <v>8</v>
      </c>
      <c r="Q1371" s="59">
        <f>IF(BO1371=1,0,IFERROR(VLOOKUP(BM1371,'Gebinde-Kategorie'!$A$5:$G$45,6,0)+0,0))</f>
        <v/>
      </c>
      <c r="R1371" s="60" t="n"/>
      <c r="S1371" s="61" t="n"/>
      <c r="T1371" s="61" t="n"/>
      <c r="U1371" s="53">
        <f>IF(A1371="","",IF(IFERROR(VLOOKUP(D1371,Parameter!$A$35:$C$64,2,0),"Nein")="2+3",IF(ISNUMBER(SEARCH("grosser Artikel",BJ1371)),2,IFERROR(VLOOKUP(BM1371,Parameter!$F$35:$G$64,2,0),2)),IF(OR(IFERROR(VLOOKUP(D1371,Parameter!$A$35:$C$64,2,0),"Nein")="Nein",IFERROR(VLOOKUP(D1371,Parameter!$A$35:$C$64,2,0),"Nein")=""),"-",VLOOKUP(D1371,Parameter!$A$35:$C$64,2,0))))</f>
        <v/>
      </c>
      <c r="V1371" s="61" t="n"/>
      <c r="W1371" s="62" t="n"/>
      <c r="X1371" s="55">
        <f>AM1371</f>
        <v/>
      </c>
      <c r="Y1371" s="55">
        <f>MAX(AM1371,G1371)</f>
        <v/>
      </c>
      <c r="Z1371" s="63" t="n"/>
      <c r="AA1371" s="55">
        <f>IF(LEFT(Cockpit!$C$5,1)="A",G1371,IF(BT1371=1,BU1371,IF(LEFT(Cockpit!$C$5,1)="B",AE1371,MAX(AE1371,G1371))))</f>
        <v/>
      </c>
      <c r="AB1371" s="55">
        <f>IF(BO1371=1,0,ROUNDUP(AA1371/BN1371,0))</f>
        <v/>
      </c>
      <c r="AC1371" s="64">
        <f>IF(BO1371=1,IF(AA1371&lt;=0,0,BP1371*MAX(1,IF(G1371&gt;0,AA1371/G1371,1))),AB1371*Q1371)</f>
        <v/>
      </c>
      <c r="AD1371" s="55">
        <f>AA1371*F1371</f>
        <v/>
      </c>
      <c r="AE1371" s="55">
        <f>ROUNDUP(MAX(I1371/IF(BS1371&gt;0,BS1371,MAX(0.1,N(Cockpit!$C$6))),BV1371)/BN1371,0)*BN1371</f>
        <v/>
      </c>
      <c r="AF1371" s="56">
        <f>IF(AC1371&gt;0,I1371/AC1371,-1)</f>
        <v/>
      </c>
      <c r="AG1371" s="56">
        <f>IF(AND(OR(BR1371="L1",BR1371="L23"),AC1371&gt;0),SUMIFS($AC$7:$AC$1570,$BR$7:$BR$1570,BR1371,$AF$7:$AF$1570,"&gt;"&amp;AF1371)+SUMIFS($AC$7:$AC$1570,$BR$7:$BR$1570,BR1371,$AF$7:$AF$1570,AF1371,$BL$7:$BL$1570,"&lt;="&amp;BL1371),"")</f>
        <v/>
      </c>
      <c r="AH1371" s="65">
        <f>IF(AG1371="",0,MAX(0,MIN(1,(IF(BR1371="L1",Parameter!$K$5,Parameter!$K$6+Parameter!$K$7)-(AG1371-AC1371))/AC1371)))</f>
        <v/>
      </c>
      <c r="AI1371" s="55">
        <f>IF(LEFT(Cockpit!$I$5,1)="A",G1371,IF(BT1371=1,BU1371,IF(LEFT(Cockpit!$I$5,1)="B",AM1371,MAX(AM1371,G1371))))</f>
        <v/>
      </c>
      <c r="AJ1371" s="55">
        <f>IF(BO1371=1,0,ROUNDUP(AI1371/BN1371,0))</f>
        <v/>
      </c>
      <c r="AK1371" s="64">
        <f>IF(BO1371=1,IF(AI1371&lt;=0,0,BP1371*MAX(1,IF(G1371&gt;0,AI1371/G1371,1))),AJ1371*Q1371)</f>
        <v/>
      </c>
      <c r="AL1371" s="55">
        <f>AI1371*F1371</f>
        <v/>
      </c>
      <c r="AM1371" s="55">
        <f>ROUNDUP(MAX(I1371/IF(BS1371&gt;0,BS1371,MAX(0.1,N(Cockpit!$I$6))),BV1371)/BN1371,0)*BN1371</f>
        <v/>
      </c>
      <c r="AN1371" s="56">
        <f>IF(AK1371&gt;0,I1371/AK1371,-1)</f>
        <v/>
      </c>
      <c r="AO1371" s="56">
        <f>IF(AND(OR(BR1371="L1",BR1371="L23"),AK1371&gt;0),SUMIFS($AK$7:$AK$1570,$BR$7:$BR$1570,BR1371,$AN$7:$AN$1570,"&gt;"&amp;AN1371)+SUMIFS($AK$7:$AK$1570,$BR$7:$BR$1570,BR1371,$AN$7:$AN$1570,AN1371,$BL$7:$BL$1570,"&lt;="&amp;BL1371),"")</f>
        <v/>
      </c>
      <c r="AP1371" s="65">
        <f>IF(AO1371="",0,MAX(0,MIN(1,(IF(BR1371="L1",Parameter!$K$5,Parameter!$K$6+Parameter!$K$7)-(AO1371-AK1371))/AK1371)))</f>
        <v/>
      </c>
      <c r="AQ1371" s="55">
        <f>IF(LEFT(Cockpit!$O$5,1)="A",G1371,IF(BT1371=1,BU1371,IF(LEFT(Cockpit!$O$5,1)="B",AU1371,MAX(AU1371,G1371))))</f>
        <v/>
      </c>
      <c r="AR1371" s="55">
        <f>IF(BO1371=1,0,ROUNDUP(AQ1371/BN1371,0))</f>
        <v/>
      </c>
      <c r="AS1371" s="64">
        <f>IF(BO1371=1,IF(AQ1371&lt;=0,0,BP1371*MAX(1,IF(G1371&gt;0,AQ1371/G1371,1))),AR1371*Q1371)</f>
        <v/>
      </c>
      <c r="AT1371" s="55">
        <f>AQ1371*F1371</f>
        <v/>
      </c>
      <c r="AU1371" s="55">
        <f>ROUNDUP(MAX(I1371/IF(BS1371&gt;0,BS1371,MAX(0.1,N(Cockpit!$O$6))),BV1371)/BN1371,0)*BN1371</f>
        <v/>
      </c>
      <c r="AV1371" s="56">
        <f>IF(AS1371&gt;0,I1371/AS1371,-1)</f>
        <v/>
      </c>
      <c r="AW1371" s="56">
        <f>IF(AND(OR(BR1371="L1",BR1371="L23"),AS1371&gt;0),SUMIFS($AS$7:$AS$1570,$BR$7:$BR$1570,BR1371,$AV$7:$AV$1570,"&gt;"&amp;AV1371)+SUMIFS($AS$7:$AS$1570,$BR$7:$BR$1570,BR1371,$AV$7:$AV$1570,AV1371,$BL$7:$BL$1570,"&lt;="&amp;BL1371),"")</f>
        <v/>
      </c>
      <c r="AX1371" s="65">
        <f>IF(AW1371="",0,MAX(0,MIN(1,(IF(BR1371="L1",Parameter!$K$5,Parameter!$K$6+Parameter!$K$7)-(AW1371-AS1371))/AS1371)))</f>
        <v/>
      </c>
      <c r="AY1371" s="53">
        <f>IF(AC1371&lt;=0,"",IF(BR1371="Aussen","Aussenlager",IF(BR1371="-","Nicht im Lift",IF(AH1371&gt;=1,"Lift",IF(AH1371&lt;=0,"Aussenlager","teilweise")))))</f>
        <v/>
      </c>
      <c r="AZ1371" s="53">
        <f>IF(AK1371&lt;=0,"",IF(BR1371="Aussen","Aussenlager",IF(BR1371="-","Nicht im Lift",IF(AP1371&gt;=1,"Lift",IF(AP1371&lt;=0,"Aussenlager","teilweise")))))</f>
        <v/>
      </c>
      <c r="BA1371" s="53">
        <f>IF(AS1371&lt;=0,"",IF(BR1371="Aussen","Aussenlager",IF(BR1371="-","Nicht im Lift",IF(AX1371&gt;=1,"Lift",IF(AX1371&lt;=0,"Aussenlager","teilweise")))))</f>
        <v/>
      </c>
      <c r="BB1371" s="53">
        <f>IF(A1371="","",IF(BK1371=1,"Neu; ","")&amp;IF(AND(BK1371=0,BF1371&lt;0),"negativer Bestand (Export "&amp;BF1371&amp;"); ","")&amp;IF(I1371&lt;=0,"Kein Verbrauch; ","")&amp;IF(BO1371=1,"Lose – Fläche geschätzt; ","")&amp;IF(G1371&gt;AM1371,"Überbestand "&amp;ROUND(G1371-AM1371,0)&amp;" Stk / CHF "&amp;ROUND((G1371-AM1371)*F1371,0)&amp;"; ","")&amp;IF(AND(BT1371=1,BU1371&lt;BV1371),"MAX &lt; MB+LG; ","")&amp;IF(AND(BZ1371&gt;0,BY1371*10&gt;BZ1371),"zu hoch für Tablar; ","")&amp;IF(AND(BK1371=0,OR(BT1371=1,V1371&lt;&gt;"",S1371&lt;&gt;"",T1371&lt;&gt;"",W1371&lt;&gt;"")),"manuell übersteuert; ","")&amp;IF(AND(BO1371=0,Q1371=0),"Gebinde unbekannt; ","")&amp;IF(AND(BO1371=0,N(T1371)&lt;=0,N(P1371)&lt;=0),"Menge pro Gebinde fehlt (Ist = 1 Gebinde); ","")&amp;BJ1371)</f>
        <v/>
      </c>
      <c r="BC1371" s="53" t="n"/>
      <c r="BD1371" s="53" t="n"/>
      <c r="BE1371" s="61" t="n"/>
      <c r="BF1371" s="55" t="n">
        <v>-6</v>
      </c>
      <c r="BG1371" s="55" t="n">
        <v>8</v>
      </c>
      <c r="BH1371" s="54" t="n">
        <v>-2622.8</v>
      </c>
      <c r="BI1371" s="55" t="n">
        <v>22</v>
      </c>
      <c r="BJ1371" s="53" t="inlineStr"/>
      <c r="BK1371" s="58" t="n">
        <v>0</v>
      </c>
      <c r="BL1371" s="58" t="n">
        <v>1371</v>
      </c>
      <c r="BM1371" s="53">
        <f>IF(S1371&lt;&gt;"",UPPER(TRIM(S1371)),IF(O1371="","LOSE",O1371))</f>
        <v/>
      </c>
      <c r="BN1371" s="55">
        <f>IF(BM1371="LOSE",1,IF(N(T1371)&gt;0,T1371,IF(N(P1371)&gt;0,P1371,MAX(1,G1371))))</f>
        <v/>
      </c>
      <c r="BO1371" s="58">
        <f>IF(BM1371="LOSE",1,0)</f>
        <v/>
      </c>
      <c r="BP1371" s="64">
        <f>IF(BO1371=0,0,IF(N(R1371)&gt;0,R1371,IFERROR(VLOOKUP(D1371,Parameter!$A$35:$C$64,3,0)+0,0)))</f>
        <v/>
      </c>
      <c r="BQ1371" s="53">
        <f>IF(V1371&lt;&gt;"",V1371,U1371)</f>
        <v/>
      </c>
      <c r="BR1371" s="53">
        <f>IF(BQ1371=1,"L1",IF(OR(BQ1371=2,BQ1371=3),"L23",IF(BQ1371="Aussen","Aussen","-")))</f>
        <v/>
      </c>
      <c r="BS1371" s="66">
        <f>IF(N(W1371)&gt;0,W1371,0)</f>
        <v/>
      </c>
      <c r="BT1371" s="58">
        <f>IF(ISNUMBER(Z1371),1,0)</f>
        <v/>
      </c>
      <c r="BU1371" s="55">
        <f>N(Z1371)</f>
        <v/>
      </c>
      <c r="BV1371" s="55">
        <f>N(L1371)+N(M1371)</f>
        <v/>
      </c>
      <c r="BW1371" s="55">
        <f>ROUNDUP(G1371/BN1371,0)</f>
        <v/>
      </c>
      <c r="BX1371" s="55">
        <f>ROUNDUP(BU1371/BN1371,0)</f>
        <v/>
      </c>
      <c r="BY1371" s="58">
        <f>IF(BO1371=1,0,IFERROR(VLOOKUP(BM1371,'Gebinde-Kategorie'!$A$5:$G$45,5,0)+0,0))</f>
        <v/>
      </c>
      <c r="BZ1371" s="58">
        <f>IFERROR(IF(OR(BQ1371=1,BQ1371=2,BQ1371=3),N(INDEX(Parameter!$I$5:$I$7,BQ1371)),0),0)</f>
        <v/>
      </c>
    </row>
    <row r="1372">
      <c r="A1372" s="53" t="inlineStr">
        <is>
          <t>107016</t>
        </is>
      </c>
      <c r="B1372" s="53" t="inlineStr">
        <is>
          <t>Speichereinheit SU80-2</t>
        </is>
      </c>
      <c r="C1372" s="53" t="inlineStr">
        <is>
          <t>F</t>
        </is>
      </c>
      <c r="D1372" s="53" t="inlineStr">
        <is>
          <t>PAL</t>
        </is>
      </c>
      <c r="E1372" s="53" t="inlineStr">
        <is>
          <t>C</t>
        </is>
      </c>
      <c r="F1372" s="54" t="n">
        <v>3599.65</v>
      </c>
      <c r="G1372" s="55">
        <f>MAX(0,IF(Parameter!$B$20="Jahresanfang 2025 + Export",BG1372+BF1372,BF1372))</f>
        <v/>
      </c>
      <c r="H1372" s="55">
        <f>G1372*F1372</f>
        <v/>
      </c>
      <c r="I1372" s="55">
        <f>BI1372*Parameter!$B$18</f>
        <v/>
      </c>
      <c r="J1372" s="56" t="n">
        <v>8</v>
      </c>
      <c r="K1372" s="57" t="n">
        <v>1.625</v>
      </c>
      <c r="L1372" s="55" t="n">
        <v>0</v>
      </c>
      <c r="M1372" s="55" t="n">
        <v>1</v>
      </c>
      <c r="N1372" s="58" t="n">
        <v>60</v>
      </c>
      <c r="O1372" s="53" t="inlineStr">
        <is>
          <t>LOSE</t>
        </is>
      </c>
      <c r="P1372" s="55" t="n"/>
      <c r="Q1372" s="59">
        <f>IF(BO1372=1,0,IFERROR(VLOOKUP(BM1372,'Gebinde-Kategorie'!$A$5:$G$45,6,0)+0,0))</f>
        <v/>
      </c>
      <c r="R1372" s="60" t="n"/>
      <c r="S1372" s="61" t="n"/>
      <c r="T1372" s="61" t="n"/>
      <c r="U1372" s="53">
        <f>IF(A1372="","",IF(IFERROR(VLOOKUP(D1372,Parameter!$A$35:$C$64,2,0),"Nein")="2+3",IF(ISNUMBER(SEARCH("grosser Artikel",BJ1372)),2,IFERROR(VLOOKUP(BM1372,Parameter!$F$35:$G$64,2,0),2)),IF(OR(IFERROR(VLOOKUP(D1372,Parameter!$A$35:$C$64,2,0),"Nein")="Nein",IFERROR(VLOOKUP(D1372,Parameter!$A$35:$C$64,2,0),"Nein")=""),"-",VLOOKUP(D1372,Parameter!$A$35:$C$64,2,0))))</f>
        <v/>
      </c>
      <c r="V1372" s="61" t="n"/>
      <c r="W1372" s="62" t="n"/>
      <c r="X1372" s="55">
        <f>AM1372</f>
        <v/>
      </c>
      <c r="Y1372" s="55">
        <f>MAX(AM1372,G1372)</f>
        <v/>
      </c>
      <c r="Z1372" s="63" t="n"/>
      <c r="AA1372" s="55">
        <f>IF(LEFT(Cockpit!$C$5,1)="A",G1372,IF(BT1372=1,BU1372,IF(LEFT(Cockpit!$C$5,1)="B",AE1372,MAX(AE1372,G1372))))</f>
        <v/>
      </c>
      <c r="AB1372" s="55">
        <f>IF(BO1372=1,0,ROUNDUP(AA1372/BN1372,0))</f>
        <v/>
      </c>
      <c r="AC1372" s="64">
        <f>IF(BO1372=1,IF(AA1372&lt;=0,0,BP1372*MAX(1,IF(G1372&gt;0,AA1372/G1372,1))),AB1372*Q1372)</f>
        <v/>
      </c>
      <c r="AD1372" s="55">
        <f>AA1372*F1372</f>
        <v/>
      </c>
      <c r="AE1372" s="55">
        <f>ROUNDUP(MAX(I1372/IF(BS1372&gt;0,BS1372,MAX(0.1,N(Cockpit!$C$6))),BV1372)/BN1372,0)*BN1372</f>
        <v/>
      </c>
      <c r="AF1372" s="56">
        <f>IF(AC1372&gt;0,I1372/AC1372,-1)</f>
        <v/>
      </c>
      <c r="AG1372" s="56">
        <f>IF(AND(OR(BR1372="L1",BR1372="L23"),AC1372&gt;0),SUMIFS($AC$7:$AC$1570,$BR$7:$BR$1570,BR1372,$AF$7:$AF$1570,"&gt;"&amp;AF1372)+SUMIFS($AC$7:$AC$1570,$BR$7:$BR$1570,BR1372,$AF$7:$AF$1570,AF1372,$BL$7:$BL$1570,"&lt;="&amp;BL1372),"")</f>
        <v/>
      </c>
      <c r="AH1372" s="65">
        <f>IF(AG1372="",0,MAX(0,MIN(1,(IF(BR1372="L1",Parameter!$K$5,Parameter!$K$6+Parameter!$K$7)-(AG1372-AC1372))/AC1372)))</f>
        <v/>
      </c>
      <c r="AI1372" s="55">
        <f>IF(LEFT(Cockpit!$I$5,1)="A",G1372,IF(BT1372=1,BU1372,IF(LEFT(Cockpit!$I$5,1)="B",AM1372,MAX(AM1372,G1372))))</f>
        <v/>
      </c>
      <c r="AJ1372" s="55">
        <f>IF(BO1372=1,0,ROUNDUP(AI1372/BN1372,0))</f>
        <v/>
      </c>
      <c r="AK1372" s="64">
        <f>IF(BO1372=1,IF(AI1372&lt;=0,0,BP1372*MAX(1,IF(G1372&gt;0,AI1372/G1372,1))),AJ1372*Q1372)</f>
        <v/>
      </c>
      <c r="AL1372" s="55">
        <f>AI1372*F1372</f>
        <v/>
      </c>
      <c r="AM1372" s="55">
        <f>ROUNDUP(MAX(I1372/IF(BS1372&gt;0,BS1372,MAX(0.1,N(Cockpit!$I$6))),BV1372)/BN1372,0)*BN1372</f>
        <v/>
      </c>
      <c r="AN1372" s="56">
        <f>IF(AK1372&gt;0,I1372/AK1372,-1)</f>
        <v/>
      </c>
      <c r="AO1372" s="56">
        <f>IF(AND(OR(BR1372="L1",BR1372="L23"),AK1372&gt;0),SUMIFS($AK$7:$AK$1570,$BR$7:$BR$1570,BR1372,$AN$7:$AN$1570,"&gt;"&amp;AN1372)+SUMIFS($AK$7:$AK$1570,$BR$7:$BR$1570,BR1372,$AN$7:$AN$1570,AN1372,$BL$7:$BL$1570,"&lt;="&amp;BL1372),"")</f>
        <v/>
      </c>
      <c r="AP1372" s="65">
        <f>IF(AO1372="",0,MAX(0,MIN(1,(IF(BR1372="L1",Parameter!$K$5,Parameter!$K$6+Parameter!$K$7)-(AO1372-AK1372))/AK1372)))</f>
        <v/>
      </c>
      <c r="AQ1372" s="55">
        <f>IF(LEFT(Cockpit!$O$5,1)="A",G1372,IF(BT1372=1,BU1372,IF(LEFT(Cockpit!$O$5,1)="B",AU1372,MAX(AU1372,G1372))))</f>
        <v/>
      </c>
      <c r="AR1372" s="55">
        <f>IF(BO1372=1,0,ROUNDUP(AQ1372/BN1372,0))</f>
        <v/>
      </c>
      <c r="AS1372" s="64">
        <f>IF(BO1372=1,IF(AQ1372&lt;=0,0,BP1372*MAX(1,IF(G1372&gt;0,AQ1372/G1372,1))),AR1372*Q1372)</f>
        <v/>
      </c>
      <c r="AT1372" s="55">
        <f>AQ1372*F1372</f>
        <v/>
      </c>
      <c r="AU1372" s="55">
        <f>ROUNDUP(MAX(I1372/IF(BS1372&gt;0,BS1372,MAX(0.1,N(Cockpit!$O$6))),BV1372)/BN1372,0)*BN1372</f>
        <v/>
      </c>
      <c r="AV1372" s="56">
        <f>IF(AS1372&gt;0,I1372/AS1372,-1)</f>
        <v/>
      </c>
      <c r="AW1372" s="56">
        <f>IF(AND(OR(BR1372="L1",BR1372="L23"),AS1372&gt;0),SUMIFS($AS$7:$AS$1570,$BR$7:$BR$1570,BR1372,$AV$7:$AV$1570,"&gt;"&amp;AV1372)+SUMIFS($AS$7:$AS$1570,$BR$7:$BR$1570,BR1372,$AV$7:$AV$1570,AV1372,$BL$7:$BL$1570,"&lt;="&amp;BL1372),"")</f>
        <v/>
      </c>
      <c r="AX1372" s="65">
        <f>IF(AW1372="",0,MAX(0,MIN(1,(IF(BR1372="L1",Parameter!$K$5,Parameter!$K$6+Parameter!$K$7)-(AW1372-AS1372))/AS1372)))</f>
        <v/>
      </c>
      <c r="AY1372" s="53">
        <f>IF(AC1372&lt;=0,"",IF(BR1372="Aussen","Aussenlager",IF(BR1372="-","Nicht im Lift",IF(AH1372&gt;=1,"Lift",IF(AH1372&lt;=0,"Aussenlager","teilweise")))))</f>
        <v/>
      </c>
      <c r="AZ1372" s="53">
        <f>IF(AK1372&lt;=0,"",IF(BR1372="Aussen","Aussenlager",IF(BR1372="-","Nicht im Lift",IF(AP1372&gt;=1,"Lift",IF(AP1372&lt;=0,"Aussenlager","teilweise")))))</f>
        <v/>
      </c>
      <c r="BA1372" s="53">
        <f>IF(AS1372&lt;=0,"",IF(BR1372="Aussen","Aussenlager",IF(BR1372="-","Nicht im Lift",IF(AX1372&gt;=1,"Lift",IF(AX1372&lt;=0,"Aussenlager","teilweise")))))</f>
        <v/>
      </c>
      <c r="BB1372" s="53">
        <f>IF(A1372="","",IF(BK1372=1,"Neu; ","")&amp;IF(AND(BK1372=0,BF1372&lt;0),"negativer Bestand (Export "&amp;BF1372&amp;"); ","")&amp;IF(I1372&lt;=0,"Kein Verbrauch; ","")&amp;IF(BO1372=1,"Lose – Fläche geschätzt; ","")&amp;IF(G1372&gt;AM1372,"Überbestand "&amp;ROUND(G1372-AM1372,0)&amp;" Stk / CHF "&amp;ROUND((G1372-AM1372)*F1372,0)&amp;"; ","")&amp;IF(AND(BT1372=1,BU1372&lt;BV1372),"MAX &lt; MB+LG; ","")&amp;IF(AND(BZ1372&gt;0,BY1372*10&gt;BZ1372),"zu hoch für Tablar; ","")&amp;IF(AND(BK1372=0,OR(BT1372=1,V1372&lt;&gt;"",S1372&lt;&gt;"",T1372&lt;&gt;"",W1372&lt;&gt;"")),"manuell übersteuert; ","")&amp;IF(AND(BO1372=0,Q1372=0),"Gebinde unbekannt; ","")&amp;IF(AND(BO1372=0,N(T1372)&lt;=0,N(P1372)&lt;=0),"Menge pro Gebinde fehlt (Ist = 1 Gebinde); ","")&amp;BJ1372)</f>
        <v/>
      </c>
      <c r="BC1372" s="53" t="n"/>
      <c r="BD1372" s="53" t="n"/>
      <c r="BE1372" s="61" t="n"/>
      <c r="BF1372" s="55" t="n">
        <v>-2</v>
      </c>
      <c r="BG1372" s="55" t="n">
        <v>8</v>
      </c>
      <c r="BH1372" s="54" t="n">
        <v>-2698.840000000019</v>
      </c>
      <c r="BI1372" s="55" t="n">
        <v>13</v>
      </c>
      <c r="BJ1372" s="53" t="inlineStr"/>
      <c r="BK1372" s="58" t="n">
        <v>0</v>
      </c>
      <c r="BL1372" s="58" t="n">
        <v>1372</v>
      </c>
      <c r="BM1372" s="53">
        <f>IF(S1372&lt;&gt;"",UPPER(TRIM(S1372)),IF(O1372="","LOSE",O1372))</f>
        <v/>
      </c>
      <c r="BN1372" s="55">
        <f>IF(BM1372="LOSE",1,IF(N(T1372)&gt;0,T1372,IF(N(P1372)&gt;0,P1372,MAX(1,G1372))))</f>
        <v/>
      </c>
      <c r="BO1372" s="58">
        <f>IF(BM1372="LOSE",1,0)</f>
        <v/>
      </c>
      <c r="BP1372" s="64">
        <f>IF(BO1372=0,0,IF(N(R1372)&gt;0,R1372,IFERROR(VLOOKUP(D1372,Parameter!$A$35:$C$64,3,0)+0,0)))</f>
        <v/>
      </c>
      <c r="BQ1372" s="53">
        <f>IF(V1372&lt;&gt;"",V1372,U1372)</f>
        <v/>
      </c>
      <c r="BR1372" s="53">
        <f>IF(BQ1372=1,"L1",IF(OR(BQ1372=2,BQ1372=3),"L23",IF(BQ1372="Aussen","Aussen","-")))</f>
        <v/>
      </c>
      <c r="BS1372" s="66">
        <f>IF(N(W1372)&gt;0,W1372,0)</f>
        <v/>
      </c>
      <c r="BT1372" s="58">
        <f>IF(ISNUMBER(Z1372),1,0)</f>
        <v/>
      </c>
      <c r="BU1372" s="55">
        <f>N(Z1372)</f>
        <v/>
      </c>
      <c r="BV1372" s="55">
        <f>N(L1372)+N(M1372)</f>
        <v/>
      </c>
      <c r="BW1372" s="55">
        <f>ROUNDUP(G1372/BN1372,0)</f>
        <v/>
      </c>
      <c r="BX1372" s="55">
        <f>ROUNDUP(BU1372/BN1372,0)</f>
        <v/>
      </c>
      <c r="BY1372" s="58">
        <f>IF(BO1372=1,0,IFERROR(VLOOKUP(BM1372,'Gebinde-Kategorie'!$A$5:$G$45,5,0)+0,0))</f>
        <v/>
      </c>
      <c r="BZ1372" s="58">
        <f>IFERROR(IF(OR(BQ1372=1,BQ1372=2,BQ1372=3),N(INDEX(Parameter!$I$5:$I$7,BQ1372)),0),0)</f>
        <v/>
      </c>
    </row>
    <row r="1373">
      <c r="A1373" s="53" t="inlineStr">
        <is>
          <t>005711</t>
        </is>
      </c>
      <c r="B1373" s="53" t="inlineStr">
        <is>
          <t>Temperaturmessumformer</t>
        </is>
      </c>
      <c r="C1373" s="53" t="inlineStr">
        <is>
          <t>F</t>
        </is>
      </c>
      <c r="D1373" s="53" t="inlineStr">
        <is>
          <t>KTL</t>
        </is>
      </c>
      <c r="E1373" s="53" t="inlineStr">
        <is>
          <t>C</t>
        </is>
      </c>
      <c r="F1373" s="54" t="n">
        <v>208.24</v>
      </c>
      <c r="G1373" s="55">
        <f>MAX(0,IF(Parameter!$B$20="Jahresanfang 2025 + Export",BG1373+BF1373,BF1373))</f>
        <v/>
      </c>
      <c r="H1373" s="55">
        <f>G1373*F1373</f>
        <v/>
      </c>
      <c r="I1373" s="55">
        <f>BI1373*Parameter!$B$18</f>
        <v/>
      </c>
      <c r="J1373" s="56" t="n">
        <v>10</v>
      </c>
      <c r="K1373" s="57" t="n">
        <v>0.6</v>
      </c>
      <c r="L1373" s="55" t="n">
        <v>0</v>
      </c>
      <c r="M1373" s="55" t="n">
        <v>5</v>
      </c>
      <c r="N1373" s="58" t="n">
        <v>21</v>
      </c>
      <c r="O1373" s="53" t="inlineStr">
        <is>
          <t>S33</t>
        </is>
      </c>
      <c r="P1373" s="55" t="n">
        <v>17</v>
      </c>
      <c r="Q1373" s="59">
        <f>IF(BO1373=1,0,IFERROR(VLOOKUP(BM1373,'Gebinde-Kategorie'!$A$5:$G$45,6,0)+0,0))</f>
        <v/>
      </c>
      <c r="R1373" s="60" t="n"/>
      <c r="S1373" s="61" t="n"/>
      <c r="T1373" s="61" t="n"/>
      <c r="U1373" s="53">
        <f>IF(A1373="","",IF(IFERROR(VLOOKUP(D1373,Parameter!$A$35:$C$64,2,0),"Nein")="2+3",IF(ISNUMBER(SEARCH("grosser Artikel",BJ1373)),2,IFERROR(VLOOKUP(BM1373,Parameter!$F$35:$G$64,2,0),2)),IF(OR(IFERROR(VLOOKUP(D1373,Parameter!$A$35:$C$64,2,0),"Nein")="Nein",IFERROR(VLOOKUP(D1373,Parameter!$A$35:$C$64,2,0),"Nein")=""),"-",VLOOKUP(D1373,Parameter!$A$35:$C$64,2,0))))</f>
        <v/>
      </c>
      <c r="V1373" s="61" t="n"/>
      <c r="W1373" s="62" t="n"/>
      <c r="X1373" s="55">
        <f>AM1373</f>
        <v/>
      </c>
      <c r="Y1373" s="55">
        <f>MAX(AM1373,G1373)</f>
        <v/>
      </c>
      <c r="Z1373" s="63" t="n"/>
      <c r="AA1373" s="55">
        <f>IF(LEFT(Cockpit!$C$5,1)="A",G1373,IF(BT1373=1,BU1373,IF(LEFT(Cockpit!$C$5,1)="B",AE1373,MAX(AE1373,G1373))))</f>
        <v/>
      </c>
      <c r="AB1373" s="55">
        <f>IF(BO1373=1,0,ROUNDUP(AA1373/BN1373,0))</f>
        <v/>
      </c>
      <c r="AC1373" s="64">
        <f>IF(BO1373=1,IF(AA1373&lt;=0,0,BP1373*MAX(1,IF(G1373&gt;0,AA1373/G1373,1))),AB1373*Q1373)</f>
        <v/>
      </c>
      <c r="AD1373" s="55">
        <f>AA1373*F1373</f>
        <v/>
      </c>
      <c r="AE1373" s="55">
        <f>ROUNDUP(MAX(I1373/IF(BS1373&gt;0,BS1373,MAX(0.1,N(Cockpit!$C$6))),BV1373)/BN1373,0)*BN1373</f>
        <v/>
      </c>
      <c r="AF1373" s="56">
        <f>IF(AC1373&gt;0,I1373/AC1373,-1)</f>
        <v/>
      </c>
      <c r="AG1373" s="56">
        <f>IF(AND(OR(BR1373="L1",BR1373="L23"),AC1373&gt;0),SUMIFS($AC$7:$AC$1570,$BR$7:$BR$1570,BR1373,$AF$7:$AF$1570,"&gt;"&amp;AF1373)+SUMIFS($AC$7:$AC$1570,$BR$7:$BR$1570,BR1373,$AF$7:$AF$1570,AF1373,$BL$7:$BL$1570,"&lt;="&amp;BL1373),"")</f>
        <v/>
      </c>
      <c r="AH1373" s="65">
        <f>IF(AG1373="",0,MAX(0,MIN(1,(IF(BR1373="L1",Parameter!$K$5,Parameter!$K$6+Parameter!$K$7)-(AG1373-AC1373))/AC1373)))</f>
        <v/>
      </c>
      <c r="AI1373" s="55">
        <f>IF(LEFT(Cockpit!$I$5,1)="A",G1373,IF(BT1373=1,BU1373,IF(LEFT(Cockpit!$I$5,1)="B",AM1373,MAX(AM1373,G1373))))</f>
        <v/>
      </c>
      <c r="AJ1373" s="55">
        <f>IF(BO1373=1,0,ROUNDUP(AI1373/BN1373,0))</f>
        <v/>
      </c>
      <c r="AK1373" s="64">
        <f>IF(BO1373=1,IF(AI1373&lt;=0,0,BP1373*MAX(1,IF(G1373&gt;0,AI1373/G1373,1))),AJ1373*Q1373)</f>
        <v/>
      </c>
      <c r="AL1373" s="55">
        <f>AI1373*F1373</f>
        <v/>
      </c>
      <c r="AM1373" s="55">
        <f>ROUNDUP(MAX(I1373/IF(BS1373&gt;0,BS1373,MAX(0.1,N(Cockpit!$I$6))),BV1373)/BN1373,0)*BN1373</f>
        <v/>
      </c>
      <c r="AN1373" s="56">
        <f>IF(AK1373&gt;0,I1373/AK1373,-1)</f>
        <v/>
      </c>
      <c r="AO1373" s="56">
        <f>IF(AND(OR(BR1373="L1",BR1373="L23"),AK1373&gt;0),SUMIFS($AK$7:$AK$1570,$BR$7:$BR$1570,BR1373,$AN$7:$AN$1570,"&gt;"&amp;AN1373)+SUMIFS($AK$7:$AK$1570,$BR$7:$BR$1570,BR1373,$AN$7:$AN$1570,AN1373,$BL$7:$BL$1570,"&lt;="&amp;BL1373),"")</f>
        <v/>
      </c>
      <c r="AP1373" s="65">
        <f>IF(AO1373="",0,MAX(0,MIN(1,(IF(BR1373="L1",Parameter!$K$5,Parameter!$K$6+Parameter!$K$7)-(AO1373-AK1373))/AK1373)))</f>
        <v/>
      </c>
      <c r="AQ1373" s="55">
        <f>IF(LEFT(Cockpit!$O$5,1)="A",G1373,IF(BT1373=1,BU1373,IF(LEFT(Cockpit!$O$5,1)="B",AU1373,MAX(AU1373,G1373))))</f>
        <v/>
      </c>
      <c r="AR1373" s="55">
        <f>IF(BO1373=1,0,ROUNDUP(AQ1373/BN1373,0))</f>
        <v/>
      </c>
      <c r="AS1373" s="64">
        <f>IF(BO1373=1,IF(AQ1373&lt;=0,0,BP1373*MAX(1,IF(G1373&gt;0,AQ1373/G1373,1))),AR1373*Q1373)</f>
        <v/>
      </c>
      <c r="AT1373" s="55">
        <f>AQ1373*F1373</f>
        <v/>
      </c>
      <c r="AU1373" s="55">
        <f>ROUNDUP(MAX(I1373/IF(BS1373&gt;0,BS1373,MAX(0.1,N(Cockpit!$O$6))),BV1373)/BN1373,0)*BN1373</f>
        <v/>
      </c>
      <c r="AV1373" s="56">
        <f>IF(AS1373&gt;0,I1373/AS1373,-1)</f>
        <v/>
      </c>
      <c r="AW1373" s="56">
        <f>IF(AND(OR(BR1373="L1",BR1373="L23"),AS1373&gt;0),SUMIFS($AS$7:$AS$1570,$BR$7:$BR$1570,BR1373,$AV$7:$AV$1570,"&gt;"&amp;AV1373)+SUMIFS($AS$7:$AS$1570,$BR$7:$BR$1570,BR1373,$AV$7:$AV$1570,AV1373,$BL$7:$BL$1570,"&lt;="&amp;BL1373),"")</f>
        <v/>
      </c>
      <c r="AX1373" s="65">
        <f>IF(AW1373="",0,MAX(0,MIN(1,(IF(BR1373="L1",Parameter!$K$5,Parameter!$K$6+Parameter!$K$7)-(AW1373-AS1373))/AS1373)))</f>
        <v/>
      </c>
      <c r="AY1373" s="53">
        <f>IF(AC1373&lt;=0,"",IF(BR1373="Aussen","Aussenlager",IF(BR1373="-","Nicht im Lift",IF(AH1373&gt;=1,"Lift",IF(AH1373&lt;=0,"Aussenlager","teilweise")))))</f>
        <v/>
      </c>
      <c r="AZ1373" s="53">
        <f>IF(AK1373&lt;=0,"",IF(BR1373="Aussen","Aussenlager",IF(BR1373="-","Nicht im Lift",IF(AP1373&gt;=1,"Lift",IF(AP1373&lt;=0,"Aussenlager","teilweise")))))</f>
        <v/>
      </c>
      <c r="BA1373" s="53">
        <f>IF(AS1373&lt;=0,"",IF(BR1373="Aussen","Aussenlager",IF(BR1373="-","Nicht im Lift",IF(AX1373&gt;=1,"Lift",IF(AX1373&lt;=0,"Aussenlager","teilweise")))))</f>
        <v/>
      </c>
      <c r="BB1373" s="53">
        <f>IF(A1373="","",IF(BK1373=1,"Neu; ","")&amp;IF(AND(BK1373=0,BF1373&lt;0),"negativer Bestand (Export "&amp;BF1373&amp;"); ","")&amp;IF(I1373&lt;=0,"Kein Verbrauch; ","")&amp;IF(BO1373=1,"Lose – Fläche geschätzt; ","")&amp;IF(G1373&gt;AM1373,"Überbestand "&amp;ROUND(G1373-AM1373,0)&amp;" Stk / CHF "&amp;ROUND((G1373-AM1373)*F1373,0)&amp;"; ","")&amp;IF(AND(BT1373=1,BU1373&lt;BV1373),"MAX &lt; MB+LG; ","")&amp;IF(AND(BZ1373&gt;0,BY1373*10&gt;BZ1373),"zu hoch für Tablar; ","")&amp;IF(AND(BK1373=0,OR(BT1373=1,V1373&lt;&gt;"",S1373&lt;&gt;"",T1373&lt;&gt;"",W1373&lt;&gt;"")),"manuell übersteuert; ","")&amp;IF(AND(BO1373=0,Q1373=0),"Gebinde unbekannt; ","")&amp;IF(AND(BO1373=0,N(T1373)&lt;=0,N(P1373)&lt;=0),"Menge pro Gebinde fehlt (Ist = 1 Gebinde); ","")&amp;BJ1373)</f>
        <v/>
      </c>
      <c r="BC1373" s="53" t="n"/>
      <c r="BD1373" s="53" t="n"/>
      <c r="BE1373" s="61" t="n"/>
      <c r="BF1373" s="55" t="n">
        <v>-13</v>
      </c>
      <c r="BG1373" s="55" t="n">
        <v>14</v>
      </c>
      <c r="BH1373" s="54" t="n">
        <v>-2707.12</v>
      </c>
      <c r="BI1373" s="55" t="n">
        <v>6</v>
      </c>
      <c r="BJ1373" s="53" t="inlineStr"/>
      <c r="BK1373" s="58" t="n">
        <v>0</v>
      </c>
      <c r="BL1373" s="58" t="n">
        <v>1373</v>
      </c>
      <c r="BM1373" s="53">
        <f>IF(S1373&lt;&gt;"",UPPER(TRIM(S1373)),IF(O1373="","LOSE",O1373))</f>
        <v/>
      </c>
      <c r="BN1373" s="55">
        <f>IF(BM1373="LOSE",1,IF(N(T1373)&gt;0,T1373,IF(N(P1373)&gt;0,P1373,MAX(1,G1373))))</f>
        <v/>
      </c>
      <c r="BO1373" s="58">
        <f>IF(BM1373="LOSE",1,0)</f>
        <v/>
      </c>
      <c r="BP1373" s="64">
        <f>IF(BO1373=0,0,IF(N(R1373)&gt;0,R1373,IFERROR(VLOOKUP(D1373,Parameter!$A$35:$C$64,3,0)+0,0)))</f>
        <v/>
      </c>
      <c r="BQ1373" s="53">
        <f>IF(V1373&lt;&gt;"",V1373,U1373)</f>
        <v/>
      </c>
      <c r="BR1373" s="53">
        <f>IF(BQ1373=1,"L1",IF(OR(BQ1373=2,BQ1373=3),"L23",IF(BQ1373="Aussen","Aussen","-")))</f>
        <v/>
      </c>
      <c r="BS1373" s="66">
        <f>IF(N(W1373)&gt;0,W1373,0)</f>
        <v/>
      </c>
      <c r="BT1373" s="58">
        <f>IF(ISNUMBER(Z1373),1,0)</f>
        <v/>
      </c>
      <c r="BU1373" s="55">
        <f>N(Z1373)</f>
        <v/>
      </c>
      <c r="BV1373" s="55">
        <f>N(L1373)+N(M1373)</f>
        <v/>
      </c>
      <c r="BW1373" s="55">
        <f>ROUNDUP(G1373/BN1373,0)</f>
        <v/>
      </c>
      <c r="BX1373" s="55">
        <f>ROUNDUP(BU1373/BN1373,0)</f>
        <v/>
      </c>
      <c r="BY1373" s="58">
        <f>IF(BO1373=1,0,IFERROR(VLOOKUP(BM1373,'Gebinde-Kategorie'!$A$5:$G$45,5,0)+0,0))</f>
        <v/>
      </c>
      <c r="BZ1373" s="58">
        <f>IFERROR(IF(OR(BQ1373=1,BQ1373=2,BQ1373=3),N(INDEX(Parameter!$I$5:$I$7,BQ1373)),0),0)</f>
        <v/>
      </c>
    </row>
    <row r="1374">
      <c r="A1374" s="53" t="inlineStr">
        <is>
          <t>100151</t>
        </is>
      </c>
      <c r="B1374" s="53" t="inlineStr">
        <is>
          <t>Ventilgehäuse</t>
        </is>
      </c>
      <c r="C1374" s="53" t="inlineStr">
        <is>
          <t>F</t>
        </is>
      </c>
      <c r="D1374" s="53" t="inlineStr">
        <is>
          <t>PAL</t>
        </is>
      </c>
      <c r="E1374" s="53" t="inlineStr">
        <is>
          <t>C</t>
        </is>
      </c>
      <c r="F1374" s="54" t="n">
        <v>1780.49</v>
      </c>
      <c r="G1374" s="55">
        <f>MAX(0,IF(Parameter!$B$20="Jahresanfang 2025 + Export",BG1374+BF1374,BF1374))</f>
        <v/>
      </c>
      <c r="H1374" s="55">
        <f>G1374*F1374</f>
        <v/>
      </c>
      <c r="I1374" s="55">
        <f>BI1374*Parameter!$B$18</f>
        <v/>
      </c>
      <c r="J1374" s="56" t="n">
        <v>11</v>
      </c>
      <c r="K1374" s="57" t="n">
        <v>7.909090909090909</v>
      </c>
      <c r="L1374" s="55" t="n">
        <v>5</v>
      </c>
      <c r="M1374" s="55" t="n">
        <v>15</v>
      </c>
      <c r="N1374" s="58" t="n">
        <v>21</v>
      </c>
      <c r="O1374" s="53" t="inlineStr">
        <is>
          <t>S71</t>
        </is>
      </c>
      <c r="P1374" s="55" t="n">
        <v>8</v>
      </c>
      <c r="Q1374" s="59">
        <f>IF(BO1374=1,0,IFERROR(VLOOKUP(BM1374,'Gebinde-Kategorie'!$A$5:$G$45,6,0)+0,0))</f>
        <v/>
      </c>
      <c r="R1374" s="60" t="n"/>
      <c r="S1374" s="61" t="n"/>
      <c r="T1374" s="61" t="n"/>
      <c r="U1374" s="53">
        <f>IF(A1374="","",IF(IFERROR(VLOOKUP(D1374,Parameter!$A$35:$C$64,2,0),"Nein")="2+3",IF(ISNUMBER(SEARCH("grosser Artikel",BJ1374)),2,IFERROR(VLOOKUP(BM1374,Parameter!$F$35:$G$64,2,0),2)),IF(OR(IFERROR(VLOOKUP(D1374,Parameter!$A$35:$C$64,2,0),"Nein")="Nein",IFERROR(VLOOKUP(D1374,Parameter!$A$35:$C$64,2,0),"Nein")=""),"-",VLOOKUP(D1374,Parameter!$A$35:$C$64,2,0))))</f>
        <v/>
      </c>
      <c r="V1374" s="61" t="n"/>
      <c r="W1374" s="62" t="n"/>
      <c r="X1374" s="55">
        <f>AM1374</f>
        <v/>
      </c>
      <c r="Y1374" s="55">
        <f>MAX(AM1374,G1374)</f>
        <v/>
      </c>
      <c r="Z1374" s="63" t="n"/>
      <c r="AA1374" s="55">
        <f>IF(LEFT(Cockpit!$C$5,1)="A",G1374,IF(BT1374=1,BU1374,IF(LEFT(Cockpit!$C$5,1)="B",AE1374,MAX(AE1374,G1374))))</f>
        <v/>
      </c>
      <c r="AB1374" s="55">
        <f>IF(BO1374=1,0,ROUNDUP(AA1374/BN1374,0))</f>
        <v/>
      </c>
      <c r="AC1374" s="64">
        <f>IF(BO1374=1,IF(AA1374&lt;=0,0,BP1374*MAX(1,IF(G1374&gt;0,AA1374/G1374,1))),AB1374*Q1374)</f>
        <v/>
      </c>
      <c r="AD1374" s="55">
        <f>AA1374*F1374</f>
        <v/>
      </c>
      <c r="AE1374" s="55">
        <f>ROUNDUP(MAX(I1374/IF(BS1374&gt;0,BS1374,MAX(0.1,N(Cockpit!$C$6))),BV1374)/BN1374,0)*BN1374</f>
        <v/>
      </c>
      <c r="AF1374" s="56">
        <f>IF(AC1374&gt;0,I1374/AC1374,-1)</f>
        <v/>
      </c>
      <c r="AG1374" s="56">
        <f>IF(AND(OR(BR1374="L1",BR1374="L23"),AC1374&gt;0),SUMIFS($AC$7:$AC$1570,$BR$7:$BR$1570,BR1374,$AF$7:$AF$1570,"&gt;"&amp;AF1374)+SUMIFS($AC$7:$AC$1570,$BR$7:$BR$1570,BR1374,$AF$7:$AF$1570,AF1374,$BL$7:$BL$1570,"&lt;="&amp;BL1374),"")</f>
        <v/>
      </c>
      <c r="AH1374" s="65">
        <f>IF(AG1374="",0,MAX(0,MIN(1,(IF(BR1374="L1",Parameter!$K$5,Parameter!$K$6+Parameter!$K$7)-(AG1374-AC1374))/AC1374)))</f>
        <v/>
      </c>
      <c r="AI1374" s="55">
        <f>IF(LEFT(Cockpit!$I$5,1)="A",G1374,IF(BT1374=1,BU1374,IF(LEFT(Cockpit!$I$5,1)="B",AM1374,MAX(AM1374,G1374))))</f>
        <v/>
      </c>
      <c r="AJ1374" s="55">
        <f>IF(BO1374=1,0,ROUNDUP(AI1374/BN1374,0))</f>
        <v/>
      </c>
      <c r="AK1374" s="64">
        <f>IF(BO1374=1,IF(AI1374&lt;=0,0,BP1374*MAX(1,IF(G1374&gt;0,AI1374/G1374,1))),AJ1374*Q1374)</f>
        <v/>
      </c>
      <c r="AL1374" s="55">
        <f>AI1374*F1374</f>
        <v/>
      </c>
      <c r="AM1374" s="55">
        <f>ROUNDUP(MAX(I1374/IF(BS1374&gt;0,BS1374,MAX(0.1,N(Cockpit!$I$6))),BV1374)/BN1374,0)*BN1374</f>
        <v/>
      </c>
      <c r="AN1374" s="56">
        <f>IF(AK1374&gt;0,I1374/AK1374,-1)</f>
        <v/>
      </c>
      <c r="AO1374" s="56">
        <f>IF(AND(OR(BR1374="L1",BR1374="L23"),AK1374&gt;0),SUMIFS($AK$7:$AK$1570,$BR$7:$BR$1570,BR1374,$AN$7:$AN$1570,"&gt;"&amp;AN1374)+SUMIFS($AK$7:$AK$1570,$BR$7:$BR$1570,BR1374,$AN$7:$AN$1570,AN1374,$BL$7:$BL$1570,"&lt;="&amp;BL1374),"")</f>
        <v/>
      </c>
      <c r="AP1374" s="65">
        <f>IF(AO1374="",0,MAX(0,MIN(1,(IF(BR1374="L1",Parameter!$K$5,Parameter!$K$6+Parameter!$K$7)-(AO1374-AK1374))/AK1374)))</f>
        <v/>
      </c>
      <c r="AQ1374" s="55">
        <f>IF(LEFT(Cockpit!$O$5,1)="A",G1374,IF(BT1374=1,BU1374,IF(LEFT(Cockpit!$O$5,1)="B",AU1374,MAX(AU1374,G1374))))</f>
        <v/>
      </c>
      <c r="AR1374" s="55">
        <f>IF(BO1374=1,0,ROUNDUP(AQ1374/BN1374,0))</f>
        <v/>
      </c>
      <c r="AS1374" s="64">
        <f>IF(BO1374=1,IF(AQ1374&lt;=0,0,BP1374*MAX(1,IF(G1374&gt;0,AQ1374/G1374,1))),AR1374*Q1374)</f>
        <v/>
      </c>
      <c r="AT1374" s="55">
        <f>AQ1374*F1374</f>
        <v/>
      </c>
      <c r="AU1374" s="55">
        <f>ROUNDUP(MAX(I1374/IF(BS1374&gt;0,BS1374,MAX(0.1,N(Cockpit!$O$6))),BV1374)/BN1374,0)*BN1374</f>
        <v/>
      </c>
      <c r="AV1374" s="56">
        <f>IF(AS1374&gt;0,I1374/AS1374,-1)</f>
        <v/>
      </c>
      <c r="AW1374" s="56">
        <f>IF(AND(OR(BR1374="L1",BR1374="L23"),AS1374&gt;0),SUMIFS($AS$7:$AS$1570,$BR$7:$BR$1570,BR1374,$AV$7:$AV$1570,"&gt;"&amp;AV1374)+SUMIFS($AS$7:$AS$1570,$BR$7:$BR$1570,BR1374,$AV$7:$AV$1570,AV1374,$BL$7:$BL$1570,"&lt;="&amp;BL1374),"")</f>
        <v/>
      </c>
      <c r="AX1374" s="65">
        <f>IF(AW1374="",0,MAX(0,MIN(1,(IF(BR1374="L1",Parameter!$K$5,Parameter!$K$6+Parameter!$K$7)-(AW1374-AS1374))/AS1374)))</f>
        <v/>
      </c>
      <c r="AY1374" s="53">
        <f>IF(AC1374&lt;=0,"",IF(BR1374="Aussen","Aussenlager",IF(BR1374="-","Nicht im Lift",IF(AH1374&gt;=1,"Lift",IF(AH1374&lt;=0,"Aussenlager","teilweise")))))</f>
        <v/>
      </c>
      <c r="AZ1374" s="53">
        <f>IF(AK1374&lt;=0,"",IF(BR1374="Aussen","Aussenlager",IF(BR1374="-","Nicht im Lift",IF(AP1374&gt;=1,"Lift",IF(AP1374&lt;=0,"Aussenlager","teilweise")))))</f>
        <v/>
      </c>
      <c r="BA1374" s="53">
        <f>IF(AS1374&lt;=0,"",IF(BR1374="Aussen","Aussenlager",IF(BR1374="-","Nicht im Lift",IF(AX1374&gt;=1,"Lift",IF(AX1374&lt;=0,"Aussenlager","teilweise")))))</f>
        <v/>
      </c>
      <c r="BB1374" s="53">
        <f>IF(A1374="","",IF(BK1374=1,"Neu; ","")&amp;IF(AND(BK1374=0,BF1374&lt;0),"negativer Bestand (Export "&amp;BF1374&amp;"); ","")&amp;IF(I1374&lt;=0,"Kein Verbrauch; ","")&amp;IF(BO1374=1,"Lose – Fläche geschätzt; ","")&amp;IF(G1374&gt;AM1374,"Überbestand "&amp;ROUND(G1374-AM1374,0)&amp;" Stk / CHF "&amp;ROUND((G1374-AM1374)*F1374,0)&amp;"; ","")&amp;IF(AND(BT1374=1,BU1374&lt;BV1374),"MAX &lt; MB+LG; ","")&amp;IF(AND(BZ1374&gt;0,BY1374*10&gt;BZ1374),"zu hoch für Tablar; ","")&amp;IF(AND(BK1374=0,OR(BT1374=1,V1374&lt;&gt;"",S1374&lt;&gt;"",T1374&lt;&gt;"",W1374&lt;&gt;"")),"manuell übersteuert; ","")&amp;IF(AND(BO1374=0,Q1374=0),"Gebinde unbekannt; ","")&amp;IF(AND(BO1374=0,N(T1374)&lt;=0,N(P1374)&lt;=0),"Menge pro Gebinde fehlt (Ist = 1 Gebinde); ","")&amp;BJ1374)</f>
        <v/>
      </c>
      <c r="BC1374" s="53" t="n"/>
      <c r="BD1374" s="53" t="n"/>
      <c r="BE1374" s="61" t="n"/>
      <c r="BF1374" s="55" t="n">
        <v>0</v>
      </c>
      <c r="BG1374" s="55" t="n">
        <v>10</v>
      </c>
      <c r="BH1374" s="54" t="n">
        <v>-2746.34999999998</v>
      </c>
      <c r="BI1374" s="55" t="n">
        <v>87</v>
      </c>
      <c r="BJ1374" s="53" t="inlineStr"/>
      <c r="BK1374" s="58" t="n">
        <v>0</v>
      </c>
      <c r="BL1374" s="58" t="n">
        <v>1374</v>
      </c>
      <c r="BM1374" s="53">
        <f>IF(S1374&lt;&gt;"",UPPER(TRIM(S1374)),IF(O1374="","LOSE",O1374))</f>
        <v/>
      </c>
      <c r="BN1374" s="55">
        <f>IF(BM1374="LOSE",1,IF(N(T1374)&gt;0,T1374,IF(N(P1374)&gt;0,P1374,MAX(1,G1374))))</f>
        <v/>
      </c>
      <c r="BO1374" s="58">
        <f>IF(BM1374="LOSE",1,0)</f>
        <v/>
      </c>
      <c r="BP1374" s="64">
        <f>IF(BO1374=0,0,IF(N(R1374)&gt;0,R1374,IFERROR(VLOOKUP(D1374,Parameter!$A$35:$C$64,3,0)+0,0)))</f>
        <v/>
      </c>
      <c r="BQ1374" s="53">
        <f>IF(V1374&lt;&gt;"",V1374,U1374)</f>
        <v/>
      </c>
      <c r="BR1374" s="53">
        <f>IF(BQ1374=1,"L1",IF(OR(BQ1374=2,BQ1374=3),"L23",IF(BQ1374="Aussen","Aussen","-")))</f>
        <v/>
      </c>
      <c r="BS1374" s="66">
        <f>IF(N(W1374)&gt;0,W1374,0)</f>
        <v/>
      </c>
      <c r="BT1374" s="58">
        <f>IF(ISNUMBER(Z1374),1,0)</f>
        <v/>
      </c>
      <c r="BU1374" s="55">
        <f>N(Z1374)</f>
        <v/>
      </c>
      <c r="BV1374" s="55">
        <f>N(L1374)+N(M1374)</f>
        <v/>
      </c>
      <c r="BW1374" s="55">
        <f>ROUNDUP(G1374/BN1374,0)</f>
        <v/>
      </c>
      <c r="BX1374" s="55">
        <f>ROUNDUP(BU1374/BN1374,0)</f>
        <v/>
      </c>
      <c r="BY1374" s="58">
        <f>IF(BO1374=1,0,IFERROR(VLOOKUP(BM1374,'Gebinde-Kategorie'!$A$5:$G$45,5,0)+0,0))</f>
        <v/>
      </c>
      <c r="BZ1374" s="58">
        <f>IFERROR(IF(OR(BQ1374=1,BQ1374=2,BQ1374=3),N(INDEX(Parameter!$I$5:$I$7,BQ1374)),0),0)</f>
        <v/>
      </c>
    </row>
    <row r="1375">
      <c r="A1375" s="53" t="inlineStr">
        <is>
          <t>101428</t>
        </is>
      </c>
      <c r="B1375" s="53" t="inlineStr">
        <is>
          <t>Rohr Anschweissstück</t>
        </is>
      </c>
      <c r="C1375" s="53" t="inlineStr">
        <is>
          <t>F</t>
        </is>
      </c>
      <c r="D1375" s="53" t="inlineStr">
        <is>
          <t>LIFT1</t>
        </is>
      </c>
      <c r="E1375" s="53" t="inlineStr">
        <is>
          <t>C</t>
        </is>
      </c>
      <c r="F1375" s="54" t="n">
        <v>1385.5</v>
      </c>
      <c r="G1375" s="55">
        <f>MAX(0,IF(Parameter!$B$20="Jahresanfang 2025 + Export",BG1375+BF1375,BF1375))</f>
        <v/>
      </c>
      <c r="H1375" s="55">
        <f>G1375*F1375</f>
        <v/>
      </c>
      <c r="I1375" s="55">
        <f>BI1375*Parameter!$B$18</f>
        <v/>
      </c>
      <c r="J1375" s="56" t="n">
        <v>2.5</v>
      </c>
      <c r="K1375" s="57" t="n">
        <v>0.4</v>
      </c>
      <c r="L1375" s="55" t="n">
        <v>0</v>
      </c>
      <c r="M1375" s="55" t="n">
        <v>1</v>
      </c>
      <c r="N1375" s="58" t="n">
        <v>14</v>
      </c>
      <c r="O1375" s="53" t="inlineStr">
        <is>
          <t>LOSE</t>
        </is>
      </c>
      <c r="P1375" s="55" t="n"/>
      <c r="Q1375" s="59">
        <f>IF(BO1375=1,0,IFERROR(VLOOKUP(BM1375,'Gebinde-Kategorie'!$A$5:$G$45,6,0)+0,0))</f>
        <v/>
      </c>
      <c r="R1375" s="60" t="n"/>
      <c r="S1375" s="61" t="n"/>
      <c r="T1375" s="61" t="n"/>
      <c r="U1375" s="53">
        <f>IF(A1375="","",IF(IFERROR(VLOOKUP(D1375,Parameter!$A$35:$C$64,2,0),"Nein")="2+3",IF(ISNUMBER(SEARCH("grosser Artikel",BJ1375)),2,IFERROR(VLOOKUP(BM1375,Parameter!$F$35:$G$64,2,0),2)),IF(OR(IFERROR(VLOOKUP(D1375,Parameter!$A$35:$C$64,2,0),"Nein")="Nein",IFERROR(VLOOKUP(D1375,Parameter!$A$35:$C$64,2,0),"Nein")=""),"-",VLOOKUP(D1375,Parameter!$A$35:$C$64,2,0))))</f>
        <v/>
      </c>
      <c r="V1375" s="61" t="n"/>
      <c r="W1375" s="62" t="n"/>
      <c r="X1375" s="55">
        <f>AM1375</f>
        <v/>
      </c>
      <c r="Y1375" s="55">
        <f>MAX(AM1375,G1375)</f>
        <v/>
      </c>
      <c r="Z1375" s="63" t="n"/>
      <c r="AA1375" s="55">
        <f>IF(LEFT(Cockpit!$C$5,1)="A",G1375,IF(BT1375=1,BU1375,IF(LEFT(Cockpit!$C$5,1)="B",AE1375,MAX(AE1375,G1375))))</f>
        <v/>
      </c>
      <c r="AB1375" s="55">
        <f>IF(BO1375=1,0,ROUNDUP(AA1375/BN1375,0))</f>
        <v/>
      </c>
      <c r="AC1375" s="64">
        <f>IF(BO1375=1,IF(AA1375&lt;=0,0,BP1375*MAX(1,IF(G1375&gt;0,AA1375/G1375,1))),AB1375*Q1375)</f>
        <v/>
      </c>
      <c r="AD1375" s="55">
        <f>AA1375*F1375</f>
        <v/>
      </c>
      <c r="AE1375" s="55">
        <f>ROUNDUP(MAX(I1375/IF(BS1375&gt;0,BS1375,MAX(0.1,N(Cockpit!$C$6))),BV1375)/BN1375,0)*BN1375</f>
        <v/>
      </c>
      <c r="AF1375" s="56">
        <f>IF(AC1375&gt;0,I1375/AC1375,-1)</f>
        <v/>
      </c>
      <c r="AG1375" s="56">
        <f>IF(AND(OR(BR1375="L1",BR1375="L23"),AC1375&gt;0),SUMIFS($AC$7:$AC$1570,$BR$7:$BR$1570,BR1375,$AF$7:$AF$1570,"&gt;"&amp;AF1375)+SUMIFS($AC$7:$AC$1570,$BR$7:$BR$1570,BR1375,$AF$7:$AF$1570,AF1375,$BL$7:$BL$1570,"&lt;="&amp;BL1375),"")</f>
        <v/>
      </c>
      <c r="AH1375" s="65">
        <f>IF(AG1375="",0,MAX(0,MIN(1,(IF(BR1375="L1",Parameter!$K$5,Parameter!$K$6+Parameter!$K$7)-(AG1375-AC1375))/AC1375)))</f>
        <v/>
      </c>
      <c r="AI1375" s="55">
        <f>IF(LEFT(Cockpit!$I$5,1)="A",G1375,IF(BT1375=1,BU1375,IF(LEFT(Cockpit!$I$5,1)="B",AM1375,MAX(AM1375,G1375))))</f>
        <v/>
      </c>
      <c r="AJ1375" s="55">
        <f>IF(BO1375=1,0,ROUNDUP(AI1375/BN1375,0))</f>
        <v/>
      </c>
      <c r="AK1375" s="64">
        <f>IF(BO1375=1,IF(AI1375&lt;=0,0,BP1375*MAX(1,IF(G1375&gt;0,AI1375/G1375,1))),AJ1375*Q1375)</f>
        <v/>
      </c>
      <c r="AL1375" s="55">
        <f>AI1375*F1375</f>
        <v/>
      </c>
      <c r="AM1375" s="55">
        <f>ROUNDUP(MAX(I1375/IF(BS1375&gt;0,BS1375,MAX(0.1,N(Cockpit!$I$6))),BV1375)/BN1375,0)*BN1375</f>
        <v/>
      </c>
      <c r="AN1375" s="56">
        <f>IF(AK1375&gt;0,I1375/AK1375,-1)</f>
        <v/>
      </c>
      <c r="AO1375" s="56">
        <f>IF(AND(OR(BR1375="L1",BR1375="L23"),AK1375&gt;0),SUMIFS($AK$7:$AK$1570,$BR$7:$BR$1570,BR1375,$AN$7:$AN$1570,"&gt;"&amp;AN1375)+SUMIFS($AK$7:$AK$1570,$BR$7:$BR$1570,BR1375,$AN$7:$AN$1570,AN1375,$BL$7:$BL$1570,"&lt;="&amp;BL1375),"")</f>
        <v/>
      </c>
      <c r="AP1375" s="65">
        <f>IF(AO1375="",0,MAX(0,MIN(1,(IF(BR1375="L1",Parameter!$K$5,Parameter!$K$6+Parameter!$K$7)-(AO1375-AK1375))/AK1375)))</f>
        <v/>
      </c>
      <c r="AQ1375" s="55">
        <f>IF(LEFT(Cockpit!$O$5,1)="A",G1375,IF(BT1375=1,BU1375,IF(LEFT(Cockpit!$O$5,1)="B",AU1375,MAX(AU1375,G1375))))</f>
        <v/>
      </c>
      <c r="AR1375" s="55">
        <f>IF(BO1375=1,0,ROUNDUP(AQ1375/BN1375,0))</f>
        <v/>
      </c>
      <c r="AS1375" s="64">
        <f>IF(BO1375=1,IF(AQ1375&lt;=0,0,BP1375*MAX(1,IF(G1375&gt;0,AQ1375/G1375,1))),AR1375*Q1375)</f>
        <v/>
      </c>
      <c r="AT1375" s="55">
        <f>AQ1375*F1375</f>
        <v/>
      </c>
      <c r="AU1375" s="55">
        <f>ROUNDUP(MAX(I1375/IF(BS1375&gt;0,BS1375,MAX(0.1,N(Cockpit!$O$6))),BV1375)/BN1375,0)*BN1375</f>
        <v/>
      </c>
      <c r="AV1375" s="56">
        <f>IF(AS1375&gt;0,I1375/AS1375,-1)</f>
        <v/>
      </c>
      <c r="AW1375" s="56">
        <f>IF(AND(OR(BR1375="L1",BR1375="L23"),AS1375&gt;0),SUMIFS($AS$7:$AS$1570,$BR$7:$BR$1570,BR1375,$AV$7:$AV$1570,"&gt;"&amp;AV1375)+SUMIFS($AS$7:$AS$1570,$BR$7:$BR$1570,BR1375,$AV$7:$AV$1570,AV1375,$BL$7:$BL$1570,"&lt;="&amp;BL1375),"")</f>
        <v/>
      </c>
      <c r="AX1375" s="65">
        <f>IF(AW1375="",0,MAX(0,MIN(1,(IF(BR1375="L1",Parameter!$K$5,Parameter!$K$6+Parameter!$K$7)-(AW1375-AS1375))/AS1375)))</f>
        <v/>
      </c>
      <c r="AY1375" s="53">
        <f>IF(AC1375&lt;=0,"",IF(BR1375="Aussen","Aussenlager",IF(BR1375="-","Nicht im Lift",IF(AH1375&gt;=1,"Lift",IF(AH1375&lt;=0,"Aussenlager","teilweise")))))</f>
        <v/>
      </c>
      <c r="AZ1375" s="53">
        <f>IF(AK1375&lt;=0,"",IF(BR1375="Aussen","Aussenlager",IF(BR1375="-","Nicht im Lift",IF(AP1375&gt;=1,"Lift",IF(AP1375&lt;=0,"Aussenlager","teilweise")))))</f>
        <v/>
      </c>
      <c r="BA1375" s="53">
        <f>IF(AS1375&lt;=0,"",IF(BR1375="Aussen","Aussenlager",IF(BR1375="-","Nicht im Lift",IF(AX1375&gt;=1,"Lift",IF(AX1375&lt;=0,"Aussenlager","teilweise")))))</f>
        <v/>
      </c>
      <c r="BB1375" s="53">
        <f>IF(A1375="","",IF(BK1375=1,"Neu; ","")&amp;IF(AND(BK1375=0,BF1375&lt;0),"negativer Bestand (Export "&amp;BF1375&amp;"); ","")&amp;IF(I1375&lt;=0,"Kein Verbrauch; ","")&amp;IF(BO1375=1,"Lose – Fläche geschätzt; ","")&amp;IF(G1375&gt;AM1375,"Überbestand "&amp;ROUND(G1375-AM1375,0)&amp;" Stk / CHF "&amp;ROUND((G1375-AM1375)*F1375,0)&amp;"; ","")&amp;IF(AND(BT1375=1,BU1375&lt;BV1375),"MAX &lt; MB+LG; ","")&amp;IF(AND(BZ1375&gt;0,BY1375*10&gt;BZ1375),"zu hoch für Tablar; ","")&amp;IF(AND(BK1375=0,OR(BT1375=1,V1375&lt;&gt;"",S1375&lt;&gt;"",T1375&lt;&gt;"",W1375&lt;&gt;"")),"manuell übersteuert; ","")&amp;IF(AND(BO1375=0,Q1375=0),"Gebinde unbekannt; ","")&amp;IF(AND(BO1375=0,N(T1375)&lt;=0,N(P1375)&lt;=0),"Menge pro Gebinde fehlt (Ist = 1 Gebinde); ","")&amp;BJ1375)</f>
        <v/>
      </c>
      <c r="BC1375" s="53" t="n"/>
      <c r="BD1375" s="53" t="n"/>
      <c r="BE1375" s="61" t="n"/>
      <c r="BF1375" s="55" t="n">
        <v>-2</v>
      </c>
      <c r="BG1375" s="55" t="n">
        <v>3</v>
      </c>
      <c r="BH1375" s="54" t="n">
        <v>-2771</v>
      </c>
      <c r="BI1375" s="55" t="n">
        <v>1</v>
      </c>
      <c r="BJ1375" s="53" t="inlineStr"/>
      <c r="BK1375" s="58" t="n">
        <v>0</v>
      </c>
      <c r="BL1375" s="58" t="n">
        <v>1375</v>
      </c>
      <c r="BM1375" s="53">
        <f>IF(S1375&lt;&gt;"",UPPER(TRIM(S1375)),IF(O1375="","LOSE",O1375))</f>
        <v/>
      </c>
      <c r="BN1375" s="55">
        <f>IF(BM1375="LOSE",1,IF(N(T1375)&gt;0,T1375,IF(N(P1375)&gt;0,P1375,MAX(1,G1375))))</f>
        <v/>
      </c>
      <c r="BO1375" s="58">
        <f>IF(BM1375="LOSE",1,0)</f>
        <v/>
      </c>
      <c r="BP1375" s="64">
        <f>IF(BO1375=0,0,IF(N(R1375)&gt;0,R1375,IFERROR(VLOOKUP(D1375,Parameter!$A$35:$C$64,3,0)+0,0)))</f>
        <v/>
      </c>
      <c r="BQ1375" s="53">
        <f>IF(V1375&lt;&gt;"",V1375,U1375)</f>
        <v/>
      </c>
      <c r="BR1375" s="53">
        <f>IF(BQ1375=1,"L1",IF(OR(BQ1375=2,BQ1375=3),"L23",IF(BQ1375="Aussen","Aussen","-")))</f>
        <v/>
      </c>
      <c r="BS1375" s="66">
        <f>IF(N(W1375)&gt;0,W1375,0)</f>
        <v/>
      </c>
      <c r="BT1375" s="58">
        <f>IF(ISNUMBER(Z1375),1,0)</f>
        <v/>
      </c>
      <c r="BU1375" s="55">
        <f>N(Z1375)</f>
        <v/>
      </c>
      <c r="BV1375" s="55">
        <f>N(L1375)+N(M1375)</f>
        <v/>
      </c>
      <c r="BW1375" s="55">
        <f>ROUNDUP(G1375/BN1375,0)</f>
        <v/>
      </c>
      <c r="BX1375" s="55">
        <f>ROUNDUP(BU1375/BN1375,0)</f>
        <v/>
      </c>
      <c r="BY1375" s="58">
        <f>IF(BO1375=1,0,IFERROR(VLOOKUP(BM1375,'Gebinde-Kategorie'!$A$5:$G$45,5,0)+0,0))</f>
        <v/>
      </c>
      <c r="BZ1375" s="58">
        <f>IFERROR(IF(OR(BQ1375=1,BQ1375=2,BQ1375=3),N(INDEX(Parameter!$I$5:$I$7,BQ1375)),0),0)</f>
        <v/>
      </c>
    </row>
    <row r="1376">
      <c r="A1376" s="53" t="inlineStr">
        <is>
          <t>100050</t>
        </is>
      </c>
      <c r="B1376" s="53" t="inlineStr">
        <is>
          <t>Deckel zu Dosierzylinder</t>
        </is>
      </c>
      <c r="C1376" s="53" t="inlineStr">
        <is>
          <t>F</t>
        </is>
      </c>
      <c r="D1376" s="53" t="inlineStr">
        <is>
          <t>PAL</t>
        </is>
      </c>
      <c r="E1376" s="53" t="inlineStr">
        <is>
          <t>C</t>
        </is>
      </c>
      <c r="F1376" s="54" t="n">
        <v>91.40000000000001</v>
      </c>
      <c r="G1376" s="55">
        <f>MAX(0,IF(Parameter!$B$20="Jahresanfang 2025 + Export",BG1376+BF1376,BF1376))</f>
        <v/>
      </c>
      <c r="H1376" s="55">
        <f>G1376*F1376</f>
        <v/>
      </c>
      <c r="I1376" s="55">
        <f>BI1376*Parameter!$B$18</f>
        <v/>
      </c>
      <c r="J1376" s="56" t="n">
        <v>42</v>
      </c>
      <c r="K1376" s="57" t="n">
        <v>3.452380952380953</v>
      </c>
      <c r="L1376" s="55" t="n">
        <v>8</v>
      </c>
      <c r="M1376" s="55" t="n">
        <v>50</v>
      </c>
      <c r="N1376" s="58" t="n">
        <v>21</v>
      </c>
      <c r="O1376" s="53" t="inlineStr">
        <is>
          <t>S71</t>
        </is>
      </c>
      <c r="P1376" s="55" t="n">
        <v>80</v>
      </c>
      <c r="Q1376" s="59">
        <f>IF(BO1376=1,0,IFERROR(VLOOKUP(BM1376,'Gebinde-Kategorie'!$A$5:$G$45,6,0)+0,0))</f>
        <v/>
      </c>
      <c r="R1376" s="60" t="n"/>
      <c r="S1376" s="61" t="n"/>
      <c r="T1376" s="61" t="n"/>
      <c r="U1376" s="53">
        <f>IF(A1376="","",IF(IFERROR(VLOOKUP(D1376,Parameter!$A$35:$C$64,2,0),"Nein")="2+3",IF(ISNUMBER(SEARCH("grosser Artikel",BJ1376)),2,IFERROR(VLOOKUP(BM1376,Parameter!$F$35:$G$64,2,0),2)),IF(OR(IFERROR(VLOOKUP(D1376,Parameter!$A$35:$C$64,2,0),"Nein")="Nein",IFERROR(VLOOKUP(D1376,Parameter!$A$35:$C$64,2,0),"Nein")=""),"-",VLOOKUP(D1376,Parameter!$A$35:$C$64,2,0))))</f>
        <v/>
      </c>
      <c r="V1376" s="61" t="n"/>
      <c r="W1376" s="62" t="n"/>
      <c r="X1376" s="55">
        <f>AM1376</f>
        <v/>
      </c>
      <c r="Y1376" s="55">
        <f>MAX(AM1376,G1376)</f>
        <v/>
      </c>
      <c r="Z1376" s="63" t="n"/>
      <c r="AA1376" s="55">
        <f>IF(LEFT(Cockpit!$C$5,1)="A",G1376,IF(BT1376=1,BU1376,IF(LEFT(Cockpit!$C$5,1)="B",AE1376,MAX(AE1376,G1376))))</f>
        <v/>
      </c>
      <c r="AB1376" s="55">
        <f>IF(BO1376=1,0,ROUNDUP(AA1376/BN1376,0))</f>
        <v/>
      </c>
      <c r="AC1376" s="64">
        <f>IF(BO1376=1,IF(AA1376&lt;=0,0,BP1376*MAX(1,IF(G1376&gt;0,AA1376/G1376,1))),AB1376*Q1376)</f>
        <v/>
      </c>
      <c r="AD1376" s="55">
        <f>AA1376*F1376</f>
        <v/>
      </c>
      <c r="AE1376" s="55">
        <f>ROUNDUP(MAX(I1376/IF(BS1376&gt;0,BS1376,MAX(0.1,N(Cockpit!$C$6))),BV1376)/BN1376,0)*BN1376</f>
        <v/>
      </c>
      <c r="AF1376" s="56">
        <f>IF(AC1376&gt;0,I1376/AC1376,-1)</f>
        <v/>
      </c>
      <c r="AG1376" s="56">
        <f>IF(AND(OR(BR1376="L1",BR1376="L23"),AC1376&gt;0),SUMIFS($AC$7:$AC$1570,$BR$7:$BR$1570,BR1376,$AF$7:$AF$1570,"&gt;"&amp;AF1376)+SUMIFS($AC$7:$AC$1570,$BR$7:$BR$1570,BR1376,$AF$7:$AF$1570,AF1376,$BL$7:$BL$1570,"&lt;="&amp;BL1376),"")</f>
        <v/>
      </c>
      <c r="AH1376" s="65">
        <f>IF(AG1376="",0,MAX(0,MIN(1,(IF(BR1376="L1",Parameter!$K$5,Parameter!$K$6+Parameter!$K$7)-(AG1376-AC1376))/AC1376)))</f>
        <v/>
      </c>
      <c r="AI1376" s="55">
        <f>IF(LEFT(Cockpit!$I$5,1)="A",G1376,IF(BT1376=1,BU1376,IF(LEFT(Cockpit!$I$5,1)="B",AM1376,MAX(AM1376,G1376))))</f>
        <v/>
      </c>
      <c r="AJ1376" s="55">
        <f>IF(BO1376=1,0,ROUNDUP(AI1376/BN1376,0))</f>
        <v/>
      </c>
      <c r="AK1376" s="64">
        <f>IF(BO1376=1,IF(AI1376&lt;=0,0,BP1376*MAX(1,IF(G1376&gt;0,AI1376/G1376,1))),AJ1376*Q1376)</f>
        <v/>
      </c>
      <c r="AL1376" s="55">
        <f>AI1376*F1376</f>
        <v/>
      </c>
      <c r="AM1376" s="55">
        <f>ROUNDUP(MAX(I1376/IF(BS1376&gt;0,BS1376,MAX(0.1,N(Cockpit!$I$6))),BV1376)/BN1376,0)*BN1376</f>
        <v/>
      </c>
      <c r="AN1376" s="56">
        <f>IF(AK1376&gt;0,I1376/AK1376,-1)</f>
        <v/>
      </c>
      <c r="AO1376" s="56">
        <f>IF(AND(OR(BR1376="L1",BR1376="L23"),AK1376&gt;0),SUMIFS($AK$7:$AK$1570,$BR$7:$BR$1570,BR1376,$AN$7:$AN$1570,"&gt;"&amp;AN1376)+SUMIFS($AK$7:$AK$1570,$BR$7:$BR$1570,BR1376,$AN$7:$AN$1570,AN1376,$BL$7:$BL$1570,"&lt;="&amp;BL1376),"")</f>
        <v/>
      </c>
      <c r="AP1376" s="65">
        <f>IF(AO1376="",0,MAX(0,MIN(1,(IF(BR1376="L1",Parameter!$K$5,Parameter!$K$6+Parameter!$K$7)-(AO1376-AK1376))/AK1376)))</f>
        <v/>
      </c>
      <c r="AQ1376" s="55">
        <f>IF(LEFT(Cockpit!$O$5,1)="A",G1376,IF(BT1376=1,BU1376,IF(LEFT(Cockpit!$O$5,1)="B",AU1376,MAX(AU1376,G1376))))</f>
        <v/>
      </c>
      <c r="AR1376" s="55">
        <f>IF(BO1376=1,0,ROUNDUP(AQ1376/BN1376,0))</f>
        <v/>
      </c>
      <c r="AS1376" s="64">
        <f>IF(BO1376=1,IF(AQ1376&lt;=0,0,BP1376*MAX(1,IF(G1376&gt;0,AQ1376/G1376,1))),AR1376*Q1376)</f>
        <v/>
      </c>
      <c r="AT1376" s="55">
        <f>AQ1376*F1376</f>
        <v/>
      </c>
      <c r="AU1376" s="55">
        <f>ROUNDUP(MAX(I1376/IF(BS1376&gt;0,BS1376,MAX(0.1,N(Cockpit!$O$6))),BV1376)/BN1376,0)*BN1376</f>
        <v/>
      </c>
      <c r="AV1376" s="56">
        <f>IF(AS1376&gt;0,I1376/AS1376,-1)</f>
        <v/>
      </c>
      <c r="AW1376" s="56">
        <f>IF(AND(OR(BR1376="L1",BR1376="L23"),AS1376&gt;0),SUMIFS($AS$7:$AS$1570,$BR$7:$BR$1570,BR1376,$AV$7:$AV$1570,"&gt;"&amp;AV1376)+SUMIFS($AS$7:$AS$1570,$BR$7:$BR$1570,BR1376,$AV$7:$AV$1570,AV1376,$BL$7:$BL$1570,"&lt;="&amp;BL1376),"")</f>
        <v/>
      </c>
      <c r="AX1376" s="65">
        <f>IF(AW1376="",0,MAX(0,MIN(1,(IF(BR1376="L1",Parameter!$K$5,Parameter!$K$6+Parameter!$K$7)-(AW1376-AS1376))/AS1376)))</f>
        <v/>
      </c>
      <c r="AY1376" s="53">
        <f>IF(AC1376&lt;=0,"",IF(BR1376="Aussen","Aussenlager",IF(BR1376="-","Nicht im Lift",IF(AH1376&gt;=1,"Lift",IF(AH1376&lt;=0,"Aussenlager","teilweise")))))</f>
        <v/>
      </c>
      <c r="AZ1376" s="53">
        <f>IF(AK1376&lt;=0,"",IF(BR1376="Aussen","Aussenlager",IF(BR1376="-","Nicht im Lift",IF(AP1376&gt;=1,"Lift",IF(AP1376&lt;=0,"Aussenlager","teilweise")))))</f>
        <v/>
      </c>
      <c r="BA1376" s="53">
        <f>IF(AS1376&lt;=0,"",IF(BR1376="Aussen","Aussenlager",IF(BR1376="-","Nicht im Lift",IF(AX1376&gt;=1,"Lift",IF(AX1376&lt;=0,"Aussenlager","teilweise")))))</f>
        <v/>
      </c>
      <c r="BB1376" s="53">
        <f>IF(A1376="","",IF(BK1376=1,"Neu; ","")&amp;IF(AND(BK1376=0,BF1376&lt;0),"negativer Bestand (Export "&amp;BF1376&amp;"); ","")&amp;IF(I1376&lt;=0,"Kein Verbrauch; ","")&amp;IF(BO1376=1,"Lose – Fläche geschätzt; ","")&amp;IF(G1376&gt;AM1376,"Überbestand "&amp;ROUND(G1376-AM1376,0)&amp;" Stk / CHF "&amp;ROUND((G1376-AM1376)*F1376,0)&amp;"; ","")&amp;IF(AND(BT1376=1,BU1376&lt;BV1376),"MAX &lt; MB+LG; ","")&amp;IF(AND(BZ1376&gt;0,BY1376*10&gt;BZ1376),"zu hoch für Tablar; ","")&amp;IF(AND(BK1376=0,OR(BT1376=1,V1376&lt;&gt;"",S1376&lt;&gt;"",T1376&lt;&gt;"",W1376&lt;&gt;"")),"manuell übersteuert; ","")&amp;IF(AND(BO1376=0,Q1376=0),"Gebinde unbekannt; ","")&amp;IF(AND(BO1376=0,N(T1376)&lt;=0,N(P1376)&lt;=0),"Menge pro Gebinde fehlt (Ist = 1 Gebinde); ","")&amp;BJ1376)</f>
        <v/>
      </c>
      <c r="BC1376" s="53" t="n"/>
      <c r="BD1376" s="53" t="n"/>
      <c r="BE1376" s="61" t="n"/>
      <c r="BF1376" s="55" t="n">
        <v>-19</v>
      </c>
      <c r="BG1376" s="55" t="n">
        <v>40</v>
      </c>
      <c r="BH1376" s="54" t="n">
        <v>-2789.000000000005</v>
      </c>
      <c r="BI1376" s="55" t="n">
        <v>145</v>
      </c>
      <c r="BJ1376" s="53" t="inlineStr"/>
      <c r="BK1376" s="58" t="n">
        <v>0</v>
      </c>
      <c r="BL1376" s="58" t="n">
        <v>1376</v>
      </c>
      <c r="BM1376" s="53">
        <f>IF(S1376&lt;&gt;"",UPPER(TRIM(S1376)),IF(O1376="","LOSE",O1376))</f>
        <v/>
      </c>
      <c r="BN1376" s="55">
        <f>IF(BM1376="LOSE",1,IF(N(T1376)&gt;0,T1376,IF(N(P1376)&gt;0,P1376,MAX(1,G1376))))</f>
        <v/>
      </c>
      <c r="BO1376" s="58">
        <f>IF(BM1376="LOSE",1,0)</f>
        <v/>
      </c>
      <c r="BP1376" s="64">
        <f>IF(BO1376=0,0,IF(N(R1376)&gt;0,R1376,IFERROR(VLOOKUP(D1376,Parameter!$A$35:$C$64,3,0)+0,0)))</f>
        <v/>
      </c>
      <c r="BQ1376" s="53">
        <f>IF(V1376&lt;&gt;"",V1376,U1376)</f>
        <v/>
      </c>
      <c r="BR1376" s="53">
        <f>IF(BQ1376=1,"L1",IF(OR(BQ1376=2,BQ1376=3),"L23",IF(BQ1376="Aussen","Aussen","-")))</f>
        <v/>
      </c>
      <c r="BS1376" s="66">
        <f>IF(N(W1376)&gt;0,W1376,0)</f>
        <v/>
      </c>
      <c r="BT1376" s="58">
        <f>IF(ISNUMBER(Z1376),1,0)</f>
        <v/>
      </c>
      <c r="BU1376" s="55">
        <f>N(Z1376)</f>
        <v/>
      </c>
      <c r="BV1376" s="55">
        <f>N(L1376)+N(M1376)</f>
        <v/>
      </c>
      <c r="BW1376" s="55">
        <f>ROUNDUP(G1376/BN1376,0)</f>
        <v/>
      </c>
      <c r="BX1376" s="55">
        <f>ROUNDUP(BU1376/BN1376,0)</f>
        <v/>
      </c>
      <c r="BY1376" s="58">
        <f>IF(BO1376=1,0,IFERROR(VLOOKUP(BM1376,'Gebinde-Kategorie'!$A$5:$G$45,5,0)+0,0))</f>
        <v/>
      </c>
      <c r="BZ1376" s="58">
        <f>IFERROR(IF(OR(BQ1376=1,BQ1376=2,BQ1376=3),N(INDEX(Parameter!$I$5:$I$7,BQ1376)),0),0)</f>
        <v/>
      </c>
    </row>
    <row r="1377">
      <c r="A1377" s="53" t="inlineStr">
        <is>
          <t>OC-107560</t>
        </is>
      </c>
      <c r="B1377" s="53" t="inlineStr">
        <is>
          <t>Federkonsole komplett</t>
        </is>
      </c>
      <c r="C1377" s="53" t="inlineStr">
        <is>
          <t>F</t>
        </is>
      </c>
      <c r="D1377" s="53" t="inlineStr">
        <is>
          <t>OCC</t>
        </is>
      </c>
      <c r="E1377" s="53" t="inlineStr">
        <is>
          <t>C</t>
        </is>
      </c>
      <c r="F1377" s="54" t="n">
        <v>1410.11</v>
      </c>
      <c r="G1377" s="55">
        <f>MAX(0,IF(Parameter!$B$20="Jahresanfang 2025 + Export",BG1377+BF1377,BF1377))</f>
        <v/>
      </c>
      <c r="H1377" s="55">
        <f>G1377*F1377</f>
        <v/>
      </c>
      <c r="I1377" s="55">
        <f>BI1377*Parameter!$B$18</f>
        <v/>
      </c>
      <c r="J1377" s="56" t="n">
        <v>1</v>
      </c>
      <c r="K1377" s="57" t="n">
        <v>0</v>
      </c>
      <c r="L1377" s="55" t="n">
        <v>0</v>
      </c>
      <c r="M1377" s="55" t="n">
        <v>1</v>
      </c>
      <c r="N1377" s="58" t="n">
        <v>0</v>
      </c>
      <c r="O1377" s="53" t="inlineStr">
        <is>
          <t>LOSE</t>
        </is>
      </c>
      <c r="P1377" s="55" t="n"/>
      <c r="Q1377" s="59">
        <f>IF(BO1377=1,0,IFERROR(VLOOKUP(BM1377,'Gebinde-Kategorie'!$A$5:$G$45,6,0)+0,0))</f>
        <v/>
      </c>
      <c r="R1377" s="60" t="n"/>
      <c r="S1377" s="61" t="n"/>
      <c r="T1377" s="61" t="n"/>
      <c r="U1377" s="53">
        <f>IF(A1377="","",IF(IFERROR(VLOOKUP(D1377,Parameter!$A$35:$C$64,2,0),"Nein")="2+3",IF(ISNUMBER(SEARCH("grosser Artikel",BJ1377)),2,IFERROR(VLOOKUP(BM1377,Parameter!$F$35:$G$64,2,0),2)),IF(OR(IFERROR(VLOOKUP(D1377,Parameter!$A$35:$C$64,2,0),"Nein")="Nein",IFERROR(VLOOKUP(D1377,Parameter!$A$35:$C$64,2,0),"Nein")=""),"-",VLOOKUP(D1377,Parameter!$A$35:$C$64,2,0))))</f>
        <v/>
      </c>
      <c r="V1377" s="61" t="n"/>
      <c r="W1377" s="62" t="n"/>
      <c r="X1377" s="55">
        <f>AM1377</f>
        <v/>
      </c>
      <c r="Y1377" s="55">
        <f>MAX(AM1377,G1377)</f>
        <v/>
      </c>
      <c r="Z1377" s="63" t="n"/>
      <c r="AA1377" s="55">
        <f>IF(LEFT(Cockpit!$C$5,1)="A",G1377,IF(BT1377=1,BU1377,IF(LEFT(Cockpit!$C$5,1)="B",AE1377,MAX(AE1377,G1377))))</f>
        <v/>
      </c>
      <c r="AB1377" s="55">
        <f>IF(BO1377=1,0,ROUNDUP(AA1377/BN1377,0))</f>
        <v/>
      </c>
      <c r="AC1377" s="64">
        <f>IF(BO1377=1,IF(AA1377&lt;=0,0,BP1377*MAX(1,IF(G1377&gt;0,AA1377/G1377,1))),AB1377*Q1377)</f>
        <v/>
      </c>
      <c r="AD1377" s="55">
        <f>AA1377*F1377</f>
        <v/>
      </c>
      <c r="AE1377" s="55">
        <f>ROUNDUP(MAX(I1377/IF(BS1377&gt;0,BS1377,MAX(0.1,N(Cockpit!$C$6))),BV1377)/BN1377,0)*BN1377</f>
        <v/>
      </c>
      <c r="AF1377" s="56">
        <f>IF(AC1377&gt;0,I1377/AC1377,-1)</f>
        <v/>
      </c>
      <c r="AG1377" s="56">
        <f>IF(AND(OR(BR1377="L1",BR1377="L23"),AC1377&gt;0),SUMIFS($AC$7:$AC$1570,$BR$7:$BR$1570,BR1377,$AF$7:$AF$1570,"&gt;"&amp;AF1377)+SUMIFS($AC$7:$AC$1570,$BR$7:$BR$1570,BR1377,$AF$7:$AF$1570,AF1377,$BL$7:$BL$1570,"&lt;="&amp;BL1377),"")</f>
        <v/>
      </c>
      <c r="AH1377" s="65">
        <f>IF(AG1377="",0,MAX(0,MIN(1,(IF(BR1377="L1",Parameter!$K$5,Parameter!$K$6+Parameter!$K$7)-(AG1377-AC1377))/AC1377)))</f>
        <v/>
      </c>
      <c r="AI1377" s="55">
        <f>IF(LEFT(Cockpit!$I$5,1)="A",G1377,IF(BT1377=1,BU1377,IF(LEFT(Cockpit!$I$5,1)="B",AM1377,MAX(AM1377,G1377))))</f>
        <v/>
      </c>
      <c r="AJ1377" s="55">
        <f>IF(BO1377=1,0,ROUNDUP(AI1377/BN1377,0))</f>
        <v/>
      </c>
      <c r="AK1377" s="64">
        <f>IF(BO1377=1,IF(AI1377&lt;=0,0,BP1377*MAX(1,IF(G1377&gt;0,AI1377/G1377,1))),AJ1377*Q1377)</f>
        <v/>
      </c>
      <c r="AL1377" s="55">
        <f>AI1377*F1377</f>
        <v/>
      </c>
      <c r="AM1377" s="55">
        <f>ROUNDUP(MAX(I1377/IF(BS1377&gt;0,BS1377,MAX(0.1,N(Cockpit!$I$6))),BV1377)/BN1377,0)*BN1377</f>
        <v/>
      </c>
      <c r="AN1377" s="56">
        <f>IF(AK1377&gt;0,I1377/AK1377,-1)</f>
        <v/>
      </c>
      <c r="AO1377" s="56">
        <f>IF(AND(OR(BR1377="L1",BR1377="L23"),AK1377&gt;0),SUMIFS($AK$7:$AK$1570,$BR$7:$BR$1570,BR1377,$AN$7:$AN$1570,"&gt;"&amp;AN1377)+SUMIFS($AK$7:$AK$1570,$BR$7:$BR$1570,BR1377,$AN$7:$AN$1570,AN1377,$BL$7:$BL$1570,"&lt;="&amp;BL1377),"")</f>
        <v/>
      </c>
      <c r="AP1377" s="65">
        <f>IF(AO1377="",0,MAX(0,MIN(1,(IF(BR1377="L1",Parameter!$K$5,Parameter!$K$6+Parameter!$K$7)-(AO1377-AK1377))/AK1377)))</f>
        <v/>
      </c>
      <c r="AQ1377" s="55">
        <f>IF(LEFT(Cockpit!$O$5,1)="A",G1377,IF(BT1377=1,BU1377,IF(LEFT(Cockpit!$O$5,1)="B",AU1377,MAX(AU1377,G1377))))</f>
        <v/>
      </c>
      <c r="AR1377" s="55">
        <f>IF(BO1377=1,0,ROUNDUP(AQ1377/BN1377,0))</f>
        <v/>
      </c>
      <c r="AS1377" s="64">
        <f>IF(BO1377=1,IF(AQ1377&lt;=0,0,BP1377*MAX(1,IF(G1377&gt;0,AQ1377/G1377,1))),AR1377*Q1377)</f>
        <v/>
      </c>
      <c r="AT1377" s="55">
        <f>AQ1377*F1377</f>
        <v/>
      </c>
      <c r="AU1377" s="55">
        <f>ROUNDUP(MAX(I1377/IF(BS1377&gt;0,BS1377,MAX(0.1,N(Cockpit!$O$6))),BV1377)/BN1377,0)*BN1377</f>
        <v/>
      </c>
      <c r="AV1377" s="56">
        <f>IF(AS1377&gt;0,I1377/AS1377,-1)</f>
        <v/>
      </c>
      <c r="AW1377" s="56">
        <f>IF(AND(OR(BR1377="L1",BR1377="L23"),AS1377&gt;0),SUMIFS($AS$7:$AS$1570,$BR$7:$BR$1570,BR1377,$AV$7:$AV$1570,"&gt;"&amp;AV1377)+SUMIFS($AS$7:$AS$1570,$BR$7:$BR$1570,BR1377,$AV$7:$AV$1570,AV1377,$BL$7:$BL$1570,"&lt;="&amp;BL1377),"")</f>
        <v/>
      </c>
      <c r="AX1377" s="65">
        <f>IF(AW1377="",0,MAX(0,MIN(1,(IF(BR1377="L1",Parameter!$K$5,Parameter!$K$6+Parameter!$K$7)-(AW1377-AS1377))/AS1377)))</f>
        <v/>
      </c>
      <c r="AY1377" s="53">
        <f>IF(AC1377&lt;=0,"",IF(BR1377="Aussen","Aussenlager",IF(BR1377="-","Nicht im Lift",IF(AH1377&gt;=1,"Lift",IF(AH1377&lt;=0,"Aussenlager","teilweise")))))</f>
        <v/>
      </c>
      <c r="AZ1377" s="53">
        <f>IF(AK1377&lt;=0,"",IF(BR1377="Aussen","Aussenlager",IF(BR1377="-","Nicht im Lift",IF(AP1377&gt;=1,"Lift",IF(AP1377&lt;=0,"Aussenlager","teilweise")))))</f>
        <v/>
      </c>
      <c r="BA1377" s="53">
        <f>IF(AS1377&lt;=0,"",IF(BR1377="Aussen","Aussenlager",IF(BR1377="-","Nicht im Lift",IF(AX1377&gt;=1,"Lift",IF(AX1377&lt;=0,"Aussenlager","teilweise")))))</f>
        <v/>
      </c>
      <c r="BB1377" s="53">
        <f>IF(A1377="","",IF(BK1377=1,"Neu; ","")&amp;IF(AND(BK1377=0,BF1377&lt;0),"negativer Bestand (Export "&amp;BF1377&amp;"); ","")&amp;IF(I1377&lt;=0,"Kein Verbrauch; ","")&amp;IF(BO1377=1,"Lose – Fläche geschätzt; ","")&amp;IF(G1377&gt;AM1377,"Überbestand "&amp;ROUND(G1377-AM1377,0)&amp;" Stk / CHF "&amp;ROUND((G1377-AM1377)*F1377,0)&amp;"; ","")&amp;IF(AND(BT1377=1,BU1377&lt;BV1377),"MAX &lt; MB+LG; ","")&amp;IF(AND(BZ1377&gt;0,BY1377*10&gt;BZ1377),"zu hoch für Tablar; ","")&amp;IF(AND(BK1377=0,OR(BT1377=1,V1377&lt;&gt;"",S1377&lt;&gt;"",T1377&lt;&gt;"",W1377&lt;&gt;"")),"manuell übersteuert; ","")&amp;IF(AND(BO1377=0,Q1377=0),"Gebinde unbekannt; ","")&amp;IF(AND(BO1377=0,N(T1377)&lt;=0,N(P1377)&lt;=0),"Menge pro Gebinde fehlt (Ist = 1 Gebinde); ","")&amp;BJ1377)</f>
        <v/>
      </c>
      <c r="BC1377" s="53" t="n"/>
      <c r="BD1377" s="53" t="n"/>
      <c r="BE1377" s="61" t="n"/>
      <c r="BF1377" s="55" t="n">
        <v>-2</v>
      </c>
      <c r="BG1377" s="55" t="n">
        <v>2</v>
      </c>
      <c r="BH1377" s="54" t="n">
        <v>-2820.22</v>
      </c>
      <c r="BI1377" s="55" t="n">
        <v>0</v>
      </c>
      <c r="BJ1377" s="53" t="inlineStr"/>
      <c r="BK1377" s="58" t="n">
        <v>0</v>
      </c>
      <c r="BL1377" s="58" t="n">
        <v>1377</v>
      </c>
      <c r="BM1377" s="53">
        <f>IF(S1377&lt;&gt;"",UPPER(TRIM(S1377)),IF(O1377="","LOSE",O1377))</f>
        <v/>
      </c>
      <c r="BN1377" s="55">
        <f>IF(BM1377="LOSE",1,IF(N(T1377)&gt;0,T1377,IF(N(P1377)&gt;0,P1377,MAX(1,G1377))))</f>
        <v/>
      </c>
      <c r="BO1377" s="58">
        <f>IF(BM1377="LOSE",1,0)</f>
        <v/>
      </c>
      <c r="BP1377" s="64">
        <f>IF(BO1377=0,0,IF(N(R1377)&gt;0,R1377,IFERROR(VLOOKUP(D1377,Parameter!$A$35:$C$64,3,0)+0,0)))</f>
        <v/>
      </c>
      <c r="BQ1377" s="53">
        <f>IF(V1377&lt;&gt;"",V1377,U1377)</f>
        <v/>
      </c>
      <c r="BR1377" s="53">
        <f>IF(BQ1377=1,"L1",IF(OR(BQ1377=2,BQ1377=3),"L23",IF(BQ1377="Aussen","Aussen","-")))</f>
        <v/>
      </c>
      <c r="BS1377" s="66">
        <f>IF(N(W1377)&gt;0,W1377,0)</f>
        <v/>
      </c>
      <c r="BT1377" s="58">
        <f>IF(ISNUMBER(Z1377),1,0)</f>
        <v/>
      </c>
      <c r="BU1377" s="55">
        <f>N(Z1377)</f>
        <v/>
      </c>
      <c r="BV1377" s="55">
        <f>N(L1377)+N(M1377)</f>
        <v/>
      </c>
      <c r="BW1377" s="55">
        <f>ROUNDUP(G1377/BN1377,0)</f>
        <v/>
      </c>
      <c r="BX1377" s="55">
        <f>ROUNDUP(BU1377/BN1377,0)</f>
        <v/>
      </c>
      <c r="BY1377" s="58">
        <f>IF(BO1377=1,0,IFERROR(VLOOKUP(BM1377,'Gebinde-Kategorie'!$A$5:$G$45,5,0)+0,0))</f>
        <v/>
      </c>
      <c r="BZ1377" s="58">
        <f>IFERROR(IF(OR(BQ1377=1,BQ1377=2,BQ1377=3),N(INDEX(Parameter!$I$5:$I$7,BQ1377)),0),0)</f>
        <v/>
      </c>
    </row>
    <row r="1378">
      <c r="A1378" s="53" t="inlineStr">
        <is>
          <t>106729</t>
        </is>
      </c>
      <c r="B1378" s="53" t="inlineStr">
        <is>
          <t>Glühkerzenkabel SPGr</t>
        </is>
      </c>
      <c r="C1378" s="53" t="inlineStr">
        <is>
          <t>F</t>
        </is>
      </c>
      <c r="D1378" s="53" t="inlineStr">
        <is>
          <t>PAL</t>
        </is>
      </c>
      <c r="E1378" s="53" t="inlineStr">
        <is>
          <t>C</t>
        </is>
      </c>
      <c r="F1378" s="54" t="n">
        <v>119.51</v>
      </c>
      <c r="G1378" s="55">
        <f>MAX(0,IF(Parameter!$B$20="Jahresanfang 2025 + Export",BG1378+BF1378,BF1378))</f>
        <v/>
      </c>
      <c r="H1378" s="55">
        <f>G1378*F1378</f>
        <v/>
      </c>
      <c r="I1378" s="55">
        <f>BI1378*Parameter!$B$18</f>
        <v/>
      </c>
      <c r="J1378" s="56" t="n">
        <v>47.5</v>
      </c>
      <c r="K1378" s="57" t="n">
        <v>0.4</v>
      </c>
      <c r="L1378" s="55" t="n">
        <v>2</v>
      </c>
      <c r="M1378" s="55" t="n">
        <v>30</v>
      </c>
      <c r="N1378" s="58" t="n">
        <v>49</v>
      </c>
      <c r="O1378" s="53" t="inlineStr">
        <is>
          <t>S71</t>
        </is>
      </c>
      <c r="P1378" s="55" t="n">
        <v>14</v>
      </c>
      <c r="Q1378" s="59">
        <f>IF(BO1378=1,0,IFERROR(VLOOKUP(BM1378,'Gebinde-Kategorie'!$A$5:$G$45,6,0)+0,0))</f>
        <v/>
      </c>
      <c r="R1378" s="60" t="n"/>
      <c r="S1378" s="61" t="n"/>
      <c r="T1378" s="61" t="n"/>
      <c r="U1378" s="53">
        <f>IF(A1378="","",IF(IFERROR(VLOOKUP(D1378,Parameter!$A$35:$C$64,2,0),"Nein")="2+3",IF(ISNUMBER(SEARCH("grosser Artikel",BJ1378)),2,IFERROR(VLOOKUP(BM1378,Parameter!$F$35:$G$64,2,0),2)),IF(OR(IFERROR(VLOOKUP(D1378,Parameter!$A$35:$C$64,2,0),"Nein")="Nein",IFERROR(VLOOKUP(D1378,Parameter!$A$35:$C$64,2,0),"Nein")=""),"-",VLOOKUP(D1378,Parameter!$A$35:$C$64,2,0))))</f>
        <v/>
      </c>
      <c r="V1378" s="61" t="n"/>
      <c r="W1378" s="62" t="n"/>
      <c r="X1378" s="55">
        <f>AM1378</f>
        <v/>
      </c>
      <c r="Y1378" s="55">
        <f>MAX(AM1378,G1378)</f>
        <v/>
      </c>
      <c r="Z1378" s="63" t="n"/>
      <c r="AA1378" s="55">
        <f>IF(LEFT(Cockpit!$C$5,1)="A",G1378,IF(BT1378=1,BU1378,IF(LEFT(Cockpit!$C$5,1)="B",AE1378,MAX(AE1378,G1378))))</f>
        <v/>
      </c>
      <c r="AB1378" s="55">
        <f>IF(BO1378=1,0,ROUNDUP(AA1378/BN1378,0))</f>
        <v/>
      </c>
      <c r="AC1378" s="64">
        <f>IF(BO1378=1,IF(AA1378&lt;=0,0,BP1378*MAX(1,IF(G1378&gt;0,AA1378/G1378,1))),AB1378*Q1378)</f>
        <v/>
      </c>
      <c r="AD1378" s="55">
        <f>AA1378*F1378</f>
        <v/>
      </c>
      <c r="AE1378" s="55">
        <f>ROUNDUP(MAX(I1378/IF(BS1378&gt;0,BS1378,MAX(0.1,N(Cockpit!$C$6))),BV1378)/BN1378,0)*BN1378</f>
        <v/>
      </c>
      <c r="AF1378" s="56">
        <f>IF(AC1378&gt;0,I1378/AC1378,-1)</f>
        <v/>
      </c>
      <c r="AG1378" s="56">
        <f>IF(AND(OR(BR1378="L1",BR1378="L23"),AC1378&gt;0),SUMIFS($AC$7:$AC$1570,$BR$7:$BR$1570,BR1378,$AF$7:$AF$1570,"&gt;"&amp;AF1378)+SUMIFS($AC$7:$AC$1570,$BR$7:$BR$1570,BR1378,$AF$7:$AF$1570,AF1378,$BL$7:$BL$1570,"&lt;="&amp;BL1378),"")</f>
        <v/>
      </c>
      <c r="AH1378" s="65">
        <f>IF(AG1378="",0,MAX(0,MIN(1,(IF(BR1378="L1",Parameter!$K$5,Parameter!$K$6+Parameter!$K$7)-(AG1378-AC1378))/AC1378)))</f>
        <v/>
      </c>
      <c r="AI1378" s="55">
        <f>IF(LEFT(Cockpit!$I$5,1)="A",G1378,IF(BT1378=1,BU1378,IF(LEFT(Cockpit!$I$5,1)="B",AM1378,MAX(AM1378,G1378))))</f>
        <v/>
      </c>
      <c r="AJ1378" s="55">
        <f>IF(BO1378=1,0,ROUNDUP(AI1378/BN1378,0))</f>
        <v/>
      </c>
      <c r="AK1378" s="64">
        <f>IF(BO1378=1,IF(AI1378&lt;=0,0,BP1378*MAX(1,IF(G1378&gt;0,AI1378/G1378,1))),AJ1378*Q1378)</f>
        <v/>
      </c>
      <c r="AL1378" s="55">
        <f>AI1378*F1378</f>
        <v/>
      </c>
      <c r="AM1378" s="55">
        <f>ROUNDUP(MAX(I1378/IF(BS1378&gt;0,BS1378,MAX(0.1,N(Cockpit!$I$6))),BV1378)/BN1378,0)*BN1378</f>
        <v/>
      </c>
      <c r="AN1378" s="56">
        <f>IF(AK1378&gt;0,I1378/AK1378,-1)</f>
        <v/>
      </c>
      <c r="AO1378" s="56">
        <f>IF(AND(OR(BR1378="L1",BR1378="L23"),AK1378&gt;0),SUMIFS($AK$7:$AK$1570,$BR$7:$BR$1570,BR1378,$AN$7:$AN$1570,"&gt;"&amp;AN1378)+SUMIFS($AK$7:$AK$1570,$BR$7:$BR$1570,BR1378,$AN$7:$AN$1570,AN1378,$BL$7:$BL$1570,"&lt;="&amp;BL1378),"")</f>
        <v/>
      </c>
      <c r="AP1378" s="65">
        <f>IF(AO1378="",0,MAX(0,MIN(1,(IF(BR1378="L1",Parameter!$K$5,Parameter!$K$6+Parameter!$K$7)-(AO1378-AK1378))/AK1378)))</f>
        <v/>
      </c>
      <c r="AQ1378" s="55">
        <f>IF(LEFT(Cockpit!$O$5,1)="A",G1378,IF(BT1378=1,BU1378,IF(LEFT(Cockpit!$O$5,1)="B",AU1378,MAX(AU1378,G1378))))</f>
        <v/>
      </c>
      <c r="AR1378" s="55">
        <f>IF(BO1378=1,0,ROUNDUP(AQ1378/BN1378,0))</f>
        <v/>
      </c>
      <c r="AS1378" s="64">
        <f>IF(BO1378=1,IF(AQ1378&lt;=0,0,BP1378*MAX(1,IF(G1378&gt;0,AQ1378/G1378,1))),AR1378*Q1378)</f>
        <v/>
      </c>
      <c r="AT1378" s="55">
        <f>AQ1378*F1378</f>
        <v/>
      </c>
      <c r="AU1378" s="55">
        <f>ROUNDUP(MAX(I1378/IF(BS1378&gt;0,BS1378,MAX(0.1,N(Cockpit!$O$6))),BV1378)/BN1378,0)*BN1378</f>
        <v/>
      </c>
      <c r="AV1378" s="56">
        <f>IF(AS1378&gt;0,I1378/AS1378,-1)</f>
        <v/>
      </c>
      <c r="AW1378" s="56">
        <f>IF(AND(OR(BR1378="L1",BR1378="L23"),AS1378&gt;0),SUMIFS($AS$7:$AS$1570,$BR$7:$BR$1570,BR1378,$AV$7:$AV$1570,"&gt;"&amp;AV1378)+SUMIFS($AS$7:$AS$1570,$BR$7:$BR$1570,BR1378,$AV$7:$AV$1570,AV1378,$BL$7:$BL$1570,"&lt;="&amp;BL1378),"")</f>
        <v/>
      </c>
      <c r="AX1378" s="65">
        <f>IF(AW1378="",0,MAX(0,MIN(1,(IF(BR1378="L1",Parameter!$K$5,Parameter!$K$6+Parameter!$K$7)-(AW1378-AS1378))/AS1378)))</f>
        <v/>
      </c>
      <c r="AY1378" s="53">
        <f>IF(AC1378&lt;=0,"",IF(BR1378="Aussen","Aussenlager",IF(BR1378="-","Nicht im Lift",IF(AH1378&gt;=1,"Lift",IF(AH1378&lt;=0,"Aussenlager","teilweise")))))</f>
        <v/>
      </c>
      <c r="AZ1378" s="53">
        <f>IF(AK1378&lt;=0,"",IF(BR1378="Aussen","Aussenlager",IF(BR1378="-","Nicht im Lift",IF(AP1378&gt;=1,"Lift",IF(AP1378&lt;=0,"Aussenlager","teilweise")))))</f>
        <v/>
      </c>
      <c r="BA1378" s="53">
        <f>IF(AS1378&lt;=0,"",IF(BR1378="Aussen","Aussenlager",IF(BR1378="-","Nicht im Lift",IF(AX1378&gt;=1,"Lift",IF(AX1378&lt;=0,"Aussenlager","teilweise")))))</f>
        <v/>
      </c>
      <c r="BB1378" s="53">
        <f>IF(A1378="","",IF(BK1378=1,"Neu; ","")&amp;IF(AND(BK1378=0,BF1378&lt;0),"negativer Bestand (Export "&amp;BF1378&amp;"); ","")&amp;IF(I1378&lt;=0,"Kein Verbrauch; ","")&amp;IF(BO1378=1,"Lose – Fläche geschätzt; ","")&amp;IF(G1378&gt;AM1378,"Überbestand "&amp;ROUND(G1378-AM1378,0)&amp;" Stk / CHF "&amp;ROUND((G1378-AM1378)*F1378,0)&amp;"; ","")&amp;IF(AND(BT1378=1,BU1378&lt;BV1378),"MAX &lt; MB+LG; ","")&amp;IF(AND(BZ1378&gt;0,BY1378*10&gt;BZ1378),"zu hoch für Tablar; ","")&amp;IF(AND(BK1378=0,OR(BT1378=1,V1378&lt;&gt;"",S1378&lt;&gt;"",T1378&lt;&gt;"",W1378&lt;&gt;"")),"manuell übersteuert; ","")&amp;IF(AND(BO1378=0,Q1378=0),"Gebinde unbekannt; ","")&amp;IF(AND(BO1378=0,N(T1378)&lt;=0,N(P1378)&lt;=0),"Menge pro Gebinde fehlt (Ist = 1 Gebinde); ","")&amp;BJ1378)</f>
        <v/>
      </c>
      <c r="BC1378" s="53" t="n"/>
      <c r="BD1378" s="53" t="n"/>
      <c r="BE1378" s="61" t="n"/>
      <c r="BF1378" s="55" t="n">
        <v>-24</v>
      </c>
      <c r="BG1378" s="55" t="n">
        <v>44</v>
      </c>
      <c r="BH1378" s="54" t="n">
        <v>-2826.440000000002</v>
      </c>
      <c r="BI1378" s="55" t="n">
        <v>19</v>
      </c>
      <c r="BJ1378" s="53" t="inlineStr">
        <is>
          <t>grosser Artikel &amp; nicht im KTL</t>
        </is>
      </c>
      <c r="BK1378" s="58" t="n">
        <v>0</v>
      </c>
      <c r="BL1378" s="58" t="n">
        <v>1378</v>
      </c>
      <c r="BM1378" s="53">
        <f>IF(S1378&lt;&gt;"",UPPER(TRIM(S1378)),IF(O1378="","LOSE",O1378))</f>
        <v/>
      </c>
      <c r="BN1378" s="55">
        <f>IF(BM1378="LOSE",1,IF(N(T1378)&gt;0,T1378,IF(N(P1378)&gt;0,P1378,MAX(1,G1378))))</f>
        <v/>
      </c>
      <c r="BO1378" s="58">
        <f>IF(BM1378="LOSE",1,0)</f>
        <v/>
      </c>
      <c r="BP1378" s="64">
        <f>IF(BO1378=0,0,IF(N(R1378)&gt;0,R1378,IFERROR(VLOOKUP(D1378,Parameter!$A$35:$C$64,3,0)+0,0)))</f>
        <v/>
      </c>
      <c r="BQ1378" s="53">
        <f>IF(V1378&lt;&gt;"",V1378,U1378)</f>
        <v/>
      </c>
      <c r="BR1378" s="53">
        <f>IF(BQ1378=1,"L1",IF(OR(BQ1378=2,BQ1378=3),"L23",IF(BQ1378="Aussen","Aussen","-")))</f>
        <v/>
      </c>
      <c r="BS1378" s="66">
        <f>IF(N(W1378)&gt;0,W1378,0)</f>
        <v/>
      </c>
      <c r="BT1378" s="58">
        <f>IF(ISNUMBER(Z1378),1,0)</f>
        <v/>
      </c>
      <c r="BU1378" s="55">
        <f>N(Z1378)</f>
        <v/>
      </c>
      <c r="BV1378" s="55">
        <f>N(L1378)+N(M1378)</f>
        <v/>
      </c>
      <c r="BW1378" s="55">
        <f>ROUNDUP(G1378/BN1378,0)</f>
        <v/>
      </c>
      <c r="BX1378" s="55">
        <f>ROUNDUP(BU1378/BN1378,0)</f>
        <v/>
      </c>
      <c r="BY1378" s="58">
        <f>IF(BO1378=1,0,IFERROR(VLOOKUP(BM1378,'Gebinde-Kategorie'!$A$5:$G$45,5,0)+0,0))</f>
        <v/>
      </c>
      <c r="BZ1378" s="58">
        <f>IFERROR(IF(OR(BQ1378=1,BQ1378=2,BQ1378=3),N(INDEX(Parameter!$I$5:$I$7,BQ1378)),0),0)</f>
        <v/>
      </c>
    </row>
    <row r="1379">
      <c r="A1379" s="53" t="inlineStr">
        <is>
          <t>100317</t>
        </is>
      </c>
      <c r="B1379" s="53" t="inlineStr">
        <is>
          <t>Magnetventil</t>
        </is>
      </c>
      <c r="C1379" s="53" t="inlineStr">
        <is>
          <t>F</t>
        </is>
      </c>
      <c r="D1379" s="53" t="inlineStr">
        <is>
          <t>KTL</t>
        </is>
      </c>
      <c r="E1379" s="53" t="inlineStr">
        <is>
          <t>C</t>
        </is>
      </c>
      <c r="F1379" s="54" t="n">
        <v>319</v>
      </c>
      <c r="G1379" s="55">
        <f>MAX(0,IF(Parameter!$B$20="Jahresanfang 2025 + Export",BG1379+BF1379,BF1379))</f>
        <v/>
      </c>
      <c r="H1379" s="55">
        <f>G1379*F1379</f>
        <v/>
      </c>
      <c r="I1379" s="55">
        <f>BI1379*Parameter!$B$18</f>
        <v/>
      </c>
      <c r="J1379" s="56" t="n">
        <v>12.5</v>
      </c>
      <c r="K1379" s="57" t="n">
        <v>1.12</v>
      </c>
      <c r="L1379" s="55" t="n">
        <v>1</v>
      </c>
      <c r="M1379" s="55" t="n">
        <v>10</v>
      </c>
      <c r="N1379" s="58" t="n">
        <v>31</v>
      </c>
      <c r="O1379" s="53" t="inlineStr">
        <is>
          <t>S52</t>
        </is>
      </c>
      <c r="P1379" s="55" t="n">
        <v>28</v>
      </c>
      <c r="Q1379" s="59">
        <f>IF(BO1379=1,0,IFERROR(VLOOKUP(BM1379,'Gebinde-Kategorie'!$A$5:$G$45,6,0)+0,0))</f>
        <v/>
      </c>
      <c r="R1379" s="60" t="n"/>
      <c r="S1379" s="61" t="n"/>
      <c r="T1379" s="61" t="n"/>
      <c r="U1379" s="53">
        <f>IF(A1379="","",IF(IFERROR(VLOOKUP(D1379,Parameter!$A$35:$C$64,2,0),"Nein")="2+3",IF(ISNUMBER(SEARCH("grosser Artikel",BJ1379)),2,IFERROR(VLOOKUP(BM1379,Parameter!$F$35:$G$64,2,0),2)),IF(OR(IFERROR(VLOOKUP(D1379,Parameter!$A$35:$C$64,2,0),"Nein")="Nein",IFERROR(VLOOKUP(D1379,Parameter!$A$35:$C$64,2,0),"Nein")=""),"-",VLOOKUP(D1379,Parameter!$A$35:$C$64,2,0))))</f>
        <v/>
      </c>
      <c r="V1379" s="61" t="n"/>
      <c r="W1379" s="62" t="n"/>
      <c r="X1379" s="55">
        <f>AM1379</f>
        <v/>
      </c>
      <c r="Y1379" s="55">
        <f>MAX(AM1379,G1379)</f>
        <v/>
      </c>
      <c r="Z1379" s="63" t="n"/>
      <c r="AA1379" s="55">
        <f>IF(LEFT(Cockpit!$C$5,1)="A",G1379,IF(BT1379=1,BU1379,IF(LEFT(Cockpit!$C$5,1)="B",AE1379,MAX(AE1379,G1379))))</f>
        <v/>
      </c>
      <c r="AB1379" s="55">
        <f>IF(BO1379=1,0,ROUNDUP(AA1379/BN1379,0))</f>
        <v/>
      </c>
      <c r="AC1379" s="64">
        <f>IF(BO1379=1,IF(AA1379&lt;=0,0,BP1379*MAX(1,IF(G1379&gt;0,AA1379/G1379,1))),AB1379*Q1379)</f>
        <v/>
      </c>
      <c r="AD1379" s="55">
        <f>AA1379*F1379</f>
        <v/>
      </c>
      <c r="AE1379" s="55">
        <f>ROUNDUP(MAX(I1379/IF(BS1379&gt;0,BS1379,MAX(0.1,N(Cockpit!$C$6))),BV1379)/BN1379,0)*BN1379</f>
        <v/>
      </c>
      <c r="AF1379" s="56">
        <f>IF(AC1379&gt;0,I1379/AC1379,-1)</f>
        <v/>
      </c>
      <c r="AG1379" s="56">
        <f>IF(AND(OR(BR1379="L1",BR1379="L23"),AC1379&gt;0),SUMIFS($AC$7:$AC$1570,$BR$7:$BR$1570,BR1379,$AF$7:$AF$1570,"&gt;"&amp;AF1379)+SUMIFS($AC$7:$AC$1570,$BR$7:$BR$1570,BR1379,$AF$7:$AF$1570,AF1379,$BL$7:$BL$1570,"&lt;="&amp;BL1379),"")</f>
        <v/>
      </c>
      <c r="AH1379" s="65">
        <f>IF(AG1379="",0,MAX(0,MIN(1,(IF(BR1379="L1",Parameter!$K$5,Parameter!$K$6+Parameter!$K$7)-(AG1379-AC1379))/AC1379)))</f>
        <v/>
      </c>
      <c r="AI1379" s="55">
        <f>IF(LEFT(Cockpit!$I$5,1)="A",G1379,IF(BT1379=1,BU1379,IF(LEFT(Cockpit!$I$5,1)="B",AM1379,MAX(AM1379,G1379))))</f>
        <v/>
      </c>
      <c r="AJ1379" s="55">
        <f>IF(BO1379=1,0,ROUNDUP(AI1379/BN1379,0))</f>
        <v/>
      </c>
      <c r="AK1379" s="64">
        <f>IF(BO1379=1,IF(AI1379&lt;=0,0,BP1379*MAX(1,IF(G1379&gt;0,AI1379/G1379,1))),AJ1379*Q1379)</f>
        <v/>
      </c>
      <c r="AL1379" s="55">
        <f>AI1379*F1379</f>
        <v/>
      </c>
      <c r="AM1379" s="55">
        <f>ROUNDUP(MAX(I1379/IF(BS1379&gt;0,BS1379,MAX(0.1,N(Cockpit!$I$6))),BV1379)/BN1379,0)*BN1379</f>
        <v/>
      </c>
      <c r="AN1379" s="56">
        <f>IF(AK1379&gt;0,I1379/AK1379,-1)</f>
        <v/>
      </c>
      <c r="AO1379" s="56">
        <f>IF(AND(OR(BR1379="L1",BR1379="L23"),AK1379&gt;0),SUMIFS($AK$7:$AK$1570,$BR$7:$BR$1570,BR1379,$AN$7:$AN$1570,"&gt;"&amp;AN1379)+SUMIFS($AK$7:$AK$1570,$BR$7:$BR$1570,BR1379,$AN$7:$AN$1570,AN1379,$BL$7:$BL$1570,"&lt;="&amp;BL1379),"")</f>
        <v/>
      </c>
      <c r="AP1379" s="65">
        <f>IF(AO1379="",0,MAX(0,MIN(1,(IF(BR1379="L1",Parameter!$K$5,Parameter!$K$6+Parameter!$K$7)-(AO1379-AK1379))/AK1379)))</f>
        <v/>
      </c>
      <c r="AQ1379" s="55">
        <f>IF(LEFT(Cockpit!$O$5,1)="A",G1379,IF(BT1379=1,BU1379,IF(LEFT(Cockpit!$O$5,1)="B",AU1379,MAX(AU1379,G1379))))</f>
        <v/>
      </c>
      <c r="AR1379" s="55">
        <f>IF(BO1379=1,0,ROUNDUP(AQ1379/BN1379,0))</f>
        <v/>
      </c>
      <c r="AS1379" s="64">
        <f>IF(BO1379=1,IF(AQ1379&lt;=0,0,BP1379*MAX(1,IF(G1379&gt;0,AQ1379/G1379,1))),AR1379*Q1379)</f>
        <v/>
      </c>
      <c r="AT1379" s="55">
        <f>AQ1379*F1379</f>
        <v/>
      </c>
      <c r="AU1379" s="55">
        <f>ROUNDUP(MAX(I1379/IF(BS1379&gt;0,BS1379,MAX(0.1,N(Cockpit!$O$6))),BV1379)/BN1379,0)*BN1379</f>
        <v/>
      </c>
      <c r="AV1379" s="56">
        <f>IF(AS1379&gt;0,I1379/AS1379,-1)</f>
        <v/>
      </c>
      <c r="AW1379" s="56">
        <f>IF(AND(OR(BR1379="L1",BR1379="L23"),AS1379&gt;0),SUMIFS($AS$7:$AS$1570,$BR$7:$BR$1570,BR1379,$AV$7:$AV$1570,"&gt;"&amp;AV1379)+SUMIFS($AS$7:$AS$1570,$BR$7:$BR$1570,BR1379,$AV$7:$AV$1570,AV1379,$BL$7:$BL$1570,"&lt;="&amp;BL1379),"")</f>
        <v/>
      </c>
      <c r="AX1379" s="65">
        <f>IF(AW1379="",0,MAX(0,MIN(1,(IF(BR1379="L1",Parameter!$K$5,Parameter!$K$6+Parameter!$K$7)-(AW1379-AS1379))/AS1379)))</f>
        <v/>
      </c>
      <c r="AY1379" s="53">
        <f>IF(AC1379&lt;=0,"",IF(BR1379="Aussen","Aussenlager",IF(BR1379="-","Nicht im Lift",IF(AH1379&gt;=1,"Lift",IF(AH1379&lt;=0,"Aussenlager","teilweise")))))</f>
        <v/>
      </c>
      <c r="AZ1379" s="53">
        <f>IF(AK1379&lt;=0,"",IF(BR1379="Aussen","Aussenlager",IF(BR1379="-","Nicht im Lift",IF(AP1379&gt;=1,"Lift",IF(AP1379&lt;=0,"Aussenlager","teilweise")))))</f>
        <v/>
      </c>
      <c r="BA1379" s="53">
        <f>IF(AS1379&lt;=0,"",IF(BR1379="Aussen","Aussenlager",IF(BR1379="-","Nicht im Lift",IF(AX1379&gt;=1,"Lift",IF(AX1379&lt;=0,"Aussenlager","teilweise")))))</f>
        <v/>
      </c>
      <c r="BB1379" s="53">
        <f>IF(A1379="","",IF(BK1379=1,"Neu; ","")&amp;IF(AND(BK1379=0,BF1379&lt;0),"negativer Bestand (Export "&amp;BF1379&amp;"); ","")&amp;IF(I1379&lt;=0,"Kein Verbrauch; ","")&amp;IF(BO1379=1,"Lose – Fläche geschätzt; ","")&amp;IF(G1379&gt;AM1379,"Überbestand "&amp;ROUND(G1379-AM1379,0)&amp;" Stk / CHF "&amp;ROUND((G1379-AM1379)*F1379,0)&amp;"; ","")&amp;IF(AND(BT1379=1,BU1379&lt;BV1379),"MAX &lt; MB+LG; ","")&amp;IF(AND(BZ1379&gt;0,BY1379*10&gt;BZ1379),"zu hoch für Tablar; ","")&amp;IF(AND(BK1379=0,OR(BT1379=1,V1379&lt;&gt;"",S1379&lt;&gt;"",T1379&lt;&gt;"",W1379&lt;&gt;"")),"manuell übersteuert; ","")&amp;IF(AND(BO1379=0,Q1379=0),"Gebinde unbekannt; ","")&amp;IF(AND(BO1379=0,N(T1379)&lt;=0,N(P1379)&lt;=0),"Menge pro Gebinde fehlt (Ist = 1 Gebinde); ","")&amp;BJ1379)</f>
        <v/>
      </c>
      <c r="BC1379" s="53" t="n"/>
      <c r="BD1379" s="53" t="n"/>
      <c r="BE1379" s="61" t="n"/>
      <c r="BF1379" s="55" t="n">
        <v>-9</v>
      </c>
      <c r="BG1379" s="55" t="n">
        <v>16</v>
      </c>
      <c r="BH1379" s="54" t="n">
        <v>-2871</v>
      </c>
      <c r="BI1379" s="55" t="n">
        <v>14</v>
      </c>
      <c r="BJ1379" s="53" t="inlineStr">
        <is>
          <t>Überbestand</t>
        </is>
      </c>
      <c r="BK1379" s="58" t="n">
        <v>0</v>
      </c>
      <c r="BL1379" s="58" t="n">
        <v>1379</v>
      </c>
      <c r="BM1379" s="53">
        <f>IF(S1379&lt;&gt;"",UPPER(TRIM(S1379)),IF(O1379="","LOSE",O1379))</f>
        <v/>
      </c>
      <c r="BN1379" s="55">
        <f>IF(BM1379="LOSE",1,IF(N(T1379)&gt;0,T1379,IF(N(P1379)&gt;0,P1379,MAX(1,G1379))))</f>
        <v/>
      </c>
      <c r="BO1379" s="58">
        <f>IF(BM1379="LOSE",1,0)</f>
        <v/>
      </c>
      <c r="BP1379" s="64">
        <f>IF(BO1379=0,0,IF(N(R1379)&gt;0,R1379,IFERROR(VLOOKUP(D1379,Parameter!$A$35:$C$64,3,0)+0,0)))</f>
        <v/>
      </c>
      <c r="BQ1379" s="53">
        <f>IF(V1379&lt;&gt;"",V1379,U1379)</f>
        <v/>
      </c>
      <c r="BR1379" s="53">
        <f>IF(BQ1379=1,"L1",IF(OR(BQ1379=2,BQ1379=3),"L23",IF(BQ1379="Aussen","Aussen","-")))</f>
        <v/>
      </c>
      <c r="BS1379" s="66">
        <f>IF(N(W1379)&gt;0,W1379,0)</f>
        <v/>
      </c>
      <c r="BT1379" s="58">
        <f>IF(ISNUMBER(Z1379),1,0)</f>
        <v/>
      </c>
      <c r="BU1379" s="55">
        <f>N(Z1379)</f>
        <v/>
      </c>
      <c r="BV1379" s="55">
        <f>N(L1379)+N(M1379)</f>
        <v/>
      </c>
      <c r="BW1379" s="55">
        <f>ROUNDUP(G1379/BN1379,0)</f>
        <v/>
      </c>
      <c r="BX1379" s="55">
        <f>ROUNDUP(BU1379/BN1379,0)</f>
        <v/>
      </c>
      <c r="BY1379" s="58">
        <f>IF(BO1379=1,0,IFERROR(VLOOKUP(BM1379,'Gebinde-Kategorie'!$A$5:$G$45,5,0)+0,0))</f>
        <v/>
      </c>
      <c r="BZ1379" s="58">
        <f>IFERROR(IF(OR(BQ1379=1,BQ1379=2,BQ1379=3),N(INDEX(Parameter!$I$5:$I$7,BQ1379)),0),0)</f>
        <v/>
      </c>
    </row>
    <row r="1380">
      <c r="A1380" s="53" t="inlineStr">
        <is>
          <t>106985</t>
        </is>
      </c>
      <c r="B1380" s="53" t="inlineStr">
        <is>
          <t>Stromversorgung</t>
        </is>
      </c>
      <c r="C1380" s="53" t="inlineStr">
        <is>
          <t>F</t>
        </is>
      </c>
      <c r="D1380" s="53" t="inlineStr">
        <is>
          <t>PAL</t>
        </is>
      </c>
      <c r="E1380" s="53" t="inlineStr">
        <is>
          <t>C</t>
        </is>
      </c>
      <c r="F1380" s="54" t="n">
        <v>164.4</v>
      </c>
      <c r="G1380" s="55">
        <f>MAX(0,IF(Parameter!$B$20="Jahresanfang 2025 + Export",BG1380+BF1380,BF1380))</f>
        <v/>
      </c>
      <c r="H1380" s="55">
        <f>G1380*F1380</f>
        <v/>
      </c>
      <c r="I1380" s="55">
        <f>BI1380*Parameter!$B$18</f>
        <v/>
      </c>
      <c r="J1380" s="56" t="n">
        <v>29</v>
      </c>
      <c r="K1380" s="57" t="n">
        <v>1.068965517241379</v>
      </c>
      <c r="L1380" s="55" t="n">
        <v>5</v>
      </c>
      <c r="M1380" s="55" t="n">
        <v>20</v>
      </c>
      <c r="N1380" s="58" t="n">
        <v>49</v>
      </c>
      <c r="O1380" s="53" t="inlineStr">
        <is>
          <t>S63</t>
        </is>
      </c>
      <c r="P1380" s="55" t="n">
        <v>14</v>
      </c>
      <c r="Q1380" s="59">
        <f>IF(BO1380=1,0,IFERROR(VLOOKUP(BM1380,'Gebinde-Kategorie'!$A$5:$G$45,6,0)+0,0))</f>
        <v/>
      </c>
      <c r="R1380" s="60" t="n"/>
      <c r="S1380" s="61" t="n"/>
      <c r="T1380" s="61" t="n"/>
      <c r="U1380" s="53">
        <f>IF(A1380="","",IF(IFERROR(VLOOKUP(D1380,Parameter!$A$35:$C$64,2,0),"Nein")="2+3",IF(ISNUMBER(SEARCH("grosser Artikel",BJ1380)),2,IFERROR(VLOOKUP(BM1380,Parameter!$F$35:$G$64,2,0),2)),IF(OR(IFERROR(VLOOKUP(D1380,Parameter!$A$35:$C$64,2,0),"Nein")="Nein",IFERROR(VLOOKUP(D1380,Parameter!$A$35:$C$64,2,0),"Nein")=""),"-",VLOOKUP(D1380,Parameter!$A$35:$C$64,2,0))))</f>
        <v/>
      </c>
      <c r="V1380" s="61" t="n"/>
      <c r="W1380" s="62" t="n"/>
      <c r="X1380" s="55">
        <f>AM1380</f>
        <v/>
      </c>
      <c r="Y1380" s="55">
        <f>MAX(AM1380,G1380)</f>
        <v/>
      </c>
      <c r="Z1380" s="63" t="n"/>
      <c r="AA1380" s="55">
        <f>IF(LEFT(Cockpit!$C$5,1)="A",G1380,IF(BT1380=1,BU1380,IF(LEFT(Cockpit!$C$5,1)="B",AE1380,MAX(AE1380,G1380))))</f>
        <v/>
      </c>
      <c r="AB1380" s="55">
        <f>IF(BO1380=1,0,ROUNDUP(AA1380/BN1380,0))</f>
        <v/>
      </c>
      <c r="AC1380" s="64">
        <f>IF(BO1380=1,IF(AA1380&lt;=0,0,BP1380*MAX(1,IF(G1380&gt;0,AA1380/G1380,1))),AB1380*Q1380)</f>
        <v/>
      </c>
      <c r="AD1380" s="55">
        <f>AA1380*F1380</f>
        <v/>
      </c>
      <c r="AE1380" s="55">
        <f>ROUNDUP(MAX(I1380/IF(BS1380&gt;0,BS1380,MAX(0.1,N(Cockpit!$C$6))),BV1380)/BN1380,0)*BN1380</f>
        <v/>
      </c>
      <c r="AF1380" s="56">
        <f>IF(AC1380&gt;0,I1380/AC1380,-1)</f>
        <v/>
      </c>
      <c r="AG1380" s="56">
        <f>IF(AND(OR(BR1380="L1",BR1380="L23"),AC1380&gt;0),SUMIFS($AC$7:$AC$1570,$BR$7:$BR$1570,BR1380,$AF$7:$AF$1570,"&gt;"&amp;AF1380)+SUMIFS($AC$7:$AC$1570,$BR$7:$BR$1570,BR1380,$AF$7:$AF$1570,AF1380,$BL$7:$BL$1570,"&lt;="&amp;BL1380),"")</f>
        <v/>
      </c>
      <c r="AH1380" s="65">
        <f>IF(AG1380="",0,MAX(0,MIN(1,(IF(BR1380="L1",Parameter!$K$5,Parameter!$K$6+Parameter!$K$7)-(AG1380-AC1380))/AC1380)))</f>
        <v/>
      </c>
      <c r="AI1380" s="55">
        <f>IF(LEFT(Cockpit!$I$5,1)="A",G1380,IF(BT1380=1,BU1380,IF(LEFT(Cockpit!$I$5,1)="B",AM1380,MAX(AM1380,G1380))))</f>
        <v/>
      </c>
      <c r="AJ1380" s="55">
        <f>IF(BO1380=1,0,ROUNDUP(AI1380/BN1380,0))</f>
        <v/>
      </c>
      <c r="AK1380" s="64">
        <f>IF(BO1380=1,IF(AI1380&lt;=0,0,BP1380*MAX(1,IF(G1380&gt;0,AI1380/G1380,1))),AJ1380*Q1380)</f>
        <v/>
      </c>
      <c r="AL1380" s="55">
        <f>AI1380*F1380</f>
        <v/>
      </c>
      <c r="AM1380" s="55">
        <f>ROUNDUP(MAX(I1380/IF(BS1380&gt;0,BS1380,MAX(0.1,N(Cockpit!$I$6))),BV1380)/BN1380,0)*BN1380</f>
        <v/>
      </c>
      <c r="AN1380" s="56">
        <f>IF(AK1380&gt;0,I1380/AK1380,-1)</f>
        <v/>
      </c>
      <c r="AO1380" s="56">
        <f>IF(AND(OR(BR1380="L1",BR1380="L23"),AK1380&gt;0),SUMIFS($AK$7:$AK$1570,$BR$7:$BR$1570,BR1380,$AN$7:$AN$1570,"&gt;"&amp;AN1380)+SUMIFS($AK$7:$AK$1570,$BR$7:$BR$1570,BR1380,$AN$7:$AN$1570,AN1380,$BL$7:$BL$1570,"&lt;="&amp;BL1380),"")</f>
        <v/>
      </c>
      <c r="AP1380" s="65">
        <f>IF(AO1380="",0,MAX(0,MIN(1,(IF(BR1380="L1",Parameter!$K$5,Parameter!$K$6+Parameter!$K$7)-(AO1380-AK1380))/AK1380)))</f>
        <v/>
      </c>
      <c r="AQ1380" s="55">
        <f>IF(LEFT(Cockpit!$O$5,1)="A",G1380,IF(BT1380=1,BU1380,IF(LEFT(Cockpit!$O$5,1)="B",AU1380,MAX(AU1380,G1380))))</f>
        <v/>
      </c>
      <c r="AR1380" s="55">
        <f>IF(BO1380=1,0,ROUNDUP(AQ1380/BN1380,0))</f>
        <v/>
      </c>
      <c r="AS1380" s="64">
        <f>IF(BO1380=1,IF(AQ1380&lt;=0,0,BP1380*MAX(1,IF(G1380&gt;0,AQ1380/G1380,1))),AR1380*Q1380)</f>
        <v/>
      </c>
      <c r="AT1380" s="55">
        <f>AQ1380*F1380</f>
        <v/>
      </c>
      <c r="AU1380" s="55">
        <f>ROUNDUP(MAX(I1380/IF(BS1380&gt;0,BS1380,MAX(0.1,N(Cockpit!$O$6))),BV1380)/BN1380,0)*BN1380</f>
        <v/>
      </c>
      <c r="AV1380" s="56">
        <f>IF(AS1380&gt;0,I1380/AS1380,-1)</f>
        <v/>
      </c>
      <c r="AW1380" s="56">
        <f>IF(AND(OR(BR1380="L1",BR1380="L23"),AS1380&gt;0),SUMIFS($AS$7:$AS$1570,$BR$7:$BR$1570,BR1380,$AV$7:$AV$1570,"&gt;"&amp;AV1380)+SUMIFS($AS$7:$AS$1570,$BR$7:$BR$1570,BR1380,$AV$7:$AV$1570,AV1380,$BL$7:$BL$1570,"&lt;="&amp;BL1380),"")</f>
        <v/>
      </c>
      <c r="AX1380" s="65">
        <f>IF(AW1380="",0,MAX(0,MIN(1,(IF(BR1380="L1",Parameter!$K$5,Parameter!$K$6+Parameter!$K$7)-(AW1380-AS1380))/AS1380)))</f>
        <v/>
      </c>
      <c r="AY1380" s="53">
        <f>IF(AC1380&lt;=0,"",IF(BR1380="Aussen","Aussenlager",IF(BR1380="-","Nicht im Lift",IF(AH1380&gt;=1,"Lift",IF(AH1380&lt;=0,"Aussenlager","teilweise")))))</f>
        <v/>
      </c>
      <c r="AZ1380" s="53">
        <f>IF(AK1380&lt;=0,"",IF(BR1380="Aussen","Aussenlager",IF(BR1380="-","Nicht im Lift",IF(AP1380&gt;=1,"Lift",IF(AP1380&lt;=0,"Aussenlager","teilweise")))))</f>
        <v/>
      </c>
      <c r="BA1380" s="53">
        <f>IF(AS1380&lt;=0,"",IF(BR1380="Aussen","Aussenlager",IF(BR1380="-","Nicht im Lift",IF(AX1380&gt;=1,"Lift",IF(AX1380&lt;=0,"Aussenlager","teilweise")))))</f>
        <v/>
      </c>
      <c r="BB1380" s="53">
        <f>IF(A1380="","",IF(BK1380=1,"Neu; ","")&amp;IF(AND(BK1380=0,BF1380&lt;0),"negativer Bestand (Export "&amp;BF1380&amp;"); ","")&amp;IF(I1380&lt;=0,"Kein Verbrauch; ","")&amp;IF(BO1380=1,"Lose – Fläche geschätzt; ","")&amp;IF(G1380&gt;AM1380,"Überbestand "&amp;ROUND(G1380-AM1380,0)&amp;" Stk / CHF "&amp;ROUND((G1380-AM1380)*F1380,0)&amp;"; ","")&amp;IF(AND(BT1380=1,BU1380&lt;BV1380),"MAX &lt; MB+LG; ","")&amp;IF(AND(BZ1380&gt;0,BY1380*10&gt;BZ1380),"zu hoch für Tablar; ","")&amp;IF(AND(BK1380=0,OR(BT1380=1,V1380&lt;&gt;"",S1380&lt;&gt;"",T1380&lt;&gt;"",W1380&lt;&gt;"")),"manuell übersteuert; ","")&amp;IF(AND(BO1380=0,Q1380=0),"Gebinde unbekannt; ","")&amp;IF(AND(BO1380=0,N(T1380)&lt;=0,N(P1380)&lt;=0),"Menge pro Gebinde fehlt (Ist = 1 Gebinde); ","")&amp;BJ1380)</f>
        <v/>
      </c>
      <c r="BC1380" s="53" t="n"/>
      <c r="BD1380" s="53" t="n"/>
      <c r="BE1380" s="61" t="n"/>
      <c r="BF1380" s="55" t="n">
        <v>-19</v>
      </c>
      <c r="BG1380" s="55" t="n">
        <v>32</v>
      </c>
      <c r="BH1380" s="54" t="n">
        <v>-2923.600000000001</v>
      </c>
      <c r="BI1380" s="55" t="n">
        <v>31</v>
      </c>
      <c r="BJ1380" s="53" t="inlineStr">
        <is>
          <t>Neu</t>
        </is>
      </c>
      <c r="BK1380" s="58" t="n">
        <v>0</v>
      </c>
      <c r="BL1380" s="58" t="n">
        <v>1380</v>
      </c>
      <c r="BM1380" s="53">
        <f>IF(S1380&lt;&gt;"",UPPER(TRIM(S1380)),IF(O1380="","LOSE",O1380))</f>
        <v/>
      </c>
      <c r="BN1380" s="55">
        <f>IF(BM1380="LOSE",1,IF(N(T1380)&gt;0,T1380,IF(N(P1380)&gt;0,P1380,MAX(1,G1380))))</f>
        <v/>
      </c>
      <c r="BO1380" s="58">
        <f>IF(BM1380="LOSE",1,0)</f>
        <v/>
      </c>
      <c r="BP1380" s="64">
        <f>IF(BO1380=0,0,IF(N(R1380)&gt;0,R1380,IFERROR(VLOOKUP(D1380,Parameter!$A$35:$C$64,3,0)+0,0)))</f>
        <v/>
      </c>
      <c r="BQ1380" s="53">
        <f>IF(V1380&lt;&gt;"",V1380,U1380)</f>
        <v/>
      </c>
      <c r="BR1380" s="53">
        <f>IF(BQ1380=1,"L1",IF(OR(BQ1380=2,BQ1380=3),"L23",IF(BQ1380="Aussen","Aussen","-")))</f>
        <v/>
      </c>
      <c r="BS1380" s="66">
        <f>IF(N(W1380)&gt;0,W1380,0)</f>
        <v/>
      </c>
      <c r="BT1380" s="58">
        <f>IF(ISNUMBER(Z1380),1,0)</f>
        <v/>
      </c>
      <c r="BU1380" s="55">
        <f>N(Z1380)</f>
        <v/>
      </c>
      <c r="BV1380" s="55">
        <f>N(L1380)+N(M1380)</f>
        <v/>
      </c>
      <c r="BW1380" s="55">
        <f>ROUNDUP(G1380/BN1380,0)</f>
        <v/>
      </c>
      <c r="BX1380" s="55">
        <f>ROUNDUP(BU1380/BN1380,0)</f>
        <v/>
      </c>
      <c r="BY1380" s="58">
        <f>IF(BO1380=1,0,IFERROR(VLOOKUP(BM1380,'Gebinde-Kategorie'!$A$5:$G$45,5,0)+0,0))</f>
        <v/>
      </c>
      <c r="BZ1380" s="58">
        <f>IFERROR(IF(OR(BQ1380=1,BQ1380=2,BQ1380=3),N(INDEX(Parameter!$I$5:$I$7,BQ1380)),0),0)</f>
        <v/>
      </c>
    </row>
    <row r="1381">
      <c r="A1381" s="53" t="inlineStr">
        <is>
          <t>100277</t>
        </is>
      </c>
      <c r="B1381" s="53" t="inlineStr">
        <is>
          <t>Führungsbüchse</t>
        </is>
      </c>
      <c r="C1381" s="53" t="inlineStr">
        <is>
          <t>A</t>
        </is>
      </c>
      <c r="D1381" s="53" t="inlineStr">
        <is>
          <t>KTL</t>
        </is>
      </c>
      <c r="E1381" s="53" t="inlineStr">
        <is>
          <t>C</t>
        </is>
      </c>
      <c r="F1381" s="54" t="n">
        <v>40.61</v>
      </c>
      <c r="G1381" s="55">
        <f>MAX(0,IF(Parameter!$B$20="Jahresanfang 2025 + Export",BG1381+BF1381,BF1381))</f>
        <v/>
      </c>
      <c r="H1381" s="55">
        <f>G1381*F1381</f>
        <v/>
      </c>
      <c r="I1381" s="55">
        <f>BI1381*Parameter!$B$18</f>
        <v/>
      </c>
      <c r="J1381" s="56" t="n">
        <v>56</v>
      </c>
      <c r="K1381" s="57" t="n">
        <v>1.571428571428571</v>
      </c>
      <c r="L1381" s="55" t="n">
        <v>0</v>
      </c>
      <c r="M1381" s="55" t="n">
        <v>75</v>
      </c>
      <c r="N1381" s="58" t="n">
        <v>21</v>
      </c>
      <c r="O1381" s="53" t="inlineStr">
        <is>
          <t>S63</t>
        </is>
      </c>
      <c r="P1381" s="55" t="n">
        <v>130</v>
      </c>
      <c r="Q1381" s="59">
        <f>IF(BO1381=1,0,IFERROR(VLOOKUP(BM1381,'Gebinde-Kategorie'!$A$5:$G$45,6,0)+0,0))</f>
        <v/>
      </c>
      <c r="R1381" s="60" t="n"/>
      <c r="S1381" s="61" t="n"/>
      <c r="T1381" s="61" t="n"/>
      <c r="U1381" s="53">
        <f>IF(A1381="","",IF(IFERROR(VLOOKUP(D1381,Parameter!$A$35:$C$64,2,0),"Nein")="2+3",IF(ISNUMBER(SEARCH("grosser Artikel",BJ1381)),2,IFERROR(VLOOKUP(BM1381,Parameter!$F$35:$G$64,2,0),2)),IF(OR(IFERROR(VLOOKUP(D1381,Parameter!$A$35:$C$64,2,0),"Nein")="Nein",IFERROR(VLOOKUP(D1381,Parameter!$A$35:$C$64,2,0),"Nein")=""),"-",VLOOKUP(D1381,Parameter!$A$35:$C$64,2,0))))</f>
        <v/>
      </c>
      <c r="V1381" s="61" t="n"/>
      <c r="W1381" s="62" t="n"/>
      <c r="X1381" s="55">
        <f>AM1381</f>
        <v/>
      </c>
      <c r="Y1381" s="55">
        <f>MAX(AM1381,G1381)</f>
        <v/>
      </c>
      <c r="Z1381" s="63" t="n"/>
      <c r="AA1381" s="55">
        <f>IF(LEFT(Cockpit!$C$5,1)="A",G1381,IF(BT1381=1,BU1381,IF(LEFT(Cockpit!$C$5,1)="B",AE1381,MAX(AE1381,G1381))))</f>
        <v/>
      </c>
      <c r="AB1381" s="55">
        <f>IF(BO1381=1,0,ROUNDUP(AA1381/BN1381,0))</f>
        <v/>
      </c>
      <c r="AC1381" s="64">
        <f>IF(BO1381=1,IF(AA1381&lt;=0,0,BP1381*MAX(1,IF(G1381&gt;0,AA1381/G1381,1))),AB1381*Q1381)</f>
        <v/>
      </c>
      <c r="AD1381" s="55">
        <f>AA1381*F1381</f>
        <v/>
      </c>
      <c r="AE1381" s="55">
        <f>ROUNDUP(MAX(I1381/IF(BS1381&gt;0,BS1381,MAX(0.1,N(Cockpit!$C$6))),BV1381)/BN1381,0)*BN1381</f>
        <v/>
      </c>
      <c r="AF1381" s="56">
        <f>IF(AC1381&gt;0,I1381/AC1381,-1)</f>
        <v/>
      </c>
      <c r="AG1381" s="56">
        <f>IF(AND(OR(BR1381="L1",BR1381="L23"),AC1381&gt;0),SUMIFS($AC$7:$AC$1570,$BR$7:$BR$1570,BR1381,$AF$7:$AF$1570,"&gt;"&amp;AF1381)+SUMIFS($AC$7:$AC$1570,$BR$7:$BR$1570,BR1381,$AF$7:$AF$1570,AF1381,$BL$7:$BL$1570,"&lt;="&amp;BL1381),"")</f>
        <v/>
      </c>
      <c r="AH1381" s="65">
        <f>IF(AG1381="",0,MAX(0,MIN(1,(IF(BR1381="L1",Parameter!$K$5,Parameter!$K$6+Parameter!$K$7)-(AG1381-AC1381))/AC1381)))</f>
        <v/>
      </c>
      <c r="AI1381" s="55">
        <f>IF(LEFT(Cockpit!$I$5,1)="A",G1381,IF(BT1381=1,BU1381,IF(LEFT(Cockpit!$I$5,1)="B",AM1381,MAX(AM1381,G1381))))</f>
        <v/>
      </c>
      <c r="AJ1381" s="55">
        <f>IF(BO1381=1,0,ROUNDUP(AI1381/BN1381,0))</f>
        <v/>
      </c>
      <c r="AK1381" s="64">
        <f>IF(BO1381=1,IF(AI1381&lt;=0,0,BP1381*MAX(1,IF(G1381&gt;0,AI1381/G1381,1))),AJ1381*Q1381)</f>
        <v/>
      </c>
      <c r="AL1381" s="55">
        <f>AI1381*F1381</f>
        <v/>
      </c>
      <c r="AM1381" s="55">
        <f>ROUNDUP(MAX(I1381/IF(BS1381&gt;0,BS1381,MAX(0.1,N(Cockpit!$I$6))),BV1381)/BN1381,0)*BN1381</f>
        <v/>
      </c>
      <c r="AN1381" s="56">
        <f>IF(AK1381&gt;0,I1381/AK1381,-1)</f>
        <v/>
      </c>
      <c r="AO1381" s="56">
        <f>IF(AND(OR(BR1381="L1",BR1381="L23"),AK1381&gt;0),SUMIFS($AK$7:$AK$1570,$BR$7:$BR$1570,BR1381,$AN$7:$AN$1570,"&gt;"&amp;AN1381)+SUMIFS($AK$7:$AK$1570,$BR$7:$BR$1570,BR1381,$AN$7:$AN$1570,AN1381,$BL$7:$BL$1570,"&lt;="&amp;BL1381),"")</f>
        <v/>
      </c>
      <c r="AP1381" s="65">
        <f>IF(AO1381="",0,MAX(0,MIN(1,(IF(BR1381="L1",Parameter!$K$5,Parameter!$K$6+Parameter!$K$7)-(AO1381-AK1381))/AK1381)))</f>
        <v/>
      </c>
      <c r="AQ1381" s="55">
        <f>IF(LEFT(Cockpit!$O$5,1)="A",G1381,IF(BT1381=1,BU1381,IF(LEFT(Cockpit!$O$5,1)="B",AU1381,MAX(AU1381,G1381))))</f>
        <v/>
      </c>
      <c r="AR1381" s="55">
        <f>IF(BO1381=1,0,ROUNDUP(AQ1381/BN1381,0))</f>
        <v/>
      </c>
      <c r="AS1381" s="64">
        <f>IF(BO1381=1,IF(AQ1381&lt;=0,0,BP1381*MAX(1,IF(G1381&gt;0,AQ1381/G1381,1))),AR1381*Q1381)</f>
        <v/>
      </c>
      <c r="AT1381" s="55">
        <f>AQ1381*F1381</f>
        <v/>
      </c>
      <c r="AU1381" s="55">
        <f>ROUNDUP(MAX(I1381/IF(BS1381&gt;0,BS1381,MAX(0.1,N(Cockpit!$O$6))),BV1381)/BN1381,0)*BN1381</f>
        <v/>
      </c>
      <c r="AV1381" s="56">
        <f>IF(AS1381&gt;0,I1381/AS1381,-1)</f>
        <v/>
      </c>
      <c r="AW1381" s="56">
        <f>IF(AND(OR(BR1381="L1",BR1381="L23"),AS1381&gt;0),SUMIFS($AS$7:$AS$1570,$BR$7:$BR$1570,BR1381,$AV$7:$AV$1570,"&gt;"&amp;AV1381)+SUMIFS($AS$7:$AS$1570,$BR$7:$BR$1570,BR1381,$AV$7:$AV$1570,AV1381,$BL$7:$BL$1570,"&lt;="&amp;BL1381),"")</f>
        <v/>
      </c>
      <c r="AX1381" s="65">
        <f>IF(AW1381="",0,MAX(0,MIN(1,(IF(BR1381="L1",Parameter!$K$5,Parameter!$K$6+Parameter!$K$7)-(AW1381-AS1381))/AS1381)))</f>
        <v/>
      </c>
      <c r="AY1381" s="53">
        <f>IF(AC1381&lt;=0,"",IF(BR1381="Aussen","Aussenlager",IF(BR1381="-","Nicht im Lift",IF(AH1381&gt;=1,"Lift",IF(AH1381&lt;=0,"Aussenlager","teilweise")))))</f>
        <v/>
      </c>
      <c r="AZ1381" s="53">
        <f>IF(AK1381&lt;=0,"",IF(BR1381="Aussen","Aussenlager",IF(BR1381="-","Nicht im Lift",IF(AP1381&gt;=1,"Lift",IF(AP1381&lt;=0,"Aussenlager","teilweise")))))</f>
        <v/>
      </c>
      <c r="BA1381" s="53">
        <f>IF(AS1381&lt;=0,"",IF(BR1381="Aussen","Aussenlager",IF(BR1381="-","Nicht im Lift",IF(AX1381&gt;=1,"Lift",IF(AX1381&lt;=0,"Aussenlager","teilweise")))))</f>
        <v/>
      </c>
      <c r="BB1381" s="53">
        <f>IF(A1381="","",IF(BK1381=1,"Neu; ","")&amp;IF(AND(BK1381=0,BF1381&lt;0),"negativer Bestand (Export "&amp;BF1381&amp;"); ","")&amp;IF(I1381&lt;=0,"Kein Verbrauch; ","")&amp;IF(BO1381=1,"Lose – Fläche geschätzt; ","")&amp;IF(G1381&gt;AM1381,"Überbestand "&amp;ROUND(G1381-AM1381,0)&amp;" Stk / CHF "&amp;ROUND((G1381-AM1381)*F1381,0)&amp;"; ","")&amp;IF(AND(BT1381=1,BU1381&lt;BV1381),"MAX &lt; MB+LG; ","")&amp;IF(AND(BZ1381&gt;0,BY1381*10&gt;BZ1381),"zu hoch für Tablar; ","")&amp;IF(AND(BK1381=0,OR(BT1381=1,V1381&lt;&gt;"",S1381&lt;&gt;"",T1381&lt;&gt;"",W1381&lt;&gt;"")),"manuell übersteuert; ","")&amp;IF(AND(BO1381=0,Q1381=0),"Gebinde unbekannt; ","")&amp;IF(AND(BO1381=0,N(T1381)&lt;=0,N(P1381)&lt;=0),"Menge pro Gebinde fehlt (Ist = 1 Gebinde); ","")&amp;BJ1381)</f>
        <v/>
      </c>
      <c r="BC1381" s="53" t="n"/>
      <c r="BD1381" s="53" t="n"/>
      <c r="BE1381" s="61" t="n"/>
      <c r="BF1381" s="55" t="n">
        <v>-72</v>
      </c>
      <c r="BG1381" s="55" t="n">
        <v>92</v>
      </c>
      <c r="BH1381" s="54" t="n">
        <v>-2923.920000000001</v>
      </c>
      <c r="BI1381" s="55" t="n">
        <v>88</v>
      </c>
      <c r="BJ1381" s="53" t="inlineStr"/>
      <c r="BK1381" s="58" t="n">
        <v>0</v>
      </c>
      <c r="BL1381" s="58" t="n">
        <v>1381</v>
      </c>
      <c r="BM1381" s="53">
        <f>IF(S1381&lt;&gt;"",UPPER(TRIM(S1381)),IF(O1381="","LOSE",O1381))</f>
        <v/>
      </c>
      <c r="BN1381" s="55">
        <f>IF(BM1381="LOSE",1,IF(N(T1381)&gt;0,T1381,IF(N(P1381)&gt;0,P1381,MAX(1,G1381))))</f>
        <v/>
      </c>
      <c r="BO1381" s="58">
        <f>IF(BM1381="LOSE",1,0)</f>
        <v/>
      </c>
      <c r="BP1381" s="64">
        <f>IF(BO1381=0,0,IF(N(R1381)&gt;0,R1381,IFERROR(VLOOKUP(D1381,Parameter!$A$35:$C$64,3,0)+0,0)))</f>
        <v/>
      </c>
      <c r="BQ1381" s="53">
        <f>IF(V1381&lt;&gt;"",V1381,U1381)</f>
        <v/>
      </c>
      <c r="BR1381" s="53">
        <f>IF(BQ1381=1,"L1",IF(OR(BQ1381=2,BQ1381=3),"L23",IF(BQ1381="Aussen","Aussen","-")))</f>
        <v/>
      </c>
      <c r="BS1381" s="66">
        <f>IF(N(W1381)&gt;0,W1381,0)</f>
        <v/>
      </c>
      <c r="BT1381" s="58">
        <f>IF(ISNUMBER(Z1381),1,0)</f>
        <v/>
      </c>
      <c r="BU1381" s="55">
        <f>N(Z1381)</f>
        <v/>
      </c>
      <c r="BV1381" s="55">
        <f>N(L1381)+N(M1381)</f>
        <v/>
      </c>
      <c r="BW1381" s="55">
        <f>ROUNDUP(G1381/BN1381,0)</f>
        <v/>
      </c>
      <c r="BX1381" s="55">
        <f>ROUNDUP(BU1381/BN1381,0)</f>
        <v/>
      </c>
      <c r="BY1381" s="58">
        <f>IF(BO1381=1,0,IFERROR(VLOOKUP(BM1381,'Gebinde-Kategorie'!$A$5:$G$45,5,0)+0,0))</f>
        <v/>
      </c>
      <c r="BZ1381" s="58">
        <f>IFERROR(IF(OR(BQ1381=1,BQ1381=2,BQ1381=3),N(INDEX(Parameter!$I$5:$I$7,BQ1381)),0),0)</f>
        <v/>
      </c>
    </row>
    <row r="1382">
      <c r="A1382" s="53" t="inlineStr">
        <is>
          <t>109754</t>
        </is>
      </c>
      <c r="B1382" s="53" t="inlineStr">
        <is>
          <t>Kolben SPGr10</t>
        </is>
      </c>
      <c r="C1382" s="53" t="inlineStr">
        <is>
          <t>F</t>
        </is>
      </c>
      <c r="D1382" s="53" t="inlineStr">
        <is>
          <t>PAL</t>
        </is>
      </c>
      <c r="E1382" s="53" t="inlineStr">
        <is>
          <t>C</t>
        </is>
      </c>
      <c r="F1382" s="54" t="n">
        <v>199.67</v>
      </c>
      <c r="G1382" s="55">
        <f>MAX(0,IF(Parameter!$B$20="Jahresanfang 2025 + Export",BG1382+BF1382,BF1382))</f>
        <v/>
      </c>
      <c r="H1382" s="55">
        <f>G1382*F1382</f>
        <v/>
      </c>
      <c r="I1382" s="55">
        <f>BI1382*Parameter!$B$18</f>
        <v/>
      </c>
      <c r="J1382" s="56" t="n">
        <v>8</v>
      </c>
      <c r="K1382" s="57" t="n">
        <v>4.125</v>
      </c>
      <c r="L1382" s="55" t="n">
        <v>0</v>
      </c>
      <c r="M1382" s="55" t="n">
        <v>15</v>
      </c>
      <c r="N1382" s="58" t="n">
        <v>14</v>
      </c>
      <c r="O1382" s="53" t="inlineStr">
        <is>
          <t>S52</t>
        </is>
      </c>
      <c r="P1382" s="55" t="n">
        <v>6</v>
      </c>
      <c r="Q1382" s="59">
        <f>IF(BO1382=1,0,IFERROR(VLOOKUP(BM1382,'Gebinde-Kategorie'!$A$5:$G$45,6,0)+0,0))</f>
        <v/>
      </c>
      <c r="R1382" s="60" t="n"/>
      <c r="S1382" s="61" t="n"/>
      <c r="T1382" s="61" t="n"/>
      <c r="U1382" s="53">
        <f>IF(A1382="","",IF(IFERROR(VLOOKUP(D1382,Parameter!$A$35:$C$64,2,0),"Nein")="2+3",IF(ISNUMBER(SEARCH("grosser Artikel",BJ1382)),2,IFERROR(VLOOKUP(BM1382,Parameter!$F$35:$G$64,2,0),2)),IF(OR(IFERROR(VLOOKUP(D1382,Parameter!$A$35:$C$64,2,0),"Nein")="Nein",IFERROR(VLOOKUP(D1382,Parameter!$A$35:$C$64,2,0),"Nein")=""),"-",VLOOKUP(D1382,Parameter!$A$35:$C$64,2,0))))</f>
        <v/>
      </c>
      <c r="V1382" s="61" t="n"/>
      <c r="W1382" s="62" t="n"/>
      <c r="X1382" s="55">
        <f>AM1382</f>
        <v/>
      </c>
      <c r="Y1382" s="55">
        <f>MAX(AM1382,G1382)</f>
        <v/>
      </c>
      <c r="Z1382" s="63" t="n"/>
      <c r="AA1382" s="55">
        <f>IF(LEFT(Cockpit!$C$5,1)="A",G1382,IF(BT1382=1,BU1382,IF(LEFT(Cockpit!$C$5,1)="B",AE1382,MAX(AE1382,G1382))))</f>
        <v/>
      </c>
      <c r="AB1382" s="55">
        <f>IF(BO1382=1,0,ROUNDUP(AA1382/BN1382,0))</f>
        <v/>
      </c>
      <c r="AC1382" s="64">
        <f>IF(BO1382=1,IF(AA1382&lt;=0,0,BP1382*MAX(1,IF(G1382&gt;0,AA1382/G1382,1))),AB1382*Q1382)</f>
        <v/>
      </c>
      <c r="AD1382" s="55">
        <f>AA1382*F1382</f>
        <v/>
      </c>
      <c r="AE1382" s="55">
        <f>ROUNDUP(MAX(I1382/IF(BS1382&gt;0,BS1382,MAX(0.1,N(Cockpit!$C$6))),BV1382)/BN1382,0)*BN1382</f>
        <v/>
      </c>
      <c r="AF1382" s="56">
        <f>IF(AC1382&gt;0,I1382/AC1382,-1)</f>
        <v/>
      </c>
      <c r="AG1382" s="56">
        <f>IF(AND(OR(BR1382="L1",BR1382="L23"),AC1382&gt;0),SUMIFS($AC$7:$AC$1570,$BR$7:$BR$1570,BR1382,$AF$7:$AF$1570,"&gt;"&amp;AF1382)+SUMIFS($AC$7:$AC$1570,$BR$7:$BR$1570,BR1382,$AF$7:$AF$1570,AF1382,$BL$7:$BL$1570,"&lt;="&amp;BL1382),"")</f>
        <v/>
      </c>
      <c r="AH1382" s="65">
        <f>IF(AG1382="",0,MAX(0,MIN(1,(IF(BR1382="L1",Parameter!$K$5,Parameter!$K$6+Parameter!$K$7)-(AG1382-AC1382))/AC1382)))</f>
        <v/>
      </c>
      <c r="AI1382" s="55">
        <f>IF(LEFT(Cockpit!$I$5,1)="A",G1382,IF(BT1382=1,BU1382,IF(LEFT(Cockpit!$I$5,1)="B",AM1382,MAX(AM1382,G1382))))</f>
        <v/>
      </c>
      <c r="AJ1382" s="55">
        <f>IF(BO1382=1,0,ROUNDUP(AI1382/BN1382,0))</f>
        <v/>
      </c>
      <c r="AK1382" s="64">
        <f>IF(BO1382=1,IF(AI1382&lt;=0,0,BP1382*MAX(1,IF(G1382&gt;0,AI1382/G1382,1))),AJ1382*Q1382)</f>
        <v/>
      </c>
      <c r="AL1382" s="55">
        <f>AI1382*F1382</f>
        <v/>
      </c>
      <c r="AM1382" s="55">
        <f>ROUNDUP(MAX(I1382/IF(BS1382&gt;0,BS1382,MAX(0.1,N(Cockpit!$I$6))),BV1382)/BN1382,0)*BN1382</f>
        <v/>
      </c>
      <c r="AN1382" s="56">
        <f>IF(AK1382&gt;0,I1382/AK1382,-1)</f>
        <v/>
      </c>
      <c r="AO1382" s="56">
        <f>IF(AND(OR(BR1382="L1",BR1382="L23"),AK1382&gt;0),SUMIFS($AK$7:$AK$1570,$BR$7:$BR$1570,BR1382,$AN$7:$AN$1570,"&gt;"&amp;AN1382)+SUMIFS($AK$7:$AK$1570,$BR$7:$BR$1570,BR1382,$AN$7:$AN$1570,AN1382,$BL$7:$BL$1570,"&lt;="&amp;BL1382),"")</f>
        <v/>
      </c>
      <c r="AP1382" s="65">
        <f>IF(AO1382="",0,MAX(0,MIN(1,(IF(BR1382="L1",Parameter!$K$5,Parameter!$K$6+Parameter!$K$7)-(AO1382-AK1382))/AK1382)))</f>
        <v/>
      </c>
      <c r="AQ1382" s="55">
        <f>IF(LEFT(Cockpit!$O$5,1)="A",G1382,IF(BT1382=1,BU1382,IF(LEFT(Cockpit!$O$5,1)="B",AU1382,MAX(AU1382,G1382))))</f>
        <v/>
      </c>
      <c r="AR1382" s="55">
        <f>IF(BO1382=1,0,ROUNDUP(AQ1382/BN1382,0))</f>
        <v/>
      </c>
      <c r="AS1382" s="64">
        <f>IF(BO1382=1,IF(AQ1382&lt;=0,0,BP1382*MAX(1,IF(G1382&gt;0,AQ1382/G1382,1))),AR1382*Q1382)</f>
        <v/>
      </c>
      <c r="AT1382" s="55">
        <f>AQ1382*F1382</f>
        <v/>
      </c>
      <c r="AU1382" s="55">
        <f>ROUNDUP(MAX(I1382/IF(BS1382&gt;0,BS1382,MAX(0.1,N(Cockpit!$O$6))),BV1382)/BN1382,0)*BN1382</f>
        <v/>
      </c>
      <c r="AV1382" s="56">
        <f>IF(AS1382&gt;0,I1382/AS1382,-1)</f>
        <v/>
      </c>
      <c r="AW1382" s="56">
        <f>IF(AND(OR(BR1382="L1",BR1382="L23"),AS1382&gt;0),SUMIFS($AS$7:$AS$1570,$BR$7:$BR$1570,BR1382,$AV$7:$AV$1570,"&gt;"&amp;AV1382)+SUMIFS($AS$7:$AS$1570,$BR$7:$BR$1570,BR1382,$AV$7:$AV$1570,AV1382,$BL$7:$BL$1570,"&lt;="&amp;BL1382),"")</f>
        <v/>
      </c>
      <c r="AX1382" s="65">
        <f>IF(AW1382="",0,MAX(0,MIN(1,(IF(BR1382="L1",Parameter!$K$5,Parameter!$K$6+Parameter!$K$7)-(AW1382-AS1382))/AS1382)))</f>
        <v/>
      </c>
      <c r="AY1382" s="53">
        <f>IF(AC1382&lt;=0,"",IF(BR1382="Aussen","Aussenlager",IF(BR1382="-","Nicht im Lift",IF(AH1382&gt;=1,"Lift",IF(AH1382&lt;=0,"Aussenlager","teilweise")))))</f>
        <v/>
      </c>
      <c r="AZ1382" s="53">
        <f>IF(AK1382&lt;=0,"",IF(BR1382="Aussen","Aussenlager",IF(BR1382="-","Nicht im Lift",IF(AP1382&gt;=1,"Lift",IF(AP1382&lt;=0,"Aussenlager","teilweise")))))</f>
        <v/>
      </c>
      <c r="BA1382" s="53">
        <f>IF(AS1382&lt;=0,"",IF(BR1382="Aussen","Aussenlager",IF(BR1382="-","Nicht im Lift",IF(AX1382&gt;=1,"Lift",IF(AX1382&lt;=0,"Aussenlager","teilweise")))))</f>
        <v/>
      </c>
      <c r="BB1382" s="53">
        <f>IF(A1382="","",IF(BK1382=1,"Neu; ","")&amp;IF(AND(BK1382=0,BF1382&lt;0),"negativer Bestand (Export "&amp;BF1382&amp;"); ","")&amp;IF(I1382&lt;=0,"Kein Verbrauch; ","")&amp;IF(BO1382=1,"Lose – Fläche geschätzt; ","")&amp;IF(G1382&gt;AM1382,"Überbestand "&amp;ROUND(G1382-AM1382,0)&amp;" Stk / CHF "&amp;ROUND((G1382-AM1382)*F1382,0)&amp;"; ","")&amp;IF(AND(BT1382=1,BU1382&lt;BV1382),"MAX &lt; MB+LG; ","")&amp;IF(AND(BZ1382&gt;0,BY1382*10&gt;BZ1382),"zu hoch für Tablar; ","")&amp;IF(AND(BK1382=0,OR(BT1382=1,V1382&lt;&gt;"",S1382&lt;&gt;"",T1382&lt;&gt;"",W1382&lt;&gt;"")),"manuell übersteuert; ","")&amp;IF(AND(BO1382=0,Q1382=0),"Gebinde unbekannt; ","")&amp;IF(AND(BO1382=0,N(T1382)&lt;=0,N(P1382)&lt;=0),"Menge pro Gebinde fehlt (Ist = 1 Gebinde); ","")&amp;BJ1382)</f>
        <v/>
      </c>
      <c r="BC1382" s="53" t="n"/>
      <c r="BD1382" s="53" t="n"/>
      <c r="BE1382" s="61" t="n"/>
      <c r="BF1382" s="55" t="n">
        <v>-16</v>
      </c>
      <c r="BG1382" s="55" t="n">
        <v>16</v>
      </c>
      <c r="BH1382" s="54" t="n">
        <v>-3000</v>
      </c>
      <c r="BI1382" s="55" t="n">
        <v>33</v>
      </c>
      <c r="BJ1382" s="53" t="inlineStr"/>
      <c r="BK1382" s="58" t="n">
        <v>0</v>
      </c>
      <c r="BL1382" s="58" t="n">
        <v>1382</v>
      </c>
      <c r="BM1382" s="53">
        <f>IF(S1382&lt;&gt;"",UPPER(TRIM(S1382)),IF(O1382="","LOSE",O1382))</f>
        <v/>
      </c>
      <c r="BN1382" s="55">
        <f>IF(BM1382="LOSE",1,IF(N(T1382)&gt;0,T1382,IF(N(P1382)&gt;0,P1382,MAX(1,G1382))))</f>
        <v/>
      </c>
      <c r="BO1382" s="58">
        <f>IF(BM1382="LOSE",1,0)</f>
        <v/>
      </c>
      <c r="BP1382" s="64">
        <f>IF(BO1382=0,0,IF(N(R1382)&gt;0,R1382,IFERROR(VLOOKUP(D1382,Parameter!$A$35:$C$64,3,0)+0,0)))</f>
        <v/>
      </c>
      <c r="BQ1382" s="53">
        <f>IF(V1382&lt;&gt;"",V1382,U1382)</f>
        <v/>
      </c>
      <c r="BR1382" s="53">
        <f>IF(BQ1382=1,"L1",IF(OR(BQ1382=2,BQ1382=3),"L23",IF(BQ1382="Aussen","Aussen","-")))</f>
        <v/>
      </c>
      <c r="BS1382" s="66">
        <f>IF(N(W1382)&gt;0,W1382,0)</f>
        <v/>
      </c>
      <c r="BT1382" s="58">
        <f>IF(ISNUMBER(Z1382),1,0)</f>
        <v/>
      </c>
      <c r="BU1382" s="55">
        <f>N(Z1382)</f>
        <v/>
      </c>
      <c r="BV1382" s="55">
        <f>N(L1382)+N(M1382)</f>
        <v/>
      </c>
      <c r="BW1382" s="55">
        <f>ROUNDUP(G1382/BN1382,0)</f>
        <v/>
      </c>
      <c r="BX1382" s="55">
        <f>ROUNDUP(BU1382/BN1382,0)</f>
        <v/>
      </c>
      <c r="BY1382" s="58">
        <f>IF(BO1382=1,0,IFERROR(VLOOKUP(BM1382,'Gebinde-Kategorie'!$A$5:$G$45,5,0)+0,0))</f>
        <v/>
      </c>
      <c r="BZ1382" s="58">
        <f>IFERROR(IF(OR(BQ1382=1,BQ1382=2,BQ1382=3),N(INDEX(Parameter!$I$5:$I$7,BQ1382)),0),0)</f>
        <v/>
      </c>
    </row>
    <row r="1383">
      <c r="A1383" s="53" t="inlineStr">
        <is>
          <t>101448</t>
        </is>
      </c>
      <c r="B1383" s="53" t="inlineStr">
        <is>
          <t>Zylinderschraube mit Innensechskant</t>
        </is>
      </c>
      <c r="C1383" s="53" t="inlineStr">
        <is>
          <t>F</t>
        </is>
      </c>
      <c r="D1383" s="53" t="inlineStr">
        <is>
          <t>PAL</t>
        </is>
      </c>
      <c r="E1383" s="53" t="inlineStr">
        <is>
          <t>C</t>
        </is>
      </c>
      <c r="F1383" s="54" t="n">
        <v>2.62</v>
      </c>
      <c r="G1383" s="55">
        <f>MAX(0,IF(Parameter!$B$20="Jahresanfang 2025 + Export",BG1383+BF1383,BF1383))</f>
        <v/>
      </c>
      <c r="H1383" s="55">
        <f>G1383*F1383</f>
        <v/>
      </c>
      <c r="I1383" s="55">
        <f>BI1383*Parameter!$B$18</f>
        <v/>
      </c>
      <c r="J1383" s="56" t="n">
        <v>1741</v>
      </c>
      <c r="K1383" s="57" t="n">
        <v>1.203331418724871</v>
      </c>
      <c r="L1383" s="55" t="n">
        <v>122</v>
      </c>
      <c r="M1383" s="55" t="n">
        <v>400</v>
      </c>
      <c r="N1383" s="58" t="n">
        <v>21</v>
      </c>
      <c r="O1383" s="53" t="inlineStr">
        <is>
          <t>S71</t>
        </is>
      </c>
      <c r="P1383" s="55" t="n">
        <v>576</v>
      </c>
      <c r="Q1383" s="59">
        <f>IF(BO1383=1,0,IFERROR(VLOOKUP(BM1383,'Gebinde-Kategorie'!$A$5:$G$45,6,0)+0,0))</f>
        <v/>
      </c>
      <c r="R1383" s="60" t="n"/>
      <c r="S1383" s="61" t="n"/>
      <c r="T1383" s="61" t="n"/>
      <c r="U1383" s="53">
        <f>IF(A1383="","",IF(IFERROR(VLOOKUP(D1383,Parameter!$A$35:$C$64,2,0),"Nein")="2+3",IF(ISNUMBER(SEARCH("grosser Artikel",BJ1383)),2,IFERROR(VLOOKUP(BM1383,Parameter!$F$35:$G$64,2,0),2)),IF(OR(IFERROR(VLOOKUP(D1383,Parameter!$A$35:$C$64,2,0),"Nein")="Nein",IFERROR(VLOOKUP(D1383,Parameter!$A$35:$C$64,2,0),"Nein")=""),"-",VLOOKUP(D1383,Parameter!$A$35:$C$64,2,0))))</f>
        <v/>
      </c>
      <c r="V1383" s="61" t="n"/>
      <c r="W1383" s="62" t="n"/>
      <c r="X1383" s="55">
        <f>AM1383</f>
        <v/>
      </c>
      <c r="Y1383" s="55">
        <f>MAX(AM1383,G1383)</f>
        <v/>
      </c>
      <c r="Z1383" s="63" t="n"/>
      <c r="AA1383" s="55">
        <f>IF(LEFT(Cockpit!$C$5,1)="A",G1383,IF(BT1383=1,BU1383,IF(LEFT(Cockpit!$C$5,1)="B",AE1383,MAX(AE1383,G1383))))</f>
        <v/>
      </c>
      <c r="AB1383" s="55">
        <f>IF(BO1383=1,0,ROUNDUP(AA1383/BN1383,0))</f>
        <v/>
      </c>
      <c r="AC1383" s="64">
        <f>IF(BO1383=1,IF(AA1383&lt;=0,0,BP1383*MAX(1,IF(G1383&gt;0,AA1383/G1383,1))),AB1383*Q1383)</f>
        <v/>
      </c>
      <c r="AD1383" s="55">
        <f>AA1383*F1383</f>
        <v/>
      </c>
      <c r="AE1383" s="55">
        <f>ROUNDUP(MAX(I1383/IF(BS1383&gt;0,BS1383,MAX(0.1,N(Cockpit!$C$6))),BV1383)/BN1383,0)*BN1383</f>
        <v/>
      </c>
      <c r="AF1383" s="56">
        <f>IF(AC1383&gt;0,I1383/AC1383,-1)</f>
        <v/>
      </c>
      <c r="AG1383" s="56">
        <f>IF(AND(OR(BR1383="L1",BR1383="L23"),AC1383&gt;0),SUMIFS($AC$7:$AC$1570,$BR$7:$BR$1570,BR1383,$AF$7:$AF$1570,"&gt;"&amp;AF1383)+SUMIFS($AC$7:$AC$1570,$BR$7:$BR$1570,BR1383,$AF$7:$AF$1570,AF1383,$BL$7:$BL$1570,"&lt;="&amp;BL1383),"")</f>
        <v/>
      </c>
      <c r="AH1383" s="65">
        <f>IF(AG1383="",0,MAX(0,MIN(1,(IF(BR1383="L1",Parameter!$K$5,Parameter!$K$6+Parameter!$K$7)-(AG1383-AC1383))/AC1383)))</f>
        <v/>
      </c>
      <c r="AI1383" s="55">
        <f>IF(LEFT(Cockpit!$I$5,1)="A",G1383,IF(BT1383=1,BU1383,IF(LEFT(Cockpit!$I$5,1)="B",AM1383,MAX(AM1383,G1383))))</f>
        <v/>
      </c>
      <c r="AJ1383" s="55">
        <f>IF(BO1383=1,0,ROUNDUP(AI1383/BN1383,0))</f>
        <v/>
      </c>
      <c r="AK1383" s="64">
        <f>IF(BO1383=1,IF(AI1383&lt;=0,0,BP1383*MAX(1,IF(G1383&gt;0,AI1383/G1383,1))),AJ1383*Q1383)</f>
        <v/>
      </c>
      <c r="AL1383" s="55">
        <f>AI1383*F1383</f>
        <v/>
      </c>
      <c r="AM1383" s="55">
        <f>ROUNDUP(MAX(I1383/IF(BS1383&gt;0,BS1383,MAX(0.1,N(Cockpit!$I$6))),BV1383)/BN1383,0)*BN1383</f>
        <v/>
      </c>
      <c r="AN1383" s="56">
        <f>IF(AK1383&gt;0,I1383/AK1383,-1)</f>
        <v/>
      </c>
      <c r="AO1383" s="56">
        <f>IF(AND(OR(BR1383="L1",BR1383="L23"),AK1383&gt;0),SUMIFS($AK$7:$AK$1570,$BR$7:$BR$1570,BR1383,$AN$7:$AN$1570,"&gt;"&amp;AN1383)+SUMIFS($AK$7:$AK$1570,$BR$7:$BR$1570,BR1383,$AN$7:$AN$1570,AN1383,$BL$7:$BL$1570,"&lt;="&amp;BL1383),"")</f>
        <v/>
      </c>
      <c r="AP1383" s="65">
        <f>IF(AO1383="",0,MAX(0,MIN(1,(IF(BR1383="L1",Parameter!$K$5,Parameter!$K$6+Parameter!$K$7)-(AO1383-AK1383))/AK1383)))</f>
        <v/>
      </c>
      <c r="AQ1383" s="55">
        <f>IF(LEFT(Cockpit!$O$5,1)="A",G1383,IF(BT1383=1,BU1383,IF(LEFT(Cockpit!$O$5,1)="B",AU1383,MAX(AU1383,G1383))))</f>
        <v/>
      </c>
      <c r="AR1383" s="55">
        <f>IF(BO1383=1,0,ROUNDUP(AQ1383/BN1383,0))</f>
        <v/>
      </c>
      <c r="AS1383" s="64">
        <f>IF(BO1383=1,IF(AQ1383&lt;=0,0,BP1383*MAX(1,IF(G1383&gt;0,AQ1383/G1383,1))),AR1383*Q1383)</f>
        <v/>
      </c>
      <c r="AT1383" s="55">
        <f>AQ1383*F1383</f>
        <v/>
      </c>
      <c r="AU1383" s="55">
        <f>ROUNDUP(MAX(I1383/IF(BS1383&gt;0,BS1383,MAX(0.1,N(Cockpit!$O$6))),BV1383)/BN1383,0)*BN1383</f>
        <v/>
      </c>
      <c r="AV1383" s="56">
        <f>IF(AS1383&gt;0,I1383/AS1383,-1)</f>
        <v/>
      </c>
      <c r="AW1383" s="56">
        <f>IF(AND(OR(BR1383="L1",BR1383="L23"),AS1383&gt;0),SUMIFS($AS$7:$AS$1570,$BR$7:$BR$1570,BR1383,$AV$7:$AV$1570,"&gt;"&amp;AV1383)+SUMIFS($AS$7:$AS$1570,$BR$7:$BR$1570,BR1383,$AV$7:$AV$1570,AV1383,$BL$7:$BL$1570,"&lt;="&amp;BL1383),"")</f>
        <v/>
      </c>
      <c r="AX1383" s="65">
        <f>IF(AW1383="",0,MAX(0,MIN(1,(IF(BR1383="L1",Parameter!$K$5,Parameter!$K$6+Parameter!$K$7)-(AW1383-AS1383))/AS1383)))</f>
        <v/>
      </c>
      <c r="AY1383" s="53">
        <f>IF(AC1383&lt;=0,"",IF(BR1383="Aussen","Aussenlager",IF(BR1383="-","Nicht im Lift",IF(AH1383&gt;=1,"Lift",IF(AH1383&lt;=0,"Aussenlager","teilweise")))))</f>
        <v/>
      </c>
      <c r="AZ1383" s="53">
        <f>IF(AK1383&lt;=0,"",IF(BR1383="Aussen","Aussenlager",IF(BR1383="-","Nicht im Lift",IF(AP1383&gt;=1,"Lift",IF(AP1383&lt;=0,"Aussenlager","teilweise")))))</f>
        <v/>
      </c>
      <c r="BA1383" s="53">
        <f>IF(AS1383&lt;=0,"",IF(BR1383="Aussen","Aussenlager",IF(BR1383="-","Nicht im Lift",IF(AX1383&gt;=1,"Lift",IF(AX1383&lt;=0,"Aussenlager","teilweise")))))</f>
        <v/>
      </c>
      <c r="BB1383" s="53">
        <f>IF(A1383="","",IF(BK1383=1,"Neu; ","")&amp;IF(AND(BK1383=0,BF1383&lt;0),"negativer Bestand (Export "&amp;BF1383&amp;"); ","")&amp;IF(I1383&lt;=0,"Kein Verbrauch; ","")&amp;IF(BO1383=1,"Lose – Fläche geschätzt; ","")&amp;IF(G1383&gt;AM1383,"Überbestand "&amp;ROUND(G1383-AM1383,0)&amp;" Stk / CHF "&amp;ROUND((G1383-AM1383)*F1383,0)&amp;"; ","")&amp;IF(AND(BT1383=1,BU1383&lt;BV1383),"MAX &lt; MB+LG; ","")&amp;IF(AND(BZ1383&gt;0,BY1383*10&gt;BZ1383),"zu hoch für Tablar; ","")&amp;IF(AND(BK1383=0,OR(BT1383=1,V1383&lt;&gt;"",S1383&lt;&gt;"",T1383&lt;&gt;"",W1383&lt;&gt;"")),"manuell übersteuert; ","")&amp;IF(AND(BO1383=0,Q1383=0),"Gebinde unbekannt; ","")&amp;IF(AND(BO1383=0,N(T1383)&lt;=0,N(P1383)&lt;=0),"Menge pro Gebinde fehlt (Ist = 1 Gebinde); ","")&amp;BJ1383)</f>
        <v/>
      </c>
      <c r="BC1383" s="53" t="n"/>
      <c r="BD1383" s="53" t="n"/>
      <c r="BE1383" s="61" t="n"/>
      <c r="BF1383" s="55" t="n">
        <v>-1145</v>
      </c>
      <c r="BG1383" s="55" t="n">
        <v>2598</v>
      </c>
      <c r="BH1383" s="54" t="n">
        <v>-3025.76</v>
      </c>
      <c r="BI1383" s="55" t="n">
        <v>2095</v>
      </c>
      <c r="BJ1383" s="53" t="inlineStr">
        <is>
          <t>grosse  Artikelmenge</t>
        </is>
      </c>
      <c r="BK1383" s="58" t="n">
        <v>0</v>
      </c>
      <c r="BL1383" s="58" t="n">
        <v>1383</v>
      </c>
      <c r="BM1383" s="53">
        <f>IF(S1383&lt;&gt;"",UPPER(TRIM(S1383)),IF(O1383="","LOSE",O1383))</f>
        <v/>
      </c>
      <c r="BN1383" s="55">
        <f>IF(BM1383="LOSE",1,IF(N(T1383)&gt;0,T1383,IF(N(P1383)&gt;0,P1383,MAX(1,G1383))))</f>
        <v/>
      </c>
      <c r="BO1383" s="58">
        <f>IF(BM1383="LOSE",1,0)</f>
        <v/>
      </c>
      <c r="BP1383" s="64">
        <f>IF(BO1383=0,0,IF(N(R1383)&gt;0,R1383,IFERROR(VLOOKUP(D1383,Parameter!$A$35:$C$64,3,0)+0,0)))</f>
        <v/>
      </c>
      <c r="BQ1383" s="53">
        <f>IF(V1383&lt;&gt;"",V1383,U1383)</f>
        <v/>
      </c>
      <c r="BR1383" s="53">
        <f>IF(BQ1383=1,"L1",IF(OR(BQ1383=2,BQ1383=3),"L23",IF(BQ1383="Aussen","Aussen","-")))</f>
        <v/>
      </c>
      <c r="BS1383" s="66">
        <f>IF(N(W1383)&gt;0,W1383,0)</f>
        <v/>
      </c>
      <c r="BT1383" s="58">
        <f>IF(ISNUMBER(Z1383),1,0)</f>
        <v/>
      </c>
      <c r="BU1383" s="55">
        <f>N(Z1383)</f>
        <v/>
      </c>
      <c r="BV1383" s="55">
        <f>N(L1383)+N(M1383)</f>
        <v/>
      </c>
      <c r="BW1383" s="55">
        <f>ROUNDUP(G1383/BN1383,0)</f>
        <v/>
      </c>
      <c r="BX1383" s="55">
        <f>ROUNDUP(BU1383/BN1383,0)</f>
        <v/>
      </c>
      <c r="BY1383" s="58">
        <f>IF(BO1383=1,0,IFERROR(VLOOKUP(BM1383,'Gebinde-Kategorie'!$A$5:$G$45,5,0)+0,0))</f>
        <v/>
      </c>
      <c r="BZ1383" s="58">
        <f>IFERROR(IF(OR(BQ1383=1,BQ1383=2,BQ1383=3),N(INDEX(Parameter!$I$5:$I$7,BQ1383)),0),0)</f>
        <v/>
      </c>
    </row>
    <row r="1384">
      <c r="A1384" s="53" t="inlineStr">
        <is>
          <t>100888</t>
        </is>
      </c>
      <c r="B1384" s="53" t="inlineStr">
        <is>
          <t>Rückschlagventil-Patrone</t>
        </is>
      </c>
      <c r="C1384" s="53" t="inlineStr">
        <is>
          <t>F</t>
        </is>
      </c>
      <c r="D1384" s="53" t="inlineStr">
        <is>
          <t>KTL</t>
        </is>
      </c>
      <c r="E1384" s="53" t="inlineStr">
        <is>
          <t>C</t>
        </is>
      </c>
      <c r="F1384" s="54" t="n">
        <v>112.86</v>
      </c>
      <c r="G1384" s="55">
        <f>MAX(0,IF(Parameter!$B$20="Jahresanfang 2025 + Export",BG1384+BF1384,BF1384))</f>
        <v/>
      </c>
      <c r="H1384" s="55">
        <f>G1384*F1384</f>
        <v/>
      </c>
      <c r="I1384" s="55">
        <f>BI1384*Parameter!$B$18</f>
        <v/>
      </c>
      <c r="J1384" s="56" t="n">
        <v>137</v>
      </c>
      <c r="K1384" s="57" t="n">
        <v>3.854014598540146</v>
      </c>
      <c r="L1384" s="55" t="n">
        <v>30</v>
      </c>
      <c r="M1384" s="55" t="n">
        <v>100</v>
      </c>
      <c r="N1384" s="58" t="n">
        <v>21</v>
      </c>
      <c r="O1384" s="53" t="inlineStr">
        <is>
          <t>S51</t>
        </is>
      </c>
      <c r="P1384" s="55" t="n">
        <v>761</v>
      </c>
      <c r="Q1384" s="59">
        <f>IF(BO1384=1,0,IFERROR(VLOOKUP(BM1384,'Gebinde-Kategorie'!$A$5:$G$45,6,0)+0,0))</f>
        <v/>
      </c>
      <c r="R1384" s="60" t="n"/>
      <c r="S1384" s="61" t="n"/>
      <c r="T1384" s="61" t="n"/>
      <c r="U1384" s="53">
        <f>IF(A1384="","",IF(IFERROR(VLOOKUP(D1384,Parameter!$A$35:$C$64,2,0),"Nein")="2+3",IF(ISNUMBER(SEARCH("grosser Artikel",BJ1384)),2,IFERROR(VLOOKUP(BM1384,Parameter!$F$35:$G$64,2,0),2)),IF(OR(IFERROR(VLOOKUP(D1384,Parameter!$A$35:$C$64,2,0),"Nein")="Nein",IFERROR(VLOOKUP(D1384,Parameter!$A$35:$C$64,2,0),"Nein")=""),"-",VLOOKUP(D1384,Parameter!$A$35:$C$64,2,0))))</f>
        <v/>
      </c>
      <c r="V1384" s="61" t="n"/>
      <c r="W1384" s="62" t="n"/>
      <c r="X1384" s="55">
        <f>AM1384</f>
        <v/>
      </c>
      <c r="Y1384" s="55">
        <f>MAX(AM1384,G1384)</f>
        <v/>
      </c>
      <c r="Z1384" s="63" t="n"/>
      <c r="AA1384" s="55">
        <f>IF(LEFT(Cockpit!$C$5,1)="A",G1384,IF(BT1384=1,BU1384,IF(LEFT(Cockpit!$C$5,1)="B",AE1384,MAX(AE1384,G1384))))</f>
        <v/>
      </c>
      <c r="AB1384" s="55">
        <f>IF(BO1384=1,0,ROUNDUP(AA1384/BN1384,0))</f>
        <v/>
      </c>
      <c r="AC1384" s="64">
        <f>IF(BO1384=1,IF(AA1384&lt;=0,0,BP1384*MAX(1,IF(G1384&gt;0,AA1384/G1384,1))),AB1384*Q1384)</f>
        <v/>
      </c>
      <c r="AD1384" s="55">
        <f>AA1384*F1384</f>
        <v/>
      </c>
      <c r="AE1384" s="55">
        <f>ROUNDUP(MAX(I1384/IF(BS1384&gt;0,BS1384,MAX(0.1,N(Cockpit!$C$6))),BV1384)/BN1384,0)*BN1384</f>
        <v/>
      </c>
      <c r="AF1384" s="56">
        <f>IF(AC1384&gt;0,I1384/AC1384,-1)</f>
        <v/>
      </c>
      <c r="AG1384" s="56">
        <f>IF(AND(OR(BR1384="L1",BR1384="L23"),AC1384&gt;0),SUMIFS($AC$7:$AC$1570,$BR$7:$BR$1570,BR1384,$AF$7:$AF$1570,"&gt;"&amp;AF1384)+SUMIFS($AC$7:$AC$1570,$BR$7:$BR$1570,BR1384,$AF$7:$AF$1570,AF1384,$BL$7:$BL$1570,"&lt;="&amp;BL1384),"")</f>
        <v/>
      </c>
      <c r="AH1384" s="65">
        <f>IF(AG1384="",0,MAX(0,MIN(1,(IF(BR1384="L1",Parameter!$K$5,Parameter!$K$6+Parameter!$K$7)-(AG1384-AC1384))/AC1384)))</f>
        <v/>
      </c>
      <c r="AI1384" s="55">
        <f>IF(LEFT(Cockpit!$I$5,1)="A",G1384,IF(BT1384=1,BU1384,IF(LEFT(Cockpit!$I$5,1)="B",AM1384,MAX(AM1384,G1384))))</f>
        <v/>
      </c>
      <c r="AJ1384" s="55">
        <f>IF(BO1384=1,0,ROUNDUP(AI1384/BN1384,0))</f>
        <v/>
      </c>
      <c r="AK1384" s="64">
        <f>IF(BO1384=1,IF(AI1384&lt;=0,0,BP1384*MAX(1,IF(G1384&gt;0,AI1384/G1384,1))),AJ1384*Q1384)</f>
        <v/>
      </c>
      <c r="AL1384" s="55">
        <f>AI1384*F1384</f>
        <v/>
      </c>
      <c r="AM1384" s="55">
        <f>ROUNDUP(MAX(I1384/IF(BS1384&gt;0,BS1384,MAX(0.1,N(Cockpit!$I$6))),BV1384)/BN1384,0)*BN1384</f>
        <v/>
      </c>
      <c r="AN1384" s="56">
        <f>IF(AK1384&gt;0,I1384/AK1384,-1)</f>
        <v/>
      </c>
      <c r="AO1384" s="56">
        <f>IF(AND(OR(BR1384="L1",BR1384="L23"),AK1384&gt;0),SUMIFS($AK$7:$AK$1570,$BR$7:$BR$1570,BR1384,$AN$7:$AN$1570,"&gt;"&amp;AN1384)+SUMIFS($AK$7:$AK$1570,$BR$7:$BR$1570,BR1384,$AN$7:$AN$1570,AN1384,$BL$7:$BL$1570,"&lt;="&amp;BL1384),"")</f>
        <v/>
      </c>
      <c r="AP1384" s="65">
        <f>IF(AO1384="",0,MAX(0,MIN(1,(IF(BR1384="L1",Parameter!$K$5,Parameter!$K$6+Parameter!$K$7)-(AO1384-AK1384))/AK1384)))</f>
        <v/>
      </c>
      <c r="AQ1384" s="55">
        <f>IF(LEFT(Cockpit!$O$5,1)="A",G1384,IF(BT1384=1,BU1384,IF(LEFT(Cockpit!$O$5,1)="B",AU1384,MAX(AU1384,G1384))))</f>
        <v/>
      </c>
      <c r="AR1384" s="55">
        <f>IF(BO1384=1,0,ROUNDUP(AQ1384/BN1384,0))</f>
        <v/>
      </c>
      <c r="AS1384" s="64">
        <f>IF(BO1384=1,IF(AQ1384&lt;=0,0,BP1384*MAX(1,IF(G1384&gt;0,AQ1384/G1384,1))),AR1384*Q1384)</f>
        <v/>
      </c>
      <c r="AT1384" s="55">
        <f>AQ1384*F1384</f>
        <v/>
      </c>
      <c r="AU1384" s="55">
        <f>ROUNDUP(MAX(I1384/IF(BS1384&gt;0,BS1384,MAX(0.1,N(Cockpit!$O$6))),BV1384)/BN1384,0)*BN1384</f>
        <v/>
      </c>
      <c r="AV1384" s="56">
        <f>IF(AS1384&gt;0,I1384/AS1384,-1)</f>
        <v/>
      </c>
      <c r="AW1384" s="56">
        <f>IF(AND(OR(BR1384="L1",BR1384="L23"),AS1384&gt;0),SUMIFS($AS$7:$AS$1570,$BR$7:$BR$1570,BR1384,$AV$7:$AV$1570,"&gt;"&amp;AV1384)+SUMIFS($AS$7:$AS$1570,$BR$7:$BR$1570,BR1384,$AV$7:$AV$1570,AV1384,$BL$7:$BL$1570,"&lt;="&amp;BL1384),"")</f>
        <v/>
      </c>
      <c r="AX1384" s="65">
        <f>IF(AW1384="",0,MAX(0,MIN(1,(IF(BR1384="L1",Parameter!$K$5,Parameter!$K$6+Parameter!$K$7)-(AW1384-AS1384))/AS1384)))</f>
        <v/>
      </c>
      <c r="AY1384" s="53">
        <f>IF(AC1384&lt;=0,"",IF(BR1384="Aussen","Aussenlager",IF(BR1384="-","Nicht im Lift",IF(AH1384&gt;=1,"Lift",IF(AH1384&lt;=0,"Aussenlager","teilweise")))))</f>
        <v/>
      </c>
      <c r="AZ1384" s="53">
        <f>IF(AK1384&lt;=0,"",IF(BR1384="Aussen","Aussenlager",IF(BR1384="-","Nicht im Lift",IF(AP1384&gt;=1,"Lift",IF(AP1384&lt;=0,"Aussenlager","teilweise")))))</f>
        <v/>
      </c>
      <c r="BA1384" s="53">
        <f>IF(AS1384&lt;=0,"",IF(BR1384="Aussen","Aussenlager",IF(BR1384="-","Nicht im Lift",IF(AX1384&gt;=1,"Lift",IF(AX1384&lt;=0,"Aussenlager","teilweise")))))</f>
        <v/>
      </c>
      <c r="BB1384" s="53">
        <f>IF(A1384="","",IF(BK1384=1,"Neu; ","")&amp;IF(AND(BK1384=0,BF1384&lt;0),"negativer Bestand (Export "&amp;BF1384&amp;"); ","")&amp;IF(I1384&lt;=0,"Kein Verbrauch; ","")&amp;IF(BO1384=1,"Lose – Fläche geschätzt; ","")&amp;IF(G1384&gt;AM1384,"Überbestand "&amp;ROUND(G1384-AM1384,0)&amp;" Stk / CHF "&amp;ROUND((G1384-AM1384)*F1384,0)&amp;"; ","")&amp;IF(AND(BT1384=1,BU1384&lt;BV1384),"MAX &lt; MB+LG; ","")&amp;IF(AND(BZ1384&gt;0,BY1384*10&gt;BZ1384),"zu hoch für Tablar; ","")&amp;IF(AND(BK1384=0,OR(BT1384=1,V1384&lt;&gt;"",S1384&lt;&gt;"",T1384&lt;&gt;"",W1384&lt;&gt;"")),"manuell übersteuert; ","")&amp;IF(AND(BO1384=0,Q1384=0),"Gebinde unbekannt; ","")&amp;IF(AND(BO1384=0,N(T1384)&lt;=0,N(P1384)&lt;=0),"Menge pro Gebinde fehlt (Ist = 1 Gebinde); ","")&amp;BJ1384)</f>
        <v/>
      </c>
      <c r="BC1384" s="53" t="n"/>
      <c r="BD1384" s="53" t="n"/>
      <c r="BE1384" s="61" t="n"/>
      <c r="BF1384" s="55" t="n">
        <v>-28</v>
      </c>
      <c r="BG1384" s="55" t="n">
        <v>153</v>
      </c>
      <c r="BH1384" s="54" t="n">
        <v>-3172.770000000022</v>
      </c>
      <c r="BI1384" s="55" t="n">
        <v>528</v>
      </c>
      <c r="BJ1384" s="53" t="inlineStr"/>
      <c r="BK1384" s="58" t="n">
        <v>0</v>
      </c>
      <c r="BL1384" s="58" t="n">
        <v>1384</v>
      </c>
      <c r="BM1384" s="53">
        <f>IF(S1384&lt;&gt;"",UPPER(TRIM(S1384)),IF(O1384="","LOSE",O1384))</f>
        <v/>
      </c>
      <c r="BN1384" s="55">
        <f>IF(BM1384="LOSE",1,IF(N(T1384)&gt;0,T1384,IF(N(P1384)&gt;0,P1384,MAX(1,G1384))))</f>
        <v/>
      </c>
      <c r="BO1384" s="58">
        <f>IF(BM1384="LOSE",1,0)</f>
        <v/>
      </c>
      <c r="BP1384" s="64">
        <f>IF(BO1384=0,0,IF(N(R1384)&gt;0,R1384,IFERROR(VLOOKUP(D1384,Parameter!$A$35:$C$64,3,0)+0,0)))</f>
        <v/>
      </c>
      <c r="BQ1384" s="53">
        <f>IF(V1384&lt;&gt;"",V1384,U1384)</f>
        <v/>
      </c>
      <c r="BR1384" s="53">
        <f>IF(BQ1384=1,"L1",IF(OR(BQ1384=2,BQ1384=3),"L23",IF(BQ1384="Aussen","Aussen","-")))</f>
        <v/>
      </c>
      <c r="BS1384" s="66">
        <f>IF(N(W1384)&gt;0,W1384,0)</f>
        <v/>
      </c>
      <c r="BT1384" s="58">
        <f>IF(ISNUMBER(Z1384),1,0)</f>
        <v/>
      </c>
      <c r="BU1384" s="55">
        <f>N(Z1384)</f>
        <v/>
      </c>
      <c r="BV1384" s="55">
        <f>N(L1384)+N(M1384)</f>
        <v/>
      </c>
      <c r="BW1384" s="55">
        <f>ROUNDUP(G1384/BN1384,0)</f>
        <v/>
      </c>
      <c r="BX1384" s="55">
        <f>ROUNDUP(BU1384/BN1384,0)</f>
        <v/>
      </c>
      <c r="BY1384" s="58">
        <f>IF(BO1384=1,0,IFERROR(VLOOKUP(BM1384,'Gebinde-Kategorie'!$A$5:$G$45,5,0)+0,0))</f>
        <v/>
      </c>
      <c r="BZ1384" s="58">
        <f>IFERROR(IF(OR(BQ1384=1,BQ1384=2,BQ1384=3),N(INDEX(Parameter!$I$5:$I$7,BQ1384)),0),0)</f>
        <v/>
      </c>
    </row>
    <row r="1385">
      <c r="A1385" s="53" t="inlineStr">
        <is>
          <t>005089</t>
        </is>
      </c>
      <c r="B1385" s="53" t="inlineStr">
        <is>
          <t>Bedienpanel MMI Touch</t>
        </is>
      </c>
      <c r="C1385" s="53" t="inlineStr">
        <is>
          <t>F</t>
        </is>
      </c>
      <c r="D1385" s="53" t="inlineStr">
        <is>
          <t>KTL</t>
        </is>
      </c>
      <c r="E1385" s="53" t="inlineStr">
        <is>
          <t>C</t>
        </is>
      </c>
      <c r="F1385" s="54" t="n">
        <v>1587.24</v>
      </c>
      <c r="G1385" s="55">
        <f>MAX(0,IF(Parameter!$B$20="Jahresanfang 2025 + Export",BG1385+BF1385,BF1385))</f>
        <v/>
      </c>
      <c r="H1385" s="55">
        <f>G1385*F1385</f>
        <v/>
      </c>
      <c r="I1385" s="55">
        <f>BI1385*Parameter!$B$18</f>
        <v/>
      </c>
      <c r="J1385" s="56" t="n">
        <v>4.5</v>
      </c>
      <c r="K1385" s="57" t="n">
        <v>0.2222222222222222</v>
      </c>
      <c r="L1385" s="55" t="n">
        <v>0</v>
      </c>
      <c r="M1385" s="55" t="n">
        <v>1</v>
      </c>
      <c r="N1385" s="58" t="n">
        <v>28</v>
      </c>
      <c r="O1385" s="53" t="inlineStr">
        <is>
          <t>S63</t>
        </is>
      </c>
      <c r="P1385" s="55" t="n">
        <v>3</v>
      </c>
      <c r="Q1385" s="59">
        <f>IF(BO1385=1,0,IFERROR(VLOOKUP(BM1385,'Gebinde-Kategorie'!$A$5:$G$45,6,0)+0,0))</f>
        <v/>
      </c>
      <c r="R1385" s="60" t="n"/>
      <c r="S1385" s="61" t="n"/>
      <c r="T1385" s="61" t="n"/>
      <c r="U1385" s="53">
        <f>IF(A1385="","",IF(IFERROR(VLOOKUP(D1385,Parameter!$A$35:$C$64,2,0),"Nein")="2+3",IF(ISNUMBER(SEARCH("grosser Artikel",BJ1385)),2,IFERROR(VLOOKUP(BM1385,Parameter!$F$35:$G$64,2,0),2)),IF(OR(IFERROR(VLOOKUP(D1385,Parameter!$A$35:$C$64,2,0),"Nein")="Nein",IFERROR(VLOOKUP(D1385,Parameter!$A$35:$C$64,2,0),"Nein")=""),"-",VLOOKUP(D1385,Parameter!$A$35:$C$64,2,0))))</f>
        <v/>
      </c>
      <c r="V1385" s="61" t="n"/>
      <c r="W1385" s="62" t="n"/>
      <c r="X1385" s="55">
        <f>AM1385</f>
        <v/>
      </c>
      <c r="Y1385" s="55">
        <f>MAX(AM1385,G1385)</f>
        <v/>
      </c>
      <c r="Z1385" s="63" t="n"/>
      <c r="AA1385" s="55">
        <f>IF(LEFT(Cockpit!$C$5,1)="A",G1385,IF(BT1385=1,BU1385,IF(LEFT(Cockpit!$C$5,1)="B",AE1385,MAX(AE1385,G1385))))</f>
        <v/>
      </c>
      <c r="AB1385" s="55">
        <f>IF(BO1385=1,0,ROUNDUP(AA1385/BN1385,0))</f>
        <v/>
      </c>
      <c r="AC1385" s="64">
        <f>IF(BO1385=1,IF(AA1385&lt;=0,0,BP1385*MAX(1,IF(G1385&gt;0,AA1385/G1385,1))),AB1385*Q1385)</f>
        <v/>
      </c>
      <c r="AD1385" s="55">
        <f>AA1385*F1385</f>
        <v/>
      </c>
      <c r="AE1385" s="55">
        <f>ROUNDUP(MAX(I1385/IF(BS1385&gt;0,BS1385,MAX(0.1,N(Cockpit!$C$6))),BV1385)/BN1385,0)*BN1385</f>
        <v/>
      </c>
      <c r="AF1385" s="56">
        <f>IF(AC1385&gt;0,I1385/AC1385,-1)</f>
        <v/>
      </c>
      <c r="AG1385" s="56">
        <f>IF(AND(OR(BR1385="L1",BR1385="L23"),AC1385&gt;0),SUMIFS($AC$7:$AC$1570,$BR$7:$BR$1570,BR1385,$AF$7:$AF$1570,"&gt;"&amp;AF1385)+SUMIFS($AC$7:$AC$1570,$BR$7:$BR$1570,BR1385,$AF$7:$AF$1570,AF1385,$BL$7:$BL$1570,"&lt;="&amp;BL1385),"")</f>
        <v/>
      </c>
      <c r="AH1385" s="65">
        <f>IF(AG1385="",0,MAX(0,MIN(1,(IF(BR1385="L1",Parameter!$K$5,Parameter!$K$6+Parameter!$K$7)-(AG1385-AC1385))/AC1385)))</f>
        <v/>
      </c>
      <c r="AI1385" s="55">
        <f>IF(LEFT(Cockpit!$I$5,1)="A",G1385,IF(BT1385=1,BU1385,IF(LEFT(Cockpit!$I$5,1)="B",AM1385,MAX(AM1385,G1385))))</f>
        <v/>
      </c>
      <c r="AJ1385" s="55">
        <f>IF(BO1385=1,0,ROUNDUP(AI1385/BN1385,0))</f>
        <v/>
      </c>
      <c r="AK1385" s="64">
        <f>IF(BO1385=1,IF(AI1385&lt;=0,0,BP1385*MAX(1,IF(G1385&gt;0,AI1385/G1385,1))),AJ1385*Q1385)</f>
        <v/>
      </c>
      <c r="AL1385" s="55">
        <f>AI1385*F1385</f>
        <v/>
      </c>
      <c r="AM1385" s="55">
        <f>ROUNDUP(MAX(I1385/IF(BS1385&gt;0,BS1385,MAX(0.1,N(Cockpit!$I$6))),BV1385)/BN1385,0)*BN1385</f>
        <v/>
      </c>
      <c r="AN1385" s="56">
        <f>IF(AK1385&gt;0,I1385/AK1385,-1)</f>
        <v/>
      </c>
      <c r="AO1385" s="56">
        <f>IF(AND(OR(BR1385="L1",BR1385="L23"),AK1385&gt;0),SUMIFS($AK$7:$AK$1570,$BR$7:$BR$1570,BR1385,$AN$7:$AN$1570,"&gt;"&amp;AN1385)+SUMIFS($AK$7:$AK$1570,$BR$7:$BR$1570,BR1385,$AN$7:$AN$1570,AN1385,$BL$7:$BL$1570,"&lt;="&amp;BL1385),"")</f>
        <v/>
      </c>
      <c r="AP1385" s="65">
        <f>IF(AO1385="",0,MAX(0,MIN(1,(IF(BR1385="L1",Parameter!$K$5,Parameter!$K$6+Parameter!$K$7)-(AO1385-AK1385))/AK1385)))</f>
        <v/>
      </c>
      <c r="AQ1385" s="55">
        <f>IF(LEFT(Cockpit!$O$5,1)="A",G1385,IF(BT1385=1,BU1385,IF(LEFT(Cockpit!$O$5,1)="B",AU1385,MAX(AU1385,G1385))))</f>
        <v/>
      </c>
      <c r="AR1385" s="55">
        <f>IF(BO1385=1,0,ROUNDUP(AQ1385/BN1385,0))</f>
        <v/>
      </c>
      <c r="AS1385" s="64">
        <f>IF(BO1385=1,IF(AQ1385&lt;=0,0,BP1385*MAX(1,IF(G1385&gt;0,AQ1385/G1385,1))),AR1385*Q1385)</f>
        <v/>
      </c>
      <c r="AT1385" s="55">
        <f>AQ1385*F1385</f>
        <v/>
      </c>
      <c r="AU1385" s="55">
        <f>ROUNDUP(MAX(I1385/IF(BS1385&gt;0,BS1385,MAX(0.1,N(Cockpit!$O$6))),BV1385)/BN1385,0)*BN1385</f>
        <v/>
      </c>
      <c r="AV1385" s="56">
        <f>IF(AS1385&gt;0,I1385/AS1385,-1)</f>
        <v/>
      </c>
      <c r="AW1385" s="56">
        <f>IF(AND(OR(BR1385="L1",BR1385="L23"),AS1385&gt;0),SUMIFS($AS$7:$AS$1570,$BR$7:$BR$1570,BR1385,$AV$7:$AV$1570,"&gt;"&amp;AV1385)+SUMIFS($AS$7:$AS$1570,$BR$7:$BR$1570,BR1385,$AV$7:$AV$1570,AV1385,$BL$7:$BL$1570,"&lt;="&amp;BL1385),"")</f>
        <v/>
      </c>
      <c r="AX1385" s="65">
        <f>IF(AW1385="",0,MAX(0,MIN(1,(IF(BR1385="L1",Parameter!$K$5,Parameter!$K$6+Parameter!$K$7)-(AW1385-AS1385))/AS1385)))</f>
        <v/>
      </c>
      <c r="AY1385" s="53">
        <f>IF(AC1385&lt;=0,"",IF(BR1385="Aussen","Aussenlager",IF(BR1385="-","Nicht im Lift",IF(AH1385&gt;=1,"Lift",IF(AH1385&lt;=0,"Aussenlager","teilweise")))))</f>
        <v/>
      </c>
      <c r="AZ1385" s="53">
        <f>IF(AK1385&lt;=0,"",IF(BR1385="Aussen","Aussenlager",IF(BR1385="-","Nicht im Lift",IF(AP1385&gt;=1,"Lift",IF(AP1385&lt;=0,"Aussenlager","teilweise")))))</f>
        <v/>
      </c>
      <c r="BA1385" s="53">
        <f>IF(AS1385&lt;=0,"",IF(BR1385="Aussen","Aussenlager",IF(BR1385="-","Nicht im Lift",IF(AX1385&gt;=1,"Lift",IF(AX1385&lt;=0,"Aussenlager","teilweise")))))</f>
        <v/>
      </c>
      <c r="BB1385" s="53">
        <f>IF(A1385="","",IF(BK1385=1,"Neu; ","")&amp;IF(AND(BK1385=0,BF1385&lt;0),"negativer Bestand (Export "&amp;BF1385&amp;"); ","")&amp;IF(I1385&lt;=0,"Kein Verbrauch; ","")&amp;IF(BO1385=1,"Lose – Fläche geschätzt; ","")&amp;IF(G1385&gt;AM1385,"Überbestand "&amp;ROUND(G1385-AM1385,0)&amp;" Stk / CHF "&amp;ROUND((G1385-AM1385)*F1385,0)&amp;"; ","")&amp;IF(AND(BT1385=1,BU1385&lt;BV1385),"MAX &lt; MB+LG; ","")&amp;IF(AND(BZ1385&gt;0,BY1385*10&gt;BZ1385),"zu hoch für Tablar; ","")&amp;IF(AND(BK1385=0,OR(BT1385=1,V1385&lt;&gt;"",S1385&lt;&gt;"",T1385&lt;&gt;"",W1385&lt;&gt;"")),"manuell übersteuert; ","")&amp;IF(AND(BO1385=0,Q1385=0),"Gebinde unbekannt; ","")&amp;IF(AND(BO1385=0,N(T1385)&lt;=0,N(P1385)&lt;=0),"Menge pro Gebinde fehlt (Ist = 1 Gebinde); ","")&amp;BJ1385)</f>
        <v/>
      </c>
      <c r="BC1385" s="53" t="n"/>
      <c r="BD1385" s="53" t="n"/>
      <c r="BE1385" s="61" t="n"/>
      <c r="BF1385" s="55" t="n">
        <v>-2</v>
      </c>
      <c r="BG1385" s="55" t="n">
        <v>5</v>
      </c>
      <c r="BH1385" s="54" t="n">
        <v>-3174.48</v>
      </c>
      <c r="BI1385" s="55" t="n">
        <v>1</v>
      </c>
      <c r="BJ1385" s="53" t="inlineStr"/>
      <c r="BK1385" s="58" t="n">
        <v>0</v>
      </c>
      <c r="BL1385" s="58" t="n">
        <v>1385</v>
      </c>
      <c r="BM1385" s="53">
        <f>IF(S1385&lt;&gt;"",UPPER(TRIM(S1385)),IF(O1385="","LOSE",O1385))</f>
        <v/>
      </c>
      <c r="BN1385" s="55">
        <f>IF(BM1385="LOSE",1,IF(N(T1385)&gt;0,T1385,IF(N(P1385)&gt;0,P1385,MAX(1,G1385))))</f>
        <v/>
      </c>
      <c r="BO1385" s="58">
        <f>IF(BM1385="LOSE",1,0)</f>
        <v/>
      </c>
      <c r="BP1385" s="64">
        <f>IF(BO1385=0,0,IF(N(R1385)&gt;0,R1385,IFERROR(VLOOKUP(D1385,Parameter!$A$35:$C$64,3,0)+0,0)))</f>
        <v/>
      </c>
      <c r="BQ1385" s="53">
        <f>IF(V1385&lt;&gt;"",V1385,U1385)</f>
        <v/>
      </c>
      <c r="BR1385" s="53">
        <f>IF(BQ1385=1,"L1",IF(OR(BQ1385=2,BQ1385=3),"L23",IF(BQ1385="Aussen","Aussen","-")))</f>
        <v/>
      </c>
      <c r="BS1385" s="66">
        <f>IF(N(W1385)&gt;0,W1385,0)</f>
        <v/>
      </c>
      <c r="BT1385" s="58">
        <f>IF(ISNUMBER(Z1385),1,0)</f>
        <v/>
      </c>
      <c r="BU1385" s="55">
        <f>N(Z1385)</f>
        <v/>
      </c>
      <c r="BV1385" s="55">
        <f>N(L1385)+N(M1385)</f>
        <v/>
      </c>
      <c r="BW1385" s="55">
        <f>ROUNDUP(G1385/BN1385,0)</f>
        <v/>
      </c>
      <c r="BX1385" s="55">
        <f>ROUNDUP(BU1385/BN1385,0)</f>
        <v/>
      </c>
      <c r="BY1385" s="58">
        <f>IF(BO1385=1,0,IFERROR(VLOOKUP(BM1385,'Gebinde-Kategorie'!$A$5:$G$45,5,0)+0,0))</f>
        <v/>
      </c>
      <c r="BZ1385" s="58">
        <f>IFERROR(IF(OR(BQ1385=1,BQ1385=2,BQ1385=3),N(INDEX(Parameter!$I$5:$I$7,BQ1385)),0),0)</f>
        <v/>
      </c>
    </row>
    <row r="1386">
      <c r="A1386" s="53" t="inlineStr">
        <is>
          <t>OC-106804</t>
        </is>
      </c>
      <c r="B1386" s="53" t="inlineStr">
        <is>
          <t>Federkonsole komplett</t>
        </is>
      </c>
      <c r="C1386" s="53" t="inlineStr">
        <is>
          <t>G</t>
        </is>
      </c>
      <c r="D1386" s="53" t="inlineStr">
        <is>
          <t>OCC</t>
        </is>
      </c>
      <c r="E1386" s="53" t="inlineStr">
        <is>
          <t>C</t>
        </is>
      </c>
      <c r="F1386" s="54" t="n">
        <v>1598.96</v>
      </c>
      <c r="G1386" s="55">
        <f>MAX(0,IF(Parameter!$B$20="Jahresanfang 2025 + Export",BG1386+BF1386,BF1386))</f>
        <v/>
      </c>
      <c r="H1386" s="55">
        <f>G1386*F1386</f>
        <v/>
      </c>
      <c r="I1386" s="55">
        <f>BI1386*Parameter!$B$18</f>
        <v/>
      </c>
      <c r="J1386" s="56" t="n">
        <v>1</v>
      </c>
      <c r="K1386" s="57" t="n">
        <v>0</v>
      </c>
      <c r="L1386" s="55" t="n">
        <v>0</v>
      </c>
      <c r="M1386" s="55" t="n">
        <v>1</v>
      </c>
      <c r="N1386" s="58" t="n">
        <v>0</v>
      </c>
      <c r="O1386" s="53" t="inlineStr">
        <is>
          <t>LOSE</t>
        </is>
      </c>
      <c r="P1386" s="55" t="n"/>
      <c r="Q1386" s="59">
        <f>IF(BO1386=1,0,IFERROR(VLOOKUP(BM1386,'Gebinde-Kategorie'!$A$5:$G$45,6,0)+0,0))</f>
        <v/>
      </c>
      <c r="R1386" s="60" t="n"/>
      <c r="S1386" s="61" t="n"/>
      <c r="T1386" s="61" t="n"/>
      <c r="U1386" s="53">
        <f>IF(A1386="","",IF(IFERROR(VLOOKUP(D1386,Parameter!$A$35:$C$64,2,0),"Nein")="2+3",IF(ISNUMBER(SEARCH("grosser Artikel",BJ1386)),2,IFERROR(VLOOKUP(BM1386,Parameter!$F$35:$G$64,2,0),2)),IF(OR(IFERROR(VLOOKUP(D1386,Parameter!$A$35:$C$64,2,0),"Nein")="Nein",IFERROR(VLOOKUP(D1386,Parameter!$A$35:$C$64,2,0),"Nein")=""),"-",VLOOKUP(D1386,Parameter!$A$35:$C$64,2,0))))</f>
        <v/>
      </c>
      <c r="V1386" s="61" t="n"/>
      <c r="W1386" s="62" t="n"/>
      <c r="X1386" s="55">
        <f>AM1386</f>
        <v/>
      </c>
      <c r="Y1386" s="55">
        <f>MAX(AM1386,G1386)</f>
        <v/>
      </c>
      <c r="Z1386" s="63" t="n"/>
      <c r="AA1386" s="55">
        <f>IF(LEFT(Cockpit!$C$5,1)="A",G1386,IF(BT1386=1,BU1386,IF(LEFT(Cockpit!$C$5,1)="B",AE1386,MAX(AE1386,G1386))))</f>
        <v/>
      </c>
      <c r="AB1386" s="55">
        <f>IF(BO1386=1,0,ROUNDUP(AA1386/BN1386,0))</f>
        <v/>
      </c>
      <c r="AC1386" s="64">
        <f>IF(BO1386=1,IF(AA1386&lt;=0,0,BP1386*MAX(1,IF(G1386&gt;0,AA1386/G1386,1))),AB1386*Q1386)</f>
        <v/>
      </c>
      <c r="AD1386" s="55">
        <f>AA1386*F1386</f>
        <v/>
      </c>
      <c r="AE1386" s="55">
        <f>ROUNDUP(MAX(I1386/IF(BS1386&gt;0,BS1386,MAX(0.1,N(Cockpit!$C$6))),BV1386)/BN1386,0)*BN1386</f>
        <v/>
      </c>
      <c r="AF1386" s="56">
        <f>IF(AC1386&gt;0,I1386/AC1386,-1)</f>
        <v/>
      </c>
      <c r="AG1386" s="56">
        <f>IF(AND(OR(BR1386="L1",BR1386="L23"),AC1386&gt;0),SUMIFS($AC$7:$AC$1570,$BR$7:$BR$1570,BR1386,$AF$7:$AF$1570,"&gt;"&amp;AF1386)+SUMIFS($AC$7:$AC$1570,$BR$7:$BR$1570,BR1386,$AF$7:$AF$1570,AF1386,$BL$7:$BL$1570,"&lt;="&amp;BL1386),"")</f>
        <v/>
      </c>
      <c r="AH1386" s="65">
        <f>IF(AG1386="",0,MAX(0,MIN(1,(IF(BR1386="L1",Parameter!$K$5,Parameter!$K$6+Parameter!$K$7)-(AG1386-AC1386))/AC1386)))</f>
        <v/>
      </c>
      <c r="AI1386" s="55">
        <f>IF(LEFT(Cockpit!$I$5,1)="A",G1386,IF(BT1386=1,BU1386,IF(LEFT(Cockpit!$I$5,1)="B",AM1386,MAX(AM1386,G1386))))</f>
        <v/>
      </c>
      <c r="AJ1386" s="55">
        <f>IF(BO1386=1,0,ROUNDUP(AI1386/BN1386,0))</f>
        <v/>
      </c>
      <c r="AK1386" s="64">
        <f>IF(BO1386=1,IF(AI1386&lt;=0,0,BP1386*MAX(1,IF(G1386&gt;0,AI1386/G1386,1))),AJ1386*Q1386)</f>
        <v/>
      </c>
      <c r="AL1386" s="55">
        <f>AI1386*F1386</f>
        <v/>
      </c>
      <c r="AM1386" s="55">
        <f>ROUNDUP(MAX(I1386/IF(BS1386&gt;0,BS1386,MAX(0.1,N(Cockpit!$I$6))),BV1386)/BN1386,0)*BN1386</f>
        <v/>
      </c>
      <c r="AN1386" s="56">
        <f>IF(AK1386&gt;0,I1386/AK1386,-1)</f>
        <v/>
      </c>
      <c r="AO1386" s="56">
        <f>IF(AND(OR(BR1386="L1",BR1386="L23"),AK1386&gt;0),SUMIFS($AK$7:$AK$1570,$BR$7:$BR$1570,BR1386,$AN$7:$AN$1570,"&gt;"&amp;AN1386)+SUMIFS($AK$7:$AK$1570,$BR$7:$BR$1570,BR1386,$AN$7:$AN$1570,AN1386,$BL$7:$BL$1570,"&lt;="&amp;BL1386),"")</f>
        <v/>
      </c>
      <c r="AP1386" s="65">
        <f>IF(AO1386="",0,MAX(0,MIN(1,(IF(BR1386="L1",Parameter!$K$5,Parameter!$K$6+Parameter!$K$7)-(AO1386-AK1386))/AK1386)))</f>
        <v/>
      </c>
      <c r="AQ1386" s="55">
        <f>IF(LEFT(Cockpit!$O$5,1)="A",G1386,IF(BT1386=1,BU1386,IF(LEFT(Cockpit!$O$5,1)="B",AU1386,MAX(AU1386,G1386))))</f>
        <v/>
      </c>
      <c r="AR1386" s="55">
        <f>IF(BO1386=1,0,ROUNDUP(AQ1386/BN1386,0))</f>
        <v/>
      </c>
      <c r="AS1386" s="64">
        <f>IF(BO1386=1,IF(AQ1386&lt;=0,0,BP1386*MAX(1,IF(G1386&gt;0,AQ1386/G1386,1))),AR1386*Q1386)</f>
        <v/>
      </c>
      <c r="AT1386" s="55">
        <f>AQ1386*F1386</f>
        <v/>
      </c>
      <c r="AU1386" s="55">
        <f>ROUNDUP(MAX(I1386/IF(BS1386&gt;0,BS1386,MAX(0.1,N(Cockpit!$O$6))),BV1386)/BN1386,0)*BN1386</f>
        <v/>
      </c>
      <c r="AV1386" s="56">
        <f>IF(AS1386&gt;0,I1386/AS1386,-1)</f>
        <v/>
      </c>
      <c r="AW1386" s="56">
        <f>IF(AND(OR(BR1386="L1",BR1386="L23"),AS1386&gt;0),SUMIFS($AS$7:$AS$1570,$BR$7:$BR$1570,BR1386,$AV$7:$AV$1570,"&gt;"&amp;AV1386)+SUMIFS($AS$7:$AS$1570,$BR$7:$BR$1570,BR1386,$AV$7:$AV$1570,AV1386,$BL$7:$BL$1570,"&lt;="&amp;BL1386),"")</f>
        <v/>
      </c>
      <c r="AX1386" s="65">
        <f>IF(AW1386="",0,MAX(0,MIN(1,(IF(BR1386="L1",Parameter!$K$5,Parameter!$K$6+Parameter!$K$7)-(AW1386-AS1386))/AS1386)))</f>
        <v/>
      </c>
      <c r="AY1386" s="53">
        <f>IF(AC1386&lt;=0,"",IF(BR1386="Aussen","Aussenlager",IF(BR1386="-","Nicht im Lift",IF(AH1386&gt;=1,"Lift",IF(AH1386&lt;=0,"Aussenlager","teilweise")))))</f>
        <v/>
      </c>
      <c r="AZ1386" s="53">
        <f>IF(AK1386&lt;=0,"",IF(BR1386="Aussen","Aussenlager",IF(BR1386="-","Nicht im Lift",IF(AP1386&gt;=1,"Lift",IF(AP1386&lt;=0,"Aussenlager","teilweise")))))</f>
        <v/>
      </c>
      <c r="BA1386" s="53">
        <f>IF(AS1386&lt;=0,"",IF(BR1386="Aussen","Aussenlager",IF(BR1386="-","Nicht im Lift",IF(AX1386&gt;=1,"Lift",IF(AX1386&lt;=0,"Aussenlager","teilweise")))))</f>
        <v/>
      </c>
      <c r="BB1386" s="53">
        <f>IF(A1386="","",IF(BK1386=1,"Neu; ","")&amp;IF(AND(BK1386=0,BF1386&lt;0),"negativer Bestand (Export "&amp;BF1386&amp;"); ","")&amp;IF(I1386&lt;=0,"Kein Verbrauch; ","")&amp;IF(BO1386=1,"Lose – Fläche geschätzt; ","")&amp;IF(G1386&gt;AM1386,"Überbestand "&amp;ROUND(G1386-AM1386,0)&amp;" Stk / CHF "&amp;ROUND((G1386-AM1386)*F1386,0)&amp;"; ","")&amp;IF(AND(BT1386=1,BU1386&lt;BV1386),"MAX &lt; MB+LG; ","")&amp;IF(AND(BZ1386&gt;0,BY1386*10&gt;BZ1386),"zu hoch für Tablar; ","")&amp;IF(AND(BK1386=0,OR(BT1386=1,V1386&lt;&gt;"",S1386&lt;&gt;"",T1386&lt;&gt;"",W1386&lt;&gt;"")),"manuell übersteuert; ","")&amp;IF(AND(BO1386=0,Q1386=0),"Gebinde unbekannt; ","")&amp;IF(AND(BO1386=0,N(T1386)&lt;=0,N(P1386)&lt;=0),"Menge pro Gebinde fehlt (Ist = 1 Gebinde); ","")&amp;BJ1386)</f>
        <v/>
      </c>
      <c r="BC1386" s="53" t="n"/>
      <c r="BD1386" s="53" t="n"/>
      <c r="BE1386" s="61" t="n"/>
      <c r="BF1386" s="55" t="n">
        <v>-2</v>
      </c>
      <c r="BG1386" s="55" t="n">
        <v>2</v>
      </c>
      <c r="BH1386" s="54" t="n">
        <v>-3197.92</v>
      </c>
      <c r="BI1386" s="55" t="n">
        <v>0</v>
      </c>
      <c r="BJ1386" s="53" t="inlineStr"/>
      <c r="BK1386" s="58" t="n">
        <v>0</v>
      </c>
      <c r="BL1386" s="58" t="n">
        <v>1386</v>
      </c>
      <c r="BM1386" s="53">
        <f>IF(S1386&lt;&gt;"",UPPER(TRIM(S1386)),IF(O1386="","LOSE",O1386))</f>
        <v/>
      </c>
      <c r="BN1386" s="55">
        <f>IF(BM1386="LOSE",1,IF(N(T1386)&gt;0,T1386,IF(N(P1386)&gt;0,P1386,MAX(1,G1386))))</f>
        <v/>
      </c>
      <c r="BO1386" s="58">
        <f>IF(BM1386="LOSE",1,0)</f>
        <v/>
      </c>
      <c r="BP1386" s="64">
        <f>IF(BO1386=0,0,IF(N(R1386)&gt;0,R1386,IFERROR(VLOOKUP(D1386,Parameter!$A$35:$C$64,3,0)+0,0)))</f>
        <v/>
      </c>
      <c r="BQ1386" s="53">
        <f>IF(V1386&lt;&gt;"",V1386,U1386)</f>
        <v/>
      </c>
      <c r="BR1386" s="53">
        <f>IF(BQ1386=1,"L1",IF(OR(BQ1386=2,BQ1386=3),"L23",IF(BQ1386="Aussen","Aussen","-")))</f>
        <v/>
      </c>
      <c r="BS1386" s="66">
        <f>IF(N(W1386)&gt;0,W1386,0)</f>
        <v/>
      </c>
      <c r="BT1386" s="58">
        <f>IF(ISNUMBER(Z1386),1,0)</f>
        <v/>
      </c>
      <c r="BU1386" s="55">
        <f>N(Z1386)</f>
        <v/>
      </c>
      <c r="BV1386" s="55">
        <f>N(L1386)+N(M1386)</f>
        <v/>
      </c>
      <c r="BW1386" s="55">
        <f>ROUNDUP(G1386/BN1386,0)</f>
        <v/>
      </c>
      <c r="BX1386" s="55">
        <f>ROUNDUP(BU1386/BN1386,0)</f>
        <v/>
      </c>
      <c r="BY1386" s="58">
        <f>IF(BO1386=1,0,IFERROR(VLOOKUP(BM1386,'Gebinde-Kategorie'!$A$5:$G$45,5,0)+0,0))</f>
        <v/>
      </c>
      <c r="BZ1386" s="58">
        <f>IFERROR(IF(OR(BQ1386=1,BQ1386=2,BQ1386=3),N(INDEX(Parameter!$I$5:$I$7,BQ1386)),0),0)</f>
        <v/>
      </c>
    </row>
    <row r="1387">
      <c r="A1387" s="53" t="inlineStr">
        <is>
          <t>107093</t>
        </is>
      </c>
      <c r="B1387" s="53" t="inlineStr">
        <is>
          <t>Werkzeugkiste (Behälter)</t>
        </is>
      </c>
      <c r="C1387" s="53" t="inlineStr">
        <is>
          <t>F</t>
        </is>
      </c>
      <c r="D1387" s="53" t="inlineStr">
        <is>
          <t>PAL</t>
        </is>
      </c>
      <c r="E1387" s="53" t="inlineStr">
        <is>
          <t>C</t>
        </is>
      </c>
      <c r="F1387" s="54" t="n">
        <v>570</v>
      </c>
      <c r="G1387" s="55">
        <f>MAX(0,IF(Parameter!$B$20="Jahresanfang 2025 + Export",BG1387+BF1387,BF1387))</f>
        <v/>
      </c>
      <c r="H1387" s="55">
        <f>G1387*F1387</f>
        <v/>
      </c>
      <c r="I1387" s="55">
        <f>BI1387*Parameter!$B$18</f>
        <v/>
      </c>
      <c r="J1387" s="56" t="n">
        <v>6.5</v>
      </c>
      <c r="K1387" s="57" t="n">
        <v>1.230769230769231</v>
      </c>
      <c r="L1387" s="55" t="n">
        <v>0</v>
      </c>
      <c r="M1387" s="55" t="n">
        <v>1</v>
      </c>
      <c r="N1387" s="58" t="n">
        <v>35</v>
      </c>
      <c r="O1387" s="53" t="inlineStr">
        <is>
          <t>S82</t>
        </is>
      </c>
      <c r="P1387" s="55" t="n">
        <v>4</v>
      </c>
      <c r="Q1387" s="59">
        <f>IF(BO1387=1,0,IFERROR(VLOOKUP(BM1387,'Gebinde-Kategorie'!$A$5:$G$45,6,0)+0,0))</f>
        <v/>
      </c>
      <c r="R1387" s="60" t="n"/>
      <c r="S1387" s="61" t="n"/>
      <c r="T1387" s="61" t="n"/>
      <c r="U1387" s="53">
        <f>IF(A1387="","",IF(IFERROR(VLOOKUP(D1387,Parameter!$A$35:$C$64,2,0),"Nein")="2+3",IF(ISNUMBER(SEARCH("grosser Artikel",BJ1387)),2,IFERROR(VLOOKUP(BM1387,Parameter!$F$35:$G$64,2,0),2)),IF(OR(IFERROR(VLOOKUP(D1387,Parameter!$A$35:$C$64,2,0),"Nein")="Nein",IFERROR(VLOOKUP(D1387,Parameter!$A$35:$C$64,2,0),"Nein")=""),"-",VLOOKUP(D1387,Parameter!$A$35:$C$64,2,0))))</f>
        <v/>
      </c>
      <c r="V1387" s="61" t="n"/>
      <c r="W1387" s="62" t="n"/>
      <c r="X1387" s="55">
        <f>AM1387</f>
        <v/>
      </c>
      <c r="Y1387" s="55">
        <f>MAX(AM1387,G1387)</f>
        <v/>
      </c>
      <c r="Z1387" s="63" t="n"/>
      <c r="AA1387" s="55">
        <f>IF(LEFT(Cockpit!$C$5,1)="A",G1387,IF(BT1387=1,BU1387,IF(LEFT(Cockpit!$C$5,1)="B",AE1387,MAX(AE1387,G1387))))</f>
        <v/>
      </c>
      <c r="AB1387" s="55">
        <f>IF(BO1387=1,0,ROUNDUP(AA1387/BN1387,0))</f>
        <v/>
      </c>
      <c r="AC1387" s="64">
        <f>IF(BO1387=1,IF(AA1387&lt;=0,0,BP1387*MAX(1,IF(G1387&gt;0,AA1387/G1387,1))),AB1387*Q1387)</f>
        <v/>
      </c>
      <c r="AD1387" s="55">
        <f>AA1387*F1387</f>
        <v/>
      </c>
      <c r="AE1387" s="55">
        <f>ROUNDUP(MAX(I1387/IF(BS1387&gt;0,BS1387,MAX(0.1,N(Cockpit!$C$6))),BV1387)/BN1387,0)*BN1387</f>
        <v/>
      </c>
      <c r="AF1387" s="56">
        <f>IF(AC1387&gt;0,I1387/AC1387,-1)</f>
        <v/>
      </c>
      <c r="AG1387" s="56">
        <f>IF(AND(OR(BR1387="L1",BR1387="L23"),AC1387&gt;0),SUMIFS($AC$7:$AC$1570,$BR$7:$BR$1570,BR1387,$AF$7:$AF$1570,"&gt;"&amp;AF1387)+SUMIFS($AC$7:$AC$1570,$BR$7:$BR$1570,BR1387,$AF$7:$AF$1570,AF1387,$BL$7:$BL$1570,"&lt;="&amp;BL1387),"")</f>
        <v/>
      </c>
      <c r="AH1387" s="65">
        <f>IF(AG1387="",0,MAX(0,MIN(1,(IF(BR1387="L1",Parameter!$K$5,Parameter!$K$6+Parameter!$K$7)-(AG1387-AC1387))/AC1387)))</f>
        <v/>
      </c>
      <c r="AI1387" s="55">
        <f>IF(LEFT(Cockpit!$I$5,1)="A",G1387,IF(BT1387=1,BU1387,IF(LEFT(Cockpit!$I$5,1)="B",AM1387,MAX(AM1387,G1387))))</f>
        <v/>
      </c>
      <c r="AJ1387" s="55">
        <f>IF(BO1387=1,0,ROUNDUP(AI1387/BN1387,0))</f>
        <v/>
      </c>
      <c r="AK1387" s="64">
        <f>IF(BO1387=1,IF(AI1387&lt;=0,0,BP1387*MAX(1,IF(G1387&gt;0,AI1387/G1387,1))),AJ1387*Q1387)</f>
        <v/>
      </c>
      <c r="AL1387" s="55">
        <f>AI1387*F1387</f>
        <v/>
      </c>
      <c r="AM1387" s="55">
        <f>ROUNDUP(MAX(I1387/IF(BS1387&gt;0,BS1387,MAX(0.1,N(Cockpit!$I$6))),BV1387)/BN1387,0)*BN1387</f>
        <v/>
      </c>
      <c r="AN1387" s="56">
        <f>IF(AK1387&gt;0,I1387/AK1387,-1)</f>
        <v/>
      </c>
      <c r="AO1387" s="56">
        <f>IF(AND(OR(BR1387="L1",BR1387="L23"),AK1387&gt;0),SUMIFS($AK$7:$AK$1570,$BR$7:$BR$1570,BR1387,$AN$7:$AN$1570,"&gt;"&amp;AN1387)+SUMIFS($AK$7:$AK$1570,$BR$7:$BR$1570,BR1387,$AN$7:$AN$1570,AN1387,$BL$7:$BL$1570,"&lt;="&amp;BL1387),"")</f>
        <v/>
      </c>
      <c r="AP1387" s="65">
        <f>IF(AO1387="",0,MAX(0,MIN(1,(IF(BR1387="L1",Parameter!$K$5,Parameter!$K$6+Parameter!$K$7)-(AO1387-AK1387))/AK1387)))</f>
        <v/>
      </c>
      <c r="AQ1387" s="55">
        <f>IF(LEFT(Cockpit!$O$5,1)="A",G1387,IF(BT1387=1,BU1387,IF(LEFT(Cockpit!$O$5,1)="B",AU1387,MAX(AU1387,G1387))))</f>
        <v/>
      </c>
      <c r="AR1387" s="55">
        <f>IF(BO1387=1,0,ROUNDUP(AQ1387/BN1387,0))</f>
        <v/>
      </c>
      <c r="AS1387" s="64">
        <f>IF(BO1387=1,IF(AQ1387&lt;=0,0,BP1387*MAX(1,IF(G1387&gt;0,AQ1387/G1387,1))),AR1387*Q1387)</f>
        <v/>
      </c>
      <c r="AT1387" s="55">
        <f>AQ1387*F1387</f>
        <v/>
      </c>
      <c r="AU1387" s="55">
        <f>ROUNDUP(MAX(I1387/IF(BS1387&gt;0,BS1387,MAX(0.1,N(Cockpit!$O$6))),BV1387)/BN1387,0)*BN1387</f>
        <v/>
      </c>
      <c r="AV1387" s="56">
        <f>IF(AS1387&gt;0,I1387/AS1387,-1)</f>
        <v/>
      </c>
      <c r="AW1387" s="56">
        <f>IF(AND(OR(BR1387="L1",BR1387="L23"),AS1387&gt;0),SUMIFS($AS$7:$AS$1570,$BR$7:$BR$1570,BR1387,$AV$7:$AV$1570,"&gt;"&amp;AV1387)+SUMIFS($AS$7:$AS$1570,$BR$7:$BR$1570,BR1387,$AV$7:$AV$1570,AV1387,$BL$7:$BL$1570,"&lt;="&amp;BL1387),"")</f>
        <v/>
      </c>
      <c r="AX1387" s="65">
        <f>IF(AW1387="",0,MAX(0,MIN(1,(IF(BR1387="L1",Parameter!$K$5,Parameter!$K$6+Parameter!$K$7)-(AW1387-AS1387))/AS1387)))</f>
        <v/>
      </c>
      <c r="AY1387" s="53">
        <f>IF(AC1387&lt;=0,"",IF(BR1387="Aussen","Aussenlager",IF(BR1387="-","Nicht im Lift",IF(AH1387&gt;=1,"Lift",IF(AH1387&lt;=0,"Aussenlager","teilweise")))))</f>
        <v/>
      </c>
      <c r="AZ1387" s="53">
        <f>IF(AK1387&lt;=0,"",IF(BR1387="Aussen","Aussenlager",IF(BR1387="-","Nicht im Lift",IF(AP1387&gt;=1,"Lift",IF(AP1387&lt;=0,"Aussenlager","teilweise")))))</f>
        <v/>
      </c>
      <c r="BA1387" s="53">
        <f>IF(AS1387&lt;=0,"",IF(BR1387="Aussen","Aussenlager",IF(BR1387="-","Nicht im Lift",IF(AX1387&gt;=1,"Lift",IF(AX1387&lt;=0,"Aussenlager","teilweise")))))</f>
        <v/>
      </c>
      <c r="BB1387" s="53">
        <f>IF(A1387="","",IF(BK1387=1,"Neu; ","")&amp;IF(AND(BK1387=0,BF1387&lt;0),"negativer Bestand (Export "&amp;BF1387&amp;"); ","")&amp;IF(I1387&lt;=0,"Kein Verbrauch; ","")&amp;IF(BO1387=1,"Lose – Fläche geschätzt; ","")&amp;IF(G1387&gt;AM1387,"Überbestand "&amp;ROUND(G1387-AM1387,0)&amp;" Stk / CHF "&amp;ROUND((G1387-AM1387)*F1387,0)&amp;"; ","")&amp;IF(AND(BT1387=1,BU1387&lt;BV1387),"MAX &lt; MB+LG; ","")&amp;IF(AND(BZ1387&gt;0,BY1387*10&gt;BZ1387),"zu hoch für Tablar; ","")&amp;IF(AND(BK1387=0,OR(BT1387=1,V1387&lt;&gt;"",S1387&lt;&gt;"",T1387&lt;&gt;"",W1387&lt;&gt;"")),"manuell übersteuert; ","")&amp;IF(AND(BO1387=0,Q1387=0),"Gebinde unbekannt; ","")&amp;IF(AND(BO1387=0,N(T1387)&lt;=0,N(P1387)&lt;=0),"Menge pro Gebinde fehlt (Ist = 1 Gebinde); ","")&amp;BJ1387)</f>
        <v/>
      </c>
      <c r="BC1387" s="53" t="n"/>
      <c r="BD1387" s="53" t="n"/>
      <c r="BE1387" s="61" t="n"/>
      <c r="BF1387" s="55" t="n">
        <v>-9</v>
      </c>
      <c r="BG1387" s="55" t="n">
        <v>11</v>
      </c>
      <c r="BH1387" s="54" t="n">
        <v>-3208.63</v>
      </c>
      <c r="BI1387" s="55" t="n">
        <v>8</v>
      </c>
      <c r="BJ1387" s="53" t="inlineStr">
        <is>
          <t>Neu</t>
        </is>
      </c>
      <c r="BK1387" s="58" t="n">
        <v>0</v>
      </c>
      <c r="BL1387" s="58" t="n">
        <v>1387</v>
      </c>
      <c r="BM1387" s="53">
        <f>IF(S1387&lt;&gt;"",UPPER(TRIM(S1387)),IF(O1387="","LOSE",O1387))</f>
        <v/>
      </c>
      <c r="BN1387" s="55">
        <f>IF(BM1387="LOSE",1,IF(N(T1387)&gt;0,T1387,IF(N(P1387)&gt;0,P1387,MAX(1,G1387))))</f>
        <v/>
      </c>
      <c r="BO1387" s="58">
        <f>IF(BM1387="LOSE",1,0)</f>
        <v/>
      </c>
      <c r="BP1387" s="64">
        <f>IF(BO1387=0,0,IF(N(R1387)&gt;0,R1387,IFERROR(VLOOKUP(D1387,Parameter!$A$35:$C$64,3,0)+0,0)))</f>
        <v/>
      </c>
      <c r="BQ1387" s="53">
        <f>IF(V1387&lt;&gt;"",V1387,U1387)</f>
        <v/>
      </c>
      <c r="BR1387" s="53">
        <f>IF(BQ1387=1,"L1",IF(OR(BQ1387=2,BQ1387=3),"L23",IF(BQ1387="Aussen","Aussen","-")))</f>
        <v/>
      </c>
      <c r="BS1387" s="66">
        <f>IF(N(W1387)&gt;0,W1387,0)</f>
        <v/>
      </c>
      <c r="BT1387" s="58">
        <f>IF(ISNUMBER(Z1387),1,0)</f>
        <v/>
      </c>
      <c r="BU1387" s="55">
        <f>N(Z1387)</f>
        <v/>
      </c>
      <c r="BV1387" s="55">
        <f>N(L1387)+N(M1387)</f>
        <v/>
      </c>
      <c r="BW1387" s="55">
        <f>ROUNDUP(G1387/BN1387,0)</f>
        <v/>
      </c>
      <c r="BX1387" s="55">
        <f>ROUNDUP(BU1387/BN1387,0)</f>
        <v/>
      </c>
      <c r="BY1387" s="58">
        <f>IF(BO1387=1,0,IFERROR(VLOOKUP(BM1387,'Gebinde-Kategorie'!$A$5:$G$45,5,0)+0,0))</f>
        <v/>
      </c>
      <c r="BZ1387" s="58">
        <f>IFERROR(IF(OR(BQ1387=1,BQ1387=2,BQ1387=3),N(INDEX(Parameter!$I$5:$I$7,BQ1387)),0),0)</f>
        <v/>
      </c>
    </row>
    <row r="1388">
      <c r="A1388" s="53" t="inlineStr">
        <is>
          <t>100343</t>
        </is>
      </c>
      <c r="B1388" s="53" t="inlineStr">
        <is>
          <t>Kugelhahn CH4/N2</t>
        </is>
      </c>
      <c r="C1388" s="53" t="inlineStr">
        <is>
          <t>F</t>
        </is>
      </c>
      <c r="D1388" s="53" t="inlineStr">
        <is>
          <t>KTL</t>
        </is>
      </c>
      <c r="E1388" s="53" t="inlineStr">
        <is>
          <t>C</t>
        </is>
      </c>
      <c r="F1388" s="54" t="n">
        <v>365.34</v>
      </c>
      <c r="G1388" s="55">
        <f>MAX(0,IF(Parameter!$B$20="Jahresanfang 2025 + Export",BG1388+BF1388,BF1388))</f>
        <v/>
      </c>
      <c r="H1388" s="55">
        <f>G1388*F1388</f>
        <v/>
      </c>
      <c r="I1388" s="55">
        <f>BI1388*Parameter!$B$18</f>
        <v/>
      </c>
      <c r="J1388" s="56" t="n">
        <v>20</v>
      </c>
      <c r="K1388" s="57" t="n">
        <v>1</v>
      </c>
      <c r="L1388" s="55" t="n">
        <v>1</v>
      </c>
      <c r="M1388" s="55" t="n">
        <v>10</v>
      </c>
      <c r="N1388" s="58" t="n">
        <v>21</v>
      </c>
      <c r="O1388" s="53" t="inlineStr">
        <is>
          <t>S52</t>
        </is>
      </c>
      <c r="P1388" s="55" t="n">
        <v>11</v>
      </c>
      <c r="Q1388" s="59">
        <f>IF(BO1388=1,0,IFERROR(VLOOKUP(BM1388,'Gebinde-Kategorie'!$A$5:$G$45,6,0)+0,0))</f>
        <v/>
      </c>
      <c r="R1388" s="60" t="n"/>
      <c r="S1388" s="61" t="n"/>
      <c r="T1388" s="61" t="n"/>
      <c r="U1388" s="53">
        <f>IF(A1388="","",IF(IFERROR(VLOOKUP(D1388,Parameter!$A$35:$C$64,2,0),"Nein")="2+3",IF(ISNUMBER(SEARCH("grosser Artikel",BJ1388)),2,IFERROR(VLOOKUP(BM1388,Parameter!$F$35:$G$64,2,0),2)),IF(OR(IFERROR(VLOOKUP(D1388,Parameter!$A$35:$C$64,2,0),"Nein")="Nein",IFERROR(VLOOKUP(D1388,Parameter!$A$35:$C$64,2,0),"Nein")=""),"-",VLOOKUP(D1388,Parameter!$A$35:$C$64,2,0))))</f>
        <v/>
      </c>
      <c r="V1388" s="61" t="n"/>
      <c r="W1388" s="62" t="n"/>
      <c r="X1388" s="55">
        <f>AM1388</f>
        <v/>
      </c>
      <c r="Y1388" s="55">
        <f>MAX(AM1388,G1388)</f>
        <v/>
      </c>
      <c r="Z1388" s="63" t="n"/>
      <c r="AA1388" s="55">
        <f>IF(LEFT(Cockpit!$C$5,1)="A",G1388,IF(BT1388=1,BU1388,IF(LEFT(Cockpit!$C$5,1)="B",AE1388,MAX(AE1388,G1388))))</f>
        <v/>
      </c>
      <c r="AB1388" s="55">
        <f>IF(BO1388=1,0,ROUNDUP(AA1388/BN1388,0))</f>
        <v/>
      </c>
      <c r="AC1388" s="64">
        <f>IF(BO1388=1,IF(AA1388&lt;=0,0,BP1388*MAX(1,IF(G1388&gt;0,AA1388/G1388,1))),AB1388*Q1388)</f>
        <v/>
      </c>
      <c r="AD1388" s="55">
        <f>AA1388*F1388</f>
        <v/>
      </c>
      <c r="AE1388" s="55">
        <f>ROUNDUP(MAX(I1388/IF(BS1388&gt;0,BS1388,MAX(0.1,N(Cockpit!$C$6))),BV1388)/BN1388,0)*BN1388</f>
        <v/>
      </c>
      <c r="AF1388" s="56">
        <f>IF(AC1388&gt;0,I1388/AC1388,-1)</f>
        <v/>
      </c>
      <c r="AG1388" s="56">
        <f>IF(AND(OR(BR1388="L1",BR1388="L23"),AC1388&gt;0),SUMIFS($AC$7:$AC$1570,$BR$7:$BR$1570,BR1388,$AF$7:$AF$1570,"&gt;"&amp;AF1388)+SUMIFS($AC$7:$AC$1570,$BR$7:$BR$1570,BR1388,$AF$7:$AF$1570,AF1388,$BL$7:$BL$1570,"&lt;="&amp;BL1388),"")</f>
        <v/>
      </c>
      <c r="AH1388" s="65">
        <f>IF(AG1388="",0,MAX(0,MIN(1,(IF(BR1388="L1",Parameter!$K$5,Parameter!$K$6+Parameter!$K$7)-(AG1388-AC1388))/AC1388)))</f>
        <v/>
      </c>
      <c r="AI1388" s="55">
        <f>IF(LEFT(Cockpit!$I$5,1)="A",G1388,IF(BT1388=1,BU1388,IF(LEFT(Cockpit!$I$5,1)="B",AM1388,MAX(AM1388,G1388))))</f>
        <v/>
      </c>
      <c r="AJ1388" s="55">
        <f>IF(BO1388=1,0,ROUNDUP(AI1388/BN1388,0))</f>
        <v/>
      </c>
      <c r="AK1388" s="64">
        <f>IF(BO1388=1,IF(AI1388&lt;=0,0,BP1388*MAX(1,IF(G1388&gt;0,AI1388/G1388,1))),AJ1388*Q1388)</f>
        <v/>
      </c>
      <c r="AL1388" s="55">
        <f>AI1388*F1388</f>
        <v/>
      </c>
      <c r="AM1388" s="55">
        <f>ROUNDUP(MAX(I1388/IF(BS1388&gt;0,BS1388,MAX(0.1,N(Cockpit!$I$6))),BV1388)/BN1388,0)*BN1388</f>
        <v/>
      </c>
      <c r="AN1388" s="56">
        <f>IF(AK1388&gt;0,I1388/AK1388,-1)</f>
        <v/>
      </c>
      <c r="AO1388" s="56">
        <f>IF(AND(OR(BR1388="L1",BR1388="L23"),AK1388&gt;0),SUMIFS($AK$7:$AK$1570,$BR$7:$BR$1570,BR1388,$AN$7:$AN$1570,"&gt;"&amp;AN1388)+SUMIFS($AK$7:$AK$1570,$BR$7:$BR$1570,BR1388,$AN$7:$AN$1570,AN1388,$BL$7:$BL$1570,"&lt;="&amp;BL1388),"")</f>
        <v/>
      </c>
      <c r="AP1388" s="65">
        <f>IF(AO1388="",0,MAX(0,MIN(1,(IF(BR1388="L1",Parameter!$K$5,Parameter!$K$6+Parameter!$K$7)-(AO1388-AK1388))/AK1388)))</f>
        <v/>
      </c>
      <c r="AQ1388" s="55">
        <f>IF(LEFT(Cockpit!$O$5,1)="A",G1388,IF(BT1388=1,BU1388,IF(LEFT(Cockpit!$O$5,1)="B",AU1388,MAX(AU1388,G1388))))</f>
        <v/>
      </c>
      <c r="AR1388" s="55">
        <f>IF(BO1388=1,0,ROUNDUP(AQ1388/BN1388,0))</f>
        <v/>
      </c>
      <c r="AS1388" s="64">
        <f>IF(BO1388=1,IF(AQ1388&lt;=0,0,BP1388*MAX(1,IF(G1388&gt;0,AQ1388/G1388,1))),AR1388*Q1388)</f>
        <v/>
      </c>
      <c r="AT1388" s="55">
        <f>AQ1388*F1388</f>
        <v/>
      </c>
      <c r="AU1388" s="55">
        <f>ROUNDUP(MAX(I1388/IF(BS1388&gt;0,BS1388,MAX(0.1,N(Cockpit!$O$6))),BV1388)/BN1388,0)*BN1388</f>
        <v/>
      </c>
      <c r="AV1388" s="56">
        <f>IF(AS1388&gt;0,I1388/AS1388,-1)</f>
        <v/>
      </c>
      <c r="AW1388" s="56">
        <f>IF(AND(OR(BR1388="L1",BR1388="L23"),AS1388&gt;0),SUMIFS($AS$7:$AS$1570,$BR$7:$BR$1570,BR1388,$AV$7:$AV$1570,"&gt;"&amp;AV1388)+SUMIFS($AS$7:$AS$1570,$BR$7:$BR$1570,BR1388,$AV$7:$AV$1570,AV1388,$BL$7:$BL$1570,"&lt;="&amp;BL1388),"")</f>
        <v/>
      </c>
      <c r="AX1388" s="65">
        <f>IF(AW1388="",0,MAX(0,MIN(1,(IF(BR1388="L1",Parameter!$K$5,Parameter!$K$6+Parameter!$K$7)-(AW1388-AS1388))/AS1388)))</f>
        <v/>
      </c>
      <c r="AY1388" s="53">
        <f>IF(AC1388&lt;=0,"",IF(BR1388="Aussen","Aussenlager",IF(BR1388="-","Nicht im Lift",IF(AH1388&gt;=1,"Lift",IF(AH1388&lt;=0,"Aussenlager","teilweise")))))</f>
        <v/>
      </c>
      <c r="AZ1388" s="53">
        <f>IF(AK1388&lt;=0,"",IF(BR1388="Aussen","Aussenlager",IF(BR1388="-","Nicht im Lift",IF(AP1388&gt;=1,"Lift",IF(AP1388&lt;=0,"Aussenlager","teilweise")))))</f>
        <v/>
      </c>
      <c r="BA1388" s="53">
        <f>IF(AS1388&lt;=0,"",IF(BR1388="Aussen","Aussenlager",IF(BR1388="-","Nicht im Lift",IF(AX1388&gt;=1,"Lift",IF(AX1388&lt;=0,"Aussenlager","teilweise")))))</f>
        <v/>
      </c>
      <c r="BB1388" s="53">
        <f>IF(A1388="","",IF(BK1388=1,"Neu; ","")&amp;IF(AND(BK1388=0,BF1388&lt;0),"negativer Bestand (Export "&amp;BF1388&amp;"); ","")&amp;IF(I1388&lt;=0,"Kein Verbrauch; ","")&amp;IF(BO1388=1,"Lose – Fläche geschätzt; ","")&amp;IF(G1388&gt;AM1388,"Überbestand "&amp;ROUND(G1388-AM1388,0)&amp;" Stk / CHF "&amp;ROUND((G1388-AM1388)*F1388,0)&amp;"; ","")&amp;IF(AND(BT1388=1,BU1388&lt;BV1388),"MAX &lt; MB+LG; ","")&amp;IF(AND(BZ1388&gt;0,BY1388*10&gt;BZ1388),"zu hoch für Tablar; ","")&amp;IF(AND(BK1388=0,OR(BT1388=1,V1388&lt;&gt;"",S1388&lt;&gt;"",T1388&lt;&gt;"",W1388&lt;&gt;"")),"manuell übersteuert; ","")&amp;IF(AND(BO1388=0,Q1388=0),"Gebinde unbekannt; ","")&amp;IF(AND(BO1388=0,N(T1388)&lt;=0,N(P1388)&lt;=0),"Menge pro Gebinde fehlt (Ist = 1 Gebinde); ","")&amp;BJ1388)</f>
        <v/>
      </c>
      <c r="BC1388" s="53" t="n"/>
      <c r="BD1388" s="53" t="n"/>
      <c r="BE1388" s="61" t="n"/>
      <c r="BF1388" s="55" t="n">
        <v>-10</v>
      </c>
      <c r="BG1388" s="55" t="n">
        <v>25</v>
      </c>
      <c r="BH1388" s="54" t="n">
        <v>-3373.259999999999</v>
      </c>
      <c r="BI1388" s="55" t="n">
        <v>20</v>
      </c>
      <c r="BJ1388" s="53" t="inlineStr"/>
      <c r="BK1388" s="58" t="n">
        <v>0</v>
      </c>
      <c r="BL1388" s="58" t="n">
        <v>1388</v>
      </c>
      <c r="BM1388" s="53">
        <f>IF(S1388&lt;&gt;"",UPPER(TRIM(S1388)),IF(O1388="","LOSE",O1388))</f>
        <v/>
      </c>
      <c r="BN1388" s="55">
        <f>IF(BM1388="LOSE",1,IF(N(T1388)&gt;0,T1388,IF(N(P1388)&gt;0,P1388,MAX(1,G1388))))</f>
        <v/>
      </c>
      <c r="BO1388" s="58">
        <f>IF(BM1388="LOSE",1,0)</f>
        <v/>
      </c>
      <c r="BP1388" s="64">
        <f>IF(BO1388=0,0,IF(N(R1388)&gt;0,R1388,IFERROR(VLOOKUP(D1388,Parameter!$A$35:$C$64,3,0)+0,0)))</f>
        <v/>
      </c>
      <c r="BQ1388" s="53">
        <f>IF(V1388&lt;&gt;"",V1388,U1388)</f>
        <v/>
      </c>
      <c r="BR1388" s="53">
        <f>IF(BQ1388=1,"L1",IF(OR(BQ1388=2,BQ1388=3),"L23",IF(BQ1388="Aussen","Aussen","-")))</f>
        <v/>
      </c>
      <c r="BS1388" s="66">
        <f>IF(N(W1388)&gt;0,W1388,0)</f>
        <v/>
      </c>
      <c r="BT1388" s="58">
        <f>IF(ISNUMBER(Z1388),1,0)</f>
        <v/>
      </c>
      <c r="BU1388" s="55">
        <f>N(Z1388)</f>
        <v/>
      </c>
      <c r="BV1388" s="55">
        <f>N(L1388)+N(M1388)</f>
        <v/>
      </c>
      <c r="BW1388" s="55">
        <f>ROUNDUP(G1388/BN1388,0)</f>
        <v/>
      </c>
      <c r="BX1388" s="55">
        <f>ROUNDUP(BU1388/BN1388,0)</f>
        <v/>
      </c>
      <c r="BY1388" s="58">
        <f>IF(BO1388=1,0,IFERROR(VLOOKUP(BM1388,'Gebinde-Kategorie'!$A$5:$G$45,5,0)+0,0))</f>
        <v/>
      </c>
      <c r="BZ1388" s="58">
        <f>IFERROR(IF(OR(BQ1388=1,BQ1388=2,BQ1388=3),N(INDEX(Parameter!$I$5:$I$7,BQ1388)),0),0)</f>
        <v/>
      </c>
    </row>
    <row r="1389">
      <c r="A1389" s="53" t="inlineStr">
        <is>
          <t>107400</t>
        </is>
      </c>
      <c r="B1389" s="53" t="inlineStr">
        <is>
          <t>Ventilkabel Brenngas</t>
        </is>
      </c>
      <c r="C1389" s="53" t="inlineStr">
        <is>
          <t>F</t>
        </is>
      </c>
      <c r="D1389" s="53" t="inlineStr">
        <is>
          <t>PAL</t>
        </is>
      </c>
      <c r="E1389" s="53" t="inlineStr">
        <is>
          <t>C</t>
        </is>
      </c>
      <c r="F1389" s="54" t="n">
        <v>202.04</v>
      </c>
      <c r="G1389" s="55">
        <f>MAX(0,IF(Parameter!$B$20="Jahresanfang 2025 + Export",BG1389+BF1389,BF1389))</f>
        <v/>
      </c>
      <c r="H1389" s="55">
        <f>G1389*F1389</f>
        <v/>
      </c>
      <c r="I1389" s="55">
        <f>BI1389*Parameter!$B$18</f>
        <v/>
      </c>
      <c r="J1389" s="56" t="n">
        <v>29.5</v>
      </c>
      <c r="K1389" s="57" t="n">
        <v>0.6101694915254238</v>
      </c>
      <c r="L1389" s="55" t="n">
        <v>2</v>
      </c>
      <c r="M1389" s="55" t="n">
        <v>15</v>
      </c>
      <c r="N1389" s="58" t="n">
        <v>44</v>
      </c>
      <c r="O1389" s="53" t="inlineStr">
        <is>
          <t>S71</t>
        </is>
      </c>
      <c r="P1389" s="55" t="n">
        <v>15</v>
      </c>
      <c r="Q1389" s="59">
        <f>IF(BO1389=1,0,IFERROR(VLOOKUP(BM1389,'Gebinde-Kategorie'!$A$5:$G$45,6,0)+0,0))</f>
        <v/>
      </c>
      <c r="R1389" s="60" t="n"/>
      <c r="S1389" s="61" t="n"/>
      <c r="T1389" s="61" t="n"/>
      <c r="U1389" s="53">
        <f>IF(A1389="","",IF(IFERROR(VLOOKUP(D1389,Parameter!$A$35:$C$64,2,0),"Nein")="2+3",IF(ISNUMBER(SEARCH("grosser Artikel",BJ1389)),2,IFERROR(VLOOKUP(BM1389,Parameter!$F$35:$G$64,2,0),2)),IF(OR(IFERROR(VLOOKUP(D1389,Parameter!$A$35:$C$64,2,0),"Nein")="Nein",IFERROR(VLOOKUP(D1389,Parameter!$A$35:$C$64,2,0),"Nein")=""),"-",VLOOKUP(D1389,Parameter!$A$35:$C$64,2,0))))</f>
        <v/>
      </c>
      <c r="V1389" s="61" t="n"/>
      <c r="W1389" s="62" t="n"/>
      <c r="X1389" s="55">
        <f>AM1389</f>
        <v/>
      </c>
      <c r="Y1389" s="55">
        <f>MAX(AM1389,G1389)</f>
        <v/>
      </c>
      <c r="Z1389" s="63" t="n"/>
      <c r="AA1389" s="55">
        <f>IF(LEFT(Cockpit!$C$5,1)="A",G1389,IF(BT1389=1,BU1389,IF(LEFT(Cockpit!$C$5,1)="B",AE1389,MAX(AE1389,G1389))))</f>
        <v/>
      </c>
      <c r="AB1389" s="55">
        <f>IF(BO1389=1,0,ROUNDUP(AA1389/BN1389,0))</f>
        <v/>
      </c>
      <c r="AC1389" s="64">
        <f>IF(BO1389=1,IF(AA1389&lt;=0,0,BP1389*MAX(1,IF(G1389&gt;0,AA1389/G1389,1))),AB1389*Q1389)</f>
        <v/>
      </c>
      <c r="AD1389" s="55">
        <f>AA1389*F1389</f>
        <v/>
      </c>
      <c r="AE1389" s="55">
        <f>ROUNDUP(MAX(I1389/IF(BS1389&gt;0,BS1389,MAX(0.1,N(Cockpit!$C$6))),BV1389)/BN1389,0)*BN1389</f>
        <v/>
      </c>
      <c r="AF1389" s="56">
        <f>IF(AC1389&gt;0,I1389/AC1389,-1)</f>
        <v/>
      </c>
      <c r="AG1389" s="56">
        <f>IF(AND(OR(BR1389="L1",BR1389="L23"),AC1389&gt;0),SUMIFS($AC$7:$AC$1570,$BR$7:$BR$1570,BR1389,$AF$7:$AF$1570,"&gt;"&amp;AF1389)+SUMIFS($AC$7:$AC$1570,$BR$7:$BR$1570,BR1389,$AF$7:$AF$1570,AF1389,$BL$7:$BL$1570,"&lt;="&amp;BL1389),"")</f>
        <v/>
      </c>
      <c r="AH1389" s="65">
        <f>IF(AG1389="",0,MAX(0,MIN(1,(IF(BR1389="L1",Parameter!$K$5,Parameter!$K$6+Parameter!$K$7)-(AG1389-AC1389))/AC1389)))</f>
        <v/>
      </c>
      <c r="AI1389" s="55">
        <f>IF(LEFT(Cockpit!$I$5,1)="A",G1389,IF(BT1389=1,BU1389,IF(LEFT(Cockpit!$I$5,1)="B",AM1389,MAX(AM1389,G1389))))</f>
        <v/>
      </c>
      <c r="AJ1389" s="55">
        <f>IF(BO1389=1,0,ROUNDUP(AI1389/BN1389,0))</f>
        <v/>
      </c>
      <c r="AK1389" s="64">
        <f>IF(BO1389=1,IF(AI1389&lt;=0,0,BP1389*MAX(1,IF(G1389&gt;0,AI1389/G1389,1))),AJ1389*Q1389)</f>
        <v/>
      </c>
      <c r="AL1389" s="55">
        <f>AI1389*F1389</f>
        <v/>
      </c>
      <c r="AM1389" s="55">
        <f>ROUNDUP(MAX(I1389/IF(BS1389&gt;0,BS1389,MAX(0.1,N(Cockpit!$I$6))),BV1389)/BN1389,0)*BN1389</f>
        <v/>
      </c>
      <c r="AN1389" s="56">
        <f>IF(AK1389&gt;0,I1389/AK1389,-1)</f>
        <v/>
      </c>
      <c r="AO1389" s="56">
        <f>IF(AND(OR(BR1389="L1",BR1389="L23"),AK1389&gt;0),SUMIFS($AK$7:$AK$1570,$BR$7:$BR$1570,BR1389,$AN$7:$AN$1570,"&gt;"&amp;AN1389)+SUMIFS($AK$7:$AK$1570,$BR$7:$BR$1570,BR1389,$AN$7:$AN$1570,AN1389,$BL$7:$BL$1570,"&lt;="&amp;BL1389),"")</f>
        <v/>
      </c>
      <c r="AP1389" s="65">
        <f>IF(AO1389="",0,MAX(0,MIN(1,(IF(BR1389="L1",Parameter!$K$5,Parameter!$K$6+Parameter!$K$7)-(AO1389-AK1389))/AK1389)))</f>
        <v/>
      </c>
      <c r="AQ1389" s="55">
        <f>IF(LEFT(Cockpit!$O$5,1)="A",G1389,IF(BT1389=1,BU1389,IF(LEFT(Cockpit!$O$5,1)="B",AU1389,MAX(AU1389,G1389))))</f>
        <v/>
      </c>
      <c r="AR1389" s="55">
        <f>IF(BO1389=1,0,ROUNDUP(AQ1389/BN1389,0))</f>
        <v/>
      </c>
      <c r="AS1389" s="64">
        <f>IF(BO1389=1,IF(AQ1389&lt;=0,0,BP1389*MAX(1,IF(G1389&gt;0,AQ1389/G1389,1))),AR1389*Q1389)</f>
        <v/>
      </c>
      <c r="AT1389" s="55">
        <f>AQ1389*F1389</f>
        <v/>
      </c>
      <c r="AU1389" s="55">
        <f>ROUNDUP(MAX(I1389/IF(BS1389&gt;0,BS1389,MAX(0.1,N(Cockpit!$O$6))),BV1389)/BN1389,0)*BN1389</f>
        <v/>
      </c>
      <c r="AV1389" s="56">
        <f>IF(AS1389&gt;0,I1389/AS1389,-1)</f>
        <v/>
      </c>
      <c r="AW1389" s="56">
        <f>IF(AND(OR(BR1389="L1",BR1389="L23"),AS1389&gt;0),SUMIFS($AS$7:$AS$1570,$BR$7:$BR$1570,BR1389,$AV$7:$AV$1570,"&gt;"&amp;AV1389)+SUMIFS($AS$7:$AS$1570,$BR$7:$BR$1570,BR1389,$AV$7:$AV$1570,AV1389,$BL$7:$BL$1570,"&lt;="&amp;BL1389),"")</f>
        <v/>
      </c>
      <c r="AX1389" s="65">
        <f>IF(AW1389="",0,MAX(0,MIN(1,(IF(BR1389="L1",Parameter!$K$5,Parameter!$K$6+Parameter!$K$7)-(AW1389-AS1389))/AS1389)))</f>
        <v/>
      </c>
      <c r="AY1389" s="53">
        <f>IF(AC1389&lt;=0,"",IF(BR1389="Aussen","Aussenlager",IF(BR1389="-","Nicht im Lift",IF(AH1389&gt;=1,"Lift",IF(AH1389&lt;=0,"Aussenlager","teilweise")))))</f>
        <v/>
      </c>
      <c r="AZ1389" s="53">
        <f>IF(AK1389&lt;=0,"",IF(BR1389="Aussen","Aussenlager",IF(BR1389="-","Nicht im Lift",IF(AP1389&gt;=1,"Lift",IF(AP1389&lt;=0,"Aussenlager","teilweise")))))</f>
        <v/>
      </c>
      <c r="BA1389" s="53">
        <f>IF(AS1389&lt;=0,"",IF(BR1389="Aussen","Aussenlager",IF(BR1389="-","Nicht im Lift",IF(AX1389&gt;=1,"Lift",IF(AX1389&lt;=0,"Aussenlager","teilweise")))))</f>
        <v/>
      </c>
      <c r="BB1389" s="53">
        <f>IF(A1389="","",IF(BK1389=1,"Neu; ","")&amp;IF(AND(BK1389=0,BF1389&lt;0),"negativer Bestand (Export "&amp;BF1389&amp;"); ","")&amp;IF(I1389&lt;=0,"Kein Verbrauch; ","")&amp;IF(BO1389=1,"Lose – Fläche geschätzt; ","")&amp;IF(G1389&gt;AM1389,"Überbestand "&amp;ROUND(G1389-AM1389,0)&amp;" Stk / CHF "&amp;ROUND((G1389-AM1389)*F1389,0)&amp;"; ","")&amp;IF(AND(BT1389=1,BU1389&lt;BV1389),"MAX &lt; MB+LG; ","")&amp;IF(AND(BZ1389&gt;0,BY1389*10&gt;BZ1389),"zu hoch für Tablar; ","")&amp;IF(AND(BK1389=0,OR(BT1389=1,V1389&lt;&gt;"",S1389&lt;&gt;"",T1389&lt;&gt;"",W1389&lt;&gt;"")),"manuell übersteuert; ","")&amp;IF(AND(BO1389=0,Q1389=0),"Gebinde unbekannt; ","")&amp;IF(AND(BO1389=0,N(T1389)&lt;=0,N(P1389)&lt;=0),"Menge pro Gebinde fehlt (Ist = 1 Gebinde); ","")&amp;BJ1389)</f>
        <v/>
      </c>
      <c r="BC1389" s="53" t="n"/>
      <c r="BD1389" s="53" t="n"/>
      <c r="BE1389" s="61" t="n"/>
      <c r="BF1389" s="55" t="n">
        <v>-20</v>
      </c>
      <c r="BG1389" s="55" t="n">
        <v>28</v>
      </c>
      <c r="BH1389" s="54" t="n">
        <v>-3384.2</v>
      </c>
      <c r="BI1389" s="55" t="n">
        <v>18</v>
      </c>
      <c r="BJ1389" s="53" t="inlineStr">
        <is>
          <t>grosser Artikel &amp; nicht im KTL</t>
        </is>
      </c>
      <c r="BK1389" s="58" t="n">
        <v>0</v>
      </c>
      <c r="BL1389" s="58" t="n">
        <v>1389</v>
      </c>
      <c r="BM1389" s="53">
        <f>IF(S1389&lt;&gt;"",UPPER(TRIM(S1389)),IF(O1389="","LOSE",O1389))</f>
        <v/>
      </c>
      <c r="BN1389" s="55">
        <f>IF(BM1389="LOSE",1,IF(N(T1389)&gt;0,T1389,IF(N(P1389)&gt;0,P1389,MAX(1,G1389))))</f>
        <v/>
      </c>
      <c r="BO1389" s="58">
        <f>IF(BM1389="LOSE",1,0)</f>
        <v/>
      </c>
      <c r="BP1389" s="64">
        <f>IF(BO1389=0,0,IF(N(R1389)&gt;0,R1389,IFERROR(VLOOKUP(D1389,Parameter!$A$35:$C$64,3,0)+0,0)))</f>
        <v/>
      </c>
      <c r="BQ1389" s="53">
        <f>IF(V1389&lt;&gt;"",V1389,U1389)</f>
        <v/>
      </c>
      <c r="BR1389" s="53">
        <f>IF(BQ1389=1,"L1",IF(OR(BQ1389=2,BQ1389=3),"L23",IF(BQ1389="Aussen","Aussen","-")))</f>
        <v/>
      </c>
      <c r="BS1389" s="66">
        <f>IF(N(W1389)&gt;0,W1389,0)</f>
        <v/>
      </c>
      <c r="BT1389" s="58">
        <f>IF(ISNUMBER(Z1389),1,0)</f>
        <v/>
      </c>
      <c r="BU1389" s="55">
        <f>N(Z1389)</f>
        <v/>
      </c>
      <c r="BV1389" s="55">
        <f>N(L1389)+N(M1389)</f>
        <v/>
      </c>
      <c r="BW1389" s="55">
        <f>ROUNDUP(G1389/BN1389,0)</f>
        <v/>
      </c>
      <c r="BX1389" s="55">
        <f>ROUNDUP(BU1389/BN1389,0)</f>
        <v/>
      </c>
      <c r="BY1389" s="58">
        <f>IF(BO1389=1,0,IFERROR(VLOOKUP(BM1389,'Gebinde-Kategorie'!$A$5:$G$45,5,0)+0,0))</f>
        <v/>
      </c>
      <c r="BZ1389" s="58">
        <f>IFERROR(IF(OR(BQ1389=1,BQ1389=2,BQ1389=3),N(INDEX(Parameter!$I$5:$I$7,BQ1389)),0),0)</f>
        <v/>
      </c>
    </row>
    <row r="1390">
      <c r="A1390" s="53" t="inlineStr">
        <is>
          <t>106725</t>
        </is>
      </c>
      <c r="B1390" s="53" t="inlineStr">
        <is>
          <t>PTFE Schlauch DN10</t>
        </is>
      </c>
      <c r="C1390" s="53" t="inlineStr">
        <is>
          <t>F</t>
        </is>
      </c>
      <c r="D1390" s="53" t="inlineStr">
        <is>
          <t>PAL</t>
        </is>
      </c>
      <c r="E1390" s="53" t="inlineStr">
        <is>
          <t>C</t>
        </is>
      </c>
      <c r="F1390" s="54" t="n">
        <v>162.98</v>
      </c>
      <c r="G1390" s="55">
        <f>MAX(0,IF(Parameter!$B$20="Jahresanfang 2025 + Export",BG1390+BF1390,BF1390))</f>
        <v/>
      </c>
      <c r="H1390" s="55">
        <f>G1390*F1390</f>
        <v/>
      </c>
      <c r="I1390" s="55">
        <f>BI1390*Parameter!$B$18</f>
        <v/>
      </c>
      <c r="J1390" s="56" t="n">
        <v>28.5</v>
      </c>
      <c r="K1390" s="57" t="n">
        <v>1.12280701754386</v>
      </c>
      <c r="L1390" s="55" t="n">
        <v>4</v>
      </c>
      <c r="M1390" s="55" t="n">
        <v>20</v>
      </c>
      <c r="N1390" s="58" t="n">
        <v>40</v>
      </c>
      <c r="O1390" s="53" t="inlineStr">
        <is>
          <t>S81</t>
        </is>
      </c>
      <c r="P1390" s="55" t="n">
        <v>17</v>
      </c>
      <c r="Q1390" s="59">
        <f>IF(BO1390=1,0,IFERROR(VLOOKUP(BM1390,'Gebinde-Kategorie'!$A$5:$G$45,6,0)+0,0))</f>
        <v/>
      </c>
      <c r="R1390" s="60" t="n"/>
      <c r="S1390" s="61" t="n"/>
      <c r="T1390" s="61" t="n"/>
      <c r="U1390" s="53">
        <f>IF(A1390="","",IF(IFERROR(VLOOKUP(D1390,Parameter!$A$35:$C$64,2,0),"Nein")="2+3",IF(ISNUMBER(SEARCH("grosser Artikel",BJ1390)),2,IFERROR(VLOOKUP(BM1390,Parameter!$F$35:$G$64,2,0),2)),IF(OR(IFERROR(VLOOKUP(D1390,Parameter!$A$35:$C$64,2,0),"Nein")="Nein",IFERROR(VLOOKUP(D1390,Parameter!$A$35:$C$64,2,0),"Nein")=""),"-",VLOOKUP(D1390,Parameter!$A$35:$C$64,2,0))))</f>
        <v/>
      </c>
      <c r="V1390" s="61" t="n"/>
      <c r="W1390" s="62" t="n"/>
      <c r="X1390" s="55">
        <f>AM1390</f>
        <v/>
      </c>
      <c r="Y1390" s="55">
        <f>MAX(AM1390,G1390)</f>
        <v/>
      </c>
      <c r="Z1390" s="63" t="n"/>
      <c r="AA1390" s="55">
        <f>IF(LEFT(Cockpit!$C$5,1)="A",G1390,IF(BT1390=1,BU1390,IF(LEFT(Cockpit!$C$5,1)="B",AE1390,MAX(AE1390,G1390))))</f>
        <v/>
      </c>
      <c r="AB1390" s="55">
        <f>IF(BO1390=1,0,ROUNDUP(AA1390/BN1390,0))</f>
        <v/>
      </c>
      <c r="AC1390" s="64">
        <f>IF(BO1390=1,IF(AA1390&lt;=0,0,BP1390*MAX(1,IF(G1390&gt;0,AA1390/G1390,1))),AB1390*Q1390)</f>
        <v/>
      </c>
      <c r="AD1390" s="55">
        <f>AA1390*F1390</f>
        <v/>
      </c>
      <c r="AE1390" s="55">
        <f>ROUNDUP(MAX(I1390/IF(BS1390&gt;0,BS1390,MAX(0.1,N(Cockpit!$C$6))),BV1390)/BN1390,0)*BN1390</f>
        <v/>
      </c>
      <c r="AF1390" s="56">
        <f>IF(AC1390&gt;0,I1390/AC1390,-1)</f>
        <v/>
      </c>
      <c r="AG1390" s="56">
        <f>IF(AND(OR(BR1390="L1",BR1390="L23"),AC1390&gt;0),SUMIFS($AC$7:$AC$1570,$BR$7:$BR$1570,BR1390,$AF$7:$AF$1570,"&gt;"&amp;AF1390)+SUMIFS($AC$7:$AC$1570,$BR$7:$BR$1570,BR1390,$AF$7:$AF$1570,AF1390,$BL$7:$BL$1570,"&lt;="&amp;BL1390),"")</f>
        <v/>
      </c>
      <c r="AH1390" s="65">
        <f>IF(AG1390="",0,MAX(0,MIN(1,(IF(BR1390="L1",Parameter!$K$5,Parameter!$K$6+Parameter!$K$7)-(AG1390-AC1390))/AC1390)))</f>
        <v/>
      </c>
      <c r="AI1390" s="55">
        <f>IF(LEFT(Cockpit!$I$5,1)="A",G1390,IF(BT1390=1,BU1390,IF(LEFT(Cockpit!$I$5,1)="B",AM1390,MAX(AM1390,G1390))))</f>
        <v/>
      </c>
      <c r="AJ1390" s="55">
        <f>IF(BO1390=1,0,ROUNDUP(AI1390/BN1390,0))</f>
        <v/>
      </c>
      <c r="AK1390" s="64">
        <f>IF(BO1390=1,IF(AI1390&lt;=0,0,BP1390*MAX(1,IF(G1390&gt;0,AI1390/G1390,1))),AJ1390*Q1390)</f>
        <v/>
      </c>
      <c r="AL1390" s="55">
        <f>AI1390*F1390</f>
        <v/>
      </c>
      <c r="AM1390" s="55">
        <f>ROUNDUP(MAX(I1390/IF(BS1390&gt;0,BS1390,MAX(0.1,N(Cockpit!$I$6))),BV1390)/BN1390,0)*BN1390</f>
        <v/>
      </c>
      <c r="AN1390" s="56">
        <f>IF(AK1390&gt;0,I1390/AK1390,-1)</f>
        <v/>
      </c>
      <c r="AO1390" s="56">
        <f>IF(AND(OR(BR1390="L1",BR1390="L23"),AK1390&gt;0),SUMIFS($AK$7:$AK$1570,$BR$7:$BR$1570,BR1390,$AN$7:$AN$1570,"&gt;"&amp;AN1390)+SUMIFS($AK$7:$AK$1570,$BR$7:$BR$1570,BR1390,$AN$7:$AN$1570,AN1390,$BL$7:$BL$1570,"&lt;="&amp;BL1390),"")</f>
        <v/>
      </c>
      <c r="AP1390" s="65">
        <f>IF(AO1390="",0,MAX(0,MIN(1,(IF(BR1390="L1",Parameter!$K$5,Parameter!$K$6+Parameter!$K$7)-(AO1390-AK1390))/AK1390)))</f>
        <v/>
      </c>
      <c r="AQ1390" s="55">
        <f>IF(LEFT(Cockpit!$O$5,1)="A",G1390,IF(BT1390=1,BU1390,IF(LEFT(Cockpit!$O$5,1)="B",AU1390,MAX(AU1390,G1390))))</f>
        <v/>
      </c>
      <c r="AR1390" s="55">
        <f>IF(BO1390=1,0,ROUNDUP(AQ1390/BN1390,0))</f>
        <v/>
      </c>
      <c r="AS1390" s="64">
        <f>IF(BO1390=1,IF(AQ1390&lt;=0,0,BP1390*MAX(1,IF(G1390&gt;0,AQ1390/G1390,1))),AR1390*Q1390)</f>
        <v/>
      </c>
      <c r="AT1390" s="55">
        <f>AQ1390*F1390</f>
        <v/>
      </c>
      <c r="AU1390" s="55">
        <f>ROUNDUP(MAX(I1390/IF(BS1390&gt;0,BS1390,MAX(0.1,N(Cockpit!$O$6))),BV1390)/BN1390,0)*BN1390</f>
        <v/>
      </c>
      <c r="AV1390" s="56">
        <f>IF(AS1390&gt;0,I1390/AS1390,-1)</f>
        <v/>
      </c>
      <c r="AW1390" s="56">
        <f>IF(AND(OR(BR1390="L1",BR1390="L23"),AS1390&gt;0),SUMIFS($AS$7:$AS$1570,$BR$7:$BR$1570,BR1390,$AV$7:$AV$1570,"&gt;"&amp;AV1390)+SUMIFS($AS$7:$AS$1570,$BR$7:$BR$1570,BR1390,$AV$7:$AV$1570,AV1390,$BL$7:$BL$1570,"&lt;="&amp;BL1390),"")</f>
        <v/>
      </c>
      <c r="AX1390" s="65">
        <f>IF(AW1390="",0,MAX(0,MIN(1,(IF(BR1390="L1",Parameter!$K$5,Parameter!$K$6+Parameter!$K$7)-(AW1390-AS1390))/AS1390)))</f>
        <v/>
      </c>
      <c r="AY1390" s="53">
        <f>IF(AC1390&lt;=0,"",IF(BR1390="Aussen","Aussenlager",IF(BR1390="-","Nicht im Lift",IF(AH1390&gt;=1,"Lift",IF(AH1390&lt;=0,"Aussenlager","teilweise")))))</f>
        <v/>
      </c>
      <c r="AZ1390" s="53">
        <f>IF(AK1390&lt;=0,"",IF(BR1390="Aussen","Aussenlager",IF(BR1390="-","Nicht im Lift",IF(AP1390&gt;=1,"Lift",IF(AP1390&lt;=0,"Aussenlager","teilweise")))))</f>
        <v/>
      </c>
      <c r="BA1390" s="53">
        <f>IF(AS1390&lt;=0,"",IF(BR1390="Aussen","Aussenlager",IF(BR1390="-","Nicht im Lift",IF(AX1390&gt;=1,"Lift",IF(AX1390&lt;=0,"Aussenlager","teilweise")))))</f>
        <v/>
      </c>
      <c r="BB1390" s="53">
        <f>IF(A1390="","",IF(BK1390=1,"Neu; ","")&amp;IF(AND(BK1390=0,BF1390&lt;0),"negativer Bestand (Export "&amp;BF1390&amp;"); ","")&amp;IF(I1390&lt;=0,"Kein Verbrauch; ","")&amp;IF(BO1390=1,"Lose – Fläche geschätzt; ","")&amp;IF(G1390&gt;AM1390,"Überbestand "&amp;ROUND(G1390-AM1390,0)&amp;" Stk / CHF "&amp;ROUND((G1390-AM1390)*F1390,0)&amp;"; ","")&amp;IF(AND(BT1390=1,BU1390&lt;BV1390),"MAX &lt; MB+LG; ","")&amp;IF(AND(BZ1390&gt;0,BY1390*10&gt;BZ1390),"zu hoch für Tablar; ","")&amp;IF(AND(BK1390=0,OR(BT1390=1,V1390&lt;&gt;"",S1390&lt;&gt;"",T1390&lt;&gt;"",W1390&lt;&gt;"")),"manuell übersteuert; ","")&amp;IF(AND(BO1390=0,Q1390=0),"Gebinde unbekannt; ","")&amp;IF(AND(BO1390=0,N(T1390)&lt;=0,N(P1390)&lt;=0),"Menge pro Gebinde fehlt (Ist = 1 Gebinde); ","")&amp;BJ1390)</f>
        <v/>
      </c>
      <c r="BC1390" s="53" t="n"/>
      <c r="BD1390" s="53" t="n"/>
      <c r="BE1390" s="61" t="n"/>
      <c r="BF1390" s="55" t="n">
        <v>-22</v>
      </c>
      <c r="BG1390" s="55" t="n">
        <v>29</v>
      </c>
      <c r="BH1390" s="54" t="n">
        <v>-3422.290000000001</v>
      </c>
      <c r="BI1390" s="55" t="n">
        <v>32</v>
      </c>
      <c r="BJ1390" s="53" t="inlineStr">
        <is>
          <t>grosser Artikel &amp; nicht im KTL</t>
        </is>
      </c>
      <c r="BK1390" s="58" t="n">
        <v>0</v>
      </c>
      <c r="BL1390" s="58" t="n">
        <v>1390</v>
      </c>
      <c r="BM1390" s="53">
        <f>IF(S1390&lt;&gt;"",UPPER(TRIM(S1390)),IF(O1390="","LOSE",O1390))</f>
        <v/>
      </c>
      <c r="BN1390" s="55">
        <f>IF(BM1390="LOSE",1,IF(N(T1390)&gt;0,T1390,IF(N(P1390)&gt;0,P1390,MAX(1,G1390))))</f>
        <v/>
      </c>
      <c r="BO1390" s="58">
        <f>IF(BM1390="LOSE",1,0)</f>
        <v/>
      </c>
      <c r="BP1390" s="64">
        <f>IF(BO1390=0,0,IF(N(R1390)&gt;0,R1390,IFERROR(VLOOKUP(D1390,Parameter!$A$35:$C$64,3,0)+0,0)))</f>
        <v/>
      </c>
      <c r="BQ1390" s="53">
        <f>IF(V1390&lt;&gt;"",V1390,U1390)</f>
        <v/>
      </c>
      <c r="BR1390" s="53">
        <f>IF(BQ1390=1,"L1",IF(OR(BQ1390=2,BQ1390=3),"L23",IF(BQ1390="Aussen","Aussen","-")))</f>
        <v/>
      </c>
      <c r="BS1390" s="66">
        <f>IF(N(W1390)&gt;0,W1390,0)</f>
        <v/>
      </c>
      <c r="BT1390" s="58">
        <f>IF(ISNUMBER(Z1390),1,0)</f>
        <v/>
      </c>
      <c r="BU1390" s="55">
        <f>N(Z1390)</f>
        <v/>
      </c>
      <c r="BV1390" s="55">
        <f>N(L1390)+N(M1390)</f>
        <v/>
      </c>
      <c r="BW1390" s="55">
        <f>ROUNDUP(G1390/BN1390,0)</f>
        <v/>
      </c>
      <c r="BX1390" s="55">
        <f>ROUNDUP(BU1390/BN1390,0)</f>
        <v/>
      </c>
      <c r="BY1390" s="58">
        <f>IF(BO1390=1,0,IFERROR(VLOOKUP(BM1390,'Gebinde-Kategorie'!$A$5:$G$45,5,0)+0,0))</f>
        <v/>
      </c>
      <c r="BZ1390" s="58">
        <f>IFERROR(IF(OR(BQ1390=1,BQ1390=2,BQ1390=3),N(INDEX(Parameter!$I$5:$I$7,BQ1390)),0),0)</f>
        <v/>
      </c>
    </row>
    <row r="1391">
      <c r="A1391" s="53" t="inlineStr">
        <is>
          <t>107951</t>
        </is>
      </c>
      <c r="B1391" s="53" t="inlineStr">
        <is>
          <t>Verpackung Servicepaket SPGr16 SVC2</t>
        </is>
      </c>
      <c r="C1391" s="53" t="inlineStr">
        <is>
          <t>G</t>
        </is>
      </c>
      <c r="D1391" s="53" t="inlineStr">
        <is>
          <t>PAL</t>
        </is>
      </c>
      <c r="E1391" s="53" t="inlineStr">
        <is>
          <t>C</t>
        </is>
      </c>
      <c r="F1391" s="54" t="n">
        <v>699.72</v>
      </c>
      <c r="G1391" s="55">
        <f>MAX(0,IF(Parameter!$B$20="Jahresanfang 2025 + Export",BG1391+BF1391,BF1391))</f>
        <v/>
      </c>
      <c r="H1391" s="55">
        <f>G1391*F1391</f>
        <v/>
      </c>
      <c r="I1391" s="55">
        <f>BI1391*Parameter!$B$18</f>
        <v/>
      </c>
      <c r="J1391" s="56" t="n">
        <v>5</v>
      </c>
      <c r="K1391" s="57" t="n">
        <v>3.4</v>
      </c>
      <c r="L1391" s="55" t="n">
        <v>0</v>
      </c>
      <c r="M1391" s="55" t="n">
        <v>5</v>
      </c>
      <c r="N1391" s="58" t="n">
        <v>63</v>
      </c>
      <c r="O1391" s="53" t="inlineStr">
        <is>
          <t>LOSE</t>
        </is>
      </c>
      <c r="P1391" s="55" t="n"/>
      <c r="Q1391" s="59">
        <f>IF(BO1391=1,0,IFERROR(VLOOKUP(BM1391,'Gebinde-Kategorie'!$A$5:$G$45,6,0)+0,0))</f>
        <v/>
      </c>
      <c r="R1391" s="60" t="n"/>
      <c r="S1391" s="61" t="n"/>
      <c r="T1391" s="61" t="n"/>
      <c r="U1391" s="53">
        <f>IF(A1391="","",IF(IFERROR(VLOOKUP(D1391,Parameter!$A$35:$C$64,2,0),"Nein")="2+3",IF(ISNUMBER(SEARCH("grosser Artikel",BJ1391)),2,IFERROR(VLOOKUP(BM1391,Parameter!$F$35:$G$64,2,0),2)),IF(OR(IFERROR(VLOOKUP(D1391,Parameter!$A$35:$C$64,2,0),"Nein")="Nein",IFERROR(VLOOKUP(D1391,Parameter!$A$35:$C$64,2,0),"Nein")=""),"-",VLOOKUP(D1391,Parameter!$A$35:$C$64,2,0))))</f>
        <v/>
      </c>
      <c r="V1391" s="61" t="n"/>
      <c r="W1391" s="62" t="n"/>
      <c r="X1391" s="55">
        <f>AM1391</f>
        <v/>
      </c>
      <c r="Y1391" s="55">
        <f>MAX(AM1391,G1391)</f>
        <v/>
      </c>
      <c r="Z1391" s="63" t="n"/>
      <c r="AA1391" s="55">
        <f>IF(LEFT(Cockpit!$C$5,1)="A",G1391,IF(BT1391=1,BU1391,IF(LEFT(Cockpit!$C$5,1)="B",AE1391,MAX(AE1391,G1391))))</f>
        <v/>
      </c>
      <c r="AB1391" s="55">
        <f>IF(BO1391=1,0,ROUNDUP(AA1391/BN1391,0))</f>
        <v/>
      </c>
      <c r="AC1391" s="64">
        <f>IF(BO1391=1,IF(AA1391&lt;=0,0,BP1391*MAX(1,IF(G1391&gt;0,AA1391/G1391,1))),AB1391*Q1391)</f>
        <v/>
      </c>
      <c r="AD1391" s="55">
        <f>AA1391*F1391</f>
        <v/>
      </c>
      <c r="AE1391" s="55">
        <f>ROUNDUP(MAX(I1391/IF(BS1391&gt;0,BS1391,MAX(0.1,N(Cockpit!$C$6))),BV1391)/BN1391,0)*BN1391</f>
        <v/>
      </c>
      <c r="AF1391" s="56">
        <f>IF(AC1391&gt;0,I1391/AC1391,-1)</f>
        <v/>
      </c>
      <c r="AG1391" s="56">
        <f>IF(AND(OR(BR1391="L1",BR1391="L23"),AC1391&gt;0),SUMIFS($AC$7:$AC$1570,$BR$7:$BR$1570,BR1391,$AF$7:$AF$1570,"&gt;"&amp;AF1391)+SUMIFS($AC$7:$AC$1570,$BR$7:$BR$1570,BR1391,$AF$7:$AF$1570,AF1391,$BL$7:$BL$1570,"&lt;="&amp;BL1391),"")</f>
        <v/>
      </c>
      <c r="AH1391" s="65">
        <f>IF(AG1391="",0,MAX(0,MIN(1,(IF(BR1391="L1",Parameter!$K$5,Parameter!$K$6+Parameter!$K$7)-(AG1391-AC1391))/AC1391)))</f>
        <v/>
      </c>
      <c r="AI1391" s="55">
        <f>IF(LEFT(Cockpit!$I$5,1)="A",G1391,IF(BT1391=1,BU1391,IF(LEFT(Cockpit!$I$5,1)="B",AM1391,MAX(AM1391,G1391))))</f>
        <v/>
      </c>
      <c r="AJ1391" s="55">
        <f>IF(BO1391=1,0,ROUNDUP(AI1391/BN1391,0))</f>
        <v/>
      </c>
      <c r="AK1391" s="64">
        <f>IF(BO1391=1,IF(AI1391&lt;=0,0,BP1391*MAX(1,IF(G1391&gt;0,AI1391/G1391,1))),AJ1391*Q1391)</f>
        <v/>
      </c>
      <c r="AL1391" s="55">
        <f>AI1391*F1391</f>
        <v/>
      </c>
      <c r="AM1391" s="55">
        <f>ROUNDUP(MAX(I1391/IF(BS1391&gt;0,BS1391,MAX(0.1,N(Cockpit!$I$6))),BV1391)/BN1391,0)*BN1391</f>
        <v/>
      </c>
      <c r="AN1391" s="56">
        <f>IF(AK1391&gt;0,I1391/AK1391,-1)</f>
        <v/>
      </c>
      <c r="AO1391" s="56">
        <f>IF(AND(OR(BR1391="L1",BR1391="L23"),AK1391&gt;0),SUMIFS($AK$7:$AK$1570,$BR$7:$BR$1570,BR1391,$AN$7:$AN$1570,"&gt;"&amp;AN1391)+SUMIFS($AK$7:$AK$1570,$BR$7:$BR$1570,BR1391,$AN$7:$AN$1570,AN1391,$BL$7:$BL$1570,"&lt;="&amp;BL1391),"")</f>
        <v/>
      </c>
      <c r="AP1391" s="65">
        <f>IF(AO1391="",0,MAX(0,MIN(1,(IF(BR1391="L1",Parameter!$K$5,Parameter!$K$6+Parameter!$K$7)-(AO1391-AK1391))/AK1391)))</f>
        <v/>
      </c>
      <c r="AQ1391" s="55">
        <f>IF(LEFT(Cockpit!$O$5,1)="A",G1391,IF(BT1391=1,BU1391,IF(LEFT(Cockpit!$O$5,1)="B",AU1391,MAX(AU1391,G1391))))</f>
        <v/>
      </c>
      <c r="AR1391" s="55">
        <f>IF(BO1391=1,0,ROUNDUP(AQ1391/BN1391,0))</f>
        <v/>
      </c>
      <c r="AS1391" s="64">
        <f>IF(BO1391=1,IF(AQ1391&lt;=0,0,BP1391*MAX(1,IF(G1391&gt;0,AQ1391/G1391,1))),AR1391*Q1391)</f>
        <v/>
      </c>
      <c r="AT1391" s="55">
        <f>AQ1391*F1391</f>
        <v/>
      </c>
      <c r="AU1391" s="55">
        <f>ROUNDUP(MAX(I1391/IF(BS1391&gt;0,BS1391,MAX(0.1,N(Cockpit!$O$6))),BV1391)/BN1391,0)*BN1391</f>
        <v/>
      </c>
      <c r="AV1391" s="56">
        <f>IF(AS1391&gt;0,I1391/AS1391,-1)</f>
        <v/>
      </c>
      <c r="AW1391" s="56">
        <f>IF(AND(OR(BR1391="L1",BR1391="L23"),AS1391&gt;0),SUMIFS($AS$7:$AS$1570,$BR$7:$BR$1570,BR1391,$AV$7:$AV$1570,"&gt;"&amp;AV1391)+SUMIFS($AS$7:$AS$1570,$BR$7:$BR$1570,BR1391,$AV$7:$AV$1570,AV1391,$BL$7:$BL$1570,"&lt;="&amp;BL1391),"")</f>
        <v/>
      </c>
      <c r="AX1391" s="65">
        <f>IF(AW1391="",0,MAX(0,MIN(1,(IF(BR1391="L1",Parameter!$K$5,Parameter!$K$6+Parameter!$K$7)-(AW1391-AS1391))/AS1391)))</f>
        <v/>
      </c>
      <c r="AY1391" s="53">
        <f>IF(AC1391&lt;=0,"",IF(BR1391="Aussen","Aussenlager",IF(BR1391="-","Nicht im Lift",IF(AH1391&gt;=1,"Lift",IF(AH1391&lt;=0,"Aussenlager","teilweise")))))</f>
        <v/>
      </c>
      <c r="AZ1391" s="53">
        <f>IF(AK1391&lt;=0,"",IF(BR1391="Aussen","Aussenlager",IF(BR1391="-","Nicht im Lift",IF(AP1391&gt;=1,"Lift",IF(AP1391&lt;=0,"Aussenlager","teilweise")))))</f>
        <v/>
      </c>
      <c r="BA1391" s="53">
        <f>IF(AS1391&lt;=0,"",IF(BR1391="Aussen","Aussenlager",IF(BR1391="-","Nicht im Lift",IF(AX1391&gt;=1,"Lift",IF(AX1391&lt;=0,"Aussenlager","teilweise")))))</f>
        <v/>
      </c>
      <c r="BB1391" s="53">
        <f>IF(A1391="","",IF(BK1391=1,"Neu; ","")&amp;IF(AND(BK1391=0,BF1391&lt;0),"negativer Bestand (Export "&amp;BF1391&amp;"); ","")&amp;IF(I1391&lt;=0,"Kein Verbrauch; ","")&amp;IF(BO1391=1,"Lose – Fläche geschätzt; ","")&amp;IF(G1391&gt;AM1391,"Überbestand "&amp;ROUND(G1391-AM1391,0)&amp;" Stk / CHF "&amp;ROUND((G1391-AM1391)*F1391,0)&amp;"; ","")&amp;IF(AND(BT1391=1,BU1391&lt;BV1391),"MAX &lt; MB+LG; ","")&amp;IF(AND(BZ1391&gt;0,BY1391*10&gt;BZ1391),"zu hoch für Tablar; ","")&amp;IF(AND(BK1391=0,OR(BT1391=1,V1391&lt;&gt;"",S1391&lt;&gt;"",T1391&lt;&gt;"",W1391&lt;&gt;"")),"manuell übersteuert; ","")&amp;IF(AND(BO1391=0,Q1391=0),"Gebinde unbekannt; ","")&amp;IF(AND(BO1391=0,N(T1391)&lt;=0,N(P1391)&lt;=0),"Menge pro Gebinde fehlt (Ist = 1 Gebinde); ","")&amp;BJ1391)</f>
        <v/>
      </c>
      <c r="BC1391" s="53" t="n"/>
      <c r="BD1391" s="53" t="n"/>
      <c r="BE1391" s="61" t="n"/>
      <c r="BF1391" s="55" t="n">
        <v>-5</v>
      </c>
      <c r="BG1391" s="55" t="n">
        <v>5</v>
      </c>
      <c r="BH1391" s="54" t="n">
        <v>-3532</v>
      </c>
      <c r="BI1391" s="55" t="n">
        <v>17</v>
      </c>
      <c r="BJ1391" s="53" t="inlineStr"/>
      <c r="BK1391" s="58" t="n">
        <v>0</v>
      </c>
      <c r="BL1391" s="58" t="n">
        <v>1391</v>
      </c>
      <c r="BM1391" s="53">
        <f>IF(S1391&lt;&gt;"",UPPER(TRIM(S1391)),IF(O1391="","LOSE",O1391))</f>
        <v/>
      </c>
      <c r="BN1391" s="55">
        <f>IF(BM1391="LOSE",1,IF(N(T1391)&gt;0,T1391,IF(N(P1391)&gt;0,P1391,MAX(1,G1391))))</f>
        <v/>
      </c>
      <c r="BO1391" s="58">
        <f>IF(BM1391="LOSE",1,0)</f>
        <v/>
      </c>
      <c r="BP1391" s="64">
        <f>IF(BO1391=0,0,IF(N(R1391)&gt;0,R1391,IFERROR(VLOOKUP(D1391,Parameter!$A$35:$C$64,3,0)+0,0)))</f>
        <v/>
      </c>
      <c r="BQ1391" s="53">
        <f>IF(V1391&lt;&gt;"",V1391,U1391)</f>
        <v/>
      </c>
      <c r="BR1391" s="53">
        <f>IF(BQ1391=1,"L1",IF(OR(BQ1391=2,BQ1391=3),"L23",IF(BQ1391="Aussen","Aussen","-")))</f>
        <v/>
      </c>
      <c r="BS1391" s="66">
        <f>IF(N(W1391)&gt;0,W1391,0)</f>
        <v/>
      </c>
      <c r="BT1391" s="58">
        <f>IF(ISNUMBER(Z1391),1,0)</f>
        <v/>
      </c>
      <c r="BU1391" s="55">
        <f>N(Z1391)</f>
        <v/>
      </c>
      <c r="BV1391" s="55">
        <f>N(L1391)+N(M1391)</f>
        <v/>
      </c>
      <c r="BW1391" s="55">
        <f>ROUNDUP(G1391/BN1391,0)</f>
        <v/>
      </c>
      <c r="BX1391" s="55">
        <f>ROUNDUP(BU1391/BN1391,0)</f>
        <v/>
      </c>
      <c r="BY1391" s="58">
        <f>IF(BO1391=1,0,IFERROR(VLOOKUP(BM1391,'Gebinde-Kategorie'!$A$5:$G$45,5,0)+0,0))</f>
        <v/>
      </c>
      <c r="BZ1391" s="58">
        <f>IFERROR(IF(OR(BQ1391=1,BQ1391=2,BQ1391=3),N(INDEX(Parameter!$I$5:$I$7,BQ1391)),0),0)</f>
        <v/>
      </c>
    </row>
    <row r="1392">
      <c r="A1392" s="53" t="inlineStr">
        <is>
          <t>106960</t>
        </is>
      </c>
      <c r="B1392" s="53" t="inlineStr">
        <is>
          <t>Sicheres digtales Eingangsmodul</t>
        </is>
      </c>
      <c r="C1392" s="53" t="inlineStr">
        <is>
          <t>F</t>
        </is>
      </c>
      <c r="D1392" s="53" t="inlineStr">
        <is>
          <t>KTL</t>
        </is>
      </c>
      <c r="E1392" s="53" t="inlineStr">
        <is>
          <t>C</t>
        </is>
      </c>
      <c r="F1392" s="54" t="n">
        <v>101.57</v>
      </c>
      <c r="G1392" s="55">
        <f>MAX(0,IF(Parameter!$B$20="Jahresanfang 2025 + Export",BG1392+BF1392,BF1392))</f>
        <v/>
      </c>
      <c r="H1392" s="55">
        <f>G1392*F1392</f>
        <v/>
      </c>
      <c r="I1392" s="55">
        <f>BI1392*Parameter!$B$18</f>
        <v/>
      </c>
      <c r="J1392" s="56" t="n">
        <v>54</v>
      </c>
      <c r="K1392" s="57" t="n">
        <v>0.03703703703703703</v>
      </c>
      <c r="L1392" s="55" t="n">
        <v>0</v>
      </c>
      <c r="M1392" s="55" t="n">
        <v>1</v>
      </c>
      <c r="N1392" s="58" t="n">
        <v>63</v>
      </c>
      <c r="O1392" s="53" t="inlineStr">
        <is>
          <t>S52</t>
        </is>
      </c>
      <c r="P1392" s="55" t="n">
        <v>40</v>
      </c>
      <c r="Q1392" s="59">
        <f>IF(BO1392=1,0,IFERROR(VLOOKUP(BM1392,'Gebinde-Kategorie'!$A$5:$G$45,6,0)+0,0))</f>
        <v/>
      </c>
      <c r="R1392" s="60" t="n"/>
      <c r="S1392" s="61" t="n"/>
      <c r="T1392" s="61" t="n"/>
      <c r="U1392" s="53">
        <f>IF(A1392="","",IF(IFERROR(VLOOKUP(D1392,Parameter!$A$35:$C$64,2,0),"Nein")="2+3",IF(ISNUMBER(SEARCH("grosser Artikel",BJ1392)),2,IFERROR(VLOOKUP(BM1392,Parameter!$F$35:$G$64,2,0),2)),IF(OR(IFERROR(VLOOKUP(D1392,Parameter!$A$35:$C$64,2,0),"Nein")="Nein",IFERROR(VLOOKUP(D1392,Parameter!$A$35:$C$64,2,0),"Nein")=""),"-",VLOOKUP(D1392,Parameter!$A$35:$C$64,2,0))))</f>
        <v/>
      </c>
      <c r="V1392" s="61" t="n"/>
      <c r="W1392" s="62" t="n"/>
      <c r="X1392" s="55">
        <f>AM1392</f>
        <v/>
      </c>
      <c r="Y1392" s="55">
        <f>MAX(AM1392,G1392)</f>
        <v/>
      </c>
      <c r="Z1392" s="63" t="n"/>
      <c r="AA1392" s="55">
        <f>IF(LEFT(Cockpit!$C$5,1)="A",G1392,IF(BT1392=1,BU1392,IF(LEFT(Cockpit!$C$5,1)="B",AE1392,MAX(AE1392,G1392))))</f>
        <v/>
      </c>
      <c r="AB1392" s="55">
        <f>IF(BO1392=1,0,ROUNDUP(AA1392/BN1392,0))</f>
        <v/>
      </c>
      <c r="AC1392" s="64">
        <f>IF(BO1392=1,IF(AA1392&lt;=0,0,BP1392*MAX(1,IF(G1392&gt;0,AA1392/G1392,1))),AB1392*Q1392)</f>
        <v/>
      </c>
      <c r="AD1392" s="55">
        <f>AA1392*F1392</f>
        <v/>
      </c>
      <c r="AE1392" s="55">
        <f>ROUNDUP(MAX(I1392/IF(BS1392&gt;0,BS1392,MAX(0.1,N(Cockpit!$C$6))),BV1392)/BN1392,0)*BN1392</f>
        <v/>
      </c>
      <c r="AF1392" s="56">
        <f>IF(AC1392&gt;0,I1392/AC1392,-1)</f>
        <v/>
      </c>
      <c r="AG1392" s="56">
        <f>IF(AND(OR(BR1392="L1",BR1392="L23"),AC1392&gt;0),SUMIFS($AC$7:$AC$1570,$BR$7:$BR$1570,BR1392,$AF$7:$AF$1570,"&gt;"&amp;AF1392)+SUMIFS($AC$7:$AC$1570,$BR$7:$BR$1570,BR1392,$AF$7:$AF$1570,AF1392,$BL$7:$BL$1570,"&lt;="&amp;BL1392),"")</f>
        <v/>
      </c>
      <c r="AH1392" s="65">
        <f>IF(AG1392="",0,MAX(0,MIN(1,(IF(BR1392="L1",Parameter!$K$5,Parameter!$K$6+Parameter!$K$7)-(AG1392-AC1392))/AC1392)))</f>
        <v/>
      </c>
      <c r="AI1392" s="55">
        <f>IF(LEFT(Cockpit!$I$5,1)="A",G1392,IF(BT1392=1,BU1392,IF(LEFT(Cockpit!$I$5,1)="B",AM1392,MAX(AM1392,G1392))))</f>
        <v/>
      </c>
      <c r="AJ1392" s="55">
        <f>IF(BO1392=1,0,ROUNDUP(AI1392/BN1392,0))</f>
        <v/>
      </c>
      <c r="AK1392" s="64">
        <f>IF(BO1392=1,IF(AI1392&lt;=0,0,BP1392*MAX(1,IF(G1392&gt;0,AI1392/G1392,1))),AJ1392*Q1392)</f>
        <v/>
      </c>
      <c r="AL1392" s="55">
        <f>AI1392*F1392</f>
        <v/>
      </c>
      <c r="AM1392" s="55">
        <f>ROUNDUP(MAX(I1392/IF(BS1392&gt;0,BS1392,MAX(0.1,N(Cockpit!$I$6))),BV1392)/BN1392,0)*BN1392</f>
        <v/>
      </c>
      <c r="AN1392" s="56">
        <f>IF(AK1392&gt;0,I1392/AK1392,-1)</f>
        <v/>
      </c>
      <c r="AO1392" s="56">
        <f>IF(AND(OR(BR1392="L1",BR1392="L23"),AK1392&gt;0),SUMIFS($AK$7:$AK$1570,$BR$7:$BR$1570,BR1392,$AN$7:$AN$1570,"&gt;"&amp;AN1392)+SUMIFS($AK$7:$AK$1570,$BR$7:$BR$1570,BR1392,$AN$7:$AN$1570,AN1392,$BL$7:$BL$1570,"&lt;="&amp;BL1392),"")</f>
        <v/>
      </c>
      <c r="AP1392" s="65">
        <f>IF(AO1392="",0,MAX(0,MIN(1,(IF(BR1392="L1",Parameter!$K$5,Parameter!$K$6+Parameter!$K$7)-(AO1392-AK1392))/AK1392)))</f>
        <v/>
      </c>
      <c r="AQ1392" s="55">
        <f>IF(LEFT(Cockpit!$O$5,1)="A",G1392,IF(BT1392=1,BU1392,IF(LEFT(Cockpit!$O$5,1)="B",AU1392,MAX(AU1392,G1392))))</f>
        <v/>
      </c>
      <c r="AR1392" s="55">
        <f>IF(BO1392=1,0,ROUNDUP(AQ1392/BN1392,0))</f>
        <v/>
      </c>
      <c r="AS1392" s="64">
        <f>IF(BO1392=1,IF(AQ1392&lt;=0,0,BP1392*MAX(1,IF(G1392&gt;0,AQ1392/G1392,1))),AR1392*Q1392)</f>
        <v/>
      </c>
      <c r="AT1392" s="55">
        <f>AQ1392*F1392</f>
        <v/>
      </c>
      <c r="AU1392" s="55">
        <f>ROUNDUP(MAX(I1392/IF(BS1392&gt;0,BS1392,MAX(0.1,N(Cockpit!$O$6))),BV1392)/BN1392,0)*BN1392</f>
        <v/>
      </c>
      <c r="AV1392" s="56">
        <f>IF(AS1392&gt;0,I1392/AS1392,-1)</f>
        <v/>
      </c>
      <c r="AW1392" s="56">
        <f>IF(AND(OR(BR1392="L1",BR1392="L23"),AS1392&gt;0),SUMIFS($AS$7:$AS$1570,$BR$7:$BR$1570,BR1392,$AV$7:$AV$1570,"&gt;"&amp;AV1392)+SUMIFS($AS$7:$AS$1570,$BR$7:$BR$1570,BR1392,$AV$7:$AV$1570,AV1392,$BL$7:$BL$1570,"&lt;="&amp;BL1392),"")</f>
        <v/>
      </c>
      <c r="AX1392" s="65">
        <f>IF(AW1392="",0,MAX(0,MIN(1,(IF(BR1392="L1",Parameter!$K$5,Parameter!$K$6+Parameter!$K$7)-(AW1392-AS1392))/AS1392)))</f>
        <v/>
      </c>
      <c r="AY1392" s="53">
        <f>IF(AC1392&lt;=0,"",IF(BR1392="Aussen","Aussenlager",IF(BR1392="-","Nicht im Lift",IF(AH1392&gt;=1,"Lift",IF(AH1392&lt;=0,"Aussenlager","teilweise")))))</f>
        <v/>
      </c>
      <c r="AZ1392" s="53">
        <f>IF(AK1392&lt;=0,"",IF(BR1392="Aussen","Aussenlager",IF(BR1392="-","Nicht im Lift",IF(AP1392&gt;=1,"Lift",IF(AP1392&lt;=0,"Aussenlager","teilweise")))))</f>
        <v/>
      </c>
      <c r="BA1392" s="53">
        <f>IF(AS1392&lt;=0,"",IF(BR1392="Aussen","Aussenlager",IF(BR1392="-","Nicht im Lift",IF(AX1392&gt;=1,"Lift",IF(AX1392&lt;=0,"Aussenlager","teilweise")))))</f>
        <v/>
      </c>
      <c r="BB1392" s="53">
        <f>IF(A1392="","",IF(BK1392=1,"Neu; ","")&amp;IF(AND(BK1392=0,BF1392&lt;0),"negativer Bestand (Export "&amp;BF1392&amp;"); ","")&amp;IF(I1392&lt;=0,"Kein Verbrauch; ","")&amp;IF(BO1392=1,"Lose – Fläche geschätzt; ","")&amp;IF(G1392&gt;AM1392,"Überbestand "&amp;ROUND(G1392-AM1392,0)&amp;" Stk / CHF "&amp;ROUND((G1392-AM1392)*F1392,0)&amp;"; ","")&amp;IF(AND(BT1392=1,BU1392&lt;BV1392),"MAX &lt; MB+LG; ","")&amp;IF(AND(BZ1392&gt;0,BY1392*10&gt;BZ1392),"zu hoch für Tablar; ","")&amp;IF(AND(BK1392=0,OR(BT1392=1,V1392&lt;&gt;"",S1392&lt;&gt;"",T1392&lt;&gt;"",W1392&lt;&gt;"")),"manuell übersteuert; ","")&amp;IF(AND(BO1392=0,Q1392=0),"Gebinde unbekannt; ","")&amp;IF(AND(BO1392=0,N(T1392)&lt;=0,N(P1392)&lt;=0),"Menge pro Gebinde fehlt (Ist = 1 Gebinde); ","")&amp;BJ1392)</f>
        <v/>
      </c>
      <c r="BC1392" s="53" t="n"/>
      <c r="BD1392" s="53" t="n"/>
      <c r="BE1392" s="61" t="n"/>
      <c r="BF1392" s="55" t="n">
        <v>-35</v>
      </c>
      <c r="BG1392" s="55" t="n">
        <v>51</v>
      </c>
      <c r="BH1392" s="54" t="n">
        <v>-3554.950000000002</v>
      </c>
      <c r="BI1392" s="55" t="n">
        <v>2</v>
      </c>
      <c r="BJ1392" s="53" t="inlineStr">
        <is>
          <t>i.o</t>
        </is>
      </c>
      <c r="BK1392" s="58" t="n">
        <v>0</v>
      </c>
      <c r="BL1392" s="58" t="n">
        <v>1392</v>
      </c>
      <c r="BM1392" s="53">
        <f>IF(S1392&lt;&gt;"",UPPER(TRIM(S1392)),IF(O1392="","LOSE",O1392))</f>
        <v/>
      </c>
      <c r="BN1392" s="55">
        <f>IF(BM1392="LOSE",1,IF(N(T1392)&gt;0,T1392,IF(N(P1392)&gt;0,P1392,MAX(1,G1392))))</f>
        <v/>
      </c>
      <c r="BO1392" s="58">
        <f>IF(BM1392="LOSE",1,0)</f>
        <v/>
      </c>
      <c r="BP1392" s="64">
        <f>IF(BO1392=0,0,IF(N(R1392)&gt;0,R1392,IFERROR(VLOOKUP(D1392,Parameter!$A$35:$C$64,3,0)+0,0)))</f>
        <v/>
      </c>
      <c r="BQ1392" s="53">
        <f>IF(V1392&lt;&gt;"",V1392,U1392)</f>
        <v/>
      </c>
      <c r="BR1392" s="53">
        <f>IF(BQ1392=1,"L1",IF(OR(BQ1392=2,BQ1392=3),"L23",IF(BQ1392="Aussen","Aussen","-")))</f>
        <v/>
      </c>
      <c r="BS1392" s="66">
        <f>IF(N(W1392)&gt;0,W1392,0)</f>
        <v/>
      </c>
      <c r="BT1392" s="58">
        <f>IF(ISNUMBER(Z1392),1,0)</f>
        <v/>
      </c>
      <c r="BU1392" s="55">
        <f>N(Z1392)</f>
        <v/>
      </c>
      <c r="BV1392" s="55">
        <f>N(L1392)+N(M1392)</f>
        <v/>
      </c>
      <c r="BW1392" s="55">
        <f>ROUNDUP(G1392/BN1392,0)</f>
        <v/>
      </c>
      <c r="BX1392" s="55">
        <f>ROUNDUP(BU1392/BN1392,0)</f>
        <v/>
      </c>
      <c r="BY1392" s="58">
        <f>IF(BO1392=1,0,IFERROR(VLOOKUP(BM1392,'Gebinde-Kategorie'!$A$5:$G$45,5,0)+0,0))</f>
        <v/>
      </c>
      <c r="BZ1392" s="58">
        <f>IFERROR(IF(OR(BQ1392=1,BQ1392=2,BQ1392=3),N(INDEX(Parameter!$I$5:$I$7,BQ1392)),0),0)</f>
        <v/>
      </c>
    </row>
    <row r="1393">
      <c r="A1393" s="53" t="inlineStr">
        <is>
          <t>109095</t>
        </is>
      </c>
      <c r="B1393" s="53" t="inlineStr">
        <is>
          <t>Zentrierscheibe</t>
        </is>
      </c>
      <c r="C1393" s="53" t="inlineStr">
        <is>
          <t>G</t>
        </is>
      </c>
      <c r="D1393" s="53" t="inlineStr">
        <is>
          <t>KTL</t>
        </is>
      </c>
      <c r="E1393" s="53" t="inlineStr">
        <is>
          <t>C</t>
        </is>
      </c>
      <c r="F1393" s="54" t="n">
        <v>1.7</v>
      </c>
      <c r="G1393" s="55">
        <f>MAX(0,IF(Parameter!$B$20="Jahresanfang 2025 + Export",BG1393+BF1393,BF1393))</f>
        <v/>
      </c>
      <c r="H1393" s="55">
        <f>G1393*F1393</f>
        <v/>
      </c>
      <c r="I1393" s="55">
        <f>BI1393*Parameter!$B$18</f>
        <v/>
      </c>
      <c r="J1393" s="56" t="n">
        <v>2096</v>
      </c>
      <c r="K1393" s="57" t="n">
        <v>1</v>
      </c>
      <c r="L1393" s="55" t="n">
        <v>244</v>
      </c>
      <c r="M1393" s="55" t="n">
        <v>2095</v>
      </c>
      <c r="N1393" s="58" t="n">
        <v>42</v>
      </c>
      <c r="O1393" s="53" t="inlineStr">
        <is>
          <t>LOSE</t>
        </is>
      </c>
      <c r="P1393" s="55" t="n"/>
      <c r="Q1393" s="59">
        <f>IF(BO1393=1,0,IFERROR(VLOOKUP(BM1393,'Gebinde-Kategorie'!$A$5:$G$45,6,0)+0,0))</f>
        <v/>
      </c>
      <c r="R1393" s="60" t="n"/>
      <c r="S1393" s="61" t="n"/>
      <c r="T1393" s="61" t="n"/>
      <c r="U1393" s="53">
        <f>IF(A1393="","",IF(IFERROR(VLOOKUP(D1393,Parameter!$A$35:$C$64,2,0),"Nein")="2+3",IF(ISNUMBER(SEARCH("grosser Artikel",BJ1393)),2,IFERROR(VLOOKUP(BM1393,Parameter!$F$35:$G$64,2,0),2)),IF(OR(IFERROR(VLOOKUP(D1393,Parameter!$A$35:$C$64,2,0),"Nein")="Nein",IFERROR(VLOOKUP(D1393,Parameter!$A$35:$C$64,2,0),"Nein")=""),"-",VLOOKUP(D1393,Parameter!$A$35:$C$64,2,0))))</f>
        <v/>
      </c>
      <c r="V1393" s="61" t="n"/>
      <c r="W1393" s="62" t="n"/>
      <c r="X1393" s="55">
        <f>AM1393</f>
        <v/>
      </c>
      <c r="Y1393" s="55">
        <f>MAX(AM1393,G1393)</f>
        <v/>
      </c>
      <c r="Z1393" s="63" t="n"/>
      <c r="AA1393" s="55">
        <f>IF(LEFT(Cockpit!$C$5,1)="A",G1393,IF(BT1393=1,BU1393,IF(LEFT(Cockpit!$C$5,1)="B",AE1393,MAX(AE1393,G1393))))</f>
        <v/>
      </c>
      <c r="AB1393" s="55">
        <f>IF(BO1393=1,0,ROUNDUP(AA1393/BN1393,0))</f>
        <v/>
      </c>
      <c r="AC1393" s="64">
        <f>IF(BO1393=1,IF(AA1393&lt;=0,0,BP1393*MAX(1,IF(G1393&gt;0,AA1393/G1393,1))),AB1393*Q1393)</f>
        <v/>
      </c>
      <c r="AD1393" s="55">
        <f>AA1393*F1393</f>
        <v/>
      </c>
      <c r="AE1393" s="55">
        <f>ROUNDUP(MAX(I1393/IF(BS1393&gt;0,BS1393,MAX(0.1,N(Cockpit!$C$6))),BV1393)/BN1393,0)*BN1393</f>
        <v/>
      </c>
      <c r="AF1393" s="56">
        <f>IF(AC1393&gt;0,I1393/AC1393,-1)</f>
        <v/>
      </c>
      <c r="AG1393" s="56">
        <f>IF(AND(OR(BR1393="L1",BR1393="L23"),AC1393&gt;0),SUMIFS($AC$7:$AC$1570,$BR$7:$BR$1570,BR1393,$AF$7:$AF$1570,"&gt;"&amp;AF1393)+SUMIFS($AC$7:$AC$1570,$BR$7:$BR$1570,BR1393,$AF$7:$AF$1570,AF1393,$BL$7:$BL$1570,"&lt;="&amp;BL1393),"")</f>
        <v/>
      </c>
      <c r="AH1393" s="65">
        <f>IF(AG1393="",0,MAX(0,MIN(1,(IF(BR1393="L1",Parameter!$K$5,Parameter!$K$6+Parameter!$K$7)-(AG1393-AC1393))/AC1393)))</f>
        <v/>
      </c>
      <c r="AI1393" s="55">
        <f>IF(LEFT(Cockpit!$I$5,1)="A",G1393,IF(BT1393=1,BU1393,IF(LEFT(Cockpit!$I$5,1)="B",AM1393,MAX(AM1393,G1393))))</f>
        <v/>
      </c>
      <c r="AJ1393" s="55">
        <f>IF(BO1393=1,0,ROUNDUP(AI1393/BN1393,0))</f>
        <v/>
      </c>
      <c r="AK1393" s="64">
        <f>IF(BO1393=1,IF(AI1393&lt;=0,0,BP1393*MAX(1,IF(G1393&gt;0,AI1393/G1393,1))),AJ1393*Q1393)</f>
        <v/>
      </c>
      <c r="AL1393" s="55">
        <f>AI1393*F1393</f>
        <v/>
      </c>
      <c r="AM1393" s="55">
        <f>ROUNDUP(MAX(I1393/IF(BS1393&gt;0,BS1393,MAX(0.1,N(Cockpit!$I$6))),BV1393)/BN1393,0)*BN1393</f>
        <v/>
      </c>
      <c r="AN1393" s="56">
        <f>IF(AK1393&gt;0,I1393/AK1393,-1)</f>
        <v/>
      </c>
      <c r="AO1393" s="56">
        <f>IF(AND(OR(BR1393="L1",BR1393="L23"),AK1393&gt;0),SUMIFS($AK$7:$AK$1570,$BR$7:$BR$1570,BR1393,$AN$7:$AN$1570,"&gt;"&amp;AN1393)+SUMIFS($AK$7:$AK$1570,$BR$7:$BR$1570,BR1393,$AN$7:$AN$1570,AN1393,$BL$7:$BL$1570,"&lt;="&amp;BL1393),"")</f>
        <v/>
      </c>
      <c r="AP1393" s="65">
        <f>IF(AO1393="",0,MAX(0,MIN(1,(IF(BR1393="L1",Parameter!$K$5,Parameter!$K$6+Parameter!$K$7)-(AO1393-AK1393))/AK1393)))</f>
        <v/>
      </c>
      <c r="AQ1393" s="55">
        <f>IF(LEFT(Cockpit!$O$5,1)="A",G1393,IF(BT1393=1,BU1393,IF(LEFT(Cockpit!$O$5,1)="B",AU1393,MAX(AU1393,G1393))))</f>
        <v/>
      </c>
      <c r="AR1393" s="55">
        <f>IF(BO1393=1,0,ROUNDUP(AQ1393/BN1393,0))</f>
        <v/>
      </c>
      <c r="AS1393" s="64">
        <f>IF(BO1393=1,IF(AQ1393&lt;=0,0,BP1393*MAX(1,IF(G1393&gt;0,AQ1393/G1393,1))),AR1393*Q1393)</f>
        <v/>
      </c>
      <c r="AT1393" s="55">
        <f>AQ1393*F1393</f>
        <v/>
      </c>
      <c r="AU1393" s="55">
        <f>ROUNDUP(MAX(I1393/IF(BS1393&gt;0,BS1393,MAX(0.1,N(Cockpit!$O$6))),BV1393)/BN1393,0)*BN1393</f>
        <v/>
      </c>
      <c r="AV1393" s="56">
        <f>IF(AS1393&gt;0,I1393/AS1393,-1)</f>
        <v/>
      </c>
      <c r="AW1393" s="56">
        <f>IF(AND(OR(BR1393="L1",BR1393="L23"),AS1393&gt;0),SUMIFS($AS$7:$AS$1570,$BR$7:$BR$1570,BR1393,$AV$7:$AV$1570,"&gt;"&amp;AV1393)+SUMIFS($AS$7:$AS$1570,$BR$7:$BR$1570,BR1393,$AV$7:$AV$1570,AV1393,$BL$7:$BL$1570,"&lt;="&amp;BL1393),"")</f>
        <v/>
      </c>
      <c r="AX1393" s="65">
        <f>IF(AW1393="",0,MAX(0,MIN(1,(IF(BR1393="L1",Parameter!$K$5,Parameter!$K$6+Parameter!$K$7)-(AW1393-AS1393))/AS1393)))</f>
        <v/>
      </c>
      <c r="AY1393" s="53">
        <f>IF(AC1393&lt;=0,"",IF(BR1393="Aussen","Aussenlager",IF(BR1393="-","Nicht im Lift",IF(AH1393&gt;=1,"Lift",IF(AH1393&lt;=0,"Aussenlager","teilweise")))))</f>
        <v/>
      </c>
      <c r="AZ1393" s="53">
        <f>IF(AK1393&lt;=0,"",IF(BR1393="Aussen","Aussenlager",IF(BR1393="-","Nicht im Lift",IF(AP1393&gt;=1,"Lift",IF(AP1393&lt;=0,"Aussenlager","teilweise")))))</f>
        <v/>
      </c>
      <c r="BA1393" s="53">
        <f>IF(AS1393&lt;=0,"",IF(BR1393="Aussen","Aussenlager",IF(BR1393="-","Nicht im Lift",IF(AX1393&gt;=1,"Lift",IF(AX1393&lt;=0,"Aussenlager","teilweise")))))</f>
        <v/>
      </c>
      <c r="BB1393" s="53">
        <f>IF(A1393="","",IF(BK1393=1,"Neu; ","")&amp;IF(AND(BK1393=0,BF1393&lt;0),"negativer Bestand (Export "&amp;BF1393&amp;"); ","")&amp;IF(I1393&lt;=0,"Kein Verbrauch; ","")&amp;IF(BO1393=1,"Lose – Fläche geschätzt; ","")&amp;IF(G1393&gt;AM1393,"Überbestand "&amp;ROUND(G1393-AM1393,0)&amp;" Stk / CHF "&amp;ROUND((G1393-AM1393)*F1393,0)&amp;"; ","")&amp;IF(AND(BT1393=1,BU1393&lt;BV1393),"MAX &lt; MB+LG; ","")&amp;IF(AND(BZ1393&gt;0,BY1393*10&gt;BZ1393),"zu hoch für Tablar; ","")&amp;IF(AND(BK1393=0,OR(BT1393=1,V1393&lt;&gt;"",S1393&lt;&gt;"",T1393&lt;&gt;"",W1393&lt;&gt;"")),"manuell übersteuert; ","")&amp;IF(AND(BO1393=0,Q1393=0),"Gebinde unbekannt; ","")&amp;IF(AND(BO1393=0,N(T1393)&lt;=0,N(P1393)&lt;=0),"Menge pro Gebinde fehlt (Ist = 1 Gebinde); ","")&amp;BJ1393)</f>
        <v/>
      </c>
      <c r="BC1393" s="53" t="n"/>
      <c r="BD1393" s="53" t="n"/>
      <c r="BE1393" s="61" t="n"/>
      <c r="BF1393" s="55" t="n">
        <v>-2096</v>
      </c>
      <c r="BG1393" s="55" t="n">
        <v>4192</v>
      </c>
      <c r="BH1393" s="54" t="n">
        <v>-3563.2</v>
      </c>
      <c r="BI1393" s="55" t="n">
        <v>2096</v>
      </c>
      <c r="BJ1393" s="53" t="inlineStr"/>
      <c r="BK1393" s="58" t="n">
        <v>0</v>
      </c>
      <c r="BL1393" s="58" t="n">
        <v>1393</v>
      </c>
      <c r="BM1393" s="53">
        <f>IF(S1393&lt;&gt;"",UPPER(TRIM(S1393)),IF(O1393="","LOSE",O1393))</f>
        <v/>
      </c>
      <c r="BN1393" s="55">
        <f>IF(BM1393="LOSE",1,IF(N(T1393)&gt;0,T1393,IF(N(P1393)&gt;0,P1393,MAX(1,G1393))))</f>
        <v/>
      </c>
      <c r="BO1393" s="58">
        <f>IF(BM1393="LOSE",1,0)</f>
        <v/>
      </c>
      <c r="BP1393" s="64">
        <f>IF(BO1393=0,0,IF(N(R1393)&gt;0,R1393,IFERROR(VLOOKUP(D1393,Parameter!$A$35:$C$64,3,0)+0,0)))</f>
        <v/>
      </c>
      <c r="BQ1393" s="53">
        <f>IF(V1393&lt;&gt;"",V1393,U1393)</f>
        <v/>
      </c>
      <c r="BR1393" s="53">
        <f>IF(BQ1393=1,"L1",IF(OR(BQ1393=2,BQ1393=3),"L23",IF(BQ1393="Aussen","Aussen","-")))</f>
        <v/>
      </c>
      <c r="BS1393" s="66">
        <f>IF(N(W1393)&gt;0,W1393,0)</f>
        <v/>
      </c>
      <c r="BT1393" s="58">
        <f>IF(ISNUMBER(Z1393),1,0)</f>
        <v/>
      </c>
      <c r="BU1393" s="55">
        <f>N(Z1393)</f>
        <v/>
      </c>
      <c r="BV1393" s="55">
        <f>N(L1393)+N(M1393)</f>
        <v/>
      </c>
      <c r="BW1393" s="55">
        <f>ROUNDUP(G1393/BN1393,0)</f>
        <v/>
      </c>
      <c r="BX1393" s="55">
        <f>ROUNDUP(BU1393/BN1393,0)</f>
        <v/>
      </c>
      <c r="BY1393" s="58">
        <f>IF(BO1393=1,0,IFERROR(VLOOKUP(BM1393,'Gebinde-Kategorie'!$A$5:$G$45,5,0)+0,0))</f>
        <v/>
      </c>
      <c r="BZ1393" s="58">
        <f>IFERROR(IF(OR(BQ1393=1,BQ1393=2,BQ1393=3),N(INDEX(Parameter!$I$5:$I$7,BQ1393)),0),0)</f>
        <v/>
      </c>
    </row>
    <row r="1394">
      <c r="A1394" s="53" t="inlineStr">
        <is>
          <t>005206</t>
        </is>
      </c>
      <c r="B1394" s="53" t="inlineStr">
        <is>
          <t>Entspannungsstation</t>
        </is>
      </c>
      <c r="C1394" s="53" t="inlineStr">
        <is>
          <t>F</t>
        </is>
      </c>
      <c r="D1394" s="53" t="inlineStr">
        <is>
          <t>PAL</t>
        </is>
      </c>
      <c r="E1394" s="53" t="inlineStr">
        <is>
          <t>C</t>
        </is>
      </c>
      <c r="F1394" s="54" t="n">
        <v>603.8</v>
      </c>
      <c r="G1394" s="55">
        <f>MAX(0,IF(Parameter!$B$20="Jahresanfang 2025 + Export",BG1394+BF1394,BF1394))</f>
        <v/>
      </c>
      <c r="H1394" s="55">
        <f>G1394*F1394</f>
        <v/>
      </c>
      <c r="I1394" s="55">
        <f>BI1394*Parameter!$B$18</f>
        <v/>
      </c>
      <c r="J1394" s="56" t="n">
        <v>8.5</v>
      </c>
      <c r="K1394" s="57" t="n">
        <v>1.058823529411765</v>
      </c>
      <c r="L1394" s="55" t="n">
        <v>1</v>
      </c>
      <c r="M1394" s="55" t="n">
        <v>5</v>
      </c>
      <c r="N1394" s="58" t="n">
        <v>28</v>
      </c>
      <c r="O1394" s="53" t="inlineStr">
        <is>
          <t>S71</t>
        </is>
      </c>
      <c r="P1394" s="55" t="n">
        <v>4</v>
      </c>
      <c r="Q1394" s="59">
        <f>IF(BO1394=1,0,IFERROR(VLOOKUP(BM1394,'Gebinde-Kategorie'!$A$5:$G$45,6,0)+0,0))</f>
        <v/>
      </c>
      <c r="R1394" s="60" t="n"/>
      <c r="S1394" s="61" t="n"/>
      <c r="T1394" s="61" t="n"/>
      <c r="U1394" s="53">
        <f>IF(A1394="","",IF(IFERROR(VLOOKUP(D1394,Parameter!$A$35:$C$64,2,0),"Nein")="2+3",IF(ISNUMBER(SEARCH("grosser Artikel",BJ1394)),2,IFERROR(VLOOKUP(BM1394,Parameter!$F$35:$G$64,2,0),2)),IF(OR(IFERROR(VLOOKUP(D1394,Parameter!$A$35:$C$64,2,0),"Nein")="Nein",IFERROR(VLOOKUP(D1394,Parameter!$A$35:$C$64,2,0),"Nein")=""),"-",VLOOKUP(D1394,Parameter!$A$35:$C$64,2,0))))</f>
        <v/>
      </c>
      <c r="V1394" s="61" t="n"/>
      <c r="W1394" s="62" t="n"/>
      <c r="X1394" s="55">
        <f>AM1394</f>
        <v/>
      </c>
      <c r="Y1394" s="55">
        <f>MAX(AM1394,G1394)</f>
        <v/>
      </c>
      <c r="Z1394" s="63" t="n"/>
      <c r="AA1394" s="55">
        <f>IF(LEFT(Cockpit!$C$5,1)="A",G1394,IF(BT1394=1,BU1394,IF(LEFT(Cockpit!$C$5,1)="B",AE1394,MAX(AE1394,G1394))))</f>
        <v/>
      </c>
      <c r="AB1394" s="55">
        <f>IF(BO1394=1,0,ROUNDUP(AA1394/BN1394,0))</f>
        <v/>
      </c>
      <c r="AC1394" s="64">
        <f>IF(BO1394=1,IF(AA1394&lt;=0,0,BP1394*MAX(1,IF(G1394&gt;0,AA1394/G1394,1))),AB1394*Q1394)</f>
        <v/>
      </c>
      <c r="AD1394" s="55">
        <f>AA1394*F1394</f>
        <v/>
      </c>
      <c r="AE1394" s="55">
        <f>ROUNDUP(MAX(I1394/IF(BS1394&gt;0,BS1394,MAX(0.1,N(Cockpit!$C$6))),BV1394)/BN1394,0)*BN1394</f>
        <v/>
      </c>
      <c r="AF1394" s="56">
        <f>IF(AC1394&gt;0,I1394/AC1394,-1)</f>
        <v/>
      </c>
      <c r="AG1394" s="56">
        <f>IF(AND(OR(BR1394="L1",BR1394="L23"),AC1394&gt;0),SUMIFS($AC$7:$AC$1570,$BR$7:$BR$1570,BR1394,$AF$7:$AF$1570,"&gt;"&amp;AF1394)+SUMIFS($AC$7:$AC$1570,$BR$7:$BR$1570,BR1394,$AF$7:$AF$1570,AF1394,$BL$7:$BL$1570,"&lt;="&amp;BL1394),"")</f>
        <v/>
      </c>
      <c r="AH1394" s="65">
        <f>IF(AG1394="",0,MAX(0,MIN(1,(IF(BR1394="L1",Parameter!$K$5,Parameter!$K$6+Parameter!$K$7)-(AG1394-AC1394))/AC1394)))</f>
        <v/>
      </c>
      <c r="AI1394" s="55">
        <f>IF(LEFT(Cockpit!$I$5,1)="A",G1394,IF(BT1394=1,BU1394,IF(LEFT(Cockpit!$I$5,1)="B",AM1394,MAX(AM1394,G1394))))</f>
        <v/>
      </c>
      <c r="AJ1394" s="55">
        <f>IF(BO1394=1,0,ROUNDUP(AI1394/BN1394,0))</f>
        <v/>
      </c>
      <c r="AK1394" s="64">
        <f>IF(BO1394=1,IF(AI1394&lt;=0,0,BP1394*MAX(1,IF(G1394&gt;0,AI1394/G1394,1))),AJ1394*Q1394)</f>
        <v/>
      </c>
      <c r="AL1394" s="55">
        <f>AI1394*F1394</f>
        <v/>
      </c>
      <c r="AM1394" s="55">
        <f>ROUNDUP(MAX(I1394/IF(BS1394&gt;0,BS1394,MAX(0.1,N(Cockpit!$I$6))),BV1394)/BN1394,0)*BN1394</f>
        <v/>
      </c>
      <c r="AN1394" s="56">
        <f>IF(AK1394&gt;0,I1394/AK1394,-1)</f>
        <v/>
      </c>
      <c r="AO1394" s="56">
        <f>IF(AND(OR(BR1394="L1",BR1394="L23"),AK1394&gt;0),SUMIFS($AK$7:$AK$1570,$BR$7:$BR$1570,BR1394,$AN$7:$AN$1570,"&gt;"&amp;AN1394)+SUMIFS($AK$7:$AK$1570,$BR$7:$BR$1570,BR1394,$AN$7:$AN$1570,AN1394,$BL$7:$BL$1570,"&lt;="&amp;BL1394),"")</f>
        <v/>
      </c>
      <c r="AP1394" s="65">
        <f>IF(AO1394="",0,MAX(0,MIN(1,(IF(BR1394="L1",Parameter!$K$5,Parameter!$K$6+Parameter!$K$7)-(AO1394-AK1394))/AK1394)))</f>
        <v/>
      </c>
      <c r="AQ1394" s="55">
        <f>IF(LEFT(Cockpit!$O$5,1)="A",G1394,IF(BT1394=1,BU1394,IF(LEFT(Cockpit!$O$5,1)="B",AU1394,MAX(AU1394,G1394))))</f>
        <v/>
      </c>
      <c r="AR1394" s="55">
        <f>IF(BO1394=1,0,ROUNDUP(AQ1394/BN1394,0))</f>
        <v/>
      </c>
      <c r="AS1394" s="64">
        <f>IF(BO1394=1,IF(AQ1394&lt;=0,0,BP1394*MAX(1,IF(G1394&gt;0,AQ1394/G1394,1))),AR1394*Q1394)</f>
        <v/>
      </c>
      <c r="AT1394" s="55">
        <f>AQ1394*F1394</f>
        <v/>
      </c>
      <c r="AU1394" s="55">
        <f>ROUNDUP(MAX(I1394/IF(BS1394&gt;0,BS1394,MAX(0.1,N(Cockpit!$O$6))),BV1394)/BN1394,0)*BN1394</f>
        <v/>
      </c>
      <c r="AV1394" s="56">
        <f>IF(AS1394&gt;0,I1394/AS1394,-1)</f>
        <v/>
      </c>
      <c r="AW1394" s="56">
        <f>IF(AND(OR(BR1394="L1",BR1394="L23"),AS1394&gt;0),SUMIFS($AS$7:$AS$1570,$BR$7:$BR$1570,BR1394,$AV$7:$AV$1570,"&gt;"&amp;AV1394)+SUMIFS($AS$7:$AS$1570,$BR$7:$BR$1570,BR1394,$AV$7:$AV$1570,AV1394,$BL$7:$BL$1570,"&lt;="&amp;BL1394),"")</f>
        <v/>
      </c>
      <c r="AX1394" s="65">
        <f>IF(AW1394="",0,MAX(0,MIN(1,(IF(BR1394="L1",Parameter!$K$5,Parameter!$K$6+Parameter!$K$7)-(AW1394-AS1394))/AS1394)))</f>
        <v/>
      </c>
      <c r="AY1394" s="53">
        <f>IF(AC1394&lt;=0,"",IF(BR1394="Aussen","Aussenlager",IF(BR1394="-","Nicht im Lift",IF(AH1394&gt;=1,"Lift",IF(AH1394&lt;=0,"Aussenlager","teilweise")))))</f>
        <v/>
      </c>
      <c r="AZ1394" s="53">
        <f>IF(AK1394&lt;=0,"",IF(BR1394="Aussen","Aussenlager",IF(BR1394="-","Nicht im Lift",IF(AP1394&gt;=1,"Lift",IF(AP1394&lt;=0,"Aussenlager","teilweise")))))</f>
        <v/>
      </c>
      <c r="BA1394" s="53">
        <f>IF(AS1394&lt;=0,"",IF(BR1394="Aussen","Aussenlager",IF(BR1394="-","Nicht im Lift",IF(AX1394&gt;=1,"Lift",IF(AX1394&lt;=0,"Aussenlager","teilweise")))))</f>
        <v/>
      </c>
      <c r="BB1394" s="53">
        <f>IF(A1394="","",IF(BK1394=1,"Neu; ","")&amp;IF(AND(BK1394=0,BF1394&lt;0),"negativer Bestand (Export "&amp;BF1394&amp;"); ","")&amp;IF(I1394&lt;=0,"Kein Verbrauch; ","")&amp;IF(BO1394=1,"Lose – Fläche geschätzt; ","")&amp;IF(G1394&gt;AM1394,"Überbestand "&amp;ROUND(G1394-AM1394,0)&amp;" Stk / CHF "&amp;ROUND((G1394-AM1394)*F1394,0)&amp;"; ","")&amp;IF(AND(BT1394=1,BU1394&lt;BV1394),"MAX &lt; MB+LG; ","")&amp;IF(AND(BZ1394&gt;0,BY1394*10&gt;BZ1394),"zu hoch für Tablar; ","")&amp;IF(AND(BK1394=0,OR(BT1394=1,V1394&lt;&gt;"",S1394&lt;&gt;"",T1394&lt;&gt;"",W1394&lt;&gt;"")),"manuell übersteuert; ","")&amp;IF(AND(BO1394=0,Q1394=0),"Gebinde unbekannt; ","")&amp;IF(AND(BO1394=0,N(T1394)&lt;=0,N(P1394)&lt;=0),"Menge pro Gebinde fehlt (Ist = 1 Gebinde); ","")&amp;BJ1394)</f>
        <v/>
      </c>
      <c r="BC1394" s="53" t="n"/>
      <c r="BD1394" s="53" t="n"/>
      <c r="BE1394" s="61" t="n"/>
      <c r="BF1394" s="55" t="n">
        <v>-6</v>
      </c>
      <c r="BG1394" s="55" t="n">
        <v>9</v>
      </c>
      <c r="BH1394" s="54" t="n">
        <v>-3619.380000000001</v>
      </c>
      <c r="BI1394" s="55" t="n">
        <v>9</v>
      </c>
      <c r="BJ1394" s="53" t="inlineStr">
        <is>
          <t>nicht im KTL vorhanden</t>
        </is>
      </c>
      <c r="BK1394" s="58" t="n">
        <v>0</v>
      </c>
      <c r="BL1394" s="58" t="n">
        <v>1394</v>
      </c>
      <c r="BM1394" s="53">
        <f>IF(S1394&lt;&gt;"",UPPER(TRIM(S1394)),IF(O1394="","LOSE",O1394))</f>
        <v/>
      </c>
      <c r="BN1394" s="55">
        <f>IF(BM1394="LOSE",1,IF(N(T1394)&gt;0,T1394,IF(N(P1394)&gt;0,P1394,MAX(1,G1394))))</f>
        <v/>
      </c>
      <c r="BO1394" s="58">
        <f>IF(BM1394="LOSE",1,0)</f>
        <v/>
      </c>
      <c r="BP1394" s="64">
        <f>IF(BO1394=0,0,IF(N(R1394)&gt;0,R1394,IFERROR(VLOOKUP(D1394,Parameter!$A$35:$C$64,3,0)+0,0)))</f>
        <v/>
      </c>
      <c r="BQ1394" s="53">
        <f>IF(V1394&lt;&gt;"",V1394,U1394)</f>
        <v/>
      </c>
      <c r="BR1394" s="53">
        <f>IF(BQ1394=1,"L1",IF(OR(BQ1394=2,BQ1394=3),"L23",IF(BQ1394="Aussen","Aussen","-")))</f>
        <v/>
      </c>
      <c r="BS1394" s="66">
        <f>IF(N(W1394)&gt;0,W1394,0)</f>
        <v/>
      </c>
      <c r="BT1394" s="58">
        <f>IF(ISNUMBER(Z1394),1,0)</f>
        <v/>
      </c>
      <c r="BU1394" s="55">
        <f>N(Z1394)</f>
        <v/>
      </c>
      <c r="BV1394" s="55">
        <f>N(L1394)+N(M1394)</f>
        <v/>
      </c>
      <c r="BW1394" s="55">
        <f>ROUNDUP(G1394/BN1394,0)</f>
        <v/>
      </c>
      <c r="BX1394" s="55">
        <f>ROUNDUP(BU1394/BN1394,0)</f>
        <v/>
      </c>
      <c r="BY1394" s="58">
        <f>IF(BO1394=1,0,IFERROR(VLOOKUP(BM1394,'Gebinde-Kategorie'!$A$5:$G$45,5,0)+0,0))</f>
        <v/>
      </c>
      <c r="BZ1394" s="58">
        <f>IFERROR(IF(OR(BQ1394=1,BQ1394=2,BQ1394=3),N(INDEX(Parameter!$I$5:$I$7,BQ1394)),0),0)</f>
        <v/>
      </c>
    </row>
    <row r="1395">
      <c r="A1395" s="53" t="inlineStr">
        <is>
          <t>106954</t>
        </is>
      </c>
      <c r="B1395" s="53" t="inlineStr">
        <is>
          <t>Digitales Modul IO-Link</t>
        </is>
      </c>
      <c r="C1395" s="53" t="inlineStr">
        <is>
          <t>F</t>
        </is>
      </c>
      <c r="D1395" s="53" t="inlineStr">
        <is>
          <t>KTL</t>
        </is>
      </c>
      <c r="E1395" s="53" t="inlineStr">
        <is>
          <t>C</t>
        </is>
      </c>
      <c r="F1395" s="54" t="n">
        <v>92.69</v>
      </c>
      <c r="G1395" s="55">
        <f>MAX(0,IF(Parameter!$B$20="Jahresanfang 2025 + Export",BG1395+BF1395,BF1395))</f>
        <v/>
      </c>
      <c r="H1395" s="55">
        <f>G1395*F1395</f>
        <v/>
      </c>
      <c r="I1395" s="55">
        <f>BI1395*Parameter!$B$18</f>
        <v/>
      </c>
      <c r="J1395" s="56" t="n">
        <v>76</v>
      </c>
      <c r="K1395" s="57" t="n">
        <v>0.02631578947368421</v>
      </c>
      <c r="L1395" s="55" t="n">
        <v>0</v>
      </c>
      <c r="M1395" s="55" t="n">
        <v>1</v>
      </c>
      <c r="N1395" s="58" t="n">
        <v>28</v>
      </c>
      <c r="O1395" s="53" t="inlineStr">
        <is>
          <t>S51</t>
        </is>
      </c>
      <c r="P1395" s="55" t="n">
        <v>60</v>
      </c>
      <c r="Q1395" s="59">
        <f>IF(BO1395=1,0,IFERROR(VLOOKUP(BM1395,'Gebinde-Kategorie'!$A$5:$G$45,6,0)+0,0))</f>
        <v/>
      </c>
      <c r="R1395" s="60" t="n"/>
      <c r="S1395" s="61" t="n"/>
      <c r="T1395" s="61" t="n"/>
      <c r="U1395" s="53">
        <f>IF(A1395="","",IF(IFERROR(VLOOKUP(D1395,Parameter!$A$35:$C$64,2,0),"Nein")="2+3",IF(ISNUMBER(SEARCH("grosser Artikel",BJ1395)),2,IFERROR(VLOOKUP(BM1395,Parameter!$F$35:$G$64,2,0),2)),IF(OR(IFERROR(VLOOKUP(D1395,Parameter!$A$35:$C$64,2,0),"Nein")="Nein",IFERROR(VLOOKUP(D1395,Parameter!$A$35:$C$64,2,0),"Nein")=""),"-",VLOOKUP(D1395,Parameter!$A$35:$C$64,2,0))))</f>
        <v/>
      </c>
      <c r="V1395" s="61" t="n"/>
      <c r="W1395" s="62" t="n"/>
      <c r="X1395" s="55">
        <f>AM1395</f>
        <v/>
      </c>
      <c r="Y1395" s="55">
        <f>MAX(AM1395,G1395)</f>
        <v/>
      </c>
      <c r="Z1395" s="63" t="n"/>
      <c r="AA1395" s="55">
        <f>IF(LEFT(Cockpit!$C$5,1)="A",G1395,IF(BT1395=1,BU1395,IF(LEFT(Cockpit!$C$5,1)="B",AE1395,MAX(AE1395,G1395))))</f>
        <v/>
      </c>
      <c r="AB1395" s="55">
        <f>IF(BO1395=1,0,ROUNDUP(AA1395/BN1395,0))</f>
        <v/>
      </c>
      <c r="AC1395" s="64">
        <f>IF(BO1395=1,IF(AA1395&lt;=0,0,BP1395*MAX(1,IF(G1395&gt;0,AA1395/G1395,1))),AB1395*Q1395)</f>
        <v/>
      </c>
      <c r="AD1395" s="55">
        <f>AA1395*F1395</f>
        <v/>
      </c>
      <c r="AE1395" s="55">
        <f>ROUNDUP(MAX(I1395/IF(BS1395&gt;0,BS1395,MAX(0.1,N(Cockpit!$C$6))),BV1395)/BN1395,0)*BN1395</f>
        <v/>
      </c>
      <c r="AF1395" s="56">
        <f>IF(AC1395&gt;0,I1395/AC1395,-1)</f>
        <v/>
      </c>
      <c r="AG1395" s="56">
        <f>IF(AND(OR(BR1395="L1",BR1395="L23"),AC1395&gt;0),SUMIFS($AC$7:$AC$1570,$BR$7:$BR$1570,BR1395,$AF$7:$AF$1570,"&gt;"&amp;AF1395)+SUMIFS($AC$7:$AC$1570,$BR$7:$BR$1570,BR1395,$AF$7:$AF$1570,AF1395,$BL$7:$BL$1570,"&lt;="&amp;BL1395),"")</f>
        <v/>
      </c>
      <c r="AH1395" s="65">
        <f>IF(AG1395="",0,MAX(0,MIN(1,(IF(BR1395="L1",Parameter!$K$5,Parameter!$K$6+Parameter!$K$7)-(AG1395-AC1395))/AC1395)))</f>
        <v/>
      </c>
      <c r="AI1395" s="55">
        <f>IF(LEFT(Cockpit!$I$5,1)="A",G1395,IF(BT1395=1,BU1395,IF(LEFT(Cockpit!$I$5,1)="B",AM1395,MAX(AM1395,G1395))))</f>
        <v/>
      </c>
      <c r="AJ1395" s="55">
        <f>IF(BO1395=1,0,ROUNDUP(AI1395/BN1395,0))</f>
        <v/>
      </c>
      <c r="AK1395" s="64">
        <f>IF(BO1395=1,IF(AI1395&lt;=0,0,BP1395*MAX(1,IF(G1395&gt;0,AI1395/G1395,1))),AJ1395*Q1395)</f>
        <v/>
      </c>
      <c r="AL1395" s="55">
        <f>AI1395*F1395</f>
        <v/>
      </c>
      <c r="AM1395" s="55">
        <f>ROUNDUP(MAX(I1395/IF(BS1395&gt;0,BS1395,MAX(0.1,N(Cockpit!$I$6))),BV1395)/BN1395,0)*BN1395</f>
        <v/>
      </c>
      <c r="AN1395" s="56">
        <f>IF(AK1395&gt;0,I1395/AK1395,-1)</f>
        <v/>
      </c>
      <c r="AO1395" s="56">
        <f>IF(AND(OR(BR1395="L1",BR1395="L23"),AK1395&gt;0),SUMIFS($AK$7:$AK$1570,$BR$7:$BR$1570,BR1395,$AN$7:$AN$1570,"&gt;"&amp;AN1395)+SUMIFS($AK$7:$AK$1570,$BR$7:$BR$1570,BR1395,$AN$7:$AN$1570,AN1395,$BL$7:$BL$1570,"&lt;="&amp;BL1395),"")</f>
        <v/>
      </c>
      <c r="AP1395" s="65">
        <f>IF(AO1395="",0,MAX(0,MIN(1,(IF(BR1395="L1",Parameter!$K$5,Parameter!$K$6+Parameter!$K$7)-(AO1395-AK1395))/AK1395)))</f>
        <v/>
      </c>
      <c r="AQ1395" s="55">
        <f>IF(LEFT(Cockpit!$O$5,1)="A",G1395,IF(BT1395=1,BU1395,IF(LEFT(Cockpit!$O$5,1)="B",AU1395,MAX(AU1395,G1395))))</f>
        <v/>
      </c>
      <c r="AR1395" s="55">
        <f>IF(BO1395=1,0,ROUNDUP(AQ1395/BN1395,0))</f>
        <v/>
      </c>
      <c r="AS1395" s="64">
        <f>IF(BO1395=1,IF(AQ1395&lt;=0,0,BP1395*MAX(1,IF(G1395&gt;0,AQ1395/G1395,1))),AR1395*Q1395)</f>
        <v/>
      </c>
      <c r="AT1395" s="55">
        <f>AQ1395*F1395</f>
        <v/>
      </c>
      <c r="AU1395" s="55">
        <f>ROUNDUP(MAX(I1395/IF(BS1395&gt;0,BS1395,MAX(0.1,N(Cockpit!$O$6))),BV1395)/BN1395,0)*BN1395</f>
        <v/>
      </c>
      <c r="AV1395" s="56">
        <f>IF(AS1395&gt;0,I1395/AS1395,-1)</f>
        <v/>
      </c>
      <c r="AW1395" s="56">
        <f>IF(AND(OR(BR1395="L1",BR1395="L23"),AS1395&gt;0),SUMIFS($AS$7:$AS$1570,$BR$7:$BR$1570,BR1395,$AV$7:$AV$1570,"&gt;"&amp;AV1395)+SUMIFS($AS$7:$AS$1570,$BR$7:$BR$1570,BR1395,$AV$7:$AV$1570,AV1395,$BL$7:$BL$1570,"&lt;="&amp;BL1395),"")</f>
        <v/>
      </c>
      <c r="AX1395" s="65">
        <f>IF(AW1395="",0,MAX(0,MIN(1,(IF(BR1395="L1",Parameter!$K$5,Parameter!$K$6+Parameter!$K$7)-(AW1395-AS1395))/AS1395)))</f>
        <v/>
      </c>
      <c r="AY1395" s="53">
        <f>IF(AC1395&lt;=0,"",IF(BR1395="Aussen","Aussenlager",IF(BR1395="-","Nicht im Lift",IF(AH1395&gt;=1,"Lift",IF(AH1395&lt;=0,"Aussenlager","teilweise")))))</f>
        <v/>
      </c>
      <c r="AZ1395" s="53">
        <f>IF(AK1395&lt;=0,"",IF(BR1395="Aussen","Aussenlager",IF(BR1395="-","Nicht im Lift",IF(AP1395&gt;=1,"Lift",IF(AP1395&lt;=0,"Aussenlager","teilweise")))))</f>
        <v/>
      </c>
      <c r="BA1395" s="53">
        <f>IF(AS1395&lt;=0,"",IF(BR1395="Aussen","Aussenlager",IF(BR1395="-","Nicht im Lift",IF(AX1395&gt;=1,"Lift",IF(AX1395&lt;=0,"Aussenlager","teilweise")))))</f>
        <v/>
      </c>
      <c r="BB1395" s="53">
        <f>IF(A1395="","",IF(BK1395=1,"Neu; ","")&amp;IF(AND(BK1395=0,BF1395&lt;0),"negativer Bestand (Export "&amp;BF1395&amp;"); ","")&amp;IF(I1395&lt;=0,"Kein Verbrauch; ","")&amp;IF(BO1395=1,"Lose – Fläche geschätzt; ","")&amp;IF(G1395&gt;AM1395,"Überbestand "&amp;ROUND(G1395-AM1395,0)&amp;" Stk / CHF "&amp;ROUND((G1395-AM1395)*F1395,0)&amp;"; ","")&amp;IF(AND(BT1395=1,BU1395&lt;BV1395),"MAX &lt; MB+LG; ","")&amp;IF(AND(BZ1395&gt;0,BY1395*10&gt;BZ1395),"zu hoch für Tablar; ","")&amp;IF(AND(BK1395=0,OR(BT1395=1,V1395&lt;&gt;"",S1395&lt;&gt;"",T1395&lt;&gt;"",W1395&lt;&gt;"")),"manuell übersteuert; ","")&amp;IF(AND(BO1395=0,Q1395=0),"Gebinde unbekannt; ","")&amp;IF(AND(BO1395=0,N(T1395)&lt;=0,N(P1395)&lt;=0),"Menge pro Gebinde fehlt (Ist = 1 Gebinde); ","")&amp;BJ1395)</f>
        <v/>
      </c>
      <c r="BC1395" s="53" t="n"/>
      <c r="BD1395" s="53" t="n"/>
      <c r="BE1395" s="61" t="n"/>
      <c r="BF1395" s="55" t="n">
        <v>-41</v>
      </c>
      <c r="BG1395" s="55" t="n">
        <v>76</v>
      </c>
      <c r="BH1395" s="54" t="n">
        <v>-3800.29</v>
      </c>
      <c r="BI1395" s="55" t="n">
        <v>2</v>
      </c>
      <c r="BJ1395" s="53" t="inlineStr"/>
      <c r="BK1395" s="58" t="n">
        <v>0</v>
      </c>
      <c r="BL1395" s="58" t="n">
        <v>1395</v>
      </c>
      <c r="BM1395" s="53">
        <f>IF(S1395&lt;&gt;"",UPPER(TRIM(S1395)),IF(O1395="","LOSE",O1395))</f>
        <v/>
      </c>
      <c r="BN1395" s="55">
        <f>IF(BM1395="LOSE",1,IF(N(T1395)&gt;0,T1395,IF(N(P1395)&gt;0,P1395,MAX(1,G1395))))</f>
        <v/>
      </c>
      <c r="BO1395" s="58">
        <f>IF(BM1395="LOSE",1,0)</f>
        <v/>
      </c>
      <c r="BP1395" s="64">
        <f>IF(BO1395=0,0,IF(N(R1395)&gt;0,R1395,IFERROR(VLOOKUP(D1395,Parameter!$A$35:$C$64,3,0)+0,0)))</f>
        <v/>
      </c>
      <c r="BQ1395" s="53">
        <f>IF(V1395&lt;&gt;"",V1395,U1395)</f>
        <v/>
      </c>
      <c r="BR1395" s="53">
        <f>IF(BQ1395=1,"L1",IF(OR(BQ1395=2,BQ1395=3),"L23",IF(BQ1395="Aussen","Aussen","-")))</f>
        <v/>
      </c>
      <c r="BS1395" s="66">
        <f>IF(N(W1395)&gt;0,W1395,0)</f>
        <v/>
      </c>
      <c r="BT1395" s="58">
        <f>IF(ISNUMBER(Z1395),1,0)</f>
        <v/>
      </c>
      <c r="BU1395" s="55">
        <f>N(Z1395)</f>
        <v/>
      </c>
      <c r="BV1395" s="55">
        <f>N(L1395)+N(M1395)</f>
        <v/>
      </c>
      <c r="BW1395" s="55">
        <f>ROUNDUP(G1395/BN1395,0)</f>
        <v/>
      </c>
      <c r="BX1395" s="55">
        <f>ROUNDUP(BU1395/BN1395,0)</f>
        <v/>
      </c>
      <c r="BY1395" s="58">
        <f>IF(BO1395=1,0,IFERROR(VLOOKUP(BM1395,'Gebinde-Kategorie'!$A$5:$G$45,5,0)+0,0))</f>
        <v/>
      </c>
      <c r="BZ1395" s="58">
        <f>IFERROR(IF(OR(BQ1395=1,BQ1395=2,BQ1395=3),N(INDEX(Parameter!$I$5:$I$7,BQ1395)),0),0)</f>
        <v/>
      </c>
    </row>
    <row r="1396">
      <c r="A1396" s="53" t="inlineStr">
        <is>
          <t>107065</t>
        </is>
      </c>
      <c r="B1396" s="53" t="inlineStr">
        <is>
          <t>Rohr Anschweissstück DN200</t>
        </is>
      </c>
      <c r="C1396" s="53" t="inlineStr">
        <is>
          <t>F</t>
        </is>
      </c>
      <c r="D1396" s="53" t="inlineStr">
        <is>
          <t>PAL</t>
        </is>
      </c>
      <c r="E1396" s="53" t="inlineStr">
        <is>
          <t>C</t>
        </is>
      </c>
      <c r="F1396" s="54" t="n">
        <v>785</v>
      </c>
      <c r="G1396" s="55">
        <f>MAX(0,IF(Parameter!$B$20="Jahresanfang 2025 + Export",BG1396+BF1396,BF1396))</f>
        <v/>
      </c>
      <c r="H1396" s="55">
        <f>G1396*F1396</f>
        <v/>
      </c>
      <c r="I1396" s="55">
        <f>BI1396*Parameter!$B$18</f>
        <v/>
      </c>
      <c r="J1396" s="56" t="n">
        <v>4.5</v>
      </c>
      <c r="K1396" s="57" t="n">
        <v>0.6666666666666666</v>
      </c>
      <c r="L1396" s="55" t="n">
        <v>1</v>
      </c>
      <c r="M1396" s="55" t="n">
        <v>5</v>
      </c>
      <c r="N1396" s="58" t="n">
        <v>140</v>
      </c>
      <c r="O1396" s="53" t="inlineStr">
        <is>
          <t>S81</t>
        </is>
      </c>
      <c r="P1396" s="55" t="n">
        <v>2</v>
      </c>
      <c r="Q1396" s="59">
        <f>IF(BO1396=1,0,IFERROR(VLOOKUP(BM1396,'Gebinde-Kategorie'!$A$5:$G$45,6,0)+0,0))</f>
        <v/>
      </c>
      <c r="R1396" s="60" t="n"/>
      <c r="S1396" s="61" t="n"/>
      <c r="T1396" s="61" t="n"/>
      <c r="U1396" s="53">
        <f>IF(A1396="","",IF(IFERROR(VLOOKUP(D1396,Parameter!$A$35:$C$64,2,0),"Nein")="2+3",IF(ISNUMBER(SEARCH("grosser Artikel",BJ1396)),2,IFERROR(VLOOKUP(BM1396,Parameter!$F$35:$G$64,2,0),2)),IF(OR(IFERROR(VLOOKUP(D1396,Parameter!$A$35:$C$64,2,0),"Nein")="Nein",IFERROR(VLOOKUP(D1396,Parameter!$A$35:$C$64,2,0),"Nein")=""),"-",VLOOKUP(D1396,Parameter!$A$35:$C$64,2,0))))</f>
        <v/>
      </c>
      <c r="V1396" s="61" t="n"/>
      <c r="W1396" s="62" t="n"/>
      <c r="X1396" s="55">
        <f>AM1396</f>
        <v/>
      </c>
      <c r="Y1396" s="55">
        <f>MAX(AM1396,G1396)</f>
        <v/>
      </c>
      <c r="Z1396" s="63" t="n"/>
      <c r="AA1396" s="55">
        <f>IF(LEFT(Cockpit!$C$5,1)="A",G1396,IF(BT1396=1,BU1396,IF(LEFT(Cockpit!$C$5,1)="B",AE1396,MAX(AE1396,G1396))))</f>
        <v/>
      </c>
      <c r="AB1396" s="55">
        <f>IF(BO1396=1,0,ROUNDUP(AA1396/BN1396,0))</f>
        <v/>
      </c>
      <c r="AC1396" s="64">
        <f>IF(BO1396=1,IF(AA1396&lt;=0,0,BP1396*MAX(1,IF(G1396&gt;0,AA1396/G1396,1))),AB1396*Q1396)</f>
        <v/>
      </c>
      <c r="AD1396" s="55">
        <f>AA1396*F1396</f>
        <v/>
      </c>
      <c r="AE1396" s="55">
        <f>ROUNDUP(MAX(I1396/IF(BS1396&gt;0,BS1396,MAX(0.1,N(Cockpit!$C$6))),BV1396)/BN1396,0)*BN1396</f>
        <v/>
      </c>
      <c r="AF1396" s="56">
        <f>IF(AC1396&gt;0,I1396/AC1396,-1)</f>
        <v/>
      </c>
      <c r="AG1396" s="56">
        <f>IF(AND(OR(BR1396="L1",BR1396="L23"),AC1396&gt;0),SUMIFS($AC$7:$AC$1570,$BR$7:$BR$1570,BR1396,$AF$7:$AF$1570,"&gt;"&amp;AF1396)+SUMIFS($AC$7:$AC$1570,$BR$7:$BR$1570,BR1396,$AF$7:$AF$1570,AF1396,$BL$7:$BL$1570,"&lt;="&amp;BL1396),"")</f>
        <v/>
      </c>
      <c r="AH1396" s="65">
        <f>IF(AG1396="",0,MAX(0,MIN(1,(IF(BR1396="L1",Parameter!$K$5,Parameter!$K$6+Parameter!$K$7)-(AG1396-AC1396))/AC1396)))</f>
        <v/>
      </c>
      <c r="AI1396" s="55">
        <f>IF(LEFT(Cockpit!$I$5,1)="A",G1396,IF(BT1396=1,BU1396,IF(LEFT(Cockpit!$I$5,1)="B",AM1396,MAX(AM1396,G1396))))</f>
        <v/>
      </c>
      <c r="AJ1396" s="55">
        <f>IF(BO1396=1,0,ROUNDUP(AI1396/BN1396,0))</f>
        <v/>
      </c>
      <c r="AK1396" s="64">
        <f>IF(BO1396=1,IF(AI1396&lt;=0,0,BP1396*MAX(1,IF(G1396&gt;0,AI1396/G1396,1))),AJ1396*Q1396)</f>
        <v/>
      </c>
      <c r="AL1396" s="55">
        <f>AI1396*F1396</f>
        <v/>
      </c>
      <c r="AM1396" s="55">
        <f>ROUNDUP(MAX(I1396/IF(BS1396&gt;0,BS1396,MAX(0.1,N(Cockpit!$I$6))),BV1396)/BN1396,0)*BN1396</f>
        <v/>
      </c>
      <c r="AN1396" s="56">
        <f>IF(AK1396&gt;0,I1396/AK1396,-1)</f>
        <v/>
      </c>
      <c r="AO1396" s="56">
        <f>IF(AND(OR(BR1396="L1",BR1396="L23"),AK1396&gt;0),SUMIFS($AK$7:$AK$1570,$BR$7:$BR$1570,BR1396,$AN$7:$AN$1570,"&gt;"&amp;AN1396)+SUMIFS($AK$7:$AK$1570,$BR$7:$BR$1570,BR1396,$AN$7:$AN$1570,AN1396,$BL$7:$BL$1570,"&lt;="&amp;BL1396),"")</f>
        <v/>
      </c>
      <c r="AP1396" s="65">
        <f>IF(AO1396="",0,MAX(0,MIN(1,(IF(BR1396="L1",Parameter!$K$5,Parameter!$K$6+Parameter!$K$7)-(AO1396-AK1396))/AK1396)))</f>
        <v/>
      </c>
      <c r="AQ1396" s="55">
        <f>IF(LEFT(Cockpit!$O$5,1)="A",G1396,IF(BT1396=1,BU1396,IF(LEFT(Cockpit!$O$5,1)="B",AU1396,MAX(AU1396,G1396))))</f>
        <v/>
      </c>
      <c r="AR1396" s="55">
        <f>IF(BO1396=1,0,ROUNDUP(AQ1396/BN1396,0))</f>
        <v/>
      </c>
      <c r="AS1396" s="64">
        <f>IF(BO1396=1,IF(AQ1396&lt;=0,0,BP1396*MAX(1,IF(G1396&gt;0,AQ1396/G1396,1))),AR1396*Q1396)</f>
        <v/>
      </c>
      <c r="AT1396" s="55">
        <f>AQ1396*F1396</f>
        <v/>
      </c>
      <c r="AU1396" s="55">
        <f>ROUNDUP(MAX(I1396/IF(BS1396&gt;0,BS1396,MAX(0.1,N(Cockpit!$O$6))),BV1396)/BN1396,0)*BN1396</f>
        <v/>
      </c>
      <c r="AV1396" s="56">
        <f>IF(AS1396&gt;0,I1396/AS1396,-1)</f>
        <v/>
      </c>
      <c r="AW1396" s="56">
        <f>IF(AND(OR(BR1396="L1",BR1396="L23"),AS1396&gt;0),SUMIFS($AS$7:$AS$1570,$BR$7:$BR$1570,BR1396,$AV$7:$AV$1570,"&gt;"&amp;AV1396)+SUMIFS($AS$7:$AS$1570,$BR$7:$BR$1570,BR1396,$AV$7:$AV$1570,AV1396,$BL$7:$BL$1570,"&lt;="&amp;BL1396),"")</f>
        <v/>
      </c>
      <c r="AX1396" s="65">
        <f>IF(AW1396="",0,MAX(0,MIN(1,(IF(BR1396="L1",Parameter!$K$5,Parameter!$K$6+Parameter!$K$7)-(AW1396-AS1396))/AS1396)))</f>
        <v/>
      </c>
      <c r="AY1396" s="53">
        <f>IF(AC1396&lt;=0,"",IF(BR1396="Aussen","Aussenlager",IF(BR1396="-","Nicht im Lift",IF(AH1396&gt;=1,"Lift",IF(AH1396&lt;=0,"Aussenlager","teilweise")))))</f>
        <v/>
      </c>
      <c r="AZ1396" s="53">
        <f>IF(AK1396&lt;=0,"",IF(BR1396="Aussen","Aussenlager",IF(BR1396="-","Nicht im Lift",IF(AP1396&gt;=1,"Lift",IF(AP1396&lt;=0,"Aussenlager","teilweise")))))</f>
        <v/>
      </c>
      <c r="BA1396" s="53">
        <f>IF(AS1396&lt;=0,"",IF(BR1396="Aussen","Aussenlager",IF(BR1396="-","Nicht im Lift",IF(AX1396&gt;=1,"Lift",IF(AX1396&lt;=0,"Aussenlager","teilweise")))))</f>
        <v/>
      </c>
      <c r="BB1396" s="53">
        <f>IF(A1396="","",IF(BK1396=1,"Neu; ","")&amp;IF(AND(BK1396=0,BF1396&lt;0),"negativer Bestand (Export "&amp;BF1396&amp;"); ","")&amp;IF(I1396&lt;=0,"Kein Verbrauch; ","")&amp;IF(BO1396=1,"Lose – Fläche geschätzt; ","")&amp;IF(G1396&gt;AM1396,"Überbestand "&amp;ROUND(G1396-AM1396,0)&amp;" Stk / CHF "&amp;ROUND((G1396-AM1396)*F1396,0)&amp;"; ","")&amp;IF(AND(BT1396=1,BU1396&lt;BV1396),"MAX &lt; MB+LG; ","")&amp;IF(AND(BZ1396&gt;0,BY1396*10&gt;BZ1396),"zu hoch für Tablar; ","")&amp;IF(AND(BK1396=0,OR(BT1396=1,V1396&lt;&gt;"",S1396&lt;&gt;"",T1396&lt;&gt;"",W1396&lt;&gt;"")),"manuell übersteuert; ","")&amp;IF(AND(BO1396=0,Q1396=0),"Gebinde unbekannt; ","")&amp;IF(AND(BO1396=0,N(T1396)&lt;=0,N(P1396)&lt;=0),"Menge pro Gebinde fehlt (Ist = 1 Gebinde); ","")&amp;BJ1396)</f>
        <v/>
      </c>
      <c r="BC1396" s="53" t="n"/>
      <c r="BD1396" s="53" t="n"/>
      <c r="BE1396" s="61" t="n"/>
      <c r="BF1396" s="55" t="n">
        <v>-5</v>
      </c>
      <c r="BG1396" s="55" t="n">
        <v>7</v>
      </c>
      <c r="BH1396" s="54" t="n">
        <v>-3925</v>
      </c>
      <c r="BI1396" s="55" t="n">
        <v>3</v>
      </c>
      <c r="BJ1396" s="53" t="inlineStr">
        <is>
          <t>Neuer Art.</t>
        </is>
      </c>
      <c r="BK1396" s="58" t="n">
        <v>0</v>
      </c>
      <c r="BL1396" s="58" t="n">
        <v>1396</v>
      </c>
      <c r="BM1396" s="53">
        <f>IF(S1396&lt;&gt;"",UPPER(TRIM(S1396)),IF(O1396="","LOSE",O1396))</f>
        <v/>
      </c>
      <c r="BN1396" s="55">
        <f>IF(BM1396="LOSE",1,IF(N(T1396)&gt;0,T1396,IF(N(P1396)&gt;0,P1396,MAX(1,G1396))))</f>
        <v/>
      </c>
      <c r="BO1396" s="58">
        <f>IF(BM1396="LOSE",1,0)</f>
        <v/>
      </c>
      <c r="BP1396" s="64">
        <f>IF(BO1396=0,0,IF(N(R1396)&gt;0,R1396,IFERROR(VLOOKUP(D1396,Parameter!$A$35:$C$64,3,0)+0,0)))</f>
        <v/>
      </c>
      <c r="BQ1396" s="53">
        <f>IF(V1396&lt;&gt;"",V1396,U1396)</f>
        <v/>
      </c>
      <c r="BR1396" s="53">
        <f>IF(BQ1396=1,"L1",IF(OR(BQ1396=2,BQ1396=3),"L23",IF(BQ1396="Aussen","Aussen","-")))</f>
        <v/>
      </c>
      <c r="BS1396" s="66">
        <f>IF(N(W1396)&gt;0,W1396,0)</f>
        <v/>
      </c>
      <c r="BT1396" s="58">
        <f>IF(ISNUMBER(Z1396),1,0)</f>
        <v/>
      </c>
      <c r="BU1396" s="55">
        <f>N(Z1396)</f>
        <v/>
      </c>
      <c r="BV1396" s="55">
        <f>N(L1396)+N(M1396)</f>
        <v/>
      </c>
      <c r="BW1396" s="55">
        <f>ROUNDUP(G1396/BN1396,0)</f>
        <v/>
      </c>
      <c r="BX1396" s="55">
        <f>ROUNDUP(BU1396/BN1396,0)</f>
        <v/>
      </c>
      <c r="BY1396" s="58">
        <f>IF(BO1396=1,0,IFERROR(VLOOKUP(BM1396,'Gebinde-Kategorie'!$A$5:$G$45,5,0)+0,0))</f>
        <v/>
      </c>
      <c r="BZ1396" s="58">
        <f>IFERROR(IF(OR(BQ1396=1,BQ1396=2,BQ1396=3),N(INDEX(Parameter!$I$5:$I$7,BQ1396)),0),0)</f>
        <v/>
      </c>
    </row>
    <row r="1397">
      <c r="A1397" s="53" t="inlineStr">
        <is>
          <t>107764</t>
        </is>
      </c>
      <c r="B1397" s="53" t="inlineStr">
        <is>
          <t>Konstanthänger</t>
        </is>
      </c>
      <c r="C1397" s="53" t="inlineStr">
        <is>
          <t>A</t>
        </is>
      </c>
      <c r="D1397" s="53" t="inlineStr">
        <is>
          <t>LIFT1</t>
        </is>
      </c>
      <c r="E1397" s="53" t="inlineStr">
        <is>
          <t>C</t>
        </is>
      </c>
      <c r="F1397" s="54" t="n">
        <v>1489.2</v>
      </c>
      <c r="G1397" s="55">
        <f>MAX(0,IF(Parameter!$B$20="Jahresanfang 2025 + Export",BG1397+BF1397,BF1397))</f>
        <v/>
      </c>
      <c r="H1397" s="55">
        <f>G1397*F1397</f>
        <v/>
      </c>
      <c r="I1397" s="55">
        <f>BI1397*Parameter!$B$18</f>
        <v/>
      </c>
      <c r="J1397" s="56" t="n">
        <v>4.5</v>
      </c>
      <c r="K1397" s="57" t="n">
        <v>3.333333333333333</v>
      </c>
      <c r="L1397" s="55" t="n">
        <v>0</v>
      </c>
      <c r="M1397" s="55" t="n">
        <v>5</v>
      </c>
      <c r="N1397" s="58" t="n">
        <v>21</v>
      </c>
      <c r="O1397" s="53" t="inlineStr">
        <is>
          <t>LOSE</t>
        </is>
      </c>
      <c r="P1397" s="55" t="n"/>
      <c r="Q1397" s="59">
        <f>IF(BO1397=1,0,IFERROR(VLOOKUP(BM1397,'Gebinde-Kategorie'!$A$5:$G$45,6,0)+0,0))</f>
        <v/>
      </c>
      <c r="R1397" s="60" t="n"/>
      <c r="S1397" s="61" t="n"/>
      <c r="T1397" s="61" t="n"/>
      <c r="U1397" s="53">
        <f>IF(A1397="","",IF(IFERROR(VLOOKUP(D1397,Parameter!$A$35:$C$64,2,0),"Nein")="2+3",IF(ISNUMBER(SEARCH("grosser Artikel",BJ1397)),2,IFERROR(VLOOKUP(BM1397,Parameter!$F$35:$G$64,2,0),2)),IF(OR(IFERROR(VLOOKUP(D1397,Parameter!$A$35:$C$64,2,0),"Nein")="Nein",IFERROR(VLOOKUP(D1397,Parameter!$A$35:$C$64,2,0),"Nein")=""),"-",VLOOKUP(D1397,Parameter!$A$35:$C$64,2,0))))</f>
        <v/>
      </c>
      <c r="V1397" s="61" t="n"/>
      <c r="W1397" s="62" t="n"/>
      <c r="X1397" s="55">
        <f>AM1397</f>
        <v/>
      </c>
      <c r="Y1397" s="55">
        <f>MAX(AM1397,G1397)</f>
        <v/>
      </c>
      <c r="Z1397" s="63" t="n"/>
      <c r="AA1397" s="55">
        <f>IF(LEFT(Cockpit!$C$5,1)="A",G1397,IF(BT1397=1,BU1397,IF(LEFT(Cockpit!$C$5,1)="B",AE1397,MAX(AE1397,G1397))))</f>
        <v/>
      </c>
      <c r="AB1397" s="55">
        <f>IF(BO1397=1,0,ROUNDUP(AA1397/BN1397,0))</f>
        <v/>
      </c>
      <c r="AC1397" s="64">
        <f>IF(BO1397=1,IF(AA1397&lt;=0,0,BP1397*MAX(1,IF(G1397&gt;0,AA1397/G1397,1))),AB1397*Q1397)</f>
        <v/>
      </c>
      <c r="AD1397" s="55">
        <f>AA1397*F1397</f>
        <v/>
      </c>
      <c r="AE1397" s="55">
        <f>ROUNDUP(MAX(I1397/IF(BS1397&gt;0,BS1397,MAX(0.1,N(Cockpit!$C$6))),BV1397)/BN1397,0)*BN1397</f>
        <v/>
      </c>
      <c r="AF1397" s="56">
        <f>IF(AC1397&gt;0,I1397/AC1397,-1)</f>
        <v/>
      </c>
      <c r="AG1397" s="56">
        <f>IF(AND(OR(BR1397="L1",BR1397="L23"),AC1397&gt;0),SUMIFS($AC$7:$AC$1570,$BR$7:$BR$1570,BR1397,$AF$7:$AF$1570,"&gt;"&amp;AF1397)+SUMIFS($AC$7:$AC$1570,$BR$7:$BR$1570,BR1397,$AF$7:$AF$1570,AF1397,$BL$7:$BL$1570,"&lt;="&amp;BL1397),"")</f>
        <v/>
      </c>
      <c r="AH1397" s="65">
        <f>IF(AG1397="",0,MAX(0,MIN(1,(IF(BR1397="L1",Parameter!$K$5,Parameter!$K$6+Parameter!$K$7)-(AG1397-AC1397))/AC1397)))</f>
        <v/>
      </c>
      <c r="AI1397" s="55">
        <f>IF(LEFT(Cockpit!$I$5,1)="A",G1397,IF(BT1397=1,BU1397,IF(LEFT(Cockpit!$I$5,1)="B",AM1397,MAX(AM1397,G1397))))</f>
        <v/>
      </c>
      <c r="AJ1397" s="55">
        <f>IF(BO1397=1,0,ROUNDUP(AI1397/BN1397,0))</f>
        <v/>
      </c>
      <c r="AK1397" s="64">
        <f>IF(BO1397=1,IF(AI1397&lt;=0,0,BP1397*MAX(1,IF(G1397&gt;0,AI1397/G1397,1))),AJ1397*Q1397)</f>
        <v/>
      </c>
      <c r="AL1397" s="55">
        <f>AI1397*F1397</f>
        <v/>
      </c>
      <c r="AM1397" s="55">
        <f>ROUNDUP(MAX(I1397/IF(BS1397&gt;0,BS1397,MAX(0.1,N(Cockpit!$I$6))),BV1397)/BN1397,0)*BN1397</f>
        <v/>
      </c>
      <c r="AN1397" s="56">
        <f>IF(AK1397&gt;0,I1397/AK1397,-1)</f>
        <v/>
      </c>
      <c r="AO1397" s="56">
        <f>IF(AND(OR(BR1397="L1",BR1397="L23"),AK1397&gt;0),SUMIFS($AK$7:$AK$1570,$BR$7:$BR$1570,BR1397,$AN$7:$AN$1570,"&gt;"&amp;AN1397)+SUMIFS($AK$7:$AK$1570,$BR$7:$BR$1570,BR1397,$AN$7:$AN$1570,AN1397,$BL$7:$BL$1570,"&lt;="&amp;BL1397),"")</f>
        <v/>
      </c>
      <c r="AP1397" s="65">
        <f>IF(AO1397="",0,MAX(0,MIN(1,(IF(BR1397="L1",Parameter!$K$5,Parameter!$K$6+Parameter!$K$7)-(AO1397-AK1397))/AK1397)))</f>
        <v/>
      </c>
      <c r="AQ1397" s="55">
        <f>IF(LEFT(Cockpit!$O$5,1)="A",G1397,IF(BT1397=1,BU1397,IF(LEFT(Cockpit!$O$5,1)="B",AU1397,MAX(AU1397,G1397))))</f>
        <v/>
      </c>
      <c r="AR1397" s="55">
        <f>IF(BO1397=1,0,ROUNDUP(AQ1397/BN1397,0))</f>
        <v/>
      </c>
      <c r="AS1397" s="64">
        <f>IF(BO1397=1,IF(AQ1397&lt;=0,0,BP1397*MAX(1,IF(G1397&gt;0,AQ1397/G1397,1))),AR1397*Q1397)</f>
        <v/>
      </c>
      <c r="AT1397" s="55">
        <f>AQ1397*F1397</f>
        <v/>
      </c>
      <c r="AU1397" s="55">
        <f>ROUNDUP(MAX(I1397/IF(BS1397&gt;0,BS1397,MAX(0.1,N(Cockpit!$O$6))),BV1397)/BN1397,0)*BN1397</f>
        <v/>
      </c>
      <c r="AV1397" s="56">
        <f>IF(AS1397&gt;0,I1397/AS1397,-1)</f>
        <v/>
      </c>
      <c r="AW1397" s="56">
        <f>IF(AND(OR(BR1397="L1",BR1397="L23"),AS1397&gt;0),SUMIFS($AS$7:$AS$1570,$BR$7:$BR$1570,BR1397,$AV$7:$AV$1570,"&gt;"&amp;AV1397)+SUMIFS($AS$7:$AS$1570,$BR$7:$BR$1570,BR1397,$AV$7:$AV$1570,AV1397,$BL$7:$BL$1570,"&lt;="&amp;BL1397),"")</f>
        <v/>
      </c>
      <c r="AX1397" s="65">
        <f>IF(AW1397="",0,MAX(0,MIN(1,(IF(BR1397="L1",Parameter!$K$5,Parameter!$K$6+Parameter!$K$7)-(AW1397-AS1397))/AS1397)))</f>
        <v/>
      </c>
      <c r="AY1397" s="53">
        <f>IF(AC1397&lt;=0,"",IF(BR1397="Aussen","Aussenlager",IF(BR1397="-","Nicht im Lift",IF(AH1397&gt;=1,"Lift",IF(AH1397&lt;=0,"Aussenlager","teilweise")))))</f>
        <v/>
      </c>
      <c r="AZ1397" s="53">
        <f>IF(AK1397&lt;=0,"",IF(BR1397="Aussen","Aussenlager",IF(BR1397="-","Nicht im Lift",IF(AP1397&gt;=1,"Lift",IF(AP1397&lt;=0,"Aussenlager","teilweise")))))</f>
        <v/>
      </c>
      <c r="BA1397" s="53">
        <f>IF(AS1397&lt;=0,"",IF(BR1397="Aussen","Aussenlager",IF(BR1397="-","Nicht im Lift",IF(AX1397&gt;=1,"Lift",IF(AX1397&lt;=0,"Aussenlager","teilweise")))))</f>
        <v/>
      </c>
      <c r="BB1397" s="53">
        <f>IF(A1397="","",IF(BK1397=1,"Neu; ","")&amp;IF(AND(BK1397=0,BF1397&lt;0),"negativer Bestand (Export "&amp;BF1397&amp;"); ","")&amp;IF(I1397&lt;=0,"Kein Verbrauch; ","")&amp;IF(BO1397=1,"Lose – Fläche geschätzt; ","")&amp;IF(G1397&gt;AM1397,"Überbestand "&amp;ROUND(G1397-AM1397,0)&amp;" Stk / CHF "&amp;ROUND((G1397-AM1397)*F1397,0)&amp;"; ","")&amp;IF(AND(BT1397=1,BU1397&lt;BV1397),"MAX &lt; MB+LG; ","")&amp;IF(AND(BZ1397&gt;0,BY1397*10&gt;BZ1397),"zu hoch für Tablar; ","")&amp;IF(AND(BK1397=0,OR(BT1397=1,V1397&lt;&gt;"",S1397&lt;&gt;"",T1397&lt;&gt;"",W1397&lt;&gt;"")),"manuell übersteuert; ","")&amp;IF(AND(BO1397=0,Q1397=0),"Gebinde unbekannt; ","")&amp;IF(AND(BO1397=0,N(T1397)&lt;=0,N(P1397)&lt;=0),"Menge pro Gebinde fehlt (Ist = 1 Gebinde); ","")&amp;BJ1397)</f>
        <v/>
      </c>
      <c r="BC1397" s="53" t="n"/>
      <c r="BD1397" s="53" t="n"/>
      <c r="BE1397" s="61" t="n"/>
      <c r="BF1397" s="55" t="n">
        <v>-3</v>
      </c>
      <c r="BG1397" s="55" t="n">
        <v>3</v>
      </c>
      <c r="BH1397" s="54" t="n">
        <v>-3942.66</v>
      </c>
      <c r="BI1397" s="55" t="n">
        <v>15</v>
      </c>
      <c r="BJ1397" s="53" t="inlineStr"/>
      <c r="BK1397" s="58" t="n">
        <v>0</v>
      </c>
      <c r="BL1397" s="58" t="n">
        <v>1397</v>
      </c>
      <c r="BM1397" s="53">
        <f>IF(S1397&lt;&gt;"",UPPER(TRIM(S1397)),IF(O1397="","LOSE",O1397))</f>
        <v/>
      </c>
      <c r="BN1397" s="55">
        <f>IF(BM1397="LOSE",1,IF(N(T1397)&gt;0,T1397,IF(N(P1397)&gt;0,P1397,MAX(1,G1397))))</f>
        <v/>
      </c>
      <c r="BO1397" s="58">
        <f>IF(BM1397="LOSE",1,0)</f>
        <v/>
      </c>
      <c r="BP1397" s="64">
        <f>IF(BO1397=0,0,IF(N(R1397)&gt;0,R1397,IFERROR(VLOOKUP(D1397,Parameter!$A$35:$C$64,3,0)+0,0)))</f>
        <v/>
      </c>
      <c r="BQ1397" s="53">
        <f>IF(V1397&lt;&gt;"",V1397,U1397)</f>
        <v/>
      </c>
      <c r="BR1397" s="53">
        <f>IF(BQ1397=1,"L1",IF(OR(BQ1397=2,BQ1397=3),"L23",IF(BQ1397="Aussen","Aussen","-")))</f>
        <v/>
      </c>
      <c r="BS1397" s="66">
        <f>IF(N(W1397)&gt;0,W1397,0)</f>
        <v/>
      </c>
      <c r="BT1397" s="58">
        <f>IF(ISNUMBER(Z1397),1,0)</f>
        <v/>
      </c>
      <c r="BU1397" s="55">
        <f>N(Z1397)</f>
        <v/>
      </c>
      <c r="BV1397" s="55">
        <f>N(L1397)+N(M1397)</f>
        <v/>
      </c>
      <c r="BW1397" s="55">
        <f>ROUNDUP(G1397/BN1397,0)</f>
        <v/>
      </c>
      <c r="BX1397" s="55">
        <f>ROUNDUP(BU1397/BN1397,0)</f>
        <v/>
      </c>
      <c r="BY1397" s="58">
        <f>IF(BO1397=1,0,IFERROR(VLOOKUP(BM1397,'Gebinde-Kategorie'!$A$5:$G$45,5,0)+0,0))</f>
        <v/>
      </c>
      <c r="BZ1397" s="58">
        <f>IFERROR(IF(OR(BQ1397=1,BQ1397=2,BQ1397=3),N(INDEX(Parameter!$I$5:$I$7,BQ1397)),0),0)</f>
        <v/>
      </c>
    </row>
    <row r="1398">
      <c r="A1398" s="53" t="inlineStr">
        <is>
          <t>105714</t>
        </is>
      </c>
      <c r="B1398" s="53" t="inlineStr">
        <is>
          <t>Zündplatte</t>
        </is>
      </c>
      <c r="C1398" s="53" t="inlineStr">
        <is>
          <t>F</t>
        </is>
      </c>
      <c r="D1398" s="53" t="inlineStr">
        <is>
          <t>PAL</t>
        </is>
      </c>
      <c r="E1398" s="53" t="inlineStr">
        <is>
          <t>C</t>
        </is>
      </c>
      <c r="F1398" s="54" t="n">
        <v>1024.61</v>
      </c>
      <c r="G1398" s="55">
        <f>MAX(0,IF(Parameter!$B$20="Jahresanfang 2025 + Export",BG1398+BF1398,BF1398))</f>
        <v/>
      </c>
      <c r="H1398" s="55">
        <f>G1398*F1398</f>
        <v/>
      </c>
      <c r="I1398" s="55">
        <f>BI1398*Parameter!$B$18</f>
        <v/>
      </c>
      <c r="J1398" s="56" t="n">
        <v>23</v>
      </c>
      <c r="K1398" s="57" t="n">
        <v>6.956521739130435</v>
      </c>
      <c r="L1398" s="55" t="n">
        <v>9</v>
      </c>
      <c r="M1398" s="55" t="n">
        <v>16</v>
      </c>
      <c r="N1398" s="58" t="n">
        <v>21</v>
      </c>
      <c r="O1398" s="53" t="inlineStr">
        <is>
          <t>S71</t>
        </is>
      </c>
      <c r="P1398" s="55" t="n">
        <v>36</v>
      </c>
      <c r="Q1398" s="59">
        <f>IF(BO1398=1,0,IFERROR(VLOOKUP(BM1398,'Gebinde-Kategorie'!$A$5:$G$45,6,0)+0,0))</f>
        <v/>
      </c>
      <c r="R1398" s="60" t="n"/>
      <c r="S1398" s="61" t="n"/>
      <c r="T1398" s="61" t="n"/>
      <c r="U1398" s="53">
        <f>IF(A1398="","",IF(IFERROR(VLOOKUP(D1398,Parameter!$A$35:$C$64,2,0),"Nein")="2+3",IF(ISNUMBER(SEARCH("grosser Artikel",BJ1398)),2,IFERROR(VLOOKUP(BM1398,Parameter!$F$35:$G$64,2,0),2)),IF(OR(IFERROR(VLOOKUP(D1398,Parameter!$A$35:$C$64,2,0),"Nein")="Nein",IFERROR(VLOOKUP(D1398,Parameter!$A$35:$C$64,2,0),"Nein")=""),"-",VLOOKUP(D1398,Parameter!$A$35:$C$64,2,0))))</f>
        <v/>
      </c>
      <c r="V1398" s="61" t="n"/>
      <c r="W1398" s="62" t="n"/>
      <c r="X1398" s="55">
        <f>AM1398</f>
        <v/>
      </c>
      <c r="Y1398" s="55">
        <f>MAX(AM1398,G1398)</f>
        <v/>
      </c>
      <c r="Z1398" s="63" t="n"/>
      <c r="AA1398" s="55">
        <f>IF(LEFT(Cockpit!$C$5,1)="A",G1398,IF(BT1398=1,BU1398,IF(LEFT(Cockpit!$C$5,1)="B",AE1398,MAX(AE1398,G1398))))</f>
        <v/>
      </c>
      <c r="AB1398" s="55">
        <f>IF(BO1398=1,0,ROUNDUP(AA1398/BN1398,0))</f>
        <v/>
      </c>
      <c r="AC1398" s="64">
        <f>IF(BO1398=1,IF(AA1398&lt;=0,0,BP1398*MAX(1,IF(G1398&gt;0,AA1398/G1398,1))),AB1398*Q1398)</f>
        <v/>
      </c>
      <c r="AD1398" s="55">
        <f>AA1398*F1398</f>
        <v/>
      </c>
      <c r="AE1398" s="55">
        <f>ROUNDUP(MAX(I1398/IF(BS1398&gt;0,BS1398,MAX(0.1,N(Cockpit!$C$6))),BV1398)/BN1398,0)*BN1398</f>
        <v/>
      </c>
      <c r="AF1398" s="56">
        <f>IF(AC1398&gt;0,I1398/AC1398,-1)</f>
        <v/>
      </c>
      <c r="AG1398" s="56">
        <f>IF(AND(OR(BR1398="L1",BR1398="L23"),AC1398&gt;0),SUMIFS($AC$7:$AC$1570,$BR$7:$BR$1570,BR1398,$AF$7:$AF$1570,"&gt;"&amp;AF1398)+SUMIFS($AC$7:$AC$1570,$BR$7:$BR$1570,BR1398,$AF$7:$AF$1570,AF1398,$BL$7:$BL$1570,"&lt;="&amp;BL1398),"")</f>
        <v/>
      </c>
      <c r="AH1398" s="65">
        <f>IF(AG1398="",0,MAX(0,MIN(1,(IF(BR1398="L1",Parameter!$K$5,Parameter!$K$6+Parameter!$K$7)-(AG1398-AC1398))/AC1398)))</f>
        <v/>
      </c>
      <c r="AI1398" s="55">
        <f>IF(LEFT(Cockpit!$I$5,1)="A",G1398,IF(BT1398=1,BU1398,IF(LEFT(Cockpit!$I$5,1)="B",AM1398,MAX(AM1398,G1398))))</f>
        <v/>
      </c>
      <c r="AJ1398" s="55">
        <f>IF(BO1398=1,0,ROUNDUP(AI1398/BN1398,0))</f>
        <v/>
      </c>
      <c r="AK1398" s="64">
        <f>IF(BO1398=1,IF(AI1398&lt;=0,0,BP1398*MAX(1,IF(G1398&gt;0,AI1398/G1398,1))),AJ1398*Q1398)</f>
        <v/>
      </c>
      <c r="AL1398" s="55">
        <f>AI1398*F1398</f>
        <v/>
      </c>
      <c r="AM1398" s="55">
        <f>ROUNDUP(MAX(I1398/IF(BS1398&gt;0,BS1398,MAX(0.1,N(Cockpit!$I$6))),BV1398)/BN1398,0)*BN1398</f>
        <v/>
      </c>
      <c r="AN1398" s="56">
        <f>IF(AK1398&gt;0,I1398/AK1398,-1)</f>
        <v/>
      </c>
      <c r="AO1398" s="56">
        <f>IF(AND(OR(BR1398="L1",BR1398="L23"),AK1398&gt;0),SUMIFS($AK$7:$AK$1570,$BR$7:$BR$1570,BR1398,$AN$7:$AN$1570,"&gt;"&amp;AN1398)+SUMIFS($AK$7:$AK$1570,$BR$7:$BR$1570,BR1398,$AN$7:$AN$1570,AN1398,$BL$7:$BL$1570,"&lt;="&amp;BL1398),"")</f>
        <v/>
      </c>
      <c r="AP1398" s="65">
        <f>IF(AO1398="",0,MAX(0,MIN(1,(IF(BR1398="L1",Parameter!$K$5,Parameter!$K$6+Parameter!$K$7)-(AO1398-AK1398))/AK1398)))</f>
        <v/>
      </c>
      <c r="AQ1398" s="55">
        <f>IF(LEFT(Cockpit!$O$5,1)="A",G1398,IF(BT1398=1,BU1398,IF(LEFT(Cockpit!$O$5,1)="B",AU1398,MAX(AU1398,G1398))))</f>
        <v/>
      </c>
      <c r="AR1398" s="55">
        <f>IF(BO1398=1,0,ROUNDUP(AQ1398/BN1398,0))</f>
        <v/>
      </c>
      <c r="AS1398" s="64">
        <f>IF(BO1398=1,IF(AQ1398&lt;=0,0,BP1398*MAX(1,IF(G1398&gt;0,AQ1398/G1398,1))),AR1398*Q1398)</f>
        <v/>
      </c>
      <c r="AT1398" s="55">
        <f>AQ1398*F1398</f>
        <v/>
      </c>
      <c r="AU1398" s="55">
        <f>ROUNDUP(MAX(I1398/IF(BS1398&gt;0,BS1398,MAX(0.1,N(Cockpit!$O$6))),BV1398)/BN1398,0)*BN1398</f>
        <v/>
      </c>
      <c r="AV1398" s="56">
        <f>IF(AS1398&gt;0,I1398/AS1398,-1)</f>
        <v/>
      </c>
      <c r="AW1398" s="56">
        <f>IF(AND(OR(BR1398="L1",BR1398="L23"),AS1398&gt;0),SUMIFS($AS$7:$AS$1570,$BR$7:$BR$1570,BR1398,$AV$7:$AV$1570,"&gt;"&amp;AV1398)+SUMIFS($AS$7:$AS$1570,$BR$7:$BR$1570,BR1398,$AV$7:$AV$1570,AV1398,$BL$7:$BL$1570,"&lt;="&amp;BL1398),"")</f>
        <v/>
      </c>
      <c r="AX1398" s="65">
        <f>IF(AW1398="",0,MAX(0,MIN(1,(IF(BR1398="L1",Parameter!$K$5,Parameter!$K$6+Parameter!$K$7)-(AW1398-AS1398))/AS1398)))</f>
        <v/>
      </c>
      <c r="AY1398" s="53">
        <f>IF(AC1398&lt;=0,"",IF(BR1398="Aussen","Aussenlager",IF(BR1398="-","Nicht im Lift",IF(AH1398&gt;=1,"Lift",IF(AH1398&lt;=0,"Aussenlager","teilweise")))))</f>
        <v/>
      </c>
      <c r="AZ1398" s="53">
        <f>IF(AK1398&lt;=0,"",IF(BR1398="Aussen","Aussenlager",IF(BR1398="-","Nicht im Lift",IF(AP1398&gt;=1,"Lift",IF(AP1398&lt;=0,"Aussenlager","teilweise")))))</f>
        <v/>
      </c>
      <c r="BA1398" s="53">
        <f>IF(AS1398&lt;=0,"",IF(BR1398="Aussen","Aussenlager",IF(BR1398="-","Nicht im Lift",IF(AX1398&gt;=1,"Lift",IF(AX1398&lt;=0,"Aussenlager","teilweise")))))</f>
        <v/>
      </c>
      <c r="BB1398" s="53">
        <f>IF(A1398="","",IF(BK1398=1,"Neu; ","")&amp;IF(AND(BK1398=0,BF1398&lt;0),"negativer Bestand (Export "&amp;BF1398&amp;"); ","")&amp;IF(I1398&lt;=0,"Kein Verbrauch; ","")&amp;IF(BO1398=1,"Lose – Fläche geschätzt; ","")&amp;IF(G1398&gt;AM1398,"Überbestand "&amp;ROUND(G1398-AM1398,0)&amp;" Stk / CHF "&amp;ROUND((G1398-AM1398)*F1398,0)&amp;"; ","")&amp;IF(AND(BT1398=1,BU1398&lt;BV1398),"MAX &lt; MB+LG; ","")&amp;IF(AND(BZ1398&gt;0,BY1398*10&gt;BZ1398),"zu hoch für Tablar; ","")&amp;IF(AND(BK1398=0,OR(BT1398=1,V1398&lt;&gt;"",S1398&lt;&gt;"",T1398&lt;&gt;"",W1398&lt;&gt;"")),"manuell übersteuert; ","")&amp;IF(AND(BO1398=0,Q1398=0),"Gebinde unbekannt; ","")&amp;IF(AND(BO1398=0,N(T1398)&lt;=0,N(P1398)&lt;=0),"Menge pro Gebinde fehlt (Ist = 1 Gebinde); ","")&amp;BJ1398)</f>
        <v/>
      </c>
      <c r="BC1398" s="53" t="n"/>
      <c r="BD1398" s="53" t="n"/>
      <c r="BE1398" s="61" t="n"/>
      <c r="BF1398" s="55" t="n">
        <v>-6</v>
      </c>
      <c r="BG1398" s="55" t="n">
        <v>23</v>
      </c>
      <c r="BH1398" s="54" t="n">
        <v>-4018.549999999965</v>
      </c>
      <c r="BI1398" s="55" t="n">
        <v>160</v>
      </c>
      <c r="BJ1398" s="53" t="inlineStr"/>
      <c r="BK1398" s="58" t="n">
        <v>0</v>
      </c>
      <c r="BL1398" s="58" t="n">
        <v>1398</v>
      </c>
      <c r="BM1398" s="53">
        <f>IF(S1398&lt;&gt;"",UPPER(TRIM(S1398)),IF(O1398="","LOSE",O1398))</f>
        <v/>
      </c>
      <c r="BN1398" s="55">
        <f>IF(BM1398="LOSE",1,IF(N(T1398)&gt;0,T1398,IF(N(P1398)&gt;0,P1398,MAX(1,G1398))))</f>
        <v/>
      </c>
      <c r="BO1398" s="58">
        <f>IF(BM1398="LOSE",1,0)</f>
        <v/>
      </c>
      <c r="BP1398" s="64">
        <f>IF(BO1398=0,0,IF(N(R1398)&gt;0,R1398,IFERROR(VLOOKUP(D1398,Parameter!$A$35:$C$64,3,0)+0,0)))</f>
        <v/>
      </c>
      <c r="BQ1398" s="53">
        <f>IF(V1398&lt;&gt;"",V1398,U1398)</f>
        <v/>
      </c>
      <c r="BR1398" s="53">
        <f>IF(BQ1398=1,"L1",IF(OR(BQ1398=2,BQ1398=3),"L23",IF(BQ1398="Aussen","Aussen","-")))</f>
        <v/>
      </c>
      <c r="BS1398" s="66">
        <f>IF(N(W1398)&gt;0,W1398,0)</f>
        <v/>
      </c>
      <c r="BT1398" s="58">
        <f>IF(ISNUMBER(Z1398),1,0)</f>
        <v/>
      </c>
      <c r="BU1398" s="55">
        <f>N(Z1398)</f>
        <v/>
      </c>
      <c r="BV1398" s="55">
        <f>N(L1398)+N(M1398)</f>
        <v/>
      </c>
      <c r="BW1398" s="55">
        <f>ROUNDUP(G1398/BN1398,0)</f>
        <v/>
      </c>
      <c r="BX1398" s="55">
        <f>ROUNDUP(BU1398/BN1398,0)</f>
        <v/>
      </c>
      <c r="BY1398" s="58">
        <f>IF(BO1398=1,0,IFERROR(VLOOKUP(BM1398,'Gebinde-Kategorie'!$A$5:$G$45,5,0)+0,0))</f>
        <v/>
      </c>
      <c r="BZ1398" s="58">
        <f>IFERROR(IF(OR(BQ1398=1,BQ1398=2,BQ1398=3),N(INDEX(Parameter!$I$5:$I$7,BQ1398)),0),0)</f>
        <v/>
      </c>
    </row>
    <row r="1399">
      <c r="A1399" s="53" t="inlineStr">
        <is>
          <t>102305</t>
        </is>
      </c>
      <c r="B1399" s="53" t="inlineStr">
        <is>
          <t>Mischgehäuse TwinL</t>
        </is>
      </c>
      <c r="C1399" s="53" t="inlineStr">
        <is>
          <t>F</t>
        </is>
      </c>
      <c r="D1399" s="53" t="inlineStr">
        <is>
          <t>PAL</t>
        </is>
      </c>
      <c r="E1399" s="53" t="inlineStr">
        <is>
          <t>C</t>
        </is>
      </c>
      <c r="F1399" s="54" t="n">
        <v>2012.56</v>
      </c>
      <c r="G1399" s="55">
        <f>MAX(0,IF(Parameter!$B$20="Jahresanfang 2025 + Export",BG1399+BF1399,BF1399))</f>
        <v/>
      </c>
      <c r="H1399" s="55">
        <f>G1399*F1399</f>
        <v/>
      </c>
      <c r="I1399" s="55">
        <f>BI1399*Parameter!$B$18</f>
        <v/>
      </c>
      <c r="J1399" s="56" t="n">
        <v>15.5</v>
      </c>
      <c r="K1399" s="57" t="n">
        <v>0.06451612903225806</v>
      </c>
      <c r="L1399" s="55" t="n">
        <v>0</v>
      </c>
      <c r="M1399" s="55" t="n">
        <v>1</v>
      </c>
      <c r="N1399" s="58" t="n">
        <v>112</v>
      </c>
      <c r="O1399" s="53" t="inlineStr">
        <is>
          <t>S71</t>
        </is>
      </c>
      <c r="P1399" s="55" t="n">
        <v>14</v>
      </c>
      <c r="Q1399" s="59">
        <f>IF(BO1399=1,0,IFERROR(VLOOKUP(BM1399,'Gebinde-Kategorie'!$A$5:$G$45,6,0)+0,0))</f>
        <v/>
      </c>
      <c r="R1399" s="60" t="n"/>
      <c r="S1399" s="61" t="n"/>
      <c r="T1399" s="61" t="n"/>
      <c r="U1399" s="53">
        <f>IF(A1399="","",IF(IFERROR(VLOOKUP(D1399,Parameter!$A$35:$C$64,2,0),"Nein")="2+3",IF(ISNUMBER(SEARCH("grosser Artikel",BJ1399)),2,IFERROR(VLOOKUP(BM1399,Parameter!$F$35:$G$64,2,0),2)),IF(OR(IFERROR(VLOOKUP(D1399,Parameter!$A$35:$C$64,2,0),"Nein")="Nein",IFERROR(VLOOKUP(D1399,Parameter!$A$35:$C$64,2,0),"Nein")=""),"-",VLOOKUP(D1399,Parameter!$A$35:$C$64,2,0))))</f>
        <v/>
      </c>
      <c r="V1399" s="61" t="n"/>
      <c r="W1399" s="62" t="n"/>
      <c r="X1399" s="55">
        <f>AM1399</f>
        <v/>
      </c>
      <c r="Y1399" s="55">
        <f>MAX(AM1399,G1399)</f>
        <v/>
      </c>
      <c r="Z1399" s="63" t="n"/>
      <c r="AA1399" s="55">
        <f>IF(LEFT(Cockpit!$C$5,1)="A",G1399,IF(BT1399=1,BU1399,IF(LEFT(Cockpit!$C$5,1)="B",AE1399,MAX(AE1399,G1399))))</f>
        <v/>
      </c>
      <c r="AB1399" s="55">
        <f>IF(BO1399=1,0,ROUNDUP(AA1399/BN1399,0))</f>
        <v/>
      </c>
      <c r="AC1399" s="64">
        <f>IF(BO1399=1,IF(AA1399&lt;=0,0,BP1399*MAX(1,IF(G1399&gt;0,AA1399/G1399,1))),AB1399*Q1399)</f>
        <v/>
      </c>
      <c r="AD1399" s="55">
        <f>AA1399*F1399</f>
        <v/>
      </c>
      <c r="AE1399" s="55">
        <f>ROUNDUP(MAX(I1399/IF(BS1399&gt;0,BS1399,MAX(0.1,N(Cockpit!$C$6))),BV1399)/BN1399,0)*BN1399</f>
        <v/>
      </c>
      <c r="AF1399" s="56">
        <f>IF(AC1399&gt;0,I1399/AC1399,-1)</f>
        <v/>
      </c>
      <c r="AG1399" s="56">
        <f>IF(AND(OR(BR1399="L1",BR1399="L23"),AC1399&gt;0),SUMIFS($AC$7:$AC$1570,$BR$7:$BR$1570,BR1399,$AF$7:$AF$1570,"&gt;"&amp;AF1399)+SUMIFS($AC$7:$AC$1570,$BR$7:$BR$1570,BR1399,$AF$7:$AF$1570,AF1399,$BL$7:$BL$1570,"&lt;="&amp;BL1399),"")</f>
        <v/>
      </c>
      <c r="AH1399" s="65">
        <f>IF(AG1399="",0,MAX(0,MIN(1,(IF(BR1399="L1",Parameter!$K$5,Parameter!$K$6+Parameter!$K$7)-(AG1399-AC1399))/AC1399)))</f>
        <v/>
      </c>
      <c r="AI1399" s="55">
        <f>IF(LEFT(Cockpit!$I$5,1)="A",G1399,IF(BT1399=1,BU1399,IF(LEFT(Cockpit!$I$5,1)="B",AM1399,MAX(AM1399,G1399))))</f>
        <v/>
      </c>
      <c r="AJ1399" s="55">
        <f>IF(BO1399=1,0,ROUNDUP(AI1399/BN1399,0))</f>
        <v/>
      </c>
      <c r="AK1399" s="64">
        <f>IF(BO1399=1,IF(AI1399&lt;=0,0,BP1399*MAX(1,IF(G1399&gt;0,AI1399/G1399,1))),AJ1399*Q1399)</f>
        <v/>
      </c>
      <c r="AL1399" s="55">
        <f>AI1399*F1399</f>
        <v/>
      </c>
      <c r="AM1399" s="55">
        <f>ROUNDUP(MAX(I1399/IF(BS1399&gt;0,BS1399,MAX(0.1,N(Cockpit!$I$6))),BV1399)/BN1399,0)*BN1399</f>
        <v/>
      </c>
      <c r="AN1399" s="56">
        <f>IF(AK1399&gt;0,I1399/AK1399,-1)</f>
        <v/>
      </c>
      <c r="AO1399" s="56">
        <f>IF(AND(OR(BR1399="L1",BR1399="L23"),AK1399&gt;0),SUMIFS($AK$7:$AK$1570,$BR$7:$BR$1570,BR1399,$AN$7:$AN$1570,"&gt;"&amp;AN1399)+SUMIFS($AK$7:$AK$1570,$BR$7:$BR$1570,BR1399,$AN$7:$AN$1570,AN1399,$BL$7:$BL$1570,"&lt;="&amp;BL1399),"")</f>
        <v/>
      </c>
      <c r="AP1399" s="65">
        <f>IF(AO1399="",0,MAX(0,MIN(1,(IF(BR1399="L1",Parameter!$K$5,Parameter!$K$6+Parameter!$K$7)-(AO1399-AK1399))/AK1399)))</f>
        <v/>
      </c>
      <c r="AQ1399" s="55">
        <f>IF(LEFT(Cockpit!$O$5,1)="A",G1399,IF(BT1399=1,BU1399,IF(LEFT(Cockpit!$O$5,1)="B",AU1399,MAX(AU1399,G1399))))</f>
        <v/>
      </c>
      <c r="AR1399" s="55">
        <f>IF(BO1399=1,0,ROUNDUP(AQ1399/BN1399,0))</f>
        <v/>
      </c>
      <c r="AS1399" s="64">
        <f>IF(BO1399=1,IF(AQ1399&lt;=0,0,BP1399*MAX(1,IF(G1399&gt;0,AQ1399/G1399,1))),AR1399*Q1399)</f>
        <v/>
      </c>
      <c r="AT1399" s="55">
        <f>AQ1399*F1399</f>
        <v/>
      </c>
      <c r="AU1399" s="55">
        <f>ROUNDUP(MAX(I1399/IF(BS1399&gt;0,BS1399,MAX(0.1,N(Cockpit!$O$6))),BV1399)/BN1399,0)*BN1399</f>
        <v/>
      </c>
      <c r="AV1399" s="56">
        <f>IF(AS1399&gt;0,I1399/AS1399,-1)</f>
        <v/>
      </c>
      <c r="AW1399" s="56">
        <f>IF(AND(OR(BR1399="L1",BR1399="L23"),AS1399&gt;0),SUMIFS($AS$7:$AS$1570,$BR$7:$BR$1570,BR1399,$AV$7:$AV$1570,"&gt;"&amp;AV1399)+SUMIFS($AS$7:$AS$1570,$BR$7:$BR$1570,BR1399,$AV$7:$AV$1570,AV1399,$BL$7:$BL$1570,"&lt;="&amp;BL1399),"")</f>
        <v/>
      </c>
      <c r="AX1399" s="65">
        <f>IF(AW1399="",0,MAX(0,MIN(1,(IF(BR1399="L1",Parameter!$K$5,Parameter!$K$6+Parameter!$K$7)-(AW1399-AS1399))/AS1399)))</f>
        <v/>
      </c>
      <c r="AY1399" s="53">
        <f>IF(AC1399&lt;=0,"",IF(BR1399="Aussen","Aussenlager",IF(BR1399="-","Nicht im Lift",IF(AH1399&gt;=1,"Lift",IF(AH1399&lt;=0,"Aussenlager","teilweise")))))</f>
        <v/>
      </c>
      <c r="AZ1399" s="53">
        <f>IF(AK1399&lt;=0,"",IF(BR1399="Aussen","Aussenlager",IF(BR1399="-","Nicht im Lift",IF(AP1399&gt;=1,"Lift",IF(AP1399&lt;=0,"Aussenlager","teilweise")))))</f>
        <v/>
      </c>
      <c r="BA1399" s="53">
        <f>IF(AS1399&lt;=0,"",IF(BR1399="Aussen","Aussenlager",IF(BR1399="-","Nicht im Lift",IF(AX1399&gt;=1,"Lift",IF(AX1399&lt;=0,"Aussenlager","teilweise")))))</f>
        <v/>
      </c>
      <c r="BB1399" s="53">
        <f>IF(A1399="","",IF(BK1399=1,"Neu; ","")&amp;IF(AND(BK1399=0,BF1399&lt;0),"negativer Bestand (Export "&amp;BF1399&amp;"); ","")&amp;IF(I1399&lt;=0,"Kein Verbrauch; ","")&amp;IF(BO1399=1,"Lose – Fläche geschätzt; ","")&amp;IF(G1399&gt;AM1399,"Überbestand "&amp;ROUND(G1399-AM1399,0)&amp;" Stk / CHF "&amp;ROUND((G1399-AM1399)*F1399,0)&amp;"; ","")&amp;IF(AND(BT1399=1,BU1399&lt;BV1399),"MAX &lt; MB+LG; ","")&amp;IF(AND(BZ1399&gt;0,BY1399*10&gt;BZ1399),"zu hoch für Tablar; ","")&amp;IF(AND(BK1399=0,OR(BT1399=1,V1399&lt;&gt;"",S1399&lt;&gt;"",T1399&lt;&gt;"",W1399&lt;&gt;"")),"manuell übersteuert; ","")&amp;IF(AND(BO1399=0,Q1399=0),"Gebinde unbekannt; ","")&amp;IF(AND(BO1399=0,N(T1399)&lt;=0,N(P1399)&lt;=0),"Menge pro Gebinde fehlt (Ist = 1 Gebinde); ","")&amp;BJ1399)</f>
        <v/>
      </c>
      <c r="BC1399" s="53" t="n"/>
      <c r="BD1399" s="53" t="n"/>
      <c r="BE1399" s="61" t="n"/>
      <c r="BF1399" s="55" t="n">
        <v>-2</v>
      </c>
      <c r="BG1399" s="55" t="n">
        <v>16</v>
      </c>
      <c r="BH1399" s="54" t="n">
        <v>-4025.12</v>
      </c>
      <c r="BI1399" s="55" t="n">
        <v>1</v>
      </c>
      <c r="BJ1399" s="53" t="inlineStr"/>
      <c r="BK1399" s="58" t="n">
        <v>0</v>
      </c>
      <c r="BL1399" s="58" t="n">
        <v>1399</v>
      </c>
      <c r="BM1399" s="53">
        <f>IF(S1399&lt;&gt;"",UPPER(TRIM(S1399)),IF(O1399="","LOSE",O1399))</f>
        <v/>
      </c>
      <c r="BN1399" s="55">
        <f>IF(BM1399="LOSE",1,IF(N(T1399)&gt;0,T1399,IF(N(P1399)&gt;0,P1399,MAX(1,G1399))))</f>
        <v/>
      </c>
      <c r="BO1399" s="58">
        <f>IF(BM1399="LOSE",1,0)</f>
        <v/>
      </c>
      <c r="BP1399" s="64">
        <f>IF(BO1399=0,0,IF(N(R1399)&gt;0,R1399,IFERROR(VLOOKUP(D1399,Parameter!$A$35:$C$64,3,0)+0,0)))</f>
        <v/>
      </c>
      <c r="BQ1399" s="53">
        <f>IF(V1399&lt;&gt;"",V1399,U1399)</f>
        <v/>
      </c>
      <c r="BR1399" s="53">
        <f>IF(BQ1399=1,"L1",IF(OR(BQ1399=2,BQ1399=3),"L23",IF(BQ1399="Aussen","Aussen","-")))</f>
        <v/>
      </c>
      <c r="BS1399" s="66">
        <f>IF(N(W1399)&gt;0,W1399,0)</f>
        <v/>
      </c>
      <c r="BT1399" s="58">
        <f>IF(ISNUMBER(Z1399),1,0)</f>
        <v/>
      </c>
      <c r="BU1399" s="55">
        <f>N(Z1399)</f>
        <v/>
      </c>
      <c r="BV1399" s="55">
        <f>N(L1399)+N(M1399)</f>
        <v/>
      </c>
      <c r="BW1399" s="55">
        <f>ROUNDUP(G1399/BN1399,0)</f>
        <v/>
      </c>
      <c r="BX1399" s="55">
        <f>ROUNDUP(BU1399/BN1399,0)</f>
        <v/>
      </c>
      <c r="BY1399" s="58">
        <f>IF(BO1399=1,0,IFERROR(VLOOKUP(BM1399,'Gebinde-Kategorie'!$A$5:$G$45,5,0)+0,0))</f>
        <v/>
      </c>
      <c r="BZ1399" s="58">
        <f>IFERROR(IF(OR(BQ1399=1,BQ1399=2,BQ1399=3),N(INDEX(Parameter!$I$5:$I$7,BQ1399)),0),0)</f>
        <v/>
      </c>
    </row>
    <row r="1400">
      <c r="A1400" s="53" t="inlineStr">
        <is>
          <t>005349</t>
        </is>
      </c>
      <c r="B1400" s="53" t="inlineStr">
        <is>
          <t>Drucktransmitter</t>
        </is>
      </c>
      <c r="C1400" s="53" t="inlineStr">
        <is>
          <t>F</t>
        </is>
      </c>
      <c r="D1400" s="53" t="inlineStr">
        <is>
          <t>KTL</t>
        </is>
      </c>
      <c r="E1400" s="53" t="inlineStr">
        <is>
          <t>C</t>
        </is>
      </c>
      <c r="F1400" s="54" t="n">
        <v>374.8</v>
      </c>
      <c r="G1400" s="55">
        <f>MAX(0,IF(Parameter!$B$20="Jahresanfang 2025 + Export",BG1400+BF1400,BF1400))</f>
        <v/>
      </c>
      <c r="H1400" s="55">
        <f>G1400*F1400</f>
        <v/>
      </c>
      <c r="I1400" s="55">
        <f>BI1400*Parameter!$B$18</f>
        <v/>
      </c>
      <c r="J1400" s="56" t="n">
        <v>11</v>
      </c>
      <c r="K1400" s="57" t="n">
        <v>0</v>
      </c>
      <c r="L1400" s="55" t="n">
        <v>0</v>
      </c>
      <c r="M1400" s="55" t="n">
        <v>1</v>
      </c>
      <c r="N1400" s="58" t="n">
        <v>56</v>
      </c>
      <c r="O1400" s="53" t="inlineStr">
        <is>
          <t>S52</t>
        </is>
      </c>
      <c r="P1400" s="55" t="n">
        <v>10</v>
      </c>
      <c r="Q1400" s="59">
        <f>IF(BO1400=1,0,IFERROR(VLOOKUP(BM1400,'Gebinde-Kategorie'!$A$5:$G$45,6,0)+0,0))</f>
        <v/>
      </c>
      <c r="R1400" s="60" t="n"/>
      <c r="S1400" s="61" t="n"/>
      <c r="T1400" s="61" t="n"/>
      <c r="U1400" s="53">
        <f>IF(A1400="","",IF(IFERROR(VLOOKUP(D1400,Parameter!$A$35:$C$64,2,0),"Nein")="2+3",IF(ISNUMBER(SEARCH("grosser Artikel",BJ1400)),2,IFERROR(VLOOKUP(BM1400,Parameter!$F$35:$G$64,2,0),2)),IF(OR(IFERROR(VLOOKUP(D1400,Parameter!$A$35:$C$64,2,0),"Nein")="Nein",IFERROR(VLOOKUP(D1400,Parameter!$A$35:$C$64,2,0),"Nein")=""),"-",VLOOKUP(D1400,Parameter!$A$35:$C$64,2,0))))</f>
        <v/>
      </c>
      <c r="V1400" s="61" t="n"/>
      <c r="W1400" s="62" t="n"/>
      <c r="X1400" s="55">
        <f>AM1400</f>
        <v/>
      </c>
      <c r="Y1400" s="55">
        <f>MAX(AM1400,G1400)</f>
        <v/>
      </c>
      <c r="Z1400" s="63" t="n"/>
      <c r="AA1400" s="55">
        <f>IF(LEFT(Cockpit!$C$5,1)="A",G1400,IF(BT1400=1,BU1400,IF(LEFT(Cockpit!$C$5,1)="B",AE1400,MAX(AE1400,G1400))))</f>
        <v/>
      </c>
      <c r="AB1400" s="55">
        <f>IF(BO1400=1,0,ROUNDUP(AA1400/BN1400,0))</f>
        <v/>
      </c>
      <c r="AC1400" s="64">
        <f>IF(BO1400=1,IF(AA1400&lt;=0,0,BP1400*MAX(1,IF(G1400&gt;0,AA1400/G1400,1))),AB1400*Q1400)</f>
        <v/>
      </c>
      <c r="AD1400" s="55">
        <f>AA1400*F1400</f>
        <v/>
      </c>
      <c r="AE1400" s="55">
        <f>ROUNDUP(MAX(I1400/IF(BS1400&gt;0,BS1400,MAX(0.1,N(Cockpit!$C$6))),BV1400)/BN1400,0)*BN1400</f>
        <v/>
      </c>
      <c r="AF1400" s="56">
        <f>IF(AC1400&gt;0,I1400/AC1400,-1)</f>
        <v/>
      </c>
      <c r="AG1400" s="56">
        <f>IF(AND(OR(BR1400="L1",BR1400="L23"),AC1400&gt;0),SUMIFS($AC$7:$AC$1570,$BR$7:$BR$1570,BR1400,$AF$7:$AF$1570,"&gt;"&amp;AF1400)+SUMIFS($AC$7:$AC$1570,$BR$7:$BR$1570,BR1400,$AF$7:$AF$1570,AF1400,$BL$7:$BL$1570,"&lt;="&amp;BL1400),"")</f>
        <v/>
      </c>
      <c r="AH1400" s="65">
        <f>IF(AG1400="",0,MAX(0,MIN(1,(IF(BR1400="L1",Parameter!$K$5,Parameter!$K$6+Parameter!$K$7)-(AG1400-AC1400))/AC1400)))</f>
        <v/>
      </c>
      <c r="AI1400" s="55">
        <f>IF(LEFT(Cockpit!$I$5,1)="A",G1400,IF(BT1400=1,BU1400,IF(LEFT(Cockpit!$I$5,1)="B",AM1400,MAX(AM1400,G1400))))</f>
        <v/>
      </c>
      <c r="AJ1400" s="55">
        <f>IF(BO1400=1,0,ROUNDUP(AI1400/BN1400,0))</f>
        <v/>
      </c>
      <c r="AK1400" s="64">
        <f>IF(BO1400=1,IF(AI1400&lt;=0,0,BP1400*MAX(1,IF(G1400&gt;0,AI1400/G1400,1))),AJ1400*Q1400)</f>
        <v/>
      </c>
      <c r="AL1400" s="55">
        <f>AI1400*F1400</f>
        <v/>
      </c>
      <c r="AM1400" s="55">
        <f>ROUNDUP(MAX(I1400/IF(BS1400&gt;0,BS1400,MAX(0.1,N(Cockpit!$I$6))),BV1400)/BN1400,0)*BN1400</f>
        <v/>
      </c>
      <c r="AN1400" s="56">
        <f>IF(AK1400&gt;0,I1400/AK1400,-1)</f>
        <v/>
      </c>
      <c r="AO1400" s="56">
        <f>IF(AND(OR(BR1400="L1",BR1400="L23"),AK1400&gt;0),SUMIFS($AK$7:$AK$1570,$BR$7:$BR$1570,BR1400,$AN$7:$AN$1570,"&gt;"&amp;AN1400)+SUMIFS($AK$7:$AK$1570,$BR$7:$BR$1570,BR1400,$AN$7:$AN$1570,AN1400,$BL$7:$BL$1570,"&lt;="&amp;BL1400),"")</f>
        <v/>
      </c>
      <c r="AP1400" s="65">
        <f>IF(AO1400="",0,MAX(0,MIN(1,(IF(BR1400="L1",Parameter!$K$5,Parameter!$K$6+Parameter!$K$7)-(AO1400-AK1400))/AK1400)))</f>
        <v/>
      </c>
      <c r="AQ1400" s="55">
        <f>IF(LEFT(Cockpit!$O$5,1)="A",G1400,IF(BT1400=1,BU1400,IF(LEFT(Cockpit!$O$5,1)="B",AU1400,MAX(AU1400,G1400))))</f>
        <v/>
      </c>
      <c r="AR1400" s="55">
        <f>IF(BO1400=1,0,ROUNDUP(AQ1400/BN1400,0))</f>
        <v/>
      </c>
      <c r="AS1400" s="64">
        <f>IF(BO1400=1,IF(AQ1400&lt;=0,0,BP1400*MAX(1,IF(G1400&gt;0,AQ1400/G1400,1))),AR1400*Q1400)</f>
        <v/>
      </c>
      <c r="AT1400" s="55">
        <f>AQ1400*F1400</f>
        <v/>
      </c>
      <c r="AU1400" s="55">
        <f>ROUNDUP(MAX(I1400/IF(BS1400&gt;0,BS1400,MAX(0.1,N(Cockpit!$O$6))),BV1400)/BN1400,0)*BN1400</f>
        <v/>
      </c>
      <c r="AV1400" s="56">
        <f>IF(AS1400&gt;0,I1400/AS1400,-1)</f>
        <v/>
      </c>
      <c r="AW1400" s="56">
        <f>IF(AND(OR(BR1400="L1",BR1400="L23"),AS1400&gt;0),SUMIFS($AS$7:$AS$1570,$BR$7:$BR$1570,BR1400,$AV$7:$AV$1570,"&gt;"&amp;AV1400)+SUMIFS($AS$7:$AS$1570,$BR$7:$BR$1570,BR1400,$AV$7:$AV$1570,AV1400,$BL$7:$BL$1570,"&lt;="&amp;BL1400),"")</f>
        <v/>
      </c>
      <c r="AX1400" s="65">
        <f>IF(AW1400="",0,MAX(0,MIN(1,(IF(BR1400="L1",Parameter!$K$5,Parameter!$K$6+Parameter!$K$7)-(AW1400-AS1400))/AS1400)))</f>
        <v/>
      </c>
      <c r="AY1400" s="53">
        <f>IF(AC1400&lt;=0,"",IF(BR1400="Aussen","Aussenlager",IF(BR1400="-","Nicht im Lift",IF(AH1400&gt;=1,"Lift",IF(AH1400&lt;=0,"Aussenlager","teilweise")))))</f>
        <v/>
      </c>
      <c r="AZ1400" s="53">
        <f>IF(AK1400&lt;=0,"",IF(BR1400="Aussen","Aussenlager",IF(BR1400="-","Nicht im Lift",IF(AP1400&gt;=1,"Lift",IF(AP1400&lt;=0,"Aussenlager","teilweise")))))</f>
        <v/>
      </c>
      <c r="BA1400" s="53">
        <f>IF(AS1400&lt;=0,"",IF(BR1400="Aussen","Aussenlager",IF(BR1400="-","Nicht im Lift",IF(AX1400&gt;=1,"Lift",IF(AX1400&lt;=0,"Aussenlager","teilweise")))))</f>
        <v/>
      </c>
      <c r="BB1400" s="53">
        <f>IF(A1400="","",IF(BK1400=1,"Neu; ","")&amp;IF(AND(BK1400=0,BF1400&lt;0),"negativer Bestand (Export "&amp;BF1400&amp;"); ","")&amp;IF(I1400&lt;=0,"Kein Verbrauch; ","")&amp;IF(BO1400=1,"Lose – Fläche geschätzt; ","")&amp;IF(G1400&gt;AM1400,"Überbestand "&amp;ROUND(G1400-AM1400,0)&amp;" Stk / CHF "&amp;ROUND((G1400-AM1400)*F1400,0)&amp;"; ","")&amp;IF(AND(BT1400=1,BU1400&lt;BV1400),"MAX &lt; MB+LG; ","")&amp;IF(AND(BZ1400&gt;0,BY1400*10&gt;BZ1400),"zu hoch für Tablar; ","")&amp;IF(AND(BK1400=0,OR(BT1400=1,V1400&lt;&gt;"",S1400&lt;&gt;"",T1400&lt;&gt;"",W1400&lt;&gt;"")),"manuell übersteuert; ","")&amp;IF(AND(BO1400=0,Q1400=0),"Gebinde unbekannt; ","")&amp;IF(AND(BO1400=0,N(T1400)&lt;=0,N(P1400)&lt;=0),"Menge pro Gebinde fehlt (Ist = 1 Gebinde); ","")&amp;BJ1400)</f>
        <v/>
      </c>
      <c r="BC1400" s="53" t="n"/>
      <c r="BD1400" s="53" t="n"/>
      <c r="BE1400" s="61" t="n"/>
      <c r="BF1400" s="55" t="n">
        <v>-11</v>
      </c>
      <c r="BG1400" s="55" t="n">
        <v>11</v>
      </c>
      <c r="BH1400" s="54" t="n">
        <v>-4122.8</v>
      </c>
      <c r="BI1400" s="55" t="n">
        <v>0</v>
      </c>
      <c r="BJ1400" s="53" t="inlineStr"/>
      <c r="BK1400" s="58" t="n">
        <v>0</v>
      </c>
      <c r="BL1400" s="58" t="n">
        <v>1400</v>
      </c>
      <c r="BM1400" s="53">
        <f>IF(S1400&lt;&gt;"",UPPER(TRIM(S1400)),IF(O1400="","LOSE",O1400))</f>
        <v/>
      </c>
      <c r="BN1400" s="55">
        <f>IF(BM1400="LOSE",1,IF(N(T1400)&gt;0,T1400,IF(N(P1400)&gt;0,P1400,MAX(1,G1400))))</f>
        <v/>
      </c>
      <c r="BO1400" s="58">
        <f>IF(BM1400="LOSE",1,0)</f>
        <v/>
      </c>
      <c r="BP1400" s="64">
        <f>IF(BO1400=0,0,IF(N(R1400)&gt;0,R1400,IFERROR(VLOOKUP(D1400,Parameter!$A$35:$C$64,3,0)+0,0)))</f>
        <v/>
      </c>
      <c r="BQ1400" s="53">
        <f>IF(V1400&lt;&gt;"",V1400,U1400)</f>
        <v/>
      </c>
      <c r="BR1400" s="53">
        <f>IF(BQ1400=1,"L1",IF(OR(BQ1400=2,BQ1400=3),"L23",IF(BQ1400="Aussen","Aussen","-")))</f>
        <v/>
      </c>
      <c r="BS1400" s="66">
        <f>IF(N(W1400)&gt;0,W1400,0)</f>
        <v/>
      </c>
      <c r="BT1400" s="58">
        <f>IF(ISNUMBER(Z1400),1,0)</f>
        <v/>
      </c>
      <c r="BU1400" s="55">
        <f>N(Z1400)</f>
        <v/>
      </c>
      <c r="BV1400" s="55">
        <f>N(L1400)+N(M1400)</f>
        <v/>
      </c>
      <c r="BW1400" s="55">
        <f>ROUNDUP(G1400/BN1400,0)</f>
        <v/>
      </c>
      <c r="BX1400" s="55">
        <f>ROUNDUP(BU1400/BN1400,0)</f>
        <v/>
      </c>
      <c r="BY1400" s="58">
        <f>IF(BO1400=1,0,IFERROR(VLOOKUP(BM1400,'Gebinde-Kategorie'!$A$5:$G$45,5,0)+0,0))</f>
        <v/>
      </c>
      <c r="BZ1400" s="58">
        <f>IFERROR(IF(OR(BQ1400=1,BQ1400=2,BQ1400=3),N(INDEX(Parameter!$I$5:$I$7,BQ1400)),0),0)</f>
        <v/>
      </c>
    </row>
    <row r="1401">
      <c r="A1401" s="53" t="inlineStr">
        <is>
          <t>107999</t>
        </is>
      </c>
      <c r="B1401" s="53" t="inlineStr">
        <is>
          <t>Drucktransmitter</t>
        </is>
      </c>
      <c r="C1401" s="53" t="inlineStr">
        <is>
          <t>F</t>
        </is>
      </c>
      <c r="D1401" s="53" t="inlineStr">
        <is>
          <t>KTL</t>
        </is>
      </c>
      <c r="E1401" s="53" t="inlineStr">
        <is>
          <t>C</t>
        </is>
      </c>
      <c r="F1401" s="54" t="n">
        <v>208.55</v>
      </c>
      <c r="G1401" s="55">
        <f>MAX(0,IF(Parameter!$B$20="Jahresanfang 2025 + Export",BG1401+BF1401,BF1401))</f>
        <v/>
      </c>
      <c r="H1401" s="55">
        <f>G1401*F1401</f>
        <v/>
      </c>
      <c r="I1401" s="55">
        <f>BI1401*Parameter!$B$18</f>
        <v/>
      </c>
      <c r="J1401" s="56" t="n">
        <v>49</v>
      </c>
      <c r="K1401" s="57" t="n">
        <v>3.346938775510204</v>
      </c>
      <c r="L1401" s="55" t="n">
        <v>10</v>
      </c>
      <c r="M1401" s="55" t="n">
        <v>40</v>
      </c>
      <c r="N1401" s="58" t="n">
        <v>21</v>
      </c>
      <c r="O1401" s="53" t="inlineStr">
        <is>
          <t>S63</t>
        </is>
      </c>
      <c r="P1401" s="55" t="n">
        <v>55</v>
      </c>
      <c r="Q1401" s="59">
        <f>IF(BO1401=1,0,IFERROR(VLOOKUP(BM1401,'Gebinde-Kategorie'!$A$5:$G$45,6,0)+0,0))</f>
        <v/>
      </c>
      <c r="R1401" s="60" t="n"/>
      <c r="S1401" s="61" t="n"/>
      <c r="T1401" s="61" t="n"/>
      <c r="U1401" s="53">
        <f>IF(A1401="","",IF(IFERROR(VLOOKUP(D1401,Parameter!$A$35:$C$64,2,0),"Nein")="2+3",IF(ISNUMBER(SEARCH("grosser Artikel",BJ1401)),2,IFERROR(VLOOKUP(BM1401,Parameter!$F$35:$G$64,2,0),2)),IF(OR(IFERROR(VLOOKUP(D1401,Parameter!$A$35:$C$64,2,0),"Nein")="Nein",IFERROR(VLOOKUP(D1401,Parameter!$A$35:$C$64,2,0),"Nein")=""),"-",VLOOKUP(D1401,Parameter!$A$35:$C$64,2,0))))</f>
        <v/>
      </c>
      <c r="V1401" s="61" t="n"/>
      <c r="W1401" s="62" t="n"/>
      <c r="X1401" s="55">
        <f>AM1401</f>
        <v/>
      </c>
      <c r="Y1401" s="55">
        <f>MAX(AM1401,G1401)</f>
        <v/>
      </c>
      <c r="Z1401" s="63" t="n"/>
      <c r="AA1401" s="55">
        <f>IF(LEFT(Cockpit!$C$5,1)="A",G1401,IF(BT1401=1,BU1401,IF(LEFT(Cockpit!$C$5,1)="B",AE1401,MAX(AE1401,G1401))))</f>
        <v/>
      </c>
      <c r="AB1401" s="55">
        <f>IF(BO1401=1,0,ROUNDUP(AA1401/BN1401,0))</f>
        <v/>
      </c>
      <c r="AC1401" s="64">
        <f>IF(BO1401=1,IF(AA1401&lt;=0,0,BP1401*MAX(1,IF(G1401&gt;0,AA1401/G1401,1))),AB1401*Q1401)</f>
        <v/>
      </c>
      <c r="AD1401" s="55">
        <f>AA1401*F1401</f>
        <v/>
      </c>
      <c r="AE1401" s="55">
        <f>ROUNDUP(MAX(I1401/IF(BS1401&gt;0,BS1401,MAX(0.1,N(Cockpit!$C$6))),BV1401)/BN1401,0)*BN1401</f>
        <v/>
      </c>
      <c r="AF1401" s="56">
        <f>IF(AC1401&gt;0,I1401/AC1401,-1)</f>
        <v/>
      </c>
      <c r="AG1401" s="56">
        <f>IF(AND(OR(BR1401="L1",BR1401="L23"),AC1401&gt;0),SUMIFS($AC$7:$AC$1570,$BR$7:$BR$1570,BR1401,$AF$7:$AF$1570,"&gt;"&amp;AF1401)+SUMIFS($AC$7:$AC$1570,$BR$7:$BR$1570,BR1401,$AF$7:$AF$1570,AF1401,$BL$7:$BL$1570,"&lt;="&amp;BL1401),"")</f>
        <v/>
      </c>
      <c r="AH1401" s="65">
        <f>IF(AG1401="",0,MAX(0,MIN(1,(IF(BR1401="L1",Parameter!$K$5,Parameter!$K$6+Parameter!$K$7)-(AG1401-AC1401))/AC1401)))</f>
        <v/>
      </c>
      <c r="AI1401" s="55">
        <f>IF(LEFT(Cockpit!$I$5,1)="A",G1401,IF(BT1401=1,BU1401,IF(LEFT(Cockpit!$I$5,1)="B",AM1401,MAX(AM1401,G1401))))</f>
        <v/>
      </c>
      <c r="AJ1401" s="55">
        <f>IF(BO1401=1,0,ROUNDUP(AI1401/BN1401,0))</f>
        <v/>
      </c>
      <c r="AK1401" s="64">
        <f>IF(BO1401=1,IF(AI1401&lt;=0,0,BP1401*MAX(1,IF(G1401&gt;0,AI1401/G1401,1))),AJ1401*Q1401)</f>
        <v/>
      </c>
      <c r="AL1401" s="55">
        <f>AI1401*F1401</f>
        <v/>
      </c>
      <c r="AM1401" s="55">
        <f>ROUNDUP(MAX(I1401/IF(BS1401&gt;0,BS1401,MAX(0.1,N(Cockpit!$I$6))),BV1401)/BN1401,0)*BN1401</f>
        <v/>
      </c>
      <c r="AN1401" s="56">
        <f>IF(AK1401&gt;0,I1401/AK1401,-1)</f>
        <v/>
      </c>
      <c r="AO1401" s="56">
        <f>IF(AND(OR(BR1401="L1",BR1401="L23"),AK1401&gt;0),SUMIFS($AK$7:$AK$1570,$BR$7:$BR$1570,BR1401,$AN$7:$AN$1570,"&gt;"&amp;AN1401)+SUMIFS($AK$7:$AK$1570,$BR$7:$BR$1570,BR1401,$AN$7:$AN$1570,AN1401,$BL$7:$BL$1570,"&lt;="&amp;BL1401),"")</f>
        <v/>
      </c>
      <c r="AP1401" s="65">
        <f>IF(AO1401="",0,MAX(0,MIN(1,(IF(BR1401="L1",Parameter!$K$5,Parameter!$K$6+Parameter!$K$7)-(AO1401-AK1401))/AK1401)))</f>
        <v/>
      </c>
      <c r="AQ1401" s="55">
        <f>IF(LEFT(Cockpit!$O$5,1)="A",G1401,IF(BT1401=1,BU1401,IF(LEFT(Cockpit!$O$5,1)="B",AU1401,MAX(AU1401,G1401))))</f>
        <v/>
      </c>
      <c r="AR1401" s="55">
        <f>IF(BO1401=1,0,ROUNDUP(AQ1401/BN1401,0))</f>
        <v/>
      </c>
      <c r="AS1401" s="64">
        <f>IF(BO1401=1,IF(AQ1401&lt;=0,0,BP1401*MAX(1,IF(G1401&gt;0,AQ1401/G1401,1))),AR1401*Q1401)</f>
        <v/>
      </c>
      <c r="AT1401" s="55">
        <f>AQ1401*F1401</f>
        <v/>
      </c>
      <c r="AU1401" s="55">
        <f>ROUNDUP(MAX(I1401/IF(BS1401&gt;0,BS1401,MAX(0.1,N(Cockpit!$O$6))),BV1401)/BN1401,0)*BN1401</f>
        <v/>
      </c>
      <c r="AV1401" s="56">
        <f>IF(AS1401&gt;0,I1401/AS1401,-1)</f>
        <v/>
      </c>
      <c r="AW1401" s="56">
        <f>IF(AND(OR(BR1401="L1",BR1401="L23"),AS1401&gt;0),SUMIFS($AS$7:$AS$1570,$BR$7:$BR$1570,BR1401,$AV$7:$AV$1570,"&gt;"&amp;AV1401)+SUMIFS($AS$7:$AS$1570,$BR$7:$BR$1570,BR1401,$AV$7:$AV$1570,AV1401,$BL$7:$BL$1570,"&lt;="&amp;BL1401),"")</f>
        <v/>
      </c>
      <c r="AX1401" s="65">
        <f>IF(AW1401="",0,MAX(0,MIN(1,(IF(BR1401="L1",Parameter!$K$5,Parameter!$K$6+Parameter!$K$7)-(AW1401-AS1401))/AS1401)))</f>
        <v/>
      </c>
      <c r="AY1401" s="53">
        <f>IF(AC1401&lt;=0,"",IF(BR1401="Aussen","Aussenlager",IF(BR1401="-","Nicht im Lift",IF(AH1401&gt;=1,"Lift",IF(AH1401&lt;=0,"Aussenlager","teilweise")))))</f>
        <v/>
      </c>
      <c r="AZ1401" s="53">
        <f>IF(AK1401&lt;=0,"",IF(BR1401="Aussen","Aussenlager",IF(BR1401="-","Nicht im Lift",IF(AP1401&gt;=1,"Lift",IF(AP1401&lt;=0,"Aussenlager","teilweise")))))</f>
        <v/>
      </c>
      <c r="BA1401" s="53">
        <f>IF(AS1401&lt;=0,"",IF(BR1401="Aussen","Aussenlager",IF(BR1401="-","Nicht im Lift",IF(AX1401&gt;=1,"Lift",IF(AX1401&lt;=0,"Aussenlager","teilweise")))))</f>
        <v/>
      </c>
      <c r="BB1401" s="53">
        <f>IF(A1401="","",IF(BK1401=1,"Neu; ","")&amp;IF(AND(BK1401=0,BF1401&lt;0),"negativer Bestand (Export "&amp;BF1401&amp;"); ","")&amp;IF(I1401&lt;=0,"Kein Verbrauch; ","")&amp;IF(BO1401=1,"Lose – Fläche geschätzt; ","")&amp;IF(G1401&gt;AM1401,"Überbestand "&amp;ROUND(G1401-AM1401,0)&amp;" Stk / CHF "&amp;ROUND((G1401-AM1401)*F1401,0)&amp;"; ","")&amp;IF(AND(BT1401=1,BU1401&lt;BV1401),"MAX &lt; MB+LG; ","")&amp;IF(AND(BZ1401&gt;0,BY1401*10&gt;BZ1401),"zu hoch für Tablar; ","")&amp;IF(AND(BK1401=0,OR(BT1401=1,V1401&lt;&gt;"",S1401&lt;&gt;"",T1401&lt;&gt;"",W1401&lt;&gt;"")),"manuell übersteuert; ","")&amp;IF(AND(BO1401=0,Q1401=0),"Gebinde unbekannt; ","")&amp;IF(AND(BO1401=0,N(T1401)&lt;=0,N(P1401)&lt;=0),"Menge pro Gebinde fehlt (Ist = 1 Gebinde); ","")&amp;BJ1401)</f>
        <v/>
      </c>
      <c r="BC1401" s="53" t="n"/>
      <c r="BD1401" s="53" t="n"/>
      <c r="BE1401" s="61" t="n"/>
      <c r="BF1401" s="55" t="n">
        <v>-14</v>
      </c>
      <c r="BG1401" s="55" t="n">
        <v>61</v>
      </c>
      <c r="BH1401" s="54" t="n">
        <v>-4139.700000000006</v>
      </c>
      <c r="BI1401" s="55" t="n">
        <v>164</v>
      </c>
      <c r="BJ1401" s="53" t="inlineStr"/>
      <c r="BK1401" s="58" t="n">
        <v>0</v>
      </c>
      <c r="BL1401" s="58" t="n">
        <v>1401</v>
      </c>
      <c r="BM1401" s="53">
        <f>IF(S1401&lt;&gt;"",UPPER(TRIM(S1401)),IF(O1401="","LOSE",O1401))</f>
        <v/>
      </c>
      <c r="BN1401" s="55">
        <f>IF(BM1401="LOSE",1,IF(N(T1401)&gt;0,T1401,IF(N(P1401)&gt;0,P1401,MAX(1,G1401))))</f>
        <v/>
      </c>
      <c r="BO1401" s="58">
        <f>IF(BM1401="LOSE",1,0)</f>
        <v/>
      </c>
      <c r="BP1401" s="64">
        <f>IF(BO1401=0,0,IF(N(R1401)&gt;0,R1401,IFERROR(VLOOKUP(D1401,Parameter!$A$35:$C$64,3,0)+0,0)))</f>
        <v/>
      </c>
      <c r="BQ1401" s="53">
        <f>IF(V1401&lt;&gt;"",V1401,U1401)</f>
        <v/>
      </c>
      <c r="BR1401" s="53">
        <f>IF(BQ1401=1,"L1",IF(OR(BQ1401=2,BQ1401=3),"L23",IF(BQ1401="Aussen","Aussen","-")))</f>
        <v/>
      </c>
      <c r="BS1401" s="66">
        <f>IF(N(W1401)&gt;0,W1401,0)</f>
        <v/>
      </c>
      <c r="BT1401" s="58">
        <f>IF(ISNUMBER(Z1401),1,0)</f>
        <v/>
      </c>
      <c r="BU1401" s="55">
        <f>N(Z1401)</f>
        <v/>
      </c>
      <c r="BV1401" s="55">
        <f>N(L1401)+N(M1401)</f>
        <v/>
      </c>
      <c r="BW1401" s="55">
        <f>ROUNDUP(G1401/BN1401,0)</f>
        <v/>
      </c>
      <c r="BX1401" s="55">
        <f>ROUNDUP(BU1401/BN1401,0)</f>
        <v/>
      </c>
      <c r="BY1401" s="58">
        <f>IF(BO1401=1,0,IFERROR(VLOOKUP(BM1401,'Gebinde-Kategorie'!$A$5:$G$45,5,0)+0,0))</f>
        <v/>
      </c>
      <c r="BZ1401" s="58">
        <f>IFERROR(IF(OR(BQ1401=1,BQ1401=2,BQ1401=3),N(INDEX(Parameter!$I$5:$I$7,BQ1401)),0),0)</f>
        <v/>
      </c>
    </row>
    <row r="1402">
      <c r="A1402" s="53" t="inlineStr">
        <is>
          <t>106938</t>
        </is>
      </c>
      <c r="B1402" s="53" t="inlineStr">
        <is>
          <t>Analoges Ausgangsmodul</t>
        </is>
      </c>
      <c r="C1402" s="53" t="inlineStr">
        <is>
          <t>F</t>
        </is>
      </c>
      <c r="D1402" s="53" t="inlineStr">
        <is>
          <t>KTL</t>
        </is>
      </c>
      <c r="E1402" s="53" t="inlineStr">
        <is>
          <t>C</t>
        </is>
      </c>
      <c r="F1402" s="54" t="n">
        <v>94.26000000000001</v>
      </c>
      <c r="G1402" s="55">
        <f>MAX(0,IF(Parameter!$B$20="Jahresanfang 2025 + Export",BG1402+BF1402,BF1402))</f>
        <v/>
      </c>
      <c r="H1402" s="55">
        <f>G1402*F1402</f>
        <v/>
      </c>
      <c r="I1402" s="55">
        <f>BI1402*Parameter!$B$18</f>
        <v/>
      </c>
      <c r="J1402" s="56" t="n">
        <v>53.5</v>
      </c>
      <c r="K1402" s="57" t="n">
        <v>0.03738317757009346</v>
      </c>
      <c r="L1402" s="55" t="n">
        <v>0</v>
      </c>
      <c r="M1402" s="55" t="n">
        <v>1</v>
      </c>
      <c r="N1402" s="58" t="n">
        <v>28</v>
      </c>
      <c r="O1402" s="53" t="inlineStr">
        <is>
          <t>S61</t>
        </is>
      </c>
      <c r="P1402" s="55" t="n">
        <v>33</v>
      </c>
      <c r="Q1402" s="59">
        <f>IF(BO1402=1,0,IFERROR(VLOOKUP(BM1402,'Gebinde-Kategorie'!$A$5:$G$45,6,0)+0,0))</f>
        <v/>
      </c>
      <c r="R1402" s="60" t="n"/>
      <c r="S1402" s="61" t="n"/>
      <c r="T1402" s="61" t="n"/>
      <c r="U1402" s="53">
        <f>IF(A1402="","",IF(IFERROR(VLOOKUP(D1402,Parameter!$A$35:$C$64,2,0),"Nein")="2+3",IF(ISNUMBER(SEARCH("grosser Artikel",BJ1402)),2,IFERROR(VLOOKUP(BM1402,Parameter!$F$35:$G$64,2,0),2)),IF(OR(IFERROR(VLOOKUP(D1402,Parameter!$A$35:$C$64,2,0),"Nein")="Nein",IFERROR(VLOOKUP(D1402,Parameter!$A$35:$C$64,2,0),"Nein")=""),"-",VLOOKUP(D1402,Parameter!$A$35:$C$64,2,0))))</f>
        <v/>
      </c>
      <c r="V1402" s="61" t="n"/>
      <c r="W1402" s="62" t="n"/>
      <c r="X1402" s="55">
        <f>AM1402</f>
        <v/>
      </c>
      <c r="Y1402" s="55">
        <f>MAX(AM1402,G1402)</f>
        <v/>
      </c>
      <c r="Z1402" s="63" t="n"/>
      <c r="AA1402" s="55">
        <f>IF(LEFT(Cockpit!$C$5,1)="A",G1402,IF(BT1402=1,BU1402,IF(LEFT(Cockpit!$C$5,1)="B",AE1402,MAX(AE1402,G1402))))</f>
        <v/>
      </c>
      <c r="AB1402" s="55">
        <f>IF(BO1402=1,0,ROUNDUP(AA1402/BN1402,0))</f>
        <v/>
      </c>
      <c r="AC1402" s="64">
        <f>IF(BO1402=1,IF(AA1402&lt;=0,0,BP1402*MAX(1,IF(G1402&gt;0,AA1402/G1402,1))),AB1402*Q1402)</f>
        <v/>
      </c>
      <c r="AD1402" s="55">
        <f>AA1402*F1402</f>
        <v/>
      </c>
      <c r="AE1402" s="55">
        <f>ROUNDUP(MAX(I1402/IF(BS1402&gt;0,BS1402,MAX(0.1,N(Cockpit!$C$6))),BV1402)/BN1402,0)*BN1402</f>
        <v/>
      </c>
      <c r="AF1402" s="56">
        <f>IF(AC1402&gt;0,I1402/AC1402,-1)</f>
        <v/>
      </c>
      <c r="AG1402" s="56">
        <f>IF(AND(OR(BR1402="L1",BR1402="L23"),AC1402&gt;0),SUMIFS($AC$7:$AC$1570,$BR$7:$BR$1570,BR1402,$AF$7:$AF$1570,"&gt;"&amp;AF1402)+SUMIFS($AC$7:$AC$1570,$BR$7:$BR$1570,BR1402,$AF$7:$AF$1570,AF1402,$BL$7:$BL$1570,"&lt;="&amp;BL1402),"")</f>
        <v/>
      </c>
      <c r="AH1402" s="65">
        <f>IF(AG1402="",0,MAX(0,MIN(1,(IF(BR1402="L1",Parameter!$K$5,Parameter!$K$6+Parameter!$K$7)-(AG1402-AC1402))/AC1402)))</f>
        <v/>
      </c>
      <c r="AI1402" s="55">
        <f>IF(LEFT(Cockpit!$I$5,1)="A",G1402,IF(BT1402=1,BU1402,IF(LEFT(Cockpit!$I$5,1)="B",AM1402,MAX(AM1402,G1402))))</f>
        <v/>
      </c>
      <c r="AJ1402" s="55">
        <f>IF(BO1402=1,0,ROUNDUP(AI1402/BN1402,0))</f>
        <v/>
      </c>
      <c r="AK1402" s="64">
        <f>IF(BO1402=1,IF(AI1402&lt;=0,0,BP1402*MAX(1,IF(G1402&gt;0,AI1402/G1402,1))),AJ1402*Q1402)</f>
        <v/>
      </c>
      <c r="AL1402" s="55">
        <f>AI1402*F1402</f>
        <v/>
      </c>
      <c r="AM1402" s="55">
        <f>ROUNDUP(MAX(I1402/IF(BS1402&gt;0,BS1402,MAX(0.1,N(Cockpit!$I$6))),BV1402)/BN1402,0)*BN1402</f>
        <v/>
      </c>
      <c r="AN1402" s="56">
        <f>IF(AK1402&gt;0,I1402/AK1402,-1)</f>
        <v/>
      </c>
      <c r="AO1402" s="56">
        <f>IF(AND(OR(BR1402="L1",BR1402="L23"),AK1402&gt;0),SUMIFS($AK$7:$AK$1570,$BR$7:$BR$1570,BR1402,$AN$7:$AN$1570,"&gt;"&amp;AN1402)+SUMIFS($AK$7:$AK$1570,$BR$7:$BR$1570,BR1402,$AN$7:$AN$1570,AN1402,$BL$7:$BL$1570,"&lt;="&amp;BL1402),"")</f>
        <v/>
      </c>
      <c r="AP1402" s="65">
        <f>IF(AO1402="",0,MAX(0,MIN(1,(IF(BR1402="L1",Parameter!$K$5,Parameter!$K$6+Parameter!$K$7)-(AO1402-AK1402))/AK1402)))</f>
        <v/>
      </c>
      <c r="AQ1402" s="55">
        <f>IF(LEFT(Cockpit!$O$5,1)="A",G1402,IF(BT1402=1,BU1402,IF(LEFT(Cockpit!$O$5,1)="B",AU1402,MAX(AU1402,G1402))))</f>
        <v/>
      </c>
      <c r="AR1402" s="55">
        <f>IF(BO1402=1,0,ROUNDUP(AQ1402/BN1402,0))</f>
        <v/>
      </c>
      <c r="AS1402" s="64">
        <f>IF(BO1402=1,IF(AQ1402&lt;=0,0,BP1402*MAX(1,IF(G1402&gt;0,AQ1402/G1402,1))),AR1402*Q1402)</f>
        <v/>
      </c>
      <c r="AT1402" s="55">
        <f>AQ1402*F1402</f>
        <v/>
      </c>
      <c r="AU1402" s="55">
        <f>ROUNDUP(MAX(I1402/IF(BS1402&gt;0,BS1402,MAX(0.1,N(Cockpit!$O$6))),BV1402)/BN1402,0)*BN1402</f>
        <v/>
      </c>
      <c r="AV1402" s="56">
        <f>IF(AS1402&gt;0,I1402/AS1402,-1)</f>
        <v/>
      </c>
      <c r="AW1402" s="56">
        <f>IF(AND(OR(BR1402="L1",BR1402="L23"),AS1402&gt;0),SUMIFS($AS$7:$AS$1570,$BR$7:$BR$1570,BR1402,$AV$7:$AV$1570,"&gt;"&amp;AV1402)+SUMIFS($AS$7:$AS$1570,$BR$7:$BR$1570,BR1402,$AV$7:$AV$1570,AV1402,$BL$7:$BL$1570,"&lt;="&amp;BL1402),"")</f>
        <v/>
      </c>
      <c r="AX1402" s="65">
        <f>IF(AW1402="",0,MAX(0,MIN(1,(IF(BR1402="L1",Parameter!$K$5,Parameter!$K$6+Parameter!$K$7)-(AW1402-AS1402))/AS1402)))</f>
        <v/>
      </c>
      <c r="AY1402" s="53">
        <f>IF(AC1402&lt;=0,"",IF(BR1402="Aussen","Aussenlager",IF(BR1402="-","Nicht im Lift",IF(AH1402&gt;=1,"Lift",IF(AH1402&lt;=0,"Aussenlager","teilweise")))))</f>
        <v/>
      </c>
      <c r="AZ1402" s="53">
        <f>IF(AK1402&lt;=0,"",IF(BR1402="Aussen","Aussenlager",IF(BR1402="-","Nicht im Lift",IF(AP1402&gt;=1,"Lift",IF(AP1402&lt;=0,"Aussenlager","teilweise")))))</f>
        <v/>
      </c>
      <c r="BA1402" s="53">
        <f>IF(AS1402&lt;=0,"",IF(BR1402="Aussen","Aussenlager",IF(BR1402="-","Nicht im Lift",IF(AX1402&gt;=1,"Lift",IF(AX1402&lt;=0,"Aussenlager","teilweise")))))</f>
        <v/>
      </c>
      <c r="BB1402" s="53">
        <f>IF(A1402="","",IF(BK1402=1,"Neu; ","")&amp;IF(AND(BK1402=0,BF1402&lt;0),"negativer Bestand (Export "&amp;BF1402&amp;"); ","")&amp;IF(I1402&lt;=0,"Kein Verbrauch; ","")&amp;IF(BO1402=1,"Lose – Fläche geschätzt; ","")&amp;IF(G1402&gt;AM1402,"Überbestand "&amp;ROUND(G1402-AM1402,0)&amp;" Stk / CHF "&amp;ROUND((G1402-AM1402)*F1402,0)&amp;"; ","")&amp;IF(AND(BT1402=1,BU1402&lt;BV1402),"MAX &lt; MB+LG; ","")&amp;IF(AND(BZ1402&gt;0,BY1402*10&gt;BZ1402),"zu hoch für Tablar; ","")&amp;IF(AND(BK1402=0,OR(BT1402=1,V1402&lt;&gt;"",S1402&lt;&gt;"",T1402&lt;&gt;"",W1402&lt;&gt;"")),"manuell übersteuert; ","")&amp;IF(AND(BO1402=0,Q1402=0),"Gebinde unbekannt; ","")&amp;IF(AND(BO1402=0,N(T1402)&lt;=0,N(P1402)&lt;=0),"Menge pro Gebinde fehlt (Ist = 1 Gebinde); ","")&amp;BJ1402)</f>
        <v/>
      </c>
      <c r="BC1402" s="53" t="n"/>
      <c r="BD1402" s="53" t="n"/>
      <c r="BE1402" s="61" t="n"/>
      <c r="BF1402" s="55" t="n">
        <v>-44</v>
      </c>
      <c r="BG1402" s="55" t="n">
        <v>55</v>
      </c>
      <c r="BH1402" s="54" t="n">
        <v>-4147.44</v>
      </c>
      <c r="BI1402" s="55" t="n">
        <v>2</v>
      </c>
      <c r="BJ1402" s="53" t="inlineStr"/>
      <c r="BK1402" s="58" t="n">
        <v>0</v>
      </c>
      <c r="BL1402" s="58" t="n">
        <v>1402</v>
      </c>
      <c r="BM1402" s="53">
        <f>IF(S1402&lt;&gt;"",UPPER(TRIM(S1402)),IF(O1402="","LOSE",O1402))</f>
        <v/>
      </c>
      <c r="BN1402" s="55">
        <f>IF(BM1402="LOSE",1,IF(N(T1402)&gt;0,T1402,IF(N(P1402)&gt;0,P1402,MAX(1,G1402))))</f>
        <v/>
      </c>
      <c r="BO1402" s="58">
        <f>IF(BM1402="LOSE",1,0)</f>
        <v/>
      </c>
      <c r="BP1402" s="64">
        <f>IF(BO1402=0,0,IF(N(R1402)&gt;0,R1402,IFERROR(VLOOKUP(D1402,Parameter!$A$35:$C$64,3,0)+0,0)))</f>
        <v/>
      </c>
      <c r="BQ1402" s="53">
        <f>IF(V1402&lt;&gt;"",V1402,U1402)</f>
        <v/>
      </c>
      <c r="BR1402" s="53">
        <f>IF(BQ1402=1,"L1",IF(OR(BQ1402=2,BQ1402=3),"L23",IF(BQ1402="Aussen","Aussen","-")))</f>
        <v/>
      </c>
      <c r="BS1402" s="66">
        <f>IF(N(W1402)&gt;0,W1402,0)</f>
        <v/>
      </c>
      <c r="BT1402" s="58">
        <f>IF(ISNUMBER(Z1402),1,0)</f>
        <v/>
      </c>
      <c r="BU1402" s="55">
        <f>N(Z1402)</f>
        <v/>
      </c>
      <c r="BV1402" s="55">
        <f>N(L1402)+N(M1402)</f>
        <v/>
      </c>
      <c r="BW1402" s="55">
        <f>ROUNDUP(G1402/BN1402,0)</f>
        <v/>
      </c>
      <c r="BX1402" s="55">
        <f>ROUNDUP(BU1402/BN1402,0)</f>
        <v/>
      </c>
      <c r="BY1402" s="58">
        <f>IF(BO1402=1,0,IFERROR(VLOOKUP(BM1402,'Gebinde-Kategorie'!$A$5:$G$45,5,0)+0,0))</f>
        <v/>
      </c>
      <c r="BZ1402" s="58">
        <f>IFERROR(IF(OR(BQ1402=1,BQ1402=2,BQ1402=3),N(INDEX(Parameter!$I$5:$I$7,BQ1402)),0),0)</f>
        <v/>
      </c>
    </row>
    <row r="1403">
      <c r="A1403" s="53" t="inlineStr">
        <is>
          <t>109326</t>
        </is>
      </c>
      <c r="B1403" s="53" t="inlineStr">
        <is>
          <t>Zylinderschraube mit Innensechskant</t>
        </is>
      </c>
      <c r="C1403" s="53" t="inlineStr">
        <is>
          <t>F</t>
        </is>
      </c>
      <c r="D1403" s="53" t="inlineStr">
        <is>
          <t>KTL</t>
        </is>
      </c>
      <c r="E1403" s="53" t="inlineStr">
        <is>
          <t>C</t>
        </is>
      </c>
      <c r="F1403" s="54" t="n">
        <v>3.25</v>
      </c>
      <c r="G1403" s="55">
        <f>MAX(0,IF(Parameter!$B$20="Jahresanfang 2025 + Export",BG1403+BF1403,BF1403))</f>
        <v/>
      </c>
      <c r="H1403" s="55">
        <f>G1403*F1403</f>
        <v/>
      </c>
      <c r="I1403" s="55">
        <f>BI1403*Parameter!$B$18</f>
        <v/>
      </c>
      <c r="J1403" s="56" t="n">
        <v>1023.5</v>
      </c>
      <c r="K1403" s="57" t="n">
        <v>0.9438202247191011</v>
      </c>
      <c r="L1403" s="55" t="n">
        <v>60</v>
      </c>
      <c r="M1403" s="55" t="n">
        <v>1500</v>
      </c>
      <c r="N1403" s="58" t="n">
        <v>56</v>
      </c>
      <c r="O1403" s="53" t="inlineStr">
        <is>
          <t>LOSE</t>
        </is>
      </c>
      <c r="P1403" s="55" t="n"/>
      <c r="Q1403" s="59">
        <f>IF(BO1403=1,0,IFERROR(VLOOKUP(BM1403,'Gebinde-Kategorie'!$A$5:$G$45,6,0)+0,0))</f>
        <v/>
      </c>
      <c r="R1403" s="60" t="n"/>
      <c r="S1403" s="61" t="n"/>
      <c r="T1403" s="61" t="n"/>
      <c r="U1403" s="53">
        <f>IF(A1403="","",IF(IFERROR(VLOOKUP(D1403,Parameter!$A$35:$C$64,2,0),"Nein")="2+3",IF(ISNUMBER(SEARCH("grosser Artikel",BJ1403)),2,IFERROR(VLOOKUP(BM1403,Parameter!$F$35:$G$64,2,0),2)),IF(OR(IFERROR(VLOOKUP(D1403,Parameter!$A$35:$C$64,2,0),"Nein")="Nein",IFERROR(VLOOKUP(D1403,Parameter!$A$35:$C$64,2,0),"Nein")=""),"-",VLOOKUP(D1403,Parameter!$A$35:$C$64,2,0))))</f>
        <v/>
      </c>
      <c r="V1403" s="61" t="n"/>
      <c r="W1403" s="62" t="n"/>
      <c r="X1403" s="55">
        <f>AM1403</f>
        <v/>
      </c>
      <c r="Y1403" s="55">
        <f>MAX(AM1403,G1403)</f>
        <v/>
      </c>
      <c r="Z1403" s="63" t="n"/>
      <c r="AA1403" s="55">
        <f>IF(LEFT(Cockpit!$C$5,1)="A",G1403,IF(BT1403=1,BU1403,IF(LEFT(Cockpit!$C$5,1)="B",AE1403,MAX(AE1403,G1403))))</f>
        <v/>
      </c>
      <c r="AB1403" s="55">
        <f>IF(BO1403=1,0,ROUNDUP(AA1403/BN1403,0))</f>
        <v/>
      </c>
      <c r="AC1403" s="64">
        <f>IF(BO1403=1,IF(AA1403&lt;=0,0,BP1403*MAX(1,IF(G1403&gt;0,AA1403/G1403,1))),AB1403*Q1403)</f>
        <v/>
      </c>
      <c r="AD1403" s="55">
        <f>AA1403*F1403</f>
        <v/>
      </c>
      <c r="AE1403" s="55">
        <f>ROUNDUP(MAX(I1403/IF(BS1403&gt;0,BS1403,MAX(0.1,N(Cockpit!$C$6))),BV1403)/BN1403,0)*BN1403</f>
        <v/>
      </c>
      <c r="AF1403" s="56">
        <f>IF(AC1403&gt;0,I1403/AC1403,-1)</f>
        <v/>
      </c>
      <c r="AG1403" s="56">
        <f>IF(AND(OR(BR1403="L1",BR1403="L23"),AC1403&gt;0),SUMIFS($AC$7:$AC$1570,$BR$7:$BR$1570,BR1403,$AF$7:$AF$1570,"&gt;"&amp;AF1403)+SUMIFS($AC$7:$AC$1570,$BR$7:$BR$1570,BR1403,$AF$7:$AF$1570,AF1403,$BL$7:$BL$1570,"&lt;="&amp;BL1403),"")</f>
        <v/>
      </c>
      <c r="AH1403" s="65">
        <f>IF(AG1403="",0,MAX(0,MIN(1,(IF(BR1403="L1",Parameter!$K$5,Parameter!$K$6+Parameter!$K$7)-(AG1403-AC1403))/AC1403)))</f>
        <v/>
      </c>
      <c r="AI1403" s="55">
        <f>IF(LEFT(Cockpit!$I$5,1)="A",G1403,IF(BT1403=1,BU1403,IF(LEFT(Cockpit!$I$5,1)="B",AM1403,MAX(AM1403,G1403))))</f>
        <v/>
      </c>
      <c r="AJ1403" s="55">
        <f>IF(BO1403=1,0,ROUNDUP(AI1403/BN1403,0))</f>
        <v/>
      </c>
      <c r="AK1403" s="64">
        <f>IF(BO1403=1,IF(AI1403&lt;=0,0,BP1403*MAX(1,IF(G1403&gt;0,AI1403/G1403,1))),AJ1403*Q1403)</f>
        <v/>
      </c>
      <c r="AL1403" s="55">
        <f>AI1403*F1403</f>
        <v/>
      </c>
      <c r="AM1403" s="55">
        <f>ROUNDUP(MAX(I1403/IF(BS1403&gt;0,BS1403,MAX(0.1,N(Cockpit!$I$6))),BV1403)/BN1403,0)*BN1403</f>
        <v/>
      </c>
      <c r="AN1403" s="56">
        <f>IF(AK1403&gt;0,I1403/AK1403,-1)</f>
        <v/>
      </c>
      <c r="AO1403" s="56">
        <f>IF(AND(OR(BR1403="L1",BR1403="L23"),AK1403&gt;0),SUMIFS($AK$7:$AK$1570,$BR$7:$BR$1570,BR1403,$AN$7:$AN$1570,"&gt;"&amp;AN1403)+SUMIFS($AK$7:$AK$1570,$BR$7:$BR$1570,BR1403,$AN$7:$AN$1570,AN1403,$BL$7:$BL$1570,"&lt;="&amp;BL1403),"")</f>
        <v/>
      </c>
      <c r="AP1403" s="65">
        <f>IF(AO1403="",0,MAX(0,MIN(1,(IF(BR1403="L1",Parameter!$K$5,Parameter!$K$6+Parameter!$K$7)-(AO1403-AK1403))/AK1403)))</f>
        <v/>
      </c>
      <c r="AQ1403" s="55">
        <f>IF(LEFT(Cockpit!$O$5,1)="A",G1403,IF(BT1403=1,BU1403,IF(LEFT(Cockpit!$O$5,1)="B",AU1403,MAX(AU1403,G1403))))</f>
        <v/>
      </c>
      <c r="AR1403" s="55">
        <f>IF(BO1403=1,0,ROUNDUP(AQ1403/BN1403,0))</f>
        <v/>
      </c>
      <c r="AS1403" s="64">
        <f>IF(BO1403=1,IF(AQ1403&lt;=0,0,BP1403*MAX(1,IF(G1403&gt;0,AQ1403/G1403,1))),AR1403*Q1403)</f>
        <v/>
      </c>
      <c r="AT1403" s="55">
        <f>AQ1403*F1403</f>
        <v/>
      </c>
      <c r="AU1403" s="55">
        <f>ROUNDUP(MAX(I1403/IF(BS1403&gt;0,BS1403,MAX(0.1,N(Cockpit!$O$6))),BV1403)/BN1403,0)*BN1403</f>
        <v/>
      </c>
      <c r="AV1403" s="56">
        <f>IF(AS1403&gt;0,I1403/AS1403,-1)</f>
        <v/>
      </c>
      <c r="AW1403" s="56">
        <f>IF(AND(OR(BR1403="L1",BR1403="L23"),AS1403&gt;0),SUMIFS($AS$7:$AS$1570,$BR$7:$BR$1570,BR1403,$AV$7:$AV$1570,"&gt;"&amp;AV1403)+SUMIFS($AS$7:$AS$1570,$BR$7:$BR$1570,BR1403,$AV$7:$AV$1570,AV1403,$BL$7:$BL$1570,"&lt;="&amp;BL1403),"")</f>
        <v/>
      </c>
      <c r="AX1403" s="65">
        <f>IF(AW1403="",0,MAX(0,MIN(1,(IF(BR1403="L1",Parameter!$K$5,Parameter!$K$6+Parameter!$K$7)-(AW1403-AS1403))/AS1403)))</f>
        <v/>
      </c>
      <c r="AY1403" s="53">
        <f>IF(AC1403&lt;=0,"",IF(BR1403="Aussen","Aussenlager",IF(BR1403="-","Nicht im Lift",IF(AH1403&gt;=1,"Lift",IF(AH1403&lt;=0,"Aussenlager","teilweise")))))</f>
        <v/>
      </c>
      <c r="AZ1403" s="53">
        <f>IF(AK1403&lt;=0,"",IF(BR1403="Aussen","Aussenlager",IF(BR1403="-","Nicht im Lift",IF(AP1403&gt;=1,"Lift",IF(AP1403&lt;=0,"Aussenlager","teilweise")))))</f>
        <v/>
      </c>
      <c r="BA1403" s="53">
        <f>IF(AS1403&lt;=0,"",IF(BR1403="Aussen","Aussenlager",IF(BR1403="-","Nicht im Lift",IF(AX1403&gt;=1,"Lift",IF(AX1403&lt;=0,"Aussenlager","teilweise")))))</f>
        <v/>
      </c>
      <c r="BB1403" s="53">
        <f>IF(A1403="","",IF(BK1403=1,"Neu; ","")&amp;IF(AND(BK1403=0,BF1403&lt;0),"negativer Bestand (Export "&amp;BF1403&amp;"); ","")&amp;IF(I1403&lt;=0,"Kein Verbrauch; ","")&amp;IF(BO1403=1,"Lose – Fläche geschätzt; ","")&amp;IF(G1403&gt;AM1403,"Überbestand "&amp;ROUND(G1403-AM1403,0)&amp;" Stk / CHF "&amp;ROUND((G1403-AM1403)*F1403,0)&amp;"; ","")&amp;IF(AND(BT1403=1,BU1403&lt;BV1403),"MAX &lt; MB+LG; ","")&amp;IF(AND(BZ1403&gt;0,BY1403*10&gt;BZ1403),"zu hoch für Tablar; ","")&amp;IF(AND(BK1403=0,OR(BT1403=1,V1403&lt;&gt;"",S1403&lt;&gt;"",T1403&lt;&gt;"",W1403&lt;&gt;"")),"manuell übersteuert; ","")&amp;IF(AND(BO1403=0,Q1403=0),"Gebinde unbekannt; ","")&amp;IF(AND(BO1403=0,N(T1403)&lt;=0,N(P1403)&lt;=0),"Menge pro Gebinde fehlt (Ist = 1 Gebinde); ","")&amp;BJ1403)</f>
        <v/>
      </c>
      <c r="BC1403" s="53" t="n"/>
      <c r="BD1403" s="53" t="n"/>
      <c r="BE1403" s="61" t="n"/>
      <c r="BF1403" s="55" t="n">
        <v>-1346</v>
      </c>
      <c r="BG1403" s="55" t="n">
        <v>1497</v>
      </c>
      <c r="BH1403" s="54" t="n">
        <v>-4225.2</v>
      </c>
      <c r="BI1403" s="55" t="n">
        <v>966</v>
      </c>
      <c r="BJ1403" s="53" t="inlineStr"/>
      <c r="BK1403" s="58" t="n">
        <v>0</v>
      </c>
      <c r="BL1403" s="58" t="n">
        <v>1403</v>
      </c>
      <c r="BM1403" s="53">
        <f>IF(S1403&lt;&gt;"",UPPER(TRIM(S1403)),IF(O1403="","LOSE",O1403))</f>
        <v/>
      </c>
      <c r="BN1403" s="55">
        <f>IF(BM1403="LOSE",1,IF(N(T1403)&gt;0,T1403,IF(N(P1403)&gt;0,P1403,MAX(1,G1403))))</f>
        <v/>
      </c>
      <c r="BO1403" s="58">
        <f>IF(BM1403="LOSE",1,0)</f>
        <v/>
      </c>
      <c r="BP1403" s="64">
        <f>IF(BO1403=0,0,IF(N(R1403)&gt;0,R1403,IFERROR(VLOOKUP(D1403,Parameter!$A$35:$C$64,3,0)+0,0)))</f>
        <v/>
      </c>
      <c r="BQ1403" s="53">
        <f>IF(V1403&lt;&gt;"",V1403,U1403)</f>
        <v/>
      </c>
      <c r="BR1403" s="53">
        <f>IF(BQ1403=1,"L1",IF(OR(BQ1403=2,BQ1403=3),"L23",IF(BQ1403="Aussen","Aussen","-")))</f>
        <v/>
      </c>
      <c r="BS1403" s="66">
        <f>IF(N(W1403)&gt;0,W1403,0)</f>
        <v/>
      </c>
      <c r="BT1403" s="58">
        <f>IF(ISNUMBER(Z1403),1,0)</f>
        <v/>
      </c>
      <c r="BU1403" s="55">
        <f>N(Z1403)</f>
        <v/>
      </c>
      <c r="BV1403" s="55">
        <f>N(L1403)+N(M1403)</f>
        <v/>
      </c>
      <c r="BW1403" s="55">
        <f>ROUNDUP(G1403/BN1403,0)</f>
        <v/>
      </c>
      <c r="BX1403" s="55">
        <f>ROUNDUP(BU1403/BN1403,0)</f>
        <v/>
      </c>
      <c r="BY1403" s="58">
        <f>IF(BO1403=1,0,IFERROR(VLOOKUP(BM1403,'Gebinde-Kategorie'!$A$5:$G$45,5,0)+0,0))</f>
        <v/>
      </c>
      <c r="BZ1403" s="58">
        <f>IFERROR(IF(OR(BQ1403=1,BQ1403=2,BQ1403=3),N(INDEX(Parameter!$I$5:$I$7,BQ1403)),0),0)</f>
        <v/>
      </c>
    </row>
    <row r="1404">
      <c r="A1404" s="53" t="inlineStr">
        <is>
          <t>107862</t>
        </is>
      </c>
      <c r="B1404" s="53" t="inlineStr">
        <is>
          <t>Spezial Inbusschlüsseleinsatz</t>
        </is>
      </c>
      <c r="C1404" s="53" t="inlineStr">
        <is>
          <t>F</t>
        </is>
      </c>
      <c r="D1404" s="53" t="inlineStr">
        <is>
          <t>KTL</t>
        </is>
      </c>
      <c r="E1404" s="53" t="inlineStr">
        <is>
          <t>C</t>
        </is>
      </c>
      <c r="F1404" s="54" t="n">
        <v>120.36</v>
      </c>
      <c r="G1404" s="55">
        <f>MAX(0,IF(Parameter!$B$20="Jahresanfang 2025 + Export",BG1404+BF1404,BF1404))</f>
        <v/>
      </c>
      <c r="H1404" s="55">
        <f>G1404*F1404</f>
        <v/>
      </c>
      <c r="I1404" s="55">
        <f>BI1404*Parameter!$B$18</f>
        <v/>
      </c>
      <c r="J1404" s="56" t="n">
        <v>127.5</v>
      </c>
      <c r="K1404" s="57" t="n">
        <v>0.1647058823529412</v>
      </c>
      <c r="L1404" s="55" t="n">
        <v>7</v>
      </c>
      <c r="M1404" s="55" t="n">
        <v>20</v>
      </c>
      <c r="N1404" s="58" t="n">
        <v>126</v>
      </c>
      <c r="O1404" s="53" t="inlineStr">
        <is>
          <t>S41</t>
        </is>
      </c>
      <c r="P1404" s="55" t="n">
        <v>90</v>
      </c>
      <c r="Q1404" s="59">
        <f>IF(BO1404=1,0,IFERROR(VLOOKUP(BM1404,'Gebinde-Kategorie'!$A$5:$G$45,6,0)+0,0))</f>
        <v/>
      </c>
      <c r="R1404" s="60" t="n"/>
      <c r="S1404" s="61" t="n"/>
      <c r="T1404" s="61" t="n"/>
      <c r="U1404" s="53">
        <f>IF(A1404="","",IF(IFERROR(VLOOKUP(D1404,Parameter!$A$35:$C$64,2,0),"Nein")="2+3",IF(ISNUMBER(SEARCH("grosser Artikel",BJ1404)),2,IFERROR(VLOOKUP(BM1404,Parameter!$F$35:$G$64,2,0),2)),IF(OR(IFERROR(VLOOKUP(D1404,Parameter!$A$35:$C$64,2,0),"Nein")="Nein",IFERROR(VLOOKUP(D1404,Parameter!$A$35:$C$64,2,0),"Nein")=""),"-",VLOOKUP(D1404,Parameter!$A$35:$C$64,2,0))))</f>
        <v/>
      </c>
      <c r="V1404" s="61" t="n"/>
      <c r="W1404" s="62" t="n"/>
      <c r="X1404" s="55">
        <f>AM1404</f>
        <v/>
      </c>
      <c r="Y1404" s="55">
        <f>MAX(AM1404,G1404)</f>
        <v/>
      </c>
      <c r="Z1404" s="63" t="n"/>
      <c r="AA1404" s="55">
        <f>IF(LEFT(Cockpit!$C$5,1)="A",G1404,IF(BT1404=1,BU1404,IF(LEFT(Cockpit!$C$5,1)="B",AE1404,MAX(AE1404,G1404))))</f>
        <v/>
      </c>
      <c r="AB1404" s="55">
        <f>IF(BO1404=1,0,ROUNDUP(AA1404/BN1404,0))</f>
        <v/>
      </c>
      <c r="AC1404" s="64">
        <f>IF(BO1404=1,IF(AA1404&lt;=0,0,BP1404*MAX(1,IF(G1404&gt;0,AA1404/G1404,1))),AB1404*Q1404)</f>
        <v/>
      </c>
      <c r="AD1404" s="55">
        <f>AA1404*F1404</f>
        <v/>
      </c>
      <c r="AE1404" s="55">
        <f>ROUNDUP(MAX(I1404/IF(BS1404&gt;0,BS1404,MAX(0.1,N(Cockpit!$C$6))),BV1404)/BN1404,0)*BN1404</f>
        <v/>
      </c>
      <c r="AF1404" s="56">
        <f>IF(AC1404&gt;0,I1404/AC1404,-1)</f>
        <v/>
      </c>
      <c r="AG1404" s="56">
        <f>IF(AND(OR(BR1404="L1",BR1404="L23"),AC1404&gt;0),SUMIFS($AC$7:$AC$1570,$BR$7:$BR$1570,BR1404,$AF$7:$AF$1570,"&gt;"&amp;AF1404)+SUMIFS($AC$7:$AC$1570,$BR$7:$BR$1570,BR1404,$AF$7:$AF$1570,AF1404,$BL$7:$BL$1570,"&lt;="&amp;BL1404),"")</f>
        <v/>
      </c>
      <c r="AH1404" s="65">
        <f>IF(AG1404="",0,MAX(0,MIN(1,(IF(BR1404="L1",Parameter!$K$5,Parameter!$K$6+Parameter!$K$7)-(AG1404-AC1404))/AC1404)))</f>
        <v/>
      </c>
      <c r="AI1404" s="55">
        <f>IF(LEFT(Cockpit!$I$5,1)="A",G1404,IF(BT1404=1,BU1404,IF(LEFT(Cockpit!$I$5,1)="B",AM1404,MAX(AM1404,G1404))))</f>
        <v/>
      </c>
      <c r="AJ1404" s="55">
        <f>IF(BO1404=1,0,ROUNDUP(AI1404/BN1404,0))</f>
        <v/>
      </c>
      <c r="AK1404" s="64">
        <f>IF(BO1404=1,IF(AI1404&lt;=0,0,BP1404*MAX(1,IF(G1404&gt;0,AI1404/G1404,1))),AJ1404*Q1404)</f>
        <v/>
      </c>
      <c r="AL1404" s="55">
        <f>AI1404*F1404</f>
        <v/>
      </c>
      <c r="AM1404" s="55">
        <f>ROUNDUP(MAX(I1404/IF(BS1404&gt;0,BS1404,MAX(0.1,N(Cockpit!$I$6))),BV1404)/BN1404,0)*BN1404</f>
        <v/>
      </c>
      <c r="AN1404" s="56">
        <f>IF(AK1404&gt;0,I1404/AK1404,-1)</f>
        <v/>
      </c>
      <c r="AO1404" s="56">
        <f>IF(AND(OR(BR1404="L1",BR1404="L23"),AK1404&gt;0),SUMIFS($AK$7:$AK$1570,$BR$7:$BR$1570,BR1404,$AN$7:$AN$1570,"&gt;"&amp;AN1404)+SUMIFS($AK$7:$AK$1570,$BR$7:$BR$1570,BR1404,$AN$7:$AN$1570,AN1404,$BL$7:$BL$1570,"&lt;="&amp;BL1404),"")</f>
        <v/>
      </c>
      <c r="AP1404" s="65">
        <f>IF(AO1404="",0,MAX(0,MIN(1,(IF(BR1404="L1",Parameter!$K$5,Parameter!$K$6+Parameter!$K$7)-(AO1404-AK1404))/AK1404)))</f>
        <v/>
      </c>
      <c r="AQ1404" s="55">
        <f>IF(LEFT(Cockpit!$O$5,1)="A",G1404,IF(BT1404=1,BU1404,IF(LEFT(Cockpit!$O$5,1)="B",AU1404,MAX(AU1404,G1404))))</f>
        <v/>
      </c>
      <c r="AR1404" s="55">
        <f>IF(BO1404=1,0,ROUNDUP(AQ1404/BN1404,0))</f>
        <v/>
      </c>
      <c r="AS1404" s="64">
        <f>IF(BO1404=1,IF(AQ1404&lt;=0,0,BP1404*MAX(1,IF(G1404&gt;0,AQ1404/G1404,1))),AR1404*Q1404)</f>
        <v/>
      </c>
      <c r="AT1404" s="55">
        <f>AQ1404*F1404</f>
        <v/>
      </c>
      <c r="AU1404" s="55">
        <f>ROUNDUP(MAX(I1404/IF(BS1404&gt;0,BS1404,MAX(0.1,N(Cockpit!$O$6))),BV1404)/BN1404,0)*BN1404</f>
        <v/>
      </c>
      <c r="AV1404" s="56">
        <f>IF(AS1404&gt;0,I1404/AS1404,-1)</f>
        <v/>
      </c>
      <c r="AW1404" s="56">
        <f>IF(AND(OR(BR1404="L1",BR1404="L23"),AS1404&gt;0),SUMIFS($AS$7:$AS$1570,$BR$7:$BR$1570,BR1404,$AV$7:$AV$1570,"&gt;"&amp;AV1404)+SUMIFS($AS$7:$AS$1570,$BR$7:$BR$1570,BR1404,$AV$7:$AV$1570,AV1404,$BL$7:$BL$1570,"&lt;="&amp;BL1404),"")</f>
        <v/>
      </c>
      <c r="AX1404" s="65">
        <f>IF(AW1404="",0,MAX(0,MIN(1,(IF(BR1404="L1",Parameter!$K$5,Parameter!$K$6+Parameter!$K$7)-(AW1404-AS1404))/AS1404)))</f>
        <v/>
      </c>
      <c r="AY1404" s="53">
        <f>IF(AC1404&lt;=0,"",IF(BR1404="Aussen","Aussenlager",IF(BR1404="-","Nicht im Lift",IF(AH1404&gt;=1,"Lift",IF(AH1404&lt;=0,"Aussenlager","teilweise")))))</f>
        <v/>
      </c>
      <c r="AZ1404" s="53">
        <f>IF(AK1404&lt;=0,"",IF(BR1404="Aussen","Aussenlager",IF(BR1404="-","Nicht im Lift",IF(AP1404&gt;=1,"Lift",IF(AP1404&lt;=0,"Aussenlager","teilweise")))))</f>
        <v/>
      </c>
      <c r="BA1404" s="53">
        <f>IF(AS1404&lt;=0,"",IF(BR1404="Aussen","Aussenlager",IF(BR1404="-","Nicht im Lift",IF(AX1404&gt;=1,"Lift",IF(AX1404&lt;=0,"Aussenlager","teilweise")))))</f>
        <v/>
      </c>
      <c r="BB1404" s="53">
        <f>IF(A1404="","",IF(BK1404=1,"Neu; ","")&amp;IF(AND(BK1404=0,BF1404&lt;0),"negativer Bestand (Export "&amp;BF1404&amp;"); ","")&amp;IF(I1404&lt;=0,"Kein Verbrauch; ","")&amp;IF(BO1404=1,"Lose – Fläche geschätzt; ","")&amp;IF(G1404&gt;AM1404,"Überbestand "&amp;ROUND(G1404-AM1404,0)&amp;" Stk / CHF "&amp;ROUND((G1404-AM1404)*F1404,0)&amp;"; ","")&amp;IF(AND(BT1404=1,BU1404&lt;BV1404),"MAX &lt; MB+LG; ","")&amp;IF(AND(BZ1404&gt;0,BY1404*10&gt;BZ1404),"zu hoch für Tablar; ","")&amp;IF(AND(BK1404=0,OR(BT1404=1,V1404&lt;&gt;"",S1404&lt;&gt;"",T1404&lt;&gt;"",W1404&lt;&gt;"")),"manuell übersteuert; ","")&amp;IF(AND(BO1404=0,Q1404=0),"Gebinde unbekannt; ","")&amp;IF(AND(BO1404=0,N(T1404)&lt;=0,N(P1404)&lt;=0),"Menge pro Gebinde fehlt (Ist = 1 Gebinde); ","")&amp;BJ1404)</f>
        <v/>
      </c>
      <c r="BC1404" s="53" t="n"/>
      <c r="BD1404" s="53" t="n"/>
      <c r="BE1404" s="61" t="n"/>
      <c r="BF1404" s="55" t="n">
        <v>-36</v>
      </c>
      <c r="BG1404" s="55" t="n">
        <v>138</v>
      </c>
      <c r="BH1404" s="54" t="n">
        <v>-4332.959999999999</v>
      </c>
      <c r="BI1404" s="55" t="n">
        <v>21</v>
      </c>
      <c r="BJ1404" s="53" t="inlineStr"/>
      <c r="BK1404" s="58" t="n">
        <v>0</v>
      </c>
      <c r="BL1404" s="58" t="n">
        <v>1404</v>
      </c>
      <c r="BM1404" s="53">
        <f>IF(S1404&lt;&gt;"",UPPER(TRIM(S1404)),IF(O1404="","LOSE",O1404))</f>
        <v/>
      </c>
      <c r="BN1404" s="55">
        <f>IF(BM1404="LOSE",1,IF(N(T1404)&gt;0,T1404,IF(N(P1404)&gt;0,P1404,MAX(1,G1404))))</f>
        <v/>
      </c>
      <c r="BO1404" s="58">
        <f>IF(BM1404="LOSE",1,0)</f>
        <v/>
      </c>
      <c r="BP1404" s="64">
        <f>IF(BO1404=0,0,IF(N(R1404)&gt;0,R1404,IFERROR(VLOOKUP(D1404,Parameter!$A$35:$C$64,3,0)+0,0)))</f>
        <v/>
      </c>
      <c r="BQ1404" s="53">
        <f>IF(V1404&lt;&gt;"",V1404,U1404)</f>
        <v/>
      </c>
      <c r="BR1404" s="53">
        <f>IF(BQ1404=1,"L1",IF(OR(BQ1404=2,BQ1404=3),"L23",IF(BQ1404="Aussen","Aussen","-")))</f>
        <v/>
      </c>
      <c r="BS1404" s="66">
        <f>IF(N(W1404)&gt;0,W1404,0)</f>
        <v/>
      </c>
      <c r="BT1404" s="58">
        <f>IF(ISNUMBER(Z1404),1,0)</f>
        <v/>
      </c>
      <c r="BU1404" s="55">
        <f>N(Z1404)</f>
        <v/>
      </c>
      <c r="BV1404" s="55">
        <f>N(L1404)+N(M1404)</f>
        <v/>
      </c>
      <c r="BW1404" s="55">
        <f>ROUNDUP(G1404/BN1404,0)</f>
        <v/>
      </c>
      <c r="BX1404" s="55">
        <f>ROUNDUP(BU1404/BN1404,0)</f>
        <v/>
      </c>
      <c r="BY1404" s="58">
        <f>IF(BO1404=1,0,IFERROR(VLOOKUP(BM1404,'Gebinde-Kategorie'!$A$5:$G$45,5,0)+0,0))</f>
        <v/>
      </c>
      <c r="BZ1404" s="58">
        <f>IFERROR(IF(OR(BQ1404=1,BQ1404=2,BQ1404=3),N(INDEX(Parameter!$I$5:$I$7,BQ1404)),0),0)</f>
        <v/>
      </c>
    </row>
    <row r="1405">
      <c r="A1405" s="53" t="inlineStr">
        <is>
          <t>100054</t>
        </is>
      </c>
      <c r="B1405" s="53" t="inlineStr">
        <is>
          <t>Kolbenring</t>
        </is>
      </c>
      <c r="C1405" s="53" t="inlineStr">
        <is>
          <t>F</t>
        </is>
      </c>
      <c r="D1405" s="53" t="inlineStr">
        <is>
          <t>KTL</t>
        </is>
      </c>
      <c r="E1405" s="53" t="inlineStr">
        <is>
          <t>C</t>
        </is>
      </c>
      <c r="F1405" s="54" t="n">
        <v>32.26</v>
      </c>
      <c r="G1405" s="55">
        <f>MAX(0,IF(Parameter!$B$20="Jahresanfang 2025 + Export",BG1405+BF1405,BF1405))</f>
        <v/>
      </c>
      <c r="H1405" s="55">
        <f>G1405*F1405</f>
        <v/>
      </c>
      <c r="I1405" s="55">
        <f>BI1405*Parameter!$B$18</f>
        <v/>
      </c>
      <c r="J1405" s="56" t="n">
        <v>193.5</v>
      </c>
      <c r="K1405" s="57" t="n">
        <v>4.614987080103359</v>
      </c>
      <c r="L1405" s="55" t="n">
        <v>52</v>
      </c>
      <c r="M1405" s="55" t="n">
        <v>300</v>
      </c>
      <c r="N1405" s="58" t="n">
        <v>21</v>
      </c>
      <c r="O1405" s="53" t="inlineStr">
        <is>
          <t>S52</t>
        </is>
      </c>
      <c r="P1405" s="55" t="n">
        <v>301</v>
      </c>
      <c r="Q1405" s="59">
        <f>IF(BO1405=1,0,IFERROR(VLOOKUP(BM1405,'Gebinde-Kategorie'!$A$5:$G$45,6,0)+0,0))</f>
        <v/>
      </c>
      <c r="R1405" s="60" t="n"/>
      <c r="S1405" s="61" t="n"/>
      <c r="T1405" s="61" t="n"/>
      <c r="U1405" s="53">
        <f>IF(A1405="","",IF(IFERROR(VLOOKUP(D1405,Parameter!$A$35:$C$64,2,0),"Nein")="2+3",IF(ISNUMBER(SEARCH("grosser Artikel",BJ1405)),2,IFERROR(VLOOKUP(BM1405,Parameter!$F$35:$G$64,2,0),2)),IF(OR(IFERROR(VLOOKUP(D1405,Parameter!$A$35:$C$64,2,0),"Nein")="Nein",IFERROR(VLOOKUP(D1405,Parameter!$A$35:$C$64,2,0),"Nein")=""),"-",VLOOKUP(D1405,Parameter!$A$35:$C$64,2,0))))</f>
        <v/>
      </c>
      <c r="V1405" s="61" t="n"/>
      <c r="W1405" s="62" t="n"/>
      <c r="X1405" s="55">
        <f>AM1405</f>
        <v/>
      </c>
      <c r="Y1405" s="55">
        <f>MAX(AM1405,G1405)</f>
        <v/>
      </c>
      <c r="Z1405" s="63" t="n"/>
      <c r="AA1405" s="55">
        <f>IF(LEFT(Cockpit!$C$5,1)="A",G1405,IF(BT1405=1,BU1405,IF(LEFT(Cockpit!$C$5,1)="B",AE1405,MAX(AE1405,G1405))))</f>
        <v/>
      </c>
      <c r="AB1405" s="55">
        <f>IF(BO1405=1,0,ROUNDUP(AA1405/BN1405,0))</f>
        <v/>
      </c>
      <c r="AC1405" s="64">
        <f>IF(BO1405=1,IF(AA1405&lt;=0,0,BP1405*MAX(1,IF(G1405&gt;0,AA1405/G1405,1))),AB1405*Q1405)</f>
        <v/>
      </c>
      <c r="AD1405" s="55">
        <f>AA1405*F1405</f>
        <v/>
      </c>
      <c r="AE1405" s="55">
        <f>ROUNDUP(MAX(I1405/IF(BS1405&gt;0,BS1405,MAX(0.1,N(Cockpit!$C$6))),BV1405)/BN1405,0)*BN1405</f>
        <v/>
      </c>
      <c r="AF1405" s="56">
        <f>IF(AC1405&gt;0,I1405/AC1405,-1)</f>
        <v/>
      </c>
      <c r="AG1405" s="56">
        <f>IF(AND(OR(BR1405="L1",BR1405="L23"),AC1405&gt;0),SUMIFS($AC$7:$AC$1570,$BR$7:$BR$1570,BR1405,$AF$7:$AF$1570,"&gt;"&amp;AF1405)+SUMIFS($AC$7:$AC$1570,$BR$7:$BR$1570,BR1405,$AF$7:$AF$1570,AF1405,$BL$7:$BL$1570,"&lt;="&amp;BL1405),"")</f>
        <v/>
      </c>
      <c r="AH1405" s="65">
        <f>IF(AG1405="",0,MAX(0,MIN(1,(IF(BR1405="L1",Parameter!$K$5,Parameter!$K$6+Parameter!$K$7)-(AG1405-AC1405))/AC1405)))</f>
        <v/>
      </c>
      <c r="AI1405" s="55">
        <f>IF(LEFT(Cockpit!$I$5,1)="A",G1405,IF(BT1405=1,BU1405,IF(LEFT(Cockpit!$I$5,1)="B",AM1405,MAX(AM1405,G1405))))</f>
        <v/>
      </c>
      <c r="AJ1405" s="55">
        <f>IF(BO1405=1,0,ROUNDUP(AI1405/BN1405,0))</f>
        <v/>
      </c>
      <c r="AK1405" s="64">
        <f>IF(BO1405=1,IF(AI1405&lt;=0,0,BP1405*MAX(1,IF(G1405&gt;0,AI1405/G1405,1))),AJ1405*Q1405)</f>
        <v/>
      </c>
      <c r="AL1405" s="55">
        <f>AI1405*F1405</f>
        <v/>
      </c>
      <c r="AM1405" s="55">
        <f>ROUNDUP(MAX(I1405/IF(BS1405&gt;0,BS1405,MAX(0.1,N(Cockpit!$I$6))),BV1405)/BN1405,0)*BN1405</f>
        <v/>
      </c>
      <c r="AN1405" s="56">
        <f>IF(AK1405&gt;0,I1405/AK1405,-1)</f>
        <v/>
      </c>
      <c r="AO1405" s="56">
        <f>IF(AND(OR(BR1405="L1",BR1405="L23"),AK1405&gt;0),SUMIFS($AK$7:$AK$1570,$BR$7:$BR$1570,BR1405,$AN$7:$AN$1570,"&gt;"&amp;AN1405)+SUMIFS($AK$7:$AK$1570,$BR$7:$BR$1570,BR1405,$AN$7:$AN$1570,AN1405,$BL$7:$BL$1570,"&lt;="&amp;BL1405),"")</f>
        <v/>
      </c>
      <c r="AP1405" s="65">
        <f>IF(AO1405="",0,MAX(0,MIN(1,(IF(BR1405="L1",Parameter!$K$5,Parameter!$K$6+Parameter!$K$7)-(AO1405-AK1405))/AK1405)))</f>
        <v/>
      </c>
      <c r="AQ1405" s="55">
        <f>IF(LEFT(Cockpit!$O$5,1)="A",G1405,IF(BT1405=1,BU1405,IF(LEFT(Cockpit!$O$5,1)="B",AU1405,MAX(AU1405,G1405))))</f>
        <v/>
      </c>
      <c r="AR1405" s="55">
        <f>IF(BO1405=1,0,ROUNDUP(AQ1405/BN1405,0))</f>
        <v/>
      </c>
      <c r="AS1405" s="64">
        <f>IF(BO1405=1,IF(AQ1405&lt;=0,0,BP1405*MAX(1,IF(G1405&gt;0,AQ1405/G1405,1))),AR1405*Q1405)</f>
        <v/>
      </c>
      <c r="AT1405" s="55">
        <f>AQ1405*F1405</f>
        <v/>
      </c>
      <c r="AU1405" s="55">
        <f>ROUNDUP(MAX(I1405/IF(BS1405&gt;0,BS1405,MAX(0.1,N(Cockpit!$O$6))),BV1405)/BN1405,0)*BN1405</f>
        <v/>
      </c>
      <c r="AV1405" s="56">
        <f>IF(AS1405&gt;0,I1405/AS1405,-1)</f>
        <v/>
      </c>
      <c r="AW1405" s="56">
        <f>IF(AND(OR(BR1405="L1",BR1405="L23"),AS1405&gt;0),SUMIFS($AS$7:$AS$1570,$BR$7:$BR$1570,BR1405,$AV$7:$AV$1570,"&gt;"&amp;AV1405)+SUMIFS($AS$7:$AS$1570,$BR$7:$BR$1570,BR1405,$AV$7:$AV$1570,AV1405,$BL$7:$BL$1570,"&lt;="&amp;BL1405),"")</f>
        <v/>
      </c>
      <c r="AX1405" s="65">
        <f>IF(AW1405="",0,MAX(0,MIN(1,(IF(BR1405="L1",Parameter!$K$5,Parameter!$K$6+Parameter!$K$7)-(AW1405-AS1405))/AS1405)))</f>
        <v/>
      </c>
      <c r="AY1405" s="53">
        <f>IF(AC1405&lt;=0,"",IF(BR1405="Aussen","Aussenlager",IF(BR1405="-","Nicht im Lift",IF(AH1405&gt;=1,"Lift",IF(AH1405&lt;=0,"Aussenlager","teilweise")))))</f>
        <v/>
      </c>
      <c r="AZ1405" s="53">
        <f>IF(AK1405&lt;=0,"",IF(BR1405="Aussen","Aussenlager",IF(BR1405="-","Nicht im Lift",IF(AP1405&gt;=1,"Lift",IF(AP1405&lt;=0,"Aussenlager","teilweise")))))</f>
        <v/>
      </c>
      <c r="BA1405" s="53">
        <f>IF(AS1405&lt;=0,"",IF(BR1405="Aussen","Aussenlager",IF(BR1405="-","Nicht im Lift",IF(AX1405&gt;=1,"Lift",IF(AX1405&lt;=0,"Aussenlager","teilweise")))))</f>
        <v/>
      </c>
      <c r="BB1405" s="53">
        <f>IF(A1405="","",IF(BK1405=1,"Neu; ","")&amp;IF(AND(BK1405=0,BF1405&lt;0),"negativer Bestand (Export "&amp;BF1405&amp;"); ","")&amp;IF(I1405&lt;=0,"Kein Verbrauch; ","")&amp;IF(BO1405=1,"Lose – Fläche geschätzt; ","")&amp;IF(G1405&gt;AM1405,"Überbestand "&amp;ROUND(G1405-AM1405,0)&amp;" Stk / CHF "&amp;ROUND((G1405-AM1405)*F1405,0)&amp;"; ","")&amp;IF(AND(BT1405=1,BU1405&lt;BV1405),"MAX &lt; MB+LG; ","")&amp;IF(AND(BZ1405&gt;0,BY1405*10&gt;BZ1405),"zu hoch für Tablar; ","")&amp;IF(AND(BK1405=0,OR(BT1405=1,V1405&lt;&gt;"",S1405&lt;&gt;"",T1405&lt;&gt;"",W1405&lt;&gt;"")),"manuell übersteuert; ","")&amp;IF(AND(BO1405=0,Q1405=0),"Gebinde unbekannt; ","")&amp;IF(AND(BO1405=0,N(T1405)&lt;=0,N(P1405)&lt;=0),"Menge pro Gebinde fehlt (Ist = 1 Gebinde); ","")&amp;BJ1405)</f>
        <v/>
      </c>
      <c r="BC1405" s="53" t="n"/>
      <c r="BD1405" s="53" t="n"/>
      <c r="BE1405" s="61" t="n"/>
      <c r="BF1405" s="55" t="n">
        <v>-138</v>
      </c>
      <c r="BG1405" s="55" t="n">
        <v>247</v>
      </c>
      <c r="BH1405" s="54" t="n">
        <v>-4334.279999999987</v>
      </c>
      <c r="BI1405" s="55" t="n">
        <v>893</v>
      </c>
      <c r="BJ1405" s="53" t="inlineStr"/>
      <c r="BK1405" s="58" t="n">
        <v>0</v>
      </c>
      <c r="BL1405" s="58" t="n">
        <v>1405</v>
      </c>
      <c r="BM1405" s="53">
        <f>IF(S1405&lt;&gt;"",UPPER(TRIM(S1405)),IF(O1405="","LOSE",O1405))</f>
        <v/>
      </c>
      <c r="BN1405" s="55">
        <f>IF(BM1405="LOSE",1,IF(N(T1405)&gt;0,T1405,IF(N(P1405)&gt;0,P1405,MAX(1,G1405))))</f>
        <v/>
      </c>
      <c r="BO1405" s="58">
        <f>IF(BM1405="LOSE",1,0)</f>
        <v/>
      </c>
      <c r="BP1405" s="64">
        <f>IF(BO1405=0,0,IF(N(R1405)&gt;0,R1405,IFERROR(VLOOKUP(D1405,Parameter!$A$35:$C$64,3,0)+0,0)))</f>
        <v/>
      </c>
      <c r="BQ1405" s="53">
        <f>IF(V1405&lt;&gt;"",V1405,U1405)</f>
        <v/>
      </c>
      <c r="BR1405" s="53">
        <f>IF(BQ1405=1,"L1",IF(OR(BQ1405=2,BQ1405=3),"L23",IF(BQ1405="Aussen","Aussen","-")))</f>
        <v/>
      </c>
      <c r="BS1405" s="66">
        <f>IF(N(W1405)&gt;0,W1405,0)</f>
        <v/>
      </c>
      <c r="BT1405" s="58">
        <f>IF(ISNUMBER(Z1405),1,0)</f>
        <v/>
      </c>
      <c r="BU1405" s="55">
        <f>N(Z1405)</f>
        <v/>
      </c>
      <c r="BV1405" s="55">
        <f>N(L1405)+N(M1405)</f>
        <v/>
      </c>
      <c r="BW1405" s="55">
        <f>ROUNDUP(G1405/BN1405,0)</f>
        <v/>
      </c>
      <c r="BX1405" s="55">
        <f>ROUNDUP(BU1405/BN1405,0)</f>
        <v/>
      </c>
      <c r="BY1405" s="58">
        <f>IF(BO1405=1,0,IFERROR(VLOOKUP(BM1405,'Gebinde-Kategorie'!$A$5:$G$45,5,0)+0,0))</f>
        <v/>
      </c>
      <c r="BZ1405" s="58">
        <f>IFERROR(IF(OR(BQ1405=1,BQ1405=2,BQ1405=3),N(INDEX(Parameter!$I$5:$I$7,BQ1405)),0),0)</f>
        <v/>
      </c>
    </row>
    <row r="1406">
      <c r="A1406" s="53" t="inlineStr">
        <is>
          <t>105266</t>
        </is>
      </c>
      <c r="B1406" s="53" t="inlineStr">
        <is>
          <t>Zündplatte TwinL, komplett</t>
        </is>
      </c>
      <c r="C1406" s="53" t="inlineStr">
        <is>
          <t>F</t>
        </is>
      </c>
      <c r="D1406" s="53" t="inlineStr">
        <is>
          <t>PAL</t>
        </is>
      </c>
      <c r="E1406" s="53" t="inlineStr">
        <is>
          <t>C</t>
        </is>
      </c>
      <c r="F1406" s="54" t="n">
        <v>1473.76</v>
      </c>
      <c r="G1406" s="55">
        <f>MAX(0,IF(Parameter!$B$20="Jahresanfang 2025 + Export",BG1406+BF1406,BF1406))</f>
        <v/>
      </c>
      <c r="H1406" s="55">
        <f>G1406*F1406</f>
        <v/>
      </c>
      <c r="I1406" s="55">
        <f>BI1406*Parameter!$B$18</f>
        <v/>
      </c>
      <c r="J1406" s="56" t="n">
        <v>12</v>
      </c>
      <c r="K1406" s="57" t="n">
        <v>0.1666666666666667</v>
      </c>
      <c r="L1406" s="55" t="n">
        <v>0</v>
      </c>
      <c r="M1406" s="55" t="n">
        <v>1</v>
      </c>
      <c r="N1406" s="58" t="n">
        <v>112</v>
      </c>
      <c r="O1406" s="53" t="inlineStr">
        <is>
          <t>S71</t>
        </is>
      </c>
      <c r="P1406" s="55" t="n">
        <v>10</v>
      </c>
      <c r="Q1406" s="59">
        <f>IF(BO1406=1,0,IFERROR(VLOOKUP(BM1406,'Gebinde-Kategorie'!$A$5:$G$45,6,0)+0,0))</f>
        <v/>
      </c>
      <c r="R1406" s="60" t="n"/>
      <c r="S1406" s="61" t="n"/>
      <c r="T1406" s="61" t="n"/>
      <c r="U1406" s="53">
        <f>IF(A1406="","",IF(IFERROR(VLOOKUP(D1406,Parameter!$A$35:$C$64,2,0),"Nein")="2+3",IF(ISNUMBER(SEARCH("grosser Artikel",BJ1406)),2,IFERROR(VLOOKUP(BM1406,Parameter!$F$35:$G$64,2,0),2)),IF(OR(IFERROR(VLOOKUP(D1406,Parameter!$A$35:$C$64,2,0),"Nein")="Nein",IFERROR(VLOOKUP(D1406,Parameter!$A$35:$C$64,2,0),"Nein")=""),"-",VLOOKUP(D1406,Parameter!$A$35:$C$64,2,0))))</f>
        <v/>
      </c>
      <c r="V1406" s="61" t="n"/>
      <c r="W1406" s="62" t="n"/>
      <c r="X1406" s="55">
        <f>AM1406</f>
        <v/>
      </c>
      <c r="Y1406" s="55">
        <f>MAX(AM1406,G1406)</f>
        <v/>
      </c>
      <c r="Z1406" s="63" t="n"/>
      <c r="AA1406" s="55">
        <f>IF(LEFT(Cockpit!$C$5,1)="A",G1406,IF(BT1406=1,BU1406,IF(LEFT(Cockpit!$C$5,1)="B",AE1406,MAX(AE1406,G1406))))</f>
        <v/>
      </c>
      <c r="AB1406" s="55">
        <f>IF(BO1406=1,0,ROUNDUP(AA1406/BN1406,0))</f>
        <v/>
      </c>
      <c r="AC1406" s="64">
        <f>IF(BO1406=1,IF(AA1406&lt;=0,0,BP1406*MAX(1,IF(G1406&gt;0,AA1406/G1406,1))),AB1406*Q1406)</f>
        <v/>
      </c>
      <c r="AD1406" s="55">
        <f>AA1406*F1406</f>
        <v/>
      </c>
      <c r="AE1406" s="55">
        <f>ROUNDUP(MAX(I1406/IF(BS1406&gt;0,BS1406,MAX(0.1,N(Cockpit!$C$6))),BV1406)/BN1406,0)*BN1406</f>
        <v/>
      </c>
      <c r="AF1406" s="56">
        <f>IF(AC1406&gt;0,I1406/AC1406,-1)</f>
        <v/>
      </c>
      <c r="AG1406" s="56">
        <f>IF(AND(OR(BR1406="L1",BR1406="L23"),AC1406&gt;0),SUMIFS($AC$7:$AC$1570,$BR$7:$BR$1570,BR1406,$AF$7:$AF$1570,"&gt;"&amp;AF1406)+SUMIFS($AC$7:$AC$1570,$BR$7:$BR$1570,BR1406,$AF$7:$AF$1570,AF1406,$BL$7:$BL$1570,"&lt;="&amp;BL1406),"")</f>
        <v/>
      </c>
      <c r="AH1406" s="65">
        <f>IF(AG1406="",0,MAX(0,MIN(1,(IF(BR1406="L1",Parameter!$K$5,Parameter!$K$6+Parameter!$K$7)-(AG1406-AC1406))/AC1406)))</f>
        <v/>
      </c>
      <c r="AI1406" s="55">
        <f>IF(LEFT(Cockpit!$I$5,1)="A",G1406,IF(BT1406=1,BU1406,IF(LEFT(Cockpit!$I$5,1)="B",AM1406,MAX(AM1406,G1406))))</f>
        <v/>
      </c>
      <c r="AJ1406" s="55">
        <f>IF(BO1406=1,0,ROUNDUP(AI1406/BN1406,0))</f>
        <v/>
      </c>
      <c r="AK1406" s="64">
        <f>IF(BO1406=1,IF(AI1406&lt;=0,0,BP1406*MAX(1,IF(G1406&gt;0,AI1406/G1406,1))),AJ1406*Q1406)</f>
        <v/>
      </c>
      <c r="AL1406" s="55">
        <f>AI1406*F1406</f>
        <v/>
      </c>
      <c r="AM1406" s="55">
        <f>ROUNDUP(MAX(I1406/IF(BS1406&gt;0,BS1406,MAX(0.1,N(Cockpit!$I$6))),BV1406)/BN1406,0)*BN1406</f>
        <v/>
      </c>
      <c r="AN1406" s="56">
        <f>IF(AK1406&gt;0,I1406/AK1406,-1)</f>
        <v/>
      </c>
      <c r="AO1406" s="56">
        <f>IF(AND(OR(BR1406="L1",BR1406="L23"),AK1406&gt;0),SUMIFS($AK$7:$AK$1570,$BR$7:$BR$1570,BR1406,$AN$7:$AN$1570,"&gt;"&amp;AN1406)+SUMIFS($AK$7:$AK$1570,$BR$7:$BR$1570,BR1406,$AN$7:$AN$1570,AN1406,$BL$7:$BL$1570,"&lt;="&amp;BL1406),"")</f>
        <v/>
      </c>
      <c r="AP1406" s="65">
        <f>IF(AO1406="",0,MAX(0,MIN(1,(IF(BR1406="L1",Parameter!$K$5,Parameter!$K$6+Parameter!$K$7)-(AO1406-AK1406))/AK1406)))</f>
        <v/>
      </c>
      <c r="AQ1406" s="55">
        <f>IF(LEFT(Cockpit!$O$5,1)="A",G1406,IF(BT1406=1,BU1406,IF(LEFT(Cockpit!$O$5,1)="B",AU1406,MAX(AU1406,G1406))))</f>
        <v/>
      </c>
      <c r="AR1406" s="55">
        <f>IF(BO1406=1,0,ROUNDUP(AQ1406/BN1406,0))</f>
        <v/>
      </c>
      <c r="AS1406" s="64">
        <f>IF(BO1406=1,IF(AQ1406&lt;=0,0,BP1406*MAX(1,IF(G1406&gt;0,AQ1406/G1406,1))),AR1406*Q1406)</f>
        <v/>
      </c>
      <c r="AT1406" s="55">
        <f>AQ1406*F1406</f>
        <v/>
      </c>
      <c r="AU1406" s="55">
        <f>ROUNDUP(MAX(I1406/IF(BS1406&gt;0,BS1406,MAX(0.1,N(Cockpit!$O$6))),BV1406)/BN1406,0)*BN1406</f>
        <v/>
      </c>
      <c r="AV1406" s="56">
        <f>IF(AS1406&gt;0,I1406/AS1406,-1)</f>
        <v/>
      </c>
      <c r="AW1406" s="56">
        <f>IF(AND(OR(BR1406="L1",BR1406="L23"),AS1406&gt;0),SUMIFS($AS$7:$AS$1570,$BR$7:$BR$1570,BR1406,$AV$7:$AV$1570,"&gt;"&amp;AV1406)+SUMIFS($AS$7:$AS$1570,$BR$7:$BR$1570,BR1406,$AV$7:$AV$1570,AV1406,$BL$7:$BL$1570,"&lt;="&amp;BL1406),"")</f>
        <v/>
      </c>
      <c r="AX1406" s="65">
        <f>IF(AW1406="",0,MAX(0,MIN(1,(IF(BR1406="L1",Parameter!$K$5,Parameter!$K$6+Parameter!$K$7)-(AW1406-AS1406))/AS1406)))</f>
        <v/>
      </c>
      <c r="AY1406" s="53">
        <f>IF(AC1406&lt;=0,"",IF(BR1406="Aussen","Aussenlager",IF(BR1406="-","Nicht im Lift",IF(AH1406&gt;=1,"Lift",IF(AH1406&lt;=0,"Aussenlager","teilweise")))))</f>
        <v/>
      </c>
      <c r="AZ1406" s="53">
        <f>IF(AK1406&lt;=0,"",IF(BR1406="Aussen","Aussenlager",IF(BR1406="-","Nicht im Lift",IF(AP1406&gt;=1,"Lift",IF(AP1406&lt;=0,"Aussenlager","teilweise")))))</f>
        <v/>
      </c>
      <c r="BA1406" s="53">
        <f>IF(AS1406&lt;=0,"",IF(BR1406="Aussen","Aussenlager",IF(BR1406="-","Nicht im Lift",IF(AX1406&gt;=1,"Lift",IF(AX1406&lt;=0,"Aussenlager","teilweise")))))</f>
        <v/>
      </c>
      <c r="BB1406" s="53">
        <f>IF(A1406="","",IF(BK1406=1,"Neu; ","")&amp;IF(AND(BK1406=0,BF1406&lt;0),"negativer Bestand (Export "&amp;BF1406&amp;"); ","")&amp;IF(I1406&lt;=0,"Kein Verbrauch; ","")&amp;IF(BO1406=1,"Lose – Fläche geschätzt; ","")&amp;IF(G1406&gt;AM1406,"Überbestand "&amp;ROUND(G1406-AM1406,0)&amp;" Stk / CHF "&amp;ROUND((G1406-AM1406)*F1406,0)&amp;"; ","")&amp;IF(AND(BT1406=1,BU1406&lt;BV1406),"MAX &lt; MB+LG; ","")&amp;IF(AND(BZ1406&gt;0,BY1406*10&gt;BZ1406),"zu hoch für Tablar; ","")&amp;IF(AND(BK1406=0,OR(BT1406=1,V1406&lt;&gt;"",S1406&lt;&gt;"",T1406&lt;&gt;"",W1406&lt;&gt;"")),"manuell übersteuert; ","")&amp;IF(AND(BO1406=0,Q1406=0),"Gebinde unbekannt; ","")&amp;IF(AND(BO1406=0,N(T1406)&lt;=0,N(P1406)&lt;=0),"Menge pro Gebinde fehlt (Ist = 1 Gebinde); ","")&amp;BJ1406)</f>
        <v/>
      </c>
      <c r="BC1406" s="53" t="n"/>
      <c r="BD1406" s="53" t="n"/>
      <c r="BE1406" s="61" t="n"/>
      <c r="BF1406" s="55" t="n">
        <v>-3</v>
      </c>
      <c r="BG1406" s="55" t="n">
        <v>13</v>
      </c>
      <c r="BH1406" s="54" t="n">
        <v>-4421.28</v>
      </c>
      <c r="BI1406" s="55" t="n">
        <v>2</v>
      </c>
      <c r="BJ1406" s="53" t="inlineStr">
        <is>
          <t>Twin</t>
        </is>
      </c>
      <c r="BK1406" s="58" t="n">
        <v>0</v>
      </c>
      <c r="BL1406" s="58" t="n">
        <v>1406</v>
      </c>
      <c r="BM1406" s="53">
        <f>IF(S1406&lt;&gt;"",UPPER(TRIM(S1406)),IF(O1406="","LOSE",O1406))</f>
        <v/>
      </c>
      <c r="BN1406" s="55">
        <f>IF(BM1406="LOSE",1,IF(N(T1406)&gt;0,T1406,IF(N(P1406)&gt;0,P1406,MAX(1,G1406))))</f>
        <v/>
      </c>
      <c r="BO1406" s="58">
        <f>IF(BM1406="LOSE",1,0)</f>
        <v/>
      </c>
      <c r="BP1406" s="64">
        <f>IF(BO1406=0,0,IF(N(R1406)&gt;0,R1406,IFERROR(VLOOKUP(D1406,Parameter!$A$35:$C$64,3,0)+0,0)))</f>
        <v/>
      </c>
      <c r="BQ1406" s="53">
        <f>IF(V1406&lt;&gt;"",V1406,U1406)</f>
        <v/>
      </c>
      <c r="BR1406" s="53">
        <f>IF(BQ1406=1,"L1",IF(OR(BQ1406=2,BQ1406=3),"L23",IF(BQ1406="Aussen","Aussen","-")))</f>
        <v/>
      </c>
      <c r="BS1406" s="66">
        <f>IF(N(W1406)&gt;0,W1406,0)</f>
        <v/>
      </c>
      <c r="BT1406" s="58">
        <f>IF(ISNUMBER(Z1406),1,0)</f>
        <v/>
      </c>
      <c r="BU1406" s="55">
        <f>N(Z1406)</f>
        <v/>
      </c>
      <c r="BV1406" s="55">
        <f>N(L1406)+N(M1406)</f>
        <v/>
      </c>
      <c r="BW1406" s="55">
        <f>ROUNDUP(G1406/BN1406,0)</f>
        <v/>
      </c>
      <c r="BX1406" s="55">
        <f>ROUNDUP(BU1406/BN1406,0)</f>
        <v/>
      </c>
      <c r="BY1406" s="58">
        <f>IF(BO1406=1,0,IFERROR(VLOOKUP(BM1406,'Gebinde-Kategorie'!$A$5:$G$45,5,0)+0,0))</f>
        <v/>
      </c>
      <c r="BZ1406" s="58">
        <f>IFERROR(IF(OR(BQ1406=1,BQ1406=2,BQ1406=3),N(INDEX(Parameter!$I$5:$I$7,BQ1406)),0),0)</f>
        <v/>
      </c>
    </row>
    <row r="1407">
      <c r="A1407" s="53" t="inlineStr">
        <is>
          <t>107640</t>
        </is>
      </c>
      <c r="B1407" s="53" t="inlineStr">
        <is>
          <t>Ringwellschlauch</t>
        </is>
      </c>
      <c r="C1407" s="53" t="inlineStr">
        <is>
          <t>F</t>
        </is>
      </c>
      <c r="D1407" s="53" t="inlineStr">
        <is>
          <t>PAL</t>
        </is>
      </c>
      <c r="E1407" s="53" t="inlineStr">
        <is>
          <t>C</t>
        </is>
      </c>
      <c r="F1407" s="54" t="n">
        <v>119.13</v>
      </c>
      <c r="G1407" s="55">
        <f>MAX(0,IF(Parameter!$B$20="Jahresanfang 2025 + Export",BG1407+BF1407,BF1407))</f>
        <v/>
      </c>
      <c r="H1407" s="55">
        <f>G1407*F1407</f>
        <v/>
      </c>
      <c r="I1407" s="55">
        <f>BI1407*Parameter!$B$18</f>
        <v/>
      </c>
      <c r="J1407" s="56" t="n">
        <v>63</v>
      </c>
      <c r="K1407" s="57" t="n">
        <v>0.3174603174603174</v>
      </c>
      <c r="L1407" s="55" t="n">
        <v>3</v>
      </c>
      <c r="M1407" s="55" t="n">
        <v>20</v>
      </c>
      <c r="N1407" s="58" t="n">
        <v>56</v>
      </c>
      <c r="O1407" s="53" t="inlineStr">
        <is>
          <t>S81</t>
        </is>
      </c>
      <c r="P1407" s="55" t="n">
        <v>50</v>
      </c>
      <c r="Q1407" s="59">
        <f>IF(BO1407=1,0,IFERROR(VLOOKUP(BM1407,'Gebinde-Kategorie'!$A$5:$G$45,6,0)+0,0))</f>
        <v/>
      </c>
      <c r="R1407" s="60" t="n"/>
      <c r="S1407" s="61" t="n"/>
      <c r="T1407" s="61" t="n"/>
      <c r="U1407" s="53">
        <f>IF(A1407="","",IF(IFERROR(VLOOKUP(D1407,Parameter!$A$35:$C$64,2,0),"Nein")="2+3",IF(ISNUMBER(SEARCH("grosser Artikel",BJ1407)),2,IFERROR(VLOOKUP(BM1407,Parameter!$F$35:$G$64,2,0),2)),IF(OR(IFERROR(VLOOKUP(D1407,Parameter!$A$35:$C$64,2,0),"Nein")="Nein",IFERROR(VLOOKUP(D1407,Parameter!$A$35:$C$64,2,0),"Nein")=""),"-",VLOOKUP(D1407,Parameter!$A$35:$C$64,2,0))))</f>
        <v/>
      </c>
      <c r="V1407" s="61" t="n"/>
      <c r="W1407" s="62" t="n"/>
      <c r="X1407" s="55">
        <f>AM1407</f>
        <v/>
      </c>
      <c r="Y1407" s="55">
        <f>MAX(AM1407,G1407)</f>
        <v/>
      </c>
      <c r="Z1407" s="63" t="n"/>
      <c r="AA1407" s="55">
        <f>IF(LEFT(Cockpit!$C$5,1)="A",G1407,IF(BT1407=1,BU1407,IF(LEFT(Cockpit!$C$5,1)="B",AE1407,MAX(AE1407,G1407))))</f>
        <v/>
      </c>
      <c r="AB1407" s="55">
        <f>IF(BO1407=1,0,ROUNDUP(AA1407/BN1407,0))</f>
        <v/>
      </c>
      <c r="AC1407" s="64">
        <f>IF(BO1407=1,IF(AA1407&lt;=0,0,BP1407*MAX(1,IF(G1407&gt;0,AA1407/G1407,1))),AB1407*Q1407)</f>
        <v/>
      </c>
      <c r="AD1407" s="55">
        <f>AA1407*F1407</f>
        <v/>
      </c>
      <c r="AE1407" s="55">
        <f>ROUNDUP(MAX(I1407/IF(BS1407&gt;0,BS1407,MAX(0.1,N(Cockpit!$C$6))),BV1407)/BN1407,0)*BN1407</f>
        <v/>
      </c>
      <c r="AF1407" s="56">
        <f>IF(AC1407&gt;0,I1407/AC1407,-1)</f>
        <v/>
      </c>
      <c r="AG1407" s="56">
        <f>IF(AND(OR(BR1407="L1",BR1407="L23"),AC1407&gt;0),SUMIFS($AC$7:$AC$1570,$BR$7:$BR$1570,BR1407,$AF$7:$AF$1570,"&gt;"&amp;AF1407)+SUMIFS($AC$7:$AC$1570,$BR$7:$BR$1570,BR1407,$AF$7:$AF$1570,AF1407,$BL$7:$BL$1570,"&lt;="&amp;BL1407),"")</f>
        <v/>
      </c>
      <c r="AH1407" s="65">
        <f>IF(AG1407="",0,MAX(0,MIN(1,(IF(BR1407="L1",Parameter!$K$5,Parameter!$K$6+Parameter!$K$7)-(AG1407-AC1407))/AC1407)))</f>
        <v/>
      </c>
      <c r="AI1407" s="55">
        <f>IF(LEFT(Cockpit!$I$5,1)="A",G1407,IF(BT1407=1,BU1407,IF(LEFT(Cockpit!$I$5,1)="B",AM1407,MAX(AM1407,G1407))))</f>
        <v/>
      </c>
      <c r="AJ1407" s="55">
        <f>IF(BO1407=1,0,ROUNDUP(AI1407/BN1407,0))</f>
        <v/>
      </c>
      <c r="AK1407" s="64">
        <f>IF(BO1407=1,IF(AI1407&lt;=0,0,BP1407*MAX(1,IF(G1407&gt;0,AI1407/G1407,1))),AJ1407*Q1407)</f>
        <v/>
      </c>
      <c r="AL1407" s="55">
        <f>AI1407*F1407</f>
        <v/>
      </c>
      <c r="AM1407" s="55">
        <f>ROUNDUP(MAX(I1407/IF(BS1407&gt;0,BS1407,MAX(0.1,N(Cockpit!$I$6))),BV1407)/BN1407,0)*BN1407</f>
        <v/>
      </c>
      <c r="AN1407" s="56">
        <f>IF(AK1407&gt;0,I1407/AK1407,-1)</f>
        <v/>
      </c>
      <c r="AO1407" s="56">
        <f>IF(AND(OR(BR1407="L1",BR1407="L23"),AK1407&gt;0),SUMIFS($AK$7:$AK$1570,$BR$7:$BR$1570,BR1407,$AN$7:$AN$1570,"&gt;"&amp;AN1407)+SUMIFS($AK$7:$AK$1570,$BR$7:$BR$1570,BR1407,$AN$7:$AN$1570,AN1407,$BL$7:$BL$1570,"&lt;="&amp;BL1407),"")</f>
        <v/>
      </c>
      <c r="AP1407" s="65">
        <f>IF(AO1407="",0,MAX(0,MIN(1,(IF(BR1407="L1",Parameter!$K$5,Parameter!$K$6+Parameter!$K$7)-(AO1407-AK1407))/AK1407)))</f>
        <v/>
      </c>
      <c r="AQ1407" s="55">
        <f>IF(LEFT(Cockpit!$O$5,1)="A",G1407,IF(BT1407=1,BU1407,IF(LEFT(Cockpit!$O$5,1)="B",AU1407,MAX(AU1407,G1407))))</f>
        <v/>
      </c>
      <c r="AR1407" s="55">
        <f>IF(BO1407=1,0,ROUNDUP(AQ1407/BN1407,0))</f>
        <v/>
      </c>
      <c r="AS1407" s="64">
        <f>IF(BO1407=1,IF(AQ1407&lt;=0,0,BP1407*MAX(1,IF(G1407&gt;0,AQ1407/G1407,1))),AR1407*Q1407)</f>
        <v/>
      </c>
      <c r="AT1407" s="55">
        <f>AQ1407*F1407</f>
        <v/>
      </c>
      <c r="AU1407" s="55">
        <f>ROUNDUP(MAX(I1407/IF(BS1407&gt;0,BS1407,MAX(0.1,N(Cockpit!$O$6))),BV1407)/BN1407,0)*BN1407</f>
        <v/>
      </c>
      <c r="AV1407" s="56">
        <f>IF(AS1407&gt;0,I1407/AS1407,-1)</f>
        <v/>
      </c>
      <c r="AW1407" s="56">
        <f>IF(AND(OR(BR1407="L1",BR1407="L23"),AS1407&gt;0),SUMIFS($AS$7:$AS$1570,$BR$7:$BR$1570,BR1407,$AV$7:$AV$1570,"&gt;"&amp;AV1407)+SUMIFS($AS$7:$AS$1570,$BR$7:$BR$1570,BR1407,$AV$7:$AV$1570,AV1407,$BL$7:$BL$1570,"&lt;="&amp;BL1407),"")</f>
        <v/>
      </c>
      <c r="AX1407" s="65">
        <f>IF(AW1407="",0,MAX(0,MIN(1,(IF(BR1407="L1",Parameter!$K$5,Parameter!$K$6+Parameter!$K$7)-(AW1407-AS1407))/AS1407)))</f>
        <v/>
      </c>
      <c r="AY1407" s="53">
        <f>IF(AC1407&lt;=0,"",IF(BR1407="Aussen","Aussenlager",IF(BR1407="-","Nicht im Lift",IF(AH1407&gt;=1,"Lift",IF(AH1407&lt;=0,"Aussenlager","teilweise")))))</f>
        <v/>
      </c>
      <c r="AZ1407" s="53">
        <f>IF(AK1407&lt;=0,"",IF(BR1407="Aussen","Aussenlager",IF(BR1407="-","Nicht im Lift",IF(AP1407&gt;=1,"Lift",IF(AP1407&lt;=0,"Aussenlager","teilweise")))))</f>
        <v/>
      </c>
      <c r="BA1407" s="53">
        <f>IF(AS1407&lt;=0,"",IF(BR1407="Aussen","Aussenlager",IF(BR1407="-","Nicht im Lift",IF(AX1407&gt;=1,"Lift",IF(AX1407&lt;=0,"Aussenlager","teilweise")))))</f>
        <v/>
      </c>
      <c r="BB1407" s="53">
        <f>IF(A1407="","",IF(BK1407=1,"Neu; ","")&amp;IF(AND(BK1407=0,BF1407&lt;0),"negativer Bestand (Export "&amp;BF1407&amp;"); ","")&amp;IF(I1407&lt;=0,"Kein Verbrauch; ","")&amp;IF(BO1407=1,"Lose – Fläche geschätzt; ","")&amp;IF(G1407&gt;AM1407,"Überbestand "&amp;ROUND(G1407-AM1407,0)&amp;" Stk / CHF "&amp;ROUND((G1407-AM1407)*F1407,0)&amp;"; ","")&amp;IF(AND(BT1407=1,BU1407&lt;BV1407),"MAX &lt; MB+LG; ","")&amp;IF(AND(BZ1407&gt;0,BY1407*10&gt;BZ1407),"zu hoch für Tablar; ","")&amp;IF(AND(BK1407=0,OR(BT1407=1,V1407&lt;&gt;"",S1407&lt;&gt;"",T1407&lt;&gt;"",W1407&lt;&gt;"")),"manuell übersteuert; ","")&amp;IF(AND(BO1407=0,Q1407=0),"Gebinde unbekannt; ","")&amp;IF(AND(BO1407=0,N(T1407)&lt;=0,N(P1407)&lt;=0),"Menge pro Gebinde fehlt (Ist = 1 Gebinde); ","")&amp;BJ1407)</f>
        <v/>
      </c>
      <c r="BC1407" s="53" t="n"/>
      <c r="BD1407" s="53" t="n"/>
      <c r="BE1407" s="61" t="n"/>
      <c r="BF1407" s="55" t="n">
        <v>-40</v>
      </c>
      <c r="BG1407" s="55" t="n">
        <v>68</v>
      </c>
      <c r="BH1407" s="54" t="n">
        <v>-4765.199999999999</v>
      </c>
      <c r="BI1407" s="55" t="n">
        <v>20</v>
      </c>
      <c r="BJ1407" s="53" t="inlineStr">
        <is>
          <t>Neu</t>
        </is>
      </c>
      <c r="BK1407" s="58" t="n">
        <v>0</v>
      </c>
      <c r="BL1407" s="58" t="n">
        <v>1407</v>
      </c>
      <c r="BM1407" s="53">
        <f>IF(S1407&lt;&gt;"",UPPER(TRIM(S1407)),IF(O1407="","LOSE",O1407))</f>
        <v/>
      </c>
      <c r="BN1407" s="55">
        <f>IF(BM1407="LOSE",1,IF(N(T1407)&gt;0,T1407,IF(N(P1407)&gt;0,P1407,MAX(1,G1407))))</f>
        <v/>
      </c>
      <c r="BO1407" s="58">
        <f>IF(BM1407="LOSE",1,0)</f>
        <v/>
      </c>
      <c r="BP1407" s="64">
        <f>IF(BO1407=0,0,IF(N(R1407)&gt;0,R1407,IFERROR(VLOOKUP(D1407,Parameter!$A$35:$C$64,3,0)+0,0)))</f>
        <v/>
      </c>
      <c r="BQ1407" s="53">
        <f>IF(V1407&lt;&gt;"",V1407,U1407)</f>
        <v/>
      </c>
      <c r="BR1407" s="53">
        <f>IF(BQ1407=1,"L1",IF(OR(BQ1407=2,BQ1407=3),"L23",IF(BQ1407="Aussen","Aussen","-")))</f>
        <v/>
      </c>
      <c r="BS1407" s="66">
        <f>IF(N(W1407)&gt;0,W1407,0)</f>
        <v/>
      </c>
      <c r="BT1407" s="58">
        <f>IF(ISNUMBER(Z1407),1,0)</f>
        <v/>
      </c>
      <c r="BU1407" s="55">
        <f>N(Z1407)</f>
        <v/>
      </c>
      <c r="BV1407" s="55">
        <f>N(L1407)+N(M1407)</f>
        <v/>
      </c>
      <c r="BW1407" s="55">
        <f>ROUNDUP(G1407/BN1407,0)</f>
        <v/>
      </c>
      <c r="BX1407" s="55">
        <f>ROUNDUP(BU1407/BN1407,0)</f>
        <v/>
      </c>
      <c r="BY1407" s="58">
        <f>IF(BO1407=1,0,IFERROR(VLOOKUP(BM1407,'Gebinde-Kategorie'!$A$5:$G$45,5,0)+0,0))</f>
        <v/>
      </c>
      <c r="BZ1407" s="58">
        <f>IFERROR(IF(OR(BQ1407=1,BQ1407=2,BQ1407=3),N(INDEX(Parameter!$I$5:$I$7,BQ1407)),0),0)</f>
        <v/>
      </c>
    </row>
    <row r="1408">
      <c r="A1408" s="53" t="inlineStr">
        <is>
          <t>OC-100444</t>
        </is>
      </c>
      <c r="B1408" s="53" t="inlineStr">
        <is>
          <t>Shock Pulse Generator EG10XL komplett</t>
        </is>
      </c>
      <c r="C1408" s="53" t="inlineStr">
        <is>
          <t>F</t>
        </is>
      </c>
      <c r="D1408" s="53" t="inlineStr">
        <is>
          <t>OCC</t>
        </is>
      </c>
      <c r="E1408" s="53" t="inlineStr">
        <is>
          <t>C</t>
        </is>
      </c>
      <c r="F1408" s="54" t="n">
        <v>2426.28</v>
      </c>
      <c r="G1408" s="55">
        <f>MAX(0,IF(Parameter!$B$20="Jahresanfang 2025 + Export",BG1408+BF1408,BF1408))</f>
        <v/>
      </c>
      <c r="H1408" s="55">
        <f>G1408*F1408</f>
        <v/>
      </c>
      <c r="I1408" s="55">
        <f>BI1408*Parameter!$B$18</f>
        <v/>
      </c>
      <c r="J1408" s="56" t="n">
        <v>1</v>
      </c>
      <c r="K1408" s="57" t="n">
        <v>0</v>
      </c>
      <c r="L1408" s="55" t="n">
        <v>0</v>
      </c>
      <c r="M1408" s="55" t="n">
        <v>1</v>
      </c>
      <c r="N1408" s="58" t="n">
        <v>90</v>
      </c>
      <c r="O1408" s="53" t="inlineStr">
        <is>
          <t>LOSE</t>
        </is>
      </c>
      <c r="P1408" s="55" t="n"/>
      <c r="Q1408" s="59">
        <f>IF(BO1408=1,0,IFERROR(VLOOKUP(BM1408,'Gebinde-Kategorie'!$A$5:$G$45,6,0)+0,0))</f>
        <v/>
      </c>
      <c r="R1408" s="60" t="n"/>
      <c r="S1408" s="61" t="n"/>
      <c r="T1408" s="61" t="n"/>
      <c r="U1408" s="53">
        <f>IF(A1408="","",IF(IFERROR(VLOOKUP(D1408,Parameter!$A$35:$C$64,2,0),"Nein")="2+3",IF(ISNUMBER(SEARCH("grosser Artikel",BJ1408)),2,IFERROR(VLOOKUP(BM1408,Parameter!$F$35:$G$64,2,0),2)),IF(OR(IFERROR(VLOOKUP(D1408,Parameter!$A$35:$C$64,2,0),"Nein")="Nein",IFERROR(VLOOKUP(D1408,Parameter!$A$35:$C$64,2,0),"Nein")=""),"-",VLOOKUP(D1408,Parameter!$A$35:$C$64,2,0))))</f>
        <v/>
      </c>
      <c r="V1408" s="61" t="n"/>
      <c r="W1408" s="62" t="n"/>
      <c r="X1408" s="55">
        <f>AM1408</f>
        <v/>
      </c>
      <c r="Y1408" s="55">
        <f>MAX(AM1408,G1408)</f>
        <v/>
      </c>
      <c r="Z1408" s="63" t="n"/>
      <c r="AA1408" s="55">
        <f>IF(LEFT(Cockpit!$C$5,1)="A",G1408,IF(BT1408=1,BU1408,IF(LEFT(Cockpit!$C$5,1)="B",AE1408,MAX(AE1408,G1408))))</f>
        <v/>
      </c>
      <c r="AB1408" s="55">
        <f>IF(BO1408=1,0,ROUNDUP(AA1408/BN1408,0))</f>
        <v/>
      </c>
      <c r="AC1408" s="64">
        <f>IF(BO1408=1,IF(AA1408&lt;=0,0,BP1408*MAX(1,IF(G1408&gt;0,AA1408/G1408,1))),AB1408*Q1408)</f>
        <v/>
      </c>
      <c r="AD1408" s="55">
        <f>AA1408*F1408</f>
        <v/>
      </c>
      <c r="AE1408" s="55">
        <f>ROUNDUP(MAX(I1408/IF(BS1408&gt;0,BS1408,MAX(0.1,N(Cockpit!$C$6))),BV1408)/BN1408,0)*BN1408</f>
        <v/>
      </c>
      <c r="AF1408" s="56">
        <f>IF(AC1408&gt;0,I1408/AC1408,-1)</f>
        <v/>
      </c>
      <c r="AG1408" s="56">
        <f>IF(AND(OR(BR1408="L1",BR1408="L23"),AC1408&gt;0),SUMIFS($AC$7:$AC$1570,$BR$7:$BR$1570,BR1408,$AF$7:$AF$1570,"&gt;"&amp;AF1408)+SUMIFS($AC$7:$AC$1570,$BR$7:$BR$1570,BR1408,$AF$7:$AF$1570,AF1408,$BL$7:$BL$1570,"&lt;="&amp;BL1408),"")</f>
        <v/>
      </c>
      <c r="AH1408" s="65">
        <f>IF(AG1408="",0,MAX(0,MIN(1,(IF(BR1408="L1",Parameter!$K$5,Parameter!$K$6+Parameter!$K$7)-(AG1408-AC1408))/AC1408)))</f>
        <v/>
      </c>
      <c r="AI1408" s="55">
        <f>IF(LEFT(Cockpit!$I$5,1)="A",G1408,IF(BT1408=1,BU1408,IF(LEFT(Cockpit!$I$5,1)="B",AM1408,MAX(AM1408,G1408))))</f>
        <v/>
      </c>
      <c r="AJ1408" s="55">
        <f>IF(BO1408=1,0,ROUNDUP(AI1408/BN1408,0))</f>
        <v/>
      </c>
      <c r="AK1408" s="64">
        <f>IF(BO1408=1,IF(AI1408&lt;=0,0,BP1408*MAX(1,IF(G1408&gt;0,AI1408/G1408,1))),AJ1408*Q1408)</f>
        <v/>
      </c>
      <c r="AL1408" s="55">
        <f>AI1408*F1408</f>
        <v/>
      </c>
      <c r="AM1408" s="55">
        <f>ROUNDUP(MAX(I1408/IF(BS1408&gt;0,BS1408,MAX(0.1,N(Cockpit!$I$6))),BV1408)/BN1408,0)*BN1408</f>
        <v/>
      </c>
      <c r="AN1408" s="56">
        <f>IF(AK1408&gt;0,I1408/AK1408,-1)</f>
        <v/>
      </c>
      <c r="AO1408" s="56">
        <f>IF(AND(OR(BR1408="L1",BR1408="L23"),AK1408&gt;0),SUMIFS($AK$7:$AK$1570,$BR$7:$BR$1570,BR1408,$AN$7:$AN$1570,"&gt;"&amp;AN1408)+SUMIFS($AK$7:$AK$1570,$BR$7:$BR$1570,BR1408,$AN$7:$AN$1570,AN1408,$BL$7:$BL$1570,"&lt;="&amp;BL1408),"")</f>
        <v/>
      </c>
      <c r="AP1408" s="65">
        <f>IF(AO1408="",0,MAX(0,MIN(1,(IF(BR1408="L1",Parameter!$K$5,Parameter!$K$6+Parameter!$K$7)-(AO1408-AK1408))/AK1408)))</f>
        <v/>
      </c>
      <c r="AQ1408" s="55">
        <f>IF(LEFT(Cockpit!$O$5,1)="A",G1408,IF(BT1408=1,BU1408,IF(LEFT(Cockpit!$O$5,1)="B",AU1408,MAX(AU1408,G1408))))</f>
        <v/>
      </c>
      <c r="AR1408" s="55">
        <f>IF(BO1408=1,0,ROUNDUP(AQ1408/BN1408,0))</f>
        <v/>
      </c>
      <c r="AS1408" s="64">
        <f>IF(BO1408=1,IF(AQ1408&lt;=0,0,BP1408*MAX(1,IF(G1408&gt;0,AQ1408/G1408,1))),AR1408*Q1408)</f>
        <v/>
      </c>
      <c r="AT1408" s="55">
        <f>AQ1408*F1408</f>
        <v/>
      </c>
      <c r="AU1408" s="55">
        <f>ROUNDUP(MAX(I1408/IF(BS1408&gt;0,BS1408,MAX(0.1,N(Cockpit!$O$6))),BV1408)/BN1408,0)*BN1408</f>
        <v/>
      </c>
      <c r="AV1408" s="56">
        <f>IF(AS1408&gt;0,I1408/AS1408,-1)</f>
        <v/>
      </c>
      <c r="AW1408" s="56">
        <f>IF(AND(OR(BR1408="L1",BR1408="L23"),AS1408&gt;0),SUMIFS($AS$7:$AS$1570,$BR$7:$BR$1570,BR1408,$AV$7:$AV$1570,"&gt;"&amp;AV1408)+SUMIFS($AS$7:$AS$1570,$BR$7:$BR$1570,BR1408,$AV$7:$AV$1570,AV1408,$BL$7:$BL$1570,"&lt;="&amp;BL1408),"")</f>
        <v/>
      </c>
      <c r="AX1408" s="65">
        <f>IF(AW1408="",0,MAX(0,MIN(1,(IF(BR1408="L1",Parameter!$K$5,Parameter!$K$6+Parameter!$K$7)-(AW1408-AS1408))/AS1408)))</f>
        <v/>
      </c>
      <c r="AY1408" s="53">
        <f>IF(AC1408&lt;=0,"",IF(BR1408="Aussen","Aussenlager",IF(BR1408="-","Nicht im Lift",IF(AH1408&gt;=1,"Lift",IF(AH1408&lt;=0,"Aussenlager","teilweise")))))</f>
        <v/>
      </c>
      <c r="AZ1408" s="53">
        <f>IF(AK1408&lt;=0,"",IF(BR1408="Aussen","Aussenlager",IF(BR1408="-","Nicht im Lift",IF(AP1408&gt;=1,"Lift",IF(AP1408&lt;=0,"Aussenlager","teilweise")))))</f>
        <v/>
      </c>
      <c r="BA1408" s="53">
        <f>IF(AS1408&lt;=0,"",IF(BR1408="Aussen","Aussenlager",IF(BR1408="-","Nicht im Lift",IF(AX1408&gt;=1,"Lift",IF(AX1408&lt;=0,"Aussenlager","teilweise")))))</f>
        <v/>
      </c>
      <c r="BB1408" s="53">
        <f>IF(A1408="","",IF(BK1408=1,"Neu; ","")&amp;IF(AND(BK1408=0,BF1408&lt;0),"negativer Bestand (Export "&amp;BF1408&amp;"); ","")&amp;IF(I1408&lt;=0,"Kein Verbrauch; ","")&amp;IF(BO1408=1,"Lose – Fläche geschätzt; ","")&amp;IF(G1408&gt;AM1408,"Überbestand "&amp;ROUND(G1408-AM1408,0)&amp;" Stk / CHF "&amp;ROUND((G1408-AM1408)*F1408,0)&amp;"; ","")&amp;IF(AND(BT1408=1,BU1408&lt;BV1408),"MAX &lt; MB+LG; ","")&amp;IF(AND(BZ1408&gt;0,BY1408*10&gt;BZ1408),"zu hoch für Tablar; ","")&amp;IF(AND(BK1408=0,OR(BT1408=1,V1408&lt;&gt;"",S1408&lt;&gt;"",T1408&lt;&gt;"",W1408&lt;&gt;"")),"manuell übersteuert; ","")&amp;IF(AND(BO1408=0,Q1408=0),"Gebinde unbekannt; ","")&amp;IF(AND(BO1408=0,N(T1408)&lt;=0,N(P1408)&lt;=0),"Menge pro Gebinde fehlt (Ist = 1 Gebinde); ","")&amp;BJ1408)</f>
        <v/>
      </c>
      <c r="BC1408" s="53" t="n"/>
      <c r="BD1408" s="53" t="n"/>
      <c r="BE1408" s="61" t="n"/>
      <c r="BF1408" s="55" t="n">
        <v>-2</v>
      </c>
      <c r="BG1408" s="55" t="n">
        <v>2</v>
      </c>
      <c r="BH1408" s="54" t="n">
        <v>-4852.56</v>
      </c>
      <c r="BI1408" s="55" t="n">
        <v>0</v>
      </c>
      <c r="BJ1408" s="53" t="inlineStr"/>
      <c r="BK1408" s="58" t="n">
        <v>0</v>
      </c>
      <c r="BL1408" s="58" t="n">
        <v>1408</v>
      </c>
      <c r="BM1408" s="53">
        <f>IF(S1408&lt;&gt;"",UPPER(TRIM(S1408)),IF(O1408="","LOSE",O1408))</f>
        <v/>
      </c>
      <c r="BN1408" s="55">
        <f>IF(BM1408="LOSE",1,IF(N(T1408)&gt;0,T1408,IF(N(P1408)&gt;0,P1408,MAX(1,G1408))))</f>
        <v/>
      </c>
      <c r="BO1408" s="58">
        <f>IF(BM1408="LOSE",1,0)</f>
        <v/>
      </c>
      <c r="BP1408" s="64">
        <f>IF(BO1408=0,0,IF(N(R1408)&gt;0,R1408,IFERROR(VLOOKUP(D1408,Parameter!$A$35:$C$64,3,0)+0,0)))</f>
        <v/>
      </c>
      <c r="BQ1408" s="53">
        <f>IF(V1408&lt;&gt;"",V1408,U1408)</f>
        <v/>
      </c>
      <c r="BR1408" s="53">
        <f>IF(BQ1408=1,"L1",IF(OR(BQ1408=2,BQ1408=3),"L23",IF(BQ1408="Aussen","Aussen","-")))</f>
        <v/>
      </c>
      <c r="BS1408" s="66">
        <f>IF(N(W1408)&gt;0,W1408,0)</f>
        <v/>
      </c>
      <c r="BT1408" s="58">
        <f>IF(ISNUMBER(Z1408),1,0)</f>
        <v/>
      </c>
      <c r="BU1408" s="55">
        <f>N(Z1408)</f>
        <v/>
      </c>
      <c r="BV1408" s="55">
        <f>N(L1408)+N(M1408)</f>
        <v/>
      </c>
      <c r="BW1408" s="55">
        <f>ROUNDUP(G1408/BN1408,0)</f>
        <v/>
      </c>
      <c r="BX1408" s="55">
        <f>ROUNDUP(BU1408/BN1408,0)</f>
        <v/>
      </c>
      <c r="BY1408" s="58">
        <f>IF(BO1408=1,0,IFERROR(VLOOKUP(BM1408,'Gebinde-Kategorie'!$A$5:$G$45,5,0)+0,0))</f>
        <v/>
      </c>
      <c r="BZ1408" s="58">
        <f>IFERROR(IF(OR(BQ1408=1,BQ1408=2,BQ1408=3),N(INDEX(Parameter!$I$5:$I$7,BQ1408)),0),0)</f>
        <v/>
      </c>
    </row>
    <row r="1409">
      <c r="A1409" s="53" t="inlineStr">
        <is>
          <t>107516</t>
        </is>
      </c>
      <c r="B1409" s="53" t="inlineStr">
        <is>
          <t>Federflansch</t>
        </is>
      </c>
      <c r="C1409" s="53" t="inlineStr">
        <is>
          <t>G</t>
        </is>
      </c>
      <c r="D1409" s="53" t="inlineStr">
        <is>
          <t>PAL</t>
        </is>
      </c>
      <c r="E1409" s="53" t="inlineStr">
        <is>
          <t>C</t>
        </is>
      </c>
      <c r="F1409" s="54" t="n">
        <v>377.8</v>
      </c>
      <c r="G1409" s="55">
        <f>MAX(0,IF(Parameter!$B$20="Jahresanfang 2025 + Export",BG1409+BF1409,BF1409))</f>
        <v/>
      </c>
      <c r="H1409" s="55">
        <f>G1409*F1409</f>
        <v/>
      </c>
      <c r="I1409" s="55">
        <f>BI1409*Parameter!$B$18</f>
        <v/>
      </c>
      <c r="J1409" s="56" t="n">
        <v>6.5</v>
      </c>
      <c r="K1409" s="57" t="n">
        <v>2</v>
      </c>
      <c r="L1409" s="55" t="n">
        <v>1</v>
      </c>
      <c r="M1409" s="55" t="n">
        <v>15</v>
      </c>
      <c r="N1409" s="58" t="n">
        <v>35</v>
      </c>
      <c r="O1409" s="53" t="inlineStr">
        <is>
          <t>LOSE</t>
        </is>
      </c>
      <c r="P1409" s="55" t="n"/>
      <c r="Q1409" s="59">
        <f>IF(BO1409=1,0,IFERROR(VLOOKUP(BM1409,'Gebinde-Kategorie'!$A$5:$G$45,6,0)+0,0))</f>
        <v/>
      </c>
      <c r="R1409" s="60" t="n"/>
      <c r="S1409" s="61" t="n"/>
      <c r="T1409" s="61" t="n"/>
      <c r="U1409" s="53">
        <f>IF(A1409="","",IF(IFERROR(VLOOKUP(D1409,Parameter!$A$35:$C$64,2,0),"Nein")="2+3",IF(ISNUMBER(SEARCH("grosser Artikel",BJ1409)),2,IFERROR(VLOOKUP(BM1409,Parameter!$F$35:$G$64,2,0),2)),IF(OR(IFERROR(VLOOKUP(D1409,Parameter!$A$35:$C$64,2,0),"Nein")="Nein",IFERROR(VLOOKUP(D1409,Parameter!$A$35:$C$64,2,0),"Nein")=""),"-",VLOOKUP(D1409,Parameter!$A$35:$C$64,2,0))))</f>
        <v/>
      </c>
      <c r="V1409" s="61" t="n"/>
      <c r="W1409" s="62" t="n"/>
      <c r="X1409" s="55">
        <f>AM1409</f>
        <v/>
      </c>
      <c r="Y1409" s="55">
        <f>MAX(AM1409,G1409)</f>
        <v/>
      </c>
      <c r="Z1409" s="63" t="n"/>
      <c r="AA1409" s="55">
        <f>IF(LEFT(Cockpit!$C$5,1)="A",G1409,IF(BT1409=1,BU1409,IF(LEFT(Cockpit!$C$5,1)="B",AE1409,MAX(AE1409,G1409))))</f>
        <v/>
      </c>
      <c r="AB1409" s="55">
        <f>IF(BO1409=1,0,ROUNDUP(AA1409/BN1409,0))</f>
        <v/>
      </c>
      <c r="AC1409" s="64">
        <f>IF(BO1409=1,IF(AA1409&lt;=0,0,BP1409*MAX(1,IF(G1409&gt;0,AA1409/G1409,1))),AB1409*Q1409)</f>
        <v/>
      </c>
      <c r="AD1409" s="55">
        <f>AA1409*F1409</f>
        <v/>
      </c>
      <c r="AE1409" s="55">
        <f>ROUNDUP(MAX(I1409/IF(BS1409&gt;0,BS1409,MAX(0.1,N(Cockpit!$C$6))),BV1409)/BN1409,0)*BN1409</f>
        <v/>
      </c>
      <c r="AF1409" s="56">
        <f>IF(AC1409&gt;0,I1409/AC1409,-1)</f>
        <v/>
      </c>
      <c r="AG1409" s="56">
        <f>IF(AND(OR(BR1409="L1",BR1409="L23"),AC1409&gt;0),SUMIFS($AC$7:$AC$1570,$BR$7:$BR$1570,BR1409,$AF$7:$AF$1570,"&gt;"&amp;AF1409)+SUMIFS($AC$7:$AC$1570,$BR$7:$BR$1570,BR1409,$AF$7:$AF$1570,AF1409,$BL$7:$BL$1570,"&lt;="&amp;BL1409),"")</f>
        <v/>
      </c>
      <c r="AH1409" s="65">
        <f>IF(AG1409="",0,MAX(0,MIN(1,(IF(BR1409="L1",Parameter!$K$5,Parameter!$K$6+Parameter!$K$7)-(AG1409-AC1409))/AC1409)))</f>
        <v/>
      </c>
      <c r="AI1409" s="55">
        <f>IF(LEFT(Cockpit!$I$5,1)="A",G1409,IF(BT1409=1,BU1409,IF(LEFT(Cockpit!$I$5,1)="B",AM1409,MAX(AM1409,G1409))))</f>
        <v/>
      </c>
      <c r="AJ1409" s="55">
        <f>IF(BO1409=1,0,ROUNDUP(AI1409/BN1409,0))</f>
        <v/>
      </c>
      <c r="AK1409" s="64">
        <f>IF(BO1409=1,IF(AI1409&lt;=0,0,BP1409*MAX(1,IF(G1409&gt;0,AI1409/G1409,1))),AJ1409*Q1409)</f>
        <v/>
      </c>
      <c r="AL1409" s="55">
        <f>AI1409*F1409</f>
        <v/>
      </c>
      <c r="AM1409" s="55">
        <f>ROUNDUP(MAX(I1409/IF(BS1409&gt;0,BS1409,MAX(0.1,N(Cockpit!$I$6))),BV1409)/BN1409,0)*BN1409</f>
        <v/>
      </c>
      <c r="AN1409" s="56">
        <f>IF(AK1409&gt;0,I1409/AK1409,-1)</f>
        <v/>
      </c>
      <c r="AO1409" s="56">
        <f>IF(AND(OR(BR1409="L1",BR1409="L23"),AK1409&gt;0),SUMIFS($AK$7:$AK$1570,$BR$7:$BR$1570,BR1409,$AN$7:$AN$1570,"&gt;"&amp;AN1409)+SUMIFS($AK$7:$AK$1570,$BR$7:$BR$1570,BR1409,$AN$7:$AN$1570,AN1409,$BL$7:$BL$1570,"&lt;="&amp;BL1409),"")</f>
        <v/>
      </c>
      <c r="AP1409" s="65">
        <f>IF(AO1409="",0,MAX(0,MIN(1,(IF(BR1409="L1",Parameter!$K$5,Parameter!$K$6+Parameter!$K$7)-(AO1409-AK1409))/AK1409)))</f>
        <v/>
      </c>
      <c r="AQ1409" s="55">
        <f>IF(LEFT(Cockpit!$O$5,1)="A",G1409,IF(BT1409=1,BU1409,IF(LEFT(Cockpit!$O$5,1)="B",AU1409,MAX(AU1409,G1409))))</f>
        <v/>
      </c>
      <c r="AR1409" s="55">
        <f>IF(BO1409=1,0,ROUNDUP(AQ1409/BN1409,0))</f>
        <v/>
      </c>
      <c r="AS1409" s="64">
        <f>IF(BO1409=1,IF(AQ1409&lt;=0,0,BP1409*MAX(1,IF(G1409&gt;0,AQ1409/G1409,1))),AR1409*Q1409)</f>
        <v/>
      </c>
      <c r="AT1409" s="55">
        <f>AQ1409*F1409</f>
        <v/>
      </c>
      <c r="AU1409" s="55">
        <f>ROUNDUP(MAX(I1409/IF(BS1409&gt;0,BS1409,MAX(0.1,N(Cockpit!$O$6))),BV1409)/BN1409,0)*BN1409</f>
        <v/>
      </c>
      <c r="AV1409" s="56">
        <f>IF(AS1409&gt;0,I1409/AS1409,-1)</f>
        <v/>
      </c>
      <c r="AW1409" s="56">
        <f>IF(AND(OR(BR1409="L1",BR1409="L23"),AS1409&gt;0),SUMIFS($AS$7:$AS$1570,$BR$7:$BR$1570,BR1409,$AV$7:$AV$1570,"&gt;"&amp;AV1409)+SUMIFS($AS$7:$AS$1570,$BR$7:$BR$1570,BR1409,$AV$7:$AV$1570,AV1409,$BL$7:$BL$1570,"&lt;="&amp;BL1409),"")</f>
        <v/>
      </c>
      <c r="AX1409" s="65">
        <f>IF(AW1409="",0,MAX(0,MIN(1,(IF(BR1409="L1",Parameter!$K$5,Parameter!$K$6+Parameter!$K$7)-(AW1409-AS1409))/AS1409)))</f>
        <v/>
      </c>
      <c r="AY1409" s="53">
        <f>IF(AC1409&lt;=0,"",IF(BR1409="Aussen","Aussenlager",IF(BR1409="-","Nicht im Lift",IF(AH1409&gt;=1,"Lift",IF(AH1409&lt;=0,"Aussenlager","teilweise")))))</f>
        <v/>
      </c>
      <c r="AZ1409" s="53">
        <f>IF(AK1409&lt;=0,"",IF(BR1409="Aussen","Aussenlager",IF(BR1409="-","Nicht im Lift",IF(AP1409&gt;=1,"Lift",IF(AP1409&lt;=0,"Aussenlager","teilweise")))))</f>
        <v/>
      </c>
      <c r="BA1409" s="53">
        <f>IF(AS1409&lt;=0,"",IF(BR1409="Aussen","Aussenlager",IF(BR1409="-","Nicht im Lift",IF(AX1409&gt;=1,"Lift",IF(AX1409&lt;=0,"Aussenlager","teilweise")))))</f>
        <v/>
      </c>
      <c r="BB1409" s="53">
        <f>IF(A1409="","",IF(BK1409=1,"Neu; ","")&amp;IF(AND(BK1409=0,BF1409&lt;0),"negativer Bestand (Export "&amp;BF1409&amp;"); ","")&amp;IF(I1409&lt;=0,"Kein Verbrauch; ","")&amp;IF(BO1409=1,"Lose – Fläche geschätzt; ","")&amp;IF(G1409&gt;AM1409,"Überbestand "&amp;ROUND(G1409-AM1409,0)&amp;" Stk / CHF "&amp;ROUND((G1409-AM1409)*F1409,0)&amp;"; ","")&amp;IF(AND(BT1409=1,BU1409&lt;BV1409),"MAX &lt; MB+LG; ","")&amp;IF(AND(BZ1409&gt;0,BY1409*10&gt;BZ1409),"zu hoch für Tablar; ","")&amp;IF(AND(BK1409=0,OR(BT1409=1,V1409&lt;&gt;"",S1409&lt;&gt;"",T1409&lt;&gt;"",W1409&lt;&gt;"")),"manuell übersteuert; ","")&amp;IF(AND(BO1409=0,Q1409=0),"Gebinde unbekannt; ","")&amp;IF(AND(BO1409=0,N(T1409)&lt;=0,N(P1409)&lt;=0),"Menge pro Gebinde fehlt (Ist = 1 Gebinde); ","")&amp;BJ1409)</f>
        <v/>
      </c>
      <c r="BC1409" s="53" t="n"/>
      <c r="BD1409" s="53" t="n"/>
      <c r="BE1409" s="61" t="n"/>
      <c r="BF1409" s="55" t="n">
        <v>-13</v>
      </c>
      <c r="BG1409" s="55" t="n">
        <v>13</v>
      </c>
      <c r="BH1409" s="54" t="n">
        <v>-4911.4</v>
      </c>
      <c r="BI1409" s="55" t="n">
        <v>13</v>
      </c>
      <c r="BJ1409" s="53" t="inlineStr">
        <is>
          <t>Neu</t>
        </is>
      </c>
      <c r="BK1409" s="58" t="n">
        <v>0</v>
      </c>
      <c r="BL1409" s="58" t="n">
        <v>1409</v>
      </c>
      <c r="BM1409" s="53">
        <f>IF(S1409&lt;&gt;"",UPPER(TRIM(S1409)),IF(O1409="","LOSE",O1409))</f>
        <v/>
      </c>
      <c r="BN1409" s="55">
        <f>IF(BM1409="LOSE",1,IF(N(T1409)&gt;0,T1409,IF(N(P1409)&gt;0,P1409,MAX(1,G1409))))</f>
        <v/>
      </c>
      <c r="BO1409" s="58">
        <f>IF(BM1409="LOSE",1,0)</f>
        <v/>
      </c>
      <c r="BP1409" s="64">
        <f>IF(BO1409=0,0,IF(N(R1409)&gt;0,R1409,IFERROR(VLOOKUP(D1409,Parameter!$A$35:$C$64,3,0)+0,0)))</f>
        <v/>
      </c>
      <c r="BQ1409" s="53">
        <f>IF(V1409&lt;&gt;"",V1409,U1409)</f>
        <v/>
      </c>
      <c r="BR1409" s="53">
        <f>IF(BQ1409=1,"L1",IF(OR(BQ1409=2,BQ1409=3),"L23",IF(BQ1409="Aussen","Aussen","-")))</f>
        <v/>
      </c>
      <c r="BS1409" s="66">
        <f>IF(N(W1409)&gt;0,W1409,0)</f>
        <v/>
      </c>
      <c r="BT1409" s="58">
        <f>IF(ISNUMBER(Z1409),1,0)</f>
        <v/>
      </c>
      <c r="BU1409" s="55">
        <f>N(Z1409)</f>
        <v/>
      </c>
      <c r="BV1409" s="55">
        <f>N(L1409)+N(M1409)</f>
        <v/>
      </c>
      <c r="BW1409" s="55">
        <f>ROUNDUP(G1409/BN1409,0)</f>
        <v/>
      </c>
      <c r="BX1409" s="55">
        <f>ROUNDUP(BU1409/BN1409,0)</f>
        <v/>
      </c>
      <c r="BY1409" s="58">
        <f>IF(BO1409=1,0,IFERROR(VLOOKUP(BM1409,'Gebinde-Kategorie'!$A$5:$G$45,5,0)+0,0))</f>
        <v/>
      </c>
      <c r="BZ1409" s="58">
        <f>IFERROR(IF(OR(BQ1409=1,BQ1409=2,BQ1409=3),N(INDEX(Parameter!$I$5:$I$7,BQ1409)),0),0)</f>
        <v/>
      </c>
    </row>
    <row r="1410">
      <c r="A1410" s="53" t="inlineStr">
        <is>
          <t>101617</t>
        </is>
      </c>
      <c r="B1410" s="53" t="inlineStr">
        <is>
          <t>Transfermagnetventil O2 komplett</t>
        </is>
      </c>
      <c r="C1410" s="53" t="inlineStr">
        <is>
          <t>F</t>
        </is>
      </c>
      <c r="D1410" s="53" t="inlineStr">
        <is>
          <t>KTL</t>
        </is>
      </c>
      <c r="E1410" s="53" t="inlineStr">
        <is>
          <t>C</t>
        </is>
      </c>
      <c r="F1410" s="54" t="n">
        <v>249</v>
      </c>
      <c r="G1410" s="55">
        <f>MAX(0,IF(Parameter!$B$20="Jahresanfang 2025 + Export",BG1410+BF1410,BF1410))</f>
        <v/>
      </c>
      <c r="H1410" s="55">
        <f>G1410*F1410</f>
        <v/>
      </c>
      <c r="I1410" s="55">
        <f>BI1410*Parameter!$B$18</f>
        <v/>
      </c>
      <c r="J1410" s="56" t="n">
        <v>53</v>
      </c>
      <c r="K1410" s="57" t="n">
        <v>4.245283018867925</v>
      </c>
      <c r="L1410" s="55" t="n">
        <v>13</v>
      </c>
      <c r="M1410" s="55" t="n">
        <v>25</v>
      </c>
      <c r="N1410" s="58" t="n">
        <v>21</v>
      </c>
      <c r="O1410" s="53" t="inlineStr">
        <is>
          <t>S52</t>
        </is>
      </c>
      <c r="P1410" s="55" t="n">
        <v>88</v>
      </c>
      <c r="Q1410" s="59">
        <f>IF(BO1410=1,0,IFERROR(VLOOKUP(BM1410,'Gebinde-Kategorie'!$A$5:$G$45,6,0)+0,0))</f>
        <v/>
      </c>
      <c r="R1410" s="60" t="n"/>
      <c r="S1410" s="61" t="n"/>
      <c r="T1410" s="61" t="n"/>
      <c r="U1410" s="53">
        <f>IF(A1410="","",IF(IFERROR(VLOOKUP(D1410,Parameter!$A$35:$C$64,2,0),"Nein")="2+3",IF(ISNUMBER(SEARCH("grosser Artikel",BJ1410)),2,IFERROR(VLOOKUP(BM1410,Parameter!$F$35:$G$64,2,0),2)),IF(OR(IFERROR(VLOOKUP(D1410,Parameter!$A$35:$C$64,2,0),"Nein")="Nein",IFERROR(VLOOKUP(D1410,Parameter!$A$35:$C$64,2,0),"Nein")=""),"-",VLOOKUP(D1410,Parameter!$A$35:$C$64,2,0))))</f>
        <v/>
      </c>
      <c r="V1410" s="61" t="n"/>
      <c r="W1410" s="62" t="n"/>
      <c r="X1410" s="55">
        <f>AM1410</f>
        <v/>
      </c>
      <c r="Y1410" s="55">
        <f>MAX(AM1410,G1410)</f>
        <v/>
      </c>
      <c r="Z1410" s="63" t="n"/>
      <c r="AA1410" s="55">
        <f>IF(LEFT(Cockpit!$C$5,1)="A",G1410,IF(BT1410=1,BU1410,IF(LEFT(Cockpit!$C$5,1)="B",AE1410,MAX(AE1410,G1410))))</f>
        <v/>
      </c>
      <c r="AB1410" s="55">
        <f>IF(BO1410=1,0,ROUNDUP(AA1410/BN1410,0))</f>
        <v/>
      </c>
      <c r="AC1410" s="64">
        <f>IF(BO1410=1,IF(AA1410&lt;=0,0,BP1410*MAX(1,IF(G1410&gt;0,AA1410/G1410,1))),AB1410*Q1410)</f>
        <v/>
      </c>
      <c r="AD1410" s="55">
        <f>AA1410*F1410</f>
        <v/>
      </c>
      <c r="AE1410" s="55">
        <f>ROUNDUP(MAX(I1410/IF(BS1410&gt;0,BS1410,MAX(0.1,N(Cockpit!$C$6))),BV1410)/BN1410,0)*BN1410</f>
        <v/>
      </c>
      <c r="AF1410" s="56">
        <f>IF(AC1410&gt;0,I1410/AC1410,-1)</f>
        <v/>
      </c>
      <c r="AG1410" s="56">
        <f>IF(AND(OR(BR1410="L1",BR1410="L23"),AC1410&gt;0),SUMIFS($AC$7:$AC$1570,$BR$7:$BR$1570,BR1410,$AF$7:$AF$1570,"&gt;"&amp;AF1410)+SUMIFS($AC$7:$AC$1570,$BR$7:$BR$1570,BR1410,$AF$7:$AF$1570,AF1410,$BL$7:$BL$1570,"&lt;="&amp;BL1410),"")</f>
        <v/>
      </c>
      <c r="AH1410" s="65">
        <f>IF(AG1410="",0,MAX(0,MIN(1,(IF(BR1410="L1",Parameter!$K$5,Parameter!$K$6+Parameter!$K$7)-(AG1410-AC1410))/AC1410)))</f>
        <v/>
      </c>
      <c r="AI1410" s="55">
        <f>IF(LEFT(Cockpit!$I$5,1)="A",G1410,IF(BT1410=1,BU1410,IF(LEFT(Cockpit!$I$5,1)="B",AM1410,MAX(AM1410,G1410))))</f>
        <v/>
      </c>
      <c r="AJ1410" s="55">
        <f>IF(BO1410=1,0,ROUNDUP(AI1410/BN1410,0))</f>
        <v/>
      </c>
      <c r="AK1410" s="64">
        <f>IF(BO1410=1,IF(AI1410&lt;=0,0,BP1410*MAX(1,IF(G1410&gt;0,AI1410/G1410,1))),AJ1410*Q1410)</f>
        <v/>
      </c>
      <c r="AL1410" s="55">
        <f>AI1410*F1410</f>
        <v/>
      </c>
      <c r="AM1410" s="55">
        <f>ROUNDUP(MAX(I1410/IF(BS1410&gt;0,BS1410,MAX(0.1,N(Cockpit!$I$6))),BV1410)/BN1410,0)*BN1410</f>
        <v/>
      </c>
      <c r="AN1410" s="56">
        <f>IF(AK1410&gt;0,I1410/AK1410,-1)</f>
        <v/>
      </c>
      <c r="AO1410" s="56">
        <f>IF(AND(OR(BR1410="L1",BR1410="L23"),AK1410&gt;0),SUMIFS($AK$7:$AK$1570,$BR$7:$BR$1570,BR1410,$AN$7:$AN$1570,"&gt;"&amp;AN1410)+SUMIFS($AK$7:$AK$1570,$BR$7:$BR$1570,BR1410,$AN$7:$AN$1570,AN1410,$BL$7:$BL$1570,"&lt;="&amp;BL1410),"")</f>
        <v/>
      </c>
      <c r="AP1410" s="65">
        <f>IF(AO1410="",0,MAX(0,MIN(1,(IF(BR1410="L1",Parameter!$K$5,Parameter!$K$6+Parameter!$K$7)-(AO1410-AK1410))/AK1410)))</f>
        <v/>
      </c>
      <c r="AQ1410" s="55">
        <f>IF(LEFT(Cockpit!$O$5,1)="A",G1410,IF(BT1410=1,BU1410,IF(LEFT(Cockpit!$O$5,1)="B",AU1410,MAX(AU1410,G1410))))</f>
        <v/>
      </c>
      <c r="AR1410" s="55">
        <f>IF(BO1410=1,0,ROUNDUP(AQ1410/BN1410,0))</f>
        <v/>
      </c>
      <c r="AS1410" s="64">
        <f>IF(BO1410=1,IF(AQ1410&lt;=0,0,BP1410*MAX(1,IF(G1410&gt;0,AQ1410/G1410,1))),AR1410*Q1410)</f>
        <v/>
      </c>
      <c r="AT1410" s="55">
        <f>AQ1410*F1410</f>
        <v/>
      </c>
      <c r="AU1410" s="55">
        <f>ROUNDUP(MAX(I1410/IF(BS1410&gt;0,BS1410,MAX(0.1,N(Cockpit!$O$6))),BV1410)/BN1410,0)*BN1410</f>
        <v/>
      </c>
      <c r="AV1410" s="56">
        <f>IF(AS1410&gt;0,I1410/AS1410,-1)</f>
        <v/>
      </c>
      <c r="AW1410" s="56">
        <f>IF(AND(OR(BR1410="L1",BR1410="L23"),AS1410&gt;0),SUMIFS($AS$7:$AS$1570,$BR$7:$BR$1570,BR1410,$AV$7:$AV$1570,"&gt;"&amp;AV1410)+SUMIFS($AS$7:$AS$1570,$BR$7:$BR$1570,BR1410,$AV$7:$AV$1570,AV1410,$BL$7:$BL$1570,"&lt;="&amp;BL1410),"")</f>
        <v/>
      </c>
      <c r="AX1410" s="65">
        <f>IF(AW1410="",0,MAX(0,MIN(1,(IF(BR1410="L1",Parameter!$K$5,Parameter!$K$6+Parameter!$K$7)-(AW1410-AS1410))/AS1410)))</f>
        <v/>
      </c>
      <c r="AY1410" s="53">
        <f>IF(AC1410&lt;=0,"",IF(BR1410="Aussen","Aussenlager",IF(BR1410="-","Nicht im Lift",IF(AH1410&gt;=1,"Lift",IF(AH1410&lt;=0,"Aussenlager","teilweise")))))</f>
        <v/>
      </c>
      <c r="AZ1410" s="53">
        <f>IF(AK1410&lt;=0,"",IF(BR1410="Aussen","Aussenlager",IF(BR1410="-","Nicht im Lift",IF(AP1410&gt;=1,"Lift",IF(AP1410&lt;=0,"Aussenlager","teilweise")))))</f>
        <v/>
      </c>
      <c r="BA1410" s="53">
        <f>IF(AS1410&lt;=0,"",IF(BR1410="Aussen","Aussenlager",IF(BR1410="-","Nicht im Lift",IF(AX1410&gt;=1,"Lift",IF(AX1410&lt;=0,"Aussenlager","teilweise")))))</f>
        <v/>
      </c>
      <c r="BB1410" s="53">
        <f>IF(A1410="","",IF(BK1410=1,"Neu; ","")&amp;IF(AND(BK1410=0,BF1410&lt;0),"negativer Bestand (Export "&amp;BF1410&amp;"); ","")&amp;IF(I1410&lt;=0,"Kein Verbrauch; ","")&amp;IF(BO1410=1,"Lose – Fläche geschätzt; ","")&amp;IF(G1410&gt;AM1410,"Überbestand "&amp;ROUND(G1410-AM1410,0)&amp;" Stk / CHF "&amp;ROUND((G1410-AM1410)*F1410,0)&amp;"; ","")&amp;IF(AND(BT1410=1,BU1410&lt;BV1410),"MAX &lt; MB+LG; ","")&amp;IF(AND(BZ1410&gt;0,BY1410*10&gt;BZ1410),"zu hoch für Tablar; ","")&amp;IF(AND(BK1410=0,OR(BT1410=1,V1410&lt;&gt;"",S1410&lt;&gt;"",T1410&lt;&gt;"",W1410&lt;&gt;"")),"manuell übersteuert; ","")&amp;IF(AND(BO1410=0,Q1410=0),"Gebinde unbekannt; ","")&amp;IF(AND(BO1410=0,N(T1410)&lt;=0,N(P1410)&lt;=0),"Menge pro Gebinde fehlt (Ist = 1 Gebinde); ","")&amp;BJ1410)</f>
        <v/>
      </c>
      <c r="BC1410" s="53" t="n"/>
      <c r="BD1410" s="53" t="n"/>
      <c r="BE1410" s="61" t="n"/>
      <c r="BF1410" s="55" t="n">
        <v>-22</v>
      </c>
      <c r="BG1410" s="55" t="n">
        <v>43</v>
      </c>
      <c r="BH1410" s="54" t="n">
        <v>-4958.529999999986</v>
      </c>
      <c r="BI1410" s="55" t="n">
        <v>225</v>
      </c>
      <c r="BJ1410" s="53" t="inlineStr"/>
      <c r="BK1410" s="58" t="n">
        <v>0</v>
      </c>
      <c r="BL1410" s="58" t="n">
        <v>1410</v>
      </c>
      <c r="BM1410" s="53">
        <f>IF(S1410&lt;&gt;"",UPPER(TRIM(S1410)),IF(O1410="","LOSE",O1410))</f>
        <v/>
      </c>
      <c r="BN1410" s="55">
        <f>IF(BM1410="LOSE",1,IF(N(T1410)&gt;0,T1410,IF(N(P1410)&gt;0,P1410,MAX(1,G1410))))</f>
        <v/>
      </c>
      <c r="BO1410" s="58">
        <f>IF(BM1410="LOSE",1,0)</f>
        <v/>
      </c>
      <c r="BP1410" s="64">
        <f>IF(BO1410=0,0,IF(N(R1410)&gt;0,R1410,IFERROR(VLOOKUP(D1410,Parameter!$A$35:$C$64,3,0)+0,0)))</f>
        <v/>
      </c>
      <c r="BQ1410" s="53">
        <f>IF(V1410&lt;&gt;"",V1410,U1410)</f>
        <v/>
      </c>
      <c r="BR1410" s="53">
        <f>IF(BQ1410=1,"L1",IF(OR(BQ1410=2,BQ1410=3),"L23",IF(BQ1410="Aussen","Aussen","-")))</f>
        <v/>
      </c>
      <c r="BS1410" s="66">
        <f>IF(N(W1410)&gt;0,W1410,0)</f>
        <v/>
      </c>
      <c r="BT1410" s="58">
        <f>IF(ISNUMBER(Z1410),1,0)</f>
        <v/>
      </c>
      <c r="BU1410" s="55">
        <f>N(Z1410)</f>
        <v/>
      </c>
      <c r="BV1410" s="55">
        <f>N(L1410)+N(M1410)</f>
        <v/>
      </c>
      <c r="BW1410" s="55">
        <f>ROUNDUP(G1410/BN1410,0)</f>
        <v/>
      </c>
      <c r="BX1410" s="55">
        <f>ROUNDUP(BU1410/BN1410,0)</f>
        <v/>
      </c>
      <c r="BY1410" s="58">
        <f>IF(BO1410=1,0,IFERROR(VLOOKUP(BM1410,'Gebinde-Kategorie'!$A$5:$G$45,5,0)+0,0))</f>
        <v/>
      </c>
      <c r="BZ1410" s="58">
        <f>IFERROR(IF(OR(BQ1410=1,BQ1410=2,BQ1410=3),N(INDEX(Parameter!$I$5:$I$7,BQ1410)),0),0)</f>
        <v/>
      </c>
    </row>
    <row r="1411">
      <c r="A1411" s="53" t="inlineStr">
        <is>
          <t>100120</t>
        </is>
      </c>
      <c r="B1411" s="53" t="inlineStr">
        <is>
          <t>Flansch Ventilsitz</t>
        </is>
      </c>
      <c r="C1411" s="53" t="inlineStr">
        <is>
          <t>F</t>
        </is>
      </c>
      <c r="D1411" s="53" t="inlineStr">
        <is>
          <t>PAL</t>
        </is>
      </c>
      <c r="E1411" s="53" t="inlineStr">
        <is>
          <t>C</t>
        </is>
      </c>
      <c r="F1411" s="54" t="n">
        <v>136.16</v>
      </c>
      <c r="G1411" s="55">
        <f>MAX(0,IF(Parameter!$B$20="Jahresanfang 2025 + Export",BG1411+BF1411,BF1411))</f>
        <v/>
      </c>
      <c r="H1411" s="55">
        <f>G1411*F1411</f>
        <v/>
      </c>
      <c r="I1411" s="55">
        <f>BI1411*Parameter!$B$18</f>
        <v/>
      </c>
      <c r="J1411" s="56" t="n">
        <v>41.5</v>
      </c>
      <c r="K1411" s="57" t="n">
        <v>2.120481927710844</v>
      </c>
      <c r="L1411" s="55" t="n">
        <v>20</v>
      </c>
      <c r="M1411" s="55" t="n">
        <v>30</v>
      </c>
      <c r="N1411" s="58" t="n">
        <v>70</v>
      </c>
      <c r="O1411" s="53" t="inlineStr">
        <is>
          <t>S71</t>
        </is>
      </c>
      <c r="P1411" s="55" t="n">
        <v>80</v>
      </c>
      <c r="Q1411" s="59">
        <f>IF(BO1411=1,0,IFERROR(VLOOKUP(BM1411,'Gebinde-Kategorie'!$A$5:$G$45,6,0)+0,0))</f>
        <v/>
      </c>
      <c r="R1411" s="60" t="n"/>
      <c r="S1411" s="61" t="n"/>
      <c r="T1411" s="61" t="n"/>
      <c r="U1411" s="53">
        <f>IF(A1411="","",IF(IFERROR(VLOOKUP(D1411,Parameter!$A$35:$C$64,2,0),"Nein")="2+3",IF(ISNUMBER(SEARCH("grosser Artikel",BJ1411)),2,IFERROR(VLOOKUP(BM1411,Parameter!$F$35:$G$64,2,0),2)),IF(OR(IFERROR(VLOOKUP(D1411,Parameter!$A$35:$C$64,2,0),"Nein")="Nein",IFERROR(VLOOKUP(D1411,Parameter!$A$35:$C$64,2,0),"Nein")=""),"-",VLOOKUP(D1411,Parameter!$A$35:$C$64,2,0))))</f>
        <v/>
      </c>
      <c r="V1411" s="61" t="n"/>
      <c r="W1411" s="62" t="n"/>
      <c r="X1411" s="55">
        <f>AM1411</f>
        <v/>
      </c>
      <c r="Y1411" s="55">
        <f>MAX(AM1411,G1411)</f>
        <v/>
      </c>
      <c r="Z1411" s="63" t="n"/>
      <c r="AA1411" s="55">
        <f>IF(LEFT(Cockpit!$C$5,1)="A",G1411,IF(BT1411=1,BU1411,IF(LEFT(Cockpit!$C$5,1)="B",AE1411,MAX(AE1411,G1411))))</f>
        <v/>
      </c>
      <c r="AB1411" s="55">
        <f>IF(BO1411=1,0,ROUNDUP(AA1411/BN1411,0))</f>
        <v/>
      </c>
      <c r="AC1411" s="64">
        <f>IF(BO1411=1,IF(AA1411&lt;=0,0,BP1411*MAX(1,IF(G1411&gt;0,AA1411/G1411,1))),AB1411*Q1411)</f>
        <v/>
      </c>
      <c r="AD1411" s="55">
        <f>AA1411*F1411</f>
        <v/>
      </c>
      <c r="AE1411" s="55">
        <f>ROUNDUP(MAX(I1411/IF(BS1411&gt;0,BS1411,MAX(0.1,N(Cockpit!$C$6))),BV1411)/BN1411,0)*BN1411</f>
        <v/>
      </c>
      <c r="AF1411" s="56">
        <f>IF(AC1411&gt;0,I1411/AC1411,-1)</f>
        <v/>
      </c>
      <c r="AG1411" s="56">
        <f>IF(AND(OR(BR1411="L1",BR1411="L23"),AC1411&gt;0),SUMIFS($AC$7:$AC$1570,$BR$7:$BR$1570,BR1411,$AF$7:$AF$1570,"&gt;"&amp;AF1411)+SUMIFS($AC$7:$AC$1570,$BR$7:$BR$1570,BR1411,$AF$7:$AF$1570,AF1411,$BL$7:$BL$1570,"&lt;="&amp;BL1411),"")</f>
        <v/>
      </c>
      <c r="AH1411" s="65">
        <f>IF(AG1411="",0,MAX(0,MIN(1,(IF(BR1411="L1",Parameter!$K$5,Parameter!$K$6+Parameter!$K$7)-(AG1411-AC1411))/AC1411)))</f>
        <v/>
      </c>
      <c r="AI1411" s="55">
        <f>IF(LEFT(Cockpit!$I$5,1)="A",G1411,IF(BT1411=1,BU1411,IF(LEFT(Cockpit!$I$5,1)="B",AM1411,MAX(AM1411,G1411))))</f>
        <v/>
      </c>
      <c r="AJ1411" s="55">
        <f>IF(BO1411=1,0,ROUNDUP(AI1411/BN1411,0))</f>
        <v/>
      </c>
      <c r="AK1411" s="64">
        <f>IF(BO1411=1,IF(AI1411&lt;=0,0,BP1411*MAX(1,IF(G1411&gt;0,AI1411/G1411,1))),AJ1411*Q1411)</f>
        <v/>
      </c>
      <c r="AL1411" s="55">
        <f>AI1411*F1411</f>
        <v/>
      </c>
      <c r="AM1411" s="55">
        <f>ROUNDUP(MAX(I1411/IF(BS1411&gt;0,BS1411,MAX(0.1,N(Cockpit!$I$6))),BV1411)/BN1411,0)*BN1411</f>
        <v/>
      </c>
      <c r="AN1411" s="56">
        <f>IF(AK1411&gt;0,I1411/AK1411,-1)</f>
        <v/>
      </c>
      <c r="AO1411" s="56">
        <f>IF(AND(OR(BR1411="L1",BR1411="L23"),AK1411&gt;0),SUMIFS($AK$7:$AK$1570,$BR$7:$BR$1570,BR1411,$AN$7:$AN$1570,"&gt;"&amp;AN1411)+SUMIFS($AK$7:$AK$1570,$BR$7:$BR$1570,BR1411,$AN$7:$AN$1570,AN1411,$BL$7:$BL$1570,"&lt;="&amp;BL1411),"")</f>
        <v/>
      </c>
      <c r="AP1411" s="65">
        <f>IF(AO1411="",0,MAX(0,MIN(1,(IF(BR1411="L1",Parameter!$K$5,Parameter!$K$6+Parameter!$K$7)-(AO1411-AK1411))/AK1411)))</f>
        <v/>
      </c>
      <c r="AQ1411" s="55">
        <f>IF(LEFT(Cockpit!$O$5,1)="A",G1411,IF(BT1411=1,BU1411,IF(LEFT(Cockpit!$O$5,1)="B",AU1411,MAX(AU1411,G1411))))</f>
        <v/>
      </c>
      <c r="AR1411" s="55">
        <f>IF(BO1411=1,0,ROUNDUP(AQ1411/BN1411,0))</f>
        <v/>
      </c>
      <c r="AS1411" s="64">
        <f>IF(BO1411=1,IF(AQ1411&lt;=0,0,BP1411*MAX(1,IF(G1411&gt;0,AQ1411/G1411,1))),AR1411*Q1411)</f>
        <v/>
      </c>
      <c r="AT1411" s="55">
        <f>AQ1411*F1411</f>
        <v/>
      </c>
      <c r="AU1411" s="55">
        <f>ROUNDUP(MAX(I1411/IF(BS1411&gt;0,BS1411,MAX(0.1,N(Cockpit!$O$6))),BV1411)/BN1411,0)*BN1411</f>
        <v/>
      </c>
      <c r="AV1411" s="56">
        <f>IF(AS1411&gt;0,I1411/AS1411,-1)</f>
        <v/>
      </c>
      <c r="AW1411" s="56">
        <f>IF(AND(OR(BR1411="L1",BR1411="L23"),AS1411&gt;0),SUMIFS($AS$7:$AS$1570,$BR$7:$BR$1570,BR1411,$AV$7:$AV$1570,"&gt;"&amp;AV1411)+SUMIFS($AS$7:$AS$1570,$BR$7:$BR$1570,BR1411,$AV$7:$AV$1570,AV1411,$BL$7:$BL$1570,"&lt;="&amp;BL1411),"")</f>
        <v/>
      </c>
      <c r="AX1411" s="65">
        <f>IF(AW1411="",0,MAX(0,MIN(1,(IF(BR1411="L1",Parameter!$K$5,Parameter!$K$6+Parameter!$K$7)-(AW1411-AS1411))/AS1411)))</f>
        <v/>
      </c>
      <c r="AY1411" s="53">
        <f>IF(AC1411&lt;=0,"",IF(BR1411="Aussen","Aussenlager",IF(BR1411="-","Nicht im Lift",IF(AH1411&gt;=1,"Lift",IF(AH1411&lt;=0,"Aussenlager","teilweise")))))</f>
        <v/>
      </c>
      <c r="AZ1411" s="53">
        <f>IF(AK1411&lt;=0,"",IF(BR1411="Aussen","Aussenlager",IF(BR1411="-","Nicht im Lift",IF(AP1411&gt;=1,"Lift",IF(AP1411&lt;=0,"Aussenlager","teilweise")))))</f>
        <v/>
      </c>
      <c r="BA1411" s="53">
        <f>IF(AS1411&lt;=0,"",IF(BR1411="Aussen","Aussenlager",IF(BR1411="-","Nicht im Lift",IF(AX1411&gt;=1,"Lift",IF(AX1411&lt;=0,"Aussenlager","teilweise")))))</f>
        <v/>
      </c>
      <c r="BB1411" s="53">
        <f>IF(A1411="","",IF(BK1411=1,"Neu; ","")&amp;IF(AND(BK1411=0,BF1411&lt;0),"negativer Bestand (Export "&amp;BF1411&amp;"); ","")&amp;IF(I1411&lt;=0,"Kein Verbrauch; ","")&amp;IF(BO1411=1,"Lose – Fläche geschätzt; ","")&amp;IF(G1411&gt;AM1411,"Überbestand "&amp;ROUND(G1411-AM1411,0)&amp;" Stk / CHF "&amp;ROUND((G1411-AM1411)*F1411,0)&amp;"; ","")&amp;IF(AND(BT1411=1,BU1411&lt;BV1411),"MAX &lt; MB+LG; ","")&amp;IF(AND(BZ1411&gt;0,BY1411*10&gt;BZ1411),"zu hoch für Tablar; ","")&amp;IF(AND(BK1411=0,OR(BT1411=1,V1411&lt;&gt;"",S1411&lt;&gt;"",T1411&lt;&gt;"",W1411&lt;&gt;"")),"manuell übersteuert; ","")&amp;IF(AND(BO1411=0,Q1411=0),"Gebinde unbekannt; ","")&amp;IF(AND(BO1411=0,N(T1411)&lt;=0,N(P1411)&lt;=0),"Menge pro Gebinde fehlt (Ist = 1 Gebinde); ","")&amp;BJ1411)</f>
        <v/>
      </c>
      <c r="BC1411" s="53" t="n"/>
      <c r="BD1411" s="53" t="n"/>
      <c r="BE1411" s="61" t="n"/>
      <c r="BF1411" s="55" t="n">
        <v>-33</v>
      </c>
      <c r="BG1411" s="55" t="n">
        <v>60</v>
      </c>
      <c r="BH1411" s="54" t="n">
        <v>-5029.08</v>
      </c>
      <c r="BI1411" s="55" t="n">
        <v>88</v>
      </c>
      <c r="BJ1411" s="53" t="inlineStr"/>
      <c r="BK1411" s="58" t="n">
        <v>0</v>
      </c>
      <c r="BL1411" s="58" t="n">
        <v>1411</v>
      </c>
      <c r="BM1411" s="53">
        <f>IF(S1411&lt;&gt;"",UPPER(TRIM(S1411)),IF(O1411="","LOSE",O1411))</f>
        <v/>
      </c>
      <c r="BN1411" s="55">
        <f>IF(BM1411="LOSE",1,IF(N(T1411)&gt;0,T1411,IF(N(P1411)&gt;0,P1411,MAX(1,G1411))))</f>
        <v/>
      </c>
      <c r="BO1411" s="58">
        <f>IF(BM1411="LOSE",1,0)</f>
        <v/>
      </c>
      <c r="BP1411" s="64">
        <f>IF(BO1411=0,0,IF(N(R1411)&gt;0,R1411,IFERROR(VLOOKUP(D1411,Parameter!$A$35:$C$64,3,0)+0,0)))</f>
        <v/>
      </c>
      <c r="BQ1411" s="53">
        <f>IF(V1411&lt;&gt;"",V1411,U1411)</f>
        <v/>
      </c>
      <c r="BR1411" s="53">
        <f>IF(BQ1411=1,"L1",IF(OR(BQ1411=2,BQ1411=3),"L23",IF(BQ1411="Aussen","Aussen","-")))</f>
        <v/>
      </c>
      <c r="BS1411" s="66">
        <f>IF(N(W1411)&gt;0,W1411,0)</f>
        <v/>
      </c>
      <c r="BT1411" s="58">
        <f>IF(ISNUMBER(Z1411),1,0)</f>
        <v/>
      </c>
      <c r="BU1411" s="55">
        <f>N(Z1411)</f>
        <v/>
      </c>
      <c r="BV1411" s="55">
        <f>N(L1411)+N(M1411)</f>
        <v/>
      </c>
      <c r="BW1411" s="55">
        <f>ROUNDUP(G1411/BN1411,0)</f>
        <v/>
      </c>
      <c r="BX1411" s="55">
        <f>ROUNDUP(BU1411/BN1411,0)</f>
        <v/>
      </c>
      <c r="BY1411" s="58">
        <f>IF(BO1411=1,0,IFERROR(VLOOKUP(BM1411,'Gebinde-Kategorie'!$A$5:$G$45,5,0)+0,0))</f>
        <v/>
      </c>
      <c r="BZ1411" s="58">
        <f>IFERROR(IF(OR(BQ1411=1,BQ1411=2,BQ1411=3),N(INDEX(Parameter!$I$5:$I$7,BQ1411)),0),0)</f>
        <v/>
      </c>
    </row>
    <row r="1412">
      <c r="A1412" s="53" t="inlineStr">
        <is>
          <t>OC-105718</t>
        </is>
      </c>
      <c r="B1412" s="53" t="inlineStr">
        <is>
          <t>SPC800 Base</t>
        </is>
      </c>
      <c r="C1412" s="53" t="inlineStr">
        <is>
          <t>F</t>
        </is>
      </c>
      <c r="D1412" s="53" t="inlineStr">
        <is>
          <t>OCC</t>
        </is>
      </c>
      <c r="E1412" s="53" t="inlineStr">
        <is>
          <t>C</t>
        </is>
      </c>
      <c r="F1412" s="54" t="n">
        <v>5062.98</v>
      </c>
      <c r="G1412" s="55">
        <f>MAX(0,IF(Parameter!$B$20="Jahresanfang 2025 + Export",BG1412+BF1412,BF1412))</f>
        <v/>
      </c>
      <c r="H1412" s="55">
        <f>G1412*F1412</f>
        <v/>
      </c>
      <c r="I1412" s="55">
        <f>BI1412*Parameter!$B$18</f>
        <v/>
      </c>
      <c r="J1412" s="56" t="n">
        <v>0.5</v>
      </c>
      <c r="K1412" s="57" t="n">
        <v>2</v>
      </c>
      <c r="L1412" s="55" t="n">
        <v>0</v>
      </c>
      <c r="M1412" s="55" t="n">
        <v>1</v>
      </c>
      <c r="N1412" s="58" t="n">
        <v>0</v>
      </c>
      <c r="O1412" s="53" t="inlineStr">
        <is>
          <t>LOSE</t>
        </is>
      </c>
      <c r="P1412" s="55" t="n"/>
      <c r="Q1412" s="59">
        <f>IF(BO1412=1,0,IFERROR(VLOOKUP(BM1412,'Gebinde-Kategorie'!$A$5:$G$45,6,0)+0,0))</f>
        <v/>
      </c>
      <c r="R1412" s="60" t="n"/>
      <c r="S1412" s="61" t="n"/>
      <c r="T1412" s="61" t="n"/>
      <c r="U1412" s="53">
        <f>IF(A1412="","",IF(IFERROR(VLOOKUP(D1412,Parameter!$A$35:$C$64,2,0),"Nein")="2+3",IF(ISNUMBER(SEARCH("grosser Artikel",BJ1412)),2,IFERROR(VLOOKUP(BM1412,Parameter!$F$35:$G$64,2,0),2)),IF(OR(IFERROR(VLOOKUP(D1412,Parameter!$A$35:$C$64,2,0),"Nein")="Nein",IFERROR(VLOOKUP(D1412,Parameter!$A$35:$C$64,2,0),"Nein")=""),"-",VLOOKUP(D1412,Parameter!$A$35:$C$64,2,0))))</f>
        <v/>
      </c>
      <c r="V1412" s="61" t="n"/>
      <c r="W1412" s="62" t="n"/>
      <c r="X1412" s="55">
        <f>AM1412</f>
        <v/>
      </c>
      <c r="Y1412" s="55">
        <f>MAX(AM1412,G1412)</f>
        <v/>
      </c>
      <c r="Z1412" s="63" t="n"/>
      <c r="AA1412" s="55">
        <f>IF(LEFT(Cockpit!$C$5,1)="A",G1412,IF(BT1412=1,BU1412,IF(LEFT(Cockpit!$C$5,1)="B",AE1412,MAX(AE1412,G1412))))</f>
        <v/>
      </c>
      <c r="AB1412" s="55">
        <f>IF(BO1412=1,0,ROUNDUP(AA1412/BN1412,0))</f>
        <v/>
      </c>
      <c r="AC1412" s="64">
        <f>IF(BO1412=1,IF(AA1412&lt;=0,0,BP1412*MAX(1,IF(G1412&gt;0,AA1412/G1412,1))),AB1412*Q1412)</f>
        <v/>
      </c>
      <c r="AD1412" s="55">
        <f>AA1412*F1412</f>
        <v/>
      </c>
      <c r="AE1412" s="55">
        <f>ROUNDUP(MAX(I1412/IF(BS1412&gt;0,BS1412,MAX(0.1,N(Cockpit!$C$6))),BV1412)/BN1412,0)*BN1412</f>
        <v/>
      </c>
      <c r="AF1412" s="56">
        <f>IF(AC1412&gt;0,I1412/AC1412,-1)</f>
        <v/>
      </c>
      <c r="AG1412" s="56">
        <f>IF(AND(OR(BR1412="L1",BR1412="L23"),AC1412&gt;0),SUMIFS($AC$7:$AC$1570,$BR$7:$BR$1570,BR1412,$AF$7:$AF$1570,"&gt;"&amp;AF1412)+SUMIFS($AC$7:$AC$1570,$BR$7:$BR$1570,BR1412,$AF$7:$AF$1570,AF1412,$BL$7:$BL$1570,"&lt;="&amp;BL1412),"")</f>
        <v/>
      </c>
      <c r="AH1412" s="65">
        <f>IF(AG1412="",0,MAX(0,MIN(1,(IF(BR1412="L1",Parameter!$K$5,Parameter!$K$6+Parameter!$K$7)-(AG1412-AC1412))/AC1412)))</f>
        <v/>
      </c>
      <c r="AI1412" s="55">
        <f>IF(LEFT(Cockpit!$I$5,1)="A",G1412,IF(BT1412=1,BU1412,IF(LEFT(Cockpit!$I$5,1)="B",AM1412,MAX(AM1412,G1412))))</f>
        <v/>
      </c>
      <c r="AJ1412" s="55">
        <f>IF(BO1412=1,0,ROUNDUP(AI1412/BN1412,0))</f>
        <v/>
      </c>
      <c r="AK1412" s="64">
        <f>IF(BO1412=1,IF(AI1412&lt;=0,0,BP1412*MAX(1,IF(G1412&gt;0,AI1412/G1412,1))),AJ1412*Q1412)</f>
        <v/>
      </c>
      <c r="AL1412" s="55">
        <f>AI1412*F1412</f>
        <v/>
      </c>
      <c r="AM1412" s="55">
        <f>ROUNDUP(MAX(I1412/IF(BS1412&gt;0,BS1412,MAX(0.1,N(Cockpit!$I$6))),BV1412)/BN1412,0)*BN1412</f>
        <v/>
      </c>
      <c r="AN1412" s="56">
        <f>IF(AK1412&gt;0,I1412/AK1412,-1)</f>
        <v/>
      </c>
      <c r="AO1412" s="56">
        <f>IF(AND(OR(BR1412="L1",BR1412="L23"),AK1412&gt;0),SUMIFS($AK$7:$AK$1570,$BR$7:$BR$1570,BR1412,$AN$7:$AN$1570,"&gt;"&amp;AN1412)+SUMIFS($AK$7:$AK$1570,$BR$7:$BR$1570,BR1412,$AN$7:$AN$1570,AN1412,$BL$7:$BL$1570,"&lt;="&amp;BL1412),"")</f>
        <v/>
      </c>
      <c r="AP1412" s="65">
        <f>IF(AO1412="",0,MAX(0,MIN(1,(IF(BR1412="L1",Parameter!$K$5,Parameter!$K$6+Parameter!$K$7)-(AO1412-AK1412))/AK1412)))</f>
        <v/>
      </c>
      <c r="AQ1412" s="55">
        <f>IF(LEFT(Cockpit!$O$5,1)="A",G1412,IF(BT1412=1,BU1412,IF(LEFT(Cockpit!$O$5,1)="B",AU1412,MAX(AU1412,G1412))))</f>
        <v/>
      </c>
      <c r="AR1412" s="55">
        <f>IF(BO1412=1,0,ROUNDUP(AQ1412/BN1412,0))</f>
        <v/>
      </c>
      <c r="AS1412" s="64">
        <f>IF(BO1412=1,IF(AQ1412&lt;=0,0,BP1412*MAX(1,IF(G1412&gt;0,AQ1412/G1412,1))),AR1412*Q1412)</f>
        <v/>
      </c>
      <c r="AT1412" s="55">
        <f>AQ1412*F1412</f>
        <v/>
      </c>
      <c r="AU1412" s="55">
        <f>ROUNDUP(MAX(I1412/IF(BS1412&gt;0,BS1412,MAX(0.1,N(Cockpit!$O$6))),BV1412)/BN1412,0)*BN1412</f>
        <v/>
      </c>
      <c r="AV1412" s="56">
        <f>IF(AS1412&gt;0,I1412/AS1412,-1)</f>
        <v/>
      </c>
      <c r="AW1412" s="56">
        <f>IF(AND(OR(BR1412="L1",BR1412="L23"),AS1412&gt;0),SUMIFS($AS$7:$AS$1570,$BR$7:$BR$1570,BR1412,$AV$7:$AV$1570,"&gt;"&amp;AV1412)+SUMIFS($AS$7:$AS$1570,$BR$7:$BR$1570,BR1412,$AV$7:$AV$1570,AV1412,$BL$7:$BL$1570,"&lt;="&amp;BL1412),"")</f>
        <v/>
      </c>
      <c r="AX1412" s="65">
        <f>IF(AW1412="",0,MAX(0,MIN(1,(IF(BR1412="L1",Parameter!$K$5,Parameter!$K$6+Parameter!$K$7)-(AW1412-AS1412))/AS1412)))</f>
        <v/>
      </c>
      <c r="AY1412" s="53">
        <f>IF(AC1412&lt;=0,"",IF(BR1412="Aussen","Aussenlager",IF(BR1412="-","Nicht im Lift",IF(AH1412&gt;=1,"Lift",IF(AH1412&lt;=0,"Aussenlager","teilweise")))))</f>
        <v/>
      </c>
      <c r="AZ1412" s="53">
        <f>IF(AK1412&lt;=0,"",IF(BR1412="Aussen","Aussenlager",IF(BR1412="-","Nicht im Lift",IF(AP1412&gt;=1,"Lift",IF(AP1412&lt;=0,"Aussenlager","teilweise")))))</f>
        <v/>
      </c>
      <c r="BA1412" s="53">
        <f>IF(AS1412&lt;=0,"",IF(BR1412="Aussen","Aussenlager",IF(BR1412="-","Nicht im Lift",IF(AX1412&gt;=1,"Lift",IF(AX1412&lt;=0,"Aussenlager","teilweise")))))</f>
        <v/>
      </c>
      <c r="BB1412" s="53">
        <f>IF(A1412="","",IF(BK1412=1,"Neu; ","")&amp;IF(AND(BK1412=0,BF1412&lt;0),"negativer Bestand (Export "&amp;BF1412&amp;"); ","")&amp;IF(I1412&lt;=0,"Kein Verbrauch; ","")&amp;IF(BO1412=1,"Lose – Fläche geschätzt; ","")&amp;IF(G1412&gt;AM1412,"Überbestand "&amp;ROUND(G1412-AM1412,0)&amp;" Stk / CHF "&amp;ROUND((G1412-AM1412)*F1412,0)&amp;"; ","")&amp;IF(AND(BT1412=1,BU1412&lt;BV1412),"MAX &lt; MB+LG; ","")&amp;IF(AND(BZ1412&gt;0,BY1412*10&gt;BZ1412),"zu hoch für Tablar; ","")&amp;IF(AND(BK1412=0,OR(BT1412=1,V1412&lt;&gt;"",S1412&lt;&gt;"",T1412&lt;&gt;"",W1412&lt;&gt;"")),"manuell übersteuert; ","")&amp;IF(AND(BO1412=0,Q1412=0),"Gebinde unbekannt; ","")&amp;IF(AND(BO1412=0,N(T1412)&lt;=0,N(P1412)&lt;=0),"Menge pro Gebinde fehlt (Ist = 1 Gebinde); ","")&amp;BJ1412)</f>
        <v/>
      </c>
      <c r="BC1412" s="53" t="n"/>
      <c r="BD1412" s="53" t="n"/>
      <c r="BE1412" s="61" t="n"/>
      <c r="BF1412" s="55" t="n">
        <v>-1</v>
      </c>
      <c r="BG1412" s="55" t="n">
        <v>1</v>
      </c>
      <c r="BH1412" s="54" t="n">
        <v>-5062.98</v>
      </c>
      <c r="BI1412" s="55" t="n">
        <v>1</v>
      </c>
      <c r="BJ1412" s="53" t="inlineStr"/>
      <c r="BK1412" s="58" t="n">
        <v>0</v>
      </c>
      <c r="BL1412" s="58" t="n">
        <v>1412</v>
      </c>
      <c r="BM1412" s="53">
        <f>IF(S1412&lt;&gt;"",UPPER(TRIM(S1412)),IF(O1412="","LOSE",O1412))</f>
        <v/>
      </c>
      <c r="BN1412" s="55">
        <f>IF(BM1412="LOSE",1,IF(N(T1412)&gt;0,T1412,IF(N(P1412)&gt;0,P1412,MAX(1,G1412))))</f>
        <v/>
      </c>
      <c r="BO1412" s="58">
        <f>IF(BM1412="LOSE",1,0)</f>
        <v/>
      </c>
      <c r="BP1412" s="64">
        <f>IF(BO1412=0,0,IF(N(R1412)&gt;0,R1412,IFERROR(VLOOKUP(D1412,Parameter!$A$35:$C$64,3,0)+0,0)))</f>
        <v/>
      </c>
      <c r="BQ1412" s="53">
        <f>IF(V1412&lt;&gt;"",V1412,U1412)</f>
        <v/>
      </c>
      <c r="BR1412" s="53">
        <f>IF(BQ1412=1,"L1",IF(OR(BQ1412=2,BQ1412=3),"L23",IF(BQ1412="Aussen","Aussen","-")))</f>
        <v/>
      </c>
      <c r="BS1412" s="66">
        <f>IF(N(W1412)&gt;0,W1412,0)</f>
        <v/>
      </c>
      <c r="BT1412" s="58">
        <f>IF(ISNUMBER(Z1412),1,0)</f>
        <v/>
      </c>
      <c r="BU1412" s="55">
        <f>N(Z1412)</f>
        <v/>
      </c>
      <c r="BV1412" s="55">
        <f>N(L1412)+N(M1412)</f>
        <v/>
      </c>
      <c r="BW1412" s="55">
        <f>ROUNDUP(G1412/BN1412,0)</f>
        <v/>
      </c>
      <c r="BX1412" s="55">
        <f>ROUNDUP(BU1412/BN1412,0)</f>
        <v/>
      </c>
      <c r="BY1412" s="58">
        <f>IF(BO1412=1,0,IFERROR(VLOOKUP(BM1412,'Gebinde-Kategorie'!$A$5:$G$45,5,0)+0,0))</f>
        <v/>
      </c>
      <c r="BZ1412" s="58">
        <f>IFERROR(IF(OR(BQ1412=1,BQ1412=2,BQ1412=3),N(INDEX(Parameter!$I$5:$I$7,BQ1412)),0),0)</f>
        <v/>
      </c>
    </row>
    <row r="1413">
      <c r="A1413" s="53" t="inlineStr">
        <is>
          <t>106422</t>
        </is>
      </c>
      <c r="B1413" s="53" t="inlineStr">
        <is>
          <t>Kolbenring SPGr16</t>
        </is>
      </c>
      <c r="C1413" s="53" t="inlineStr">
        <is>
          <t>F</t>
        </is>
      </c>
      <c r="D1413" s="53" t="inlineStr">
        <is>
          <t>KTL</t>
        </is>
      </c>
      <c r="E1413" s="53" t="inlineStr">
        <is>
          <t>C</t>
        </is>
      </c>
      <c r="F1413" s="54" t="n">
        <v>88.93000000000001</v>
      </c>
      <c r="G1413" s="55">
        <f>MAX(0,IF(Parameter!$B$20="Jahresanfang 2025 + Export",BG1413+BF1413,BF1413))</f>
        <v/>
      </c>
      <c r="H1413" s="55">
        <f>G1413*F1413</f>
        <v/>
      </c>
      <c r="I1413" s="55">
        <f>BI1413*Parameter!$B$18</f>
        <v/>
      </c>
      <c r="J1413" s="56" t="n">
        <v>42.5</v>
      </c>
      <c r="K1413" s="57" t="n">
        <v>3.035294117647059</v>
      </c>
      <c r="L1413" s="55" t="n">
        <v>7</v>
      </c>
      <c r="M1413" s="55" t="n">
        <v>25</v>
      </c>
      <c r="N1413" s="58" t="n">
        <v>21</v>
      </c>
      <c r="O1413" s="53" t="inlineStr">
        <is>
          <t>S62</t>
        </is>
      </c>
      <c r="P1413" s="55" t="n">
        <v>40</v>
      </c>
      <c r="Q1413" s="59">
        <f>IF(BO1413=1,0,IFERROR(VLOOKUP(BM1413,'Gebinde-Kategorie'!$A$5:$G$45,6,0)+0,0))</f>
        <v/>
      </c>
      <c r="R1413" s="60" t="n"/>
      <c r="S1413" s="61" t="n"/>
      <c r="T1413" s="61" t="n"/>
      <c r="U1413" s="53">
        <f>IF(A1413="","",IF(IFERROR(VLOOKUP(D1413,Parameter!$A$35:$C$64,2,0),"Nein")="2+3",IF(ISNUMBER(SEARCH("grosser Artikel",BJ1413)),2,IFERROR(VLOOKUP(BM1413,Parameter!$F$35:$G$64,2,0),2)),IF(OR(IFERROR(VLOOKUP(D1413,Parameter!$A$35:$C$64,2,0),"Nein")="Nein",IFERROR(VLOOKUP(D1413,Parameter!$A$35:$C$64,2,0),"Nein")=""),"-",VLOOKUP(D1413,Parameter!$A$35:$C$64,2,0))))</f>
        <v/>
      </c>
      <c r="V1413" s="61" t="n"/>
      <c r="W1413" s="62" t="n"/>
      <c r="X1413" s="55">
        <f>AM1413</f>
        <v/>
      </c>
      <c r="Y1413" s="55">
        <f>MAX(AM1413,G1413)</f>
        <v/>
      </c>
      <c r="Z1413" s="63" t="n"/>
      <c r="AA1413" s="55">
        <f>IF(LEFT(Cockpit!$C$5,1)="A",G1413,IF(BT1413=1,BU1413,IF(LEFT(Cockpit!$C$5,1)="B",AE1413,MAX(AE1413,G1413))))</f>
        <v/>
      </c>
      <c r="AB1413" s="55">
        <f>IF(BO1413=1,0,ROUNDUP(AA1413/BN1413,0))</f>
        <v/>
      </c>
      <c r="AC1413" s="64">
        <f>IF(BO1413=1,IF(AA1413&lt;=0,0,BP1413*MAX(1,IF(G1413&gt;0,AA1413/G1413,1))),AB1413*Q1413)</f>
        <v/>
      </c>
      <c r="AD1413" s="55">
        <f>AA1413*F1413</f>
        <v/>
      </c>
      <c r="AE1413" s="55">
        <f>ROUNDUP(MAX(I1413/IF(BS1413&gt;0,BS1413,MAX(0.1,N(Cockpit!$C$6))),BV1413)/BN1413,0)*BN1413</f>
        <v/>
      </c>
      <c r="AF1413" s="56">
        <f>IF(AC1413&gt;0,I1413/AC1413,-1)</f>
        <v/>
      </c>
      <c r="AG1413" s="56">
        <f>IF(AND(OR(BR1413="L1",BR1413="L23"),AC1413&gt;0),SUMIFS($AC$7:$AC$1570,$BR$7:$BR$1570,BR1413,$AF$7:$AF$1570,"&gt;"&amp;AF1413)+SUMIFS($AC$7:$AC$1570,$BR$7:$BR$1570,BR1413,$AF$7:$AF$1570,AF1413,$BL$7:$BL$1570,"&lt;="&amp;BL1413),"")</f>
        <v/>
      </c>
      <c r="AH1413" s="65">
        <f>IF(AG1413="",0,MAX(0,MIN(1,(IF(BR1413="L1",Parameter!$K$5,Parameter!$K$6+Parameter!$K$7)-(AG1413-AC1413))/AC1413)))</f>
        <v/>
      </c>
      <c r="AI1413" s="55">
        <f>IF(LEFT(Cockpit!$I$5,1)="A",G1413,IF(BT1413=1,BU1413,IF(LEFT(Cockpit!$I$5,1)="B",AM1413,MAX(AM1413,G1413))))</f>
        <v/>
      </c>
      <c r="AJ1413" s="55">
        <f>IF(BO1413=1,0,ROUNDUP(AI1413/BN1413,0))</f>
        <v/>
      </c>
      <c r="AK1413" s="64">
        <f>IF(BO1413=1,IF(AI1413&lt;=0,0,BP1413*MAX(1,IF(G1413&gt;0,AI1413/G1413,1))),AJ1413*Q1413)</f>
        <v/>
      </c>
      <c r="AL1413" s="55">
        <f>AI1413*F1413</f>
        <v/>
      </c>
      <c r="AM1413" s="55">
        <f>ROUNDUP(MAX(I1413/IF(BS1413&gt;0,BS1413,MAX(0.1,N(Cockpit!$I$6))),BV1413)/BN1413,0)*BN1413</f>
        <v/>
      </c>
      <c r="AN1413" s="56">
        <f>IF(AK1413&gt;0,I1413/AK1413,-1)</f>
        <v/>
      </c>
      <c r="AO1413" s="56">
        <f>IF(AND(OR(BR1413="L1",BR1413="L23"),AK1413&gt;0),SUMIFS($AK$7:$AK$1570,$BR$7:$BR$1570,BR1413,$AN$7:$AN$1570,"&gt;"&amp;AN1413)+SUMIFS($AK$7:$AK$1570,$BR$7:$BR$1570,BR1413,$AN$7:$AN$1570,AN1413,$BL$7:$BL$1570,"&lt;="&amp;BL1413),"")</f>
        <v/>
      </c>
      <c r="AP1413" s="65">
        <f>IF(AO1413="",0,MAX(0,MIN(1,(IF(BR1413="L1",Parameter!$K$5,Parameter!$K$6+Parameter!$K$7)-(AO1413-AK1413))/AK1413)))</f>
        <v/>
      </c>
      <c r="AQ1413" s="55">
        <f>IF(LEFT(Cockpit!$O$5,1)="A",G1413,IF(BT1413=1,BU1413,IF(LEFT(Cockpit!$O$5,1)="B",AU1413,MAX(AU1413,G1413))))</f>
        <v/>
      </c>
      <c r="AR1413" s="55">
        <f>IF(BO1413=1,0,ROUNDUP(AQ1413/BN1413,0))</f>
        <v/>
      </c>
      <c r="AS1413" s="64">
        <f>IF(BO1413=1,IF(AQ1413&lt;=0,0,BP1413*MAX(1,IF(G1413&gt;0,AQ1413/G1413,1))),AR1413*Q1413)</f>
        <v/>
      </c>
      <c r="AT1413" s="55">
        <f>AQ1413*F1413</f>
        <v/>
      </c>
      <c r="AU1413" s="55">
        <f>ROUNDUP(MAX(I1413/IF(BS1413&gt;0,BS1413,MAX(0.1,N(Cockpit!$O$6))),BV1413)/BN1413,0)*BN1413</f>
        <v/>
      </c>
      <c r="AV1413" s="56">
        <f>IF(AS1413&gt;0,I1413/AS1413,-1)</f>
        <v/>
      </c>
      <c r="AW1413" s="56">
        <f>IF(AND(OR(BR1413="L1",BR1413="L23"),AS1413&gt;0),SUMIFS($AS$7:$AS$1570,$BR$7:$BR$1570,BR1413,$AV$7:$AV$1570,"&gt;"&amp;AV1413)+SUMIFS($AS$7:$AS$1570,$BR$7:$BR$1570,BR1413,$AV$7:$AV$1570,AV1413,$BL$7:$BL$1570,"&lt;="&amp;BL1413),"")</f>
        <v/>
      </c>
      <c r="AX1413" s="65">
        <f>IF(AW1413="",0,MAX(0,MIN(1,(IF(BR1413="L1",Parameter!$K$5,Parameter!$K$6+Parameter!$K$7)-(AW1413-AS1413))/AS1413)))</f>
        <v/>
      </c>
      <c r="AY1413" s="53">
        <f>IF(AC1413&lt;=0,"",IF(BR1413="Aussen","Aussenlager",IF(BR1413="-","Nicht im Lift",IF(AH1413&gt;=1,"Lift",IF(AH1413&lt;=0,"Aussenlager","teilweise")))))</f>
        <v/>
      </c>
      <c r="AZ1413" s="53">
        <f>IF(AK1413&lt;=0,"",IF(BR1413="Aussen","Aussenlager",IF(BR1413="-","Nicht im Lift",IF(AP1413&gt;=1,"Lift",IF(AP1413&lt;=0,"Aussenlager","teilweise")))))</f>
        <v/>
      </c>
      <c r="BA1413" s="53">
        <f>IF(AS1413&lt;=0,"",IF(BR1413="Aussen","Aussenlager",IF(BR1413="-","Nicht im Lift",IF(AX1413&gt;=1,"Lift",IF(AX1413&lt;=0,"Aussenlager","teilweise")))))</f>
        <v/>
      </c>
      <c r="BB1413" s="53">
        <f>IF(A1413="","",IF(BK1413=1,"Neu; ","")&amp;IF(AND(BK1413=0,BF1413&lt;0),"negativer Bestand (Export "&amp;BF1413&amp;"); ","")&amp;IF(I1413&lt;=0,"Kein Verbrauch; ","")&amp;IF(BO1413=1,"Lose – Fläche geschätzt; ","")&amp;IF(G1413&gt;AM1413,"Überbestand "&amp;ROUND(G1413-AM1413,0)&amp;" Stk / CHF "&amp;ROUND((G1413-AM1413)*F1413,0)&amp;"; ","")&amp;IF(AND(BT1413=1,BU1413&lt;BV1413),"MAX &lt; MB+LG; ","")&amp;IF(AND(BZ1413&gt;0,BY1413*10&gt;BZ1413),"zu hoch für Tablar; ","")&amp;IF(AND(BK1413=0,OR(BT1413=1,V1413&lt;&gt;"",S1413&lt;&gt;"",T1413&lt;&gt;"",W1413&lt;&gt;"")),"manuell übersteuert; ","")&amp;IF(AND(BO1413=0,Q1413=0),"Gebinde unbekannt; ","")&amp;IF(AND(BO1413=0,N(T1413)&lt;=0,N(P1413)&lt;=0),"Menge pro Gebinde fehlt (Ist = 1 Gebinde); ","")&amp;BJ1413)</f>
        <v/>
      </c>
      <c r="BC1413" s="53" t="n"/>
      <c r="BD1413" s="53" t="n"/>
      <c r="BE1413" s="61" t="n"/>
      <c r="BF1413" s="55" t="n">
        <v>-21</v>
      </c>
      <c r="BG1413" s="55" t="n">
        <v>61</v>
      </c>
      <c r="BH1413" s="54" t="n">
        <v>-5101.749999999995</v>
      </c>
      <c r="BI1413" s="55" t="n">
        <v>129</v>
      </c>
      <c r="BJ1413" s="53" t="inlineStr"/>
      <c r="BK1413" s="58" t="n">
        <v>0</v>
      </c>
      <c r="BL1413" s="58" t="n">
        <v>1413</v>
      </c>
      <c r="BM1413" s="53">
        <f>IF(S1413&lt;&gt;"",UPPER(TRIM(S1413)),IF(O1413="","LOSE",O1413))</f>
        <v/>
      </c>
      <c r="BN1413" s="55">
        <f>IF(BM1413="LOSE",1,IF(N(T1413)&gt;0,T1413,IF(N(P1413)&gt;0,P1413,MAX(1,G1413))))</f>
        <v/>
      </c>
      <c r="BO1413" s="58">
        <f>IF(BM1413="LOSE",1,0)</f>
        <v/>
      </c>
      <c r="BP1413" s="64">
        <f>IF(BO1413=0,0,IF(N(R1413)&gt;0,R1413,IFERROR(VLOOKUP(D1413,Parameter!$A$35:$C$64,3,0)+0,0)))</f>
        <v/>
      </c>
      <c r="BQ1413" s="53">
        <f>IF(V1413&lt;&gt;"",V1413,U1413)</f>
        <v/>
      </c>
      <c r="BR1413" s="53">
        <f>IF(BQ1413=1,"L1",IF(OR(BQ1413=2,BQ1413=3),"L23",IF(BQ1413="Aussen","Aussen","-")))</f>
        <v/>
      </c>
      <c r="BS1413" s="66">
        <f>IF(N(W1413)&gt;0,W1413,0)</f>
        <v/>
      </c>
      <c r="BT1413" s="58">
        <f>IF(ISNUMBER(Z1413),1,0)</f>
        <v/>
      </c>
      <c r="BU1413" s="55">
        <f>N(Z1413)</f>
        <v/>
      </c>
      <c r="BV1413" s="55">
        <f>N(L1413)+N(M1413)</f>
        <v/>
      </c>
      <c r="BW1413" s="55">
        <f>ROUNDUP(G1413/BN1413,0)</f>
        <v/>
      </c>
      <c r="BX1413" s="55">
        <f>ROUNDUP(BU1413/BN1413,0)</f>
        <v/>
      </c>
      <c r="BY1413" s="58">
        <f>IF(BO1413=1,0,IFERROR(VLOOKUP(BM1413,'Gebinde-Kategorie'!$A$5:$G$45,5,0)+0,0))</f>
        <v/>
      </c>
      <c r="BZ1413" s="58">
        <f>IFERROR(IF(OR(BQ1413=1,BQ1413=2,BQ1413=3),N(INDEX(Parameter!$I$5:$I$7,BQ1413)),0),0)</f>
        <v/>
      </c>
    </row>
    <row r="1414">
      <c r="A1414" s="53" t="inlineStr">
        <is>
          <t>109320</t>
        </is>
      </c>
      <c r="B1414" s="53" t="inlineStr">
        <is>
          <t>Zylinderschraube mit Innensechskant</t>
        </is>
      </c>
      <c r="C1414" s="53" t="inlineStr">
        <is>
          <t>G</t>
        </is>
      </c>
      <c r="D1414" s="53" t="inlineStr">
        <is>
          <t>PAL</t>
        </is>
      </c>
      <c r="E1414" s="53" t="inlineStr">
        <is>
          <t>C</t>
        </is>
      </c>
      <c r="F1414" s="54" t="n">
        <v>5.15</v>
      </c>
      <c r="G1414" s="55">
        <f>MAX(0,IF(Parameter!$B$20="Jahresanfang 2025 + Export",BG1414+BF1414,BF1414))</f>
        <v/>
      </c>
      <c r="H1414" s="55">
        <f>G1414*F1414</f>
        <v/>
      </c>
      <c r="I1414" s="55">
        <f>BI1414*Parameter!$B$18</f>
        <v/>
      </c>
      <c r="J1414" s="56" t="n">
        <v>1000</v>
      </c>
      <c r="K1414" s="57" t="n">
        <v>0</v>
      </c>
      <c r="L1414" s="55" t="n">
        <v>58</v>
      </c>
      <c r="M1414" s="55" t="n">
        <v>700</v>
      </c>
      <c r="N1414" s="58" t="n">
        <v>21</v>
      </c>
      <c r="O1414" s="53" t="inlineStr">
        <is>
          <t>LOSE</t>
        </is>
      </c>
      <c r="P1414" s="55" t="n"/>
      <c r="Q1414" s="59">
        <f>IF(BO1414=1,0,IFERROR(VLOOKUP(BM1414,'Gebinde-Kategorie'!$A$5:$G$45,6,0)+0,0))</f>
        <v/>
      </c>
      <c r="R1414" s="60" t="n"/>
      <c r="S1414" s="61" t="n"/>
      <c r="T1414" s="61" t="n"/>
      <c r="U1414" s="53">
        <f>IF(A1414="","",IF(IFERROR(VLOOKUP(D1414,Parameter!$A$35:$C$64,2,0),"Nein")="2+3",IF(ISNUMBER(SEARCH("grosser Artikel",BJ1414)),2,IFERROR(VLOOKUP(BM1414,Parameter!$F$35:$G$64,2,0),2)),IF(OR(IFERROR(VLOOKUP(D1414,Parameter!$A$35:$C$64,2,0),"Nein")="Nein",IFERROR(VLOOKUP(D1414,Parameter!$A$35:$C$64,2,0),"Nein")=""),"-",VLOOKUP(D1414,Parameter!$A$35:$C$64,2,0))))</f>
        <v/>
      </c>
      <c r="V1414" s="61" t="n"/>
      <c r="W1414" s="62" t="n"/>
      <c r="X1414" s="55">
        <f>AM1414</f>
        <v/>
      </c>
      <c r="Y1414" s="55">
        <f>MAX(AM1414,G1414)</f>
        <v/>
      </c>
      <c r="Z1414" s="63" t="n"/>
      <c r="AA1414" s="55">
        <f>IF(LEFT(Cockpit!$C$5,1)="A",G1414,IF(BT1414=1,BU1414,IF(LEFT(Cockpit!$C$5,1)="B",AE1414,MAX(AE1414,G1414))))</f>
        <v/>
      </c>
      <c r="AB1414" s="55">
        <f>IF(BO1414=1,0,ROUNDUP(AA1414/BN1414,0))</f>
        <v/>
      </c>
      <c r="AC1414" s="64">
        <f>IF(BO1414=1,IF(AA1414&lt;=0,0,BP1414*MAX(1,IF(G1414&gt;0,AA1414/G1414,1))),AB1414*Q1414)</f>
        <v/>
      </c>
      <c r="AD1414" s="55">
        <f>AA1414*F1414</f>
        <v/>
      </c>
      <c r="AE1414" s="55">
        <f>ROUNDUP(MAX(I1414/IF(BS1414&gt;0,BS1414,MAX(0.1,N(Cockpit!$C$6))),BV1414)/BN1414,0)*BN1414</f>
        <v/>
      </c>
      <c r="AF1414" s="56">
        <f>IF(AC1414&gt;0,I1414/AC1414,-1)</f>
        <v/>
      </c>
      <c r="AG1414" s="56">
        <f>IF(AND(OR(BR1414="L1",BR1414="L23"),AC1414&gt;0),SUMIFS($AC$7:$AC$1570,$BR$7:$BR$1570,BR1414,$AF$7:$AF$1570,"&gt;"&amp;AF1414)+SUMIFS($AC$7:$AC$1570,$BR$7:$BR$1570,BR1414,$AF$7:$AF$1570,AF1414,$BL$7:$BL$1570,"&lt;="&amp;BL1414),"")</f>
        <v/>
      </c>
      <c r="AH1414" s="65">
        <f>IF(AG1414="",0,MAX(0,MIN(1,(IF(BR1414="L1",Parameter!$K$5,Parameter!$K$6+Parameter!$K$7)-(AG1414-AC1414))/AC1414)))</f>
        <v/>
      </c>
      <c r="AI1414" s="55">
        <f>IF(LEFT(Cockpit!$I$5,1)="A",G1414,IF(BT1414=1,BU1414,IF(LEFT(Cockpit!$I$5,1)="B",AM1414,MAX(AM1414,G1414))))</f>
        <v/>
      </c>
      <c r="AJ1414" s="55">
        <f>IF(BO1414=1,0,ROUNDUP(AI1414/BN1414,0))</f>
        <v/>
      </c>
      <c r="AK1414" s="64">
        <f>IF(BO1414=1,IF(AI1414&lt;=0,0,BP1414*MAX(1,IF(G1414&gt;0,AI1414/G1414,1))),AJ1414*Q1414)</f>
        <v/>
      </c>
      <c r="AL1414" s="55">
        <f>AI1414*F1414</f>
        <v/>
      </c>
      <c r="AM1414" s="55">
        <f>ROUNDUP(MAX(I1414/IF(BS1414&gt;0,BS1414,MAX(0.1,N(Cockpit!$I$6))),BV1414)/BN1414,0)*BN1414</f>
        <v/>
      </c>
      <c r="AN1414" s="56">
        <f>IF(AK1414&gt;0,I1414/AK1414,-1)</f>
        <v/>
      </c>
      <c r="AO1414" s="56">
        <f>IF(AND(OR(BR1414="L1",BR1414="L23"),AK1414&gt;0),SUMIFS($AK$7:$AK$1570,$BR$7:$BR$1570,BR1414,$AN$7:$AN$1570,"&gt;"&amp;AN1414)+SUMIFS($AK$7:$AK$1570,$BR$7:$BR$1570,BR1414,$AN$7:$AN$1570,AN1414,$BL$7:$BL$1570,"&lt;="&amp;BL1414),"")</f>
        <v/>
      </c>
      <c r="AP1414" s="65">
        <f>IF(AO1414="",0,MAX(0,MIN(1,(IF(BR1414="L1",Parameter!$K$5,Parameter!$K$6+Parameter!$K$7)-(AO1414-AK1414))/AK1414)))</f>
        <v/>
      </c>
      <c r="AQ1414" s="55">
        <f>IF(LEFT(Cockpit!$O$5,1)="A",G1414,IF(BT1414=1,BU1414,IF(LEFT(Cockpit!$O$5,1)="B",AU1414,MAX(AU1414,G1414))))</f>
        <v/>
      </c>
      <c r="AR1414" s="55">
        <f>IF(BO1414=1,0,ROUNDUP(AQ1414/BN1414,0))</f>
        <v/>
      </c>
      <c r="AS1414" s="64">
        <f>IF(BO1414=1,IF(AQ1414&lt;=0,0,BP1414*MAX(1,IF(G1414&gt;0,AQ1414/G1414,1))),AR1414*Q1414)</f>
        <v/>
      </c>
      <c r="AT1414" s="55">
        <f>AQ1414*F1414</f>
        <v/>
      </c>
      <c r="AU1414" s="55">
        <f>ROUNDUP(MAX(I1414/IF(BS1414&gt;0,BS1414,MAX(0.1,N(Cockpit!$O$6))),BV1414)/BN1414,0)*BN1414</f>
        <v/>
      </c>
      <c r="AV1414" s="56">
        <f>IF(AS1414&gt;0,I1414/AS1414,-1)</f>
        <v/>
      </c>
      <c r="AW1414" s="56">
        <f>IF(AND(OR(BR1414="L1",BR1414="L23"),AS1414&gt;0),SUMIFS($AS$7:$AS$1570,$BR$7:$BR$1570,BR1414,$AV$7:$AV$1570,"&gt;"&amp;AV1414)+SUMIFS($AS$7:$AS$1570,$BR$7:$BR$1570,BR1414,$AV$7:$AV$1570,AV1414,$BL$7:$BL$1570,"&lt;="&amp;BL1414),"")</f>
        <v/>
      </c>
      <c r="AX1414" s="65">
        <f>IF(AW1414="",0,MAX(0,MIN(1,(IF(BR1414="L1",Parameter!$K$5,Parameter!$K$6+Parameter!$K$7)-(AW1414-AS1414))/AS1414)))</f>
        <v/>
      </c>
      <c r="AY1414" s="53">
        <f>IF(AC1414&lt;=0,"",IF(BR1414="Aussen","Aussenlager",IF(BR1414="-","Nicht im Lift",IF(AH1414&gt;=1,"Lift",IF(AH1414&lt;=0,"Aussenlager","teilweise")))))</f>
        <v/>
      </c>
      <c r="AZ1414" s="53">
        <f>IF(AK1414&lt;=0,"",IF(BR1414="Aussen","Aussenlager",IF(BR1414="-","Nicht im Lift",IF(AP1414&gt;=1,"Lift",IF(AP1414&lt;=0,"Aussenlager","teilweise")))))</f>
        <v/>
      </c>
      <c r="BA1414" s="53">
        <f>IF(AS1414&lt;=0,"",IF(BR1414="Aussen","Aussenlager",IF(BR1414="-","Nicht im Lift",IF(AX1414&gt;=1,"Lift",IF(AX1414&lt;=0,"Aussenlager","teilweise")))))</f>
        <v/>
      </c>
      <c r="BB1414" s="53">
        <f>IF(A1414="","",IF(BK1414=1,"Neu; ","")&amp;IF(AND(BK1414=0,BF1414&lt;0),"negativer Bestand (Export "&amp;BF1414&amp;"); ","")&amp;IF(I1414&lt;=0,"Kein Verbrauch; ","")&amp;IF(BO1414=1,"Lose – Fläche geschätzt; ","")&amp;IF(G1414&gt;AM1414,"Überbestand "&amp;ROUND(G1414-AM1414,0)&amp;" Stk / CHF "&amp;ROUND((G1414-AM1414)*F1414,0)&amp;"; ","")&amp;IF(AND(BT1414=1,BU1414&lt;BV1414),"MAX &lt; MB+LG; ","")&amp;IF(AND(BZ1414&gt;0,BY1414*10&gt;BZ1414),"zu hoch für Tablar; ","")&amp;IF(AND(BK1414=0,OR(BT1414=1,V1414&lt;&gt;"",S1414&lt;&gt;"",T1414&lt;&gt;"",W1414&lt;&gt;"")),"manuell übersteuert; ","")&amp;IF(AND(BO1414=0,Q1414=0),"Gebinde unbekannt; ","")&amp;IF(AND(BO1414=0,N(T1414)&lt;=0,N(P1414)&lt;=0),"Menge pro Gebinde fehlt (Ist = 1 Gebinde); ","")&amp;BJ1414)</f>
        <v/>
      </c>
      <c r="BC1414" s="53" t="n"/>
      <c r="BD1414" s="53" t="n"/>
      <c r="BE1414" s="61" t="n"/>
      <c r="BF1414" s="55" t="n">
        <v>-1000</v>
      </c>
      <c r="BG1414" s="55" t="n">
        <v>2000</v>
      </c>
      <c r="BH1414" s="54" t="n">
        <v>-5150</v>
      </c>
      <c r="BI1414" s="55" t="n">
        <v>0</v>
      </c>
      <c r="BJ1414" s="53" t="inlineStr"/>
      <c r="BK1414" s="58" t="n">
        <v>0</v>
      </c>
      <c r="BL1414" s="58" t="n">
        <v>1414</v>
      </c>
      <c r="BM1414" s="53">
        <f>IF(S1414&lt;&gt;"",UPPER(TRIM(S1414)),IF(O1414="","LOSE",O1414))</f>
        <v/>
      </c>
      <c r="BN1414" s="55">
        <f>IF(BM1414="LOSE",1,IF(N(T1414)&gt;0,T1414,IF(N(P1414)&gt;0,P1414,MAX(1,G1414))))</f>
        <v/>
      </c>
      <c r="BO1414" s="58">
        <f>IF(BM1414="LOSE",1,0)</f>
        <v/>
      </c>
      <c r="BP1414" s="64">
        <f>IF(BO1414=0,0,IF(N(R1414)&gt;0,R1414,IFERROR(VLOOKUP(D1414,Parameter!$A$35:$C$64,3,0)+0,0)))</f>
        <v/>
      </c>
      <c r="BQ1414" s="53">
        <f>IF(V1414&lt;&gt;"",V1414,U1414)</f>
        <v/>
      </c>
      <c r="BR1414" s="53">
        <f>IF(BQ1414=1,"L1",IF(OR(BQ1414=2,BQ1414=3),"L23",IF(BQ1414="Aussen","Aussen","-")))</f>
        <v/>
      </c>
      <c r="BS1414" s="66">
        <f>IF(N(W1414)&gt;0,W1414,0)</f>
        <v/>
      </c>
      <c r="BT1414" s="58">
        <f>IF(ISNUMBER(Z1414),1,0)</f>
        <v/>
      </c>
      <c r="BU1414" s="55">
        <f>N(Z1414)</f>
        <v/>
      </c>
      <c r="BV1414" s="55">
        <f>N(L1414)+N(M1414)</f>
        <v/>
      </c>
      <c r="BW1414" s="55">
        <f>ROUNDUP(G1414/BN1414,0)</f>
        <v/>
      </c>
      <c r="BX1414" s="55">
        <f>ROUNDUP(BU1414/BN1414,0)</f>
        <v/>
      </c>
      <c r="BY1414" s="58">
        <f>IF(BO1414=1,0,IFERROR(VLOOKUP(BM1414,'Gebinde-Kategorie'!$A$5:$G$45,5,0)+0,0))</f>
        <v/>
      </c>
      <c r="BZ1414" s="58">
        <f>IFERROR(IF(OR(BQ1414=1,BQ1414=2,BQ1414=3),N(INDEX(Parameter!$I$5:$I$7,BQ1414)),0),0)</f>
        <v/>
      </c>
    </row>
    <row r="1415">
      <c r="A1415" s="53" t="inlineStr">
        <is>
          <t>108759</t>
        </is>
      </c>
      <c r="B1415" s="53" t="inlineStr">
        <is>
          <t>Austrittsdüse SPGr10</t>
        </is>
      </c>
      <c r="C1415" s="53" t="inlineStr">
        <is>
          <t>F</t>
        </is>
      </c>
      <c r="D1415" s="53" t="inlineStr">
        <is>
          <t>LIFT1</t>
        </is>
      </c>
      <c r="E1415" s="53" t="inlineStr">
        <is>
          <t>C</t>
        </is>
      </c>
      <c r="F1415" s="54" t="n">
        <v>2594.36</v>
      </c>
      <c r="G1415" s="55">
        <f>MAX(0,IF(Parameter!$B$20="Jahresanfang 2025 + Export",BG1415+BF1415,BF1415))</f>
        <v/>
      </c>
      <c r="H1415" s="55">
        <f>G1415*F1415</f>
        <v/>
      </c>
      <c r="I1415" s="55">
        <f>BI1415*Parameter!$B$18</f>
        <v/>
      </c>
      <c r="J1415" s="56" t="n">
        <v>7</v>
      </c>
      <c r="K1415" s="57" t="n">
        <v>0.2857142857142857</v>
      </c>
      <c r="L1415" s="55" t="n">
        <v>1</v>
      </c>
      <c r="M1415" s="55" t="n">
        <v>5</v>
      </c>
      <c r="N1415" s="58" t="n">
        <v>88</v>
      </c>
      <c r="O1415" s="53" t="inlineStr">
        <is>
          <t>LOSE</t>
        </is>
      </c>
      <c r="P1415" s="55" t="n"/>
      <c r="Q1415" s="59">
        <f>IF(BO1415=1,0,IFERROR(VLOOKUP(BM1415,'Gebinde-Kategorie'!$A$5:$G$45,6,0)+0,0))</f>
        <v/>
      </c>
      <c r="R1415" s="60" t="n"/>
      <c r="S1415" s="61" t="n"/>
      <c r="T1415" s="61" t="n"/>
      <c r="U1415" s="53">
        <f>IF(A1415="","",IF(IFERROR(VLOOKUP(D1415,Parameter!$A$35:$C$64,2,0),"Nein")="2+3",IF(ISNUMBER(SEARCH("grosser Artikel",BJ1415)),2,IFERROR(VLOOKUP(BM1415,Parameter!$F$35:$G$64,2,0),2)),IF(OR(IFERROR(VLOOKUP(D1415,Parameter!$A$35:$C$64,2,0),"Nein")="Nein",IFERROR(VLOOKUP(D1415,Parameter!$A$35:$C$64,2,0),"Nein")=""),"-",VLOOKUP(D1415,Parameter!$A$35:$C$64,2,0))))</f>
        <v/>
      </c>
      <c r="V1415" s="61" t="n"/>
      <c r="W1415" s="62" t="n"/>
      <c r="X1415" s="55">
        <f>AM1415</f>
        <v/>
      </c>
      <c r="Y1415" s="55">
        <f>MAX(AM1415,G1415)</f>
        <v/>
      </c>
      <c r="Z1415" s="63" t="n"/>
      <c r="AA1415" s="55">
        <f>IF(LEFT(Cockpit!$C$5,1)="A",G1415,IF(BT1415=1,BU1415,IF(LEFT(Cockpit!$C$5,1)="B",AE1415,MAX(AE1415,G1415))))</f>
        <v/>
      </c>
      <c r="AB1415" s="55">
        <f>IF(BO1415=1,0,ROUNDUP(AA1415/BN1415,0))</f>
        <v/>
      </c>
      <c r="AC1415" s="64">
        <f>IF(BO1415=1,IF(AA1415&lt;=0,0,BP1415*MAX(1,IF(G1415&gt;0,AA1415/G1415,1))),AB1415*Q1415)</f>
        <v/>
      </c>
      <c r="AD1415" s="55">
        <f>AA1415*F1415</f>
        <v/>
      </c>
      <c r="AE1415" s="55">
        <f>ROUNDUP(MAX(I1415/IF(BS1415&gt;0,BS1415,MAX(0.1,N(Cockpit!$C$6))),BV1415)/BN1415,0)*BN1415</f>
        <v/>
      </c>
      <c r="AF1415" s="56">
        <f>IF(AC1415&gt;0,I1415/AC1415,-1)</f>
        <v/>
      </c>
      <c r="AG1415" s="56">
        <f>IF(AND(OR(BR1415="L1",BR1415="L23"),AC1415&gt;0),SUMIFS($AC$7:$AC$1570,$BR$7:$BR$1570,BR1415,$AF$7:$AF$1570,"&gt;"&amp;AF1415)+SUMIFS($AC$7:$AC$1570,$BR$7:$BR$1570,BR1415,$AF$7:$AF$1570,AF1415,$BL$7:$BL$1570,"&lt;="&amp;BL1415),"")</f>
        <v/>
      </c>
      <c r="AH1415" s="65">
        <f>IF(AG1415="",0,MAX(0,MIN(1,(IF(BR1415="L1",Parameter!$K$5,Parameter!$K$6+Parameter!$K$7)-(AG1415-AC1415))/AC1415)))</f>
        <v/>
      </c>
      <c r="AI1415" s="55">
        <f>IF(LEFT(Cockpit!$I$5,1)="A",G1415,IF(BT1415=1,BU1415,IF(LEFT(Cockpit!$I$5,1)="B",AM1415,MAX(AM1415,G1415))))</f>
        <v/>
      </c>
      <c r="AJ1415" s="55">
        <f>IF(BO1415=1,0,ROUNDUP(AI1415/BN1415,0))</f>
        <v/>
      </c>
      <c r="AK1415" s="64">
        <f>IF(BO1415=1,IF(AI1415&lt;=0,0,BP1415*MAX(1,IF(G1415&gt;0,AI1415/G1415,1))),AJ1415*Q1415)</f>
        <v/>
      </c>
      <c r="AL1415" s="55">
        <f>AI1415*F1415</f>
        <v/>
      </c>
      <c r="AM1415" s="55">
        <f>ROUNDUP(MAX(I1415/IF(BS1415&gt;0,BS1415,MAX(0.1,N(Cockpit!$I$6))),BV1415)/BN1415,0)*BN1415</f>
        <v/>
      </c>
      <c r="AN1415" s="56">
        <f>IF(AK1415&gt;0,I1415/AK1415,-1)</f>
        <v/>
      </c>
      <c r="AO1415" s="56">
        <f>IF(AND(OR(BR1415="L1",BR1415="L23"),AK1415&gt;0),SUMIFS($AK$7:$AK$1570,$BR$7:$BR$1570,BR1415,$AN$7:$AN$1570,"&gt;"&amp;AN1415)+SUMIFS($AK$7:$AK$1570,$BR$7:$BR$1570,BR1415,$AN$7:$AN$1570,AN1415,$BL$7:$BL$1570,"&lt;="&amp;BL1415),"")</f>
        <v/>
      </c>
      <c r="AP1415" s="65">
        <f>IF(AO1415="",0,MAX(0,MIN(1,(IF(BR1415="L1",Parameter!$K$5,Parameter!$K$6+Parameter!$K$7)-(AO1415-AK1415))/AK1415)))</f>
        <v/>
      </c>
      <c r="AQ1415" s="55">
        <f>IF(LEFT(Cockpit!$O$5,1)="A",G1415,IF(BT1415=1,BU1415,IF(LEFT(Cockpit!$O$5,1)="B",AU1415,MAX(AU1415,G1415))))</f>
        <v/>
      </c>
      <c r="AR1415" s="55">
        <f>IF(BO1415=1,0,ROUNDUP(AQ1415/BN1415,0))</f>
        <v/>
      </c>
      <c r="AS1415" s="64">
        <f>IF(BO1415=1,IF(AQ1415&lt;=0,0,BP1415*MAX(1,IF(G1415&gt;0,AQ1415/G1415,1))),AR1415*Q1415)</f>
        <v/>
      </c>
      <c r="AT1415" s="55">
        <f>AQ1415*F1415</f>
        <v/>
      </c>
      <c r="AU1415" s="55">
        <f>ROUNDUP(MAX(I1415/IF(BS1415&gt;0,BS1415,MAX(0.1,N(Cockpit!$O$6))),BV1415)/BN1415,0)*BN1415</f>
        <v/>
      </c>
      <c r="AV1415" s="56">
        <f>IF(AS1415&gt;0,I1415/AS1415,-1)</f>
        <v/>
      </c>
      <c r="AW1415" s="56">
        <f>IF(AND(OR(BR1415="L1",BR1415="L23"),AS1415&gt;0),SUMIFS($AS$7:$AS$1570,$BR$7:$BR$1570,BR1415,$AV$7:$AV$1570,"&gt;"&amp;AV1415)+SUMIFS($AS$7:$AS$1570,$BR$7:$BR$1570,BR1415,$AV$7:$AV$1570,AV1415,$BL$7:$BL$1570,"&lt;="&amp;BL1415),"")</f>
        <v/>
      </c>
      <c r="AX1415" s="65">
        <f>IF(AW1415="",0,MAX(0,MIN(1,(IF(BR1415="L1",Parameter!$K$5,Parameter!$K$6+Parameter!$K$7)-(AW1415-AS1415))/AS1415)))</f>
        <v/>
      </c>
      <c r="AY1415" s="53">
        <f>IF(AC1415&lt;=0,"",IF(BR1415="Aussen","Aussenlager",IF(BR1415="-","Nicht im Lift",IF(AH1415&gt;=1,"Lift",IF(AH1415&lt;=0,"Aussenlager","teilweise")))))</f>
        <v/>
      </c>
      <c r="AZ1415" s="53">
        <f>IF(AK1415&lt;=0,"",IF(BR1415="Aussen","Aussenlager",IF(BR1415="-","Nicht im Lift",IF(AP1415&gt;=1,"Lift",IF(AP1415&lt;=0,"Aussenlager","teilweise")))))</f>
        <v/>
      </c>
      <c r="BA1415" s="53">
        <f>IF(AS1415&lt;=0,"",IF(BR1415="Aussen","Aussenlager",IF(BR1415="-","Nicht im Lift",IF(AX1415&gt;=1,"Lift",IF(AX1415&lt;=0,"Aussenlager","teilweise")))))</f>
        <v/>
      </c>
      <c r="BB1415" s="53">
        <f>IF(A1415="","",IF(BK1415=1,"Neu; ","")&amp;IF(AND(BK1415=0,BF1415&lt;0),"negativer Bestand (Export "&amp;BF1415&amp;"); ","")&amp;IF(I1415&lt;=0,"Kein Verbrauch; ","")&amp;IF(BO1415=1,"Lose – Fläche geschätzt; ","")&amp;IF(G1415&gt;AM1415,"Überbestand "&amp;ROUND(G1415-AM1415,0)&amp;" Stk / CHF "&amp;ROUND((G1415-AM1415)*F1415,0)&amp;"; ","")&amp;IF(AND(BT1415=1,BU1415&lt;BV1415),"MAX &lt; MB+LG; ","")&amp;IF(AND(BZ1415&gt;0,BY1415*10&gt;BZ1415),"zu hoch für Tablar; ","")&amp;IF(AND(BK1415=0,OR(BT1415=1,V1415&lt;&gt;"",S1415&lt;&gt;"",T1415&lt;&gt;"",W1415&lt;&gt;"")),"manuell übersteuert; ","")&amp;IF(AND(BO1415=0,Q1415=0),"Gebinde unbekannt; ","")&amp;IF(AND(BO1415=0,N(T1415)&lt;=0,N(P1415)&lt;=0),"Menge pro Gebinde fehlt (Ist = 1 Gebinde); ","")&amp;BJ1415)</f>
        <v/>
      </c>
      <c r="BC1415" s="53" t="n"/>
      <c r="BD1415" s="53" t="n"/>
      <c r="BE1415" s="61" t="n"/>
      <c r="BF1415" s="55" t="n">
        <v>-2</v>
      </c>
      <c r="BG1415" s="55" t="n">
        <v>8</v>
      </c>
      <c r="BH1415" s="54" t="n">
        <v>-5188.72</v>
      </c>
      <c r="BI1415" s="55" t="n">
        <v>2</v>
      </c>
      <c r="BJ1415" s="53" t="inlineStr"/>
      <c r="BK1415" s="58" t="n">
        <v>0</v>
      </c>
      <c r="BL1415" s="58" t="n">
        <v>1415</v>
      </c>
      <c r="BM1415" s="53">
        <f>IF(S1415&lt;&gt;"",UPPER(TRIM(S1415)),IF(O1415="","LOSE",O1415))</f>
        <v/>
      </c>
      <c r="BN1415" s="55">
        <f>IF(BM1415="LOSE",1,IF(N(T1415)&gt;0,T1415,IF(N(P1415)&gt;0,P1415,MAX(1,G1415))))</f>
        <v/>
      </c>
      <c r="BO1415" s="58">
        <f>IF(BM1415="LOSE",1,0)</f>
        <v/>
      </c>
      <c r="BP1415" s="64">
        <f>IF(BO1415=0,0,IF(N(R1415)&gt;0,R1415,IFERROR(VLOOKUP(D1415,Parameter!$A$35:$C$64,3,0)+0,0)))</f>
        <v/>
      </c>
      <c r="BQ1415" s="53">
        <f>IF(V1415&lt;&gt;"",V1415,U1415)</f>
        <v/>
      </c>
      <c r="BR1415" s="53">
        <f>IF(BQ1415=1,"L1",IF(OR(BQ1415=2,BQ1415=3),"L23",IF(BQ1415="Aussen","Aussen","-")))</f>
        <v/>
      </c>
      <c r="BS1415" s="66">
        <f>IF(N(W1415)&gt;0,W1415,0)</f>
        <v/>
      </c>
      <c r="BT1415" s="58">
        <f>IF(ISNUMBER(Z1415),1,0)</f>
        <v/>
      </c>
      <c r="BU1415" s="55">
        <f>N(Z1415)</f>
        <v/>
      </c>
      <c r="BV1415" s="55">
        <f>N(L1415)+N(M1415)</f>
        <v/>
      </c>
      <c r="BW1415" s="55">
        <f>ROUNDUP(G1415/BN1415,0)</f>
        <v/>
      </c>
      <c r="BX1415" s="55">
        <f>ROUNDUP(BU1415/BN1415,0)</f>
        <v/>
      </c>
      <c r="BY1415" s="58">
        <f>IF(BO1415=1,0,IFERROR(VLOOKUP(BM1415,'Gebinde-Kategorie'!$A$5:$G$45,5,0)+0,0))</f>
        <v/>
      </c>
      <c r="BZ1415" s="58">
        <f>IFERROR(IF(OR(BQ1415=1,BQ1415=2,BQ1415=3),N(INDEX(Parameter!$I$5:$I$7,BQ1415)),0),0)</f>
        <v/>
      </c>
    </row>
    <row r="1416">
      <c r="A1416" s="53" t="inlineStr">
        <is>
          <t>005087</t>
        </is>
      </c>
      <c r="B1416" s="53" t="inlineStr">
        <is>
          <t>Bedienpanel MMI Touch</t>
        </is>
      </c>
      <c r="C1416" s="53" t="inlineStr">
        <is>
          <t>G</t>
        </is>
      </c>
      <c r="D1416" s="53" t="inlineStr">
        <is>
          <t>KTL</t>
        </is>
      </c>
      <c r="E1416" s="53" t="inlineStr">
        <is>
          <t>C</t>
        </is>
      </c>
      <c r="F1416" s="54" t="n">
        <v>655.0700000000001</v>
      </c>
      <c r="G1416" s="55">
        <f>MAX(0,IF(Parameter!$B$20="Jahresanfang 2025 + Export",BG1416+BF1416,BF1416))</f>
        <v/>
      </c>
      <c r="H1416" s="55">
        <f>G1416*F1416</f>
        <v/>
      </c>
      <c r="I1416" s="55">
        <f>BI1416*Parameter!$B$18</f>
        <v/>
      </c>
      <c r="J1416" s="56" t="n">
        <v>4</v>
      </c>
      <c r="K1416" s="57" t="n">
        <v>1.25</v>
      </c>
      <c r="L1416" s="55" t="n">
        <v>0</v>
      </c>
      <c r="M1416" s="55" t="n">
        <v>5</v>
      </c>
      <c r="N1416" s="58" t="n">
        <v>35</v>
      </c>
      <c r="O1416" s="53" t="inlineStr">
        <is>
          <t>S63</t>
        </is>
      </c>
      <c r="P1416" s="55" t="n">
        <v>11</v>
      </c>
      <c r="Q1416" s="59">
        <f>IF(BO1416=1,0,IFERROR(VLOOKUP(BM1416,'Gebinde-Kategorie'!$A$5:$G$45,6,0)+0,0))</f>
        <v/>
      </c>
      <c r="R1416" s="60" t="n"/>
      <c r="S1416" s="61" t="n"/>
      <c r="T1416" s="61" t="n"/>
      <c r="U1416" s="53">
        <f>IF(A1416="","",IF(IFERROR(VLOOKUP(D1416,Parameter!$A$35:$C$64,2,0),"Nein")="2+3",IF(ISNUMBER(SEARCH("grosser Artikel",BJ1416)),2,IFERROR(VLOOKUP(BM1416,Parameter!$F$35:$G$64,2,0),2)),IF(OR(IFERROR(VLOOKUP(D1416,Parameter!$A$35:$C$64,2,0),"Nein")="Nein",IFERROR(VLOOKUP(D1416,Parameter!$A$35:$C$64,2,0),"Nein")=""),"-",VLOOKUP(D1416,Parameter!$A$35:$C$64,2,0))))</f>
        <v/>
      </c>
      <c r="V1416" s="61" t="n"/>
      <c r="W1416" s="62" t="n"/>
      <c r="X1416" s="55">
        <f>AM1416</f>
        <v/>
      </c>
      <c r="Y1416" s="55">
        <f>MAX(AM1416,G1416)</f>
        <v/>
      </c>
      <c r="Z1416" s="63" t="n"/>
      <c r="AA1416" s="55">
        <f>IF(LEFT(Cockpit!$C$5,1)="A",G1416,IF(BT1416=1,BU1416,IF(LEFT(Cockpit!$C$5,1)="B",AE1416,MAX(AE1416,G1416))))</f>
        <v/>
      </c>
      <c r="AB1416" s="55">
        <f>IF(BO1416=1,0,ROUNDUP(AA1416/BN1416,0))</f>
        <v/>
      </c>
      <c r="AC1416" s="64">
        <f>IF(BO1416=1,IF(AA1416&lt;=0,0,BP1416*MAX(1,IF(G1416&gt;0,AA1416/G1416,1))),AB1416*Q1416)</f>
        <v/>
      </c>
      <c r="AD1416" s="55">
        <f>AA1416*F1416</f>
        <v/>
      </c>
      <c r="AE1416" s="55">
        <f>ROUNDUP(MAX(I1416/IF(BS1416&gt;0,BS1416,MAX(0.1,N(Cockpit!$C$6))),BV1416)/BN1416,0)*BN1416</f>
        <v/>
      </c>
      <c r="AF1416" s="56">
        <f>IF(AC1416&gt;0,I1416/AC1416,-1)</f>
        <v/>
      </c>
      <c r="AG1416" s="56">
        <f>IF(AND(OR(BR1416="L1",BR1416="L23"),AC1416&gt;0),SUMIFS($AC$7:$AC$1570,$BR$7:$BR$1570,BR1416,$AF$7:$AF$1570,"&gt;"&amp;AF1416)+SUMIFS($AC$7:$AC$1570,$BR$7:$BR$1570,BR1416,$AF$7:$AF$1570,AF1416,$BL$7:$BL$1570,"&lt;="&amp;BL1416),"")</f>
        <v/>
      </c>
      <c r="AH1416" s="65">
        <f>IF(AG1416="",0,MAX(0,MIN(1,(IF(BR1416="L1",Parameter!$K$5,Parameter!$K$6+Parameter!$K$7)-(AG1416-AC1416))/AC1416)))</f>
        <v/>
      </c>
      <c r="AI1416" s="55">
        <f>IF(LEFT(Cockpit!$I$5,1)="A",G1416,IF(BT1416=1,BU1416,IF(LEFT(Cockpit!$I$5,1)="B",AM1416,MAX(AM1416,G1416))))</f>
        <v/>
      </c>
      <c r="AJ1416" s="55">
        <f>IF(BO1416=1,0,ROUNDUP(AI1416/BN1416,0))</f>
        <v/>
      </c>
      <c r="AK1416" s="64">
        <f>IF(BO1416=1,IF(AI1416&lt;=0,0,BP1416*MAX(1,IF(G1416&gt;0,AI1416/G1416,1))),AJ1416*Q1416)</f>
        <v/>
      </c>
      <c r="AL1416" s="55">
        <f>AI1416*F1416</f>
        <v/>
      </c>
      <c r="AM1416" s="55">
        <f>ROUNDUP(MAX(I1416/IF(BS1416&gt;0,BS1416,MAX(0.1,N(Cockpit!$I$6))),BV1416)/BN1416,0)*BN1416</f>
        <v/>
      </c>
      <c r="AN1416" s="56">
        <f>IF(AK1416&gt;0,I1416/AK1416,-1)</f>
        <v/>
      </c>
      <c r="AO1416" s="56">
        <f>IF(AND(OR(BR1416="L1",BR1416="L23"),AK1416&gt;0),SUMIFS($AK$7:$AK$1570,$BR$7:$BR$1570,BR1416,$AN$7:$AN$1570,"&gt;"&amp;AN1416)+SUMIFS($AK$7:$AK$1570,$BR$7:$BR$1570,BR1416,$AN$7:$AN$1570,AN1416,$BL$7:$BL$1570,"&lt;="&amp;BL1416),"")</f>
        <v/>
      </c>
      <c r="AP1416" s="65">
        <f>IF(AO1416="",0,MAX(0,MIN(1,(IF(BR1416="L1",Parameter!$K$5,Parameter!$K$6+Parameter!$K$7)-(AO1416-AK1416))/AK1416)))</f>
        <v/>
      </c>
      <c r="AQ1416" s="55">
        <f>IF(LEFT(Cockpit!$O$5,1)="A",G1416,IF(BT1416=1,BU1416,IF(LEFT(Cockpit!$O$5,1)="B",AU1416,MAX(AU1416,G1416))))</f>
        <v/>
      </c>
      <c r="AR1416" s="55">
        <f>IF(BO1416=1,0,ROUNDUP(AQ1416/BN1416,0))</f>
        <v/>
      </c>
      <c r="AS1416" s="64">
        <f>IF(BO1416=1,IF(AQ1416&lt;=0,0,BP1416*MAX(1,IF(G1416&gt;0,AQ1416/G1416,1))),AR1416*Q1416)</f>
        <v/>
      </c>
      <c r="AT1416" s="55">
        <f>AQ1416*F1416</f>
        <v/>
      </c>
      <c r="AU1416" s="55">
        <f>ROUNDUP(MAX(I1416/IF(BS1416&gt;0,BS1416,MAX(0.1,N(Cockpit!$O$6))),BV1416)/BN1416,0)*BN1416</f>
        <v/>
      </c>
      <c r="AV1416" s="56">
        <f>IF(AS1416&gt;0,I1416/AS1416,-1)</f>
        <v/>
      </c>
      <c r="AW1416" s="56">
        <f>IF(AND(OR(BR1416="L1",BR1416="L23"),AS1416&gt;0),SUMIFS($AS$7:$AS$1570,$BR$7:$BR$1570,BR1416,$AV$7:$AV$1570,"&gt;"&amp;AV1416)+SUMIFS($AS$7:$AS$1570,$BR$7:$BR$1570,BR1416,$AV$7:$AV$1570,AV1416,$BL$7:$BL$1570,"&lt;="&amp;BL1416),"")</f>
        <v/>
      </c>
      <c r="AX1416" s="65">
        <f>IF(AW1416="",0,MAX(0,MIN(1,(IF(BR1416="L1",Parameter!$K$5,Parameter!$K$6+Parameter!$K$7)-(AW1416-AS1416))/AS1416)))</f>
        <v/>
      </c>
      <c r="AY1416" s="53">
        <f>IF(AC1416&lt;=0,"",IF(BR1416="Aussen","Aussenlager",IF(BR1416="-","Nicht im Lift",IF(AH1416&gt;=1,"Lift",IF(AH1416&lt;=0,"Aussenlager","teilweise")))))</f>
        <v/>
      </c>
      <c r="AZ1416" s="53">
        <f>IF(AK1416&lt;=0,"",IF(BR1416="Aussen","Aussenlager",IF(BR1416="-","Nicht im Lift",IF(AP1416&gt;=1,"Lift",IF(AP1416&lt;=0,"Aussenlager","teilweise")))))</f>
        <v/>
      </c>
      <c r="BA1416" s="53">
        <f>IF(AS1416&lt;=0,"",IF(BR1416="Aussen","Aussenlager",IF(BR1416="-","Nicht im Lift",IF(AX1416&gt;=1,"Lift",IF(AX1416&lt;=0,"Aussenlager","teilweise")))))</f>
        <v/>
      </c>
      <c r="BB1416" s="53">
        <f>IF(A1416="","",IF(BK1416=1,"Neu; ","")&amp;IF(AND(BK1416=0,BF1416&lt;0),"negativer Bestand (Export "&amp;BF1416&amp;"); ","")&amp;IF(I1416&lt;=0,"Kein Verbrauch; ","")&amp;IF(BO1416=1,"Lose – Fläche geschätzt; ","")&amp;IF(G1416&gt;AM1416,"Überbestand "&amp;ROUND(G1416-AM1416,0)&amp;" Stk / CHF "&amp;ROUND((G1416-AM1416)*F1416,0)&amp;"; ","")&amp;IF(AND(BT1416=1,BU1416&lt;BV1416),"MAX &lt; MB+LG; ","")&amp;IF(AND(BZ1416&gt;0,BY1416*10&gt;BZ1416),"zu hoch für Tablar; ","")&amp;IF(AND(BK1416=0,OR(BT1416=1,V1416&lt;&gt;"",S1416&lt;&gt;"",T1416&lt;&gt;"",W1416&lt;&gt;"")),"manuell übersteuert; ","")&amp;IF(AND(BO1416=0,Q1416=0),"Gebinde unbekannt; ","")&amp;IF(AND(BO1416=0,N(T1416)&lt;=0,N(P1416)&lt;=0),"Menge pro Gebinde fehlt (Ist = 1 Gebinde); ","")&amp;BJ1416)</f>
        <v/>
      </c>
      <c r="BC1416" s="53" t="n"/>
      <c r="BD1416" s="53" t="n"/>
      <c r="BE1416" s="61" t="n"/>
      <c r="BF1416" s="55" t="n">
        <v>-8</v>
      </c>
      <c r="BG1416" s="55" t="n">
        <v>8</v>
      </c>
      <c r="BH1416" s="54" t="n">
        <v>-5240.559999999999</v>
      </c>
      <c r="BI1416" s="55" t="n">
        <v>5</v>
      </c>
      <c r="BJ1416" s="53" t="inlineStr"/>
      <c r="BK1416" s="58" t="n">
        <v>0</v>
      </c>
      <c r="BL1416" s="58" t="n">
        <v>1416</v>
      </c>
      <c r="BM1416" s="53">
        <f>IF(S1416&lt;&gt;"",UPPER(TRIM(S1416)),IF(O1416="","LOSE",O1416))</f>
        <v/>
      </c>
      <c r="BN1416" s="55">
        <f>IF(BM1416="LOSE",1,IF(N(T1416)&gt;0,T1416,IF(N(P1416)&gt;0,P1416,MAX(1,G1416))))</f>
        <v/>
      </c>
      <c r="BO1416" s="58">
        <f>IF(BM1416="LOSE",1,0)</f>
        <v/>
      </c>
      <c r="BP1416" s="64">
        <f>IF(BO1416=0,0,IF(N(R1416)&gt;0,R1416,IFERROR(VLOOKUP(D1416,Parameter!$A$35:$C$64,3,0)+0,0)))</f>
        <v/>
      </c>
      <c r="BQ1416" s="53">
        <f>IF(V1416&lt;&gt;"",V1416,U1416)</f>
        <v/>
      </c>
      <c r="BR1416" s="53">
        <f>IF(BQ1416=1,"L1",IF(OR(BQ1416=2,BQ1416=3),"L23",IF(BQ1416="Aussen","Aussen","-")))</f>
        <v/>
      </c>
      <c r="BS1416" s="66">
        <f>IF(N(W1416)&gt;0,W1416,0)</f>
        <v/>
      </c>
      <c r="BT1416" s="58">
        <f>IF(ISNUMBER(Z1416),1,0)</f>
        <v/>
      </c>
      <c r="BU1416" s="55">
        <f>N(Z1416)</f>
        <v/>
      </c>
      <c r="BV1416" s="55">
        <f>N(L1416)+N(M1416)</f>
        <v/>
      </c>
      <c r="BW1416" s="55">
        <f>ROUNDUP(G1416/BN1416,0)</f>
        <v/>
      </c>
      <c r="BX1416" s="55">
        <f>ROUNDUP(BU1416/BN1416,0)</f>
        <v/>
      </c>
      <c r="BY1416" s="58">
        <f>IF(BO1416=1,0,IFERROR(VLOOKUP(BM1416,'Gebinde-Kategorie'!$A$5:$G$45,5,0)+0,0))</f>
        <v/>
      </c>
      <c r="BZ1416" s="58">
        <f>IFERROR(IF(OR(BQ1416=1,BQ1416=2,BQ1416=3),N(INDEX(Parameter!$I$5:$I$7,BQ1416)),0),0)</f>
        <v/>
      </c>
    </row>
    <row r="1417">
      <c r="A1417" s="53" t="inlineStr">
        <is>
          <t>110392</t>
        </is>
      </c>
      <c r="B1417" s="53" t="inlineStr">
        <is>
          <t>Litzensatz - Aufrüstung SPC800 V3.0.0</t>
        </is>
      </c>
      <c r="C1417" s="53" t="inlineStr">
        <is>
          <t>A</t>
        </is>
      </c>
      <c r="D1417" s="53" t="inlineStr">
        <is>
          <t>PAL</t>
        </is>
      </c>
      <c r="E1417" s="53" t="inlineStr">
        <is>
          <t>C</t>
        </is>
      </c>
      <c r="F1417" s="54" t="n">
        <v>34.75</v>
      </c>
      <c r="G1417" s="55">
        <f>MAX(0,IF(Parameter!$B$20="Jahresanfang 2025 + Export",BG1417+BF1417,BF1417))</f>
        <v/>
      </c>
      <c r="H1417" s="55">
        <f>G1417*F1417</f>
        <v/>
      </c>
      <c r="I1417" s="55">
        <f>BI1417*Parameter!$B$18</f>
        <v/>
      </c>
      <c r="J1417" s="56" t="n">
        <v>117.5</v>
      </c>
      <c r="K1417" s="57" t="n">
        <v>1.574468085106383</v>
      </c>
      <c r="L1417" s="55" t="n">
        <v>0</v>
      </c>
      <c r="M1417" s="55" t="n">
        <v>1</v>
      </c>
      <c r="N1417" s="58" t="n">
        <v>56</v>
      </c>
      <c r="O1417" s="53" t="inlineStr">
        <is>
          <t>LOSE</t>
        </is>
      </c>
      <c r="P1417" s="55" t="n"/>
      <c r="Q1417" s="59">
        <f>IF(BO1417=1,0,IFERROR(VLOOKUP(BM1417,'Gebinde-Kategorie'!$A$5:$G$45,6,0)+0,0))</f>
        <v/>
      </c>
      <c r="R1417" s="60" t="n"/>
      <c r="S1417" s="61" t="n"/>
      <c r="T1417" s="61" t="n"/>
      <c r="U1417" s="53">
        <f>IF(A1417="","",IF(IFERROR(VLOOKUP(D1417,Parameter!$A$35:$C$64,2,0),"Nein")="2+3",IF(ISNUMBER(SEARCH("grosser Artikel",BJ1417)),2,IFERROR(VLOOKUP(BM1417,Parameter!$F$35:$G$64,2,0),2)),IF(OR(IFERROR(VLOOKUP(D1417,Parameter!$A$35:$C$64,2,0),"Nein")="Nein",IFERROR(VLOOKUP(D1417,Parameter!$A$35:$C$64,2,0),"Nein")=""),"-",VLOOKUP(D1417,Parameter!$A$35:$C$64,2,0))))</f>
        <v/>
      </c>
      <c r="V1417" s="61" t="n"/>
      <c r="W1417" s="62" t="n"/>
      <c r="X1417" s="55">
        <f>AM1417</f>
        <v/>
      </c>
      <c r="Y1417" s="55">
        <f>MAX(AM1417,G1417)</f>
        <v/>
      </c>
      <c r="Z1417" s="63" t="n"/>
      <c r="AA1417" s="55">
        <f>IF(LEFT(Cockpit!$C$5,1)="A",G1417,IF(BT1417=1,BU1417,IF(LEFT(Cockpit!$C$5,1)="B",AE1417,MAX(AE1417,G1417))))</f>
        <v/>
      </c>
      <c r="AB1417" s="55">
        <f>IF(BO1417=1,0,ROUNDUP(AA1417/BN1417,0))</f>
        <v/>
      </c>
      <c r="AC1417" s="64">
        <f>IF(BO1417=1,IF(AA1417&lt;=0,0,BP1417*MAX(1,IF(G1417&gt;0,AA1417/G1417,1))),AB1417*Q1417)</f>
        <v/>
      </c>
      <c r="AD1417" s="55">
        <f>AA1417*F1417</f>
        <v/>
      </c>
      <c r="AE1417" s="55">
        <f>ROUNDUP(MAX(I1417/IF(BS1417&gt;0,BS1417,MAX(0.1,N(Cockpit!$C$6))),BV1417)/BN1417,0)*BN1417</f>
        <v/>
      </c>
      <c r="AF1417" s="56">
        <f>IF(AC1417&gt;0,I1417/AC1417,-1)</f>
        <v/>
      </c>
      <c r="AG1417" s="56">
        <f>IF(AND(OR(BR1417="L1",BR1417="L23"),AC1417&gt;0),SUMIFS($AC$7:$AC$1570,$BR$7:$BR$1570,BR1417,$AF$7:$AF$1570,"&gt;"&amp;AF1417)+SUMIFS($AC$7:$AC$1570,$BR$7:$BR$1570,BR1417,$AF$7:$AF$1570,AF1417,$BL$7:$BL$1570,"&lt;="&amp;BL1417),"")</f>
        <v/>
      </c>
      <c r="AH1417" s="65">
        <f>IF(AG1417="",0,MAX(0,MIN(1,(IF(BR1417="L1",Parameter!$K$5,Parameter!$K$6+Parameter!$K$7)-(AG1417-AC1417))/AC1417)))</f>
        <v/>
      </c>
      <c r="AI1417" s="55">
        <f>IF(LEFT(Cockpit!$I$5,1)="A",G1417,IF(BT1417=1,BU1417,IF(LEFT(Cockpit!$I$5,1)="B",AM1417,MAX(AM1417,G1417))))</f>
        <v/>
      </c>
      <c r="AJ1417" s="55">
        <f>IF(BO1417=1,0,ROUNDUP(AI1417/BN1417,0))</f>
        <v/>
      </c>
      <c r="AK1417" s="64">
        <f>IF(BO1417=1,IF(AI1417&lt;=0,0,BP1417*MAX(1,IF(G1417&gt;0,AI1417/G1417,1))),AJ1417*Q1417)</f>
        <v/>
      </c>
      <c r="AL1417" s="55">
        <f>AI1417*F1417</f>
        <v/>
      </c>
      <c r="AM1417" s="55">
        <f>ROUNDUP(MAX(I1417/IF(BS1417&gt;0,BS1417,MAX(0.1,N(Cockpit!$I$6))),BV1417)/BN1417,0)*BN1417</f>
        <v/>
      </c>
      <c r="AN1417" s="56">
        <f>IF(AK1417&gt;0,I1417/AK1417,-1)</f>
        <v/>
      </c>
      <c r="AO1417" s="56">
        <f>IF(AND(OR(BR1417="L1",BR1417="L23"),AK1417&gt;0),SUMIFS($AK$7:$AK$1570,$BR$7:$BR$1570,BR1417,$AN$7:$AN$1570,"&gt;"&amp;AN1417)+SUMIFS($AK$7:$AK$1570,$BR$7:$BR$1570,BR1417,$AN$7:$AN$1570,AN1417,$BL$7:$BL$1570,"&lt;="&amp;BL1417),"")</f>
        <v/>
      </c>
      <c r="AP1417" s="65">
        <f>IF(AO1417="",0,MAX(0,MIN(1,(IF(BR1417="L1",Parameter!$K$5,Parameter!$K$6+Parameter!$K$7)-(AO1417-AK1417))/AK1417)))</f>
        <v/>
      </c>
      <c r="AQ1417" s="55">
        <f>IF(LEFT(Cockpit!$O$5,1)="A",G1417,IF(BT1417=1,BU1417,IF(LEFT(Cockpit!$O$5,1)="B",AU1417,MAX(AU1417,G1417))))</f>
        <v/>
      </c>
      <c r="AR1417" s="55">
        <f>IF(BO1417=1,0,ROUNDUP(AQ1417/BN1417,0))</f>
        <v/>
      </c>
      <c r="AS1417" s="64">
        <f>IF(BO1417=1,IF(AQ1417&lt;=0,0,BP1417*MAX(1,IF(G1417&gt;0,AQ1417/G1417,1))),AR1417*Q1417)</f>
        <v/>
      </c>
      <c r="AT1417" s="55">
        <f>AQ1417*F1417</f>
        <v/>
      </c>
      <c r="AU1417" s="55">
        <f>ROUNDUP(MAX(I1417/IF(BS1417&gt;0,BS1417,MAX(0.1,N(Cockpit!$O$6))),BV1417)/BN1417,0)*BN1417</f>
        <v/>
      </c>
      <c r="AV1417" s="56">
        <f>IF(AS1417&gt;0,I1417/AS1417,-1)</f>
        <v/>
      </c>
      <c r="AW1417" s="56">
        <f>IF(AND(OR(BR1417="L1",BR1417="L23"),AS1417&gt;0),SUMIFS($AS$7:$AS$1570,$BR$7:$BR$1570,BR1417,$AV$7:$AV$1570,"&gt;"&amp;AV1417)+SUMIFS($AS$7:$AS$1570,$BR$7:$BR$1570,BR1417,$AV$7:$AV$1570,AV1417,$BL$7:$BL$1570,"&lt;="&amp;BL1417),"")</f>
        <v/>
      </c>
      <c r="AX1417" s="65">
        <f>IF(AW1417="",0,MAX(0,MIN(1,(IF(BR1417="L1",Parameter!$K$5,Parameter!$K$6+Parameter!$K$7)-(AW1417-AS1417))/AS1417)))</f>
        <v/>
      </c>
      <c r="AY1417" s="53">
        <f>IF(AC1417&lt;=0,"",IF(BR1417="Aussen","Aussenlager",IF(BR1417="-","Nicht im Lift",IF(AH1417&gt;=1,"Lift",IF(AH1417&lt;=0,"Aussenlager","teilweise")))))</f>
        <v/>
      </c>
      <c r="AZ1417" s="53">
        <f>IF(AK1417&lt;=0,"",IF(BR1417="Aussen","Aussenlager",IF(BR1417="-","Nicht im Lift",IF(AP1417&gt;=1,"Lift",IF(AP1417&lt;=0,"Aussenlager","teilweise")))))</f>
        <v/>
      </c>
      <c r="BA1417" s="53">
        <f>IF(AS1417&lt;=0,"",IF(BR1417="Aussen","Aussenlager",IF(BR1417="-","Nicht im Lift",IF(AX1417&gt;=1,"Lift",IF(AX1417&lt;=0,"Aussenlager","teilweise")))))</f>
        <v/>
      </c>
      <c r="BB1417" s="53">
        <f>IF(A1417="","",IF(BK1417=1,"Neu; ","")&amp;IF(AND(BK1417=0,BF1417&lt;0),"negativer Bestand (Export "&amp;BF1417&amp;"); ","")&amp;IF(I1417&lt;=0,"Kein Verbrauch; ","")&amp;IF(BO1417=1,"Lose – Fläche geschätzt; ","")&amp;IF(G1417&gt;AM1417,"Überbestand "&amp;ROUND(G1417-AM1417,0)&amp;" Stk / CHF "&amp;ROUND((G1417-AM1417)*F1417,0)&amp;"; ","")&amp;IF(AND(BT1417=1,BU1417&lt;BV1417),"MAX &lt; MB+LG; ","")&amp;IF(AND(BZ1417&gt;0,BY1417*10&gt;BZ1417),"zu hoch für Tablar; ","")&amp;IF(AND(BK1417=0,OR(BT1417=1,V1417&lt;&gt;"",S1417&lt;&gt;"",T1417&lt;&gt;"",W1417&lt;&gt;"")),"manuell übersteuert; ","")&amp;IF(AND(BO1417=0,Q1417=0),"Gebinde unbekannt; ","")&amp;IF(AND(BO1417=0,N(T1417)&lt;=0,N(P1417)&lt;=0),"Menge pro Gebinde fehlt (Ist = 1 Gebinde); ","")&amp;BJ1417)</f>
        <v/>
      </c>
      <c r="BC1417" s="53" t="n"/>
      <c r="BD1417" s="53" t="n"/>
      <c r="BE1417" s="61" t="n"/>
      <c r="BF1417" s="55" t="n">
        <v>-151</v>
      </c>
      <c r="BG1417" s="55" t="n">
        <v>198</v>
      </c>
      <c r="BH1417" s="54" t="n">
        <v>-5247.25</v>
      </c>
      <c r="BI1417" s="55" t="n">
        <v>185</v>
      </c>
      <c r="BJ1417" s="53" t="inlineStr"/>
      <c r="BK1417" s="58" t="n">
        <v>0</v>
      </c>
      <c r="BL1417" s="58" t="n">
        <v>1417</v>
      </c>
      <c r="BM1417" s="53">
        <f>IF(S1417&lt;&gt;"",UPPER(TRIM(S1417)),IF(O1417="","LOSE",O1417))</f>
        <v/>
      </c>
      <c r="BN1417" s="55">
        <f>IF(BM1417="LOSE",1,IF(N(T1417)&gt;0,T1417,IF(N(P1417)&gt;0,P1417,MAX(1,G1417))))</f>
        <v/>
      </c>
      <c r="BO1417" s="58">
        <f>IF(BM1417="LOSE",1,0)</f>
        <v/>
      </c>
      <c r="BP1417" s="64">
        <f>IF(BO1417=0,0,IF(N(R1417)&gt;0,R1417,IFERROR(VLOOKUP(D1417,Parameter!$A$35:$C$64,3,0)+0,0)))</f>
        <v/>
      </c>
      <c r="BQ1417" s="53">
        <f>IF(V1417&lt;&gt;"",V1417,U1417)</f>
        <v/>
      </c>
      <c r="BR1417" s="53">
        <f>IF(BQ1417=1,"L1",IF(OR(BQ1417=2,BQ1417=3),"L23",IF(BQ1417="Aussen","Aussen","-")))</f>
        <v/>
      </c>
      <c r="BS1417" s="66">
        <f>IF(N(W1417)&gt;0,W1417,0)</f>
        <v/>
      </c>
      <c r="BT1417" s="58">
        <f>IF(ISNUMBER(Z1417),1,0)</f>
        <v/>
      </c>
      <c r="BU1417" s="55">
        <f>N(Z1417)</f>
        <v/>
      </c>
      <c r="BV1417" s="55">
        <f>N(L1417)+N(M1417)</f>
        <v/>
      </c>
      <c r="BW1417" s="55">
        <f>ROUNDUP(G1417/BN1417,0)</f>
        <v/>
      </c>
      <c r="BX1417" s="55">
        <f>ROUNDUP(BU1417/BN1417,0)</f>
        <v/>
      </c>
      <c r="BY1417" s="58">
        <f>IF(BO1417=1,0,IFERROR(VLOOKUP(BM1417,'Gebinde-Kategorie'!$A$5:$G$45,5,0)+0,0))</f>
        <v/>
      </c>
      <c r="BZ1417" s="58">
        <f>IFERROR(IF(OR(BQ1417=1,BQ1417=2,BQ1417=3),N(INDEX(Parameter!$I$5:$I$7,BQ1417)),0),0)</f>
        <v/>
      </c>
    </row>
    <row r="1418">
      <c r="A1418" s="53" t="inlineStr">
        <is>
          <t>105985</t>
        </is>
      </c>
      <c r="B1418" s="53" t="inlineStr">
        <is>
          <t>Ventilsitzadapter SPGr16</t>
        </is>
      </c>
      <c r="C1418" s="53" t="inlineStr">
        <is>
          <t>F</t>
        </is>
      </c>
      <c r="D1418" s="53" t="inlineStr">
        <is>
          <t>PAL</t>
        </is>
      </c>
      <c r="E1418" s="53" t="inlineStr">
        <is>
          <t>C</t>
        </is>
      </c>
      <c r="F1418" s="54" t="n">
        <v>505.01</v>
      </c>
      <c r="G1418" s="55">
        <f>MAX(0,IF(Parameter!$B$20="Jahresanfang 2025 + Export",BG1418+BF1418,BF1418))</f>
        <v/>
      </c>
      <c r="H1418" s="55">
        <f>G1418*F1418</f>
        <v/>
      </c>
      <c r="I1418" s="55">
        <f>BI1418*Parameter!$B$18</f>
        <v/>
      </c>
      <c r="J1418" s="56" t="n">
        <v>27.5</v>
      </c>
      <c r="K1418" s="57" t="n">
        <v>1.2</v>
      </c>
      <c r="L1418" s="55" t="n">
        <v>5</v>
      </c>
      <c r="M1418" s="55" t="n">
        <v>10</v>
      </c>
      <c r="N1418" s="58" t="n">
        <v>98</v>
      </c>
      <c r="O1418" s="53" t="inlineStr">
        <is>
          <t>S71</t>
        </is>
      </c>
      <c r="P1418" s="55" t="n">
        <v>18</v>
      </c>
      <c r="Q1418" s="59">
        <f>IF(BO1418=1,0,IFERROR(VLOOKUP(BM1418,'Gebinde-Kategorie'!$A$5:$G$45,6,0)+0,0))</f>
        <v/>
      </c>
      <c r="R1418" s="60" t="n"/>
      <c r="S1418" s="61" t="n"/>
      <c r="T1418" s="61" t="n"/>
      <c r="U1418" s="53">
        <f>IF(A1418="","",IF(IFERROR(VLOOKUP(D1418,Parameter!$A$35:$C$64,2,0),"Nein")="2+3",IF(ISNUMBER(SEARCH("grosser Artikel",BJ1418)),2,IFERROR(VLOOKUP(BM1418,Parameter!$F$35:$G$64,2,0),2)),IF(OR(IFERROR(VLOOKUP(D1418,Parameter!$A$35:$C$64,2,0),"Nein")="Nein",IFERROR(VLOOKUP(D1418,Parameter!$A$35:$C$64,2,0),"Nein")=""),"-",VLOOKUP(D1418,Parameter!$A$35:$C$64,2,0))))</f>
        <v/>
      </c>
      <c r="V1418" s="61" t="n"/>
      <c r="W1418" s="62" t="n"/>
      <c r="X1418" s="55">
        <f>AM1418</f>
        <v/>
      </c>
      <c r="Y1418" s="55">
        <f>MAX(AM1418,G1418)</f>
        <v/>
      </c>
      <c r="Z1418" s="63" t="n"/>
      <c r="AA1418" s="55">
        <f>IF(LEFT(Cockpit!$C$5,1)="A",G1418,IF(BT1418=1,BU1418,IF(LEFT(Cockpit!$C$5,1)="B",AE1418,MAX(AE1418,G1418))))</f>
        <v/>
      </c>
      <c r="AB1418" s="55">
        <f>IF(BO1418=1,0,ROUNDUP(AA1418/BN1418,0))</f>
        <v/>
      </c>
      <c r="AC1418" s="64">
        <f>IF(BO1418=1,IF(AA1418&lt;=0,0,BP1418*MAX(1,IF(G1418&gt;0,AA1418/G1418,1))),AB1418*Q1418)</f>
        <v/>
      </c>
      <c r="AD1418" s="55">
        <f>AA1418*F1418</f>
        <v/>
      </c>
      <c r="AE1418" s="55">
        <f>ROUNDUP(MAX(I1418/IF(BS1418&gt;0,BS1418,MAX(0.1,N(Cockpit!$C$6))),BV1418)/BN1418,0)*BN1418</f>
        <v/>
      </c>
      <c r="AF1418" s="56">
        <f>IF(AC1418&gt;0,I1418/AC1418,-1)</f>
        <v/>
      </c>
      <c r="AG1418" s="56">
        <f>IF(AND(OR(BR1418="L1",BR1418="L23"),AC1418&gt;0),SUMIFS($AC$7:$AC$1570,$BR$7:$BR$1570,BR1418,$AF$7:$AF$1570,"&gt;"&amp;AF1418)+SUMIFS($AC$7:$AC$1570,$BR$7:$BR$1570,BR1418,$AF$7:$AF$1570,AF1418,$BL$7:$BL$1570,"&lt;="&amp;BL1418),"")</f>
        <v/>
      </c>
      <c r="AH1418" s="65">
        <f>IF(AG1418="",0,MAX(0,MIN(1,(IF(BR1418="L1",Parameter!$K$5,Parameter!$K$6+Parameter!$K$7)-(AG1418-AC1418))/AC1418)))</f>
        <v/>
      </c>
      <c r="AI1418" s="55">
        <f>IF(LEFT(Cockpit!$I$5,1)="A",G1418,IF(BT1418=1,BU1418,IF(LEFT(Cockpit!$I$5,1)="B",AM1418,MAX(AM1418,G1418))))</f>
        <v/>
      </c>
      <c r="AJ1418" s="55">
        <f>IF(BO1418=1,0,ROUNDUP(AI1418/BN1418,0))</f>
        <v/>
      </c>
      <c r="AK1418" s="64">
        <f>IF(BO1418=1,IF(AI1418&lt;=0,0,BP1418*MAX(1,IF(G1418&gt;0,AI1418/G1418,1))),AJ1418*Q1418)</f>
        <v/>
      </c>
      <c r="AL1418" s="55">
        <f>AI1418*F1418</f>
        <v/>
      </c>
      <c r="AM1418" s="55">
        <f>ROUNDUP(MAX(I1418/IF(BS1418&gt;0,BS1418,MAX(0.1,N(Cockpit!$I$6))),BV1418)/BN1418,0)*BN1418</f>
        <v/>
      </c>
      <c r="AN1418" s="56">
        <f>IF(AK1418&gt;0,I1418/AK1418,-1)</f>
        <v/>
      </c>
      <c r="AO1418" s="56">
        <f>IF(AND(OR(BR1418="L1",BR1418="L23"),AK1418&gt;0),SUMIFS($AK$7:$AK$1570,$BR$7:$BR$1570,BR1418,$AN$7:$AN$1570,"&gt;"&amp;AN1418)+SUMIFS($AK$7:$AK$1570,$BR$7:$BR$1570,BR1418,$AN$7:$AN$1570,AN1418,$BL$7:$BL$1570,"&lt;="&amp;BL1418),"")</f>
        <v/>
      </c>
      <c r="AP1418" s="65">
        <f>IF(AO1418="",0,MAX(0,MIN(1,(IF(BR1418="L1",Parameter!$K$5,Parameter!$K$6+Parameter!$K$7)-(AO1418-AK1418))/AK1418)))</f>
        <v/>
      </c>
      <c r="AQ1418" s="55">
        <f>IF(LEFT(Cockpit!$O$5,1)="A",G1418,IF(BT1418=1,BU1418,IF(LEFT(Cockpit!$O$5,1)="B",AU1418,MAX(AU1418,G1418))))</f>
        <v/>
      </c>
      <c r="AR1418" s="55">
        <f>IF(BO1418=1,0,ROUNDUP(AQ1418/BN1418,0))</f>
        <v/>
      </c>
      <c r="AS1418" s="64">
        <f>IF(BO1418=1,IF(AQ1418&lt;=0,0,BP1418*MAX(1,IF(G1418&gt;0,AQ1418/G1418,1))),AR1418*Q1418)</f>
        <v/>
      </c>
      <c r="AT1418" s="55">
        <f>AQ1418*F1418</f>
        <v/>
      </c>
      <c r="AU1418" s="55">
        <f>ROUNDUP(MAX(I1418/IF(BS1418&gt;0,BS1418,MAX(0.1,N(Cockpit!$O$6))),BV1418)/BN1418,0)*BN1418</f>
        <v/>
      </c>
      <c r="AV1418" s="56">
        <f>IF(AS1418&gt;0,I1418/AS1418,-1)</f>
        <v/>
      </c>
      <c r="AW1418" s="56">
        <f>IF(AND(OR(BR1418="L1",BR1418="L23"),AS1418&gt;0),SUMIFS($AS$7:$AS$1570,$BR$7:$BR$1570,BR1418,$AV$7:$AV$1570,"&gt;"&amp;AV1418)+SUMIFS($AS$7:$AS$1570,$BR$7:$BR$1570,BR1418,$AV$7:$AV$1570,AV1418,$BL$7:$BL$1570,"&lt;="&amp;BL1418),"")</f>
        <v/>
      </c>
      <c r="AX1418" s="65">
        <f>IF(AW1418="",0,MAX(0,MIN(1,(IF(BR1418="L1",Parameter!$K$5,Parameter!$K$6+Parameter!$K$7)-(AW1418-AS1418))/AS1418)))</f>
        <v/>
      </c>
      <c r="AY1418" s="53">
        <f>IF(AC1418&lt;=0,"",IF(BR1418="Aussen","Aussenlager",IF(BR1418="-","Nicht im Lift",IF(AH1418&gt;=1,"Lift",IF(AH1418&lt;=0,"Aussenlager","teilweise")))))</f>
        <v/>
      </c>
      <c r="AZ1418" s="53">
        <f>IF(AK1418&lt;=0,"",IF(BR1418="Aussen","Aussenlager",IF(BR1418="-","Nicht im Lift",IF(AP1418&gt;=1,"Lift",IF(AP1418&lt;=0,"Aussenlager","teilweise")))))</f>
        <v/>
      </c>
      <c r="BA1418" s="53">
        <f>IF(AS1418&lt;=0,"",IF(BR1418="Aussen","Aussenlager",IF(BR1418="-","Nicht im Lift",IF(AX1418&gt;=1,"Lift",IF(AX1418&lt;=0,"Aussenlager","teilweise")))))</f>
        <v/>
      </c>
      <c r="BB1418" s="53">
        <f>IF(A1418="","",IF(BK1418=1,"Neu; ","")&amp;IF(AND(BK1418=0,BF1418&lt;0),"negativer Bestand (Export "&amp;BF1418&amp;"); ","")&amp;IF(I1418&lt;=0,"Kein Verbrauch; ","")&amp;IF(BO1418=1,"Lose – Fläche geschätzt; ","")&amp;IF(G1418&gt;AM1418,"Überbestand "&amp;ROUND(G1418-AM1418,0)&amp;" Stk / CHF "&amp;ROUND((G1418-AM1418)*F1418,0)&amp;"; ","")&amp;IF(AND(BT1418=1,BU1418&lt;BV1418),"MAX &lt; MB+LG; ","")&amp;IF(AND(BZ1418&gt;0,BY1418*10&gt;BZ1418),"zu hoch für Tablar; ","")&amp;IF(AND(BK1418=0,OR(BT1418=1,V1418&lt;&gt;"",S1418&lt;&gt;"",T1418&lt;&gt;"",W1418&lt;&gt;"")),"manuell übersteuert; ","")&amp;IF(AND(BO1418=0,Q1418=0),"Gebinde unbekannt; ","")&amp;IF(AND(BO1418=0,N(T1418)&lt;=0,N(P1418)&lt;=0),"Menge pro Gebinde fehlt (Ist = 1 Gebinde); ","")&amp;BJ1418)</f>
        <v/>
      </c>
      <c r="BC1418" s="53" t="n"/>
      <c r="BD1418" s="53" t="n"/>
      <c r="BE1418" s="61" t="n"/>
      <c r="BF1418" s="55" t="n">
        <v>-15</v>
      </c>
      <c r="BG1418" s="55" t="n">
        <v>28</v>
      </c>
      <c r="BH1418" s="54" t="n">
        <v>-5279.710000000002</v>
      </c>
      <c r="BI1418" s="55" t="n">
        <v>33</v>
      </c>
      <c r="BJ1418" s="53" t="inlineStr"/>
      <c r="BK1418" s="58" t="n">
        <v>0</v>
      </c>
      <c r="BL1418" s="58" t="n">
        <v>1418</v>
      </c>
      <c r="BM1418" s="53">
        <f>IF(S1418&lt;&gt;"",UPPER(TRIM(S1418)),IF(O1418="","LOSE",O1418))</f>
        <v/>
      </c>
      <c r="BN1418" s="55">
        <f>IF(BM1418="LOSE",1,IF(N(T1418)&gt;0,T1418,IF(N(P1418)&gt;0,P1418,MAX(1,G1418))))</f>
        <v/>
      </c>
      <c r="BO1418" s="58">
        <f>IF(BM1418="LOSE",1,0)</f>
        <v/>
      </c>
      <c r="BP1418" s="64">
        <f>IF(BO1418=0,0,IF(N(R1418)&gt;0,R1418,IFERROR(VLOOKUP(D1418,Parameter!$A$35:$C$64,3,0)+0,0)))</f>
        <v/>
      </c>
      <c r="BQ1418" s="53">
        <f>IF(V1418&lt;&gt;"",V1418,U1418)</f>
        <v/>
      </c>
      <c r="BR1418" s="53">
        <f>IF(BQ1418=1,"L1",IF(OR(BQ1418=2,BQ1418=3),"L23",IF(BQ1418="Aussen","Aussen","-")))</f>
        <v/>
      </c>
      <c r="BS1418" s="66">
        <f>IF(N(W1418)&gt;0,W1418,0)</f>
        <v/>
      </c>
      <c r="BT1418" s="58">
        <f>IF(ISNUMBER(Z1418),1,0)</f>
        <v/>
      </c>
      <c r="BU1418" s="55">
        <f>N(Z1418)</f>
        <v/>
      </c>
      <c r="BV1418" s="55">
        <f>N(L1418)+N(M1418)</f>
        <v/>
      </c>
      <c r="BW1418" s="55">
        <f>ROUNDUP(G1418/BN1418,0)</f>
        <v/>
      </c>
      <c r="BX1418" s="55">
        <f>ROUNDUP(BU1418/BN1418,0)</f>
        <v/>
      </c>
      <c r="BY1418" s="58">
        <f>IF(BO1418=1,0,IFERROR(VLOOKUP(BM1418,'Gebinde-Kategorie'!$A$5:$G$45,5,0)+0,0))</f>
        <v/>
      </c>
      <c r="BZ1418" s="58">
        <f>IFERROR(IF(OR(BQ1418=1,BQ1418=2,BQ1418=3),N(INDEX(Parameter!$I$5:$I$7,BQ1418)),0),0)</f>
        <v/>
      </c>
    </row>
    <row r="1419">
      <c r="A1419" s="53" t="inlineStr">
        <is>
          <t>109292</t>
        </is>
      </c>
      <c r="B1419" s="53" t="inlineStr">
        <is>
          <t>Elektroschema - Nacharbeit</t>
        </is>
      </c>
      <c r="C1419" s="53" t="inlineStr">
        <is>
          <t>F</t>
        </is>
      </c>
      <c r="D1419" s="53" t="inlineStr">
        <is>
          <t>A-BEZ</t>
        </is>
      </c>
      <c r="E1419" s="53" t="inlineStr">
        <is>
          <t>C</t>
        </is>
      </c>
      <c r="F1419" s="54" t="n">
        <v>609.5599999999999</v>
      </c>
      <c r="G1419" s="55">
        <f>MAX(0,IF(Parameter!$B$20="Jahresanfang 2025 + Export",BG1419+BF1419,BF1419))</f>
        <v/>
      </c>
      <c r="H1419" s="55">
        <f>G1419*F1419</f>
        <v/>
      </c>
      <c r="I1419" s="55">
        <f>BI1419*Parameter!$B$18</f>
        <v/>
      </c>
      <c r="J1419" s="56" t="n">
        <v>13</v>
      </c>
      <c r="K1419" s="57" t="n">
        <v>0.2307692307692308</v>
      </c>
      <c r="L1419" s="55" t="n">
        <v>0</v>
      </c>
      <c r="M1419" s="55" t="n">
        <v>1</v>
      </c>
      <c r="N1419" s="58" t="n">
        <v>14</v>
      </c>
      <c r="O1419" s="53" t="inlineStr">
        <is>
          <t>LOSE</t>
        </is>
      </c>
      <c r="P1419" s="55" t="n"/>
      <c r="Q1419" s="59">
        <f>IF(BO1419=1,0,IFERROR(VLOOKUP(BM1419,'Gebinde-Kategorie'!$A$5:$G$45,6,0)+0,0))</f>
        <v/>
      </c>
      <c r="R1419" s="60" t="n"/>
      <c r="S1419" s="61" t="n"/>
      <c r="T1419" s="61" t="n"/>
      <c r="U1419" s="53">
        <f>IF(A1419="","",IF(IFERROR(VLOOKUP(D1419,Parameter!$A$35:$C$64,2,0),"Nein")="2+3",IF(ISNUMBER(SEARCH("grosser Artikel",BJ1419)),2,IFERROR(VLOOKUP(BM1419,Parameter!$F$35:$G$64,2,0),2)),IF(OR(IFERROR(VLOOKUP(D1419,Parameter!$A$35:$C$64,2,0),"Nein")="Nein",IFERROR(VLOOKUP(D1419,Parameter!$A$35:$C$64,2,0),"Nein")=""),"-",VLOOKUP(D1419,Parameter!$A$35:$C$64,2,0))))</f>
        <v/>
      </c>
      <c r="V1419" s="61" t="n"/>
      <c r="W1419" s="62" t="n"/>
      <c r="X1419" s="55">
        <f>AM1419</f>
        <v/>
      </c>
      <c r="Y1419" s="55">
        <f>MAX(AM1419,G1419)</f>
        <v/>
      </c>
      <c r="Z1419" s="63" t="n"/>
      <c r="AA1419" s="55">
        <f>IF(LEFT(Cockpit!$C$5,1)="A",G1419,IF(BT1419=1,BU1419,IF(LEFT(Cockpit!$C$5,1)="B",AE1419,MAX(AE1419,G1419))))</f>
        <v/>
      </c>
      <c r="AB1419" s="55">
        <f>IF(BO1419=1,0,ROUNDUP(AA1419/BN1419,0))</f>
        <v/>
      </c>
      <c r="AC1419" s="64">
        <f>IF(BO1419=1,IF(AA1419&lt;=0,0,BP1419*MAX(1,IF(G1419&gt;0,AA1419/G1419,1))),AB1419*Q1419)</f>
        <v/>
      </c>
      <c r="AD1419" s="55">
        <f>AA1419*F1419</f>
        <v/>
      </c>
      <c r="AE1419" s="55">
        <f>ROUNDUP(MAX(I1419/IF(BS1419&gt;0,BS1419,MAX(0.1,N(Cockpit!$C$6))),BV1419)/BN1419,0)*BN1419</f>
        <v/>
      </c>
      <c r="AF1419" s="56">
        <f>IF(AC1419&gt;0,I1419/AC1419,-1)</f>
        <v/>
      </c>
      <c r="AG1419" s="56">
        <f>IF(AND(OR(BR1419="L1",BR1419="L23"),AC1419&gt;0),SUMIFS($AC$7:$AC$1570,$BR$7:$BR$1570,BR1419,$AF$7:$AF$1570,"&gt;"&amp;AF1419)+SUMIFS($AC$7:$AC$1570,$BR$7:$BR$1570,BR1419,$AF$7:$AF$1570,AF1419,$BL$7:$BL$1570,"&lt;="&amp;BL1419),"")</f>
        <v/>
      </c>
      <c r="AH1419" s="65">
        <f>IF(AG1419="",0,MAX(0,MIN(1,(IF(BR1419="L1",Parameter!$K$5,Parameter!$K$6+Parameter!$K$7)-(AG1419-AC1419))/AC1419)))</f>
        <v/>
      </c>
      <c r="AI1419" s="55">
        <f>IF(LEFT(Cockpit!$I$5,1)="A",G1419,IF(BT1419=1,BU1419,IF(LEFT(Cockpit!$I$5,1)="B",AM1419,MAX(AM1419,G1419))))</f>
        <v/>
      </c>
      <c r="AJ1419" s="55">
        <f>IF(BO1419=1,0,ROUNDUP(AI1419/BN1419,0))</f>
        <v/>
      </c>
      <c r="AK1419" s="64">
        <f>IF(BO1419=1,IF(AI1419&lt;=0,0,BP1419*MAX(1,IF(G1419&gt;0,AI1419/G1419,1))),AJ1419*Q1419)</f>
        <v/>
      </c>
      <c r="AL1419" s="55">
        <f>AI1419*F1419</f>
        <v/>
      </c>
      <c r="AM1419" s="55">
        <f>ROUNDUP(MAX(I1419/IF(BS1419&gt;0,BS1419,MAX(0.1,N(Cockpit!$I$6))),BV1419)/BN1419,0)*BN1419</f>
        <v/>
      </c>
      <c r="AN1419" s="56">
        <f>IF(AK1419&gt;0,I1419/AK1419,-1)</f>
        <v/>
      </c>
      <c r="AO1419" s="56">
        <f>IF(AND(OR(BR1419="L1",BR1419="L23"),AK1419&gt;0),SUMIFS($AK$7:$AK$1570,$BR$7:$BR$1570,BR1419,$AN$7:$AN$1570,"&gt;"&amp;AN1419)+SUMIFS($AK$7:$AK$1570,$BR$7:$BR$1570,BR1419,$AN$7:$AN$1570,AN1419,$BL$7:$BL$1570,"&lt;="&amp;BL1419),"")</f>
        <v/>
      </c>
      <c r="AP1419" s="65">
        <f>IF(AO1419="",0,MAX(0,MIN(1,(IF(BR1419="L1",Parameter!$K$5,Parameter!$K$6+Parameter!$K$7)-(AO1419-AK1419))/AK1419)))</f>
        <v/>
      </c>
      <c r="AQ1419" s="55">
        <f>IF(LEFT(Cockpit!$O$5,1)="A",G1419,IF(BT1419=1,BU1419,IF(LEFT(Cockpit!$O$5,1)="B",AU1419,MAX(AU1419,G1419))))</f>
        <v/>
      </c>
      <c r="AR1419" s="55">
        <f>IF(BO1419=1,0,ROUNDUP(AQ1419/BN1419,0))</f>
        <v/>
      </c>
      <c r="AS1419" s="64">
        <f>IF(BO1419=1,IF(AQ1419&lt;=0,0,BP1419*MAX(1,IF(G1419&gt;0,AQ1419/G1419,1))),AR1419*Q1419)</f>
        <v/>
      </c>
      <c r="AT1419" s="55">
        <f>AQ1419*F1419</f>
        <v/>
      </c>
      <c r="AU1419" s="55">
        <f>ROUNDUP(MAX(I1419/IF(BS1419&gt;0,BS1419,MAX(0.1,N(Cockpit!$O$6))),BV1419)/BN1419,0)*BN1419</f>
        <v/>
      </c>
      <c r="AV1419" s="56">
        <f>IF(AS1419&gt;0,I1419/AS1419,-1)</f>
        <v/>
      </c>
      <c r="AW1419" s="56">
        <f>IF(AND(OR(BR1419="L1",BR1419="L23"),AS1419&gt;0),SUMIFS($AS$7:$AS$1570,$BR$7:$BR$1570,BR1419,$AV$7:$AV$1570,"&gt;"&amp;AV1419)+SUMIFS($AS$7:$AS$1570,$BR$7:$BR$1570,BR1419,$AV$7:$AV$1570,AV1419,$BL$7:$BL$1570,"&lt;="&amp;BL1419),"")</f>
        <v/>
      </c>
      <c r="AX1419" s="65">
        <f>IF(AW1419="",0,MAX(0,MIN(1,(IF(BR1419="L1",Parameter!$K$5,Parameter!$K$6+Parameter!$K$7)-(AW1419-AS1419))/AS1419)))</f>
        <v/>
      </c>
      <c r="AY1419" s="53">
        <f>IF(AC1419&lt;=0,"",IF(BR1419="Aussen","Aussenlager",IF(BR1419="-","Nicht im Lift",IF(AH1419&gt;=1,"Lift",IF(AH1419&lt;=0,"Aussenlager","teilweise")))))</f>
        <v/>
      </c>
      <c r="AZ1419" s="53">
        <f>IF(AK1419&lt;=0,"",IF(BR1419="Aussen","Aussenlager",IF(BR1419="-","Nicht im Lift",IF(AP1419&gt;=1,"Lift",IF(AP1419&lt;=0,"Aussenlager","teilweise")))))</f>
        <v/>
      </c>
      <c r="BA1419" s="53">
        <f>IF(AS1419&lt;=0,"",IF(BR1419="Aussen","Aussenlager",IF(BR1419="-","Nicht im Lift",IF(AX1419&gt;=1,"Lift",IF(AX1419&lt;=0,"Aussenlager","teilweise")))))</f>
        <v/>
      </c>
      <c r="BB1419" s="53">
        <f>IF(A1419="","",IF(BK1419=1,"Neu; ","")&amp;IF(AND(BK1419=0,BF1419&lt;0),"negativer Bestand (Export "&amp;BF1419&amp;"); ","")&amp;IF(I1419&lt;=0,"Kein Verbrauch; ","")&amp;IF(BO1419=1,"Lose – Fläche geschätzt; ","")&amp;IF(G1419&gt;AM1419,"Überbestand "&amp;ROUND(G1419-AM1419,0)&amp;" Stk / CHF "&amp;ROUND((G1419-AM1419)*F1419,0)&amp;"; ","")&amp;IF(AND(BT1419=1,BU1419&lt;BV1419),"MAX &lt; MB+LG; ","")&amp;IF(AND(BZ1419&gt;0,BY1419*10&gt;BZ1419),"zu hoch für Tablar; ","")&amp;IF(AND(BK1419=0,OR(BT1419=1,V1419&lt;&gt;"",S1419&lt;&gt;"",T1419&lt;&gt;"",W1419&lt;&gt;"")),"manuell übersteuert; ","")&amp;IF(AND(BO1419=0,Q1419=0),"Gebinde unbekannt; ","")&amp;IF(AND(BO1419=0,N(T1419)&lt;=0,N(P1419)&lt;=0),"Menge pro Gebinde fehlt (Ist = 1 Gebinde); ","")&amp;BJ1419)</f>
        <v/>
      </c>
      <c r="BC1419" s="53" t="n"/>
      <c r="BD1419" s="53" t="n"/>
      <c r="BE1419" s="61" t="n"/>
      <c r="BF1419" s="55" t="n">
        <v>-17</v>
      </c>
      <c r="BG1419" s="55" t="n">
        <v>17</v>
      </c>
      <c r="BH1419" s="54" t="n">
        <v>-5283.940000000001</v>
      </c>
      <c r="BI1419" s="55" t="n">
        <v>3</v>
      </c>
      <c r="BJ1419" s="53" t="inlineStr"/>
      <c r="BK1419" s="58" t="n">
        <v>0</v>
      </c>
      <c r="BL1419" s="58" t="n">
        <v>1419</v>
      </c>
      <c r="BM1419" s="53">
        <f>IF(S1419&lt;&gt;"",UPPER(TRIM(S1419)),IF(O1419="","LOSE",O1419))</f>
        <v/>
      </c>
      <c r="BN1419" s="55">
        <f>IF(BM1419="LOSE",1,IF(N(T1419)&gt;0,T1419,IF(N(P1419)&gt;0,P1419,MAX(1,G1419))))</f>
        <v/>
      </c>
      <c r="BO1419" s="58">
        <f>IF(BM1419="LOSE",1,0)</f>
        <v/>
      </c>
      <c r="BP1419" s="64">
        <f>IF(BO1419=0,0,IF(N(R1419)&gt;0,R1419,IFERROR(VLOOKUP(D1419,Parameter!$A$35:$C$64,3,0)+0,0)))</f>
        <v/>
      </c>
      <c r="BQ1419" s="53">
        <f>IF(V1419&lt;&gt;"",V1419,U1419)</f>
        <v/>
      </c>
      <c r="BR1419" s="53">
        <f>IF(BQ1419=1,"L1",IF(OR(BQ1419=2,BQ1419=3),"L23",IF(BQ1419="Aussen","Aussen","-")))</f>
        <v/>
      </c>
      <c r="BS1419" s="66">
        <f>IF(N(W1419)&gt;0,W1419,0)</f>
        <v/>
      </c>
      <c r="BT1419" s="58">
        <f>IF(ISNUMBER(Z1419),1,0)</f>
        <v/>
      </c>
      <c r="BU1419" s="55">
        <f>N(Z1419)</f>
        <v/>
      </c>
      <c r="BV1419" s="55">
        <f>N(L1419)+N(M1419)</f>
        <v/>
      </c>
      <c r="BW1419" s="55">
        <f>ROUNDUP(G1419/BN1419,0)</f>
        <v/>
      </c>
      <c r="BX1419" s="55">
        <f>ROUNDUP(BU1419/BN1419,0)</f>
        <v/>
      </c>
      <c r="BY1419" s="58">
        <f>IF(BO1419=1,0,IFERROR(VLOOKUP(BM1419,'Gebinde-Kategorie'!$A$5:$G$45,5,0)+0,0))</f>
        <v/>
      </c>
      <c r="BZ1419" s="58">
        <f>IFERROR(IF(OR(BQ1419=1,BQ1419=2,BQ1419=3),N(INDEX(Parameter!$I$5:$I$7,BQ1419)),0),0)</f>
        <v/>
      </c>
    </row>
    <row r="1420">
      <c r="A1420" s="53" t="inlineStr">
        <is>
          <t>106950</t>
        </is>
      </c>
      <c r="B1420" s="53" t="inlineStr">
        <is>
          <t>Temperatur Eingangsmodul</t>
        </is>
      </c>
      <c r="C1420" s="53" t="inlineStr">
        <is>
          <t>F</t>
        </is>
      </c>
      <c r="D1420" s="53" t="inlineStr">
        <is>
          <t>KTL</t>
        </is>
      </c>
      <c r="E1420" s="53" t="inlineStr">
        <is>
          <t>C</t>
        </is>
      </c>
      <c r="F1420" s="54" t="n">
        <v>126.08</v>
      </c>
      <c r="G1420" s="55">
        <f>MAX(0,IF(Parameter!$B$20="Jahresanfang 2025 + Export",BG1420+BF1420,BF1420))</f>
        <v/>
      </c>
      <c r="H1420" s="55">
        <f>G1420*F1420</f>
        <v/>
      </c>
      <c r="I1420" s="55">
        <f>BI1420*Parameter!$B$18</f>
        <v/>
      </c>
      <c r="J1420" s="56" t="n">
        <v>54</v>
      </c>
      <c r="K1420" s="57" t="n">
        <v>0.03703703703703703</v>
      </c>
      <c r="L1420" s="55" t="n">
        <v>0</v>
      </c>
      <c r="M1420" s="55" t="n">
        <v>1</v>
      </c>
      <c r="N1420" s="58" t="n">
        <v>28</v>
      </c>
      <c r="O1420" s="53" t="inlineStr">
        <is>
          <t>S33</t>
        </is>
      </c>
      <c r="P1420" s="55" t="n">
        <v>5</v>
      </c>
      <c r="Q1420" s="59">
        <f>IF(BO1420=1,0,IFERROR(VLOOKUP(BM1420,'Gebinde-Kategorie'!$A$5:$G$45,6,0)+0,0))</f>
        <v/>
      </c>
      <c r="R1420" s="60" t="n"/>
      <c r="S1420" s="61" t="n"/>
      <c r="T1420" s="61" t="n"/>
      <c r="U1420" s="53">
        <f>IF(A1420="","",IF(IFERROR(VLOOKUP(D1420,Parameter!$A$35:$C$64,2,0),"Nein")="2+3",IF(ISNUMBER(SEARCH("grosser Artikel",BJ1420)),2,IFERROR(VLOOKUP(BM1420,Parameter!$F$35:$G$64,2,0),2)),IF(OR(IFERROR(VLOOKUP(D1420,Parameter!$A$35:$C$64,2,0),"Nein")="Nein",IFERROR(VLOOKUP(D1420,Parameter!$A$35:$C$64,2,0),"Nein")=""),"-",VLOOKUP(D1420,Parameter!$A$35:$C$64,2,0))))</f>
        <v/>
      </c>
      <c r="V1420" s="61" t="n"/>
      <c r="W1420" s="62" t="n"/>
      <c r="X1420" s="55">
        <f>AM1420</f>
        <v/>
      </c>
      <c r="Y1420" s="55">
        <f>MAX(AM1420,G1420)</f>
        <v/>
      </c>
      <c r="Z1420" s="63" t="n"/>
      <c r="AA1420" s="55">
        <f>IF(LEFT(Cockpit!$C$5,1)="A",G1420,IF(BT1420=1,BU1420,IF(LEFT(Cockpit!$C$5,1)="B",AE1420,MAX(AE1420,G1420))))</f>
        <v/>
      </c>
      <c r="AB1420" s="55">
        <f>IF(BO1420=1,0,ROUNDUP(AA1420/BN1420,0))</f>
        <v/>
      </c>
      <c r="AC1420" s="64">
        <f>IF(BO1420=1,IF(AA1420&lt;=0,0,BP1420*MAX(1,IF(G1420&gt;0,AA1420/G1420,1))),AB1420*Q1420)</f>
        <v/>
      </c>
      <c r="AD1420" s="55">
        <f>AA1420*F1420</f>
        <v/>
      </c>
      <c r="AE1420" s="55">
        <f>ROUNDUP(MAX(I1420/IF(BS1420&gt;0,BS1420,MAX(0.1,N(Cockpit!$C$6))),BV1420)/BN1420,0)*BN1420</f>
        <v/>
      </c>
      <c r="AF1420" s="56">
        <f>IF(AC1420&gt;0,I1420/AC1420,-1)</f>
        <v/>
      </c>
      <c r="AG1420" s="56">
        <f>IF(AND(OR(BR1420="L1",BR1420="L23"),AC1420&gt;0),SUMIFS($AC$7:$AC$1570,$BR$7:$BR$1570,BR1420,$AF$7:$AF$1570,"&gt;"&amp;AF1420)+SUMIFS($AC$7:$AC$1570,$BR$7:$BR$1570,BR1420,$AF$7:$AF$1570,AF1420,$BL$7:$BL$1570,"&lt;="&amp;BL1420),"")</f>
        <v/>
      </c>
      <c r="AH1420" s="65">
        <f>IF(AG1420="",0,MAX(0,MIN(1,(IF(BR1420="L1",Parameter!$K$5,Parameter!$K$6+Parameter!$K$7)-(AG1420-AC1420))/AC1420)))</f>
        <v/>
      </c>
      <c r="AI1420" s="55">
        <f>IF(LEFT(Cockpit!$I$5,1)="A",G1420,IF(BT1420=1,BU1420,IF(LEFT(Cockpit!$I$5,1)="B",AM1420,MAX(AM1420,G1420))))</f>
        <v/>
      </c>
      <c r="AJ1420" s="55">
        <f>IF(BO1420=1,0,ROUNDUP(AI1420/BN1420,0))</f>
        <v/>
      </c>
      <c r="AK1420" s="64">
        <f>IF(BO1420=1,IF(AI1420&lt;=0,0,BP1420*MAX(1,IF(G1420&gt;0,AI1420/G1420,1))),AJ1420*Q1420)</f>
        <v/>
      </c>
      <c r="AL1420" s="55">
        <f>AI1420*F1420</f>
        <v/>
      </c>
      <c r="AM1420" s="55">
        <f>ROUNDUP(MAX(I1420/IF(BS1420&gt;0,BS1420,MAX(0.1,N(Cockpit!$I$6))),BV1420)/BN1420,0)*BN1420</f>
        <v/>
      </c>
      <c r="AN1420" s="56">
        <f>IF(AK1420&gt;0,I1420/AK1420,-1)</f>
        <v/>
      </c>
      <c r="AO1420" s="56">
        <f>IF(AND(OR(BR1420="L1",BR1420="L23"),AK1420&gt;0),SUMIFS($AK$7:$AK$1570,$BR$7:$BR$1570,BR1420,$AN$7:$AN$1570,"&gt;"&amp;AN1420)+SUMIFS($AK$7:$AK$1570,$BR$7:$BR$1570,BR1420,$AN$7:$AN$1570,AN1420,$BL$7:$BL$1570,"&lt;="&amp;BL1420),"")</f>
        <v/>
      </c>
      <c r="AP1420" s="65">
        <f>IF(AO1420="",0,MAX(0,MIN(1,(IF(BR1420="L1",Parameter!$K$5,Parameter!$K$6+Parameter!$K$7)-(AO1420-AK1420))/AK1420)))</f>
        <v/>
      </c>
      <c r="AQ1420" s="55">
        <f>IF(LEFT(Cockpit!$O$5,1)="A",G1420,IF(BT1420=1,BU1420,IF(LEFT(Cockpit!$O$5,1)="B",AU1420,MAX(AU1420,G1420))))</f>
        <v/>
      </c>
      <c r="AR1420" s="55">
        <f>IF(BO1420=1,0,ROUNDUP(AQ1420/BN1420,0))</f>
        <v/>
      </c>
      <c r="AS1420" s="64">
        <f>IF(BO1420=1,IF(AQ1420&lt;=0,0,BP1420*MAX(1,IF(G1420&gt;0,AQ1420/G1420,1))),AR1420*Q1420)</f>
        <v/>
      </c>
      <c r="AT1420" s="55">
        <f>AQ1420*F1420</f>
        <v/>
      </c>
      <c r="AU1420" s="55">
        <f>ROUNDUP(MAX(I1420/IF(BS1420&gt;0,BS1420,MAX(0.1,N(Cockpit!$O$6))),BV1420)/BN1420,0)*BN1420</f>
        <v/>
      </c>
      <c r="AV1420" s="56">
        <f>IF(AS1420&gt;0,I1420/AS1420,-1)</f>
        <v/>
      </c>
      <c r="AW1420" s="56">
        <f>IF(AND(OR(BR1420="L1",BR1420="L23"),AS1420&gt;0),SUMIFS($AS$7:$AS$1570,$BR$7:$BR$1570,BR1420,$AV$7:$AV$1570,"&gt;"&amp;AV1420)+SUMIFS($AS$7:$AS$1570,$BR$7:$BR$1570,BR1420,$AV$7:$AV$1570,AV1420,$BL$7:$BL$1570,"&lt;="&amp;BL1420),"")</f>
        <v/>
      </c>
      <c r="AX1420" s="65">
        <f>IF(AW1420="",0,MAX(0,MIN(1,(IF(BR1420="L1",Parameter!$K$5,Parameter!$K$6+Parameter!$K$7)-(AW1420-AS1420))/AS1420)))</f>
        <v/>
      </c>
      <c r="AY1420" s="53">
        <f>IF(AC1420&lt;=0,"",IF(BR1420="Aussen","Aussenlager",IF(BR1420="-","Nicht im Lift",IF(AH1420&gt;=1,"Lift",IF(AH1420&lt;=0,"Aussenlager","teilweise")))))</f>
        <v/>
      </c>
      <c r="AZ1420" s="53">
        <f>IF(AK1420&lt;=0,"",IF(BR1420="Aussen","Aussenlager",IF(BR1420="-","Nicht im Lift",IF(AP1420&gt;=1,"Lift",IF(AP1420&lt;=0,"Aussenlager","teilweise")))))</f>
        <v/>
      </c>
      <c r="BA1420" s="53">
        <f>IF(AS1420&lt;=0,"",IF(BR1420="Aussen","Aussenlager",IF(BR1420="-","Nicht im Lift",IF(AX1420&gt;=1,"Lift",IF(AX1420&lt;=0,"Aussenlager","teilweise")))))</f>
        <v/>
      </c>
      <c r="BB1420" s="53">
        <f>IF(A1420="","",IF(BK1420=1,"Neu; ","")&amp;IF(AND(BK1420=0,BF1420&lt;0),"negativer Bestand (Export "&amp;BF1420&amp;"); ","")&amp;IF(I1420&lt;=0,"Kein Verbrauch; ","")&amp;IF(BO1420=1,"Lose – Fläche geschätzt; ","")&amp;IF(G1420&gt;AM1420,"Überbestand "&amp;ROUND(G1420-AM1420,0)&amp;" Stk / CHF "&amp;ROUND((G1420-AM1420)*F1420,0)&amp;"; ","")&amp;IF(AND(BT1420=1,BU1420&lt;BV1420),"MAX &lt; MB+LG; ","")&amp;IF(AND(BZ1420&gt;0,BY1420*10&gt;BZ1420),"zu hoch für Tablar; ","")&amp;IF(AND(BK1420=0,OR(BT1420=1,V1420&lt;&gt;"",S1420&lt;&gt;"",T1420&lt;&gt;"",W1420&lt;&gt;"")),"manuell übersteuert; ","")&amp;IF(AND(BO1420=0,Q1420=0),"Gebinde unbekannt; ","")&amp;IF(AND(BO1420=0,N(T1420)&lt;=0,N(P1420)&lt;=0),"Menge pro Gebinde fehlt (Ist = 1 Gebinde); ","")&amp;BJ1420)</f>
        <v/>
      </c>
      <c r="BC1420" s="53" t="n"/>
      <c r="BD1420" s="53" t="n"/>
      <c r="BE1420" s="61" t="n"/>
      <c r="BF1420" s="55" t="n">
        <v>-43</v>
      </c>
      <c r="BG1420" s="55" t="n">
        <v>55</v>
      </c>
      <c r="BH1420" s="54" t="n">
        <v>-5421.44</v>
      </c>
      <c r="BI1420" s="55" t="n">
        <v>2</v>
      </c>
      <c r="BJ1420" s="53" t="inlineStr"/>
      <c r="BK1420" s="58" t="n">
        <v>0</v>
      </c>
      <c r="BL1420" s="58" t="n">
        <v>1420</v>
      </c>
      <c r="BM1420" s="53">
        <f>IF(S1420&lt;&gt;"",UPPER(TRIM(S1420)),IF(O1420="","LOSE",O1420))</f>
        <v/>
      </c>
      <c r="BN1420" s="55">
        <f>IF(BM1420="LOSE",1,IF(N(T1420)&gt;0,T1420,IF(N(P1420)&gt;0,P1420,MAX(1,G1420))))</f>
        <v/>
      </c>
      <c r="BO1420" s="58">
        <f>IF(BM1420="LOSE",1,0)</f>
        <v/>
      </c>
      <c r="BP1420" s="64">
        <f>IF(BO1420=0,0,IF(N(R1420)&gt;0,R1420,IFERROR(VLOOKUP(D1420,Parameter!$A$35:$C$64,3,0)+0,0)))</f>
        <v/>
      </c>
      <c r="BQ1420" s="53">
        <f>IF(V1420&lt;&gt;"",V1420,U1420)</f>
        <v/>
      </c>
      <c r="BR1420" s="53">
        <f>IF(BQ1420=1,"L1",IF(OR(BQ1420=2,BQ1420=3),"L23",IF(BQ1420="Aussen","Aussen","-")))</f>
        <v/>
      </c>
      <c r="BS1420" s="66">
        <f>IF(N(W1420)&gt;0,W1420,0)</f>
        <v/>
      </c>
      <c r="BT1420" s="58">
        <f>IF(ISNUMBER(Z1420),1,0)</f>
        <v/>
      </c>
      <c r="BU1420" s="55">
        <f>N(Z1420)</f>
        <v/>
      </c>
      <c r="BV1420" s="55">
        <f>N(L1420)+N(M1420)</f>
        <v/>
      </c>
      <c r="BW1420" s="55">
        <f>ROUNDUP(G1420/BN1420,0)</f>
        <v/>
      </c>
      <c r="BX1420" s="55">
        <f>ROUNDUP(BU1420/BN1420,0)</f>
        <v/>
      </c>
      <c r="BY1420" s="58">
        <f>IF(BO1420=1,0,IFERROR(VLOOKUP(BM1420,'Gebinde-Kategorie'!$A$5:$G$45,5,0)+0,0))</f>
        <v/>
      </c>
      <c r="BZ1420" s="58">
        <f>IFERROR(IF(OR(BQ1420=1,BQ1420=2,BQ1420=3),N(INDEX(Parameter!$I$5:$I$7,BQ1420)),0),0)</f>
        <v/>
      </c>
    </row>
    <row r="1421">
      <c r="A1421" s="53" t="inlineStr">
        <is>
          <t>106936</t>
        </is>
      </c>
      <c r="B1421" s="53" t="inlineStr">
        <is>
          <t>Power Panel T50</t>
        </is>
      </c>
      <c r="C1421" s="53" t="inlineStr">
        <is>
          <t>F</t>
        </is>
      </c>
      <c r="D1421" s="53" t="inlineStr">
        <is>
          <t>PAL</t>
        </is>
      </c>
      <c r="E1421" s="53" t="inlineStr">
        <is>
          <t>C</t>
        </is>
      </c>
      <c r="F1421" s="54" t="n">
        <v>699.4400000000001</v>
      </c>
      <c r="G1421" s="55">
        <f>MAX(0,IF(Parameter!$B$20="Jahresanfang 2025 + Export",BG1421+BF1421,BF1421))</f>
        <v/>
      </c>
      <c r="H1421" s="55">
        <f>G1421*F1421</f>
        <v/>
      </c>
      <c r="I1421" s="55">
        <f>BI1421*Parameter!$B$18</f>
        <v/>
      </c>
      <c r="J1421" s="56" t="n">
        <v>13.5</v>
      </c>
      <c r="K1421" s="57" t="n">
        <v>0.5925925925925926</v>
      </c>
      <c r="L1421" s="55" t="n">
        <v>1</v>
      </c>
      <c r="M1421" s="55" t="n">
        <v>5</v>
      </c>
      <c r="N1421" s="58" t="n">
        <v>49</v>
      </c>
      <c r="O1421" s="53" t="inlineStr">
        <is>
          <t>S63</t>
        </is>
      </c>
      <c r="P1421" s="55" t="n">
        <v>7</v>
      </c>
      <c r="Q1421" s="59">
        <f>IF(BO1421=1,0,IFERROR(VLOOKUP(BM1421,'Gebinde-Kategorie'!$A$5:$G$45,6,0)+0,0))</f>
        <v/>
      </c>
      <c r="R1421" s="60" t="n"/>
      <c r="S1421" s="61" t="n"/>
      <c r="T1421" s="61" t="n"/>
      <c r="U1421" s="53">
        <f>IF(A1421="","",IF(IFERROR(VLOOKUP(D1421,Parameter!$A$35:$C$64,2,0),"Nein")="2+3",IF(ISNUMBER(SEARCH("grosser Artikel",BJ1421)),2,IFERROR(VLOOKUP(BM1421,Parameter!$F$35:$G$64,2,0),2)),IF(OR(IFERROR(VLOOKUP(D1421,Parameter!$A$35:$C$64,2,0),"Nein")="Nein",IFERROR(VLOOKUP(D1421,Parameter!$A$35:$C$64,2,0),"Nein")=""),"-",VLOOKUP(D1421,Parameter!$A$35:$C$64,2,0))))</f>
        <v/>
      </c>
      <c r="V1421" s="61" t="n"/>
      <c r="W1421" s="62" t="n"/>
      <c r="X1421" s="55">
        <f>AM1421</f>
        <v/>
      </c>
      <c r="Y1421" s="55">
        <f>MAX(AM1421,G1421)</f>
        <v/>
      </c>
      <c r="Z1421" s="63" t="n"/>
      <c r="AA1421" s="55">
        <f>IF(LEFT(Cockpit!$C$5,1)="A",G1421,IF(BT1421=1,BU1421,IF(LEFT(Cockpit!$C$5,1)="B",AE1421,MAX(AE1421,G1421))))</f>
        <v/>
      </c>
      <c r="AB1421" s="55">
        <f>IF(BO1421=1,0,ROUNDUP(AA1421/BN1421,0))</f>
        <v/>
      </c>
      <c r="AC1421" s="64">
        <f>IF(BO1421=1,IF(AA1421&lt;=0,0,BP1421*MAX(1,IF(G1421&gt;0,AA1421/G1421,1))),AB1421*Q1421)</f>
        <v/>
      </c>
      <c r="AD1421" s="55">
        <f>AA1421*F1421</f>
        <v/>
      </c>
      <c r="AE1421" s="55">
        <f>ROUNDUP(MAX(I1421/IF(BS1421&gt;0,BS1421,MAX(0.1,N(Cockpit!$C$6))),BV1421)/BN1421,0)*BN1421</f>
        <v/>
      </c>
      <c r="AF1421" s="56">
        <f>IF(AC1421&gt;0,I1421/AC1421,-1)</f>
        <v/>
      </c>
      <c r="AG1421" s="56">
        <f>IF(AND(OR(BR1421="L1",BR1421="L23"),AC1421&gt;0),SUMIFS($AC$7:$AC$1570,$BR$7:$BR$1570,BR1421,$AF$7:$AF$1570,"&gt;"&amp;AF1421)+SUMIFS($AC$7:$AC$1570,$BR$7:$BR$1570,BR1421,$AF$7:$AF$1570,AF1421,$BL$7:$BL$1570,"&lt;="&amp;BL1421),"")</f>
        <v/>
      </c>
      <c r="AH1421" s="65">
        <f>IF(AG1421="",0,MAX(0,MIN(1,(IF(BR1421="L1",Parameter!$K$5,Parameter!$K$6+Parameter!$K$7)-(AG1421-AC1421))/AC1421)))</f>
        <v/>
      </c>
      <c r="AI1421" s="55">
        <f>IF(LEFT(Cockpit!$I$5,1)="A",G1421,IF(BT1421=1,BU1421,IF(LEFT(Cockpit!$I$5,1)="B",AM1421,MAX(AM1421,G1421))))</f>
        <v/>
      </c>
      <c r="AJ1421" s="55">
        <f>IF(BO1421=1,0,ROUNDUP(AI1421/BN1421,0))</f>
        <v/>
      </c>
      <c r="AK1421" s="64">
        <f>IF(BO1421=1,IF(AI1421&lt;=0,0,BP1421*MAX(1,IF(G1421&gt;0,AI1421/G1421,1))),AJ1421*Q1421)</f>
        <v/>
      </c>
      <c r="AL1421" s="55">
        <f>AI1421*F1421</f>
        <v/>
      </c>
      <c r="AM1421" s="55">
        <f>ROUNDUP(MAX(I1421/IF(BS1421&gt;0,BS1421,MAX(0.1,N(Cockpit!$I$6))),BV1421)/BN1421,0)*BN1421</f>
        <v/>
      </c>
      <c r="AN1421" s="56">
        <f>IF(AK1421&gt;0,I1421/AK1421,-1)</f>
        <v/>
      </c>
      <c r="AO1421" s="56">
        <f>IF(AND(OR(BR1421="L1",BR1421="L23"),AK1421&gt;0),SUMIFS($AK$7:$AK$1570,$BR$7:$BR$1570,BR1421,$AN$7:$AN$1570,"&gt;"&amp;AN1421)+SUMIFS($AK$7:$AK$1570,$BR$7:$BR$1570,BR1421,$AN$7:$AN$1570,AN1421,$BL$7:$BL$1570,"&lt;="&amp;BL1421),"")</f>
        <v/>
      </c>
      <c r="AP1421" s="65">
        <f>IF(AO1421="",0,MAX(0,MIN(1,(IF(BR1421="L1",Parameter!$K$5,Parameter!$K$6+Parameter!$K$7)-(AO1421-AK1421))/AK1421)))</f>
        <v/>
      </c>
      <c r="AQ1421" s="55">
        <f>IF(LEFT(Cockpit!$O$5,1)="A",G1421,IF(BT1421=1,BU1421,IF(LEFT(Cockpit!$O$5,1)="B",AU1421,MAX(AU1421,G1421))))</f>
        <v/>
      </c>
      <c r="AR1421" s="55">
        <f>IF(BO1421=1,0,ROUNDUP(AQ1421/BN1421,0))</f>
        <v/>
      </c>
      <c r="AS1421" s="64">
        <f>IF(BO1421=1,IF(AQ1421&lt;=0,0,BP1421*MAX(1,IF(G1421&gt;0,AQ1421/G1421,1))),AR1421*Q1421)</f>
        <v/>
      </c>
      <c r="AT1421" s="55">
        <f>AQ1421*F1421</f>
        <v/>
      </c>
      <c r="AU1421" s="55">
        <f>ROUNDUP(MAX(I1421/IF(BS1421&gt;0,BS1421,MAX(0.1,N(Cockpit!$O$6))),BV1421)/BN1421,0)*BN1421</f>
        <v/>
      </c>
      <c r="AV1421" s="56">
        <f>IF(AS1421&gt;0,I1421/AS1421,-1)</f>
        <v/>
      </c>
      <c r="AW1421" s="56">
        <f>IF(AND(OR(BR1421="L1",BR1421="L23"),AS1421&gt;0),SUMIFS($AS$7:$AS$1570,$BR$7:$BR$1570,BR1421,$AV$7:$AV$1570,"&gt;"&amp;AV1421)+SUMIFS($AS$7:$AS$1570,$BR$7:$BR$1570,BR1421,$AV$7:$AV$1570,AV1421,$BL$7:$BL$1570,"&lt;="&amp;BL1421),"")</f>
        <v/>
      </c>
      <c r="AX1421" s="65">
        <f>IF(AW1421="",0,MAX(0,MIN(1,(IF(BR1421="L1",Parameter!$K$5,Parameter!$K$6+Parameter!$K$7)-(AW1421-AS1421))/AS1421)))</f>
        <v/>
      </c>
      <c r="AY1421" s="53">
        <f>IF(AC1421&lt;=0,"",IF(BR1421="Aussen","Aussenlager",IF(BR1421="-","Nicht im Lift",IF(AH1421&gt;=1,"Lift",IF(AH1421&lt;=0,"Aussenlager","teilweise")))))</f>
        <v/>
      </c>
      <c r="AZ1421" s="53">
        <f>IF(AK1421&lt;=0,"",IF(BR1421="Aussen","Aussenlager",IF(BR1421="-","Nicht im Lift",IF(AP1421&gt;=1,"Lift",IF(AP1421&lt;=0,"Aussenlager","teilweise")))))</f>
        <v/>
      </c>
      <c r="BA1421" s="53">
        <f>IF(AS1421&lt;=0,"",IF(BR1421="Aussen","Aussenlager",IF(BR1421="-","Nicht im Lift",IF(AX1421&gt;=1,"Lift",IF(AX1421&lt;=0,"Aussenlager","teilweise")))))</f>
        <v/>
      </c>
      <c r="BB1421" s="53">
        <f>IF(A1421="","",IF(BK1421=1,"Neu; ","")&amp;IF(AND(BK1421=0,BF1421&lt;0),"negativer Bestand (Export "&amp;BF1421&amp;"); ","")&amp;IF(I1421&lt;=0,"Kein Verbrauch; ","")&amp;IF(BO1421=1,"Lose – Fläche geschätzt; ","")&amp;IF(G1421&gt;AM1421,"Überbestand "&amp;ROUND(G1421-AM1421,0)&amp;" Stk / CHF "&amp;ROUND((G1421-AM1421)*F1421,0)&amp;"; ","")&amp;IF(AND(BT1421=1,BU1421&lt;BV1421),"MAX &lt; MB+LG; ","")&amp;IF(AND(BZ1421&gt;0,BY1421*10&gt;BZ1421),"zu hoch für Tablar; ","")&amp;IF(AND(BK1421=0,OR(BT1421=1,V1421&lt;&gt;"",S1421&lt;&gt;"",T1421&lt;&gt;"",W1421&lt;&gt;"")),"manuell übersteuert; ","")&amp;IF(AND(BO1421=0,Q1421=0),"Gebinde unbekannt; ","")&amp;IF(AND(BO1421=0,N(T1421)&lt;=0,N(P1421)&lt;=0),"Menge pro Gebinde fehlt (Ist = 1 Gebinde); ","")&amp;BJ1421)</f>
        <v/>
      </c>
      <c r="BC1421" s="53" t="n"/>
      <c r="BD1421" s="53" t="n"/>
      <c r="BE1421" s="61" t="n"/>
      <c r="BF1421" s="55" t="n">
        <v>-9</v>
      </c>
      <c r="BG1421" s="55" t="n">
        <v>16</v>
      </c>
      <c r="BH1421" s="54" t="n">
        <v>-5673.52</v>
      </c>
      <c r="BI1421" s="55" t="n">
        <v>8</v>
      </c>
      <c r="BJ1421" s="53" t="inlineStr">
        <is>
          <t>B&amp;R</t>
        </is>
      </c>
      <c r="BK1421" s="58" t="n">
        <v>0</v>
      </c>
      <c r="BL1421" s="58" t="n">
        <v>1421</v>
      </c>
      <c r="BM1421" s="53">
        <f>IF(S1421&lt;&gt;"",UPPER(TRIM(S1421)),IF(O1421="","LOSE",O1421))</f>
        <v/>
      </c>
      <c r="BN1421" s="55">
        <f>IF(BM1421="LOSE",1,IF(N(T1421)&gt;0,T1421,IF(N(P1421)&gt;0,P1421,MAX(1,G1421))))</f>
        <v/>
      </c>
      <c r="BO1421" s="58">
        <f>IF(BM1421="LOSE",1,0)</f>
        <v/>
      </c>
      <c r="BP1421" s="64">
        <f>IF(BO1421=0,0,IF(N(R1421)&gt;0,R1421,IFERROR(VLOOKUP(D1421,Parameter!$A$35:$C$64,3,0)+0,0)))</f>
        <v/>
      </c>
      <c r="BQ1421" s="53">
        <f>IF(V1421&lt;&gt;"",V1421,U1421)</f>
        <v/>
      </c>
      <c r="BR1421" s="53">
        <f>IF(BQ1421=1,"L1",IF(OR(BQ1421=2,BQ1421=3),"L23",IF(BQ1421="Aussen","Aussen","-")))</f>
        <v/>
      </c>
      <c r="BS1421" s="66">
        <f>IF(N(W1421)&gt;0,W1421,0)</f>
        <v/>
      </c>
      <c r="BT1421" s="58">
        <f>IF(ISNUMBER(Z1421),1,0)</f>
        <v/>
      </c>
      <c r="BU1421" s="55">
        <f>N(Z1421)</f>
        <v/>
      </c>
      <c r="BV1421" s="55">
        <f>N(L1421)+N(M1421)</f>
        <v/>
      </c>
      <c r="BW1421" s="55">
        <f>ROUNDUP(G1421/BN1421,0)</f>
        <v/>
      </c>
      <c r="BX1421" s="55">
        <f>ROUNDUP(BU1421/BN1421,0)</f>
        <v/>
      </c>
      <c r="BY1421" s="58">
        <f>IF(BO1421=1,0,IFERROR(VLOOKUP(BM1421,'Gebinde-Kategorie'!$A$5:$G$45,5,0)+0,0))</f>
        <v/>
      </c>
      <c r="BZ1421" s="58">
        <f>IFERROR(IF(OR(BQ1421=1,BQ1421=2,BQ1421=3),N(INDEX(Parameter!$I$5:$I$7,BQ1421)),0),0)</f>
        <v/>
      </c>
    </row>
    <row r="1422">
      <c r="A1422" s="53" t="inlineStr">
        <is>
          <t>108168</t>
        </is>
      </c>
      <c r="B1422" s="53" t="inlineStr">
        <is>
          <t>SPS Zentraleinheit</t>
        </is>
      </c>
      <c r="C1422" s="53" t="inlineStr">
        <is>
          <t>F</t>
        </is>
      </c>
      <c r="D1422" s="53" t="inlineStr">
        <is>
          <t>KTL</t>
        </is>
      </c>
      <c r="E1422" s="53" t="inlineStr">
        <is>
          <t>C</t>
        </is>
      </c>
      <c r="F1422" s="54" t="n">
        <v>671.53</v>
      </c>
      <c r="G1422" s="55">
        <f>MAX(0,IF(Parameter!$B$20="Jahresanfang 2025 + Export",BG1422+BF1422,BF1422))</f>
        <v/>
      </c>
      <c r="H1422" s="55">
        <f>G1422*F1422</f>
        <v/>
      </c>
      <c r="I1422" s="55">
        <f>BI1422*Parameter!$B$18</f>
        <v/>
      </c>
      <c r="J1422" s="56" t="n">
        <v>13</v>
      </c>
      <c r="K1422" s="57" t="n">
        <v>0.3076923076923077</v>
      </c>
      <c r="L1422" s="55" t="n">
        <v>0</v>
      </c>
      <c r="M1422" s="55" t="n">
        <v>5</v>
      </c>
      <c r="N1422" s="58" t="n">
        <v>28</v>
      </c>
      <c r="O1422" s="53" t="inlineStr">
        <is>
          <t>S62</t>
        </is>
      </c>
      <c r="P1422" s="55" t="n">
        <v>8</v>
      </c>
      <c r="Q1422" s="59">
        <f>IF(BO1422=1,0,IFERROR(VLOOKUP(BM1422,'Gebinde-Kategorie'!$A$5:$G$45,6,0)+0,0))</f>
        <v/>
      </c>
      <c r="R1422" s="60" t="n"/>
      <c r="S1422" s="61" t="n"/>
      <c r="T1422" s="61" t="n"/>
      <c r="U1422" s="53">
        <f>IF(A1422="","",IF(IFERROR(VLOOKUP(D1422,Parameter!$A$35:$C$64,2,0),"Nein")="2+3",IF(ISNUMBER(SEARCH("grosser Artikel",BJ1422)),2,IFERROR(VLOOKUP(BM1422,Parameter!$F$35:$G$64,2,0),2)),IF(OR(IFERROR(VLOOKUP(D1422,Parameter!$A$35:$C$64,2,0),"Nein")="Nein",IFERROR(VLOOKUP(D1422,Parameter!$A$35:$C$64,2,0),"Nein")=""),"-",VLOOKUP(D1422,Parameter!$A$35:$C$64,2,0))))</f>
        <v/>
      </c>
      <c r="V1422" s="61" t="n"/>
      <c r="W1422" s="62" t="n"/>
      <c r="X1422" s="55">
        <f>AM1422</f>
        <v/>
      </c>
      <c r="Y1422" s="55">
        <f>MAX(AM1422,G1422)</f>
        <v/>
      </c>
      <c r="Z1422" s="63" t="n"/>
      <c r="AA1422" s="55">
        <f>IF(LEFT(Cockpit!$C$5,1)="A",G1422,IF(BT1422=1,BU1422,IF(LEFT(Cockpit!$C$5,1)="B",AE1422,MAX(AE1422,G1422))))</f>
        <v/>
      </c>
      <c r="AB1422" s="55">
        <f>IF(BO1422=1,0,ROUNDUP(AA1422/BN1422,0))</f>
        <v/>
      </c>
      <c r="AC1422" s="64">
        <f>IF(BO1422=1,IF(AA1422&lt;=0,0,BP1422*MAX(1,IF(G1422&gt;0,AA1422/G1422,1))),AB1422*Q1422)</f>
        <v/>
      </c>
      <c r="AD1422" s="55">
        <f>AA1422*F1422</f>
        <v/>
      </c>
      <c r="AE1422" s="55">
        <f>ROUNDUP(MAX(I1422/IF(BS1422&gt;0,BS1422,MAX(0.1,N(Cockpit!$C$6))),BV1422)/BN1422,0)*BN1422</f>
        <v/>
      </c>
      <c r="AF1422" s="56">
        <f>IF(AC1422&gt;0,I1422/AC1422,-1)</f>
        <v/>
      </c>
      <c r="AG1422" s="56">
        <f>IF(AND(OR(BR1422="L1",BR1422="L23"),AC1422&gt;0),SUMIFS($AC$7:$AC$1570,$BR$7:$BR$1570,BR1422,$AF$7:$AF$1570,"&gt;"&amp;AF1422)+SUMIFS($AC$7:$AC$1570,$BR$7:$BR$1570,BR1422,$AF$7:$AF$1570,AF1422,$BL$7:$BL$1570,"&lt;="&amp;BL1422),"")</f>
        <v/>
      </c>
      <c r="AH1422" s="65">
        <f>IF(AG1422="",0,MAX(0,MIN(1,(IF(BR1422="L1",Parameter!$K$5,Parameter!$K$6+Parameter!$K$7)-(AG1422-AC1422))/AC1422)))</f>
        <v/>
      </c>
      <c r="AI1422" s="55">
        <f>IF(LEFT(Cockpit!$I$5,1)="A",G1422,IF(BT1422=1,BU1422,IF(LEFT(Cockpit!$I$5,1)="B",AM1422,MAX(AM1422,G1422))))</f>
        <v/>
      </c>
      <c r="AJ1422" s="55">
        <f>IF(BO1422=1,0,ROUNDUP(AI1422/BN1422,0))</f>
        <v/>
      </c>
      <c r="AK1422" s="64">
        <f>IF(BO1422=1,IF(AI1422&lt;=0,0,BP1422*MAX(1,IF(G1422&gt;0,AI1422/G1422,1))),AJ1422*Q1422)</f>
        <v/>
      </c>
      <c r="AL1422" s="55">
        <f>AI1422*F1422</f>
        <v/>
      </c>
      <c r="AM1422" s="55">
        <f>ROUNDUP(MAX(I1422/IF(BS1422&gt;0,BS1422,MAX(0.1,N(Cockpit!$I$6))),BV1422)/BN1422,0)*BN1422</f>
        <v/>
      </c>
      <c r="AN1422" s="56">
        <f>IF(AK1422&gt;0,I1422/AK1422,-1)</f>
        <v/>
      </c>
      <c r="AO1422" s="56">
        <f>IF(AND(OR(BR1422="L1",BR1422="L23"),AK1422&gt;0),SUMIFS($AK$7:$AK$1570,$BR$7:$BR$1570,BR1422,$AN$7:$AN$1570,"&gt;"&amp;AN1422)+SUMIFS($AK$7:$AK$1570,$BR$7:$BR$1570,BR1422,$AN$7:$AN$1570,AN1422,$BL$7:$BL$1570,"&lt;="&amp;BL1422),"")</f>
        <v/>
      </c>
      <c r="AP1422" s="65">
        <f>IF(AO1422="",0,MAX(0,MIN(1,(IF(BR1422="L1",Parameter!$K$5,Parameter!$K$6+Parameter!$K$7)-(AO1422-AK1422))/AK1422)))</f>
        <v/>
      </c>
      <c r="AQ1422" s="55">
        <f>IF(LEFT(Cockpit!$O$5,1)="A",G1422,IF(BT1422=1,BU1422,IF(LEFT(Cockpit!$O$5,1)="B",AU1422,MAX(AU1422,G1422))))</f>
        <v/>
      </c>
      <c r="AR1422" s="55">
        <f>IF(BO1422=1,0,ROUNDUP(AQ1422/BN1422,0))</f>
        <v/>
      </c>
      <c r="AS1422" s="64">
        <f>IF(BO1422=1,IF(AQ1422&lt;=0,0,BP1422*MAX(1,IF(G1422&gt;0,AQ1422/G1422,1))),AR1422*Q1422)</f>
        <v/>
      </c>
      <c r="AT1422" s="55">
        <f>AQ1422*F1422</f>
        <v/>
      </c>
      <c r="AU1422" s="55">
        <f>ROUNDUP(MAX(I1422/IF(BS1422&gt;0,BS1422,MAX(0.1,N(Cockpit!$O$6))),BV1422)/BN1422,0)*BN1422</f>
        <v/>
      </c>
      <c r="AV1422" s="56">
        <f>IF(AS1422&gt;0,I1422/AS1422,-1)</f>
        <v/>
      </c>
      <c r="AW1422" s="56">
        <f>IF(AND(OR(BR1422="L1",BR1422="L23"),AS1422&gt;0),SUMIFS($AS$7:$AS$1570,$BR$7:$BR$1570,BR1422,$AV$7:$AV$1570,"&gt;"&amp;AV1422)+SUMIFS($AS$7:$AS$1570,$BR$7:$BR$1570,BR1422,$AV$7:$AV$1570,AV1422,$BL$7:$BL$1570,"&lt;="&amp;BL1422),"")</f>
        <v/>
      </c>
      <c r="AX1422" s="65">
        <f>IF(AW1422="",0,MAX(0,MIN(1,(IF(BR1422="L1",Parameter!$K$5,Parameter!$K$6+Parameter!$K$7)-(AW1422-AS1422))/AS1422)))</f>
        <v/>
      </c>
      <c r="AY1422" s="53">
        <f>IF(AC1422&lt;=0,"",IF(BR1422="Aussen","Aussenlager",IF(BR1422="-","Nicht im Lift",IF(AH1422&gt;=1,"Lift",IF(AH1422&lt;=0,"Aussenlager","teilweise")))))</f>
        <v/>
      </c>
      <c r="AZ1422" s="53">
        <f>IF(AK1422&lt;=0,"",IF(BR1422="Aussen","Aussenlager",IF(BR1422="-","Nicht im Lift",IF(AP1422&gt;=1,"Lift",IF(AP1422&lt;=0,"Aussenlager","teilweise")))))</f>
        <v/>
      </c>
      <c r="BA1422" s="53">
        <f>IF(AS1422&lt;=0,"",IF(BR1422="Aussen","Aussenlager",IF(BR1422="-","Nicht im Lift",IF(AX1422&gt;=1,"Lift",IF(AX1422&lt;=0,"Aussenlager","teilweise")))))</f>
        <v/>
      </c>
      <c r="BB1422" s="53">
        <f>IF(A1422="","",IF(BK1422=1,"Neu; ","")&amp;IF(AND(BK1422=0,BF1422&lt;0),"negativer Bestand (Export "&amp;BF1422&amp;"); ","")&amp;IF(I1422&lt;=0,"Kein Verbrauch; ","")&amp;IF(BO1422=1,"Lose – Fläche geschätzt; ","")&amp;IF(G1422&gt;AM1422,"Überbestand "&amp;ROUND(G1422-AM1422,0)&amp;" Stk / CHF "&amp;ROUND((G1422-AM1422)*F1422,0)&amp;"; ","")&amp;IF(AND(BT1422=1,BU1422&lt;BV1422),"MAX &lt; MB+LG; ","")&amp;IF(AND(BZ1422&gt;0,BY1422*10&gt;BZ1422),"zu hoch für Tablar; ","")&amp;IF(AND(BK1422=0,OR(BT1422=1,V1422&lt;&gt;"",S1422&lt;&gt;"",T1422&lt;&gt;"",W1422&lt;&gt;"")),"manuell übersteuert; ","")&amp;IF(AND(BO1422=0,Q1422=0),"Gebinde unbekannt; ","")&amp;IF(AND(BO1422=0,N(T1422)&lt;=0,N(P1422)&lt;=0),"Menge pro Gebinde fehlt (Ist = 1 Gebinde); ","")&amp;BJ1422)</f>
        <v/>
      </c>
      <c r="BC1422" s="53" t="n"/>
      <c r="BD1422" s="53" t="n"/>
      <c r="BE1422" s="61" t="n"/>
      <c r="BF1422" s="55" t="n">
        <v>-9</v>
      </c>
      <c r="BG1422" s="55" t="n">
        <v>16</v>
      </c>
      <c r="BH1422" s="54" t="n">
        <v>-6043.77</v>
      </c>
      <c r="BI1422" s="55" t="n">
        <v>4</v>
      </c>
      <c r="BJ1422" s="53" t="inlineStr"/>
      <c r="BK1422" s="58" t="n">
        <v>0</v>
      </c>
      <c r="BL1422" s="58" t="n">
        <v>1422</v>
      </c>
      <c r="BM1422" s="53">
        <f>IF(S1422&lt;&gt;"",UPPER(TRIM(S1422)),IF(O1422="","LOSE",O1422))</f>
        <v/>
      </c>
      <c r="BN1422" s="55">
        <f>IF(BM1422="LOSE",1,IF(N(T1422)&gt;0,T1422,IF(N(P1422)&gt;0,P1422,MAX(1,G1422))))</f>
        <v/>
      </c>
      <c r="BO1422" s="58">
        <f>IF(BM1422="LOSE",1,0)</f>
        <v/>
      </c>
      <c r="BP1422" s="64">
        <f>IF(BO1422=0,0,IF(N(R1422)&gt;0,R1422,IFERROR(VLOOKUP(D1422,Parameter!$A$35:$C$64,3,0)+0,0)))</f>
        <v/>
      </c>
      <c r="BQ1422" s="53">
        <f>IF(V1422&lt;&gt;"",V1422,U1422)</f>
        <v/>
      </c>
      <c r="BR1422" s="53">
        <f>IF(BQ1422=1,"L1",IF(OR(BQ1422=2,BQ1422=3),"L23",IF(BQ1422="Aussen","Aussen","-")))</f>
        <v/>
      </c>
      <c r="BS1422" s="66">
        <f>IF(N(W1422)&gt;0,W1422,0)</f>
        <v/>
      </c>
      <c r="BT1422" s="58">
        <f>IF(ISNUMBER(Z1422),1,0)</f>
        <v/>
      </c>
      <c r="BU1422" s="55">
        <f>N(Z1422)</f>
        <v/>
      </c>
      <c r="BV1422" s="55">
        <f>N(L1422)+N(M1422)</f>
        <v/>
      </c>
      <c r="BW1422" s="55">
        <f>ROUNDUP(G1422/BN1422,0)</f>
        <v/>
      </c>
      <c r="BX1422" s="55">
        <f>ROUNDUP(BU1422/BN1422,0)</f>
        <v/>
      </c>
      <c r="BY1422" s="58">
        <f>IF(BO1422=1,0,IFERROR(VLOOKUP(BM1422,'Gebinde-Kategorie'!$A$5:$G$45,5,0)+0,0))</f>
        <v/>
      </c>
      <c r="BZ1422" s="58">
        <f>IFERROR(IF(OR(BQ1422=1,BQ1422=2,BQ1422=3),N(INDEX(Parameter!$I$5:$I$7,BQ1422)),0),0)</f>
        <v/>
      </c>
    </row>
    <row r="1423">
      <c r="A1423" s="53" t="inlineStr">
        <is>
          <t>105962</t>
        </is>
      </c>
      <c r="B1423" s="53" t="inlineStr">
        <is>
          <t>Konstanthänger</t>
        </is>
      </c>
      <c r="C1423" s="53" t="inlineStr">
        <is>
          <t>F</t>
        </is>
      </c>
      <c r="D1423" s="53" t="inlineStr">
        <is>
          <t>PAL</t>
        </is>
      </c>
      <c r="E1423" s="53" t="inlineStr">
        <is>
          <t>C</t>
        </is>
      </c>
      <c r="F1423" s="54" t="n">
        <v>1464.77</v>
      </c>
      <c r="G1423" s="55">
        <f>MAX(0,IF(Parameter!$B$20="Jahresanfang 2025 + Export",BG1423+BF1423,BF1423))</f>
        <v/>
      </c>
      <c r="H1423" s="55">
        <f>G1423*F1423</f>
        <v/>
      </c>
      <c r="I1423" s="55">
        <f>BI1423*Parameter!$B$18</f>
        <v/>
      </c>
      <c r="J1423" s="56" t="n">
        <v>8</v>
      </c>
      <c r="K1423" s="57" t="n">
        <v>2</v>
      </c>
      <c r="L1423" s="55" t="n">
        <v>3</v>
      </c>
      <c r="M1423" s="55" t="n">
        <v>5</v>
      </c>
      <c r="N1423" s="58" t="n">
        <v>70</v>
      </c>
      <c r="O1423" s="53" t="inlineStr">
        <is>
          <t>LOSE</t>
        </is>
      </c>
      <c r="P1423" s="55" t="n"/>
      <c r="Q1423" s="59">
        <f>IF(BO1423=1,0,IFERROR(VLOOKUP(BM1423,'Gebinde-Kategorie'!$A$5:$G$45,6,0)+0,0))</f>
        <v/>
      </c>
      <c r="R1423" s="60" t="n"/>
      <c r="S1423" s="61" t="n"/>
      <c r="T1423" s="61" t="n"/>
      <c r="U1423" s="53">
        <f>IF(A1423="","",IF(IFERROR(VLOOKUP(D1423,Parameter!$A$35:$C$64,2,0),"Nein")="2+3",IF(ISNUMBER(SEARCH("grosser Artikel",BJ1423)),2,IFERROR(VLOOKUP(BM1423,Parameter!$F$35:$G$64,2,0),2)),IF(OR(IFERROR(VLOOKUP(D1423,Parameter!$A$35:$C$64,2,0),"Nein")="Nein",IFERROR(VLOOKUP(D1423,Parameter!$A$35:$C$64,2,0),"Nein")=""),"-",VLOOKUP(D1423,Parameter!$A$35:$C$64,2,0))))</f>
        <v/>
      </c>
      <c r="V1423" s="61" t="n"/>
      <c r="W1423" s="62" t="n"/>
      <c r="X1423" s="55">
        <f>AM1423</f>
        <v/>
      </c>
      <c r="Y1423" s="55">
        <f>MAX(AM1423,G1423)</f>
        <v/>
      </c>
      <c r="Z1423" s="63" t="n"/>
      <c r="AA1423" s="55">
        <f>IF(LEFT(Cockpit!$C$5,1)="A",G1423,IF(BT1423=1,BU1423,IF(LEFT(Cockpit!$C$5,1)="B",AE1423,MAX(AE1423,G1423))))</f>
        <v/>
      </c>
      <c r="AB1423" s="55">
        <f>IF(BO1423=1,0,ROUNDUP(AA1423/BN1423,0))</f>
        <v/>
      </c>
      <c r="AC1423" s="64">
        <f>IF(BO1423=1,IF(AA1423&lt;=0,0,BP1423*MAX(1,IF(G1423&gt;0,AA1423/G1423,1))),AB1423*Q1423)</f>
        <v/>
      </c>
      <c r="AD1423" s="55">
        <f>AA1423*F1423</f>
        <v/>
      </c>
      <c r="AE1423" s="55">
        <f>ROUNDUP(MAX(I1423/IF(BS1423&gt;0,BS1423,MAX(0.1,N(Cockpit!$C$6))),BV1423)/BN1423,0)*BN1423</f>
        <v/>
      </c>
      <c r="AF1423" s="56">
        <f>IF(AC1423&gt;0,I1423/AC1423,-1)</f>
        <v/>
      </c>
      <c r="AG1423" s="56">
        <f>IF(AND(OR(BR1423="L1",BR1423="L23"),AC1423&gt;0),SUMIFS($AC$7:$AC$1570,$BR$7:$BR$1570,BR1423,$AF$7:$AF$1570,"&gt;"&amp;AF1423)+SUMIFS($AC$7:$AC$1570,$BR$7:$BR$1570,BR1423,$AF$7:$AF$1570,AF1423,$BL$7:$BL$1570,"&lt;="&amp;BL1423),"")</f>
        <v/>
      </c>
      <c r="AH1423" s="65">
        <f>IF(AG1423="",0,MAX(0,MIN(1,(IF(BR1423="L1",Parameter!$K$5,Parameter!$K$6+Parameter!$K$7)-(AG1423-AC1423))/AC1423)))</f>
        <v/>
      </c>
      <c r="AI1423" s="55">
        <f>IF(LEFT(Cockpit!$I$5,1)="A",G1423,IF(BT1423=1,BU1423,IF(LEFT(Cockpit!$I$5,1)="B",AM1423,MAX(AM1423,G1423))))</f>
        <v/>
      </c>
      <c r="AJ1423" s="55">
        <f>IF(BO1423=1,0,ROUNDUP(AI1423/BN1423,0))</f>
        <v/>
      </c>
      <c r="AK1423" s="64">
        <f>IF(BO1423=1,IF(AI1423&lt;=0,0,BP1423*MAX(1,IF(G1423&gt;0,AI1423/G1423,1))),AJ1423*Q1423)</f>
        <v/>
      </c>
      <c r="AL1423" s="55">
        <f>AI1423*F1423</f>
        <v/>
      </c>
      <c r="AM1423" s="55">
        <f>ROUNDUP(MAX(I1423/IF(BS1423&gt;0,BS1423,MAX(0.1,N(Cockpit!$I$6))),BV1423)/BN1423,0)*BN1423</f>
        <v/>
      </c>
      <c r="AN1423" s="56">
        <f>IF(AK1423&gt;0,I1423/AK1423,-1)</f>
        <v/>
      </c>
      <c r="AO1423" s="56">
        <f>IF(AND(OR(BR1423="L1",BR1423="L23"),AK1423&gt;0),SUMIFS($AK$7:$AK$1570,$BR$7:$BR$1570,BR1423,$AN$7:$AN$1570,"&gt;"&amp;AN1423)+SUMIFS($AK$7:$AK$1570,$BR$7:$BR$1570,BR1423,$AN$7:$AN$1570,AN1423,$BL$7:$BL$1570,"&lt;="&amp;BL1423),"")</f>
        <v/>
      </c>
      <c r="AP1423" s="65">
        <f>IF(AO1423="",0,MAX(0,MIN(1,(IF(BR1423="L1",Parameter!$K$5,Parameter!$K$6+Parameter!$K$7)-(AO1423-AK1423))/AK1423)))</f>
        <v/>
      </c>
      <c r="AQ1423" s="55">
        <f>IF(LEFT(Cockpit!$O$5,1)="A",G1423,IF(BT1423=1,BU1423,IF(LEFT(Cockpit!$O$5,1)="B",AU1423,MAX(AU1423,G1423))))</f>
        <v/>
      </c>
      <c r="AR1423" s="55">
        <f>IF(BO1423=1,0,ROUNDUP(AQ1423/BN1423,0))</f>
        <v/>
      </c>
      <c r="AS1423" s="64">
        <f>IF(BO1423=1,IF(AQ1423&lt;=0,0,BP1423*MAX(1,IF(G1423&gt;0,AQ1423/G1423,1))),AR1423*Q1423)</f>
        <v/>
      </c>
      <c r="AT1423" s="55">
        <f>AQ1423*F1423</f>
        <v/>
      </c>
      <c r="AU1423" s="55">
        <f>ROUNDUP(MAX(I1423/IF(BS1423&gt;0,BS1423,MAX(0.1,N(Cockpit!$O$6))),BV1423)/BN1423,0)*BN1423</f>
        <v/>
      </c>
      <c r="AV1423" s="56">
        <f>IF(AS1423&gt;0,I1423/AS1423,-1)</f>
        <v/>
      </c>
      <c r="AW1423" s="56">
        <f>IF(AND(OR(BR1423="L1",BR1423="L23"),AS1423&gt;0),SUMIFS($AS$7:$AS$1570,$BR$7:$BR$1570,BR1423,$AV$7:$AV$1570,"&gt;"&amp;AV1423)+SUMIFS($AS$7:$AS$1570,$BR$7:$BR$1570,BR1423,$AV$7:$AV$1570,AV1423,$BL$7:$BL$1570,"&lt;="&amp;BL1423),"")</f>
        <v/>
      </c>
      <c r="AX1423" s="65">
        <f>IF(AW1423="",0,MAX(0,MIN(1,(IF(BR1423="L1",Parameter!$K$5,Parameter!$K$6+Parameter!$K$7)-(AW1423-AS1423))/AS1423)))</f>
        <v/>
      </c>
      <c r="AY1423" s="53">
        <f>IF(AC1423&lt;=0,"",IF(BR1423="Aussen","Aussenlager",IF(BR1423="-","Nicht im Lift",IF(AH1423&gt;=1,"Lift",IF(AH1423&lt;=0,"Aussenlager","teilweise")))))</f>
        <v/>
      </c>
      <c r="AZ1423" s="53">
        <f>IF(AK1423&lt;=0,"",IF(BR1423="Aussen","Aussenlager",IF(BR1423="-","Nicht im Lift",IF(AP1423&gt;=1,"Lift",IF(AP1423&lt;=0,"Aussenlager","teilweise")))))</f>
        <v/>
      </c>
      <c r="BA1423" s="53">
        <f>IF(AS1423&lt;=0,"",IF(BR1423="Aussen","Aussenlager",IF(BR1423="-","Nicht im Lift",IF(AX1423&gt;=1,"Lift",IF(AX1423&lt;=0,"Aussenlager","teilweise")))))</f>
        <v/>
      </c>
      <c r="BB1423" s="53">
        <f>IF(A1423="","",IF(BK1423=1,"Neu; ","")&amp;IF(AND(BK1423=0,BF1423&lt;0),"negativer Bestand (Export "&amp;BF1423&amp;"); ","")&amp;IF(I1423&lt;=0,"Kein Verbrauch; ","")&amp;IF(BO1423=1,"Lose – Fläche geschätzt; ","")&amp;IF(G1423&gt;AM1423,"Überbestand "&amp;ROUND(G1423-AM1423,0)&amp;" Stk / CHF "&amp;ROUND((G1423-AM1423)*F1423,0)&amp;"; ","")&amp;IF(AND(BT1423=1,BU1423&lt;BV1423),"MAX &lt; MB+LG; ","")&amp;IF(AND(BZ1423&gt;0,BY1423*10&gt;BZ1423),"zu hoch für Tablar; ","")&amp;IF(AND(BK1423=0,OR(BT1423=1,V1423&lt;&gt;"",S1423&lt;&gt;"",T1423&lt;&gt;"",W1423&lt;&gt;"")),"manuell übersteuert; ","")&amp;IF(AND(BO1423=0,Q1423=0),"Gebinde unbekannt; ","")&amp;IF(AND(BO1423=0,N(T1423)&lt;=0,N(P1423)&lt;=0),"Menge pro Gebinde fehlt (Ist = 1 Gebinde); ","")&amp;BJ1423)</f>
        <v/>
      </c>
      <c r="BC1423" s="53" t="n"/>
      <c r="BD1423" s="53" t="n"/>
      <c r="BE1423" s="61" t="n"/>
      <c r="BF1423" s="55" t="n">
        <v>-5</v>
      </c>
      <c r="BG1423" s="55" t="n">
        <v>12</v>
      </c>
      <c r="BH1423" s="54" t="n">
        <v>-6065.889999999993</v>
      </c>
      <c r="BI1423" s="55" t="n">
        <v>16</v>
      </c>
      <c r="BJ1423" s="53" t="inlineStr"/>
      <c r="BK1423" s="58" t="n">
        <v>0</v>
      </c>
      <c r="BL1423" s="58" t="n">
        <v>1423</v>
      </c>
      <c r="BM1423" s="53">
        <f>IF(S1423&lt;&gt;"",UPPER(TRIM(S1423)),IF(O1423="","LOSE",O1423))</f>
        <v/>
      </c>
      <c r="BN1423" s="55">
        <f>IF(BM1423="LOSE",1,IF(N(T1423)&gt;0,T1423,IF(N(P1423)&gt;0,P1423,MAX(1,G1423))))</f>
        <v/>
      </c>
      <c r="BO1423" s="58">
        <f>IF(BM1423="LOSE",1,0)</f>
        <v/>
      </c>
      <c r="BP1423" s="64">
        <f>IF(BO1423=0,0,IF(N(R1423)&gt;0,R1423,IFERROR(VLOOKUP(D1423,Parameter!$A$35:$C$64,3,0)+0,0)))</f>
        <v/>
      </c>
      <c r="BQ1423" s="53">
        <f>IF(V1423&lt;&gt;"",V1423,U1423)</f>
        <v/>
      </c>
      <c r="BR1423" s="53">
        <f>IF(BQ1423=1,"L1",IF(OR(BQ1423=2,BQ1423=3),"L23",IF(BQ1423="Aussen","Aussen","-")))</f>
        <v/>
      </c>
      <c r="BS1423" s="66">
        <f>IF(N(W1423)&gt;0,W1423,0)</f>
        <v/>
      </c>
      <c r="BT1423" s="58">
        <f>IF(ISNUMBER(Z1423),1,0)</f>
        <v/>
      </c>
      <c r="BU1423" s="55">
        <f>N(Z1423)</f>
        <v/>
      </c>
      <c r="BV1423" s="55">
        <f>N(L1423)+N(M1423)</f>
        <v/>
      </c>
      <c r="BW1423" s="55">
        <f>ROUNDUP(G1423/BN1423,0)</f>
        <v/>
      </c>
      <c r="BX1423" s="55">
        <f>ROUNDUP(BU1423/BN1423,0)</f>
        <v/>
      </c>
      <c r="BY1423" s="58">
        <f>IF(BO1423=1,0,IFERROR(VLOOKUP(BM1423,'Gebinde-Kategorie'!$A$5:$G$45,5,0)+0,0))</f>
        <v/>
      </c>
      <c r="BZ1423" s="58">
        <f>IFERROR(IF(OR(BQ1423=1,BQ1423=2,BQ1423=3),N(INDEX(Parameter!$I$5:$I$7,BQ1423)),0),0)</f>
        <v/>
      </c>
    </row>
    <row r="1424">
      <c r="A1424" s="53" t="inlineStr">
        <is>
          <t>109737</t>
        </is>
      </c>
      <c r="B1424" s="53" t="inlineStr">
        <is>
          <t>Druckregelstrecke SPGr Luft</t>
        </is>
      </c>
      <c r="C1424" s="53" t="inlineStr">
        <is>
          <t>F</t>
        </is>
      </c>
      <c r="D1424" s="53" t="inlineStr">
        <is>
          <t>LIFT1</t>
        </is>
      </c>
      <c r="E1424" s="53" t="inlineStr">
        <is>
          <t>C</t>
        </is>
      </c>
      <c r="F1424" s="54" t="n">
        <v>2751.82</v>
      </c>
      <c r="G1424" s="55">
        <f>MAX(0,IF(Parameter!$B$20="Jahresanfang 2025 + Export",BG1424+BF1424,BF1424))</f>
        <v/>
      </c>
      <c r="H1424" s="55">
        <f>G1424*F1424</f>
        <v/>
      </c>
      <c r="I1424" s="55">
        <f>BI1424*Parameter!$B$18</f>
        <v/>
      </c>
      <c r="J1424" s="56" t="n">
        <v>9.5</v>
      </c>
      <c r="K1424" s="57" t="n">
        <v>2</v>
      </c>
      <c r="L1424" s="55" t="n">
        <v>5</v>
      </c>
      <c r="M1424" s="55" t="n">
        <v>5</v>
      </c>
      <c r="N1424" s="58" t="n">
        <v>74</v>
      </c>
      <c r="O1424" s="53" t="inlineStr">
        <is>
          <t>LOSE</t>
        </is>
      </c>
      <c r="P1424" s="55" t="n"/>
      <c r="Q1424" s="59">
        <f>IF(BO1424=1,0,IFERROR(VLOOKUP(BM1424,'Gebinde-Kategorie'!$A$5:$G$45,6,0)+0,0))</f>
        <v/>
      </c>
      <c r="R1424" s="60" t="n"/>
      <c r="S1424" s="61" t="n"/>
      <c r="T1424" s="61" t="n"/>
      <c r="U1424" s="53">
        <f>IF(A1424="","",IF(IFERROR(VLOOKUP(D1424,Parameter!$A$35:$C$64,2,0),"Nein")="2+3",IF(ISNUMBER(SEARCH("grosser Artikel",BJ1424)),2,IFERROR(VLOOKUP(BM1424,Parameter!$F$35:$G$64,2,0),2)),IF(OR(IFERROR(VLOOKUP(D1424,Parameter!$A$35:$C$64,2,0),"Nein")="Nein",IFERROR(VLOOKUP(D1424,Parameter!$A$35:$C$64,2,0),"Nein")=""),"-",VLOOKUP(D1424,Parameter!$A$35:$C$64,2,0))))</f>
        <v/>
      </c>
      <c r="V1424" s="61" t="n"/>
      <c r="W1424" s="62" t="n"/>
      <c r="X1424" s="55">
        <f>AM1424</f>
        <v/>
      </c>
      <c r="Y1424" s="55">
        <f>MAX(AM1424,G1424)</f>
        <v/>
      </c>
      <c r="Z1424" s="63" t="n"/>
      <c r="AA1424" s="55">
        <f>IF(LEFT(Cockpit!$C$5,1)="A",G1424,IF(BT1424=1,BU1424,IF(LEFT(Cockpit!$C$5,1)="B",AE1424,MAX(AE1424,G1424))))</f>
        <v/>
      </c>
      <c r="AB1424" s="55">
        <f>IF(BO1424=1,0,ROUNDUP(AA1424/BN1424,0))</f>
        <v/>
      </c>
      <c r="AC1424" s="64">
        <f>IF(BO1424=1,IF(AA1424&lt;=0,0,BP1424*MAX(1,IF(G1424&gt;0,AA1424/G1424,1))),AB1424*Q1424)</f>
        <v/>
      </c>
      <c r="AD1424" s="55">
        <f>AA1424*F1424</f>
        <v/>
      </c>
      <c r="AE1424" s="55">
        <f>ROUNDUP(MAX(I1424/IF(BS1424&gt;0,BS1424,MAX(0.1,N(Cockpit!$C$6))),BV1424)/BN1424,0)*BN1424</f>
        <v/>
      </c>
      <c r="AF1424" s="56">
        <f>IF(AC1424&gt;0,I1424/AC1424,-1)</f>
        <v/>
      </c>
      <c r="AG1424" s="56">
        <f>IF(AND(OR(BR1424="L1",BR1424="L23"),AC1424&gt;0),SUMIFS($AC$7:$AC$1570,$BR$7:$BR$1570,BR1424,$AF$7:$AF$1570,"&gt;"&amp;AF1424)+SUMIFS($AC$7:$AC$1570,$BR$7:$BR$1570,BR1424,$AF$7:$AF$1570,AF1424,$BL$7:$BL$1570,"&lt;="&amp;BL1424),"")</f>
        <v/>
      </c>
      <c r="AH1424" s="65">
        <f>IF(AG1424="",0,MAX(0,MIN(1,(IF(BR1424="L1",Parameter!$K$5,Parameter!$K$6+Parameter!$K$7)-(AG1424-AC1424))/AC1424)))</f>
        <v/>
      </c>
      <c r="AI1424" s="55">
        <f>IF(LEFT(Cockpit!$I$5,1)="A",G1424,IF(BT1424=1,BU1424,IF(LEFT(Cockpit!$I$5,1)="B",AM1424,MAX(AM1424,G1424))))</f>
        <v/>
      </c>
      <c r="AJ1424" s="55">
        <f>IF(BO1424=1,0,ROUNDUP(AI1424/BN1424,0))</f>
        <v/>
      </c>
      <c r="AK1424" s="64">
        <f>IF(BO1424=1,IF(AI1424&lt;=0,0,BP1424*MAX(1,IF(G1424&gt;0,AI1424/G1424,1))),AJ1424*Q1424)</f>
        <v/>
      </c>
      <c r="AL1424" s="55">
        <f>AI1424*F1424</f>
        <v/>
      </c>
      <c r="AM1424" s="55">
        <f>ROUNDUP(MAX(I1424/IF(BS1424&gt;0,BS1424,MAX(0.1,N(Cockpit!$I$6))),BV1424)/BN1424,0)*BN1424</f>
        <v/>
      </c>
      <c r="AN1424" s="56">
        <f>IF(AK1424&gt;0,I1424/AK1424,-1)</f>
        <v/>
      </c>
      <c r="AO1424" s="56">
        <f>IF(AND(OR(BR1424="L1",BR1424="L23"),AK1424&gt;0),SUMIFS($AK$7:$AK$1570,$BR$7:$BR$1570,BR1424,$AN$7:$AN$1570,"&gt;"&amp;AN1424)+SUMIFS($AK$7:$AK$1570,$BR$7:$BR$1570,BR1424,$AN$7:$AN$1570,AN1424,$BL$7:$BL$1570,"&lt;="&amp;BL1424),"")</f>
        <v/>
      </c>
      <c r="AP1424" s="65">
        <f>IF(AO1424="",0,MAX(0,MIN(1,(IF(BR1424="L1",Parameter!$K$5,Parameter!$K$6+Parameter!$K$7)-(AO1424-AK1424))/AK1424)))</f>
        <v/>
      </c>
      <c r="AQ1424" s="55">
        <f>IF(LEFT(Cockpit!$O$5,1)="A",G1424,IF(BT1424=1,BU1424,IF(LEFT(Cockpit!$O$5,1)="B",AU1424,MAX(AU1424,G1424))))</f>
        <v/>
      </c>
      <c r="AR1424" s="55">
        <f>IF(BO1424=1,0,ROUNDUP(AQ1424/BN1424,0))</f>
        <v/>
      </c>
      <c r="AS1424" s="64">
        <f>IF(BO1424=1,IF(AQ1424&lt;=0,0,BP1424*MAX(1,IF(G1424&gt;0,AQ1424/G1424,1))),AR1424*Q1424)</f>
        <v/>
      </c>
      <c r="AT1424" s="55">
        <f>AQ1424*F1424</f>
        <v/>
      </c>
      <c r="AU1424" s="55">
        <f>ROUNDUP(MAX(I1424/IF(BS1424&gt;0,BS1424,MAX(0.1,N(Cockpit!$O$6))),BV1424)/BN1424,0)*BN1424</f>
        <v/>
      </c>
      <c r="AV1424" s="56">
        <f>IF(AS1424&gt;0,I1424/AS1424,-1)</f>
        <v/>
      </c>
      <c r="AW1424" s="56">
        <f>IF(AND(OR(BR1424="L1",BR1424="L23"),AS1424&gt;0),SUMIFS($AS$7:$AS$1570,$BR$7:$BR$1570,BR1424,$AV$7:$AV$1570,"&gt;"&amp;AV1424)+SUMIFS($AS$7:$AS$1570,$BR$7:$BR$1570,BR1424,$AV$7:$AV$1570,AV1424,$BL$7:$BL$1570,"&lt;="&amp;BL1424),"")</f>
        <v/>
      </c>
      <c r="AX1424" s="65">
        <f>IF(AW1424="",0,MAX(0,MIN(1,(IF(BR1424="L1",Parameter!$K$5,Parameter!$K$6+Parameter!$K$7)-(AW1424-AS1424))/AS1424)))</f>
        <v/>
      </c>
      <c r="AY1424" s="53">
        <f>IF(AC1424&lt;=0,"",IF(BR1424="Aussen","Aussenlager",IF(BR1424="-","Nicht im Lift",IF(AH1424&gt;=1,"Lift",IF(AH1424&lt;=0,"Aussenlager","teilweise")))))</f>
        <v/>
      </c>
      <c r="AZ1424" s="53">
        <f>IF(AK1424&lt;=0,"",IF(BR1424="Aussen","Aussenlager",IF(BR1424="-","Nicht im Lift",IF(AP1424&gt;=1,"Lift",IF(AP1424&lt;=0,"Aussenlager","teilweise")))))</f>
        <v/>
      </c>
      <c r="BA1424" s="53">
        <f>IF(AS1424&lt;=0,"",IF(BR1424="Aussen","Aussenlager",IF(BR1424="-","Nicht im Lift",IF(AX1424&gt;=1,"Lift",IF(AX1424&lt;=0,"Aussenlager","teilweise")))))</f>
        <v/>
      </c>
      <c r="BB1424" s="53">
        <f>IF(A1424="","",IF(BK1424=1,"Neu; ","")&amp;IF(AND(BK1424=0,BF1424&lt;0),"negativer Bestand (Export "&amp;BF1424&amp;"); ","")&amp;IF(I1424&lt;=0,"Kein Verbrauch; ","")&amp;IF(BO1424=1,"Lose – Fläche geschätzt; ","")&amp;IF(G1424&gt;AM1424,"Überbestand "&amp;ROUND(G1424-AM1424,0)&amp;" Stk / CHF "&amp;ROUND((G1424-AM1424)*F1424,0)&amp;"; ","")&amp;IF(AND(BT1424=1,BU1424&lt;BV1424),"MAX &lt; MB+LG; ","")&amp;IF(AND(BZ1424&gt;0,BY1424*10&gt;BZ1424),"zu hoch für Tablar; ","")&amp;IF(AND(BK1424=0,OR(BT1424=1,V1424&lt;&gt;"",S1424&lt;&gt;"",T1424&lt;&gt;"",W1424&lt;&gt;"")),"manuell übersteuert; ","")&amp;IF(AND(BO1424=0,Q1424=0),"Gebinde unbekannt; ","")&amp;IF(AND(BO1424=0,N(T1424)&lt;=0,N(P1424)&lt;=0),"Menge pro Gebinde fehlt (Ist = 1 Gebinde); ","")&amp;BJ1424)</f>
        <v/>
      </c>
      <c r="BC1424" s="53" t="n"/>
      <c r="BD1424" s="53" t="n"/>
      <c r="BE1424" s="61" t="n"/>
      <c r="BF1424" s="55" t="n">
        <v>-4</v>
      </c>
      <c r="BG1424" s="55" t="n">
        <v>7</v>
      </c>
      <c r="BH1424" s="54" t="n">
        <v>-6384.130000000001</v>
      </c>
      <c r="BI1424" s="55" t="n">
        <v>19</v>
      </c>
      <c r="BJ1424" s="53" t="inlineStr"/>
      <c r="BK1424" s="58" t="n">
        <v>0</v>
      </c>
      <c r="BL1424" s="58" t="n">
        <v>1424</v>
      </c>
      <c r="BM1424" s="53">
        <f>IF(S1424&lt;&gt;"",UPPER(TRIM(S1424)),IF(O1424="","LOSE",O1424))</f>
        <v/>
      </c>
      <c r="BN1424" s="55">
        <f>IF(BM1424="LOSE",1,IF(N(T1424)&gt;0,T1424,IF(N(P1424)&gt;0,P1424,MAX(1,G1424))))</f>
        <v/>
      </c>
      <c r="BO1424" s="58">
        <f>IF(BM1424="LOSE",1,0)</f>
        <v/>
      </c>
      <c r="BP1424" s="64">
        <f>IF(BO1424=0,0,IF(N(R1424)&gt;0,R1424,IFERROR(VLOOKUP(D1424,Parameter!$A$35:$C$64,3,0)+0,0)))</f>
        <v/>
      </c>
      <c r="BQ1424" s="53">
        <f>IF(V1424&lt;&gt;"",V1424,U1424)</f>
        <v/>
      </c>
      <c r="BR1424" s="53">
        <f>IF(BQ1424=1,"L1",IF(OR(BQ1424=2,BQ1424=3),"L23",IF(BQ1424="Aussen","Aussen","-")))</f>
        <v/>
      </c>
      <c r="BS1424" s="66">
        <f>IF(N(W1424)&gt;0,W1424,0)</f>
        <v/>
      </c>
      <c r="BT1424" s="58">
        <f>IF(ISNUMBER(Z1424),1,0)</f>
        <v/>
      </c>
      <c r="BU1424" s="55">
        <f>N(Z1424)</f>
        <v/>
      </c>
      <c r="BV1424" s="55">
        <f>N(L1424)+N(M1424)</f>
        <v/>
      </c>
      <c r="BW1424" s="55">
        <f>ROUNDUP(G1424/BN1424,0)</f>
        <v/>
      </c>
      <c r="BX1424" s="55">
        <f>ROUNDUP(BU1424/BN1424,0)</f>
        <v/>
      </c>
      <c r="BY1424" s="58">
        <f>IF(BO1424=1,0,IFERROR(VLOOKUP(BM1424,'Gebinde-Kategorie'!$A$5:$G$45,5,0)+0,0))</f>
        <v/>
      </c>
      <c r="BZ1424" s="58">
        <f>IFERROR(IF(OR(BQ1424=1,BQ1424=2,BQ1424=3),N(INDEX(Parameter!$I$5:$I$7,BQ1424)),0),0)</f>
        <v/>
      </c>
    </row>
    <row r="1425">
      <c r="A1425" s="53" t="inlineStr">
        <is>
          <t>109758</t>
        </is>
      </c>
      <c r="B1425" s="53" t="inlineStr">
        <is>
          <t>Filtergehäuse</t>
        </is>
      </c>
      <c r="C1425" s="53" t="inlineStr">
        <is>
          <t>G</t>
        </is>
      </c>
      <c r="D1425" s="53" t="inlineStr">
        <is>
          <t>KTL</t>
        </is>
      </c>
      <c r="E1425" s="53" t="inlineStr">
        <is>
          <t>C</t>
        </is>
      </c>
      <c r="F1425" s="54" t="n">
        <v>639.83</v>
      </c>
      <c r="G1425" s="55">
        <f>MAX(0,IF(Parameter!$B$20="Jahresanfang 2025 + Export",BG1425+BF1425,BF1425))</f>
        <v/>
      </c>
      <c r="H1425" s="55">
        <f>G1425*F1425</f>
        <v/>
      </c>
      <c r="I1425" s="55">
        <f>BI1425*Parameter!$B$18</f>
        <v/>
      </c>
      <c r="J1425" s="56" t="n">
        <v>10</v>
      </c>
      <c r="K1425" s="57" t="n">
        <v>1</v>
      </c>
      <c r="L1425" s="55" t="n">
        <v>1</v>
      </c>
      <c r="M1425" s="55" t="n">
        <v>10</v>
      </c>
      <c r="N1425" s="58" t="n">
        <v>56</v>
      </c>
      <c r="O1425" s="53" t="inlineStr">
        <is>
          <t>LOSE</t>
        </is>
      </c>
      <c r="P1425" s="55" t="n"/>
      <c r="Q1425" s="59">
        <f>IF(BO1425=1,0,IFERROR(VLOOKUP(BM1425,'Gebinde-Kategorie'!$A$5:$G$45,6,0)+0,0))</f>
        <v/>
      </c>
      <c r="R1425" s="60" t="n"/>
      <c r="S1425" s="61" t="n"/>
      <c r="T1425" s="61" t="n"/>
      <c r="U1425" s="53">
        <f>IF(A1425="","",IF(IFERROR(VLOOKUP(D1425,Parameter!$A$35:$C$64,2,0),"Nein")="2+3",IF(ISNUMBER(SEARCH("grosser Artikel",BJ1425)),2,IFERROR(VLOOKUP(BM1425,Parameter!$F$35:$G$64,2,0),2)),IF(OR(IFERROR(VLOOKUP(D1425,Parameter!$A$35:$C$64,2,0),"Nein")="Nein",IFERROR(VLOOKUP(D1425,Parameter!$A$35:$C$64,2,0),"Nein")=""),"-",VLOOKUP(D1425,Parameter!$A$35:$C$64,2,0))))</f>
        <v/>
      </c>
      <c r="V1425" s="61" t="n"/>
      <c r="W1425" s="62" t="n"/>
      <c r="X1425" s="55">
        <f>AM1425</f>
        <v/>
      </c>
      <c r="Y1425" s="55">
        <f>MAX(AM1425,G1425)</f>
        <v/>
      </c>
      <c r="Z1425" s="63" t="n"/>
      <c r="AA1425" s="55">
        <f>IF(LEFT(Cockpit!$C$5,1)="A",G1425,IF(BT1425=1,BU1425,IF(LEFT(Cockpit!$C$5,1)="B",AE1425,MAX(AE1425,G1425))))</f>
        <v/>
      </c>
      <c r="AB1425" s="55">
        <f>IF(BO1425=1,0,ROUNDUP(AA1425/BN1425,0))</f>
        <v/>
      </c>
      <c r="AC1425" s="64">
        <f>IF(BO1425=1,IF(AA1425&lt;=0,0,BP1425*MAX(1,IF(G1425&gt;0,AA1425/G1425,1))),AB1425*Q1425)</f>
        <v/>
      </c>
      <c r="AD1425" s="55">
        <f>AA1425*F1425</f>
        <v/>
      </c>
      <c r="AE1425" s="55">
        <f>ROUNDUP(MAX(I1425/IF(BS1425&gt;0,BS1425,MAX(0.1,N(Cockpit!$C$6))),BV1425)/BN1425,0)*BN1425</f>
        <v/>
      </c>
      <c r="AF1425" s="56">
        <f>IF(AC1425&gt;0,I1425/AC1425,-1)</f>
        <v/>
      </c>
      <c r="AG1425" s="56">
        <f>IF(AND(OR(BR1425="L1",BR1425="L23"),AC1425&gt;0),SUMIFS($AC$7:$AC$1570,$BR$7:$BR$1570,BR1425,$AF$7:$AF$1570,"&gt;"&amp;AF1425)+SUMIFS($AC$7:$AC$1570,$BR$7:$BR$1570,BR1425,$AF$7:$AF$1570,AF1425,$BL$7:$BL$1570,"&lt;="&amp;BL1425),"")</f>
        <v/>
      </c>
      <c r="AH1425" s="65">
        <f>IF(AG1425="",0,MAX(0,MIN(1,(IF(BR1425="L1",Parameter!$K$5,Parameter!$K$6+Parameter!$K$7)-(AG1425-AC1425))/AC1425)))</f>
        <v/>
      </c>
      <c r="AI1425" s="55">
        <f>IF(LEFT(Cockpit!$I$5,1)="A",G1425,IF(BT1425=1,BU1425,IF(LEFT(Cockpit!$I$5,1)="B",AM1425,MAX(AM1425,G1425))))</f>
        <v/>
      </c>
      <c r="AJ1425" s="55">
        <f>IF(BO1425=1,0,ROUNDUP(AI1425/BN1425,0))</f>
        <v/>
      </c>
      <c r="AK1425" s="64">
        <f>IF(BO1425=1,IF(AI1425&lt;=0,0,BP1425*MAX(1,IF(G1425&gt;0,AI1425/G1425,1))),AJ1425*Q1425)</f>
        <v/>
      </c>
      <c r="AL1425" s="55">
        <f>AI1425*F1425</f>
        <v/>
      </c>
      <c r="AM1425" s="55">
        <f>ROUNDUP(MAX(I1425/IF(BS1425&gt;0,BS1425,MAX(0.1,N(Cockpit!$I$6))),BV1425)/BN1425,0)*BN1425</f>
        <v/>
      </c>
      <c r="AN1425" s="56">
        <f>IF(AK1425&gt;0,I1425/AK1425,-1)</f>
        <v/>
      </c>
      <c r="AO1425" s="56">
        <f>IF(AND(OR(BR1425="L1",BR1425="L23"),AK1425&gt;0),SUMIFS($AK$7:$AK$1570,$BR$7:$BR$1570,BR1425,$AN$7:$AN$1570,"&gt;"&amp;AN1425)+SUMIFS($AK$7:$AK$1570,$BR$7:$BR$1570,BR1425,$AN$7:$AN$1570,AN1425,$BL$7:$BL$1570,"&lt;="&amp;BL1425),"")</f>
        <v/>
      </c>
      <c r="AP1425" s="65">
        <f>IF(AO1425="",0,MAX(0,MIN(1,(IF(BR1425="L1",Parameter!$K$5,Parameter!$K$6+Parameter!$K$7)-(AO1425-AK1425))/AK1425)))</f>
        <v/>
      </c>
      <c r="AQ1425" s="55">
        <f>IF(LEFT(Cockpit!$O$5,1)="A",G1425,IF(BT1425=1,BU1425,IF(LEFT(Cockpit!$O$5,1)="B",AU1425,MAX(AU1425,G1425))))</f>
        <v/>
      </c>
      <c r="AR1425" s="55">
        <f>IF(BO1425=1,0,ROUNDUP(AQ1425/BN1425,0))</f>
        <v/>
      </c>
      <c r="AS1425" s="64">
        <f>IF(BO1425=1,IF(AQ1425&lt;=0,0,BP1425*MAX(1,IF(G1425&gt;0,AQ1425/G1425,1))),AR1425*Q1425)</f>
        <v/>
      </c>
      <c r="AT1425" s="55">
        <f>AQ1425*F1425</f>
        <v/>
      </c>
      <c r="AU1425" s="55">
        <f>ROUNDUP(MAX(I1425/IF(BS1425&gt;0,BS1425,MAX(0.1,N(Cockpit!$O$6))),BV1425)/BN1425,0)*BN1425</f>
        <v/>
      </c>
      <c r="AV1425" s="56">
        <f>IF(AS1425&gt;0,I1425/AS1425,-1)</f>
        <v/>
      </c>
      <c r="AW1425" s="56">
        <f>IF(AND(OR(BR1425="L1",BR1425="L23"),AS1425&gt;0),SUMIFS($AS$7:$AS$1570,$BR$7:$BR$1570,BR1425,$AV$7:$AV$1570,"&gt;"&amp;AV1425)+SUMIFS($AS$7:$AS$1570,$BR$7:$BR$1570,BR1425,$AV$7:$AV$1570,AV1425,$BL$7:$BL$1570,"&lt;="&amp;BL1425),"")</f>
        <v/>
      </c>
      <c r="AX1425" s="65">
        <f>IF(AW1425="",0,MAX(0,MIN(1,(IF(BR1425="L1",Parameter!$K$5,Parameter!$K$6+Parameter!$K$7)-(AW1425-AS1425))/AS1425)))</f>
        <v/>
      </c>
      <c r="AY1425" s="53">
        <f>IF(AC1425&lt;=0,"",IF(BR1425="Aussen","Aussenlager",IF(BR1425="-","Nicht im Lift",IF(AH1425&gt;=1,"Lift",IF(AH1425&lt;=0,"Aussenlager","teilweise")))))</f>
        <v/>
      </c>
      <c r="AZ1425" s="53">
        <f>IF(AK1425&lt;=0,"",IF(BR1425="Aussen","Aussenlager",IF(BR1425="-","Nicht im Lift",IF(AP1425&gt;=1,"Lift",IF(AP1425&lt;=0,"Aussenlager","teilweise")))))</f>
        <v/>
      </c>
      <c r="BA1425" s="53">
        <f>IF(AS1425&lt;=0,"",IF(BR1425="Aussen","Aussenlager",IF(BR1425="-","Nicht im Lift",IF(AX1425&gt;=1,"Lift",IF(AX1425&lt;=0,"Aussenlager","teilweise")))))</f>
        <v/>
      </c>
      <c r="BB1425" s="53">
        <f>IF(A1425="","",IF(BK1425=1,"Neu; ","")&amp;IF(AND(BK1425=0,BF1425&lt;0),"negativer Bestand (Export "&amp;BF1425&amp;"); ","")&amp;IF(I1425&lt;=0,"Kein Verbrauch; ","")&amp;IF(BO1425=1,"Lose – Fläche geschätzt; ","")&amp;IF(G1425&gt;AM1425,"Überbestand "&amp;ROUND(G1425-AM1425,0)&amp;" Stk / CHF "&amp;ROUND((G1425-AM1425)*F1425,0)&amp;"; ","")&amp;IF(AND(BT1425=1,BU1425&lt;BV1425),"MAX &lt; MB+LG; ","")&amp;IF(AND(BZ1425&gt;0,BY1425*10&gt;BZ1425),"zu hoch für Tablar; ","")&amp;IF(AND(BK1425=0,OR(BT1425=1,V1425&lt;&gt;"",S1425&lt;&gt;"",T1425&lt;&gt;"",W1425&lt;&gt;"")),"manuell übersteuert; ","")&amp;IF(AND(BO1425=0,Q1425=0),"Gebinde unbekannt; ","")&amp;IF(AND(BO1425=0,N(T1425)&lt;=0,N(P1425)&lt;=0),"Menge pro Gebinde fehlt (Ist = 1 Gebinde); ","")&amp;BJ1425)</f>
        <v/>
      </c>
      <c r="BC1425" s="53" t="n"/>
      <c r="BD1425" s="53" t="n"/>
      <c r="BE1425" s="61" t="n"/>
      <c r="BF1425" s="55" t="n">
        <v>-10</v>
      </c>
      <c r="BG1425" s="55" t="n">
        <v>20</v>
      </c>
      <c r="BH1425" s="54" t="n">
        <v>-6398.3</v>
      </c>
      <c r="BI1425" s="55" t="n">
        <v>10</v>
      </c>
      <c r="BJ1425" s="53" t="inlineStr"/>
      <c r="BK1425" s="58" t="n">
        <v>0</v>
      </c>
      <c r="BL1425" s="58" t="n">
        <v>1425</v>
      </c>
      <c r="BM1425" s="53">
        <f>IF(S1425&lt;&gt;"",UPPER(TRIM(S1425)),IF(O1425="","LOSE",O1425))</f>
        <v/>
      </c>
      <c r="BN1425" s="55">
        <f>IF(BM1425="LOSE",1,IF(N(T1425)&gt;0,T1425,IF(N(P1425)&gt;0,P1425,MAX(1,G1425))))</f>
        <v/>
      </c>
      <c r="BO1425" s="58">
        <f>IF(BM1425="LOSE",1,0)</f>
        <v/>
      </c>
      <c r="BP1425" s="64">
        <f>IF(BO1425=0,0,IF(N(R1425)&gt;0,R1425,IFERROR(VLOOKUP(D1425,Parameter!$A$35:$C$64,3,0)+0,0)))</f>
        <v/>
      </c>
      <c r="BQ1425" s="53">
        <f>IF(V1425&lt;&gt;"",V1425,U1425)</f>
        <v/>
      </c>
      <c r="BR1425" s="53">
        <f>IF(BQ1425=1,"L1",IF(OR(BQ1425=2,BQ1425=3),"L23",IF(BQ1425="Aussen","Aussen","-")))</f>
        <v/>
      </c>
      <c r="BS1425" s="66">
        <f>IF(N(W1425)&gt;0,W1425,0)</f>
        <v/>
      </c>
      <c r="BT1425" s="58">
        <f>IF(ISNUMBER(Z1425),1,0)</f>
        <v/>
      </c>
      <c r="BU1425" s="55">
        <f>N(Z1425)</f>
        <v/>
      </c>
      <c r="BV1425" s="55">
        <f>N(L1425)+N(M1425)</f>
        <v/>
      </c>
      <c r="BW1425" s="55">
        <f>ROUNDUP(G1425/BN1425,0)</f>
        <v/>
      </c>
      <c r="BX1425" s="55">
        <f>ROUNDUP(BU1425/BN1425,0)</f>
        <v/>
      </c>
      <c r="BY1425" s="58">
        <f>IF(BO1425=1,0,IFERROR(VLOOKUP(BM1425,'Gebinde-Kategorie'!$A$5:$G$45,5,0)+0,0))</f>
        <v/>
      </c>
      <c r="BZ1425" s="58">
        <f>IFERROR(IF(OR(BQ1425=1,BQ1425=2,BQ1425=3),N(INDEX(Parameter!$I$5:$I$7,BQ1425)),0),0)</f>
        <v/>
      </c>
    </row>
    <row r="1426">
      <c r="A1426" s="53" t="inlineStr">
        <is>
          <t>107950</t>
        </is>
      </c>
      <c r="B1426" s="53" t="inlineStr">
        <is>
          <t>Verpackung Servicepaket SPGr16 SVC1</t>
        </is>
      </c>
      <c r="C1426" s="53" t="inlineStr">
        <is>
          <t>G</t>
        </is>
      </c>
      <c r="D1426" s="53" t="inlineStr">
        <is>
          <t>PAL</t>
        </is>
      </c>
      <c r="E1426" s="53" t="inlineStr">
        <is>
          <t>C</t>
        </is>
      </c>
      <c r="F1426" s="54" t="n">
        <v>518.83</v>
      </c>
      <c r="G1426" s="55">
        <f>MAX(0,IF(Parameter!$B$20="Jahresanfang 2025 + Export",BG1426+BF1426,BF1426))</f>
        <v/>
      </c>
      <c r="H1426" s="55">
        <f>G1426*F1426</f>
        <v/>
      </c>
      <c r="I1426" s="55">
        <f>BI1426*Parameter!$B$18</f>
        <v/>
      </c>
      <c r="J1426" s="56" t="n">
        <v>13</v>
      </c>
      <c r="K1426" s="57" t="n">
        <v>3.846153846153846</v>
      </c>
      <c r="L1426" s="55" t="n">
        <v>0</v>
      </c>
      <c r="M1426" s="55" t="n">
        <v>4</v>
      </c>
      <c r="N1426" s="58" t="n">
        <v>63</v>
      </c>
      <c r="O1426" s="53" t="inlineStr">
        <is>
          <t>LOSE</t>
        </is>
      </c>
      <c r="P1426" s="55" t="n"/>
      <c r="Q1426" s="59">
        <f>IF(BO1426=1,0,IFERROR(VLOOKUP(BM1426,'Gebinde-Kategorie'!$A$5:$G$45,6,0)+0,0))</f>
        <v/>
      </c>
      <c r="R1426" s="60" t="n"/>
      <c r="S1426" s="61" t="n"/>
      <c r="T1426" s="61" t="n"/>
      <c r="U1426" s="53">
        <f>IF(A1426="","",IF(IFERROR(VLOOKUP(D1426,Parameter!$A$35:$C$64,2,0),"Nein")="2+3",IF(ISNUMBER(SEARCH("grosser Artikel",BJ1426)),2,IFERROR(VLOOKUP(BM1426,Parameter!$F$35:$G$64,2,0),2)),IF(OR(IFERROR(VLOOKUP(D1426,Parameter!$A$35:$C$64,2,0),"Nein")="Nein",IFERROR(VLOOKUP(D1426,Parameter!$A$35:$C$64,2,0),"Nein")=""),"-",VLOOKUP(D1426,Parameter!$A$35:$C$64,2,0))))</f>
        <v/>
      </c>
      <c r="V1426" s="61" t="n"/>
      <c r="W1426" s="62" t="n"/>
      <c r="X1426" s="55">
        <f>AM1426</f>
        <v/>
      </c>
      <c r="Y1426" s="55">
        <f>MAX(AM1426,G1426)</f>
        <v/>
      </c>
      <c r="Z1426" s="63" t="n"/>
      <c r="AA1426" s="55">
        <f>IF(LEFT(Cockpit!$C$5,1)="A",G1426,IF(BT1426=1,BU1426,IF(LEFT(Cockpit!$C$5,1)="B",AE1426,MAX(AE1426,G1426))))</f>
        <v/>
      </c>
      <c r="AB1426" s="55">
        <f>IF(BO1426=1,0,ROUNDUP(AA1426/BN1426,0))</f>
        <v/>
      </c>
      <c r="AC1426" s="64">
        <f>IF(BO1426=1,IF(AA1426&lt;=0,0,BP1426*MAX(1,IF(G1426&gt;0,AA1426/G1426,1))),AB1426*Q1426)</f>
        <v/>
      </c>
      <c r="AD1426" s="55">
        <f>AA1426*F1426</f>
        <v/>
      </c>
      <c r="AE1426" s="55">
        <f>ROUNDUP(MAX(I1426/IF(BS1426&gt;0,BS1426,MAX(0.1,N(Cockpit!$C$6))),BV1426)/BN1426,0)*BN1426</f>
        <v/>
      </c>
      <c r="AF1426" s="56">
        <f>IF(AC1426&gt;0,I1426/AC1426,-1)</f>
        <v/>
      </c>
      <c r="AG1426" s="56">
        <f>IF(AND(OR(BR1426="L1",BR1426="L23"),AC1426&gt;0),SUMIFS($AC$7:$AC$1570,$BR$7:$BR$1570,BR1426,$AF$7:$AF$1570,"&gt;"&amp;AF1426)+SUMIFS($AC$7:$AC$1570,$BR$7:$BR$1570,BR1426,$AF$7:$AF$1570,AF1426,$BL$7:$BL$1570,"&lt;="&amp;BL1426),"")</f>
        <v/>
      </c>
      <c r="AH1426" s="65">
        <f>IF(AG1426="",0,MAX(0,MIN(1,(IF(BR1426="L1",Parameter!$K$5,Parameter!$K$6+Parameter!$K$7)-(AG1426-AC1426))/AC1426)))</f>
        <v/>
      </c>
      <c r="AI1426" s="55">
        <f>IF(LEFT(Cockpit!$I$5,1)="A",G1426,IF(BT1426=1,BU1426,IF(LEFT(Cockpit!$I$5,1)="B",AM1426,MAX(AM1426,G1426))))</f>
        <v/>
      </c>
      <c r="AJ1426" s="55">
        <f>IF(BO1426=1,0,ROUNDUP(AI1426/BN1426,0))</f>
        <v/>
      </c>
      <c r="AK1426" s="64">
        <f>IF(BO1426=1,IF(AI1426&lt;=0,0,BP1426*MAX(1,IF(G1426&gt;0,AI1426/G1426,1))),AJ1426*Q1426)</f>
        <v/>
      </c>
      <c r="AL1426" s="55">
        <f>AI1426*F1426</f>
        <v/>
      </c>
      <c r="AM1426" s="55">
        <f>ROUNDUP(MAX(I1426/IF(BS1426&gt;0,BS1426,MAX(0.1,N(Cockpit!$I$6))),BV1426)/BN1426,0)*BN1426</f>
        <v/>
      </c>
      <c r="AN1426" s="56">
        <f>IF(AK1426&gt;0,I1426/AK1426,-1)</f>
        <v/>
      </c>
      <c r="AO1426" s="56">
        <f>IF(AND(OR(BR1426="L1",BR1426="L23"),AK1426&gt;0),SUMIFS($AK$7:$AK$1570,$BR$7:$BR$1570,BR1426,$AN$7:$AN$1570,"&gt;"&amp;AN1426)+SUMIFS($AK$7:$AK$1570,$BR$7:$BR$1570,BR1426,$AN$7:$AN$1570,AN1426,$BL$7:$BL$1570,"&lt;="&amp;BL1426),"")</f>
        <v/>
      </c>
      <c r="AP1426" s="65">
        <f>IF(AO1426="",0,MAX(0,MIN(1,(IF(BR1426="L1",Parameter!$K$5,Parameter!$K$6+Parameter!$K$7)-(AO1426-AK1426))/AK1426)))</f>
        <v/>
      </c>
      <c r="AQ1426" s="55">
        <f>IF(LEFT(Cockpit!$O$5,1)="A",G1426,IF(BT1426=1,BU1426,IF(LEFT(Cockpit!$O$5,1)="B",AU1426,MAX(AU1426,G1426))))</f>
        <v/>
      </c>
      <c r="AR1426" s="55">
        <f>IF(BO1426=1,0,ROUNDUP(AQ1426/BN1426,0))</f>
        <v/>
      </c>
      <c r="AS1426" s="64">
        <f>IF(BO1426=1,IF(AQ1426&lt;=0,0,BP1426*MAX(1,IF(G1426&gt;0,AQ1426/G1426,1))),AR1426*Q1426)</f>
        <v/>
      </c>
      <c r="AT1426" s="55">
        <f>AQ1426*F1426</f>
        <v/>
      </c>
      <c r="AU1426" s="55">
        <f>ROUNDUP(MAX(I1426/IF(BS1426&gt;0,BS1426,MAX(0.1,N(Cockpit!$O$6))),BV1426)/BN1426,0)*BN1426</f>
        <v/>
      </c>
      <c r="AV1426" s="56">
        <f>IF(AS1426&gt;0,I1426/AS1426,-1)</f>
        <v/>
      </c>
      <c r="AW1426" s="56">
        <f>IF(AND(OR(BR1426="L1",BR1426="L23"),AS1426&gt;0),SUMIFS($AS$7:$AS$1570,$BR$7:$BR$1570,BR1426,$AV$7:$AV$1570,"&gt;"&amp;AV1426)+SUMIFS($AS$7:$AS$1570,$BR$7:$BR$1570,BR1426,$AV$7:$AV$1570,AV1426,$BL$7:$BL$1570,"&lt;="&amp;BL1426),"")</f>
        <v/>
      </c>
      <c r="AX1426" s="65">
        <f>IF(AW1426="",0,MAX(0,MIN(1,(IF(BR1426="L1",Parameter!$K$5,Parameter!$K$6+Parameter!$K$7)-(AW1426-AS1426))/AS1426)))</f>
        <v/>
      </c>
      <c r="AY1426" s="53">
        <f>IF(AC1426&lt;=0,"",IF(BR1426="Aussen","Aussenlager",IF(BR1426="-","Nicht im Lift",IF(AH1426&gt;=1,"Lift",IF(AH1426&lt;=0,"Aussenlager","teilweise")))))</f>
        <v/>
      </c>
      <c r="AZ1426" s="53">
        <f>IF(AK1426&lt;=0,"",IF(BR1426="Aussen","Aussenlager",IF(BR1426="-","Nicht im Lift",IF(AP1426&gt;=1,"Lift",IF(AP1426&lt;=0,"Aussenlager","teilweise")))))</f>
        <v/>
      </c>
      <c r="BA1426" s="53">
        <f>IF(AS1426&lt;=0,"",IF(BR1426="Aussen","Aussenlager",IF(BR1426="-","Nicht im Lift",IF(AX1426&gt;=1,"Lift",IF(AX1426&lt;=0,"Aussenlager","teilweise")))))</f>
        <v/>
      </c>
      <c r="BB1426" s="53">
        <f>IF(A1426="","",IF(BK1426=1,"Neu; ","")&amp;IF(AND(BK1426=0,BF1426&lt;0),"negativer Bestand (Export "&amp;BF1426&amp;"); ","")&amp;IF(I1426&lt;=0,"Kein Verbrauch; ","")&amp;IF(BO1426=1,"Lose – Fläche geschätzt; ","")&amp;IF(G1426&gt;AM1426,"Überbestand "&amp;ROUND(G1426-AM1426,0)&amp;" Stk / CHF "&amp;ROUND((G1426-AM1426)*F1426,0)&amp;"; ","")&amp;IF(AND(BT1426=1,BU1426&lt;BV1426),"MAX &lt; MB+LG; ","")&amp;IF(AND(BZ1426&gt;0,BY1426*10&gt;BZ1426),"zu hoch für Tablar; ","")&amp;IF(AND(BK1426=0,OR(BT1426=1,V1426&lt;&gt;"",S1426&lt;&gt;"",T1426&lt;&gt;"",W1426&lt;&gt;"")),"manuell übersteuert; ","")&amp;IF(AND(BO1426=0,Q1426=0),"Gebinde unbekannt; ","")&amp;IF(AND(BO1426=0,N(T1426)&lt;=0,N(P1426)&lt;=0),"Menge pro Gebinde fehlt (Ist = 1 Gebinde); ","")&amp;BJ1426)</f>
        <v/>
      </c>
      <c r="BC1426" s="53" t="n"/>
      <c r="BD1426" s="53" t="n"/>
      <c r="BE1426" s="61" t="n"/>
      <c r="BF1426" s="55" t="n">
        <v>-12</v>
      </c>
      <c r="BG1426" s="55" t="n">
        <v>12</v>
      </c>
      <c r="BH1426" s="54" t="n">
        <v>-6584.280000000002</v>
      </c>
      <c r="BI1426" s="55" t="n">
        <v>50</v>
      </c>
      <c r="BJ1426" s="53" t="inlineStr"/>
      <c r="BK1426" s="58" t="n">
        <v>0</v>
      </c>
      <c r="BL1426" s="58" t="n">
        <v>1426</v>
      </c>
      <c r="BM1426" s="53">
        <f>IF(S1426&lt;&gt;"",UPPER(TRIM(S1426)),IF(O1426="","LOSE",O1426))</f>
        <v/>
      </c>
      <c r="BN1426" s="55">
        <f>IF(BM1426="LOSE",1,IF(N(T1426)&gt;0,T1426,IF(N(P1426)&gt;0,P1426,MAX(1,G1426))))</f>
        <v/>
      </c>
      <c r="BO1426" s="58">
        <f>IF(BM1426="LOSE",1,0)</f>
        <v/>
      </c>
      <c r="BP1426" s="64">
        <f>IF(BO1426=0,0,IF(N(R1426)&gt;0,R1426,IFERROR(VLOOKUP(D1426,Parameter!$A$35:$C$64,3,0)+0,0)))</f>
        <v/>
      </c>
      <c r="BQ1426" s="53">
        <f>IF(V1426&lt;&gt;"",V1426,U1426)</f>
        <v/>
      </c>
      <c r="BR1426" s="53">
        <f>IF(BQ1426=1,"L1",IF(OR(BQ1426=2,BQ1426=3),"L23",IF(BQ1426="Aussen","Aussen","-")))</f>
        <v/>
      </c>
      <c r="BS1426" s="66">
        <f>IF(N(W1426)&gt;0,W1426,0)</f>
        <v/>
      </c>
      <c r="BT1426" s="58">
        <f>IF(ISNUMBER(Z1426),1,0)</f>
        <v/>
      </c>
      <c r="BU1426" s="55">
        <f>N(Z1426)</f>
        <v/>
      </c>
      <c r="BV1426" s="55">
        <f>N(L1426)+N(M1426)</f>
        <v/>
      </c>
      <c r="BW1426" s="55">
        <f>ROUNDUP(G1426/BN1426,0)</f>
        <v/>
      </c>
      <c r="BX1426" s="55">
        <f>ROUNDUP(BU1426/BN1426,0)</f>
        <v/>
      </c>
      <c r="BY1426" s="58">
        <f>IF(BO1426=1,0,IFERROR(VLOOKUP(BM1426,'Gebinde-Kategorie'!$A$5:$G$45,5,0)+0,0))</f>
        <v/>
      </c>
      <c r="BZ1426" s="58">
        <f>IFERROR(IF(OR(BQ1426=1,BQ1426=2,BQ1426=3),N(INDEX(Parameter!$I$5:$I$7,BQ1426)),0),0)</f>
        <v/>
      </c>
    </row>
    <row r="1427">
      <c r="A1427" s="53" t="inlineStr">
        <is>
          <t>100055</t>
        </is>
      </c>
      <c r="B1427" s="53" t="inlineStr">
        <is>
          <t>Kolbenring</t>
        </is>
      </c>
      <c r="C1427" s="53" t="inlineStr">
        <is>
          <t>F</t>
        </is>
      </c>
      <c r="D1427" s="53" t="inlineStr">
        <is>
          <t>KTL</t>
        </is>
      </c>
      <c r="E1427" s="53" t="inlineStr">
        <is>
          <t>C</t>
        </is>
      </c>
      <c r="F1427" s="54" t="n">
        <v>24.77</v>
      </c>
      <c r="G1427" s="55">
        <f>MAX(0,IF(Parameter!$B$20="Jahresanfang 2025 + Export",BG1427+BF1427,BF1427))</f>
        <v/>
      </c>
      <c r="H1427" s="55">
        <f>G1427*F1427</f>
        <v/>
      </c>
      <c r="I1427" s="55">
        <f>BI1427*Parameter!$B$18</f>
        <v/>
      </c>
      <c r="J1427" s="56" t="n">
        <v>434.5</v>
      </c>
      <c r="K1427" s="57" t="n">
        <v>4.147295742232451</v>
      </c>
      <c r="L1427" s="55" t="n">
        <v>105</v>
      </c>
      <c r="M1427" s="55" t="n">
        <v>300</v>
      </c>
      <c r="N1427" s="58" t="n">
        <v>21</v>
      </c>
      <c r="O1427" s="53" t="inlineStr">
        <is>
          <t>S52</t>
        </is>
      </c>
      <c r="P1427" s="55" t="n">
        <v>200</v>
      </c>
      <c r="Q1427" s="59">
        <f>IF(BO1427=1,0,IFERROR(VLOOKUP(BM1427,'Gebinde-Kategorie'!$A$5:$G$45,6,0)+0,0))</f>
        <v/>
      </c>
      <c r="R1427" s="60" t="n"/>
      <c r="S1427" s="61" t="n"/>
      <c r="T1427" s="61" t="n"/>
      <c r="U1427" s="53">
        <f>IF(A1427="","",IF(IFERROR(VLOOKUP(D1427,Parameter!$A$35:$C$64,2,0),"Nein")="2+3",IF(ISNUMBER(SEARCH("grosser Artikel",BJ1427)),2,IFERROR(VLOOKUP(BM1427,Parameter!$F$35:$G$64,2,0),2)),IF(OR(IFERROR(VLOOKUP(D1427,Parameter!$A$35:$C$64,2,0),"Nein")="Nein",IFERROR(VLOOKUP(D1427,Parameter!$A$35:$C$64,2,0),"Nein")=""),"-",VLOOKUP(D1427,Parameter!$A$35:$C$64,2,0))))</f>
        <v/>
      </c>
      <c r="V1427" s="61" t="n"/>
      <c r="W1427" s="62" t="n"/>
      <c r="X1427" s="55">
        <f>AM1427</f>
        <v/>
      </c>
      <c r="Y1427" s="55">
        <f>MAX(AM1427,G1427)</f>
        <v/>
      </c>
      <c r="Z1427" s="63" t="n"/>
      <c r="AA1427" s="55">
        <f>IF(LEFT(Cockpit!$C$5,1)="A",G1427,IF(BT1427=1,BU1427,IF(LEFT(Cockpit!$C$5,1)="B",AE1427,MAX(AE1427,G1427))))</f>
        <v/>
      </c>
      <c r="AB1427" s="55">
        <f>IF(BO1427=1,0,ROUNDUP(AA1427/BN1427,0))</f>
        <v/>
      </c>
      <c r="AC1427" s="64">
        <f>IF(BO1427=1,IF(AA1427&lt;=0,0,BP1427*MAX(1,IF(G1427&gt;0,AA1427/G1427,1))),AB1427*Q1427)</f>
        <v/>
      </c>
      <c r="AD1427" s="55">
        <f>AA1427*F1427</f>
        <v/>
      </c>
      <c r="AE1427" s="55">
        <f>ROUNDUP(MAX(I1427/IF(BS1427&gt;0,BS1427,MAX(0.1,N(Cockpit!$C$6))),BV1427)/BN1427,0)*BN1427</f>
        <v/>
      </c>
      <c r="AF1427" s="56">
        <f>IF(AC1427&gt;0,I1427/AC1427,-1)</f>
        <v/>
      </c>
      <c r="AG1427" s="56">
        <f>IF(AND(OR(BR1427="L1",BR1427="L23"),AC1427&gt;0),SUMIFS($AC$7:$AC$1570,$BR$7:$BR$1570,BR1427,$AF$7:$AF$1570,"&gt;"&amp;AF1427)+SUMIFS($AC$7:$AC$1570,$BR$7:$BR$1570,BR1427,$AF$7:$AF$1570,AF1427,$BL$7:$BL$1570,"&lt;="&amp;BL1427),"")</f>
        <v/>
      </c>
      <c r="AH1427" s="65">
        <f>IF(AG1427="",0,MAX(0,MIN(1,(IF(BR1427="L1",Parameter!$K$5,Parameter!$K$6+Parameter!$K$7)-(AG1427-AC1427))/AC1427)))</f>
        <v/>
      </c>
      <c r="AI1427" s="55">
        <f>IF(LEFT(Cockpit!$I$5,1)="A",G1427,IF(BT1427=1,BU1427,IF(LEFT(Cockpit!$I$5,1)="B",AM1427,MAX(AM1427,G1427))))</f>
        <v/>
      </c>
      <c r="AJ1427" s="55">
        <f>IF(BO1427=1,0,ROUNDUP(AI1427/BN1427,0))</f>
        <v/>
      </c>
      <c r="AK1427" s="64">
        <f>IF(BO1427=1,IF(AI1427&lt;=0,0,BP1427*MAX(1,IF(G1427&gt;0,AI1427/G1427,1))),AJ1427*Q1427)</f>
        <v/>
      </c>
      <c r="AL1427" s="55">
        <f>AI1427*F1427</f>
        <v/>
      </c>
      <c r="AM1427" s="55">
        <f>ROUNDUP(MAX(I1427/IF(BS1427&gt;0,BS1427,MAX(0.1,N(Cockpit!$I$6))),BV1427)/BN1427,0)*BN1427</f>
        <v/>
      </c>
      <c r="AN1427" s="56">
        <f>IF(AK1427&gt;0,I1427/AK1427,-1)</f>
        <v/>
      </c>
      <c r="AO1427" s="56">
        <f>IF(AND(OR(BR1427="L1",BR1427="L23"),AK1427&gt;0),SUMIFS($AK$7:$AK$1570,$BR$7:$BR$1570,BR1427,$AN$7:$AN$1570,"&gt;"&amp;AN1427)+SUMIFS($AK$7:$AK$1570,$BR$7:$BR$1570,BR1427,$AN$7:$AN$1570,AN1427,$BL$7:$BL$1570,"&lt;="&amp;BL1427),"")</f>
        <v/>
      </c>
      <c r="AP1427" s="65">
        <f>IF(AO1427="",0,MAX(0,MIN(1,(IF(BR1427="L1",Parameter!$K$5,Parameter!$K$6+Parameter!$K$7)-(AO1427-AK1427))/AK1427)))</f>
        <v/>
      </c>
      <c r="AQ1427" s="55">
        <f>IF(LEFT(Cockpit!$O$5,1)="A",G1427,IF(BT1427=1,BU1427,IF(LEFT(Cockpit!$O$5,1)="B",AU1427,MAX(AU1427,G1427))))</f>
        <v/>
      </c>
      <c r="AR1427" s="55">
        <f>IF(BO1427=1,0,ROUNDUP(AQ1427/BN1427,0))</f>
        <v/>
      </c>
      <c r="AS1427" s="64">
        <f>IF(BO1427=1,IF(AQ1427&lt;=0,0,BP1427*MAX(1,IF(G1427&gt;0,AQ1427/G1427,1))),AR1427*Q1427)</f>
        <v/>
      </c>
      <c r="AT1427" s="55">
        <f>AQ1427*F1427</f>
        <v/>
      </c>
      <c r="AU1427" s="55">
        <f>ROUNDUP(MAX(I1427/IF(BS1427&gt;0,BS1427,MAX(0.1,N(Cockpit!$O$6))),BV1427)/BN1427,0)*BN1427</f>
        <v/>
      </c>
      <c r="AV1427" s="56">
        <f>IF(AS1427&gt;0,I1427/AS1427,-1)</f>
        <v/>
      </c>
      <c r="AW1427" s="56">
        <f>IF(AND(OR(BR1427="L1",BR1427="L23"),AS1427&gt;0),SUMIFS($AS$7:$AS$1570,$BR$7:$BR$1570,BR1427,$AV$7:$AV$1570,"&gt;"&amp;AV1427)+SUMIFS($AS$7:$AS$1570,$BR$7:$BR$1570,BR1427,$AV$7:$AV$1570,AV1427,$BL$7:$BL$1570,"&lt;="&amp;BL1427),"")</f>
        <v/>
      </c>
      <c r="AX1427" s="65">
        <f>IF(AW1427="",0,MAX(0,MIN(1,(IF(BR1427="L1",Parameter!$K$5,Parameter!$K$6+Parameter!$K$7)-(AW1427-AS1427))/AS1427)))</f>
        <v/>
      </c>
      <c r="AY1427" s="53">
        <f>IF(AC1427&lt;=0,"",IF(BR1427="Aussen","Aussenlager",IF(BR1427="-","Nicht im Lift",IF(AH1427&gt;=1,"Lift",IF(AH1427&lt;=0,"Aussenlager","teilweise")))))</f>
        <v/>
      </c>
      <c r="AZ1427" s="53">
        <f>IF(AK1427&lt;=0,"",IF(BR1427="Aussen","Aussenlager",IF(BR1427="-","Nicht im Lift",IF(AP1427&gt;=1,"Lift",IF(AP1427&lt;=0,"Aussenlager","teilweise")))))</f>
        <v/>
      </c>
      <c r="BA1427" s="53">
        <f>IF(AS1427&lt;=0,"",IF(BR1427="Aussen","Aussenlager",IF(BR1427="-","Nicht im Lift",IF(AX1427&gt;=1,"Lift",IF(AX1427&lt;=0,"Aussenlager","teilweise")))))</f>
        <v/>
      </c>
      <c r="BB1427" s="53">
        <f>IF(A1427="","",IF(BK1427=1,"Neu; ","")&amp;IF(AND(BK1427=0,BF1427&lt;0),"negativer Bestand (Export "&amp;BF1427&amp;"); ","")&amp;IF(I1427&lt;=0,"Kein Verbrauch; ","")&amp;IF(BO1427=1,"Lose – Fläche geschätzt; ","")&amp;IF(G1427&gt;AM1427,"Überbestand "&amp;ROUND(G1427-AM1427,0)&amp;" Stk / CHF "&amp;ROUND((G1427-AM1427)*F1427,0)&amp;"; ","")&amp;IF(AND(BT1427=1,BU1427&lt;BV1427),"MAX &lt; MB+LG; ","")&amp;IF(AND(BZ1427&gt;0,BY1427*10&gt;BZ1427),"zu hoch für Tablar; ","")&amp;IF(AND(BK1427=0,OR(BT1427=1,V1427&lt;&gt;"",S1427&lt;&gt;"",T1427&lt;&gt;"",W1427&lt;&gt;"")),"manuell übersteuert; ","")&amp;IF(AND(BO1427=0,Q1427=0),"Gebinde unbekannt; ","")&amp;IF(AND(BO1427=0,N(T1427)&lt;=0,N(P1427)&lt;=0),"Menge pro Gebinde fehlt (Ist = 1 Gebinde); ","")&amp;BJ1427)</f>
        <v/>
      </c>
      <c r="BC1427" s="53" t="n"/>
      <c r="BD1427" s="53" t="n"/>
      <c r="BE1427" s="61" t="n"/>
      <c r="BF1427" s="55" t="n">
        <v>-213</v>
      </c>
      <c r="BG1427" s="55" t="n">
        <v>365</v>
      </c>
      <c r="BH1427" s="54" t="n">
        <v>-6658.639999999994</v>
      </c>
      <c r="BI1427" s="55" t="n">
        <v>1802</v>
      </c>
      <c r="BJ1427" s="53" t="inlineStr"/>
      <c r="BK1427" s="58" t="n">
        <v>0</v>
      </c>
      <c r="BL1427" s="58" t="n">
        <v>1427</v>
      </c>
      <c r="BM1427" s="53">
        <f>IF(S1427&lt;&gt;"",UPPER(TRIM(S1427)),IF(O1427="","LOSE",O1427))</f>
        <v/>
      </c>
      <c r="BN1427" s="55">
        <f>IF(BM1427="LOSE",1,IF(N(T1427)&gt;0,T1427,IF(N(P1427)&gt;0,P1427,MAX(1,G1427))))</f>
        <v/>
      </c>
      <c r="BO1427" s="58">
        <f>IF(BM1427="LOSE",1,0)</f>
        <v/>
      </c>
      <c r="BP1427" s="64">
        <f>IF(BO1427=0,0,IF(N(R1427)&gt;0,R1427,IFERROR(VLOOKUP(D1427,Parameter!$A$35:$C$64,3,0)+0,0)))</f>
        <v/>
      </c>
      <c r="BQ1427" s="53">
        <f>IF(V1427&lt;&gt;"",V1427,U1427)</f>
        <v/>
      </c>
      <c r="BR1427" s="53">
        <f>IF(BQ1427=1,"L1",IF(OR(BQ1427=2,BQ1427=3),"L23",IF(BQ1427="Aussen","Aussen","-")))</f>
        <v/>
      </c>
      <c r="BS1427" s="66">
        <f>IF(N(W1427)&gt;0,W1427,0)</f>
        <v/>
      </c>
      <c r="BT1427" s="58">
        <f>IF(ISNUMBER(Z1427),1,0)</f>
        <v/>
      </c>
      <c r="BU1427" s="55">
        <f>N(Z1427)</f>
        <v/>
      </c>
      <c r="BV1427" s="55">
        <f>N(L1427)+N(M1427)</f>
        <v/>
      </c>
      <c r="BW1427" s="55">
        <f>ROUNDUP(G1427/BN1427,0)</f>
        <v/>
      </c>
      <c r="BX1427" s="55">
        <f>ROUNDUP(BU1427/BN1427,0)</f>
        <v/>
      </c>
      <c r="BY1427" s="58">
        <f>IF(BO1427=1,0,IFERROR(VLOOKUP(BM1427,'Gebinde-Kategorie'!$A$5:$G$45,5,0)+0,0))</f>
        <v/>
      </c>
      <c r="BZ1427" s="58">
        <f>IFERROR(IF(OR(BQ1427=1,BQ1427=2,BQ1427=3),N(INDEX(Parameter!$I$5:$I$7,BQ1427)),0),0)</f>
        <v/>
      </c>
    </row>
    <row r="1428">
      <c r="A1428" s="53" t="inlineStr">
        <is>
          <t>106423</t>
        </is>
      </c>
      <c r="B1428" s="53" t="inlineStr">
        <is>
          <t>Kolbenring SPGr16</t>
        </is>
      </c>
      <c r="C1428" s="53" t="inlineStr">
        <is>
          <t>F</t>
        </is>
      </c>
      <c r="D1428" s="53" t="inlineStr">
        <is>
          <t>KTL</t>
        </is>
      </c>
      <c r="E1428" s="53" t="inlineStr">
        <is>
          <t>C</t>
        </is>
      </c>
      <c r="F1428" s="54" t="n">
        <v>95.42</v>
      </c>
      <c r="G1428" s="55">
        <f>MAX(0,IF(Parameter!$B$20="Jahresanfang 2025 + Export",BG1428+BF1428,BF1428))</f>
        <v/>
      </c>
      <c r="H1428" s="55">
        <f>G1428*F1428</f>
        <v/>
      </c>
      <c r="I1428" s="55">
        <f>BI1428*Parameter!$B$18</f>
        <v/>
      </c>
      <c r="J1428" s="56" t="n">
        <v>46</v>
      </c>
      <c r="K1428" s="57" t="n">
        <v>3.152173913043478</v>
      </c>
      <c r="L1428" s="55" t="n">
        <v>8</v>
      </c>
      <c r="M1428" s="55" t="n">
        <v>25</v>
      </c>
      <c r="N1428" s="58" t="n">
        <v>21</v>
      </c>
      <c r="O1428" s="53" t="inlineStr">
        <is>
          <t>S62</t>
        </is>
      </c>
      <c r="P1428" s="55" t="n">
        <v>76</v>
      </c>
      <c r="Q1428" s="59">
        <f>IF(BO1428=1,0,IFERROR(VLOOKUP(BM1428,'Gebinde-Kategorie'!$A$5:$G$45,6,0)+0,0))</f>
        <v/>
      </c>
      <c r="R1428" s="60" t="n"/>
      <c r="S1428" s="61" t="n"/>
      <c r="T1428" s="61" t="n"/>
      <c r="U1428" s="53">
        <f>IF(A1428="","",IF(IFERROR(VLOOKUP(D1428,Parameter!$A$35:$C$64,2,0),"Nein")="2+3",IF(ISNUMBER(SEARCH("grosser Artikel",BJ1428)),2,IFERROR(VLOOKUP(BM1428,Parameter!$F$35:$G$64,2,0),2)),IF(OR(IFERROR(VLOOKUP(D1428,Parameter!$A$35:$C$64,2,0),"Nein")="Nein",IFERROR(VLOOKUP(D1428,Parameter!$A$35:$C$64,2,0),"Nein")=""),"-",VLOOKUP(D1428,Parameter!$A$35:$C$64,2,0))))</f>
        <v/>
      </c>
      <c r="V1428" s="61" t="n"/>
      <c r="W1428" s="62" t="n"/>
      <c r="X1428" s="55">
        <f>AM1428</f>
        <v/>
      </c>
      <c r="Y1428" s="55">
        <f>MAX(AM1428,G1428)</f>
        <v/>
      </c>
      <c r="Z1428" s="63" t="n"/>
      <c r="AA1428" s="55">
        <f>IF(LEFT(Cockpit!$C$5,1)="A",G1428,IF(BT1428=1,BU1428,IF(LEFT(Cockpit!$C$5,1)="B",AE1428,MAX(AE1428,G1428))))</f>
        <v/>
      </c>
      <c r="AB1428" s="55">
        <f>IF(BO1428=1,0,ROUNDUP(AA1428/BN1428,0))</f>
        <v/>
      </c>
      <c r="AC1428" s="64">
        <f>IF(BO1428=1,IF(AA1428&lt;=0,0,BP1428*MAX(1,IF(G1428&gt;0,AA1428/G1428,1))),AB1428*Q1428)</f>
        <v/>
      </c>
      <c r="AD1428" s="55">
        <f>AA1428*F1428</f>
        <v/>
      </c>
      <c r="AE1428" s="55">
        <f>ROUNDUP(MAX(I1428/IF(BS1428&gt;0,BS1428,MAX(0.1,N(Cockpit!$C$6))),BV1428)/BN1428,0)*BN1428</f>
        <v/>
      </c>
      <c r="AF1428" s="56">
        <f>IF(AC1428&gt;0,I1428/AC1428,-1)</f>
        <v/>
      </c>
      <c r="AG1428" s="56">
        <f>IF(AND(OR(BR1428="L1",BR1428="L23"),AC1428&gt;0),SUMIFS($AC$7:$AC$1570,$BR$7:$BR$1570,BR1428,$AF$7:$AF$1570,"&gt;"&amp;AF1428)+SUMIFS($AC$7:$AC$1570,$BR$7:$BR$1570,BR1428,$AF$7:$AF$1570,AF1428,$BL$7:$BL$1570,"&lt;="&amp;BL1428),"")</f>
        <v/>
      </c>
      <c r="AH1428" s="65">
        <f>IF(AG1428="",0,MAX(0,MIN(1,(IF(BR1428="L1",Parameter!$K$5,Parameter!$K$6+Parameter!$K$7)-(AG1428-AC1428))/AC1428)))</f>
        <v/>
      </c>
      <c r="AI1428" s="55">
        <f>IF(LEFT(Cockpit!$I$5,1)="A",G1428,IF(BT1428=1,BU1428,IF(LEFT(Cockpit!$I$5,1)="B",AM1428,MAX(AM1428,G1428))))</f>
        <v/>
      </c>
      <c r="AJ1428" s="55">
        <f>IF(BO1428=1,0,ROUNDUP(AI1428/BN1428,0))</f>
        <v/>
      </c>
      <c r="AK1428" s="64">
        <f>IF(BO1428=1,IF(AI1428&lt;=0,0,BP1428*MAX(1,IF(G1428&gt;0,AI1428/G1428,1))),AJ1428*Q1428)</f>
        <v/>
      </c>
      <c r="AL1428" s="55">
        <f>AI1428*F1428</f>
        <v/>
      </c>
      <c r="AM1428" s="55">
        <f>ROUNDUP(MAX(I1428/IF(BS1428&gt;0,BS1428,MAX(0.1,N(Cockpit!$I$6))),BV1428)/BN1428,0)*BN1428</f>
        <v/>
      </c>
      <c r="AN1428" s="56">
        <f>IF(AK1428&gt;0,I1428/AK1428,-1)</f>
        <v/>
      </c>
      <c r="AO1428" s="56">
        <f>IF(AND(OR(BR1428="L1",BR1428="L23"),AK1428&gt;0),SUMIFS($AK$7:$AK$1570,$BR$7:$BR$1570,BR1428,$AN$7:$AN$1570,"&gt;"&amp;AN1428)+SUMIFS($AK$7:$AK$1570,$BR$7:$BR$1570,BR1428,$AN$7:$AN$1570,AN1428,$BL$7:$BL$1570,"&lt;="&amp;BL1428),"")</f>
        <v/>
      </c>
      <c r="AP1428" s="65">
        <f>IF(AO1428="",0,MAX(0,MIN(1,(IF(BR1428="L1",Parameter!$K$5,Parameter!$K$6+Parameter!$K$7)-(AO1428-AK1428))/AK1428)))</f>
        <v/>
      </c>
      <c r="AQ1428" s="55">
        <f>IF(LEFT(Cockpit!$O$5,1)="A",G1428,IF(BT1428=1,BU1428,IF(LEFT(Cockpit!$O$5,1)="B",AU1428,MAX(AU1428,G1428))))</f>
        <v/>
      </c>
      <c r="AR1428" s="55">
        <f>IF(BO1428=1,0,ROUNDUP(AQ1428/BN1428,0))</f>
        <v/>
      </c>
      <c r="AS1428" s="64">
        <f>IF(BO1428=1,IF(AQ1428&lt;=0,0,BP1428*MAX(1,IF(G1428&gt;0,AQ1428/G1428,1))),AR1428*Q1428)</f>
        <v/>
      </c>
      <c r="AT1428" s="55">
        <f>AQ1428*F1428</f>
        <v/>
      </c>
      <c r="AU1428" s="55">
        <f>ROUNDUP(MAX(I1428/IF(BS1428&gt;0,BS1428,MAX(0.1,N(Cockpit!$O$6))),BV1428)/BN1428,0)*BN1428</f>
        <v/>
      </c>
      <c r="AV1428" s="56">
        <f>IF(AS1428&gt;0,I1428/AS1428,-1)</f>
        <v/>
      </c>
      <c r="AW1428" s="56">
        <f>IF(AND(OR(BR1428="L1",BR1428="L23"),AS1428&gt;0),SUMIFS($AS$7:$AS$1570,$BR$7:$BR$1570,BR1428,$AV$7:$AV$1570,"&gt;"&amp;AV1428)+SUMIFS($AS$7:$AS$1570,$BR$7:$BR$1570,BR1428,$AV$7:$AV$1570,AV1428,$BL$7:$BL$1570,"&lt;="&amp;BL1428),"")</f>
        <v/>
      </c>
      <c r="AX1428" s="65">
        <f>IF(AW1428="",0,MAX(0,MIN(1,(IF(BR1428="L1",Parameter!$K$5,Parameter!$K$6+Parameter!$K$7)-(AW1428-AS1428))/AS1428)))</f>
        <v/>
      </c>
      <c r="AY1428" s="53">
        <f>IF(AC1428&lt;=0,"",IF(BR1428="Aussen","Aussenlager",IF(BR1428="-","Nicht im Lift",IF(AH1428&gt;=1,"Lift",IF(AH1428&lt;=0,"Aussenlager","teilweise")))))</f>
        <v/>
      </c>
      <c r="AZ1428" s="53">
        <f>IF(AK1428&lt;=0,"",IF(BR1428="Aussen","Aussenlager",IF(BR1428="-","Nicht im Lift",IF(AP1428&gt;=1,"Lift",IF(AP1428&lt;=0,"Aussenlager","teilweise")))))</f>
        <v/>
      </c>
      <c r="BA1428" s="53">
        <f>IF(AS1428&lt;=0,"",IF(BR1428="Aussen","Aussenlager",IF(BR1428="-","Nicht im Lift",IF(AX1428&gt;=1,"Lift",IF(AX1428&lt;=0,"Aussenlager","teilweise")))))</f>
        <v/>
      </c>
      <c r="BB1428" s="53">
        <f>IF(A1428="","",IF(BK1428=1,"Neu; ","")&amp;IF(AND(BK1428=0,BF1428&lt;0),"negativer Bestand (Export "&amp;BF1428&amp;"); ","")&amp;IF(I1428&lt;=0,"Kein Verbrauch; ","")&amp;IF(BO1428=1,"Lose – Fläche geschätzt; ","")&amp;IF(G1428&gt;AM1428,"Überbestand "&amp;ROUND(G1428-AM1428,0)&amp;" Stk / CHF "&amp;ROUND((G1428-AM1428)*F1428,0)&amp;"; ","")&amp;IF(AND(BT1428=1,BU1428&lt;BV1428),"MAX &lt; MB+LG; ","")&amp;IF(AND(BZ1428&gt;0,BY1428*10&gt;BZ1428),"zu hoch für Tablar; ","")&amp;IF(AND(BK1428=0,OR(BT1428=1,V1428&lt;&gt;"",S1428&lt;&gt;"",T1428&lt;&gt;"",W1428&lt;&gt;"")),"manuell übersteuert; ","")&amp;IF(AND(BO1428=0,Q1428=0),"Gebinde unbekannt; ","")&amp;IF(AND(BO1428=0,N(T1428)&lt;=0,N(P1428)&lt;=0),"Menge pro Gebinde fehlt (Ist = 1 Gebinde); ","")&amp;BJ1428)</f>
        <v/>
      </c>
      <c r="BC1428" s="53" t="n"/>
      <c r="BD1428" s="53" t="n"/>
      <c r="BE1428" s="61" t="n"/>
      <c r="BF1428" s="55" t="n">
        <v>-31</v>
      </c>
      <c r="BG1428" s="55" t="n">
        <v>69</v>
      </c>
      <c r="BH1428" s="54" t="n">
        <v>-6670.220000000007</v>
      </c>
      <c r="BI1428" s="55" t="n">
        <v>145</v>
      </c>
      <c r="BJ1428" s="53" t="inlineStr"/>
      <c r="BK1428" s="58" t="n">
        <v>0</v>
      </c>
      <c r="BL1428" s="58" t="n">
        <v>1428</v>
      </c>
      <c r="BM1428" s="53">
        <f>IF(S1428&lt;&gt;"",UPPER(TRIM(S1428)),IF(O1428="","LOSE",O1428))</f>
        <v/>
      </c>
      <c r="BN1428" s="55">
        <f>IF(BM1428="LOSE",1,IF(N(T1428)&gt;0,T1428,IF(N(P1428)&gt;0,P1428,MAX(1,G1428))))</f>
        <v/>
      </c>
      <c r="BO1428" s="58">
        <f>IF(BM1428="LOSE",1,0)</f>
        <v/>
      </c>
      <c r="BP1428" s="64">
        <f>IF(BO1428=0,0,IF(N(R1428)&gt;0,R1428,IFERROR(VLOOKUP(D1428,Parameter!$A$35:$C$64,3,0)+0,0)))</f>
        <v/>
      </c>
      <c r="BQ1428" s="53">
        <f>IF(V1428&lt;&gt;"",V1428,U1428)</f>
        <v/>
      </c>
      <c r="BR1428" s="53">
        <f>IF(BQ1428=1,"L1",IF(OR(BQ1428=2,BQ1428=3),"L23",IF(BQ1428="Aussen","Aussen","-")))</f>
        <v/>
      </c>
      <c r="BS1428" s="66">
        <f>IF(N(W1428)&gt;0,W1428,0)</f>
        <v/>
      </c>
      <c r="BT1428" s="58">
        <f>IF(ISNUMBER(Z1428),1,0)</f>
        <v/>
      </c>
      <c r="BU1428" s="55">
        <f>N(Z1428)</f>
        <v/>
      </c>
      <c r="BV1428" s="55">
        <f>N(L1428)+N(M1428)</f>
        <v/>
      </c>
      <c r="BW1428" s="55">
        <f>ROUNDUP(G1428/BN1428,0)</f>
        <v/>
      </c>
      <c r="BX1428" s="55">
        <f>ROUNDUP(BU1428/BN1428,0)</f>
        <v/>
      </c>
      <c r="BY1428" s="58">
        <f>IF(BO1428=1,0,IFERROR(VLOOKUP(BM1428,'Gebinde-Kategorie'!$A$5:$G$45,5,0)+0,0))</f>
        <v/>
      </c>
      <c r="BZ1428" s="58">
        <f>IFERROR(IF(OR(BQ1428=1,BQ1428=2,BQ1428=3),N(INDEX(Parameter!$I$5:$I$7,BQ1428)),0),0)</f>
        <v/>
      </c>
    </row>
    <row r="1429">
      <c r="A1429" s="53" t="inlineStr">
        <is>
          <t>108800</t>
        </is>
      </c>
      <c r="B1429" s="53" t="inlineStr">
        <is>
          <t>Reduktions Adapter</t>
        </is>
      </c>
      <c r="C1429" s="53" t="inlineStr">
        <is>
          <t>F</t>
        </is>
      </c>
      <c r="D1429" s="53" t="inlineStr">
        <is>
          <t>PAL</t>
        </is>
      </c>
      <c r="E1429" s="53" t="inlineStr">
        <is>
          <t>C</t>
        </is>
      </c>
      <c r="F1429" s="54" t="n">
        <v>353.57</v>
      </c>
      <c r="G1429" s="55">
        <f>MAX(0,IF(Parameter!$B$20="Jahresanfang 2025 + Export",BG1429+BF1429,BF1429))</f>
        <v/>
      </c>
      <c r="H1429" s="55">
        <f>G1429*F1429</f>
        <v/>
      </c>
      <c r="I1429" s="55">
        <f>BI1429*Parameter!$B$18</f>
        <v/>
      </c>
      <c r="J1429" s="56" t="n">
        <v>35</v>
      </c>
      <c r="K1429" s="57" t="n">
        <v>0.4</v>
      </c>
      <c r="L1429" s="55" t="n">
        <v>1</v>
      </c>
      <c r="M1429" s="55" t="n">
        <v>10</v>
      </c>
      <c r="N1429" s="58" t="n">
        <v>35</v>
      </c>
      <c r="O1429" s="53" t="inlineStr">
        <is>
          <t>S71</t>
        </is>
      </c>
      <c r="P1429" s="55" t="n">
        <v>36</v>
      </c>
      <c r="Q1429" s="59">
        <f>IF(BO1429=1,0,IFERROR(VLOOKUP(BM1429,'Gebinde-Kategorie'!$A$5:$G$45,6,0)+0,0))</f>
        <v/>
      </c>
      <c r="R1429" s="60" t="n"/>
      <c r="S1429" s="61" t="n"/>
      <c r="T1429" s="61" t="n"/>
      <c r="U1429" s="53">
        <f>IF(A1429="","",IF(IFERROR(VLOOKUP(D1429,Parameter!$A$35:$C$64,2,0),"Nein")="2+3",IF(ISNUMBER(SEARCH("grosser Artikel",BJ1429)),2,IFERROR(VLOOKUP(BM1429,Parameter!$F$35:$G$64,2,0),2)),IF(OR(IFERROR(VLOOKUP(D1429,Parameter!$A$35:$C$64,2,0),"Nein")="Nein",IFERROR(VLOOKUP(D1429,Parameter!$A$35:$C$64,2,0),"Nein")=""),"-",VLOOKUP(D1429,Parameter!$A$35:$C$64,2,0))))</f>
        <v/>
      </c>
      <c r="V1429" s="61" t="n"/>
      <c r="W1429" s="62" t="n"/>
      <c r="X1429" s="55">
        <f>AM1429</f>
        <v/>
      </c>
      <c r="Y1429" s="55">
        <f>MAX(AM1429,G1429)</f>
        <v/>
      </c>
      <c r="Z1429" s="63" t="n"/>
      <c r="AA1429" s="55">
        <f>IF(LEFT(Cockpit!$C$5,1)="A",G1429,IF(BT1429=1,BU1429,IF(LEFT(Cockpit!$C$5,1)="B",AE1429,MAX(AE1429,G1429))))</f>
        <v/>
      </c>
      <c r="AB1429" s="55">
        <f>IF(BO1429=1,0,ROUNDUP(AA1429/BN1429,0))</f>
        <v/>
      </c>
      <c r="AC1429" s="64">
        <f>IF(BO1429=1,IF(AA1429&lt;=0,0,BP1429*MAX(1,IF(G1429&gt;0,AA1429/G1429,1))),AB1429*Q1429)</f>
        <v/>
      </c>
      <c r="AD1429" s="55">
        <f>AA1429*F1429</f>
        <v/>
      </c>
      <c r="AE1429" s="55">
        <f>ROUNDUP(MAX(I1429/IF(BS1429&gt;0,BS1429,MAX(0.1,N(Cockpit!$C$6))),BV1429)/BN1429,0)*BN1429</f>
        <v/>
      </c>
      <c r="AF1429" s="56">
        <f>IF(AC1429&gt;0,I1429/AC1429,-1)</f>
        <v/>
      </c>
      <c r="AG1429" s="56">
        <f>IF(AND(OR(BR1429="L1",BR1429="L23"),AC1429&gt;0),SUMIFS($AC$7:$AC$1570,$BR$7:$BR$1570,BR1429,$AF$7:$AF$1570,"&gt;"&amp;AF1429)+SUMIFS($AC$7:$AC$1570,$BR$7:$BR$1570,BR1429,$AF$7:$AF$1570,AF1429,$BL$7:$BL$1570,"&lt;="&amp;BL1429),"")</f>
        <v/>
      </c>
      <c r="AH1429" s="65">
        <f>IF(AG1429="",0,MAX(0,MIN(1,(IF(BR1429="L1",Parameter!$K$5,Parameter!$K$6+Parameter!$K$7)-(AG1429-AC1429))/AC1429)))</f>
        <v/>
      </c>
      <c r="AI1429" s="55">
        <f>IF(LEFT(Cockpit!$I$5,1)="A",G1429,IF(BT1429=1,BU1429,IF(LEFT(Cockpit!$I$5,1)="B",AM1429,MAX(AM1429,G1429))))</f>
        <v/>
      </c>
      <c r="AJ1429" s="55">
        <f>IF(BO1429=1,0,ROUNDUP(AI1429/BN1429,0))</f>
        <v/>
      </c>
      <c r="AK1429" s="64">
        <f>IF(BO1429=1,IF(AI1429&lt;=0,0,BP1429*MAX(1,IF(G1429&gt;0,AI1429/G1429,1))),AJ1429*Q1429)</f>
        <v/>
      </c>
      <c r="AL1429" s="55">
        <f>AI1429*F1429</f>
        <v/>
      </c>
      <c r="AM1429" s="55">
        <f>ROUNDUP(MAX(I1429/IF(BS1429&gt;0,BS1429,MAX(0.1,N(Cockpit!$I$6))),BV1429)/BN1429,0)*BN1429</f>
        <v/>
      </c>
      <c r="AN1429" s="56">
        <f>IF(AK1429&gt;0,I1429/AK1429,-1)</f>
        <v/>
      </c>
      <c r="AO1429" s="56">
        <f>IF(AND(OR(BR1429="L1",BR1429="L23"),AK1429&gt;0),SUMIFS($AK$7:$AK$1570,$BR$7:$BR$1570,BR1429,$AN$7:$AN$1570,"&gt;"&amp;AN1429)+SUMIFS($AK$7:$AK$1570,$BR$7:$BR$1570,BR1429,$AN$7:$AN$1570,AN1429,$BL$7:$BL$1570,"&lt;="&amp;BL1429),"")</f>
        <v/>
      </c>
      <c r="AP1429" s="65">
        <f>IF(AO1429="",0,MAX(0,MIN(1,(IF(BR1429="L1",Parameter!$K$5,Parameter!$K$6+Parameter!$K$7)-(AO1429-AK1429))/AK1429)))</f>
        <v/>
      </c>
      <c r="AQ1429" s="55">
        <f>IF(LEFT(Cockpit!$O$5,1)="A",G1429,IF(BT1429=1,BU1429,IF(LEFT(Cockpit!$O$5,1)="B",AU1429,MAX(AU1429,G1429))))</f>
        <v/>
      </c>
      <c r="AR1429" s="55">
        <f>IF(BO1429=1,0,ROUNDUP(AQ1429/BN1429,0))</f>
        <v/>
      </c>
      <c r="AS1429" s="64">
        <f>IF(BO1429=1,IF(AQ1429&lt;=0,0,BP1429*MAX(1,IF(G1429&gt;0,AQ1429/G1429,1))),AR1429*Q1429)</f>
        <v/>
      </c>
      <c r="AT1429" s="55">
        <f>AQ1429*F1429</f>
        <v/>
      </c>
      <c r="AU1429" s="55">
        <f>ROUNDUP(MAX(I1429/IF(BS1429&gt;0,BS1429,MAX(0.1,N(Cockpit!$O$6))),BV1429)/BN1429,0)*BN1429</f>
        <v/>
      </c>
      <c r="AV1429" s="56">
        <f>IF(AS1429&gt;0,I1429/AS1429,-1)</f>
        <v/>
      </c>
      <c r="AW1429" s="56">
        <f>IF(AND(OR(BR1429="L1",BR1429="L23"),AS1429&gt;0),SUMIFS($AS$7:$AS$1570,$BR$7:$BR$1570,BR1429,$AV$7:$AV$1570,"&gt;"&amp;AV1429)+SUMIFS($AS$7:$AS$1570,$BR$7:$BR$1570,BR1429,$AV$7:$AV$1570,AV1429,$BL$7:$BL$1570,"&lt;="&amp;BL1429),"")</f>
        <v/>
      </c>
      <c r="AX1429" s="65">
        <f>IF(AW1429="",0,MAX(0,MIN(1,(IF(BR1429="L1",Parameter!$K$5,Parameter!$K$6+Parameter!$K$7)-(AW1429-AS1429))/AS1429)))</f>
        <v/>
      </c>
      <c r="AY1429" s="53">
        <f>IF(AC1429&lt;=0,"",IF(BR1429="Aussen","Aussenlager",IF(BR1429="-","Nicht im Lift",IF(AH1429&gt;=1,"Lift",IF(AH1429&lt;=0,"Aussenlager","teilweise")))))</f>
        <v/>
      </c>
      <c r="AZ1429" s="53">
        <f>IF(AK1429&lt;=0,"",IF(BR1429="Aussen","Aussenlager",IF(BR1429="-","Nicht im Lift",IF(AP1429&gt;=1,"Lift",IF(AP1429&lt;=0,"Aussenlager","teilweise")))))</f>
        <v/>
      </c>
      <c r="BA1429" s="53">
        <f>IF(AS1429&lt;=0,"",IF(BR1429="Aussen","Aussenlager",IF(BR1429="-","Nicht im Lift",IF(AX1429&gt;=1,"Lift",IF(AX1429&lt;=0,"Aussenlager","teilweise")))))</f>
        <v/>
      </c>
      <c r="BB1429" s="53">
        <f>IF(A1429="","",IF(BK1429=1,"Neu; ","")&amp;IF(AND(BK1429=0,BF1429&lt;0),"negativer Bestand (Export "&amp;BF1429&amp;"); ","")&amp;IF(I1429&lt;=0,"Kein Verbrauch; ","")&amp;IF(BO1429=1,"Lose – Fläche geschätzt; ","")&amp;IF(G1429&gt;AM1429,"Überbestand "&amp;ROUND(G1429-AM1429,0)&amp;" Stk / CHF "&amp;ROUND((G1429-AM1429)*F1429,0)&amp;"; ","")&amp;IF(AND(BT1429=1,BU1429&lt;BV1429),"MAX &lt; MB+LG; ","")&amp;IF(AND(BZ1429&gt;0,BY1429*10&gt;BZ1429),"zu hoch für Tablar; ","")&amp;IF(AND(BK1429=0,OR(BT1429=1,V1429&lt;&gt;"",S1429&lt;&gt;"",T1429&lt;&gt;"",W1429&lt;&gt;"")),"manuell übersteuert; ","")&amp;IF(AND(BO1429=0,Q1429=0),"Gebinde unbekannt; ","")&amp;IF(AND(BO1429=0,N(T1429)&lt;=0,N(P1429)&lt;=0),"Menge pro Gebinde fehlt (Ist = 1 Gebinde); ","")&amp;BJ1429)</f>
        <v/>
      </c>
      <c r="BC1429" s="53" t="n"/>
      <c r="BD1429" s="53" t="n"/>
      <c r="BE1429" s="61" t="n"/>
      <c r="BF1429" s="55" t="n">
        <v>-19</v>
      </c>
      <c r="BG1429" s="55" t="n">
        <v>42</v>
      </c>
      <c r="BH1429" s="54" t="n">
        <v>-6717.83</v>
      </c>
      <c r="BI1429" s="55" t="n">
        <v>14</v>
      </c>
      <c r="BJ1429" s="53" t="inlineStr">
        <is>
          <t>Neu; grosser Artikel &amp; nicht im KTL</t>
        </is>
      </c>
      <c r="BK1429" s="58" t="n">
        <v>0</v>
      </c>
      <c r="BL1429" s="58" t="n">
        <v>1429</v>
      </c>
      <c r="BM1429" s="53">
        <f>IF(S1429&lt;&gt;"",UPPER(TRIM(S1429)),IF(O1429="","LOSE",O1429))</f>
        <v/>
      </c>
      <c r="BN1429" s="55">
        <f>IF(BM1429="LOSE",1,IF(N(T1429)&gt;0,T1429,IF(N(P1429)&gt;0,P1429,MAX(1,G1429))))</f>
        <v/>
      </c>
      <c r="BO1429" s="58">
        <f>IF(BM1429="LOSE",1,0)</f>
        <v/>
      </c>
      <c r="BP1429" s="64">
        <f>IF(BO1429=0,0,IF(N(R1429)&gt;0,R1429,IFERROR(VLOOKUP(D1429,Parameter!$A$35:$C$64,3,0)+0,0)))</f>
        <v/>
      </c>
      <c r="BQ1429" s="53">
        <f>IF(V1429&lt;&gt;"",V1429,U1429)</f>
        <v/>
      </c>
      <c r="BR1429" s="53">
        <f>IF(BQ1429=1,"L1",IF(OR(BQ1429=2,BQ1429=3),"L23",IF(BQ1429="Aussen","Aussen","-")))</f>
        <v/>
      </c>
      <c r="BS1429" s="66">
        <f>IF(N(W1429)&gt;0,W1429,0)</f>
        <v/>
      </c>
      <c r="BT1429" s="58">
        <f>IF(ISNUMBER(Z1429),1,0)</f>
        <v/>
      </c>
      <c r="BU1429" s="55">
        <f>N(Z1429)</f>
        <v/>
      </c>
      <c r="BV1429" s="55">
        <f>N(L1429)+N(M1429)</f>
        <v/>
      </c>
      <c r="BW1429" s="55">
        <f>ROUNDUP(G1429/BN1429,0)</f>
        <v/>
      </c>
      <c r="BX1429" s="55">
        <f>ROUNDUP(BU1429/BN1429,0)</f>
        <v/>
      </c>
      <c r="BY1429" s="58">
        <f>IF(BO1429=1,0,IFERROR(VLOOKUP(BM1429,'Gebinde-Kategorie'!$A$5:$G$45,5,0)+0,0))</f>
        <v/>
      </c>
      <c r="BZ1429" s="58">
        <f>IFERROR(IF(OR(BQ1429=1,BQ1429=2,BQ1429=3),N(INDEX(Parameter!$I$5:$I$7,BQ1429)),0),0)</f>
        <v/>
      </c>
    </row>
    <row r="1430">
      <c r="A1430" s="53" t="inlineStr">
        <is>
          <t>106937</t>
        </is>
      </c>
      <c r="B1430" s="53" t="inlineStr">
        <is>
          <t>Analoges Eingangsmodul</t>
        </is>
      </c>
      <c r="C1430" s="53" t="inlineStr">
        <is>
          <t>F</t>
        </is>
      </c>
      <c r="D1430" s="53" t="inlineStr">
        <is>
          <t>KTL</t>
        </is>
      </c>
      <c r="E1430" s="53" t="inlineStr">
        <is>
          <t>C</t>
        </is>
      </c>
      <c r="F1430" s="54" t="n">
        <v>116.4</v>
      </c>
      <c r="G1430" s="55">
        <f>MAX(0,IF(Parameter!$B$20="Jahresanfang 2025 + Export",BG1430+BF1430,BF1430))</f>
        <v/>
      </c>
      <c r="H1430" s="55">
        <f>G1430*F1430</f>
        <v/>
      </c>
      <c r="I1430" s="55">
        <f>BI1430*Parameter!$B$18</f>
        <v/>
      </c>
      <c r="J1430" s="56" t="n">
        <v>111</v>
      </c>
      <c r="K1430" s="57" t="n">
        <v>0.09009009009009009</v>
      </c>
      <c r="L1430" s="55" t="n">
        <v>0</v>
      </c>
      <c r="M1430" s="55" t="n">
        <v>10</v>
      </c>
      <c r="N1430" s="58" t="n">
        <v>28</v>
      </c>
      <c r="O1430" s="53" t="inlineStr">
        <is>
          <t>S62</t>
        </is>
      </c>
      <c r="P1430" s="55" t="n">
        <v>80</v>
      </c>
      <c r="Q1430" s="59">
        <f>IF(BO1430=1,0,IFERROR(VLOOKUP(BM1430,'Gebinde-Kategorie'!$A$5:$G$45,6,0)+0,0))</f>
        <v/>
      </c>
      <c r="R1430" s="60" t="n"/>
      <c r="S1430" s="61" t="n"/>
      <c r="T1430" s="61" t="n"/>
      <c r="U1430" s="53">
        <f>IF(A1430="","",IF(IFERROR(VLOOKUP(D1430,Parameter!$A$35:$C$64,2,0),"Nein")="2+3",IF(ISNUMBER(SEARCH("grosser Artikel",BJ1430)),2,IFERROR(VLOOKUP(BM1430,Parameter!$F$35:$G$64,2,0),2)),IF(OR(IFERROR(VLOOKUP(D1430,Parameter!$A$35:$C$64,2,0),"Nein")="Nein",IFERROR(VLOOKUP(D1430,Parameter!$A$35:$C$64,2,0),"Nein")=""),"-",VLOOKUP(D1430,Parameter!$A$35:$C$64,2,0))))</f>
        <v/>
      </c>
      <c r="V1430" s="61" t="n"/>
      <c r="W1430" s="62" t="n"/>
      <c r="X1430" s="55">
        <f>AM1430</f>
        <v/>
      </c>
      <c r="Y1430" s="55">
        <f>MAX(AM1430,G1430)</f>
        <v/>
      </c>
      <c r="Z1430" s="63" t="n"/>
      <c r="AA1430" s="55">
        <f>IF(LEFT(Cockpit!$C$5,1)="A",G1430,IF(BT1430=1,BU1430,IF(LEFT(Cockpit!$C$5,1)="B",AE1430,MAX(AE1430,G1430))))</f>
        <v/>
      </c>
      <c r="AB1430" s="55">
        <f>IF(BO1430=1,0,ROUNDUP(AA1430/BN1430,0))</f>
        <v/>
      </c>
      <c r="AC1430" s="64">
        <f>IF(BO1430=1,IF(AA1430&lt;=0,0,BP1430*MAX(1,IF(G1430&gt;0,AA1430/G1430,1))),AB1430*Q1430)</f>
        <v/>
      </c>
      <c r="AD1430" s="55">
        <f>AA1430*F1430</f>
        <v/>
      </c>
      <c r="AE1430" s="55">
        <f>ROUNDUP(MAX(I1430/IF(BS1430&gt;0,BS1430,MAX(0.1,N(Cockpit!$C$6))),BV1430)/BN1430,0)*BN1430</f>
        <v/>
      </c>
      <c r="AF1430" s="56">
        <f>IF(AC1430&gt;0,I1430/AC1430,-1)</f>
        <v/>
      </c>
      <c r="AG1430" s="56">
        <f>IF(AND(OR(BR1430="L1",BR1430="L23"),AC1430&gt;0),SUMIFS($AC$7:$AC$1570,$BR$7:$BR$1570,BR1430,$AF$7:$AF$1570,"&gt;"&amp;AF1430)+SUMIFS($AC$7:$AC$1570,$BR$7:$BR$1570,BR1430,$AF$7:$AF$1570,AF1430,$BL$7:$BL$1570,"&lt;="&amp;BL1430),"")</f>
        <v/>
      </c>
      <c r="AH1430" s="65">
        <f>IF(AG1430="",0,MAX(0,MIN(1,(IF(BR1430="L1",Parameter!$K$5,Parameter!$K$6+Parameter!$K$7)-(AG1430-AC1430))/AC1430)))</f>
        <v/>
      </c>
      <c r="AI1430" s="55">
        <f>IF(LEFT(Cockpit!$I$5,1)="A",G1430,IF(BT1430=1,BU1430,IF(LEFT(Cockpit!$I$5,1)="B",AM1430,MAX(AM1430,G1430))))</f>
        <v/>
      </c>
      <c r="AJ1430" s="55">
        <f>IF(BO1430=1,0,ROUNDUP(AI1430/BN1430,0))</f>
        <v/>
      </c>
      <c r="AK1430" s="64">
        <f>IF(BO1430=1,IF(AI1430&lt;=0,0,BP1430*MAX(1,IF(G1430&gt;0,AI1430/G1430,1))),AJ1430*Q1430)</f>
        <v/>
      </c>
      <c r="AL1430" s="55">
        <f>AI1430*F1430</f>
        <v/>
      </c>
      <c r="AM1430" s="55">
        <f>ROUNDUP(MAX(I1430/IF(BS1430&gt;0,BS1430,MAX(0.1,N(Cockpit!$I$6))),BV1430)/BN1430,0)*BN1430</f>
        <v/>
      </c>
      <c r="AN1430" s="56">
        <f>IF(AK1430&gt;0,I1430/AK1430,-1)</f>
        <v/>
      </c>
      <c r="AO1430" s="56">
        <f>IF(AND(OR(BR1430="L1",BR1430="L23"),AK1430&gt;0),SUMIFS($AK$7:$AK$1570,$BR$7:$BR$1570,BR1430,$AN$7:$AN$1570,"&gt;"&amp;AN1430)+SUMIFS($AK$7:$AK$1570,$BR$7:$BR$1570,BR1430,$AN$7:$AN$1570,AN1430,$BL$7:$BL$1570,"&lt;="&amp;BL1430),"")</f>
        <v/>
      </c>
      <c r="AP1430" s="65">
        <f>IF(AO1430="",0,MAX(0,MIN(1,(IF(BR1430="L1",Parameter!$K$5,Parameter!$K$6+Parameter!$K$7)-(AO1430-AK1430))/AK1430)))</f>
        <v/>
      </c>
      <c r="AQ1430" s="55">
        <f>IF(LEFT(Cockpit!$O$5,1)="A",G1430,IF(BT1430=1,BU1430,IF(LEFT(Cockpit!$O$5,1)="B",AU1430,MAX(AU1430,G1430))))</f>
        <v/>
      </c>
      <c r="AR1430" s="55">
        <f>IF(BO1430=1,0,ROUNDUP(AQ1430/BN1430,0))</f>
        <v/>
      </c>
      <c r="AS1430" s="64">
        <f>IF(BO1430=1,IF(AQ1430&lt;=0,0,BP1430*MAX(1,IF(G1430&gt;0,AQ1430/G1430,1))),AR1430*Q1430)</f>
        <v/>
      </c>
      <c r="AT1430" s="55">
        <f>AQ1430*F1430</f>
        <v/>
      </c>
      <c r="AU1430" s="55">
        <f>ROUNDUP(MAX(I1430/IF(BS1430&gt;0,BS1430,MAX(0.1,N(Cockpit!$O$6))),BV1430)/BN1430,0)*BN1430</f>
        <v/>
      </c>
      <c r="AV1430" s="56">
        <f>IF(AS1430&gt;0,I1430/AS1430,-1)</f>
        <v/>
      </c>
      <c r="AW1430" s="56">
        <f>IF(AND(OR(BR1430="L1",BR1430="L23"),AS1430&gt;0),SUMIFS($AS$7:$AS$1570,$BR$7:$BR$1570,BR1430,$AV$7:$AV$1570,"&gt;"&amp;AV1430)+SUMIFS($AS$7:$AS$1570,$BR$7:$BR$1570,BR1430,$AV$7:$AV$1570,AV1430,$BL$7:$BL$1570,"&lt;="&amp;BL1430),"")</f>
        <v/>
      </c>
      <c r="AX1430" s="65">
        <f>IF(AW1430="",0,MAX(0,MIN(1,(IF(BR1430="L1",Parameter!$K$5,Parameter!$K$6+Parameter!$K$7)-(AW1430-AS1430))/AS1430)))</f>
        <v/>
      </c>
      <c r="AY1430" s="53">
        <f>IF(AC1430&lt;=0,"",IF(BR1430="Aussen","Aussenlager",IF(BR1430="-","Nicht im Lift",IF(AH1430&gt;=1,"Lift",IF(AH1430&lt;=0,"Aussenlager","teilweise")))))</f>
        <v/>
      </c>
      <c r="AZ1430" s="53">
        <f>IF(AK1430&lt;=0,"",IF(BR1430="Aussen","Aussenlager",IF(BR1430="-","Nicht im Lift",IF(AP1430&gt;=1,"Lift",IF(AP1430&lt;=0,"Aussenlager","teilweise")))))</f>
        <v/>
      </c>
      <c r="BA1430" s="53">
        <f>IF(AS1430&lt;=0,"",IF(BR1430="Aussen","Aussenlager",IF(BR1430="-","Nicht im Lift",IF(AX1430&gt;=1,"Lift",IF(AX1430&lt;=0,"Aussenlager","teilweise")))))</f>
        <v/>
      </c>
      <c r="BB1430" s="53">
        <f>IF(A1430="","",IF(BK1430=1,"Neu; ","")&amp;IF(AND(BK1430=0,BF1430&lt;0),"negativer Bestand (Export "&amp;BF1430&amp;"); ","")&amp;IF(I1430&lt;=0,"Kein Verbrauch; ","")&amp;IF(BO1430=1,"Lose – Fläche geschätzt; ","")&amp;IF(G1430&gt;AM1430,"Überbestand "&amp;ROUND(G1430-AM1430,0)&amp;" Stk / CHF "&amp;ROUND((G1430-AM1430)*F1430,0)&amp;"; ","")&amp;IF(AND(BT1430=1,BU1430&lt;BV1430),"MAX &lt; MB+LG; ","")&amp;IF(AND(BZ1430&gt;0,BY1430*10&gt;BZ1430),"zu hoch für Tablar; ","")&amp;IF(AND(BK1430=0,OR(BT1430=1,V1430&lt;&gt;"",S1430&lt;&gt;"",T1430&lt;&gt;"",W1430&lt;&gt;"")),"manuell übersteuert; ","")&amp;IF(AND(BO1430=0,Q1430=0),"Gebinde unbekannt; ","")&amp;IF(AND(BO1430=0,N(T1430)&lt;=0,N(P1430)&lt;=0),"Menge pro Gebinde fehlt (Ist = 1 Gebinde); ","")&amp;BJ1430)</f>
        <v/>
      </c>
      <c r="BC1430" s="53" t="n"/>
      <c r="BD1430" s="53" t="n"/>
      <c r="BE1430" s="61" t="n"/>
      <c r="BF1430" s="55" t="n">
        <v>-58</v>
      </c>
      <c r="BG1430" s="55" t="n">
        <v>116</v>
      </c>
      <c r="BH1430" s="54" t="n">
        <v>-6751.200000000001</v>
      </c>
      <c r="BI1430" s="55" t="n">
        <v>10</v>
      </c>
      <c r="BJ1430" s="53" t="inlineStr"/>
      <c r="BK1430" s="58" t="n">
        <v>0</v>
      </c>
      <c r="BL1430" s="58" t="n">
        <v>1430</v>
      </c>
      <c r="BM1430" s="53">
        <f>IF(S1430&lt;&gt;"",UPPER(TRIM(S1430)),IF(O1430="","LOSE",O1430))</f>
        <v/>
      </c>
      <c r="BN1430" s="55">
        <f>IF(BM1430="LOSE",1,IF(N(T1430)&gt;0,T1430,IF(N(P1430)&gt;0,P1430,MAX(1,G1430))))</f>
        <v/>
      </c>
      <c r="BO1430" s="58">
        <f>IF(BM1430="LOSE",1,0)</f>
        <v/>
      </c>
      <c r="BP1430" s="64">
        <f>IF(BO1430=0,0,IF(N(R1430)&gt;0,R1430,IFERROR(VLOOKUP(D1430,Parameter!$A$35:$C$64,3,0)+0,0)))</f>
        <v/>
      </c>
      <c r="BQ1430" s="53">
        <f>IF(V1430&lt;&gt;"",V1430,U1430)</f>
        <v/>
      </c>
      <c r="BR1430" s="53">
        <f>IF(BQ1430=1,"L1",IF(OR(BQ1430=2,BQ1430=3),"L23",IF(BQ1430="Aussen","Aussen","-")))</f>
        <v/>
      </c>
      <c r="BS1430" s="66">
        <f>IF(N(W1430)&gt;0,W1430,0)</f>
        <v/>
      </c>
      <c r="BT1430" s="58">
        <f>IF(ISNUMBER(Z1430),1,0)</f>
        <v/>
      </c>
      <c r="BU1430" s="55">
        <f>N(Z1430)</f>
        <v/>
      </c>
      <c r="BV1430" s="55">
        <f>N(L1430)+N(M1430)</f>
        <v/>
      </c>
      <c r="BW1430" s="55">
        <f>ROUNDUP(G1430/BN1430,0)</f>
        <v/>
      </c>
      <c r="BX1430" s="55">
        <f>ROUNDUP(BU1430/BN1430,0)</f>
        <v/>
      </c>
      <c r="BY1430" s="58">
        <f>IF(BO1430=1,0,IFERROR(VLOOKUP(BM1430,'Gebinde-Kategorie'!$A$5:$G$45,5,0)+0,0))</f>
        <v/>
      </c>
      <c r="BZ1430" s="58">
        <f>IFERROR(IF(OR(BQ1430=1,BQ1430=2,BQ1430=3),N(INDEX(Parameter!$I$5:$I$7,BQ1430)),0),0)</f>
        <v/>
      </c>
    </row>
    <row r="1431">
      <c r="A1431" s="53" t="inlineStr">
        <is>
          <t>105305</t>
        </is>
      </c>
      <c r="B1431" s="53" t="inlineStr">
        <is>
          <t>Transfer Gehäuse SPGr</t>
        </is>
      </c>
      <c r="C1431" s="53" t="inlineStr">
        <is>
          <t>F</t>
        </is>
      </c>
      <c r="D1431" s="53" t="inlineStr">
        <is>
          <t>PAL</t>
        </is>
      </c>
      <c r="E1431" s="53" t="inlineStr">
        <is>
          <t>C</t>
        </is>
      </c>
      <c r="F1431" s="54" t="n">
        <v>285.45</v>
      </c>
      <c r="G1431" s="55">
        <f>MAX(0,IF(Parameter!$B$20="Jahresanfang 2025 + Export",BG1431+BF1431,BF1431))</f>
        <v/>
      </c>
      <c r="H1431" s="55">
        <f>G1431*F1431</f>
        <v/>
      </c>
      <c r="I1431" s="55">
        <f>BI1431*Parameter!$B$18</f>
        <v/>
      </c>
      <c r="J1431" s="56" t="n">
        <v>64</v>
      </c>
      <c r="K1431" s="57" t="n">
        <v>4.84375</v>
      </c>
      <c r="L1431" s="55" t="n">
        <v>18</v>
      </c>
      <c r="M1431" s="55" t="n">
        <v>60</v>
      </c>
      <c r="N1431" s="58" t="n">
        <v>21</v>
      </c>
      <c r="O1431" s="53" t="inlineStr">
        <is>
          <t>S71</t>
        </is>
      </c>
      <c r="P1431" s="55" t="n">
        <v>112</v>
      </c>
      <c r="Q1431" s="59">
        <f>IF(BO1431=1,0,IFERROR(VLOOKUP(BM1431,'Gebinde-Kategorie'!$A$5:$G$45,6,0)+0,0))</f>
        <v/>
      </c>
      <c r="R1431" s="60" t="n"/>
      <c r="S1431" s="61" t="n"/>
      <c r="T1431" s="61" t="n"/>
      <c r="U1431" s="53">
        <f>IF(A1431="","",IF(IFERROR(VLOOKUP(D1431,Parameter!$A$35:$C$64,2,0),"Nein")="2+3",IF(ISNUMBER(SEARCH("grosser Artikel",BJ1431)),2,IFERROR(VLOOKUP(BM1431,Parameter!$F$35:$G$64,2,0),2)),IF(OR(IFERROR(VLOOKUP(D1431,Parameter!$A$35:$C$64,2,0),"Nein")="Nein",IFERROR(VLOOKUP(D1431,Parameter!$A$35:$C$64,2,0),"Nein")=""),"-",VLOOKUP(D1431,Parameter!$A$35:$C$64,2,0))))</f>
        <v/>
      </c>
      <c r="V1431" s="61" t="n"/>
      <c r="W1431" s="62" t="n"/>
      <c r="X1431" s="55">
        <f>AM1431</f>
        <v/>
      </c>
      <c r="Y1431" s="55">
        <f>MAX(AM1431,G1431)</f>
        <v/>
      </c>
      <c r="Z1431" s="63" t="n"/>
      <c r="AA1431" s="55">
        <f>IF(LEFT(Cockpit!$C$5,1)="A",G1431,IF(BT1431=1,BU1431,IF(LEFT(Cockpit!$C$5,1)="B",AE1431,MAX(AE1431,G1431))))</f>
        <v/>
      </c>
      <c r="AB1431" s="55">
        <f>IF(BO1431=1,0,ROUNDUP(AA1431/BN1431,0))</f>
        <v/>
      </c>
      <c r="AC1431" s="64">
        <f>IF(BO1431=1,IF(AA1431&lt;=0,0,BP1431*MAX(1,IF(G1431&gt;0,AA1431/G1431,1))),AB1431*Q1431)</f>
        <v/>
      </c>
      <c r="AD1431" s="55">
        <f>AA1431*F1431</f>
        <v/>
      </c>
      <c r="AE1431" s="55">
        <f>ROUNDUP(MAX(I1431/IF(BS1431&gt;0,BS1431,MAX(0.1,N(Cockpit!$C$6))),BV1431)/BN1431,0)*BN1431</f>
        <v/>
      </c>
      <c r="AF1431" s="56">
        <f>IF(AC1431&gt;0,I1431/AC1431,-1)</f>
        <v/>
      </c>
      <c r="AG1431" s="56">
        <f>IF(AND(OR(BR1431="L1",BR1431="L23"),AC1431&gt;0),SUMIFS($AC$7:$AC$1570,$BR$7:$BR$1570,BR1431,$AF$7:$AF$1570,"&gt;"&amp;AF1431)+SUMIFS($AC$7:$AC$1570,$BR$7:$BR$1570,BR1431,$AF$7:$AF$1570,AF1431,$BL$7:$BL$1570,"&lt;="&amp;BL1431),"")</f>
        <v/>
      </c>
      <c r="AH1431" s="65">
        <f>IF(AG1431="",0,MAX(0,MIN(1,(IF(BR1431="L1",Parameter!$K$5,Parameter!$K$6+Parameter!$K$7)-(AG1431-AC1431))/AC1431)))</f>
        <v/>
      </c>
      <c r="AI1431" s="55">
        <f>IF(LEFT(Cockpit!$I$5,1)="A",G1431,IF(BT1431=1,BU1431,IF(LEFT(Cockpit!$I$5,1)="B",AM1431,MAX(AM1431,G1431))))</f>
        <v/>
      </c>
      <c r="AJ1431" s="55">
        <f>IF(BO1431=1,0,ROUNDUP(AI1431/BN1431,0))</f>
        <v/>
      </c>
      <c r="AK1431" s="64">
        <f>IF(BO1431=1,IF(AI1431&lt;=0,0,BP1431*MAX(1,IF(G1431&gt;0,AI1431/G1431,1))),AJ1431*Q1431)</f>
        <v/>
      </c>
      <c r="AL1431" s="55">
        <f>AI1431*F1431</f>
        <v/>
      </c>
      <c r="AM1431" s="55">
        <f>ROUNDUP(MAX(I1431/IF(BS1431&gt;0,BS1431,MAX(0.1,N(Cockpit!$I$6))),BV1431)/BN1431,0)*BN1431</f>
        <v/>
      </c>
      <c r="AN1431" s="56">
        <f>IF(AK1431&gt;0,I1431/AK1431,-1)</f>
        <v/>
      </c>
      <c r="AO1431" s="56">
        <f>IF(AND(OR(BR1431="L1",BR1431="L23"),AK1431&gt;0),SUMIFS($AK$7:$AK$1570,$BR$7:$BR$1570,BR1431,$AN$7:$AN$1570,"&gt;"&amp;AN1431)+SUMIFS($AK$7:$AK$1570,$BR$7:$BR$1570,BR1431,$AN$7:$AN$1570,AN1431,$BL$7:$BL$1570,"&lt;="&amp;BL1431),"")</f>
        <v/>
      </c>
      <c r="AP1431" s="65">
        <f>IF(AO1431="",0,MAX(0,MIN(1,(IF(BR1431="L1",Parameter!$K$5,Parameter!$K$6+Parameter!$K$7)-(AO1431-AK1431))/AK1431)))</f>
        <v/>
      </c>
      <c r="AQ1431" s="55">
        <f>IF(LEFT(Cockpit!$O$5,1)="A",G1431,IF(BT1431=1,BU1431,IF(LEFT(Cockpit!$O$5,1)="B",AU1431,MAX(AU1431,G1431))))</f>
        <v/>
      </c>
      <c r="AR1431" s="55">
        <f>IF(BO1431=1,0,ROUNDUP(AQ1431/BN1431,0))</f>
        <v/>
      </c>
      <c r="AS1431" s="64">
        <f>IF(BO1431=1,IF(AQ1431&lt;=0,0,BP1431*MAX(1,IF(G1431&gt;0,AQ1431/G1431,1))),AR1431*Q1431)</f>
        <v/>
      </c>
      <c r="AT1431" s="55">
        <f>AQ1431*F1431</f>
        <v/>
      </c>
      <c r="AU1431" s="55">
        <f>ROUNDUP(MAX(I1431/IF(BS1431&gt;0,BS1431,MAX(0.1,N(Cockpit!$O$6))),BV1431)/BN1431,0)*BN1431</f>
        <v/>
      </c>
      <c r="AV1431" s="56">
        <f>IF(AS1431&gt;0,I1431/AS1431,-1)</f>
        <v/>
      </c>
      <c r="AW1431" s="56">
        <f>IF(AND(OR(BR1431="L1",BR1431="L23"),AS1431&gt;0),SUMIFS($AS$7:$AS$1570,$BR$7:$BR$1570,BR1431,$AV$7:$AV$1570,"&gt;"&amp;AV1431)+SUMIFS($AS$7:$AS$1570,$BR$7:$BR$1570,BR1431,$AV$7:$AV$1570,AV1431,$BL$7:$BL$1570,"&lt;="&amp;BL1431),"")</f>
        <v/>
      </c>
      <c r="AX1431" s="65">
        <f>IF(AW1431="",0,MAX(0,MIN(1,(IF(BR1431="L1",Parameter!$K$5,Parameter!$K$6+Parameter!$K$7)-(AW1431-AS1431))/AS1431)))</f>
        <v/>
      </c>
      <c r="AY1431" s="53">
        <f>IF(AC1431&lt;=0,"",IF(BR1431="Aussen","Aussenlager",IF(BR1431="-","Nicht im Lift",IF(AH1431&gt;=1,"Lift",IF(AH1431&lt;=0,"Aussenlager","teilweise")))))</f>
        <v/>
      </c>
      <c r="AZ1431" s="53">
        <f>IF(AK1431&lt;=0,"",IF(BR1431="Aussen","Aussenlager",IF(BR1431="-","Nicht im Lift",IF(AP1431&gt;=1,"Lift",IF(AP1431&lt;=0,"Aussenlager","teilweise")))))</f>
        <v/>
      </c>
      <c r="BA1431" s="53">
        <f>IF(AS1431&lt;=0,"",IF(BR1431="Aussen","Aussenlager",IF(BR1431="-","Nicht im Lift",IF(AX1431&gt;=1,"Lift",IF(AX1431&lt;=0,"Aussenlager","teilweise")))))</f>
        <v/>
      </c>
      <c r="BB1431" s="53">
        <f>IF(A1431="","",IF(BK1431=1,"Neu; ","")&amp;IF(AND(BK1431=0,BF1431&lt;0),"negativer Bestand (Export "&amp;BF1431&amp;"); ","")&amp;IF(I1431&lt;=0,"Kein Verbrauch; ","")&amp;IF(BO1431=1,"Lose – Fläche geschätzt; ","")&amp;IF(G1431&gt;AM1431,"Überbestand "&amp;ROUND(G1431-AM1431,0)&amp;" Stk / CHF "&amp;ROUND((G1431-AM1431)*F1431,0)&amp;"; ","")&amp;IF(AND(BT1431=1,BU1431&lt;BV1431),"MAX &lt; MB+LG; ","")&amp;IF(AND(BZ1431&gt;0,BY1431*10&gt;BZ1431),"zu hoch für Tablar; ","")&amp;IF(AND(BK1431=0,OR(BT1431=1,V1431&lt;&gt;"",S1431&lt;&gt;"",T1431&lt;&gt;"",W1431&lt;&gt;"")),"manuell übersteuert; ","")&amp;IF(AND(BO1431=0,Q1431=0),"Gebinde unbekannt; ","")&amp;IF(AND(BO1431=0,N(T1431)&lt;=0,N(P1431)&lt;=0),"Menge pro Gebinde fehlt (Ist = 1 Gebinde); ","")&amp;BJ1431)</f>
        <v/>
      </c>
      <c r="BC1431" s="53" t="n"/>
      <c r="BD1431" s="53" t="n"/>
      <c r="BE1431" s="61" t="n"/>
      <c r="BF1431" s="55" t="n">
        <v>-14</v>
      </c>
      <c r="BG1431" s="55" t="n">
        <v>66</v>
      </c>
      <c r="BH1431" s="54" t="n">
        <v>-6931.97999999999</v>
      </c>
      <c r="BI1431" s="55" t="n">
        <v>310</v>
      </c>
      <c r="BJ1431" s="53" t="inlineStr">
        <is>
          <t>grosser Artikel &amp; nicht im KTL</t>
        </is>
      </c>
      <c r="BK1431" s="58" t="n">
        <v>0</v>
      </c>
      <c r="BL1431" s="58" t="n">
        <v>1431</v>
      </c>
      <c r="BM1431" s="53">
        <f>IF(S1431&lt;&gt;"",UPPER(TRIM(S1431)),IF(O1431="","LOSE",O1431))</f>
        <v/>
      </c>
      <c r="BN1431" s="55">
        <f>IF(BM1431="LOSE",1,IF(N(T1431)&gt;0,T1431,IF(N(P1431)&gt;0,P1431,MAX(1,G1431))))</f>
        <v/>
      </c>
      <c r="BO1431" s="58">
        <f>IF(BM1431="LOSE",1,0)</f>
        <v/>
      </c>
      <c r="BP1431" s="64">
        <f>IF(BO1431=0,0,IF(N(R1431)&gt;0,R1431,IFERROR(VLOOKUP(D1431,Parameter!$A$35:$C$64,3,0)+0,0)))</f>
        <v/>
      </c>
      <c r="BQ1431" s="53">
        <f>IF(V1431&lt;&gt;"",V1431,U1431)</f>
        <v/>
      </c>
      <c r="BR1431" s="53">
        <f>IF(BQ1431=1,"L1",IF(OR(BQ1431=2,BQ1431=3),"L23",IF(BQ1431="Aussen","Aussen","-")))</f>
        <v/>
      </c>
      <c r="BS1431" s="66">
        <f>IF(N(W1431)&gt;0,W1431,0)</f>
        <v/>
      </c>
      <c r="BT1431" s="58">
        <f>IF(ISNUMBER(Z1431),1,0)</f>
        <v/>
      </c>
      <c r="BU1431" s="55">
        <f>N(Z1431)</f>
        <v/>
      </c>
      <c r="BV1431" s="55">
        <f>N(L1431)+N(M1431)</f>
        <v/>
      </c>
      <c r="BW1431" s="55">
        <f>ROUNDUP(G1431/BN1431,0)</f>
        <v/>
      </c>
      <c r="BX1431" s="55">
        <f>ROUNDUP(BU1431/BN1431,0)</f>
        <v/>
      </c>
      <c r="BY1431" s="58">
        <f>IF(BO1431=1,0,IFERROR(VLOOKUP(BM1431,'Gebinde-Kategorie'!$A$5:$G$45,5,0)+0,0))</f>
        <v/>
      </c>
      <c r="BZ1431" s="58">
        <f>IFERROR(IF(OR(BQ1431=1,BQ1431=2,BQ1431=3),N(INDEX(Parameter!$I$5:$I$7,BQ1431)),0),0)</f>
        <v/>
      </c>
    </row>
    <row r="1432">
      <c r="A1432" s="53" t="inlineStr">
        <is>
          <t>101828</t>
        </is>
      </c>
      <c r="B1432" s="53" t="inlineStr">
        <is>
          <t>Austrittsdüse</t>
        </is>
      </c>
      <c r="C1432" s="53" t="inlineStr">
        <is>
          <t>F</t>
        </is>
      </c>
      <c r="D1432" s="53" t="inlineStr">
        <is>
          <t>LIFT1</t>
        </is>
      </c>
      <c r="E1432" s="53" t="inlineStr">
        <is>
          <t>C</t>
        </is>
      </c>
      <c r="F1432" s="54" t="n">
        <v>2330</v>
      </c>
      <c r="G1432" s="55">
        <f>MAX(0,IF(Parameter!$B$20="Jahresanfang 2025 + Export",BG1432+BF1432,BF1432))</f>
        <v/>
      </c>
      <c r="H1432" s="55">
        <f>G1432*F1432</f>
        <v/>
      </c>
      <c r="I1432" s="55">
        <f>BI1432*Parameter!$B$18</f>
        <v/>
      </c>
      <c r="J1432" s="56" t="n">
        <v>3.5</v>
      </c>
      <c r="K1432" s="57" t="n">
        <v>0.2857142857142857</v>
      </c>
      <c r="L1432" s="55" t="n">
        <v>0</v>
      </c>
      <c r="M1432" s="55" t="n">
        <v>1</v>
      </c>
      <c r="N1432" s="58" t="n">
        <v>58</v>
      </c>
      <c r="O1432" s="53" t="inlineStr">
        <is>
          <t>LOSE</t>
        </is>
      </c>
      <c r="P1432" s="55" t="n"/>
      <c r="Q1432" s="59">
        <f>IF(BO1432=1,0,IFERROR(VLOOKUP(BM1432,'Gebinde-Kategorie'!$A$5:$G$45,6,0)+0,0))</f>
        <v/>
      </c>
      <c r="R1432" s="60" t="n"/>
      <c r="S1432" s="61" t="n"/>
      <c r="T1432" s="61" t="n"/>
      <c r="U1432" s="53">
        <f>IF(A1432="","",IF(IFERROR(VLOOKUP(D1432,Parameter!$A$35:$C$64,2,0),"Nein")="2+3",IF(ISNUMBER(SEARCH("grosser Artikel",BJ1432)),2,IFERROR(VLOOKUP(BM1432,Parameter!$F$35:$G$64,2,0),2)),IF(OR(IFERROR(VLOOKUP(D1432,Parameter!$A$35:$C$64,2,0),"Nein")="Nein",IFERROR(VLOOKUP(D1432,Parameter!$A$35:$C$64,2,0),"Nein")=""),"-",VLOOKUP(D1432,Parameter!$A$35:$C$64,2,0))))</f>
        <v/>
      </c>
      <c r="V1432" s="61" t="n"/>
      <c r="W1432" s="62" t="n"/>
      <c r="X1432" s="55">
        <f>AM1432</f>
        <v/>
      </c>
      <c r="Y1432" s="55">
        <f>MAX(AM1432,G1432)</f>
        <v/>
      </c>
      <c r="Z1432" s="63" t="n"/>
      <c r="AA1432" s="55">
        <f>IF(LEFT(Cockpit!$C$5,1)="A",G1432,IF(BT1432=1,BU1432,IF(LEFT(Cockpit!$C$5,1)="B",AE1432,MAX(AE1432,G1432))))</f>
        <v/>
      </c>
      <c r="AB1432" s="55">
        <f>IF(BO1432=1,0,ROUNDUP(AA1432/BN1432,0))</f>
        <v/>
      </c>
      <c r="AC1432" s="64">
        <f>IF(BO1432=1,IF(AA1432&lt;=0,0,BP1432*MAX(1,IF(G1432&gt;0,AA1432/G1432,1))),AB1432*Q1432)</f>
        <v/>
      </c>
      <c r="AD1432" s="55">
        <f>AA1432*F1432</f>
        <v/>
      </c>
      <c r="AE1432" s="55">
        <f>ROUNDUP(MAX(I1432/IF(BS1432&gt;0,BS1432,MAX(0.1,N(Cockpit!$C$6))),BV1432)/BN1432,0)*BN1432</f>
        <v/>
      </c>
      <c r="AF1432" s="56">
        <f>IF(AC1432&gt;0,I1432/AC1432,-1)</f>
        <v/>
      </c>
      <c r="AG1432" s="56">
        <f>IF(AND(OR(BR1432="L1",BR1432="L23"),AC1432&gt;0),SUMIFS($AC$7:$AC$1570,$BR$7:$BR$1570,BR1432,$AF$7:$AF$1570,"&gt;"&amp;AF1432)+SUMIFS($AC$7:$AC$1570,$BR$7:$BR$1570,BR1432,$AF$7:$AF$1570,AF1432,$BL$7:$BL$1570,"&lt;="&amp;BL1432),"")</f>
        <v/>
      </c>
      <c r="AH1432" s="65">
        <f>IF(AG1432="",0,MAX(0,MIN(1,(IF(BR1432="L1",Parameter!$K$5,Parameter!$K$6+Parameter!$K$7)-(AG1432-AC1432))/AC1432)))</f>
        <v/>
      </c>
      <c r="AI1432" s="55">
        <f>IF(LEFT(Cockpit!$I$5,1)="A",G1432,IF(BT1432=1,BU1432,IF(LEFT(Cockpit!$I$5,1)="B",AM1432,MAX(AM1432,G1432))))</f>
        <v/>
      </c>
      <c r="AJ1432" s="55">
        <f>IF(BO1432=1,0,ROUNDUP(AI1432/BN1432,0))</f>
        <v/>
      </c>
      <c r="AK1432" s="64">
        <f>IF(BO1432=1,IF(AI1432&lt;=0,0,BP1432*MAX(1,IF(G1432&gt;0,AI1432/G1432,1))),AJ1432*Q1432)</f>
        <v/>
      </c>
      <c r="AL1432" s="55">
        <f>AI1432*F1432</f>
        <v/>
      </c>
      <c r="AM1432" s="55">
        <f>ROUNDUP(MAX(I1432/IF(BS1432&gt;0,BS1432,MAX(0.1,N(Cockpit!$I$6))),BV1432)/BN1432,0)*BN1432</f>
        <v/>
      </c>
      <c r="AN1432" s="56">
        <f>IF(AK1432&gt;0,I1432/AK1432,-1)</f>
        <v/>
      </c>
      <c r="AO1432" s="56">
        <f>IF(AND(OR(BR1432="L1",BR1432="L23"),AK1432&gt;0),SUMIFS($AK$7:$AK$1570,$BR$7:$BR$1570,BR1432,$AN$7:$AN$1570,"&gt;"&amp;AN1432)+SUMIFS($AK$7:$AK$1570,$BR$7:$BR$1570,BR1432,$AN$7:$AN$1570,AN1432,$BL$7:$BL$1570,"&lt;="&amp;BL1432),"")</f>
        <v/>
      </c>
      <c r="AP1432" s="65">
        <f>IF(AO1432="",0,MAX(0,MIN(1,(IF(BR1432="L1",Parameter!$K$5,Parameter!$K$6+Parameter!$K$7)-(AO1432-AK1432))/AK1432)))</f>
        <v/>
      </c>
      <c r="AQ1432" s="55">
        <f>IF(LEFT(Cockpit!$O$5,1)="A",G1432,IF(BT1432=1,BU1432,IF(LEFT(Cockpit!$O$5,1)="B",AU1432,MAX(AU1432,G1432))))</f>
        <v/>
      </c>
      <c r="AR1432" s="55">
        <f>IF(BO1432=1,0,ROUNDUP(AQ1432/BN1432,0))</f>
        <v/>
      </c>
      <c r="AS1432" s="64">
        <f>IF(BO1432=1,IF(AQ1432&lt;=0,0,BP1432*MAX(1,IF(G1432&gt;0,AQ1432/G1432,1))),AR1432*Q1432)</f>
        <v/>
      </c>
      <c r="AT1432" s="55">
        <f>AQ1432*F1432</f>
        <v/>
      </c>
      <c r="AU1432" s="55">
        <f>ROUNDUP(MAX(I1432/IF(BS1432&gt;0,BS1432,MAX(0.1,N(Cockpit!$O$6))),BV1432)/BN1432,0)*BN1432</f>
        <v/>
      </c>
      <c r="AV1432" s="56">
        <f>IF(AS1432&gt;0,I1432/AS1432,-1)</f>
        <v/>
      </c>
      <c r="AW1432" s="56">
        <f>IF(AND(OR(BR1432="L1",BR1432="L23"),AS1432&gt;0),SUMIFS($AS$7:$AS$1570,$BR$7:$BR$1570,BR1432,$AV$7:$AV$1570,"&gt;"&amp;AV1432)+SUMIFS($AS$7:$AS$1570,$BR$7:$BR$1570,BR1432,$AV$7:$AV$1570,AV1432,$BL$7:$BL$1570,"&lt;="&amp;BL1432),"")</f>
        <v/>
      </c>
      <c r="AX1432" s="65">
        <f>IF(AW1432="",0,MAX(0,MIN(1,(IF(BR1432="L1",Parameter!$K$5,Parameter!$K$6+Parameter!$K$7)-(AW1432-AS1432))/AS1432)))</f>
        <v/>
      </c>
      <c r="AY1432" s="53">
        <f>IF(AC1432&lt;=0,"",IF(BR1432="Aussen","Aussenlager",IF(BR1432="-","Nicht im Lift",IF(AH1432&gt;=1,"Lift",IF(AH1432&lt;=0,"Aussenlager","teilweise")))))</f>
        <v/>
      </c>
      <c r="AZ1432" s="53">
        <f>IF(AK1432&lt;=0,"",IF(BR1432="Aussen","Aussenlager",IF(BR1432="-","Nicht im Lift",IF(AP1432&gt;=1,"Lift",IF(AP1432&lt;=0,"Aussenlager","teilweise")))))</f>
        <v/>
      </c>
      <c r="BA1432" s="53">
        <f>IF(AS1432&lt;=0,"",IF(BR1432="Aussen","Aussenlager",IF(BR1432="-","Nicht im Lift",IF(AX1432&gt;=1,"Lift",IF(AX1432&lt;=0,"Aussenlager","teilweise")))))</f>
        <v/>
      </c>
      <c r="BB1432" s="53">
        <f>IF(A1432="","",IF(BK1432=1,"Neu; ","")&amp;IF(AND(BK1432=0,BF1432&lt;0),"negativer Bestand (Export "&amp;BF1432&amp;"); ","")&amp;IF(I1432&lt;=0,"Kein Verbrauch; ","")&amp;IF(BO1432=1,"Lose – Fläche geschätzt; ","")&amp;IF(G1432&gt;AM1432,"Überbestand "&amp;ROUND(G1432-AM1432,0)&amp;" Stk / CHF "&amp;ROUND((G1432-AM1432)*F1432,0)&amp;"; ","")&amp;IF(AND(BT1432=1,BU1432&lt;BV1432),"MAX &lt; MB+LG; ","")&amp;IF(AND(BZ1432&gt;0,BY1432*10&gt;BZ1432),"zu hoch für Tablar; ","")&amp;IF(AND(BK1432=0,OR(BT1432=1,V1432&lt;&gt;"",S1432&lt;&gt;"",T1432&lt;&gt;"",W1432&lt;&gt;"")),"manuell übersteuert; ","")&amp;IF(AND(BO1432=0,Q1432=0),"Gebinde unbekannt; ","")&amp;IF(AND(BO1432=0,N(T1432)&lt;=0,N(P1432)&lt;=0),"Menge pro Gebinde fehlt (Ist = 1 Gebinde); ","")&amp;BJ1432)</f>
        <v/>
      </c>
      <c r="BC1432" s="53" t="n"/>
      <c r="BD1432" s="53" t="n"/>
      <c r="BE1432" s="61" t="n"/>
      <c r="BF1432" s="55" t="n">
        <v>-3</v>
      </c>
      <c r="BG1432" s="55" t="n">
        <v>4</v>
      </c>
      <c r="BH1432" s="54" t="n">
        <v>-6990</v>
      </c>
      <c r="BI1432" s="55" t="n">
        <v>1</v>
      </c>
      <c r="BJ1432" s="53" t="inlineStr">
        <is>
          <t>Überbestand</t>
        </is>
      </c>
      <c r="BK1432" s="58" t="n">
        <v>0</v>
      </c>
      <c r="BL1432" s="58" t="n">
        <v>1432</v>
      </c>
      <c r="BM1432" s="53">
        <f>IF(S1432&lt;&gt;"",UPPER(TRIM(S1432)),IF(O1432="","LOSE",O1432))</f>
        <v/>
      </c>
      <c r="BN1432" s="55">
        <f>IF(BM1432="LOSE",1,IF(N(T1432)&gt;0,T1432,IF(N(P1432)&gt;0,P1432,MAX(1,G1432))))</f>
        <v/>
      </c>
      <c r="BO1432" s="58">
        <f>IF(BM1432="LOSE",1,0)</f>
        <v/>
      </c>
      <c r="BP1432" s="64">
        <f>IF(BO1432=0,0,IF(N(R1432)&gt;0,R1432,IFERROR(VLOOKUP(D1432,Parameter!$A$35:$C$64,3,0)+0,0)))</f>
        <v/>
      </c>
      <c r="BQ1432" s="53">
        <f>IF(V1432&lt;&gt;"",V1432,U1432)</f>
        <v/>
      </c>
      <c r="BR1432" s="53">
        <f>IF(BQ1432=1,"L1",IF(OR(BQ1432=2,BQ1432=3),"L23",IF(BQ1432="Aussen","Aussen","-")))</f>
        <v/>
      </c>
      <c r="BS1432" s="66">
        <f>IF(N(W1432)&gt;0,W1432,0)</f>
        <v/>
      </c>
      <c r="BT1432" s="58">
        <f>IF(ISNUMBER(Z1432),1,0)</f>
        <v/>
      </c>
      <c r="BU1432" s="55">
        <f>N(Z1432)</f>
        <v/>
      </c>
      <c r="BV1432" s="55">
        <f>N(L1432)+N(M1432)</f>
        <v/>
      </c>
      <c r="BW1432" s="55">
        <f>ROUNDUP(G1432/BN1432,0)</f>
        <v/>
      </c>
      <c r="BX1432" s="55">
        <f>ROUNDUP(BU1432/BN1432,0)</f>
        <v/>
      </c>
      <c r="BY1432" s="58">
        <f>IF(BO1432=1,0,IFERROR(VLOOKUP(BM1432,'Gebinde-Kategorie'!$A$5:$G$45,5,0)+0,0))</f>
        <v/>
      </c>
      <c r="BZ1432" s="58">
        <f>IFERROR(IF(OR(BQ1432=1,BQ1432=2,BQ1432=3),N(INDEX(Parameter!$I$5:$I$7,BQ1432)),0),0)</f>
        <v/>
      </c>
    </row>
    <row r="1433">
      <c r="A1433" s="53" t="inlineStr">
        <is>
          <t>OC-100168</t>
        </is>
      </c>
      <c r="B1433" s="53" t="inlineStr">
        <is>
          <t>Shock Pulse Generator TwinL komplett</t>
        </is>
      </c>
      <c r="C1433" s="53" t="inlineStr">
        <is>
          <t>F</t>
        </is>
      </c>
      <c r="D1433" s="53" t="inlineStr">
        <is>
          <t>OCC</t>
        </is>
      </c>
      <c r="E1433" s="53" t="inlineStr">
        <is>
          <t>C</t>
        </is>
      </c>
      <c r="F1433" s="54" t="n">
        <v>3532.08</v>
      </c>
      <c r="G1433" s="55">
        <f>MAX(0,IF(Parameter!$B$20="Jahresanfang 2025 + Export",BG1433+BF1433,BF1433))</f>
        <v/>
      </c>
      <c r="H1433" s="55">
        <f>G1433*F1433</f>
        <v/>
      </c>
      <c r="I1433" s="55">
        <f>BI1433*Parameter!$B$18</f>
        <v/>
      </c>
      <c r="J1433" s="56" t="n">
        <v>1</v>
      </c>
      <c r="K1433" s="57" t="n">
        <v>0</v>
      </c>
      <c r="L1433" s="55" t="n">
        <v>0</v>
      </c>
      <c r="M1433" s="55" t="n">
        <v>1</v>
      </c>
      <c r="N1433" s="58" t="n">
        <v>90</v>
      </c>
      <c r="O1433" s="53" t="inlineStr">
        <is>
          <t>LOSE</t>
        </is>
      </c>
      <c r="P1433" s="55" t="n"/>
      <c r="Q1433" s="59">
        <f>IF(BO1433=1,0,IFERROR(VLOOKUP(BM1433,'Gebinde-Kategorie'!$A$5:$G$45,6,0)+0,0))</f>
        <v/>
      </c>
      <c r="R1433" s="60" t="n"/>
      <c r="S1433" s="61" t="n"/>
      <c r="T1433" s="61" t="n"/>
      <c r="U1433" s="53">
        <f>IF(A1433="","",IF(IFERROR(VLOOKUP(D1433,Parameter!$A$35:$C$64,2,0),"Nein")="2+3",IF(ISNUMBER(SEARCH("grosser Artikel",BJ1433)),2,IFERROR(VLOOKUP(BM1433,Parameter!$F$35:$G$64,2,0),2)),IF(OR(IFERROR(VLOOKUP(D1433,Parameter!$A$35:$C$64,2,0),"Nein")="Nein",IFERROR(VLOOKUP(D1433,Parameter!$A$35:$C$64,2,0),"Nein")=""),"-",VLOOKUP(D1433,Parameter!$A$35:$C$64,2,0))))</f>
        <v/>
      </c>
      <c r="V1433" s="61" t="n"/>
      <c r="W1433" s="62" t="n"/>
      <c r="X1433" s="55">
        <f>AM1433</f>
        <v/>
      </c>
      <c r="Y1433" s="55">
        <f>MAX(AM1433,G1433)</f>
        <v/>
      </c>
      <c r="Z1433" s="63" t="n"/>
      <c r="AA1433" s="55">
        <f>IF(LEFT(Cockpit!$C$5,1)="A",G1433,IF(BT1433=1,BU1433,IF(LEFT(Cockpit!$C$5,1)="B",AE1433,MAX(AE1433,G1433))))</f>
        <v/>
      </c>
      <c r="AB1433" s="55">
        <f>IF(BO1433=1,0,ROUNDUP(AA1433/BN1433,0))</f>
        <v/>
      </c>
      <c r="AC1433" s="64">
        <f>IF(BO1433=1,IF(AA1433&lt;=0,0,BP1433*MAX(1,IF(G1433&gt;0,AA1433/G1433,1))),AB1433*Q1433)</f>
        <v/>
      </c>
      <c r="AD1433" s="55">
        <f>AA1433*F1433</f>
        <v/>
      </c>
      <c r="AE1433" s="55">
        <f>ROUNDUP(MAX(I1433/IF(BS1433&gt;0,BS1433,MAX(0.1,N(Cockpit!$C$6))),BV1433)/BN1433,0)*BN1433</f>
        <v/>
      </c>
      <c r="AF1433" s="56">
        <f>IF(AC1433&gt;0,I1433/AC1433,-1)</f>
        <v/>
      </c>
      <c r="AG1433" s="56">
        <f>IF(AND(OR(BR1433="L1",BR1433="L23"),AC1433&gt;0),SUMIFS($AC$7:$AC$1570,$BR$7:$BR$1570,BR1433,$AF$7:$AF$1570,"&gt;"&amp;AF1433)+SUMIFS($AC$7:$AC$1570,$BR$7:$BR$1570,BR1433,$AF$7:$AF$1570,AF1433,$BL$7:$BL$1570,"&lt;="&amp;BL1433),"")</f>
        <v/>
      </c>
      <c r="AH1433" s="65">
        <f>IF(AG1433="",0,MAX(0,MIN(1,(IF(BR1433="L1",Parameter!$K$5,Parameter!$K$6+Parameter!$K$7)-(AG1433-AC1433))/AC1433)))</f>
        <v/>
      </c>
      <c r="AI1433" s="55">
        <f>IF(LEFT(Cockpit!$I$5,1)="A",G1433,IF(BT1433=1,BU1433,IF(LEFT(Cockpit!$I$5,1)="B",AM1433,MAX(AM1433,G1433))))</f>
        <v/>
      </c>
      <c r="AJ1433" s="55">
        <f>IF(BO1433=1,0,ROUNDUP(AI1433/BN1433,0))</f>
        <v/>
      </c>
      <c r="AK1433" s="64">
        <f>IF(BO1433=1,IF(AI1433&lt;=0,0,BP1433*MAX(1,IF(G1433&gt;0,AI1433/G1433,1))),AJ1433*Q1433)</f>
        <v/>
      </c>
      <c r="AL1433" s="55">
        <f>AI1433*F1433</f>
        <v/>
      </c>
      <c r="AM1433" s="55">
        <f>ROUNDUP(MAX(I1433/IF(BS1433&gt;0,BS1433,MAX(0.1,N(Cockpit!$I$6))),BV1433)/BN1433,0)*BN1433</f>
        <v/>
      </c>
      <c r="AN1433" s="56">
        <f>IF(AK1433&gt;0,I1433/AK1433,-1)</f>
        <v/>
      </c>
      <c r="AO1433" s="56">
        <f>IF(AND(OR(BR1433="L1",BR1433="L23"),AK1433&gt;0),SUMIFS($AK$7:$AK$1570,$BR$7:$BR$1570,BR1433,$AN$7:$AN$1570,"&gt;"&amp;AN1433)+SUMIFS($AK$7:$AK$1570,$BR$7:$BR$1570,BR1433,$AN$7:$AN$1570,AN1433,$BL$7:$BL$1570,"&lt;="&amp;BL1433),"")</f>
        <v/>
      </c>
      <c r="AP1433" s="65">
        <f>IF(AO1433="",0,MAX(0,MIN(1,(IF(BR1433="L1",Parameter!$K$5,Parameter!$K$6+Parameter!$K$7)-(AO1433-AK1433))/AK1433)))</f>
        <v/>
      </c>
      <c r="AQ1433" s="55">
        <f>IF(LEFT(Cockpit!$O$5,1)="A",G1433,IF(BT1433=1,BU1433,IF(LEFT(Cockpit!$O$5,1)="B",AU1433,MAX(AU1433,G1433))))</f>
        <v/>
      </c>
      <c r="AR1433" s="55">
        <f>IF(BO1433=1,0,ROUNDUP(AQ1433/BN1433,0))</f>
        <v/>
      </c>
      <c r="AS1433" s="64">
        <f>IF(BO1433=1,IF(AQ1433&lt;=0,0,BP1433*MAX(1,IF(G1433&gt;0,AQ1433/G1433,1))),AR1433*Q1433)</f>
        <v/>
      </c>
      <c r="AT1433" s="55">
        <f>AQ1433*F1433</f>
        <v/>
      </c>
      <c r="AU1433" s="55">
        <f>ROUNDUP(MAX(I1433/IF(BS1433&gt;0,BS1433,MAX(0.1,N(Cockpit!$O$6))),BV1433)/BN1433,0)*BN1433</f>
        <v/>
      </c>
      <c r="AV1433" s="56">
        <f>IF(AS1433&gt;0,I1433/AS1433,-1)</f>
        <v/>
      </c>
      <c r="AW1433" s="56">
        <f>IF(AND(OR(BR1433="L1",BR1433="L23"),AS1433&gt;0),SUMIFS($AS$7:$AS$1570,$BR$7:$BR$1570,BR1433,$AV$7:$AV$1570,"&gt;"&amp;AV1433)+SUMIFS($AS$7:$AS$1570,$BR$7:$BR$1570,BR1433,$AV$7:$AV$1570,AV1433,$BL$7:$BL$1570,"&lt;="&amp;BL1433),"")</f>
        <v/>
      </c>
      <c r="AX1433" s="65">
        <f>IF(AW1433="",0,MAX(0,MIN(1,(IF(BR1433="L1",Parameter!$K$5,Parameter!$K$6+Parameter!$K$7)-(AW1433-AS1433))/AS1433)))</f>
        <v/>
      </c>
      <c r="AY1433" s="53">
        <f>IF(AC1433&lt;=0,"",IF(BR1433="Aussen","Aussenlager",IF(BR1433="-","Nicht im Lift",IF(AH1433&gt;=1,"Lift",IF(AH1433&lt;=0,"Aussenlager","teilweise")))))</f>
        <v/>
      </c>
      <c r="AZ1433" s="53">
        <f>IF(AK1433&lt;=0,"",IF(BR1433="Aussen","Aussenlager",IF(BR1433="-","Nicht im Lift",IF(AP1433&gt;=1,"Lift",IF(AP1433&lt;=0,"Aussenlager","teilweise")))))</f>
        <v/>
      </c>
      <c r="BA1433" s="53">
        <f>IF(AS1433&lt;=0,"",IF(BR1433="Aussen","Aussenlager",IF(BR1433="-","Nicht im Lift",IF(AX1433&gt;=1,"Lift",IF(AX1433&lt;=0,"Aussenlager","teilweise")))))</f>
        <v/>
      </c>
      <c r="BB1433" s="53">
        <f>IF(A1433="","",IF(BK1433=1,"Neu; ","")&amp;IF(AND(BK1433=0,BF1433&lt;0),"negativer Bestand (Export "&amp;BF1433&amp;"); ","")&amp;IF(I1433&lt;=0,"Kein Verbrauch; ","")&amp;IF(BO1433=1,"Lose – Fläche geschätzt; ","")&amp;IF(G1433&gt;AM1433,"Überbestand "&amp;ROUND(G1433-AM1433,0)&amp;" Stk / CHF "&amp;ROUND((G1433-AM1433)*F1433,0)&amp;"; ","")&amp;IF(AND(BT1433=1,BU1433&lt;BV1433),"MAX &lt; MB+LG; ","")&amp;IF(AND(BZ1433&gt;0,BY1433*10&gt;BZ1433),"zu hoch für Tablar; ","")&amp;IF(AND(BK1433=0,OR(BT1433=1,V1433&lt;&gt;"",S1433&lt;&gt;"",T1433&lt;&gt;"",W1433&lt;&gt;"")),"manuell übersteuert; ","")&amp;IF(AND(BO1433=0,Q1433=0),"Gebinde unbekannt; ","")&amp;IF(AND(BO1433=0,N(T1433)&lt;=0,N(P1433)&lt;=0),"Menge pro Gebinde fehlt (Ist = 1 Gebinde); ","")&amp;BJ1433)</f>
        <v/>
      </c>
      <c r="BC1433" s="53" t="n"/>
      <c r="BD1433" s="53" t="n"/>
      <c r="BE1433" s="61" t="n"/>
      <c r="BF1433" s="55" t="n">
        <v>-2</v>
      </c>
      <c r="BG1433" s="55" t="n">
        <v>2</v>
      </c>
      <c r="BH1433" s="54" t="n">
        <v>-7064.16</v>
      </c>
      <c r="BI1433" s="55" t="n">
        <v>0</v>
      </c>
      <c r="BJ1433" s="53" t="inlineStr"/>
      <c r="BK1433" s="58" t="n">
        <v>0</v>
      </c>
      <c r="BL1433" s="58" t="n">
        <v>1433</v>
      </c>
      <c r="BM1433" s="53">
        <f>IF(S1433&lt;&gt;"",UPPER(TRIM(S1433)),IF(O1433="","LOSE",O1433))</f>
        <v/>
      </c>
      <c r="BN1433" s="55">
        <f>IF(BM1433="LOSE",1,IF(N(T1433)&gt;0,T1433,IF(N(P1433)&gt;0,P1433,MAX(1,G1433))))</f>
        <v/>
      </c>
      <c r="BO1433" s="58">
        <f>IF(BM1433="LOSE",1,0)</f>
        <v/>
      </c>
      <c r="BP1433" s="64">
        <f>IF(BO1433=0,0,IF(N(R1433)&gt;0,R1433,IFERROR(VLOOKUP(D1433,Parameter!$A$35:$C$64,3,0)+0,0)))</f>
        <v/>
      </c>
      <c r="BQ1433" s="53">
        <f>IF(V1433&lt;&gt;"",V1433,U1433)</f>
        <v/>
      </c>
      <c r="BR1433" s="53">
        <f>IF(BQ1433=1,"L1",IF(OR(BQ1433=2,BQ1433=3),"L23",IF(BQ1433="Aussen","Aussen","-")))</f>
        <v/>
      </c>
      <c r="BS1433" s="66">
        <f>IF(N(W1433)&gt;0,W1433,0)</f>
        <v/>
      </c>
      <c r="BT1433" s="58">
        <f>IF(ISNUMBER(Z1433),1,0)</f>
        <v/>
      </c>
      <c r="BU1433" s="55">
        <f>N(Z1433)</f>
        <v/>
      </c>
      <c r="BV1433" s="55">
        <f>N(L1433)+N(M1433)</f>
        <v/>
      </c>
      <c r="BW1433" s="55">
        <f>ROUNDUP(G1433/BN1433,0)</f>
        <v/>
      </c>
      <c r="BX1433" s="55">
        <f>ROUNDUP(BU1433/BN1433,0)</f>
        <v/>
      </c>
      <c r="BY1433" s="58">
        <f>IF(BO1433=1,0,IFERROR(VLOOKUP(BM1433,'Gebinde-Kategorie'!$A$5:$G$45,5,0)+0,0))</f>
        <v/>
      </c>
      <c r="BZ1433" s="58">
        <f>IFERROR(IF(OR(BQ1433=1,BQ1433=2,BQ1433=3),N(INDEX(Parameter!$I$5:$I$7,BQ1433)),0),0)</f>
        <v/>
      </c>
    </row>
    <row r="1434">
      <c r="A1434" s="53" t="inlineStr">
        <is>
          <t>106888</t>
        </is>
      </c>
      <c r="B1434" s="53" t="inlineStr">
        <is>
          <t>PTFE-Schlauch DN6</t>
        </is>
      </c>
      <c r="C1434" s="53" t="inlineStr">
        <is>
          <t>G</t>
        </is>
      </c>
      <c r="D1434" s="53" t="inlineStr">
        <is>
          <t>PAL</t>
        </is>
      </c>
      <c r="E1434" s="53" t="inlineStr">
        <is>
          <t>C</t>
        </is>
      </c>
      <c r="F1434" s="54" t="n">
        <v>358.12</v>
      </c>
      <c r="G1434" s="55">
        <f>MAX(0,IF(Parameter!$B$20="Jahresanfang 2025 + Export",BG1434+BF1434,BF1434))</f>
        <v/>
      </c>
      <c r="H1434" s="55">
        <f>G1434*F1434</f>
        <v/>
      </c>
      <c r="I1434" s="55">
        <f>BI1434*Parameter!$B$18</f>
        <v/>
      </c>
      <c r="J1434" s="56" t="n">
        <v>20</v>
      </c>
      <c r="K1434" s="57" t="n">
        <v>0</v>
      </c>
      <c r="L1434" s="55" t="n">
        <v>0</v>
      </c>
      <c r="M1434" s="55" t="n">
        <v>1</v>
      </c>
      <c r="N1434" s="58" t="n">
        <v>77</v>
      </c>
      <c r="O1434" s="53" t="inlineStr">
        <is>
          <t>LOSE</t>
        </is>
      </c>
      <c r="P1434" s="55" t="n"/>
      <c r="Q1434" s="59">
        <f>IF(BO1434=1,0,IFERROR(VLOOKUP(BM1434,'Gebinde-Kategorie'!$A$5:$G$45,6,0)+0,0))</f>
        <v/>
      </c>
      <c r="R1434" s="60" t="n"/>
      <c r="S1434" s="61" t="n"/>
      <c r="T1434" s="61" t="n"/>
      <c r="U1434" s="53">
        <f>IF(A1434="","",IF(IFERROR(VLOOKUP(D1434,Parameter!$A$35:$C$64,2,0),"Nein")="2+3",IF(ISNUMBER(SEARCH("grosser Artikel",BJ1434)),2,IFERROR(VLOOKUP(BM1434,Parameter!$F$35:$G$64,2,0),2)),IF(OR(IFERROR(VLOOKUP(D1434,Parameter!$A$35:$C$64,2,0),"Nein")="Nein",IFERROR(VLOOKUP(D1434,Parameter!$A$35:$C$64,2,0),"Nein")=""),"-",VLOOKUP(D1434,Parameter!$A$35:$C$64,2,0))))</f>
        <v/>
      </c>
      <c r="V1434" s="61" t="n"/>
      <c r="W1434" s="62" t="n"/>
      <c r="X1434" s="55">
        <f>AM1434</f>
        <v/>
      </c>
      <c r="Y1434" s="55">
        <f>MAX(AM1434,G1434)</f>
        <v/>
      </c>
      <c r="Z1434" s="63" t="n"/>
      <c r="AA1434" s="55">
        <f>IF(LEFT(Cockpit!$C$5,1)="A",G1434,IF(BT1434=1,BU1434,IF(LEFT(Cockpit!$C$5,1)="B",AE1434,MAX(AE1434,G1434))))</f>
        <v/>
      </c>
      <c r="AB1434" s="55">
        <f>IF(BO1434=1,0,ROUNDUP(AA1434/BN1434,0))</f>
        <v/>
      </c>
      <c r="AC1434" s="64">
        <f>IF(BO1434=1,IF(AA1434&lt;=0,0,BP1434*MAX(1,IF(G1434&gt;0,AA1434/G1434,1))),AB1434*Q1434)</f>
        <v/>
      </c>
      <c r="AD1434" s="55">
        <f>AA1434*F1434</f>
        <v/>
      </c>
      <c r="AE1434" s="55">
        <f>ROUNDUP(MAX(I1434/IF(BS1434&gt;0,BS1434,MAX(0.1,N(Cockpit!$C$6))),BV1434)/BN1434,0)*BN1434</f>
        <v/>
      </c>
      <c r="AF1434" s="56">
        <f>IF(AC1434&gt;0,I1434/AC1434,-1)</f>
        <v/>
      </c>
      <c r="AG1434" s="56">
        <f>IF(AND(OR(BR1434="L1",BR1434="L23"),AC1434&gt;0),SUMIFS($AC$7:$AC$1570,$BR$7:$BR$1570,BR1434,$AF$7:$AF$1570,"&gt;"&amp;AF1434)+SUMIFS($AC$7:$AC$1570,$BR$7:$BR$1570,BR1434,$AF$7:$AF$1570,AF1434,$BL$7:$BL$1570,"&lt;="&amp;BL1434),"")</f>
        <v/>
      </c>
      <c r="AH1434" s="65">
        <f>IF(AG1434="",0,MAX(0,MIN(1,(IF(BR1434="L1",Parameter!$K$5,Parameter!$K$6+Parameter!$K$7)-(AG1434-AC1434))/AC1434)))</f>
        <v/>
      </c>
      <c r="AI1434" s="55">
        <f>IF(LEFT(Cockpit!$I$5,1)="A",G1434,IF(BT1434=1,BU1434,IF(LEFT(Cockpit!$I$5,1)="B",AM1434,MAX(AM1434,G1434))))</f>
        <v/>
      </c>
      <c r="AJ1434" s="55">
        <f>IF(BO1434=1,0,ROUNDUP(AI1434/BN1434,0))</f>
        <v/>
      </c>
      <c r="AK1434" s="64">
        <f>IF(BO1434=1,IF(AI1434&lt;=0,0,BP1434*MAX(1,IF(G1434&gt;0,AI1434/G1434,1))),AJ1434*Q1434)</f>
        <v/>
      </c>
      <c r="AL1434" s="55">
        <f>AI1434*F1434</f>
        <v/>
      </c>
      <c r="AM1434" s="55">
        <f>ROUNDUP(MAX(I1434/IF(BS1434&gt;0,BS1434,MAX(0.1,N(Cockpit!$I$6))),BV1434)/BN1434,0)*BN1434</f>
        <v/>
      </c>
      <c r="AN1434" s="56">
        <f>IF(AK1434&gt;0,I1434/AK1434,-1)</f>
        <v/>
      </c>
      <c r="AO1434" s="56">
        <f>IF(AND(OR(BR1434="L1",BR1434="L23"),AK1434&gt;0),SUMIFS($AK$7:$AK$1570,$BR$7:$BR$1570,BR1434,$AN$7:$AN$1570,"&gt;"&amp;AN1434)+SUMIFS($AK$7:$AK$1570,$BR$7:$BR$1570,BR1434,$AN$7:$AN$1570,AN1434,$BL$7:$BL$1570,"&lt;="&amp;BL1434),"")</f>
        <v/>
      </c>
      <c r="AP1434" s="65">
        <f>IF(AO1434="",0,MAX(0,MIN(1,(IF(BR1434="L1",Parameter!$K$5,Parameter!$K$6+Parameter!$K$7)-(AO1434-AK1434))/AK1434)))</f>
        <v/>
      </c>
      <c r="AQ1434" s="55">
        <f>IF(LEFT(Cockpit!$O$5,1)="A",G1434,IF(BT1434=1,BU1434,IF(LEFT(Cockpit!$O$5,1)="B",AU1434,MAX(AU1434,G1434))))</f>
        <v/>
      </c>
      <c r="AR1434" s="55">
        <f>IF(BO1434=1,0,ROUNDUP(AQ1434/BN1434,0))</f>
        <v/>
      </c>
      <c r="AS1434" s="64">
        <f>IF(BO1434=1,IF(AQ1434&lt;=0,0,BP1434*MAX(1,IF(G1434&gt;0,AQ1434/G1434,1))),AR1434*Q1434)</f>
        <v/>
      </c>
      <c r="AT1434" s="55">
        <f>AQ1434*F1434</f>
        <v/>
      </c>
      <c r="AU1434" s="55">
        <f>ROUNDUP(MAX(I1434/IF(BS1434&gt;0,BS1434,MAX(0.1,N(Cockpit!$O$6))),BV1434)/BN1434,0)*BN1434</f>
        <v/>
      </c>
      <c r="AV1434" s="56">
        <f>IF(AS1434&gt;0,I1434/AS1434,-1)</f>
        <v/>
      </c>
      <c r="AW1434" s="56">
        <f>IF(AND(OR(BR1434="L1",BR1434="L23"),AS1434&gt;0),SUMIFS($AS$7:$AS$1570,$BR$7:$BR$1570,BR1434,$AV$7:$AV$1570,"&gt;"&amp;AV1434)+SUMIFS($AS$7:$AS$1570,$BR$7:$BR$1570,BR1434,$AV$7:$AV$1570,AV1434,$BL$7:$BL$1570,"&lt;="&amp;BL1434),"")</f>
        <v/>
      </c>
      <c r="AX1434" s="65">
        <f>IF(AW1434="",0,MAX(0,MIN(1,(IF(BR1434="L1",Parameter!$K$5,Parameter!$K$6+Parameter!$K$7)-(AW1434-AS1434))/AS1434)))</f>
        <v/>
      </c>
      <c r="AY1434" s="53">
        <f>IF(AC1434&lt;=0,"",IF(BR1434="Aussen","Aussenlager",IF(BR1434="-","Nicht im Lift",IF(AH1434&gt;=1,"Lift",IF(AH1434&lt;=0,"Aussenlager","teilweise")))))</f>
        <v/>
      </c>
      <c r="AZ1434" s="53">
        <f>IF(AK1434&lt;=0,"",IF(BR1434="Aussen","Aussenlager",IF(BR1434="-","Nicht im Lift",IF(AP1434&gt;=1,"Lift",IF(AP1434&lt;=0,"Aussenlager","teilweise")))))</f>
        <v/>
      </c>
      <c r="BA1434" s="53">
        <f>IF(AS1434&lt;=0,"",IF(BR1434="Aussen","Aussenlager",IF(BR1434="-","Nicht im Lift",IF(AX1434&gt;=1,"Lift",IF(AX1434&lt;=0,"Aussenlager","teilweise")))))</f>
        <v/>
      </c>
      <c r="BB1434" s="53">
        <f>IF(A1434="","",IF(BK1434=1,"Neu; ","")&amp;IF(AND(BK1434=0,BF1434&lt;0),"negativer Bestand (Export "&amp;BF1434&amp;"); ","")&amp;IF(I1434&lt;=0,"Kein Verbrauch; ","")&amp;IF(BO1434=1,"Lose – Fläche geschätzt; ","")&amp;IF(G1434&gt;AM1434,"Überbestand "&amp;ROUND(G1434-AM1434,0)&amp;" Stk / CHF "&amp;ROUND((G1434-AM1434)*F1434,0)&amp;"; ","")&amp;IF(AND(BT1434=1,BU1434&lt;BV1434),"MAX &lt; MB+LG; ","")&amp;IF(AND(BZ1434&gt;0,BY1434*10&gt;BZ1434),"zu hoch für Tablar; ","")&amp;IF(AND(BK1434=0,OR(BT1434=1,V1434&lt;&gt;"",S1434&lt;&gt;"",T1434&lt;&gt;"",W1434&lt;&gt;"")),"manuell übersteuert; ","")&amp;IF(AND(BO1434=0,Q1434=0),"Gebinde unbekannt; ","")&amp;IF(AND(BO1434=0,N(T1434)&lt;=0,N(P1434)&lt;=0),"Menge pro Gebinde fehlt (Ist = 1 Gebinde); ","")&amp;BJ1434)</f>
        <v/>
      </c>
      <c r="BC1434" s="53" t="n"/>
      <c r="BD1434" s="53" t="n"/>
      <c r="BE1434" s="61" t="n"/>
      <c r="BF1434" s="55" t="n">
        <v>-20</v>
      </c>
      <c r="BG1434" s="55" t="n">
        <v>20</v>
      </c>
      <c r="BH1434" s="54" t="n">
        <v>-7162.4</v>
      </c>
      <c r="BI1434" s="55" t="n">
        <v>0</v>
      </c>
      <c r="BJ1434" s="53" t="inlineStr"/>
      <c r="BK1434" s="58" t="n">
        <v>0</v>
      </c>
      <c r="BL1434" s="58" t="n">
        <v>1434</v>
      </c>
      <c r="BM1434" s="53">
        <f>IF(S1434&lt;&gt;"",UPPER(TRIM(S1434)),IF(O1434="","LOSE",O1434))</f>
        <v/>
      </c>
      <c r="BN1434" s="55">
        <f>IF(BM1434="LOSE",1,IF(N(T1434)&gt;0,T1434,IF(N(P1434)&gt;0,P1434,MAX(1,G1434))))</f>
        <v/>
      </c>
      <c r="BO1434" s="58">
        <f>IF(BM1434="LOSE",1,0)</f>
        <v/>
      </c>
      <c r="BP1434" s="64">
        <f>IF(BO1434=0,0,IF(N(R1434)&gt;0,R1434,IFERROR(VLOOKUP(D1434,Parameter!$A$35:$C$64,3,0)+0,0)))</f>
        <v/>
      </c>
      <c r="BQ1434" s="53">
        <f>IF(V1434&lt;&gt;"",V1434,U1434)</f>
        <v/>
      </c>
      <c r="BR1434" s="53">
        <f>IF(BQ1434=1,"L1",IF(OR(BQ1434=2,BQ1434=3),"L23",IF(BQ1434="Aussen","Aussen","-")))</f>
        <v/>
      </c>
      <c r="BS1434" s="66">
        <f>IF(N(W1434)&gt;0,W1434,0)</f>
        <v/>
      </c>
      <c r="BT1434" s="58">
        <f>IF(ISNUMBER(Z1434),1,0)</f>
        <v/>
      </c>
      <c r="BU1434" s="55">
        <f>N(Z1434)</f>
        <v/>
      </c>
      <c r="BV1434" s="55">
        <f>N(L1434)+N(M1434)</f>
        <v/>
      </c>
      <c r="BW1434" s="55">
        <f>ROUNDUP(G1434/BN1434,0)</f>
        <v/>
      </c>
      <c r="BX1434" s="55">
        <f>ROUNDUP(BU1434/BN1434,0)</f>
        <v/>
      </c>
      <c r="BY1434" s="58">
        <f>IF(BO1434=1,0,IFERROR(VLOOKUP(BM1434,'Gebinde-Kategorie'!$A$5:$G$45,5,0)+0,0))</f>
        <v/>
      </c>
      <c r="BZ1434" s="58">
        <f>IFERROR(IF(OR(BQ1434=1,BQ1434=2,BQ1434=3),N(INDEX(Parameter!$I$5:$I$7,BQ1434)),0),0)</f>
        <v/>
      </c>
    </row>
    <row r="1435">
      <c r="A1435" s="53" t="inlineStr">
        <is>
          <t>107949</t>
        </is>
      </c>
      <c r="B1435" s="53" t="inlineStr">
        <is>
          <t>Verpackung Servicepaket SPGr10 SVC2</t>
        </is>
      </c>
      <c r="C1435" s="53" t="inlineStr">
        <is>
          <t>G</t>
        </is>
      </c>
      <c r="D1435" s="53" t="inlineStr">
        <is>
          <t>PAL</t>
        </is>
      </c>
      <c r="E1435" s="53" t="inlineStr">
        <is>
          <t>C</t>
        </is>
      </c>
      <c r="F1435" s="54" t="n">
        <v>700.22</v>
      </c>
      <c r="G1435" s="55">
        <f>MAX(0,IF(Parameter!$B$20="Jahresanfang 2025 + Export",BG1435+BF1435,BF1435))</f>
        <v/>
      </c>
      <c r="H1435" s="55">
        <f>G1435*F1435</f>
        <v/>
      </c>
      <c r="I1435" s="55">
        <f>BI1435*Parameter!$B$18</f>
        <v/>
      </c>
      <c r="J1435" s="56" t="n">
        <v>12.5</v>
      </c>
      <c r="K1435" s="57" t="n">
        <v>1.68</v>
      </c>
      <c r="L1435" s="55" t="n">
        <v>0</v>
      </c>
      <c r="M1435" s="55" t="n">
        <v>10</v>
      </c>
      <c r="N1435" s="58" t="n">
        <v>63</v>
      </c>
      <c r="O1435" s="53" t="inlineStr">
        <is>
          <t>LOSE</t>
        </is>
      </c>
      <c r="P1435" s="55" t="n"/>
      <c r="Q1435" s="59">
        <f>IF(BO1435=1,0,IFERROR(VLOOKUP(BM1435,'Gebinde-Kategorie'!$A$5:$G$45,6,0)+0,0))</f>
        <v/>
      </c>
      <c r="R1435" s="60" t="n"/>
      <c r="S1435" s="61" t="n"/>
      <c r="T1435" s="61" t="n"/>
      <c r="U1435" s="53">
        <f>IF(A1435="","",IF(IFERROR(VLOOKUP(D1435,Parameter!$A$35:$C$64,2,0),"Nein")="2+3",IF(ISNUMBER(SEARCH("grosser Artikel",BJ1435)),2,IFERROR(VLOOKUP(BM1435,Parameter!$F$35:$G$64,2,0),2)),IF(OR(IFERROR(VLOOKUP(D1435,Parameter!$A$35:$C$64,2,0),"Nein")="Nein",IFERROR(VLOOKUP(D1435,Parameter!$A$35:$C$64,2,0),"Nein")=""),"-",VLOOKUP(D1435,Parameter!$A$35:$C$64,2,0))))</f>
        <v/>
      </c>
      <c r="V1435" s="61" t="n"/>
      <c r="W1435" s="62" t="n"/>
      <c r="X1435" s="55">
        <f>AM1435</f>
        <v/>
      </c>
      <c r="Y1435" s="55">
        <f>MAX(AM1435,G1435)</f>
        <v/>
      </c>
      <c r="Z1435" s="63" t="n"/>
      <c r="AA1435" s="55">
        <f>IF(LEFT(Cockpit!$C$5,1)="A",G1435,IF(BT1435=1,BU1435,IF(LEFT(Cockpit!$C$5,1)="B",AE1435,MAX(AE1435,G1435))))</f>
        <v/>
      </c>
      <c r="AB1435" s="55">
        <f>IF(BO1435=1,0,ROUNDUP(AA1435/BN1435,0))</f>
        <v/>
      </c>
      <c r="AC1435" s="64">
        <f>IF(BO1435=1,IF(AA1435&lt;=0,0,BP1435*MAX(1,IF(G1435&gt;0,AA1435/G1435,1))),AB1435*Q1435)</f>
        <v/>
      </c>
      <c r="AD1435" s="55">
        <f>AA1435*F1435</f>
        <v/>
      </c>
      <c r="AE1435" s="55">
        <f>ROUNDUP(MAX(I1435/IF(BS1435&gt;0,BS1435,MAX(0.1,N(Cockpit!$C$6))),BV1435)/BN1435,0)*BN1435</f>
        <v/>
      </c>
      <c r="AF1435" s="56">
        <f>IF(AC1435&gt;0,I1435/AC1435,-1)</f>
        <v/>
      </c>
      <c r="AG1435" s="56">
        <f>IF(AND(OR(BR1435="L1",BR1435="L23"),AC1435&gt;0),SUMIFS($AC$7:$AC$1570,$BR$7:$BR$1570,BR1435,$AF$7:$AF$1570,"&gt;"&amp;AF1435)+SUMIFS($AC$7:$AC$1570,$BR$7:$BR$1570,BR1435,$AF$7:$AF$1570,AF1435,$BL$7:$BL$1570,"&lt;="&amp;BL1435),"")</f>
        <v/>
      </c>
      <c r="AH1435" s="65">
        <f>IF(AG1435="",0,MAX(0,MIN(1,(IF(BR1435="L1",Parameter!$K$5,Parameter!$K$6+Parameter!$K$7)-(AG1435-AC1435))/AC1435)))</f>
        <v/>
      </c>
      <c r="AI1435" s="55">
        <f>IF(LEFT(Cockpit!$I$5,1)="A",G1435,IF(BT1435=1,BU1435,IF(LEFT(Cockpit!$I$5,1)="B",AM1435,MAX(AM1435,G1435))))</f>
        <v/>
      </c>
      <c r="AJ1435" s="55">
        <f>IF(BO1435=1,0,ROUNDUP(AI1435/BN1435,0))</f>
        <v/>
      </c>
      <c r="AK1435" s="64">
        <f>IF(BO1435=1,IF(AI1435&lt;=0,0,BP1435*MAX(1,IF(G1435&gt;0,AI1435/G1435,1))),AJ1435*Q1435)</f>
        <v/>
      </c>
      <c r="AL1435" s="55">
        <f>AI1435*F1435</f>
        <v/>
      </c>
      <c r="AM1435" s="55">
        <f>ROUNDUP(MAX(I1435/IF(BS1435&gt;0,BS1435,MAX(0.1,N(Cockpit!$I$6))),BV1435)/BN1435,0)*BN1435</f>
        <v/>
      </c>
      <c r="AN1435" s="56">
        <f>IF(AK1435&gt;0,I1435/AK1435,-1)</f>
        <v/>
      </c>
      <c r="AO1435" s="56">
        <f>IF(AND(OR(BR1435="L1",BR1435="L23"),AK1435&gt;0),SUMIFS($AK$7:$AK$1570,$BR$7:$BR$1570,BR1435,$AN$7:$AN$1570,"&gt;"&amp;AN1435)+SUMIFS($AK$7:$AK$1570,$BR$7:$BR$1570,BR1435,$AN$7:$AN$1570,AN1435,$BL$7:$BL$1570,"&lt;="&amp;BL1435),"")</f>
        <v/>
      </c>
      <c r="AP1435" s="65">
        <f>IF(AO1435="",0,MAX(0,MIN(1,(IF(BR1435="L1",Parameter!$K$5,Parameter!$K$6+Parameter!$K$7)-(AO1435-AK1435))/AK1435)))</f>
        <v/>
      </c>
      <c r="AQ1435" s="55">
        <f>IF(LEFT(Cockpit!$O$5,1)="A",G1435,IF(BT1435=1,BU1435,IF(LEFT(Cockpit!$O$5,1)="B",AU1435,MAX(AU1435,G1435))))</f>
        <v/>
      </c>
      <c r="AR1435" s="55">
        <f>IF(BO1435=1,0,ROUNDUP(AQ1435/BN1435,0))</f>
        <v/>
      </c>
      <c r="AS1435" s="64">
        <f>IF(BO1435=1,IF(AQ1435&lt;=0,0,BP1435*MAX(1,IF(G1435&gt;0,AQ1435/G1435,1))),AR1435*Q1435)</f>
        <v/>
      </c>
      <c r="AT1435" s="55">
        <f>AQ1435*F1435</f>
        <v/>
      </c>
      <c r="AU1435" s="55">
        <f>ROUNDUP(MAX(I1435/IF(BS1435&gt;0,BS1435,MAX(0.1,N(Cockpit!$O$6))),BV1435)/BN1435,0)*BN1435</f>
        <v/>
      </c>
      <c r="AV1435" s="56">
        <f>IF(AS1435&gt;0,I1435/AS1435,-1)</f>
        <v/>
      </c>
      <c r="AW1435" s="56">
        <f>IF(AND(OR(BR1435="L1",BR1435="L23"),AS1435&gt;0),SUMIFS($AS$7:$AS$1570,$BR$7:$BR$1570,BR1435,$AV$7:$AV$1570,"&gt;"&amp;AV1435)+SUMIFS($AS$7:$AS$1570,$BR$7:$BR$1570,BR1435,$AV$7:$AV$1570,AV1435,$BL$7:$BL$1570,"&lt;="&amp;BL1435),"")</f>
        <v/>
      </c>
      <c r="AX1435" s="65">
        <f>IF(AW1435="",0,MAX(0,MIN(1,(IF(BR1435="L1",Parameter!$K$5,Parameter!$K$6+Parameter!$K$7)-(AW1435-AS1435))/AS1435)))</f>
        <v/>
      </c>
      <c r="AY1435" s="53">
        <f>IF(AC1435&lt;=0,"",IF(BR1435="Aussen","Aussenlager",IF(BR1435="-","Nicht im Lift",IF(AH1435&gt;=1,"Lift",IF(AH1435&lt;=0,"Aussenlager","teilweise")))))</f>
        <v/>
      </c>
      <c r="AZ1435" s="53">
        <f>IF(AK1435&lt;=0,"",IF(BR1435="Aussen","Aussenlager",IF(BR1435="-","Nicht im Lift",IF(AP1435&gt;=1,"Lift",IF(AP1435&lt;=0,"Aussenlager","teilweise")))))</f>
        <v/>
      </c>
      <c r="BA1435" s="53">
        <f>IF(AS1435&lt;=0,"",IF(BR1435="Aussen","Aussenlager",IF(BR1435="-","Nicht im Lift",IF(AX1435&gt;=1,"Lift",IF(AX1435&lt;=0,"Aussenlager","teilweise")))))</f>
        <v/>
      </c>
      <c r="BB1435" s="53">
        <f>IF(A1435="","",IF(BK1435=1,"Neu; ","")&amp;IF(AND(BK1435=0,BF1435&lt;0),"negativer Bestand (Export "&amp;BF1435&amp;"); ","")&amp;IF(I1435&lt;=0,"Kein Verbrauch; ","")&amp;IF(BO1435=1,"Lose – Fläche geschätzt; ","")&amp;IF(G1435&gt;AM1435,"Überbestand "&amp;ROUND(G1435-AM1435,0)&amp;" Stk / CHF "&amp;ROUND((G1435-AM1435)*F1435,0)&amp;"; ","")&amp;IF(AND(BT1435=1,BU1435&lt;BV1435),"MAX &lt; MB+LG; ","")&amp;IF(AND(BZ1435&gt;0,BY1435*10&gt;BZ1435),"zu hoch für Tablar; ","")&amp;IF(AND(BK1435=0,OR(BT1435=1,V1435&lt;&gt;"",S1435&lt;&gt;"",T1435&lt;&gt;"",W1435&lt;&gt;"")),"manuell übersteuert; ","")&amp;IF(AND(BO1435=0,Q1435=0),"Gebinde unbekannt; ","")&amp;IF(AND(BO1435=0,N(T1435)&lt;=0,N(P1435)&lt;=0),"Menge pro Gebinde fehlt (Ist = 1 Gebinde); ","")&amp;BJ1435)</f>
        <v/>
      </c>
      <c r="BC1435" s="53" t="n"/>
      <c r="BD1435" s="53" t="n"/>
      <c r="BE1435" s="61" t="n"/>
      <c r="BF1435" s="55" t="n">
        <v>-11</v>
      </c>
      <c r="BG1435" s="55" t="n">
        <v>11</v>
      </c>
      <c r="BH1435" s="54" t="n">
        <v>-7934.190000000001</v>
      </c>
      <c r="BI1435" s="55" t="n">
        <v>21</v>
      </c>
      <c r="BJ1435" s="53" t="inlineStr"/>
      <c r="BK1435" s="58" t="n">
        <v>0</v>
      </c>
      <c r="BL1435" s="58" t="n">
        <v>1435</v>
      </c>
      <c r="BM1435" s="53">
        <f>IF(S1435&lt;&gt;"",UPPER(TRIM(S1435)),IF(O1435="","LOSE",O1435))</f>
        <v/>
      </c>
      <c r="BN1435" s="55">
        <f>IF(BM1435="LOSE",1,IF(N(T1435)&gt;0,T1435,IF(N(P1435)&gt;0,P1435,MAX(1,G1435))))</f>
        <v/>
      </c>
      <c r="BO1435" s="58">
        <f>IF(BM1435="LOSE",1,0)</f>
        <v/>
      </c>
      <c r="BP1435" s="64">
        <f>IF(BO1435=0,0,IF(N(R1435)&gt;0,R1435,IFERROR(VLOOKUP(D1435,Parameter!$A$35:$C$64,3,0)+0,0)))</f>
        <v/>
      </c>
      <c r="BQ1435" s="53">
        <f>IF(V1435&lt;&gt;"",V1435,U1435)</f>
        <v/>
      </c>
      <c r="BR1435" s="53">
        <f>IF(BQ1435=1,"L1",IF(OR(BQ1435=2,BQ1435=3),"L23",IF(BQ1435="Aussen","Aussen","-")))</f>
        <v/>
      </c>
      <c r="BS1435" s="66">
        <f>IF(N(W1435)&gt;0,W1435,0)</f>
        <v/>
      </c>
      <c r="BT1435" s="58">
        <f>IF(ISNUMBER(Z1435),1,0)</f>
        <v/>
      </c>
      <c r="BU1435" s="55">
        <f>N(Z1435)</f>
        <v/>
      </c>
      <c r="BV1435" s="55">
        <f>N(L1435)+N(M1435)</f>
        <v/>
      </c>
      <c r="BW1435" s="55">
        <f>ROUNDUP(G1435/BN1435,0)</f>
        <v/>
      </c>
      <c r="BX1435" s="55">
        <f>ROUNDUP(BU1435/BN1435,0)</f>
        <v/>
      </c>
      <c r="BY1435" s="58">
        <f>IF(BO1435=1,0,IFERROR(VLOOKUP(BM1435,'Gebinde-Kategorie'!$A$5:$G$45,5,0)+0,0))</f>
        <v/>
      </c>
      <c r="BZ1435" s="58">
        <f>IFERROR(IF(OR(BQ1435=1,BQ1435=2,BQ1435=3),N(INDEX(Parameter!$I$5:$I$7,BQ1435)),0),0)</f>
        <v/>
      </c>
    </row>
    <row r="1436">
      <c r="A1436" s="53" t="inlineStr">
        <is>
          <t>109089</t>
        </is>
      </c>
      <c r="B1436" s="53" t="inlineStr">
        <is>
          <t>Gasdruckspeicher Flansch SPGr16</t>
        </is>
      </c>
      <c r="C1436" s="53" t="inlineStr">
        <is>
          <t>F</t>
        </is>
      </c>
      <c r="D1436" s="53" t="inlineStr">
        <is>
          <t>PAL</t>
        </is>
      </c>
      <c r="E1436" s="53" t="inlineStr">
        <is>
          <t>C</t>
        </is>
      </c>
      <c r="F1436" s="54" t="n">
        <v>338.86</v>
      </c>
      <c r="G1436" s="55">
        <f>MAX(0,IF(Parameter!$B$20="Jahresanfang 2025 + Export",BG1436+BF1436,BF1436))</f>
        <v/>
      </c>
      <c r="H1436" s="55">
        <f>G1436*F1436</f>
        <v/>
      </c>
      <c r="I1436" s="55">
        <f>BI1436*Parameter!$B$18</f>
        <v/>
      </c>
      <c r="J1436" s="56" t="n">
        <v>27</v>
      </c>
      <c r="K1436" s="57" t="n">
        <v>1.333333333333333</v>
      </c>
      <c r="L1436" s="55" t="n">
        <v>2</v>
      </c>
      <c r="M1436" s="55" t="n">
        <v>15</v>
      </c>
      <c r="N1436" s="58" t="n">
        <v>21</v>
      </c>
      <c r="O1436" s="53" t="inlineStr">
        <is>
          <t>S71</t>
        </is>
      </c>
      <c r="P1436" s="55" t="n">
        <v>18</v>
      </c>
      <c r="Q1436" s="59">
        <f>IF(BO1436=1,0,IFERROR(VLOOKUP(BM1436,'Gebinde-Kategorie'!$A$5:$G$45,6,0)+0,0))</f>
        <v/>
      </c>
      <c r="R1436" s="60" t="n"/>
      <c r="S1436" s="61" t="n"/>
      <c r="T1436" s="61" t="n"/>
      <c r="U1436" s="53">
        <f>IF(A1436="","",IF(IFERROR(VLOOKUP(D1436,Parameter!$A$35:$C$64,2,0),"Nein")="2+3",IF(ISNUMBER(SEARCH("grosser Artikel",BJ1436)),2,IFERROR(VLOOKUP(BM1436,Parameter!$F$35:$G$64,2,0),2)),IF(OR(IFERROR(VLOOKUP(D1436,Parameter!$A$35:$C$64,2,0),"Nein")="Nein",IFERROR(VLOOKUP(D1436,Parameter!$A$35:$C$64,2,0),"Nein")=""),"-",VLOOKUP(D1436,Parameter!$A$35:$C$64,2,0))))</f>
        <v/>
      </c>
      <c r="V1436" s="61" t="n"/>
      <c r="W1436" s="62" t="n"/>
      <c r="X1436" s="55">
        <f>AM1436</f>
        <v/>
      </c>
      <c r="Y1436" s="55">
        <f>MAX(AM1436,G1436)</f>
        <v/>
      </c>
      <c r="Z1436" s="63" t="n"/>
      <c r="AA1436" s="55">
        <f>IF(LEFT(Cockpit!$C$5,1)="A",G1436,IF(BT1436=1,BU1436,IF(LEFT(Cockpit!$C$5,1)="B",AE1436,MAX(AE1436,G1436))))</f>
        <v/>
      </c>
      <c r="AB1436" s="55">
        <f>IF(BO1436=1,0,ROUNDUP(AA1436/BN1436,0))</f>
        <v/>
      </c>
      <c r="AC1436" s="64">
        <f>IF(BO1436=1,IF(AA1436&lt;=0,0,BP1436*MAX(1,IF(G1436&gt;0,AA1436/G1436,1))),AB1436*Q1436)</f>
        <v/>
      </c>
      <c r="AD1436" s="55">
        <f>AA1436*F1436</f>
        <v/>
      </c>
      <c r="AE1436" s="55">
        <f>ROUNDUP(MAX(I1436/IF(BS1436&gt;0,BS1436,MAX(0.1,N(Cockpit!$C$6))),BV1436)/BN1436,0)*BN1436</f>
        <v/>
      </c>
      <c r="AF1436" s="56">
        <f>IF(AC1436&gt;0,I1436/AC1436,-1)</f>
        <v/>
      </c>
      <c r="AG1436" s="56">
        <f>IF(AND(OR(BR1436="L1",BR1436="L23"),AC1436&gt;0),SUMIFS($AC$7:$AC$1570,$BR$7:$BR$1570,BR1436,$AF$7:$AF$1570,"&gt;"&amp;AF1436)+SUMIFS($AC$7:$AC$1570,$BR$7:$BR$1570,BR1436,$AF$7:$AF$1570,AF1436,$BL$7:$BL$1570,"&lt;="&amp;BL1436),"")</f>
        <v/>
      </c>
      <c r="AH1436" s="65">
        <f>IF(AG1436="",0,MAX(0,MIN(1,(IF(BR1436="L1",Parameter!$K$5,Parameter!$K$6+Parameter!$K$7)-(AG1436-AC1436))/AC1436)))</f>
        <v/>
      </c>
      <c r="AI1436" s="55">
        <f>IF(LEFT(Cockpit!$I$5,1)="A",G1436,IF(BT1436=1,BU1436,IF(LEFT(Cockpit!$I$5,1)="B",AM1436,MAX(AM1436,G1436))))</f>
        <v/>
      </c>
      <c r="AJ1436" s="55">
        <f>IF(BO1436=1,0,ROUNDUP(AI1436/BN1436,0))</f>
        <v/>
      </c>
      <c r="AK1436" s="64">
        <f>IF(BO1436=1,IF(AI1436&lt;=0,0,BP1436*MAX(1,IF(G1436&gt;0,AI1436/G1436,1))),AJ1436*Q1436)</f>
        <v/>
      </c>
      <c r="AL1436" s="55">
        <f>AI1436*F1436</f>
        <v/>
      </c>
      <c r="AM1436" s="55">
        <f>ROUNDUP(MAX(I1436/IF(BS1436&gt;0,BS1436,MAX(0.1,N(Cockpit!$I$6))),BV1436)/BN1436,0)*BN1436</f>
        <v/>
      </c>
      <c r="AN1436" s="56">
        <f>IF(AK1436&gt;0,I1436/AK1436,-1)</f>
        <v/>
      </c>
      <c r="AO1436" s="56">
        <f>IF(AND(OR(BR1436="L1",BR1436="L23"),AK1436&gt;0),SUMIFS($AK$7:$AK$1570,$BR$7:$BR$1570,BR1436,$AN$7:$AN$1570,"&gt;"&amp;AN1436)+SUMIFS($AK$7:$AK$1570,$BR$7:$BR$1570,BR1436,$AN$7:$AN$1570,AN1436,$BL$7:$BL$1570,"&lt;="&amp;BL1436),"")</f>
        <v/>
      </c>
      <c r="AP1436" s="65">
        <f>IF(AO1436="",0,MAX(0,MIN(1,(IF(BR1436="L1",Parameter!$K$5,Parameter!$K$6+Parameter!$K$7)-(AO1436-AK1436))/AK1436)))</f>
        <v/>
      </c>
      <c r="AQ1436" s="55">
        <f>IF(LEFT(Cockpit!$O$5,1)="A",G1436,IF(BT1436=1,BU1436,IF(LEFT(Cockpit!$O$5,1)="B",AU1436,MAX(AU1436,G1436))))</f>
        <v/>
      </c>
      <c r="AR1436" s="55">
        <f>IF(BO1436=1,0,ROUNDUP(AQ1436/BN1436,0))</f>
        <v/>
      </c>
      <c r="AS1436" s="64">
        <f>IF(BO1436=1,IF(AQ1436&lt;=0,0,BP1436*MAX(1,IF(G1436&gt;0,AQ1436/G1436,1))),AR1436*Q1436)</f>
        <v/>
      </c>
      <c r="AT1436" s="55">
        <f>AQ1436*F1436</f>
        <v/>
      </c>
      <c r="AU1436" s="55">
        <f>ROUNDUP(MAX(I1436/IF(BS1436&gt;0,BS1436,MAX(0.1,N(Cockpit!$O$6))),BV1436)/BN1436,0)*BN1436</f>
        <v/>
      </c>
      <c r="AV1436" s="56">
        <f>IF(AS1436&gt;0,I1436/AS1436,-1)</f>
        <v/>
      </c>
      <c r="AW1436" s="56">
        <f>IF(AND(OR(BR1436="L1",BR1436="L23"),AS1436&gt;0),SUMIFS($AS$7:$AS$1570,$BR$7:$BR$1570,BR1436,$AV$7:$AV$1570,"&gt;"&amp;AV1436)+SUMIFS($AS$7:$AS$1570,$BR$7:$BR$1570,BR1436,$AV$7:$AV$1570,AV1436,$BL$7:$BL$1570,"&lt;="&amp;BL1436),"")</f>
        <v/>
      </c>
      <c r="AX1436" s="65">
        <f>IF(AW1436="",0,MAX(0,MIN(1,(IF(BR1436="L1",Parameter!$K$5,Parameter!$K$6+Parameter!$K$7)-(AW1436-AS1436))/AS1436)))</f>
        <v/>
      </c>
      <c r="AY1436" s="53">
        <f>IF(AC1436&lt;=0,"",IF(BR1436="Aussen","Aussenlager",IF(BR1436="-","Nicht im Lift",IF(AH1436&gt;=1,"Lift",IF(AH1436&lt;=0,"Aussenlager","teilweise")))))</f>
        <v/>
      </c>
      <c r="AZ1436" s="53">
        <f>IF(AK1436&lt;=0,"",IF(BR1436="Aussen","Aussenlager",IF(BR1436="-","Nicht im Lift",IF(AP1436&gt;=1,"Lift",IF(AP1436&lt;=0,"Aussenlager","teilweise")))))</f>
        <v/>
      </c>
      <c r="BA1436" s="53">
        <f>IF(AS1436&lt;=0,"",IF(BR1436="Aussen","Aussenlager",IF(BR1436="-","Nicht im Lift",IF(AX1436&gt;=1,"Lift",IF(AX1436&lt;=0,"Aussenlager","teilweise")))))</f>
        <v/>
      </c>
      <c r="BB1436" s="53">
        <f>IF(A1436="","",IF(BK1436=1,"Neu; ","")&amp;IF(AND(BK1436=0,BF1436&lt;0),"negativer Bestand (Export "&amp;BF1436&amp;"); ","")&amp;IF(I1436&lt;=0,"Kein Verbrauch; ","")&amp;IF(BO1436=1,"Lose – Fläche geschätzt; ","")&amp;IF(G1436&gt;AM1436,"Überbestand "&amp;ROUND(G1436-AM1436,0)&amp;" Stk / CHF "&amp;ROUND((G1436-AM1436)*F1436,0)&amp;"; ","")&amp;IF(AND(BT1436=1,BU1436&lt;BV1436),"MAX &lt; MB+LG; ","")&amp;IF(AND(BZ1436&gt;0,BY1436*10&gt;BZ1436),"zu hoch für Tablar; ","")&amp;IF(AND(BK1436=0,OR(BT1436=1,V1436&lt;&gt;"",S1436&lt;&gt;"",T1436&lt;&gt;"",W1436&lt;&gt;"")),"manuell übersteuert; ","")&amp;IF(AND(BO1436=0,Q1436=0),"Gebinde unbekannt; ","")&amp;IF(AND(BO1436=0,N(T1436)&lt;=0,N(P1436)&lt;=0),"Menge pro Gebinde fehlt (Ist = 1 Gebinde); ","")&amp;BJ1436)</f>
        <v/>
      </c>
      <c r="BC1436" s="53" t="n"/>
      <c r="BD1436" s="53" t="n"/>
      <c r="BE1436" s="61" t="n"/>
      <c r="BF1436" s="55" t="n">
        <v>-22</v>
      </c>
      <c r="BG1436" s="55" t="n">
        <v>37</v>
      </c>
      <c r="BH1436" s="54" t="n">
        <v>-8095.760000000002</v>
      </c>
      <c r="BI1436" s="55" t="n">
        <v>36</v>
      </c>
      <c r="BJ1436" s="53" t="inlineStr"/>
      <c r="BK1436" s="58" t="n">
        <v>0</v>
      </c>
      <c r="BL1436" s="58" t="n">
        <v>1436</v>
      </c>
      <c r="BM1436" s="53">
        <f>IF(S1436&lt;&gt;"",UPPER(TRIM(S1436)),IF(O1436="","LOSE",O1436))</f>
        <v/>
      </c>
      <c r="BN1436" s="55">
        <f>IF(BM1436="LOSE",1,IF(N(T1436)&gt;0,T1436,IF(N(P1436)&gt;0,P1436,MAX(1,G1436))))</f>
        <v/>
      </c>
      <c r="BO1436" s="58">
        <f>IF(BM1436="LOSE",1,0)</f>
        <v/>
      </c>
      <c r="BP1436" s="64">
        <f>IF(BO1436=0,0,IF(N(R1436)&gt;0,R1436,IFERROR(VLOOKUP(D1436,Parameter!$A$35:$C$64,3,0)+0,0)))</f>
        <v/>
      </c>
      <c r="BQ1436" s="53">
        <f>IF(V1436&lt;&gt;"",V1436,U1436)</f>
        <v/>
      </c>
      <c r="BR1436" s="53">
        <f>IF(BQ1436=1,"L1",IF(OR(BQ1436=2,BQ1436=3),"L23",IF(BQ1436="Aussen","Aussen","-")))</f>
        <v/>
      </c>
      <c r="BS1436" s="66">
        <f>IF(N(W1436)&gt;0,W1436,0)</f>
        <v/>
      </c>
      <c r="BT1436" s="58">
        <f>IF(ISNUMBER(Z1436),1,0)</f>
        <v/>
      </c>
      <c r="BU1436" s="55">
        <f>N(Z1436)</f>
        <v/>
      </c>
      <c r="BV1436" s="55">
        <f>N(L1436)+N(M1436)</f>
        <v/>
      </c>
      <c r="BW1436" s="55">
        <f>ROUNDUP(G1436/BN1436,0)</f>
        <v/>
      </c>
      <c r="BX1436" s="55">
        <f>ROUNDUP(BU1436/BN1436,0)</f>
        <v/>
      </c>
      <c r="BY1436" s="58">
        <f>IF(BO1436=1,0,IFERROR(VLOOKUP(BM1436,'Gebinde-Kategorie'!$A$5:$G$45,5,0)+0,0))</f>
        <v/>
      </c>
      <c r="BZ1436" s="58">
        <f>IFERROR(IF(OR(BQ1436=1,BQ1436=2,BQ1436=3),N(INDEX(Parameter!$I$5:$I$7,BQ1436)),0),0)</f>
        <v/>
      </c>
    </row>
    <row r="1437">
      <c r="A1437" s="53" t="inlineStr">
        <is>
          <t>105315</t>
        </is>
      </c>
      <c r="B1437" s="53" t="inlineStr">
        <is>
          <t>Gasdruckspeicher Gehäuse SPGr10</t>
        </is>
      </c>
      <c r="C1437" s="53" t="inlineStr">
        <is>
          <t>F</t>
        </is>
      </c>
      <c r="D1437" s="53" t="inlineStr">
        <is>
          <t>PAL</t>
        </is>
      </c>
      <c r="E1437" s="53" t="inlineStr">
        <is>
          <t>C</t>
        </is>
      </c>
      <c r="F1437" s="54" t="n">
        <v>559.54</v>
      </c>
      <c r="G1437" s="55">
        <f>MAX(0,IF(Parameter!$B$20="Jahresanfang 2025 + Export",BG1437+BF1437,BF1437))</f>
        <v/>
      </c>
      <c r="H1437" s="55">
        <f>G1437*F1437</f>
        <v/>
      </c>
      <c r="I1437" s="55">
        <f>BI1437*Parameter!$B$18</f>
        <v/>
      </c>
      <c r="J1437" s="56" t="n">
        <v>37.5</v>
      </c>
      <c r="K1437" s="57" t="n">
        <v>0.7733333333333333</v>
      </c>
      <c r="L1437" s="55" t="n">
        <v>1</v>
      </c>
      <c r="M1437" s="55" t="n">
        <v>20</v>
      </c>
      <c r="N1437" s="58" t="n">
        <v>21</v>
      </c>
      <c r="O1437" s="53" t="inlineStr">
        <is>
          <t>S71</t>
        </is>
      </c>
      <c r="P1437" s="55" t="n">
        <v>12</v>
      </c>
      <c r="Q1437" s="59">
        <f>IF(BO1437=1,0,IFERROR(VLOOKUP(BM1437,'Gebinde-Kategorie'!$A$5:$G$45,6,0)+0,0))</f>
        <v/>
      </c>
      <c r="R1437" s="60" t="n"/>
      <c r="S1437" s="61" t="n"/>
      <c r="T1437" s="61" t="n"/>
      <c r="U1437" s="53">
        <f>IF(A1437="","",IF(IFERROR(VLOOKUP(D1437,Parameter!$A$35:$C$64,2,0),"Nein")="2+3",IF(ISNUMBER(SEARCH("grosser Artikel",BJ1437)),2,IFERROR(VLOOKUP(BM1437,Parameter!$F$35:$G$64,2,0),2)),IF(OR(IFERROR(VLOOKUP(D1437,Parameter!$A$35:$C$64,2,0),"Nein")="Nein",IFERROR(VLOOKUP(D1437,Parameter!$A$35:$C$64,2,0),"Nein")=""),"-",VLOOKUP(D1437,Parameter!$A$35:$C$64,2,0))))</f>
        <v/>
      </c>
      <c r="V1437" s="61" t="n"/>
      <c r="W1437" s="62" t="n"/>
      <c r="X1437" s="55">
        <f>AM1437</f>
        <v/>
      </c>
      <c r="Y1437" s="55">
        <f>MAX(AM1437,G1437)</f>
        <v/>
      </c>
      <c r="Z1437" s="63" t="n"/>
      <c r="AA1437" s="55">
        <f>IF(LEFT(Cockpit!$C$5,1)="A",G1437,IF(BT1437=1,BU1437,IF(LEFT(Cockpit!$C$5,1)="B",AE1437,MAX(AE1437,G1437))))</f>
        <v/>
      </c>
      <c r="AB1437" s="55">
        <f>IF(BO1437=1,0,ROUNDUP(AA1437/BN1437,0))</f>
        <v/>
      </c>
      <c r="AC1437" s="64">
        <f>IF(BO1437=1,IF(AA1437&lt;=0,0,BP1437*MAX(1,IF(G1437&gt;0,AA1437/G1437,1))),AB1437*Q1437)</f>
        <v/>
      </c>
      <c r="AD1437" s="55">
        <f>AA1437*F1437</f>
        <v/>
      </c>
      <c r="AE1437" s="55">
        <f>ROUNDUP(MAX(I1437/IF(BS1437&gt;0,BS1437,MAX(0.1,N(Cockpit!$C$6))),BV1437)/BN1437,0)*BN1437</f>
        <v/>
      </c>
      <c r="AF1437" s="56">
        <f>IF(AC1437&gt;0,I1437/AC1437,-1)</f>
        <v/>
      </c>
      <c r="AG1437" s="56">
        <f>IF(AND(OR(BR1437="L1",BR1437="L23"),AC1437&gt;0),SUMIFS($AC$7:$AC$1570,$BR$7:$BR$1570,BR1437,$AF$7:$AF$1570,"&gt;"&amp;AF1437)+SUMIFS($AC$7:$AC$1570,$BR$7:$BR$1570,BR1437,$AF$7:$AF$1570,AF1437,$BL$7:$BL$1570,"&lt;="&amp;BL1437),"")</f>
        <v/>
      </c>
      <c r="AH1437" s="65">
        <f>IF(AG1437="",0,MAX(0,MIN(1,(IF(BR1437="L1",Parameter!$K$5,Parameter!$K$6+Parameter!$K$7)-(AG1437-AC1437))/AC1437)))</f>
        <v/>
      </c>
      <c r="AI1437" s="55">
        <f>IF(LEFT(Cockpit!$I$5,1)="A",G1437,IF(BT1437=1,BU1437,IF(LEFT(Cockpit!$I$5,1)="B",AM1437,MAX(AM1437,G1437))))</f>
        <v/>
      </c>
      <c r="AJ1437" s="55">
        <f>IF(BO1437=1,0,ROUNDUP(AI1437/BN1437,0))</f>
        <v/>
      </c>
      <c r="AK1437" s="64">
        <f>IF(BO1437=1,IF(AI1437&lt;=0,0,BP1437*MAX(1,IF(G1437&gt;0,AI1437/G1437,1))),AJ1437*Q1437)</f>
        <v/>
      </c>
      <c r="AL1437" s="55">
        <f>AI1437*F1437</f>
        <v/>
      </c>
      <c r="AM1437" s="55">
        <f>ROUNDUP(MAX(I1437/IF(BS1437&gt;0,BS1437,MAX(0.1,N(Cockpit!$I$6))),BV1437)/BN1437,0)*BN1437</f>
        <v/>
      </c>
      <c r="AN1437" s="56">
        <f>IF(AK1437&gt;0,I1437/AK1437,-1)</f>
        <v/>
      </c>
      <c r="AO1437" s="56">
        <f>IF(AND(OR(BR1437="L1",BR1437="L23"),AK1437&gt;0),SUMIFS($AK$7:$AK$1570,$BR$7:$BR$1570,BR1437,$AN$7:$AN$1570,"&gt;"&amp;AN1437)+SUMIFS($AK$7:$AK$1570,$BR$7:$BR$1570,BR1437,$AN$7:$AN$1570,AN1437,$BL$7:$BL$1570,"&lt;="&amp;BL1437),"")</f>
        <v/>
      </c>
      <c r="AP1437" s="65">
        <f>IF(AO1437="",0,MAX(0,MIN(1,(IF(BR1437="L1",Parameter!$K$5,Parameter!$K$6+Parameter!$K$7)-(AO1437-AK1437))/AK1437)))</f>
        <v/>
      </c>
      <c r="AQ1437" s="55">
        <f>IF(LEFT(Cockpit!$O$5,1)="A",G1437,IF(BT1437=1,BU1437,IF(LEFT(Cockpit!$O$5,1)="B",AU1437,MAX(AU1437,G1437))))</f>
        <v/>
      </c>
      <c r="AR1437" s="55">
        <f>IF(BO1437=1,0,ROUNDUP(AQ1437/BN1437,0))</f>
        <v/>
      </c>
      <c r="AS1437" s="64">
        <f>IF(BO1437=1,IF(AQ1437&lt;=0,0,BP1437*MAX(1,IF(G1437&gt;0,AQ1437/G1437,1))),AR1437*Q1437)</f>
        <v/>
      </c>
      <c r="AT1437" s="55">
        <f>AQ1437*F1437</f>
        <v/>
      </c>
      <c r="AU1437" s="55">
        <f>ROUNDUP(MAX(I1437/IF(BS1437&gt;0,BS1437,MAX(0.1,N(Cockpit!$O$6))),BV1437)/BN1437,0)*BN1437</f>
        <v/>
      </c>
      <c r="AV1437" s="56">
        <f>IF(AS1437&gt;0,I1437/AS1437,-1)</f>
        <v/>
      </c>
      <c r="AW1437" s="56">
        <f>IF(AND(OR(BR1437="L1",BR1437="L23"),AS1437&gt;0),SUMIFS($AS$7:$AS$1570,$BR$7:$BR$1570,BR1437,$AV$7:$AV$1570,"&gt;"&amp;AV1437)+SUMIFS($AS$7:$AS$1570,$BR$7:$BR$1570,BR1437,$AV$7:$AV$1570,AV1437,$BL$7:$BL$1570,"&lt;="&amp;BL1437),"")</f>
        <v/>
      </c>
      <c r="AX1437" s="65">
        <f>IF(AW1437="",0,MAX(0,MIN(1,(IF(BR1437="L1",Parameter!$K$5,Parameter!$K$6+Parameter!$K$7)-(AW1437-AS1437))/AS1437)))</f>
        <v/>
      </c>
      <c r="AY1437" s="53">
        <f>IF(AC1437&lt;=0,"",IF(BR1437="Aussen","Aussenlager",IF(BR1437="-","Nicht im Lift",IF(AH1437&gt;=1,"Lift",IF(AH1437&lt;=0,"Aussenlager","teilweise")))))</f>
        <v/>
      </c>
      <c r="AZ1437" s="53">
        <f>IF(AK1437&lt;=0,"",IF(BR1437="Aussen","Aussenlager",IF(BR1437="-","Nicht im Lift",IF(AP1437&gt;=1,"Lift",IF(AP1437&lt;=0,"Aussenlager","teilweise")))))</f>
        <v/>
      </c>
      <c r="BA1437" s="53">
        <f>IF(AS1437&lt;=0,"",IF(BR1437="Aussen","Aussenlager",IF(BR1437="-","Nicht im Lift",IF(AX1437&gt;=1,"Lift",IF(AX1437&lt;=0,"Aussenlager","teilweise")))))</f>
        <v/>
      </c>
      <c r="BB1437" s="53">
        <f>IF(A1437="","",IF(BK1437=1,"Neu; ","")&amp;IF(AND(BK1437=0,BF1437&lt;0),"negativer Bestand (Export "&amp;BF1437&amp;"); ","")&amp;IF(I1437&lt;=0,"Kein Verbrauch; ","")&amp;IF(BO1437=1,"Lose – Fläche geschätzt; ","")&amp;IF(G1437&gt;AM1437,"Überbestand "&amp;ROUND(G1437-AM1437,0)&amp;" Stk / CHF "&amp;ROUND((G1437-AM1437)*F1437,0)&amp;"; ","")&amp;IF(AND(BT1437=1,BU1437&lt;BV1437),"MAX &lt; MB+LG; ","")&amp;IF(AND(BZ1437&gt;0,BY1437*10&gt;BZ1437),"zu hoch für Tablar; ","")&amp;IF(AND(BK1437=0,OR(BT1437=1,V1437&lt;&gt;"",S1437&lt;&gt;"",T1437&lt;&gt;"",W1437&lt;&gt;"")),"manuell übersteuert; ","")&amp;IF(AND(BO1437=0,Q1437=0),"Gebinde unbekannt; ","")&amp;IF(AND(BO1437=0,N(T1437)&lt;=0,N(P1437)&lt;=0),"Menge pro Gebinde fehlt (Ist = 1 Gebinde); ","")&amp;BJ1437)</f>
        <v/>
      </c>
      <c r="BC1437" s="53" t="n"/>
      <c r="BD1437" s="53" t="n"/>
      <c r="BE1437" s="61" t="n"/>
      <c r="BF1437" s="55" t="n">
        <v>-19</v>
      </c>
      <c r="BG1437" s="55" t="n">
        <v>32</v>
      </c>
      <c r="BH1437" s="54" t="n">
        <v>-8101.019999999999</v>
      </c>
      <c r="BI1437" s="55" t="n">
        <v>29</v>
      </c>
      <c r="BJ1437" s="53" t="inlineStr"/>
      <c r="BK1437" s="58" t="n">
        <v>0</v>
      </c>
      <c r="BL1437" s="58" t="n">
        <v>1437</v>
      </c>
      <c r="BM1437" s="53">
        <f>IF(S1437&lt;&gt;"",UPPER(TRIM(S1437)),IF(O1437="","LOSE",O1437))</f>
        <v/>
      </c>
      <c r="BN1437" s="55">
        <f>IF(BM1437="LOSE",1,IF(N(T1437)&gt;0,T1437,IF(N(P1437)&gt;0,P1437,MAX(1,G1437))))</f>
        <v/>
      </c>
      <c r="BO1437" s="58">
        <f>IF(BM1437="LOSE",1,0)</f>
        <v/>
      </c>
      <c r="BP1437" s="64">
        <f>IF(BO1437=0,0,IF(N(R1437)&gt;0,R1437,IFERROR(VLOOKUP(D1437,Parameter!$A$35:$C$64,3,0)+0,0)))</f>
        <v/>
      </c>
      <c r="BQ1437" s="53">
        <f>IF(V1437&lt;&gt;"",V1437,U1437)</f>
        <v/>
      </c>
      <c r="BR1437" s="53">
        <f>IF(BQ1437=1,"L1",IF(OR(BQ1437=2,BQ1437=3),"L23",IF(BQ1437="Aussen","Aussen","-")))</f>
        <v/>
      </c>
      <c r="BS1437" s="66">
        <f>IF(N(W1437)&gt;0,W1437,0)</f>
        <v/>
      </c>
      <c r="BT1437" s="58">
        <f>IF(ISNUMBER(Z1437),1,0)</f>
        <v/>
      </c>
      <c r="BU1437" s="55">
        <f>N(Z1437)</f>
        <v/>
      </c>
      <c r="BV1437" s="55">
        <f>N(L1437)+N(M1437)</f>
        <v/>
      </c>
      <c r="BW1437" s="55">
        <f>ROUNDUP(G1437/BN1437,0)</f>
        <v/>
      </c>
      <c r="BX1437" s="55">
        <f>ROUNDUP(BU1437/BN1437,0)</f>
        <v/>
      </c>
      <c r="BY1437" s="58">
        <f>IF(BO1437=1,0,IFERROR(VLOOKUP(BM1437,'Gebinde-Kategorie'!$A$5:$G$45,5,0)+0,0))</f>
        <v/>
      </c>
      <c r="BZ1437" s="58">
        <f>IFERROR(IF(OR(BQ1437=1,BQ1437=2,BQ1437=3),N(INDEX(Parameter!$I$5:$I$7,BQ1437)),0),0)</f>
        <v/>
      </c>
    </row>
    <row r="1438">
      <c r="A1438" s="53" t="inlineStr">
        <is>
          <t>107870</t>
        </is>
      </c>
      <c r="B1438" s="53" t="inlineStr">
        <is>
          <t>Ventilsitz SPGr10</t>
        </is>
      </c>
      <c r="C1438" s="53" t="inlineStr">
        <is>
          <t>F</t>
        </is>
      </c>
      <c r="D1438" s="53" t="inlineStr">
        <is>
          <t>PAL</t>
        </is>
      </c>
      <c r="E1438" s="53" t="inlineStr">
        <is>
          <t>C</t>
        </is>
      </c>
      <c r="F1438" s="54" t="n">
        <v>154.27</v>
      </c>
      <c r="G1438" s="55">
        <f>MAX(0,IF(Parameter!$B$20="Jahresanfang 2025 + Export",BG1438+BF1438,BF1438))</f>
        <v/>
      </c>
      <c r="H1438" s="55">
        <f>G1438*F1438</f>
        <v/>
      </c>
      <c r="I1438" s="55">
        <f>BI1438*Parameter!$B$18</f>
        <v/>
      </c>
      <c r="J1438" s="56" t="n">
        <v>124.5</v>
      </c>
      <c r="K1438" s="57" t="n">
        <v>1.783132530120482</v>
      </c>
      <c r="L1438" s="55" t="n">
        <v>22</v>
      </c>
      <c r="M1438" s="55" t="n">
        <v>65</v>
      </c>
      <c r="N1438" s="58" t="n">
        <v>84</v>
      </c>
      <c r="O1438" s="53" t="inlineStr">
        <is>
          <t>S71</t>
        </is>
      </c>
      <c r="P1438" s="55" t="n">
        <v>80</v>
      </c>
      <c r="Q1438" s="59">
        <f>IF(BO1438=1,0,IFERROR(VLOOKUP(BM1438,'Gebinde-Kategorie'!$A$5:$G$45,6,0)+0,0))</f>
        <v/>
      </c>
      <c r="R1438" s="60" t="n"/>
      <c r="S1438" s="61" t="n"/>
      <c r="T1438" s="61" t="n"/>
      <c r="U1438" s="53">
        <f>IF(A1438="","",IF(IFERROR(VLOOKUP(D1438,Parameter!$A$35:$C$64,2,0),"Nein")="2+3",IF(ISNUMBER(SEARCH("grosser Artikel",BJ1438)),2,IFERROR(VLOOKUP(BM1438,Parameter!$F$35:$G$64,2,0),2)),IF(OR(IFERROR(VLOOKUP(D1438,Parameter!$A$35:$C$64,2,0),"Nein")="Nein",IFERROR(VLOOKUP(D1438,Parameter!$A$35:$C$64,2,0),"Nein")=""),"-",VLOOKUP(D1438,Parameter!$A$35:$C$64,2,0))))</f>
        <v/>
      </c>
      <c r="V1438" s="61" t="n"/>
      <c r="W1438" s="62" t="n"/>
      <c r="X1438" s="55">
        <f>AM1438</f>
        <v/>
      </c>
      <c r="Y1438" s="55">
        <f>MAX(AM1438,G1438)</f>
        <v/>
      </c>
      <c r="Z1438" s="63" t="n"/>
      <c r="AA1438" s="55">
        <f>IF(LEFT(Cockpit!$C$5,1)="A",G1438,IF(BT1438=1,BU1438,IF(LEFT(Cockpit!$C$5,1)="B",AE1438,MAX(AE1438,G1438))))</f>
        <v/>
      </c>
      <c r="AB1438" s="55">
        <f>IF(BO1438=1,0,ROUNDUP(AA1438/BN1438,0))</f>
        <v/>
      </c>
      <c r="AC1438" s="64">
        <f>IF(BO1438=1,IF(AA1438&lt;=0,0,BP1438*MAX(1,IF(G1438&gt;0,AA1438/G1438,1))),AB1438*Q1438)</f>
        <v/>
      </c>
      <c r="AD1438" s="55">
        <f>AA1438*F1438</f>
        <v/>
      </c>
      <c r="AE1438" s="55">
        <f>ROUNDUP(MAX(I1438/IF(BS1438&gt;0,BS1438,MAX(0.1,N(Cockpit!$C$6))),BV1438)/BN1438,0)*BN1438</f>
        <v/>
      </c>
      <c r="AF1438" s="56">
        <f>IF(AC1438&gt;0,I1438/AC1438,-1)</f>
        <v/>
      </c>
      <c r="AG1438" s="56">
        <f>IF(AND(OR(BR1438="L1",BR1438="L23"),AC1438&gt;0),SUMIFS($AC$7:$AC$1570,$BR$7:$BR$1570,BR1438,$AF$7:$AF$1570,"&gt;"&amp;AF1438)+SUMIFS($AC$7:$AC$1570,$BR$7:$BR$1570,BR1438,$AF$7:$AF$1570,AF1438,$BL$7:$BL$1570,"&lt;="&amp;BL1438),"")</f>
        <v/>
      </c>
      <c r="AH1438" s="65">
        <f>IF(AG1438="",0,MAX(0,MIN(1,(IF(BR1438="L1",Parameter!$K$5,Parameter!$K$6+Parameter!$K$7)-(AG1438-AC1438))/AC1438)))</f>
        <v/>
      </c>
      <c r="AI1438" s="55">
        <f>IF(LEFT(Cockpit!$I$5,1)="A",G1438,IF(BT1438=1,BU1438,IF(LEFT(Cockpit!$I$5,1)="B",AM1438,MAX(AM1438,G1438))))</f>
        <v/>
      </c>
      <c r="AJ1438" s="55">
        <f>IF(BO1438=1,0,ROUNDUP(AI1438/BN1438,0))</f>
        <v/>
      </c>
      <c r="AK1438" s="64">
        <f>IF(BO1438=1,IF(AI1438&lt;=0,0,BP1438*MAX(1,IF(G1438&gt;0,AI1438/G1438,1))),AJ1438*Q1438)</f>
        <v/>
      </c>
      <c r="AL1438" s="55">
        <f>AI1438*F1438</f>
        <v/>
      </c>
      <c r="AM1438" s="55">
        <f>ROUNDUP(MAX(I1438/IF(BS1438&gt;0,BS1438,MAX(0.1,N(Cockpit!$I$6))),BV1438)/BN1438,0)*BN1438</f>
        <v/>
      </c>
      <c r="AN1438" s="56">
        <f>IF(AK1438&gt;0,I1438/AK1438,-1)</f>
        <v/>
      </c>
      <c r="AO1438" s="56">
        <f>IF(AND(OR(BR1438="L1",BR1438="L23"),AK1438&gt;0),SUMIFS($AK$7:$AK$1570,$BR$7:$BR$1570,BR1438,$AN$7:$AN$1570,"&gt;"&amp;AN1438)+SUMIFS($AK$7:$AK$1570,$BR$7:$BR$1570,BR1438,$AN$7:$AN$1570,AN1438,$BL$7:$BL$1570,"&lt;="&amp;BL1438),"")</f>
        <v/>
      </c>
      <c r="AP1438" s="65">
        <f>IF(AO1438="",0,MAX(0,MIN(1,(IF(BR1438="L1",Parameter!$K$5,Parameter!$K$6+Parameter!$K$7)-(AO1438-AK1438))/AK1438)))</f>
        <v/>
      </c>
      <c r="AQ1438" s="55">
        <f>IF(LEFT(Cockpit!$O$5,1)="A",G1438,IF(BT1438=1,BU1438,IF(LEFT(Cockpit!$O$5,1)="B",AU1438,MAX(AU1438,G1438))))</f>
        <v/>
      </c>
      <c r="AR1438" s="55">
        <f>IF(BO1438=1,0,ROUNDUP(AQ1438/BN1438,0))</f>
        <v/>
      </c>
      <c r="AS1438" s="64">
        <f>IF(BO1438=1,IF(AQ1438&lt;=0,0,BP1438*MAX(1,IF(G1438&gt;0,AQ1438/G1438,1))),AR1438*Q1438)</f>
        <v/>
      </c>
      <c r="AT1438" s="55">
        <f>AQ1438*F1438</f>
        <v/>
      </c>
      <c r="AU1438" s="55">
        <f>ROUNDUP(MAX(I1438/IF(BS1438&gt;0,BS1438,MAX(0.1,N(Cockpit!$O$6))),BV1438)/BN1438,0)*BN1438</f>
        <v/>
      </c>
      <c r="AV1438" s="56">
        <f>IF(AS1438&gt;0,I1438/AS1438,-1)</f>
        <v/>
      </c>
      <c r="AW1438" s="56">
        <f>IF(AND(OR(BR1438="L1",BR1438="L23"),AS1438&gt;0),SUMIFS($AS$7:$AS$1570,$BR$7:$BR$1570,BR1438,$AV$7:$AV$1570,"&gt;"&amp;AV1438)+SUMIFS($AS$7:$AS$1570,$BR$7:$BR$1570,BR1438,$AV$7:$AV$1570,AV1438,$BL$7:$BL$1570,"&lt;="&amp;BL1438),"")</f>
        <v/>
      </c>
      <c r="AX1438" s="65">
        <f>IF(AW1438="",0,MAX(0,MIN(1,(IF(BR1438="L1",Parameter!$K$5,Parameter!$K$6+Parameter!$K$7)-(AW1438-AS1438))/AS1438)))</f>
        <v/>
      </c>
      <c r="AY1438" s="53">
        <f>IF(AC1438&lt;=0,"",IF(BR1438="Aussen","Aussenlager",IF(BR1438="-","Nicht im Lift",IF(AH1438&gt;=1,"Lift",IF(AH1438&lt;=0,"Aussenlager","teilweise")))))</f>
        <v/>
      </c>
      <c r="AZ1438" s="53">
        <f>IF(AK1438&lt;=0,"",IF(BR1438="Aussen","Aussenlager",IF(BR1438="-","Nicht im Lift",IF(AP1438&gt;=1,"Lift",IF(AP1438&lt;=0,"Aussenlager","teilweise")))))</f>
        <v/>
      </c>
      <c r="BA1438" s="53">
        <f>IF(AS1438&lt;=0,"",IF(BR1438="Aussen","Aussenlager",IF(BR1438="-","Nicht im Lift",IF(AX1438&gt;=1,"Lift",IF(AX1438&lt;=0,"Aussenlager","teilweise")))))</f>
        <v/>
      </c>
      <c r="BB1438" s="53">
        <f>IF(A1438="","",IF(BK1438=1,"Neu; ","")&amp;IF(AND(BK1438=0,BF1438&lt;0),"negativer Bestand (Export "&amp;BF1438&amp;"); ","")&amp;IF(I1438&lt;=0,"Kein Verbrauch; ","")&amp;IF(BO1438=1,"Lose – Fläche geschätzt; ","")&amp;IF(G1438&gt;AM1438,"Überbestand "&amp;ROUND(G1438-AM1438,0)&amp;" Stk / CHF "&amp;ROUND((G1438-AM1438)*F1438,0)&amp;"; ","")&amp;IF(AND(BT1438=1,BU1438&lt;BV1438),"MAX &lt; MB+LG; ","")&amp;IF(AND(BZ1438&gt;0,BY1438*10&gt;BZ1438),"zu hoch für Tablar; ","")&amp;IF(AND(BK1438=0,OR(BT1438=1,V1438&lt;&gt;"",S1438&lt;&gt;"",T1438&lt;&gt;"",W1438&lt;&gt;"")),"manuell übersteuert; ","")&amp;IF(AND(BO1438=0,Q1438=0),"Gebinde unbekannt; ","")&amp;IF(AND(BO1438=0,N(T1438)&lt;=0,N(P1438)&lt;=0),"Menge pro Gebinde fehlt (Ist = 1 Gebinde); ","")&amp;BJ1438)</f>
        <v/>
      </c>
      <c r="BC1438" s="53" t="n"/>
      <c r="BD1438" s="53" t="n"/>
      <c r="BE1438" s="61" t="n"/>
      <c r="BF1438" s="55" t="n">
        <v>-50</v>
      </c>
      <c r="BG1438" s="55" t="n">
        <v>110</v>
      </c>
      <c r="BH1438" s="54" t="n">
        <v>-8512.099999999966</v>
      </c>
      <c r="BI1438" s="55" t="n">
        <v>222</v>
      </c>
      <c r="BJ1438" s="53" t="inlineStr"/>
      <c r="BK1438" s="58" t="n">
        <v>0</v>
      </c>
      <c r="BL1438" s="58" t="n">
        <v>1438</v>
      </c>
      <c r="BM1438" s="53">
        <f>IF(S1438&lt;&gt;"",UPPER(TRIM(S1438)),IF(O1438="","LOSE",O1438))</f>
        <v/>
      </c>
      <c r="BN1438" s="55">
        <f>IF(BM1438="LOSE",1,IF(N(T1438)&gt;0,T1438,IF(N(P1438)&gt;0,P1438,MAX(1,G1438))))</f>
        <v/>
      </c>
      <c r="BO1438" s="58">
        <f>IF(BM1438="LOSE",1,0)</f>
        <v/>
      </c>
      <c r="BP1438" s="64">
        <f>IF(BO1438=0,0,IF(N(R1438)&gt;0,R1438,IFERROR(VLOOKUP(D1438,Parameter!$A$35:$C$64,3,0)+0,0)))</f>
        <v/>
      </c>
      <c r="BQ1438" s="53">
        <f>IF(V1438&lt;&gt;"",V1438,U1438)</f>
        <v/>
      </c>
      <c r="BR1438" s="53">
        <f>IF(BQ1438=1,"L1",IF(OR(BQ1438=2,BQ1438=3),"L23",IF(BQ1438="Aussen","Aussen","-")))</f>
        <v/>
      </c>
      <c r="BS1438" s="66">
        <f>IF(N(W1438)&gt;0,W1438,0)</f>
        <v/>
      </c>
      <c r="BT1438" s="58">
        <f>IF(ISNUMBER(Z1438),1,0)</f>
        <v/>
      </c>
      <c r="BU1438" s="55">
        <f>N(Z1438)</f>
        <v/>
      </c>
      <c r="BV1438" s="55">
        <f>N(L1438)+N(M1438)</f>
        <v/>
      </c>
      <c r="BW1438" s="55">
        <f>ROUNDUP(G1438/BN1438,0)</f>
        <v/>
      </c>
      <c r="BX1438" s="55">
        <f>ROUNDUP(BU1438/BN1438,0)</f>
        <v/>
      </c>
      <c r="BY1438" s="58">
        <f>IF(BO1438=1,0,IFERROR(VLOOKUP(BM1438,'Gebinde-Kategorie'!$A$5:$G$45,5,0)+0,0))</f>
        <v/>
      </c>
      <c r="BZ1438" s="58">
        <f>IFERROR(IF(OR(BQ1438=1,BQ1438=2,BQ1438=3),N(INDEX(Parameter!$I$5:$I$7,BQ1438)),0),0)</f>
        <v/>
      </c>
    </row>
    <row r="1439">
      <c r="A1439" s="53" t="inlineStr">
        <is>
          <t>103764</t>
        </is>
      </c>
      <c r="B1439" s="53" t="inlineStr">
        <is>
          <t>PTFE Schlauch DN10</t>
        </is>
      </c>
      <c r="C1439" s="53" t="inlineStr">
        <is>
          <t>F</t>
        </is>
      </c>
      <c r="D1439" s="53" t="inlineStr">
        <is>
          <t>PAL</t>
        </is>
      </c>
      <c r="E1439" s="53" t="inlineStr">
        <is>
          <t>C</t>
        </is>
      </c>
      <c r="F1439" s="54" t="n">
        <v>157.67</v>
      </c>
      <c r="G1439" s="55">
        <f>MAX(0,IF(Parameter!$B$20="Jahresanfang 2025 + Export",BG1439+BF1439,BF1439))</f>
        <v/>
      </c>
      <c r="H1439" s="55">
        <f>G1439*F1439</f>
        <v/>
      </c>
      <c r="I1439" s="55">
        <f>BI1439*Parameter!$B$18</f>
        <v/>
      </c>
      <c r="J1439" s="56" t="n">
        <v>55.5</v>
      </c>
      <c r="K1439" s="57" t="n">
        <v>1.549549549549549</v>
      </c>
      <c r="L1439" s="55" t="n">
        <v>5</v>
      </c>
      <c r="M1439" s="55" t="n">
        <v>25</v>
      </c>
      <c r="N1439" s="58" t="n">
        <v>21</v>
      </c>
      <c r="O1439" s="53" t="inlineStr">
        <is>
          <t>S83</t>
        </is>
      </c>
      <c r="P1439" s="55" t="n">
        <v>43</v>
      </c>
      <c r="Q1439" s="59">
        <f>IF(BO1439=1,0,IFERROR(VLOOKUP(BM1439,'Gebinde-Kategorie'!$A$5:$G$45,6,0)+0,0))</f>
        <v/>
      </c>
      <c r="R1439" s="60" t="n"/>
      <c r="S1439" s="61" t="n"/>
      <c r="T1439" s="61" t="n"/>
      <c r="U1439" s="53">
        <f>IF(A1439="","",IF(IFERROR(VLOOKUP(D1439,Parameter!$A$35:$C$64,2,0),"Nein")="2+3",IF(ISNUMBER(SEARCH("grosser Artikel",BJ1439)),2,IFERROR(VLOOKUP(BM1439,Parameter!$F$35:$G$64,2,0),2)),IF(OR(IFERROR(VLOOKUP(D1439,Parameter!$A$35:$C$64,2,0),"Nein")="Nein",IFERROR(VLOOKUP(D1439,Parameter!$A$35:$C$64,2,0),"Nein")=""),"-",VLOOKUP(D1439,Parameter!$A$35:$C$64,2,0))))</f>
        <v/>
      </c>
      <c r="V1439" s="61" t="n"/>
      <c r="W1439" s="62" t="n"/>
      <c r="X1439" s="55">
        <f>AM1439</f>
        <v/>
      </c>
      <c r="Y1439" s="55">
        <f>MAX(AM1439,G1439)</f>
        <v/>
      </c>
      <c r="Z1439" s="63" t="n"/>
      <c r="AA1439" s="55">
        <f>IF(LEFT(Cockpit!$C$5,1)="A",G1439,IF(BT1439=1,BU1439,IF(LEFT(Cockpit!$C$5,1)="B",AE1439,MAX(AE1439,G1439))))</f>
        <v/>
      </c>
      <c r="AB1439" s="55">
        <f>IF(BO1439=1,0,ROUNDUP(AA1439/BN1439,0))</f>
        <v/>
      </c>
      <c r="AC1439" s="64">
        <f>IF(BO1439=1,IF(AA1439&lt;=0,0,BP1439*MAX(1,IF(G1439&gt;0,AA1439/G1439,1))),AB1439*Q1439)</f>
        <v/>
      </c>
      <c r="AD1439" s="55">
        <f>AA1439*F1439</f>
        <v/>
      </c>
      <c r="AE1439" s="55">
        <f>ROUNDUP(MAX(I1439/IF(BS1439&gt;0,BS1439,MAX(0.1,N(Cockpit!$C$6))),BV1439)/BN1439,0)*BN1439</f>
        <v/>
      </c>
      <c r="AF1439" s="56">
        <f>IF(AC1439&gt;0,I1439/AC1439,-1)</f>
        <v/>
      </c>
      <c r="AG1439" s="56">
        <f>IF(AND(OR(BR1439="L1",BR1439="L23"),AC1439&gt;0),SUMIFS($AC$7:$AC$1570,$BR$7:$BR$1570,BR1439,$AF$7:$AF$1570,"&gt;"&amp;AF1439)+SUMIFS($AC$7:$AC$1570,$BR$7:$BR$1570,BR1439,$AF$7:$AF$1570,AF1439,$BL$7:$BL$1570,"&lt;="&amp;BL1439),"")</f>
        <v/>
      </c>
      <c r="AH1439" s="65">
        <f>IF(AG1439="",0,MAX(0,MIN(1,(IF(BR1439="L1",Parameter!$K$5,Parameter!$K$6+Parameter!$K$7)-(AG1439-AC1439))/AC1439)))</f>
        <v/>
      </c>
      <c r="AI1439" s="55">
        <f>IF(LEFT(Cockpit!$I$5,1)="A",G1439,IF(BT1439=1,BU1439,IF(LEFT(Cockpit!$I$5,1)="B",AM1439,MAX(AM1439,G1439))))</f>
        <v/>
      </c>
      <c r="AJ1439" s="55">
        <f>IF(BO1439=1,0,ROUNDUP(AI1439/BN1439,0))</f>
        <v/>
      </c>
      <c r="AK1439" s="64">
        <f>IF(BO1439=1,IF(AI1439&lt;=0,0,BP1439*MAX(1,IF(G1439&gt;0,AI1439/G1439,1))),AJ1439*Q1439)</f>
        <v/>
      </c>
      <c r="AL1439" s="55">
        <f>AI1439*F1439</f>
        <v/>
      </c>
      <c r="AM1439" s="55">
        <f>ROUNDUP(MAX(I1439/IF(BS1439&gt;0,BS1439,MAX(0.1,N(Cockpit!$I$6))),BV1439)/BN1439,0)*BN1439</f>
        <v/>
      </c>
      <c r="AN1439" s="56">
        <f>IF(AK1439&gt;0,I1439/AK1439,-1)</f>
        <v/>
      </c>
      <c r="AO1439" s="56">
        <f>IF(AND(OR(BR1439="L1",BR1439="L23"),AK1439&gt;0),SUMIFS($AK$7:$AK$1570,$BR$7:$BR$1570,BR1439,$AN$7:$AN$1570,"&gt;"&amp;AN1439)+SUMIFS($AK$7:$AK$1570,$BR$7:$BR$1570,BR1439,$AN$7:$AN$1570,AN1439,$BL$7:$BL$1570,"&lt;="&amp;BL1439),"")</f>
        <v/>
      </c>
      <c r="AP1439" s="65">
        <f>IF(AO1439="",0,MAX(0,MIN(1,(IF(BR1439="L1",Parameter!$K$5,Parameter!$K$6+Parameter!$K$7)-(AO1439-AK1439))/AK1439)))</f>
        <v/>
      </c>
      <c r="AQ1439" s="55">
        <f>IF(LEFT(Cockpit!$O$5,1)="A",G1439,IF(BT1439=1,BU1439,IF(LEFT(Cockpit!$O$5,1)="B",AU1439,MAX(AU1439,G1439))))</f>
        <v/>
      </c>
      <c r="AR1439" s="55">
        <f>IF(BO1439=1,0,ROUNDUP(AQ1439/BN1439,0))</f>
        <v/>
      </c>
      <c r="AS1439" s="64">
        <f>IF(BO1439=1,IF(AQ1439&lt;=0,0,BP1439*MAX(1,IF(G1439&gt;0,AQ1439/G1439,1))),AR1439*Q1439)</f>
        <v/>
      </c>
      <c r="AT1439" s="55">
        <f>AQ1439*F1439</f>
        <v/>
      </c>
      <c r="AU1439" s="55">
        <f>ROUNDUP(MAX(I1439/IF(BS1439&gt;0,BS1439,MAX(0.1,N(Cockpit!$O$6))),BV1439)/BN1439,0)*BN1439</f>
        <v/>
      </c>
      <c r="AV1439" s="56">
        <f>IF(AS1439&gt;0,I1439/AS1439,-1)</f>
        <v/>
      </c>
      <c r="AW1439" s="56">
        <f>IF(AND(OR(BR1439="L1",BR1439="L23"),AS1439&gt;0),SUMIFS($AS$7:$AS$1570,$BR$7:$BR$1570,BR1439,$AV$7:$AV$1570,"&gt;"&amp;AV1439)+SUMIFS($AS$7:$AS$1570,$BR$7:$BR$1570,BR1439,$AV$7:$AV$1570,AV1439,$BL$7:$BL$1570,"&lt;="&amp;BL1439),"")</f>
        <v/>
      </c>
      <c r="AX1439" s="65">
        <f>IF(AW1439="",0,MAX(0,MIN(1,(IF(BR1439="L1",Parameter!$K$5,Parameter!$K$6+Parameter!$K$7)-(AW1439-AS1439))/AS1439)))</f>
        <v/>
      </c>
      <c r="AY1439" s="53">
        <f>IF(AC1439&lt;=0,"",IF(BR1439="Aussen","Aussenlager",IF(BR1439="-","Nicht im Lift",IF(AH1439&gt;=1,"Lift",IF(AH1439&lt;=0,"Aussenlager","teilweise")))))</f>
        <v/>
      </c>
      <c r="AZ1439" s="53">
        <f>IF(AK1439&lt;=0,"",IF(BR1439="Aussen","Aussenlager",IF(BR1439="-","Nicht im Lift",IF(AP1439&gt;=1,"Lift",IF(AP1439&lt;=0,"Aussenlager","teilweise")))))</f>
        <v/>
      </c>
      <c r="BA1439" s="53">
        <f>IF(AS1439&lt;=0,"",IF(BR1439="Aussen","Aussenlager",IF(BR1439="-","Nicht im Lift",IF(AX1439&gt;=1,"Lift",IF(AX1439&lt;=0,"Aussenlager","teilweise")))))</f>
        <v/>
      </c>
      <c r="BB1439" s="53">
        <f>IF(A1439="","",IF(BK1439=1,"Neu; ","")&amp;IF(AND(BK1439=0,BF1439&lt;0),"negativer Bestand (Export "&amp;BF1439&amp;"); ","")&amp;IF(I1439&lt;=0,"Kein Verbrauch; ","")&amp;IF(BO1439=1,"Lose – Fläche geschätzt; ","")&amp;IF(G1439&gt;AM1439,"Überbestand "&amp;ROUND(G1439-AM1439,0)&amp;" Stk / CHF "&amp;ROUND((G1439-AM1439)*F1439,0)&amp;"; ","")&amp;IF(AND(BT1439=1,BU1439&lt;BV1439),"MAX &lt; MB+LG; ","")&amp;IF(AND(BZ1439&gt;0,BY1439*10&gt;BZ1439),"zu hoch für Tablar; ","")&amp;IF(AND(BK1439=0,OR(BT1439=1,V1439&lt;&gt;"",S1439&lt;&gt;"",T1439&lt;&gt;"",W1439&lt;&gt;"")),"manuell übersteuert; ","")&amp;IF(AND(BO1439=0,Q1439=0),"Gebinde unbekannt; ","")&amp;IF(AND(BO1439=0,N(T1439)&lt;=0,N(P1439)&lt;=0),"Menge pro Gebinde fehlt (Ist = 1 Gebinde); ","")&amp;BJ1439)</f>
        <v/>
      </c>
      <c r="BC1439" s="53" t="n"/>
      <c r="BD1439" s="53" t="n"/>
      <c r="BE1439" s="61" t="n"/>
      <c r="BF1439" s="55" t="n">
        <v>-56</v>
      </c>
      <c r="BG1439" s="55" t="n">
        <v>68</v>
      </c>
      <c r="BH1439" s="54" t="n">
        <v>-8826.120000000004</v>
      </c>
      <c r="BI1439" s="55" t="n">
        <v>86</v>
      </c>
      <c r="BJ1439" s="53" t="inlineStr"/>
      <c r="BK1439" s="58" t="n">
        <v>0</v>
      </c>
      <c r="BL1439" s="58" t="n">
        <v>1439</v>
      </c>
      <c r="BM1439" s="53">
        <f>IF(S1439&lt;&gt;"",UPPER(TRIM(S1439)),IF(O1439="","LOSE",O1439))</f>
        <v/>
      </c>
      <c r="BN1439" s="55">
        <f>IF(BM1439="LOSE",1,IF(N(T1439)&gt;0,T1439,IF(N(P1439)&gt;0,P1439,MAX(1,G1439))))</f>
        <v/>
      </c>
      <c r="BO1439" s="58">
        <f>IF(BM1439="LOSE",1,0)</f>
        <v/>
      </c>
      <c r="BP1439" s="64">
        <f>IF(BO1439=0,0,IF(N(R1439)&gt;0,R1439,IFERROR(VLOOKUP(D1439,Parameter!$A$35:$C$64,3,0)+0,0)))</f>
        <v/>
      </c>
      <c r="BQ1439" s="53">
        <f>IF(V1439&lt;&gt;"",V1439,U1439)</f>
        <v/>
      </c>
      <c r="BR1439" s="53">
        <f>IF(BQ1439=1,"L1",IF(OR(BQ1439=2,BQ1439=3),"L23",IF(BQ1439="Aussen","Aussen","-")))</f>
        <v/>
      </c>
      <c r="BS1439" s="66">
        <f>IF(N(W1439)&gt;0,W1439,0)</f>
        <v/>
      </c>
      <c r="BT1439" s="58">
        <f>IF(ISNUMBER(Z1439),1,0)</f>
        <v/>
      </c>
      <c r="BU1439" s="55">
        <f>N(Z1439)</f>
        <v/>
      </c>
      <c r="BV1439" s="55">
        <f>N(L1439)+N(M1439)</f>
        <v/>
      </c>
      <c r="BW1439" s="55">
        <f>ROUNDUP(G1439/BN1439,0)</f>
        <v/>
      </c>
      <c r="BX1439" s="55">
        <f>ROUNDUP(BU1439/BN1439,0)</f>
        <v/>
      </c>
      <c r="BY1439" s="58">
        <f>IF(BO1439=1,0,IFERROR(VLOOKUP(BM1439,'Gebinde-Kategorie'!$A$5:$G$45,5,0)+0,0))</f>
        <v/>
      </c>
      <c r="BZ1439" s="58">
        <f>IFERROR(IF(OR(BQ1439=1,BQ1439=2,BQ1439=3),N(INDEX(Parameter!$I$5:$I$7,BQ1439)),0),0)</f>
        <v/>
      </c>
    </row>
    <row r="1440">
      <c r="A1440" s="53" t="inlineStr">
        <is>
          <t>OC-106183</t>
        </is>
      </c>
      <c r="B1440" s="53" t="inlineStr">
        <is>
          <t>Shock Pulse Generator SPGr16 komplett</t>
        </is>
      </c>
      <c r="C1440" s="53" t="inlineStr">
        <is>
          <t>F</t>
        </is>
      </c>
      <c r="D1440" s="53" t="inlineStr">
        <is>
          <t>OCC</t>
        </is>
      </c>
      <c r="E1440" s="53" t="inlineStr"/>
      <c r="F1440" s="54" t="n">
        <v>4421.95</v>
      </c>
      <c r="G1440" s="55">
        <f>MAX(0,IF(Parameter!$B$20="Jahresanfang 2025 + Export",BG1440+BF1440,BF1440))</f>
        <v/>
      </c>
      <c r="H1440" s="55">
        <f>G1440*F1440</f>
        <v/>
      </c>
      <c r="I1440" s="55">
        <f>BI1440*Parameter!$B$18</f>
        <v/>
      </c>
      <c r="J1440" s="56" t="n"/>
      <c r="K1440" s="57" t="n"/>
      <c r="L1440" s="55" t="n">
        <v>0</v>
      </c>
      <c r="M1440" s="55" t="n">
        <v>1</v>
      </c>
      <c r="N1440" s="58" t="n"/>
      <c r="O1440" s="53" t="inlineStr">
        <is>
          <t>LOSE</t>
        </is>
      </c>
      <c r="P1440" s="55" t="n"/>
      <c r="Q1440" s="59">
        <f>IF(BO1440=1,0,IFERROR(VLOOKUP(BM1440,'Gebinde-Kategorie'!$A$5:$G$45,6,0)+0,0))</f>
        <v/>
      </c>
      <c r="R1440" s="60" t="n"/>
      <c r="S1440" s="61" t="n"/>
      <c r="T1440" s="61" t="n"/>
      <c r="U1440" s="53">
        <f>IF(A1440="","",IF(IFERROR(VLOOKUP(D1440,Parameter!$A$35:$C$64,2,0),"Nein")="2+3",IF(ISNUMBER(SEARCH("grosser Artikel",BJ1440)),2,IFERROR(VLOOKUP(BM1440,Parameter!$F$35:$G$64,2,0),2)),IF(OR(IFERROR(VLOOKUP(D1440,Parameter!$A$35:$C$64,2,0),"Nein")="Nein",IFERROR(VLOOKUP(D1440,Parameter!$A$35:$C$64,2,0),"Nein")=""),"-",VLOOKUP(D1440,Parameter!$A$35:$C$64,2,0))))</f>
        <v/>
      </c>
      <c r="V1440" s="61" t="n"/>
      <c r="W1440" s="62" t="n"/>
      <c r="X1440" s="55">
        <f>AM1440</f>
        <v/>
      </c>
      <c r="Y1440" s="55">
        <f>MAX(AM1440,G1440)</f>
        <v/>
      </c>
      <c r="Z1440" s="63" t="n"/>
      <c r="AA1440" s="55">
        <f>IF(LEFT(Cockpit!$C$5,1)="A",G1440,IF(BT1440=1,BU1440,IF(LEFT(Cockpit!$C$5,1)="B",AE1440,MAX(AE1440,G1440))))</f>
        <v/>
      </c>
      <c r="AB1440" s="55">
        <f>IF(BO1440=1,0,ROUNDUP(AA1440/BN1440,0))</f>
        <v/>
      </c>
      <c r="AC1440" s="64">
        <f>IF(BO1440=1,IF(AA1440&lt;=0,0,BP1440*MAX(1,IF(G1440&gt;0,AA1440/G1440,1))),AB1440*Q1440)</f>
        <v/>
      </c>
      <c r="AD1440" s="55">
        <f>AA1440*F1440</f>
        <v/>
      </c>
      <c r="AE1440" s="55">
        <f>ROUNDUP(MAX(I1440/IF(BS1440&gt;0,BS1440,MAX(0.1,N(Cockpit!$C$6))),BV1440)/BN1440,0)*BN1440</f>
        <v/>
      </c>
      <c r="AF1440" s="56">
        <f>IF(AC1440&gt;0,I1440/AC1440,-1)</f>
        <v/>
      </c>
      <c r="AG1440" s="56">
        <f>IF(AND(OR(BR1440="L1",BR1440="L23"),AC1440&gt;0),SUMIFS($AC$7:$AC$1570,$BR$7:$BR$1570,BR1440,$AF$7:$AF$1570,"&gt;"&amp;AF1440)+SUMIFS($AC$7:$AC$1570,$BR$7:$BR$1570,BR1440,$AF$7:$AF$1570,AF1440,$BL$7:$BL$1570,"&lt;="&amp;BL1440),"")</f>
        <v/>
      </c>
      <c r="AH1440" s="65">
        <f>IF(AG1440="",0,MAX(0,MIN(1,(IF(BR1440="L1",Parameter!$K$5,Parameter!$K$6+Parameter!$K$7)-(AG1440-AC1440))/AC1440)))</f>
        <v/>
      </c>
      <c r="AI1440" s="55">
        <f>IF(LEFT(Cockpit!$I$5,1)="A",G1440,IF(BT1440=1,BU1440,IF(LEFT(Cockpit!$I$5,1)="B",AM1440,MAX(AM1440,G1440))))</f>
        <v/>
      </c>
      <c r="AJ1440" s="55">
        <f>IF(BO1440=1,0,ROUNDUP(AI1440/BN1440,0))</f>
        <v/>
      </c>
      <c r="AK1440" s="64">
        <f>IF(BO1440=1,IF(AI1440&lt;=0,0,BP1440*MAX(1,IF(G1440&gt;0,AI1440/G1440,1))),AJ1440*Q1440)</f>
        <v/>
      </c>
      <c r="AL1440" s="55">
        <f>AI1440*F1440</f>
        <v/>
      </c>
      <c r="AM1440" s="55">
        <f>ROUNDUP(MAX(I1440/IF(BS1440&gt;0,BS1440,MAX(0.1,N(Cockpit!$I$6))),BV1440)/BN1440,0)*BN1440</f>
        <v/>
      </c>
      <c r="AN1440" s="56">
        <f>IF(AK1440&gt;0,I1440/AK1440,-1)</f>
        <v/>
      </c>
      <c r="AO1440" s="56">
        <f>IF(AND(OR(BR1440="L1",BR1440="L23"),AK1440&gt;0),SUMIFS($AK$7:$AK$1570,$BR$7:$BR$1570,BR1440,$AN$7:$AN$1570,"&gt;"&amp;AN1440)+SUMIFS($AK$7:$AK$1570,$BR$7:$BR$1570,BR1440,$AN$7:$AN$1570,AN1440,$BL$7:$BL$1570,"&lt;="&amp;BL1440),"")</f>
        <v/>
      </c>
      <c r="AP1440" s="65">
        <f>IF(AO1440="",0,MAX(0,MIN(1,(IF(BR1440="L1",Parameter!$K$5,Parameter!$K$6+Parameter!$K$7)-(AO1440-AK1440))/AK1440)))</f>
        <v/>
      </c>
      <c r="AQ1440" s="55">
        <f>IF(LEFT(Cockpit!$O$5,1)="A",G1440,IF(BT1440=1,BU1440,IF(LEFT(Cockpit!$O$5,1)="B",AU1440,MAX(AU1440,G1440))))</f>
        <v/>
      </c>
      <c r="AR1440" s="55">
        <f>IF(BO1440=1,0,ROUNDUP(AQ1440/BN1440,0))</f>
        <v/>
      </c>
      <c r="AS1440" s="64">
        <f>IF(BO1440=1,IF(AQ1440&lt;=0,0,BP1440*MAX(1,IF(G1440&gt;0,AQ1440/G1440,1))),AR1440*Q1440)</f>
        <v/>
      </c>
      <c r="AT1440" s="55">
        <f>AQ1440*F1440</f>
        <v/>
      </c>
      <c r="AU1440" s="55">
        <f>ROUNDUP(MAX(I1440/IF(BS1440&gt;0,BS1440,MAX(0.1,N(Cockpit!$O$6))),BV1440)/BN1440,0)*BN1440</f>
        <v/>
      </c>
      <c r="AV1440" s="56">
        <f>IF(AS1440&gt;0,I1440/AS1440,-1)</f>
        <v/>
      </c>
      <c r="AW1440" s="56">
        <f>IF(AND(OR(BR1440="L1",BR1440="L23"),AS1440&gt;0),SUMIFS($AS$7:$AS$1570,$BR$7:$BR$1570,BR1440,$AV$7:$AV$1570,"&gt;"&amp;AV1440)+SUMIFS($AS$7:$AS$1570,$BR$7:$BR$1570,BR1440,$AV$7:$AV$1570,AV1440,$BL$7:$BL$1570,"&lt;="&amp;BL1440),"")</f>
        <v/>
      </c>
      <c r="AX1440" s="65">
        <f>IF(AW1440="",0,MAX(0,MIN(1,(IF(BR1440="L1",Parameter!$K$5,Parameter!$K$6+Parameter!$K$7)-(AW1440-AS1440))/AS1440)))</f>
        <v/>
      </c>
      <c r="AY1440" s="53">
        <f>IF(AC1440&lt;=0,"",IF(BR1440="Aussen","Aussenlager",IF(BR1440="-","Nicht im Lift",IF(AH1440&gt;=1,"Lift",IF(AH1440&lt;=0,"Aussenlager","teilweise")))))</f>
        <v/>
      </c>
      <c r="AZ1440" s="53">
        <f>IF(AK1440&lt;=0,"",IF(BR1440="Aussen","Aussenlager",IF(BR1440="-","Nicht im Lift",IF(AP1440&gt;=1,"Lift",IF(AP1440&lt;=0,"Aussenlager","teilweise")))))</f>
        <v/>
      </c>
      <c r="BA1440" s="53">
        <f>IF(AS1440&lt;=0,"",IF(BR1440="Aussen","Aussenlager",IF(BR1440="-","Nicht im Lift",IF(AX1440&gt;=1,"Lift",IF(AX1440&lt;=0,"Aussenlager","teilweise")))))</f>
        <v/>
      </c>
      <c r="BB1440" s="53">
        <f>IF(A1440="","",IF(BK1440=1,"Neu; ","")&amp;IF(AND(BK1440=0,BF1440&lt;0),"negativer Bestand (Export "&amp;BF1440&amp;"); ","")&amp;IF(I1440&lt;=0,"Kein Verbrauch; ","")&amp;IF(BO1440=1,"Lose – Fläche geschätzt; ","")&amp;IF(G1440&gt;AM1440,"Überbestand "&amp;ROUND(G1440-AM1440,0)&amp;" Stk / CHF "&amp;ROUND((G1440-AM1440)*F1440,0)&amp;"; ","")&amp;IF(AND(BT1440=1,BU1440&lt;BV1440),"MAX &lt; MB+LG; ","")&amp;IF(AND(BZ1440&gt;0,BY1440*10&gt;BZ1440),"zu hoch für Tablar; ","")&amp;IF(AND(BK1440=0,OR(BT1440=1,V1440&lt;&gt;"",S1440&lt;&gt;"",T1440&lt;&gt;"",W1440&lt;&gt;"")),"manuell übersteuert; ","")&amp;IF(AND(BO1440=0,Q1440=0),"Gebinde unbekannt; ","")&amp;IF(AND(BO1440=0,N(T1440)&lt;=0,N(P1440)&lt;=0),"Menge pro Gebinde fehlt (Ist = 1 Gebinde); ","")&amp;BJ1440)</f>
        <v/>
      </c>
      <c r="BC1440" s="53" t="n"/>
      <c r="BD1440" s="53" t="n"/>
      <c r="BE1440" s="61" t="n"/>
      <c r="BF1440" s="55" t="n">
        <v>-2</v>
      </c>
      <c r="BG1440" s="55" t="n">
        <v>0</v>
      </c>
      <c r="BH1440" s="54" t="n">
        <v>-8843.9</v>
      </c>
      <c r="BI1440" s="55" t="n">
        <v>2</v>
      </c>
      <c r="BJ1440" s="53" t="inlineStr"/>
      <c r="BK1440" s="58" t="n">
        <v>0</v>
      </c>
      <c r="BL1440" s="58" t="n">
        <v>1440</v>
      </c>
      <c r="BM1440" s="53">
        <f>IF(S1440&lt;&gt;"",UPPER(TRIM(S1440)),IF(O1440="","LOSE",O1440))</f>
        <v/>
      </c>
      <c r="BN1440" s="55">
        <f>IF(BM1440="LOSE",1,IF(N(T1440)&gt;0,T1440,IF(N(P1440)&gt;0,P1440,MAX(1,G1440))))</f>
        <v/>
      </c>
      <c r="BO1440" s="58">
        <f>IF(BM1440="LOSE",1,0)</f>
        <v/>
      </c>
      <c r="BP1440" s="64">
        <f>IF(BO1440=0,0,IF(N(R1440)&gt;0,R1440,IFERROR(VLOOKUP(D1440,Parameter!$A$35:$C$64,3,0)+0,0)))</f>
        <v/>
      </c>
      <c r="BQ1440" s="53">
        <f>IF(V1440&lt;&gt;"",V1440,U1440)</f>
        <v/>
      </c>
      <c r="BR1440" s="53">
        <f>IF(BQ1440=1,"L1",IF(OR(BQ1440=2,BQ1440=3),"L23",IF(BQ1440="Aussen","Aussen","-")))</f>
        <v/>
      </c>
      <c r="BS1440" s="66">
        <f>IF(N(W1440)&gt;0,W1440,0)</f>
        <v/>
      </c>
      <c r="BT1440" s="58">
        <f>IF(ISNUMBER(Z1440),1,0)</f>
        <v/>
      </c>
      <c r="BU1440" s="55">
        <f>N(Z1440)</f>
        <v/>
      </c>
      <c r="BV1440" s="55">
        <f>N(L1440)+N(M1440)</f>
        <v/>
      </c>
      <c r="BW1440" s="55">
        <f>ROUNDUP(G1440/BN1440,0)</f>
        <v/>
      </c>
      <c r="BX1440" s="55">
        <f>ROUNDUP(BU1440/BN1440,0)</f>
        <v/>
      </c>
      <c r="BY1440" s="58">
        <f>IF(BO1440=1,0,IFERROR(VLOOKUP(BM1440,'Gebinde-Kategorie'!$A$5:$G$45,5,0)+0,0))</f>
        <v/>
      </c>
      <c r="BZ1440" s="58">
        <f>IFERROR(IF(OR(BQ1440=1,BQ1440=2,BQ1440=3),N(INDEX(Parameter!$I$5:$I$7,BQ1440)),0),0)</f>
        <v/>
      </c>
    </row>
    <row r="1441">
      <c r="A1441" s="53" t="inlineStr">
        <is>
          <t>106075</t>
        </is>
      </c>
      <c r="B1441" s="53" t="inlineStr">
        <is>
          <t>Deckel zu Verbrennungszylinder</t>
        </is>
      </c>
      <c r="C1441" s="53" t="inlineStr">
        <is>
          <t>F</t>
        </is>
      </c>
      <c r="D1441" s="53" t="inlineStr">
        <is>
          <t>PAL</t>
        </is>
      </c>
      <c r="E1441" s="53" t="inlineStr"/>
      <c r="F1441" s="54" t="n">
        <v>234.8</v>
      </c>
      <c r="G1441" s="55">
        <f>MAX(0,IF(Parameter!$B$20="Jahresanfang 2025 + Export",BG1441+BF1441,BF1441))</f>
        <v/>
      </c>
      <c r="H1441" s="55">
        <f>G1441*F1441</f>
        <v/>
      </c>
      <c r="I1441" s="55">
        <f>BI1441*Parameter!$B$18</f>
        <v/>
      </c>
      <c r="J1441" s="56" t="n"/>
      <c r="K1441" s="57" t="n"/>
      <c r="L1441" s="55" t="n">
        <v>12</v>
      </c>
      <c r="M1441" s="55" t="n">
        <v>80</v>
      </c>
      <c r="N1441" s="58" t="n"/>
      <c r="O1441" s="53" t="inlineStr">
        <is>
          <t>S71</t>
        </is>
      </c>
      <c r="P1441" s="55" t="n">
        <v>20</v>
      </c>
      <c r="Q1441" s="59">
        <f>IF(BO1441=1,0,IFERROR(VLOOKUP(BM1441,'Gebinde-Kategorie'!$A$5:$G$45,6,0)+0,0))</f>
        <v/>
      </c>
      <c r="R1441" s="60" t="n"/>
      <c r="S1441" s="61" t="n"/>
      <c r="T1441" s="61" t="n"/>
      <c r="U1441" s="53">
        <f>IF(A1441="","",IF(IFERROR(VLOOKUP(D1441,Parameter!$A$35:$C$64,2,0),"Nein")="2+3",IF(ISNUMBER(SEARCH("grosser Artikel",BJ1441)),2,IFERROR(VLOOKUP(BM1441,Parameter!$F$35:$G$64,2,0),2)),IF(OR(IFERROR(VLOOKUP(D1441,Parameter!$A$35:$C$64,2,0),"Nein")="Nein",IFERROR(VLOOKUP(D1441,Parameter!$A$35:$C$64,2,0),"Nein")=""),"-",VLOOKUP(D1441,Parameter!$A$35:$C$64,2,0))))</f>
        <v/>
      </c>
      <c r="V1441" s="61" t="n"/>
      <c r="W1441" s="62" t="n"/>
      <c r="X1441" s="55">
        <f>AM1441</f>
        <v/>
      </c>
      <c r="Y1441" s="55">
        <f>MAX(AM1441,G1441)</f>
        <v/>
      </c>
      <c r="Z1441" s="63" t="n"/>
      <c r="AA1441" s="55">
        <f>IF(LEFT(Cockpit!$C$5,1)="A",G1441,IF(BT1441=1,BU1441,IF(LEFT(Cockpit!$C$5,1)="B",AE1441,MAX(AE1441,G1441))))</f>
        <v/>
      </c>
      <c r="AB1441" s="55">
        <f>IF(BO1441=1,0,ROUNDUP(AA1441/BN1441,0))</f>
        <v/>
      </c>
      <c r="AC1441" s="64">
        <f>IF(BO1441=1,IF(AA1441&lt;=0,0,BP1441*MAX(1,IF(G1441&gt;0,AA1441/G1441,1))),AB1441*Q1441)</f>
        <v/>
      </c>
      <c r="AD1441" s="55">
        <f>AA1441*F1441</f>
        <v/>
      </c>
      <c r="AE1441" s="55">
        <f>ROUNDUP(MAX(I1441/IF(BS1441&gt;0,BS1441,MAX(0.1,N(Cockpit!$C$6))),BV1441)/BN1441,0)*BN1441</f>
        <v/>
      </c>
      <c r="AF1441" s="56">
        <f>IF(AC1441&gt;0,I1441/AC1441,-1)</f>
        <v/>
      </c>
      <c r="AG1441" s="56">
        <f>IF(AND(OR(BR1441="L1",BR1441="L23"),AC1441&gt;0),SUMIFS($AC$7:$AC$1570,$BR$7:$BR$1570,BR1441,$AF$7:$AF$1570,"&gt;"&amp;AF1441)+SUMIFS($AC$7:$AC$1570,$BR$7:$BR$1570,BR1441,$AF$7:$AF$1570,AF1441,$BL$7:$BL$1570,"&lt;="&amp;BL1441),"")</f>
        <v/>
      </c>
      <c r="AH1441" s="65">
        <f>IF(AG1441="",0,MAX(0,MIN(1,(IF(BR1441="L1",Parameter!$K$5,Parameter!$K$6+Parameter!$K$7)-(AG1441-AC1441))/AC1441)))</f>
        <v/>
      </c>
      <c r="AI1441" s="55">
        <f>IF(LEFT(Cockpit!$I$5,1)="A",G1441,IF(BT1441=1,BU1441,IF(LEFT(Cockpit!$I$5,1)="B",AM1441,MAX(AM1441,G1441))))</f>
        <v/>
      </c>
      <c r="AJ1441" s="55">
        <f>IF(BO1441=1,0,ROUNDUP(AI1441/BN1441,0))</f>
        <v/>
      </c>
      <c r="AK1441" s="64">
        <f>IF(BO1441=1,IF(AI1441&lt;=0,0,BP1441*MAX(1,IF(G1441&gt;0,AI1441/G1441,1))),AJ1441*Q1441)</f>
        <v/>
      </c>
      <c r="AL1441" s="55">
        <f>AI1441*F1441</f>
        <v/>
      </c>
      <c r="AM1441" s="55">
        <f>ROUNDUP(MAX(I1441/IF(BS1441&gt;0,BS1441,MAX(0.1,N(Cockpit!$I$6))),BV1441)/BN1441,0)*BN1441</f>
        <v/>
      </c>
      <c r="AN1441" s="56">
        <f>IF(AK1441&gt;0,I1441/AK1441,-1)</f>
        <v/>
      </c>
      <c r="AO1441" s="56">
        <f>IF(AND(OR(BR1441="L1",BR1441="L23"),AK1441&gt;0),SUMIFS($AK$7:$AK$1570,$BR$7:$BR$1570,BR1441,$AN$7:$AN$1570,"&gt;"&amp;AN1441)+SUMIFS($AK$7:$AK$1570,$BR$7:$BR$1570,BR1441,$AN$7:$AN$1570,AN1441,$BL$7:$BL$1570,"&lt;="&amp;BL1441),"")</f>
        <v/>
      </c>
      <c r="AP1441" s="65">
        <f>IF(AO1441="",0,MAX(0,MIN(1,(IF(BR1441="L1",Parameter!$K$5,Parameter!$K$6+Parameter!$K$7)-(AO1441-AK1441))/AK1441)))</f>
        <v/>
      </c>
      <c r="AQ1441" s="55">
        <f>IF(LEFT(Cockpit!$O$5,1)="A",G1441,IF(BT1441=1,BU1441,IF(LEFT(Cockpit!$O$5,1)="B",AU1441,MAX(AU1441,G1441))))</f>
        <v/>
      </c>
      <c r="AR1441" s="55">
        <f>IF(BO1441=1,0,ROUNDUP(AQ1441/BN1441,0))</f>
        <v/>
      </c>
      <c r="AS1441" s="64">
        <f>IF(BO1441=1,IF(AQ1441&lt;=0,0,BP1441*MAX(1,IF(G1441&gt;0,AQ1441/G1441,1))),AR1441*Q1441)</f>
        <v/>
      </c>
      <c r="AT1441" s="55">
        <f>AQ1441*F1441</f>
        <v/>
      </c>
      <c r="AU1441" s="55">
        <f>ROUNDUP(MAX(I1441/IF(BS1441&gt;0,BS1441,MAX(0.1,N(Cockpit!$O$6))),BV1441)/BN1441,0)*BN1441</f>
        <v/>
      </c>
      <c r="AV1441" s="56">
        <f>IF(AS1441&gt;0,I1441/AS1441,-1)</f>
        <v/>
      </c>
      <c r="AW1441" s="56">
        <f>IF(AND(OR(BR1441="L1",BR1441="L23"),AS1441&gt;0),SUMIFS($AS$7:$AS$1570,$BR$7:$BR$1570,BR1441,$AV$7:$AV$1570,"&gt;"&amp;AV1441)+SUMIFS($AS$7:$AS$1570,$BR$7:$BR$1570,BR1441,$AV$7:$AV$1570,AV1441,$BL$7:$BL$1570,"&lt;="&amp;BL1441),"")</f>
        <v/>
      </c>
      <c r="AX1441" s="65">
        <f>IF(AW1441="",0,MAX(0,MIN(1,(IF(BR1441="L1",Parameter!$K$5,Parameter!$K$6+Parameter!$K$7)-(AW1441-AS1441))/AS1441)))</f>
        <v/>
      </c>
      <c r="AY1441" s="53">
        <f>IF(AC1441&lt;=0,"",IF(BR1441="Aussen","Aussenlager",IF(BR1441="-","Nicht im Lift",IF(AH1441&gt;=1,"Lift",IF(AH1441&lt;=0,"Aussenlager","teilweise")))))</f>
        <v/>
      </c>
      <c r="AZ1441" s="53">
        <f>IF(AK1441&lt;=0,"",IF(BR1441="Aussen","Aussenlager",IF(BR1441="-","Nicht im Lift",IF(AP1441&gt;=1,"Lift",IF(AP1441&lt;=0,"Aussenlager","teilweise")))))</f>
        <v/>
      </c>
      <c r="BA1441" s="53">
        <f>IF(AS1441&lt;=0,"",IF(BR1441="Aussen","Aussenlager",IF(BR1441="-","Nicht im Lift",IF(AX1441&gt;=1,"Lift",IF(AX1441&lt;=0,"Aussenlager","teilweise")))))</f>
        <v/>
      </c>
      <c r="BB1441" s="53">
        <f>IF(A1441="","",IF(BK1441=1,"Neu; ","")&amp;IF(AND(BK1441=0,BF1441&lt;0),"negativer Bestand (Export "&amp;BF1441&amp;"); ","")&amp;IF(I1441&lt;=0,"Kein Verbrauch; ","")&amp;IF(BO1441=1,"Lose – Fläche geschätzt; ","")&amp;IF(G1441&gt;AM1441,"Überbestand "&amp;ROUND(G1441-AM1441,0)&amp;" Stk / CHF "&amp;ROUND((G1441-AM1441)*F1441,0)&amp;"; ","")&amp;IF(AND(BT1441=1,BU1441&lt;BV1441),"MAX &lt; MB+LG; ","")&amp;IF(AND(BZ1441&gt;0,BY1441*10&gt;BZ1441),"zu hoch für Tablar; ","")&amp;IF(AND(BK1441=0,OR(BT1441=1,V1441&lt;&gt;"",S1441&lt;&gt;"",T1441&lt;&gt;"",W1441&lt;&gt;"")),"manuell übersteuert; ","")&amp;IF(AND(BO1441=0,Q1441=0),"Gebinde unbekannt; ","")&amp;IF(AND(BO1441=0,N(T1441)&lt;=0,N(P1441)&lt;=0),"Menge pro Gebinde fehlt (Ist = 1 Gebinde); ","")&amp;BJ1441)</f>
        <v/>
      </c>
      <c r="BC1441" s="53" t="n"/>
      <c r="BD1441" s="53" t="n"/>
      <c r="BE1441" s="61" t="n"/>
      <c r="BF1441" s="55" t="n">
        <v>-43</v>
      </c>
      <c r="BG1441" s="55" t="n">
        <v>0</v>
      </c>
      <c r="BH1441" s="54" t="n">
        <v>-8983.150000000001</v>
      </c>
      <c r="BI1441" s="55" t="n">
        <v>207</v>
      </c>
      <c r="BJ1441" s="53" t="inlineStr">
        <is>
          <t>grosser Artikel &amp; nicht im KTL</t>
        </is>
      </c>
      <c r="BK1441" s="58" t="n">
        <v>0</v>
      </c>
      <c r="BL1441" s="58" t="n">
        <v>1441</v>
      </c>
      <c r="BM1441" s="53">
        <f>IF(S1441&lt;&gt;"",UPPER(TRIM(S1441)),IF(O1441="","LOSE",O1441))</f>
        <v/>
      </c>
      <c r="BN1441" s="55">
        <f>IF(BM1441="LOSE",1,IF(N(T1441)&gt;0,T1441,IF(N(P1441)&gt;0,P1441,MAX(1,G1441))))</f>
        <v/>
      </c>
      <c r="BO1441" s="58">
        <f>IF(BM1441="LOSE",1,0)</f>
        <v/>
      </c>
      <c r="BP1441" s="64">
        <f>IF(BO1441=0,0,IF(N(R1441)&gt;0,R1441,IFERROR(VLOOKUP(D1441,Parameter!$A$35:$C$64,3,0)+0,0)))</f>
        <v/>
      </c>
      <c r="BQ1441" s="53">
        <f>IF(V1441&lt;&gt;"",V1441,U1441)</f>
        <v/>
      </c>
      <c r="BR1441" s="53">
        <f>IF(BQ1441=1,"L1",IF(OR(BQ1441=2,BQ1441=3),"L23",IF(BQ1441="Aussen","Aussen","-")))</f>
        <v/>
      </c>
      <c r="BS1441" s="66">
        <f>IF(N(W1441)&gt;0,W1441,0)</f>
        <v/>
      </c>
      <c r="BT1441" s="58">
        <f>IF(ISNUMBER(Z1441),1,0)</f>
        <v/>
      </c>
      <c r="BU1441" s="55">
        <f>N(Z1441)</f>
        <v/>
      </c>
      <c r="BV1441" s="55">
        <f>N(L1441)+N(M1441)</f>
        <v/>
      </c>
      <c r="BW1441" s="55">
        <f>ROUNDUP(G1441/BN1441,0)</f>
        <v/>
      </c>
      <c r="BX1441" s="55">
        <f>ROUNDUP(BU1441/BN1441,0)</f>
        <v/>
      </c>
      <c r="BY1441" s="58">
        <f>IF(BO1441=1,0,IFERROR(VLOOKUP(BM1441,'Gebinde-Kategorie'!$A$5:$G$45,5,0)+0,0))</f>
        <v/>
      </c>
      <c r="BZ1441" s="58">
        <f>IFERROR(IF(OR(BQ1441=1,BQ1441=2,BQ1441=3),N(INDEX(Parameter!$I$5:$I$7,BQ1441)),0),0)</f>
        <v/>
      </c>
    </row>
    <row r="1442">
      <c r="A1442" s="53" t="inlineStr">
        <is>
          <t>109146</t>
        </is>
      </c>
      <c r="B1442" s="53" t="inlineStr">
        <is>
          <t>Druckregelstrecke Stickstoff</t>
        </is>
      </c>
      <c r="C1442" s="53" t="inlineStr">
        <is>
          <t>A</t>
        </is>
      </c>
      <c r="D1442" s="53" t="inlineStr">
        <is>
          <t>LIFT1</t>
        </is>
      </c>
      <c r="E1442" s="53" t="inlineStr"/>
      <c r="F1442" s="54" t="n">
        <v>1549.14</v>
      </c>
      <c r="G1442" s="55">
        <f>MAX(0,IF(Parameter!$B$20="Jahresanfang 2025 + Export",BG1442+BF1442,BF1442))</f>
        <v/>
      </c>
      <c r="H1442" s="55">
        <f>G1442*F1442</f>
        <v/>
      </c>
      <c r="I1442" s="55">
        <f>BI1442*Parameter!$B$18</f>
        <v/>
      </c>
      <c r="J1442" s="56" t="n"/>
      <c r="K1442" s="57" t="n"/>
      <c r="L1442" s="55" t="n">
        <v>3</v>
      </c>
      <c r="M1442" s="55" t="n">
        <v>3</v>
      </c>
      <c r="N1442" s="58" t="n"/>
      <c r="O1442" s="53" t="inlineStr">
        <is>
          <t>LOSE</t>
        </is>
      </c>
      <c r="P1442" s="55" t="n"/>
      <c r="Q1442" s="59">
        <f>IF(BO1442=1,0,IFERROR(VLOOKUP(BM1442,'Gebinde-Kategorie'!$A$5:$G$45,6,0)+0,0))</f>
        <v/>
      </c>
      <c r="R1442" s="60" t="n"/>
      <c r="S1442" s="61" t="n"/>
      <c r="T1442" s="61" t="n"/>
      <c r="U1442" s="53">
        <f>IF(A1442="","",IF(IFERROR(VLOOKUP(D1442,Parameter!$A$35:$C$64,2,0),"Nein")="2+3",IF(ISNUMBER(SEARCH("grosser Artikel",BJ1442)),2,IFERROR(VLOOKUP(BM1442,Parameter!$F$35:$G$64,2,0),2)),IF(OR(IFERROR(VLOOKUP(D1442,Parameter!$A$35:$C$64,2,0),"Nein")="Nein",IFERROR(VLOOKUP(D1442,Parameter!$A$35:$C$64,2,0),"Nein")=""),"-",VLOOKUP(D1442,Parameter!$A$35:$C$64,2,0))))</f>
        <v/>
      </c>
      <c r="V1442" s="61" t="n"/>
      <c r="W1442" s="62" t="n"/>
      <c r="X1442" s="55">
        <f>AM1442</f>
        <v/>
      </c>
      <c r="Y1442" s="55">
        <f>MAX(AM1442,G1442)</f>
        <v/>
      </c>
      <c r="Z1442" s="63" t="n"/>
      <c r="AA1442" s="55">
        <f>IF(LEFT(Cockpit!$C$5,1)="A",G1442,IF(BT1442=1,BU1442,IF(LEFT(Cockpit!$C$5,1)="B",AE1442,MAX(AE1442,G1442))))</f>
        <v/>
      </c>
      <c r="AB1442" s="55">
        <f>IF(BO1442=1,0,ROUNDUP(AA1442/BN1442,0))</f>
        <v/>
      </c>
      <c r="AC1442" s="64">
        <f>IF(BO1442=1,IF(AA1442&lt;=0,0,BP1442*MAX(1,IF(G1442&gt;0,AA1442/G1442,1))),AB1442*Q1442)</f>
        <v/>
      </c>
      <c r="AD1442" s="55">
        <f>AA1442*F1442</f>
        <v/>
      </c>
      <c r="AE1442" s="55">
        <f>ROUNDUP(MAX(I1442/IF(BS1442&gt;0,BS1442,MAX(0.1,N(Cockpit!$C$6))),BV1442)/BN1442,0)*BN1442</f>
        <v/>
      </c>
      <c r="AF1442" s="56">
        <f>IF(AC1442&gt;0,I1442/AC1442,-1)</f>
        <v/>
      </c>
      <c r="AG1442" s="56">
        <f>IF(AND(OR(BR1442="L1",BR1442="L23"),AC1442&gt;0),SUMIFS($AC$7:$AC$1570,$BR$7:$BR$1570,BR1442,$AF$7:$AF$1570,"&gt;"&amp;AF1442)+SUMIFS($AC$7:$AC$1570,$BR$7:$BR$1570,BR1442,$AF$7:$AF$1570,AF1442,$BL$7:$BL$1570,"&lt;="&amp;BL1442),"")</f>
        <v/>
      </c>
      <c r="AH1442" s="65">
        <f>IF(AG1442="",0,MAX(0,MIN(1,(IF(BR1442="L1",Parameter!$K$5,Parameter!$K$6+Parameter!$K$7)-(AG1442-AC1442))/AC1442)))</f>
        <v/>
      </c>
      <c r="AI1442" s="55">
        <f>IF(LEFT(Cockpit!$I$5,1)="A",G1442,IF(BT1442=1,BU1442,IF(LEFT(Cockpit!$I$5,1)="B",AM1442,MAX(AM1442,G1442))))</f>
        <v/>
      </c>
      <c r="AJ1442" s="55">
        <f>IF(BO1442=1,0,ROUNDUP(AI1442/BN1442,0))</f>
        <v/>
      </c>
      <c r="AK1442" s="64">
        <f>IF(BO1442=1,IF(AI1442&lt;=0,0,BP1442*MAX(1,IF(G1442&gt;0,AI1442/G1442,1))),AJ1442*Q1442)</f>
        <v/>
      </c>
      <c r="AL1442" s="55">
        <f>AI1442*F1442</f>
        <v/>
      </c>
      <c r="AM1442" s="55">
        <f>ROUNDUP(MAX(I1442/IF(BS1442&gt;0,BS1442,MAX(0.1,N(Cockpit!$I$6))),BV1442)/BN1442,0)*BN1442</f>
        <v/>
      </c>
      <c r="AN1442" s="56">
        <f>IF(AK1442&gt;0,I1442/AK1442,-1)</f>
        <v/>
      </c>
      <c r="AO1442" s="56">
        <f>IF(AND(OR(BR1442="L1",BR1442="L23"),AK1442&gt;0),SUMIFS($AK$7:$AK$1570,$BR$7:$BR$1570,BR1442,$AN$7:$AN$1570,"&gt;"&amp;AN1442)+SUMIFS($AK$7:$AK$1570,$BR$7:$BR$1570,BR1442,$AN$7:$AN$1570,AN1442,$BL$7:$BL$1570,"&lt;="&amp;BL1442),"")</f>
        <v/>
      </c>
      <c r="AP1442" s="65">
        <f>IF(AO1442="",0,MAX(0,MIN(1,(IF(BR1442="L1",Parameter!$K$5,Parameter!$K$6+Parameter!$K$7)-(AO1442-AK1442))/AK1442)))</f>
        <v/>
      </c>
      <c r="AQ1442" s="55">
        <f>IF(LEFT(Cockpit!$O$5,1)="A",G1442,IF(BT1442=1,BU1442,IF(LEFT(Cockpit!$O$5,1)="B",AU1442,MAX(AU1442,G1442))))</f>
        <v/>
      </c>
      <c r="AR1442" s="55">
        <f>IF(BO1442=1,0,ROUNDUP(AQ1442/BN1442,0))</f>
        <v/>
      </c>
      <c r="AS1442" s="64">
        <f>IF(BO1442=1,IF(AQ1442&lt;=0,0,BP1442*MAX(1,IF(G1442&gt;0,AQ1442/G1442,1))),AR1442*Q1442)</f>
        <v/>
      </c>
      <c r="AT1442" s="55">
        <f>AQ1442*F1442</f>
        <v/>
      </c>
      <c r="AU1442" s="55">
        <f>ROUNDUP(MAX(I1442/IF(BS1442&gt;0,BS1442,MAX(0.1,N(Cockpit!$O$6))),BV1442)/BN1442,0)*BN1442</f>
        <v/>
      </c>
      <c r="AV1442" s="56">
        <f>IF(AS1442&gt;0,I1442/AS1442,-1)</f>
        <v/>
      </c>
      <c r="AW1442" s="56">
        <f>IF(AND(OR(BR1442="L1",BR1442="L23"),AS1442&gt;0),SUMIFS($AS$7:$AS$1570,$BR$7:$BR$1570,BR1442,$AV$7:$AV$1570,"&gt;"&amp;AV1442)+SUMIFS($AS$7:$AS$1570,$BR$7:$BR$1570,BR1442,$AV$7:$AV$1570,AV1442,$BL$7:$BL$1570,"&lt;="&amp;BL1442),"")</f>
        <v/>
      </c>
      <c r="AX1442" s="65">
        <f>IF(AW1442="",0,MAX(0,MIN(1,(IF(BR1442="L1",Parameter!$K$5,Parameter!$K$6+Parameter!$K$7)-(AW1442-AS1442))/AS1442)))</f>
        <v/>
      </c>
      <c r="AY1442" s="53">
        <f>IF(AC1442&lt;=0,"",IF(BR1442="Aussen","Aussenlager",IF(BR1442="-","Nicht im Lift",IF(AH1442&gt;=1,"Lift",IF(AH1442&lt;=0,"Aussenlager","teilweise")))))</f>
        <v/>
      </c>
      <c r="AZ1442" s="53">
        <f>IF(AK1442&lt;=0,"",IF(BR1442="Aussen","Aussenlager",IF(BR1442="-","Nicht im Lift",IF(AP1442&gt;=1,"Lift",IF(AP1442&lt;=0,"Aussenlager","teilweise")))))</f>
        <v/>
      </c>
      <c r="BA1442" s="53">
        <f>IF(AS1442&lt;=0,"",IF(BR1442="Aussen","Aussenlager",IF(BR1442="-","Nicht im Lift",IF(AX1442&gt;=1,"Lift",IF(AX1442&lt;=0,"Aussenlager","teilweise")))))</f>
        <v/>
      </c>
      <c r="BB1442" s="53">
        <f>IF(A1442="","",IF(BK1442=1,"Neu; ","")&amp;IF(AND(BK1442=0,BF1442&lt;0),"negativer Bestand (Export "&amp;BF1442&amp;"); ","")&amp;IF(I1442&lt;=0,"Kein Verbrauch; ","")&amp;IF(BO1442=1,"Lose – Fläche geschätzt; ","")&amp;IF(G1442&gt;AM1442,"Überbestand "&amp;ROUND(G1442-AM1442,0)&amp;" Stk / CHF "&amp;ROUND((G1442-AM1442)*F1442,0)&amp;"; ","")&amp;IF(AND(BT1442=1,BU1442&lt;BV1442),"MAX &lt; MB+LG; ","")&amp;IF(AND(BZ1442&gt;0,BY1442*10&gt;BZ1442),"zu hoch für Tablar; ","")&amp;IF(AND(BK1442=0,OR(BT1442=1,V1442&lt;&gt;"",S1442&lt;&gt;"",T1442&lt;&gt;"",W1442&lt;&gt;"")),"manuell übersteuert; ","")&amp;IF(AND(BO1442=0,Q1442=0),"Gebinde unbekannt; ","")&amp;IF(AND(BO1442=0,N(T1442)&lt;=0,N(P1442)&lt;=0),"Menge pro Gebinde fehlt (Ist = 1 Gebinde); ","")&amp;BJ1442)</f>
        <v/>
      </c>
      <c r="BC1442" s="53" t="n"/>
      <c r="BD1442" s="53" t="n"/>
      <c r="BE1442" s="61" t="n"/>
      <c r="BF1442" s="55" t="n">
        <v>-6</v>
      </c>
      <c r="BG1442" s="55" t="n">
        <v>0</v>
      </c>
      <c r="BH1442" s="54" t="n">
        <v>-9049.02</v>
      </c>
      <c r="BI1442" s="55" t="n">
        <v>13</v>
      </c>
      <c r="BJ1442" s="53" t="inlineStr"/>
      <c r="BK1442" s="58" t="n">
        <v>0</v>
      </c>
      <c r="BL1442" s="58" t="n">
        <v>1442</v>
      </c>
      <c r="BM1442" s="53">
        <f>IF(S1442&lt;&gt;"",UPPER(TRIM(S1442)),IF(O1442="","LOSE",O1442))</f>
        <v/>
      </c>
      <c r="BN1442" s="55">
        <f>IF(BM1442="LOSE",1,IF(N(T1442)&gt;0,T1442,IF(N(P1442)&gt;0,P1442,MAX(1,G1442))))</f>
        <v/>
      </c>
      <c r="BO1442" s="58">
        <f>IF(BM1442="LOSE",1,0)</f>
        <v/>
      </c>
      <c r="BP1442" s="64">
        <f>IF(BO1442=0,0,IF(N(R1442)&gt;0,R1442,IFERROR(VLOOKUP(D1442,Parameter!$A$35:$C$64,3,0)+0,0)))</f>
        <v/>
      </c>
      <c r="BQ1442" s="53">
        <f>IF(V1442&lt;&gt;"",V1442,U1442)</f>
        <v/>
      </c>
      <c r="BR1442" s="53">
        <f>IF(BQ1442=1,"L1",IF(OR(BQ1442=2,BQ1442=3),"L23",IF(BQ1442="Aussen","Aussen","-")))</f>
        <v/>
      </c>
      <c r="BS1442" s="66">
        <f>IF(N(W1442)&gt;0,W1442,0)</f>
        <v/>
      </c>
      <c r="BT1442" s="58">
        <f>IF(ISNUMBER(Z1442),1,0)</f>
        <v/>
      </c>
      <c r="BU1442" s="55">
        <f>N(Z1442)</f>
        <v/>
      </c>
      <c r="BV1442" s="55">
        <f>N(L1442)+N(M1442)</f>
        <v/>
      </c>
      <c r="BW1442" s="55">
        <f>ROUNDUP(G1442/BN1442,0)</f>
        <v/>
      </c>
      <c r="BX1442" s="55">
        <f>ROUNDUP(BU1442/BN1442,0)</f>
        <v/>
      </c>
      <c r="BY1442" s="58">
        <f>IF(BO1442=1,0,IFERROR(VLOOKUP(BM1442,'Gebinde-Kategorie'!$A$5:$G$45,5,0)+0,0))</f>
        <v/>
      </c>
      <c r="BZ1442" s="58">
        <f>IFERROR(IF(OR(BQ1442=1,BQ1442=2,BQ1442=3),N(INDEX(Parameter!$I$5:$I$7,BQ1442)),0),0)</f>
        <v/>
      </c>
    </row>
    <row r="1443">
      <c r="A1443" s="53" t="inlineStr">
        <is>
          <t>110333</t>
        </is>
      </c>
      <c r="B1443" s="53" t="inlineStr">
        <is>
          <t>Drucktransmitter</t>
        </is>
      </c>
      <c r="C1443" s="53" t="inlineStr">
        <is>
          <t>G</t>
        </is>
      </c>
      <c r="D1443" s="53" t="inlineStr">
        <is>
          <t>PAL</t>
        </is>
      </c>
      <c r="E1443" s="53" t="inlineStr"/>
      <c r="F1443" s="54" t="n">
        <v>77.09</v>
      </c>
      <c r="G1443" s="55">
        <f>MAX(0,IF(Parameter!$B$20="Jahresanfang 2025 + Export",BG1443+BF1443,BF1443))</f>
        <v/>
      </c>
      <c r="H1443" s="55">
        <f>G1443*F1443</f>
        <v/>
      </c>
      <c r="I1443" s="55">
        <f>BI1443*Parameter!$B$18</f>
        <v/>
      </c>
      <c r="J1443" s="56" t="n"/>
      <c r="K1443" s="57" t="n"/>
      <c r="L1443" s="55" t="n">
        <v>0</v>
      </c>
      <c r="M1443" s="55" t="n">
        <v>1</v>
      </c>
      <c r="N1443" s="58" t="n"/>
      <c r="O1443" s="53" t="inlineStr">
        <is>
          <t>LOSE</t>
        </is>
      </c>
      <c r="P1443" s="55" t="n"/>
      <c r="Q1443" s="59">
        <f>IF(BO1443=1,0,IFERROR(VLOOKUP(BM1443,'Gebinde-Kategorie'!$A$5:$G$45,6,0)+0,0))</f>
        <v/>
      </c>
      <c r="R1443" s="60" t="n"/>
      <c r="S1443" s="61" t="n"/>
      <c r="T1443" s="61" t="n"/>
      <c r="U1443" s="53">
        <f>IF(A1443="","",IF(IFERROR(VLOOKUP(D1443,Parameter!$A$35:$C$64,2,0),"Nein")="2+3",IF(ISNUMBER(SEARCH("grosser Artikel",BJ1443)),2,IFERROR(VLOOKUP(BM1443,Parameter!$F$35:$G$64,2,0),2)),IF(OR(IFERROR(VLOOKUP(D1443,Parameter!$A$35:$C$64,2,0),"Nein")="Nein",IFERROR(VLOOKUP(D1443,Parameter!$A$35:$C$64,2,0),"Nein")=""),"-",VLOOKUP(D1443,Parameter!$A$35:$C$64,2,0))))</f>
        <v/>
      </c>
      <c r="V1443" s="61" t="n"/>
      <c r="W1443" s="62" t="n"/>
      <c r="X1443" s="55">
        <f>AM1443</f>
        <v/>
      </c>
      <c r="Y1443" s="55">
        <f>MAX(AM1443,G1443)</f>
        <v/>
      </c>
      <c r="Z1443" s="63" t="n"/>
      <c r="AA1443" s="55">
        <f>IF(LEFT(Cockpit!$C$5,1)="A",G1443,IF(BT1443=1,BU1443,IF(LEFT(Cockpit!$C$5,1)="B",AE1443,MAX(AE1443,G1443))))</f>
        <v/>
      </c>
      <c r="AB1443" s="55">
        <f>IF(BO1443=1,0,ROUNDUP(AA1443/BN1443,0))</f>
        <v/>
      </c>
      <c r="AC1443" s="64">
        <f>IF(BO1443=1,IF(AA1443&lt;=0,0,BP1443*MAX(1,IF(G1443&gt;0,AA1443/G1443,1))),AB1443*Q1443)</f>
        <v/>
      </c>
      <c r="AD1443" s="55">
        <f>AA1443*F1443</f>
        <v/>
      </c>
      <c r="AE1443" s="55">
        <f>ROUNDUP(MAX(I1443/IF(BS1443&gt;0,BS1443,MAX(0.1,N(Cockpit!$C$6))),BV1443)/BN1443,0)*BN1443</f>
        <v/>
      </c>
      <c r="AF1443" s="56">
        <f>IF(AC1443&gt;0,I1443/AC1443,-1)</f>
        <v/>
      </c>
      <c r="AG1443" s="56">
        <f>IF(AND(OR(BR1443="L1",BR1443="L23"),AC1443&gt;0),SUMIFS($AC$7:$AC$1570,$BR$7:$BR$1570,BR1443,$AF$7:$AF$1570,"&gt;"&amp;AF1443)+SUMIFS($AC$7:$AC$1570,$BR$7:$BR$1570,BR1443,$AF$7:$AF$1570,AF1443,$BL$7:$BL$1570,"&lt;="&amp;BL1443),"")</f>
        <v/>
      </c>
      <c r="AH1443" s="65">
        <f>IF(AG1443="",0,MAX(0,MIN(1,(IF(BR1443="L1",Parameter!$K$5,Parameter!$K$6+Parameter!$K$7)-(AG1443-AC1443))/AC1443)))</f>
        <v/>
      </c>
      <c r="AI1443" s="55">
        <f>IF(LEFT(Cockpit!$I$5,1)="A",G1443,IF(BT1443=1,BU1443,IF(LEFT(Cockpit!$I$5,1)="B",AM1443,MAX(AM1443,G1443))))</f>
        <v/>
      </c>
      <c r="AJ1443" s="55">
        <f>IF(BO1443=1,0,ROUNDUP(AI1443/BN1443,0))</f>
        <v/>
      </c>
      <c r="AK1443" s="64">
        <f>IF(BO1443=1,IF(AI1443&lt;=0,0,BP1443*MAX(1,IF(G1443&gt;0,AI1443/G1443,1))),AJ1443*Q1443)</f>
        <v/>
      </c>
      <c r="AL1443" s="55">
        <f>AI1443*F1443</f>
        <v/>
      </c>
      <c r="AM1443" s="55">
        <f>ROUNDUP(MAX(I1443/IF(BS1443&gt;0,BS1443,MAX(0.1,N(Cockpit!$I$6))),BV1443)/BN1443,0)*BN1443</f>
        <v/>
      </c>
      <c r="AN1443" s="56">
        <f>IF(AK1443&gt;0,I1443/AK1443,-1)</f>
        <v/>
      </c>
      <c r="AO1443" s="56">
        <f>IF(AND(OR(BR1443="L1",BR1443="L23"),AK1443&gt;0),SUMIFS($AK$7:$AK$1570,$BR$7:$BR$1570,BR1443,$AN$7:$AN$1570,"&gt;"&amp;AN1443)+SUMIFS($AK$7:$AK$1570,$BR$7:$BR$1570,BR1443,$AN$7:$AN$1570,AN1443,$BL$7:$BL$1570,"&lt;="&amp;BL1443),"")</f>
        <v/>
      </c>
      <c r="AP1443" s="65">
        <f>IF(AO1443="",0,MAX(0,MIN(1,(IF(BR1443="L1",Parameter!$K$5,Parameter!$K$6+Parameter!$K$7)-(AO1443-AK1443))/AK1443)))</f>
        <v/>
      </c>
      <c r="AQ1443" s="55">
        <f>IF(LEFT(Cockpit!$O$5,1)="A",G1443,IF(BT1443=1,BU1443,IF(LEFT(Cockpit!$O$5,1)="B",AU1443,MAX(AU1443,G1443))))</f>
        <v/>
      </c>
      <c r="AR1443" s="55">
        <f>IF(BO1443=1,0,ROUNDUP(AQ1443/BN1443,0))</f>
        <v/>
      </c>
      <c r="AS1443" s="64">
        <f>IF(BO1443=1,IF(AQ1443&lt;=0,0,BP1443*MAX(1,IF(G1443&gt;0,AQ1443/G1443,1))),AR1443*Q1443)</f>
        <v/>
      </c>
      <c r="AT1443" s="55">
        <f>AQ1443*F1443</f>
        <v/>
      </c>
      <c r="AU1443" s="55">
        <f>ROUNDUP(MAX(I1443/IF(BS1443&gt;0,BS1443,MAX(0.1,N(Cockpit!$O$6))),BV1443)/BN1443,0)*BN1443</f>
        <v/>
      </c>
      <c r="AV1443" s="56">
        <f>IF(AS1443&gt;0,I1443/AS1443,-1)</f>
        <v/>
      </c>
      <c r="AW1443" s="56">
        <f>IF(AND(OR(BR1443="L1",BR1443="L23"),AS1443&gt;0),SUMIFS($AS$7:$AS$1570,$BR$7:$BR$1570,BR1443,$AV$7:$AV$1570,"&gt;"&amp;AV1443)+SUMIFS($AS$7:$AS$1570,$BR$7:$BR$1570,BR1443,$AV$7:$AV$1570,AV1443,$BL$7:$BL$1570,"&lt;="&amp;BL1443),"")</f>
        <v/>
      </c>
      <c r="AX1443" s="65">
        <f>IF(AW1443="",0,MAX(0,MIN(1,(IF(BR1443="L1",Parameter!$K$5,Parameter!$K$6+Parameter!$K$7)-(AW1443-AS1443))/AS1443)))</f>
        <v/>
      </c>
      <c r="AY1443" s="53">
        <f>IF(AC1443&lt;=0,"",IF(BR1443="Aussen","Aussenlager",IF(BR1443="-","Nicht im Lift",IF(AH1443&gt;=1,"Lift",IF(AH1443&lt;=0,"Aussenlager","teilweise")))))</f>
        <v/>
      </c>
      <c r="AZ1443" s="53">
        <f>IF(AK1443&lt;=0,"",IF(BR1443="Aussen","Aussenlager",IF(BR1443="-","Nicht im Lift",IF(AP1443&gt;=1,"Lift",IF(AP1443&lt;=0,"Aussenlager","teilweise")))))</f>
        <v/>
      </c>
      <c r="BA1443" s="53">
        <f>IF(AS1443&lt;=0,"",IF(BR1443="Aussen","Aussenlager",IF(BR1443="-","Nicht im Lift",IF(AX1443&gt;=1,"Lift",IF(AX1443&lt;=0,"Aussenlager","teilweise")))))</f>
        <v/>
      </c>
      <c r="BB1443" s="53">
        <f>IF(A1443="","",IF(BK1443=1,"Neu; ","")&amp;IF(AND(BK1443=0,BF1443&lt;0),"negativer Bestand (Export "&amp;BF1443&amp;"); ","")&amp;IF(I1443&lt;=0,"Kein Verbrauch; ","")&amp;IF(BO1443=1,"Lose – Fläche geschätzt; ","")&amp;IF(G1443&gt;AM1443,"Überbestand "&amp;ROUND(G1443-AM1443,0)&amp;" Stk / CHF "&amp;ROUND((G1443-AM1443)*F1443,0)&amp;"; ","")&amp;IF(AND(BT1443=1,BU1443&lt;BV1443),"MAX &lt; MB+LG; ","")&amp;IF(AND(BZ1443&gt;0,BY1443*10&gt;BZ1443),"zu hoch für Tablar; ","")&amp;IF(AND(BK1443=0,OR(BT1443=1,V1443&lt;&gt;"",S1443&lt;&gt;"",T1443&lt;&gt;"",W1443&lt;&gt;"")),"manuell übersteuert; ","")&amp;IF(AND(BO1443=0,Q1443=0),"Gebinde unbekannt; ","")&amp;IF(AND(BO1443=0,N(T1443)&lt;=0,N(P1443)&lt;=0),"Menge pro Gebinde fehlt (Ist = 1 Gebinde); ","")&amp;BJ1443)</f>
        <v/>
      </c>
      <c r="BC1443" s="53" t="n"/>
      <c r="BD1443" s="53" t="n"/>
      <c r="BE1443" s="61" t="n"/>
      <c r="BF1443" s="55" t="n">
        <v>-124</v>
      </c>
      <c r="BG1443" s="55" t="n">
        <v>0</v>
      </c>
      <c r="BH1443" s="54" t="n">
        <v>-9566.600000000002</v>
      </c>
      <c r="BI1443" s="55" t="n">
        <v>53</v>
      </c>
      <c r="BJ1443" s="53" t="inlineStr"/>
      <c r="BK1443" s="58" t="n">
        <v>0</v>
      </c>
      <c r="BL1443" s="58" t="n">
        <v>1443</v>
      </c>
      <c r="BM1443" s="53">
        <f>IF(S1443&lt;&gt;"",UPPER(TRIM(S1443)),IF(O1443="","LOSE",O1443))</f>
        <v/>
      </c>
      <c r="BN1443" s="55">
        <f>IF(BM1443="LOSE",1,IF(N(T1443)&gt;0,T1443,IF(N(P1443)&gt;0,P1443,MAX(1,G1443))))</f>
        <v/>
      </c>
      <c r="BO1443" s="58">
        <f>IF(BM1443="LOSE",1,0)</f>
        <v/>
      </c>
      <c r="BP1443" s="64">
        <f>IF(BO1443=0,0,IF(N(R1443)&gt;0,R1443,IFERROR(VLOOKUP(D1443,Parameter!$A$35:$C$64,3,0)+0,0)))</f>
        <v/>
      </c>
      <c r="BQ1443" s="53">
        <f>IF(V1443&lt;&gt;"",V1443,U1443)</f>
        <v/>
      </c>
      <c r="BR1443" s="53">
        <f>IF(BQ1443=1,"L1",IF(OR(BQ1443=2,BQ1443=3),"L23",IF(BQ1443="Aussen","Aussen","-")))</f>
        <v/>
      </c>
      <c r="BS1443" s="66">
        <f>IF(N(W1443)&gt;0,W1443,0)</f>
        <v/>
      </c>
      <c r="BT1443" s="58">
        <f>IF(ISNUMBER(Z1443),1,0)</f>
        <v/>
      </c>
      <c r="BU1443" s="55">
        <f>N(Z1443)</f>
        <v/>
      </c>
      <c r="BV1443" s="55">
        <f>N(L1443)+N(M1443)</f>
        <v/>
      </c>
      <c r="BW1443" s="55">
        <f>ROUNDUP(G1443/BN1443,0)</f>
        <v/>
      </c>
      <c r="BX1443" s="55">
        <f>ROUNDUP(BU1443/BN1443,0)</f>
        <v/>
      </c>
      <c r="BY1443" s="58">
        <f>IF(BO1443=1,0,IFERROR(VLOOKUP(BM1443,'Gebinde-Kategorie'!$A$5:$G$45,5,0)+0,0))</f>
        <v/>
      </c>
      <c r="BZ1443" s="58">
        <f>IFERROR(IF(OR(BQ1443=1,BQ1443=2,BQ1443=3),N(INDEX(Parameter!$I$5:$I$7,BQ1443)),0),0)</f>
        <v/>
      </c>
    </row>
    <row r="1444">
      <c r="A1444" s="53" t="inlineStr">
        <is>
          <t>106076</t>
        </is>
      </c>
      <c r="B1444" s="53" t="inlineStr">
        <is>
          <t>Verbrennungszylinder EG10XL</t>
        </is>
      </c>
      <c r="C1444" s="53" t="inlineStr">
        <is>
          <t>F</t>
        </is>
      </c>
      <c r="D1444" s="53" t="inlineStr">
        <is>
          <t>PAL</t>
        </is>
      </c>
      <c r="E1444" s="53" t="inlineStr"/>
      <c r="F1444" s="54" t="n">
        <v>1459.89</v>
      </c>
      <c r="G1444" s="55">
        <f>MAX(0,IF(Parameter!$B$20="Jahresanfang 2025 + Export",BG1444+BF1444,BF1444))</f>
        <v/>
      </c>
      <c r="H1444" s="55">
        <f>G1444*F1444</f>
        <v/>
      </c>
      <c r="I1444" s="55">
        <f>BI1444*Parameter!$B$18</f>
        <v/>
      </c>
      <c r="J1444" s="56" t="n"/>
      <c r="K1444" s="57" t="n"/>
      <c r="L1444" s="55" t="n">
        <v>7</v>
      </c>
      <c r="M1444" s="55" t="n">
        <v>20</v>
      </c>
      <c r="N1444" s="58" t="n"/>
      <c r="O1444" s="53" t="inlineStr">
        <is>
          <t>S71</t>
        </is>
      </c>
      <c r="P1444" s="55" t="n">
        <v>4</v>
      </c>
      <c r="Q1444" s="59">
        <f>IF(BO1444=1,0,IFERROR(VLOOKUP(BM1444,'Gebinde-Kategorie'!$A$5:$G$45,6,0)+0,0))</f>
        <v/>
      </c>
      <c r="R1444" s="60" t="n"/>
      <c r="S1444" s="61" t="n"/>
      <c r="T1444" s="61" t="n"/>
      <c r="U1444" s="53">
        <f>IF(A1444="","",IF(IFERROR(VLOOKUP(D1444,Parameter!$A$35:$C$64,2,0),"Nein")="2+3",IF(ISNUMBER(SEARCH("grosser Artikel",BJ1444)),2,IFERROR(VLOOKUP(BM1444,Parameter!$F$35:$G$64,2,0),2)),IF(OR(IFERROR(VLOOKUP(D1444,Parameter!$A$35:$C$64,2,0),"Nein")="Nein",IFERROR(VLOOKUP(D1444,Parameter!$A$35:$C$64,2,0),"Nein")=""),"-",VLOOKUP(D1444,Parameter!$A$35:$C$64,2,0))))</f>
        <v/>
      </c>
      <c r="V1444" s="61" t="n"/>
      <c r="W1444" s="62" t="n"/>
      <c r="X1444" s="55">
        <f>AM1444</f>
        <v/>
      </c>
      <c r="Y1444" s="55">
        <f>MAX(AM1444,G1444)</f>
        <v/>
      </c>
      <c r="Z1444" s="63" t="n"/>
      <c r="AA1444" s="55">
        <f>IF(LEFT(Cockpit!$C$5,1)="A",G1444,IF(BT1444=1,BU1444,IF(LEFT(Cockpit!$C$5,1)="B",AE1444,MAX(AE1444,G1444))))</f>
        <v/>
      </c>
      <c r="AB1444" s="55">
        <f>IF(BO1444=1,0,ROUNDUP(AA1444/BN1444,0))</f>
        <v/>
      </c>
      <c r="AC1444" s="64">
        <f>IF(BO1444=1,IF(AA1444&lt;=0,0,BP1444*MAX(1,IF(G1444&gt;0,AA1444/G1444,1))),AB1444*Q1444)</f>
        <v/>
      </c>
      <c r="AD1444" s="55">
        <f>AA1444*F1444</f>
        <v/>
      </c>
      <c r="AE1444" s="55">
        <f>ROUNDUP(MAX(I1444/IF(BS1444&gt;0,BS1444,MAX(0.1,N(Cockpit!$C$6))),BV1444)/BN1444,0)*BN1444</f>
        <v/>
      </c>
      <c r="AF1444" s="56">
        <f>IF(AC1444&gt;0,I1444/AC1444,-1)</f>
        <v/>
      </c>
      <c r="AG1444" s="56">
        <f>IF(AND(OR(BR1444="L1",BR1444="L23"),AC1444&gt;0),SUMIFS($AC$7:$AC$1570,$BR$7:$BR$1570,BR1444,$AF$7:$AF$1570,"&gt;"&amp;AF1444)+SUMIFS($AC$7:$AC$1570,$BR$7:$BR$1570,BR1444,$AF$7:$AF$1570,AF1444,$BL$7:$BL$1570,"&lt;="&amp;BL1444),"")</f>
        <v/>
      </c>
      <c r="AH1444" s="65">
        <f>IF(AG1444="",0,MAX(0,MIN(1,(IF(BR1444="L1",Parameter!$K$5,Parameter!$K$6+Parameter!$K$7)-(AG1444-AC1444))/AC1444)))</f>
        <v/>
      </c>
      <c r="AI1444" s="55">
        <f>IF(LEFT(Cockpit!$I$5,1)="A",G1444,IF(BT1444=1,BU1444,IF(LEFT(Cockpit!$I$5,1)="B",AM1444,MAX(AM1444,G1444))))</f>
        <v/>
      </c>
      <c r="AJ1444" s="55">
        <f>IF(BO1444=1,0,ROUNDUP(AI1444/BN1444,0))</f>
        <v/>
      </c>
      <c r="AK1444" s="64">
        <f>IF(BO1444=1,IF(AI1444&lt;=0,0,BP1444*MAX(1,IF(G1444&gt;0,AI1444/G1444,1))),AJ1444*Q1444)</f>
        <v/>
      </c>
      <c r="AL1444" s="55">
        <f>AI1444*F1444</f>
        <v/>
      </c>
      <c r="AM1444" s="55">
        <f>ROUNDUP(MAX(I1444/IF(BS1444&gt;0,BS1444,MAX(0.1,N(Cockpit!$I$6))),BV1444)/BN1444,0)*BN1444</f>
        <v/>
      </c>
      <c r="AN1444" s="56">
        <f>IF(AK1444&gt;0,I1444/AK1444,-1)</f>
        <v/>
      </c>
      <c r="AO1444" s="56">
        <f>IF(AND(OR(BR1444="L1",BR1444="L23"),AK1444&gt;0),SUMIFS($AK$7:$AK$1570,$BR$7:$BR$1570,BR1444,$AN$7:$AN$1570,"&gt;"&amp;AN1444)+SUMIFS($AK$7:$AK$1570,$BR$7:$BR$1570,BR1444,$AN$7:$AN$1570,AN1444,$BL$7:$BL$1570,"&lt;="&amp;BL1444),"")</f>
        <v/>
      </c>
      <c r="AP1444" s="65">
        <f>IF(AO1444="",0,MAX(0,MIN(1,(IF(BR1444="L1",Parameter!$K$5,Parameter!$K$6+Parameter!$K$7)-(AO1444-AK1444))/AK1444)))</f>
        <v/>
      </c>
      <c r="AQ1444" s="55">
        <f>IF(LEFT(Cockpit!$O$5,1)="A",G1444,IF(BT1444=1,BU1444,IF(LEFT(Cockpit!$O$5,1)="B",AU1444,MAX(AU1444,G1444))))</f>
        <v/>
      </c>
      <c r="AR1444" s="55">
        <f>IF(BO1444=1,0,ROUNDUP(AQ1444/BN1444,0))</f>
        <v/>
      </c>
      <c r="AS1444" s="64">
        <f>IF(BO1444=1,IF(AQ1444&lt;=0,0,BP1444*MAX(1,IF(G1444&gt;0,AQ1444/G1444,1))),AR1444*Q1444)</f>
        <v/>
      </c>
      <c r="AT1444" s="55">
        <f>AQ1444*F1444</f>
        <v/>
      </c>
      <c r="AU1444" s="55">
        <f>ROUNDUP(MAX(I1444/IF(BS1444&gt;0,BS1444,MAX(0.1,N(Cockpit!$O$6))),BV1444)/BN1444,0)*BN1444</f>
        <v/>
      </c>
      <c r="AV1444" s="56">
        <f>IF(AS1444&gt;0,I1444/AS1444,-1)</f>
        <v/>
      </c>
      <c r="AW1444" s="56">
        <f>IF(AND(OR(BR1444="L1",BR1444="L23"),AS1444&gt;0),SUMIFS($AS$7:$AS$1570,$BR$7:$BR$1570,BR1444,$AV$7:$AV$1570,"&gt;"&amp;AV1444)+SUMIFS($AS$7:$AS$1570,$BR$7:$BR$1570,BR1444,$AV$7:$AV$1570,AV1444,$BL$7:$BL$1570,"&lt;="&amp;BL1444),"")</f>
        <v/>
      </c>
      <c r="AX1444" s="65">
        <f>IF(AW1444="",0,MAX(0,MIN(1,(IF(BR1444="L1",Parameter!$K$5,Parameter!$K$6+Parameter!$K$7)-(AW1444-AS1444))/AS1444)))</f>
        <v/>
      </c>
      <c r="AY1444" s="53">
        <f>IF(AC1444&lt;=0,"",IF(BR1444="Aussen","Aussenlager",IF(BR1444="-","Nicht im Lift",IF(AH1444&gt;=1,"Lift",IF(AH1444&lt;=0,"Aussenlager","teilweise")))))</f>
        <v/>
      </c>
      <c r="AZ1444" s="53">
        <f>IF(AK1444&lt;=0,"",IF(BR1444="Aussen","Aussenlager",IF(BR1444="-","Nicht im Lift",IF(AP1444&gt;=1,"Lift",IF(AP1444&lt;=0,"Aussenlager","teilweise")))))</f>
        <v/>
      </c>
      <c r="BA1444" s="53">
        <f>IF(AS1444&lt;=0,"",IF(BR1444="Aussen","Aussenlager",IF(BR1444="-","Nicht im Lift",IF(AX1444&gt;=1,"Lift",IF(AX1444&lt;=0,"Aussenlager","teilweise")))))</f>
        <v/>
      </c>
      <c r="BB1444" s="53">
        <f>IF(A1444="","",IF(BK1444=1,"Neu; ","")&amp;IF(AND(BK1444=0,BF1444&lt;0),"negativer Bestand (Export "&amp;BF1444&amp;"); ","")&amp;IF(I1444&lt;=0,"Kein Verbrauch; ","")&amp;IF(BO1444=1,"Lose – Fläche geschätzt; ","")&amp;IF(G1444&gt;AM1444,"Überbestand "&amp;ROUND(G1444-AM1444,0)&amp;" Stk / CHF "&amp;ROUND((G1444-AM1444)*F1444,0)&amp;"; ","")&amp;IF(AND(BT1444=1,BU1444&lt;BV1444),"MAX &lt; MB+LG; ","")&amp;IF(AND(BZ1444&gt;0,BY1444*10&gt;BZ1444),"zu hoch für Tablar; ","")&amp;IF(AND(BK1444=0,OR(BT1444=1,V1444&lt;&gt;"",S1444&lt;&gt;"",T1444&lt;&gt;"",W1444&lt;&gt;"")),"manuell übersteuert; ","")&amp;IF(AND(BO1444=0,Q1444=0),"Gebinde unbekannt; ","")&amp;IF(AND(BO1444=0,N(T1444)&lt;=0,N(P1444)&lt;=0),"Menge pro Gebinde fehlt (Ist = 1 Gebinde); ","")&amp;BJ1444)</f>
        <v/>
      </c>
      <c r="BC1444" s="53" t="n"/>
      <c r="BD1444" s="53" t="n"/>
      <c r="BE1444" s="61" t="n"/>
      <c r="BF1444" s="55" t="n">
        <v>-7</v>
      </c>
      <c r="BG1444" s="55" t="n">
        <v>0</v>
      </c>
      <c r="BH1444" s="54" t="n">
        <v>-9808.889999999941</v>
      </c>
      <c r="BI1444" s="55" t="n">
        <v>125</v>
      </c>
      <c r="BJ1444" s="53" t="inlineStr"/>
      <c r="BK1444" s="58" t="n">
        <v>0</v>
      </c>
      <c r="BL1444" s="58" t="n">
        <v>1444</v>
      </c>
      <c r="BM1444" s="53">
        <f>IF(S1444&lt;&gt;"",UPPER(TRIM(S1444)),IF(O1444="","LOSE",O1444))</f>
        <v/>
      </c>
      <c r="BN1444" s="55">
        <f>IF(BM1444="LOSE",1,IF(N(T1444)&gt;0,T1444,IF(N(P1444)&gt;0,P1444,MAX(1,G1444))))</f>
        <v/>
      </c>
      <c r="BO1444" s="58">
        <f>IF(BM1444="LOSE",1,0)</f>
        <v/>
      </c>
      <c r="BP1444" s="64">
        <f>IF(BO1444=0,0,IF(N(R1444)&gt;0,R1444,IFERROR(VLOOKUP(D1444,Parameter!$A$35:$C$64,3,0)+0,0)))</f>
        <v/>
      </c>
      <c r="BQ1444" s="53">
        <f>IF(V1444&lt;&gt;"",V1444,U1444)</f>
        <v/>
      </c>
      <c r="BR1444" s="53">
        <f>IF(BQ1444=1,"L1",IF(OR(BQ1444=2,BQ1444=3),"L23",IF(BQ1444="Aussen","Aussen","-")))</f>
        <v/>
      </c>
      <c r="BS1444" s="66">
        <f>IF(N(W1444)&gt;0,W1444,0)</f>
        <v/>
      </c>
      <c r="BT1444" s="58">
        <f>IF(ISNUMBER(Z1444),1,0)</f>
        <v/>
      </c>
      <c r="BU1444" s="55">
        <f>N(Z1444)</f>
        <v/>
      </c>
      <c r="BV1444" s="55">
        <f>N(L1444)+N(M1444)</f>
        <v/>
      </c>
      <c r="BW1444" s="55">
        <f>ROUNDUP(G1444/BN1444,0)</f>
        <v/>
      </c>
      <c r="BX1444" s="55">
        <f>ROUNDUP(BU1444/BN1444,0)</f>
        <v/>
      </c>
      <c r="BY1444" s="58">
        <f>IF(BO1444=1,0,IFERROR(VLOOKUP(BM1444,'Gebinde-Kategorie'!$A$5:$G$45,5,0)+0,0))</f>
        <v/>
      </c>
      <c r="BZ1444" s="58">
        <f>IFERROR(IF(OR(BQ1444=1,BQ1444=2,BQ1444=3),N(INDEX(Parameter!$I$5:$I$7,BQ1444)),0),0)</f>
        <v/>
      </c>
    </row>
    <row r="1445">
      <c r="A1445" s="53" t="inlineStr">
        <is>
          <t>106798</t>
        </is>
      </c>
      <c r="B1445" s="53" t="inlineStr">
        <is>
          <t>Druckregelstrecke Luft</t>
        </is>
      </c>
      <c r="C1445" s="53" t="inlineStr">
        <is>
          <t>G</t>
        </is>
      </c>
      <c r="D1445" s="53" t="inlineStr">
        <is>
          <t>PAL</t>
        </is>
      </c>
      <c r="E1445" s="53" t="inlineStr"/>
      <c r="F1445" s="54" t="n">
        <v>3326.28</v>
      </c>
      <c r="G1445" s="55">
        <f>MAX(0,IF(Parameter!$B$20="Jahresanfang 2025 + Export",BG1445+BF1445,BF1445))</f>
        <v/>
      </c>
      <c r="H1445" s="55">
        <f>G1445*F1445</f>
        <v/>
      </c>
      <c r="I1445" s="55">
        <f>BI1445*Parameter!$B$18</f>
        <v/>
      </c>
      <c r="J1445" s="56" t="n"/>
      <c r="K1445" s="57" t="n"/>
      <c r="L1445" s="55" t="n">
        <v>0</v>
      </c>
      <c r="M1445" s="55" t="n">
        <v>1</v>
      </c>
      <c r="N1445" s="58" t="n"/>
      <c r="O1445" s="53" t="inlineStr">
        <is>
          <t>LOSE</t>
        </is>
      </c>
      <c r="P1445" s="55" t="n"/>
      <c r="Q1445" s="59">
        <f>IF(BO1445=1,0,IFERROR(VLOOKUP(BM1445,'Gebinde-Kategorie'!$A$5:$G$45,6,0)+0,0))</f>
        <v/>
      </c>
      <c r="R1445" s="60" t="n"/>
      <c r="S1445" s="61" t="n"/>
      <c r="T1445" s="61" t="n"/>
      <c r="U1445" s="53">
        <f>IF(A1445="","",IF(IFERROR(VLOOKUP(D1445,Parameter!$A$35:$C$64,2,0),"Nein")="2+3",IF(ISNUMBER(SEARCH("grosser Artikel",BJ1445)),2,IFERROR(VLOOKUP(BM1445,Parameter!$F$35:$G$64,2,0),2)),IF(OR(IFERROR(VLOOKUP(D1445,Parameter!$A$35:$C$64,2,0),"Nein")="Nein",IFERROR(VLOOKUP(D1445,Parameter!$A$35:$C$64,2,0),"Nein")=""),"-",VLOOKUP(D1445,Parameter!$A$35:$C$64,2,0))))</f>
        <v/>
      </c>
      <c r="V1445" s="61" t="n"/>
      <c r="W1445" s="62" t="n"/>
      <c r="X1445" s="55">
        <f>AM1445</f>
        <v/>
      </c>
      <c r="Y1445" s="55">
        <f>MAX(AM1445,G1445)</f>
        <v/>
      </c>
      <c r="Z1445" s="63" t="n"/>
      <c r="AA1445" s="55">
        <f>IF(LEFT(Cockpit!$C$5,1)="A",G1445,IF(BT1445=1,BU1445,IF(LEFT(Cockpit!$C$5,1)="B",AE1445,MAX(AE1445,G1445))))</f>
        <v/>
      </c>
      <c r="AB1445" s="55">
        <f>IF(BO1445=1,0,ROUNDUP(AA1445/BN1445,0))</f>
        <v/>
      </c>
      <c r="AC1445" s="64">
        <f>IF(BO1445=1,IF(AA1445&lt;=0,0,BP1445*MAX(1,IF(G1445&gt;0,AA1445/G1445,1))),AB1445*Q1445)</f>
        <v/>
      </c>
      <c r="AD1445" s="55">
        <f>AA1445*F1445</f>
        <v/>
      </c>
      <c r="AE1445" s="55">
        <f>ROUNDUP(MAX(I1445/IF(BS1445&gt;0,BS1445,MAX(0.1,N(Cockpit!$C$6))),BV1445)/BN1445,0)*BN1445</f>
        <v/>
      </c>
      <c r="AF1445" s="56">
        <f>IF(AC1445&gt;0,I1445/AC1445,-1)</f>
        <v/>
      </c>
      <c r="AG1445" s="56">
        <f>IF(AND(OR(BR1445="L1",BR1445="L23"),AC1445&gt;0),SUMIFS($AC$7:$AC$1570,$BR$7:$BR$1570,BR1445,$AF$7:$AF$1570,"&gt;"&amp;AF1445)+SUMIFS($AC$7:$AC$1570,$BR$7:$BR$1570,BR1445,$AF$7:$AF$1570,AF1445,$BL$7:$BL$1570,"&lt;="&amp;BL1445),"")</f>
        <v/>
      </c>
      <c r="AH1445" s="65">
        <f>IF(AG1445="",0,MAX(0,MIN(1,(IF(BR1445="L1",Parameter!$K$5,Parameter!$K$6+Parameter!$K$7)-(AG1445-AC1445))/AC1445)))</f>
        <v/>
      </c>
      <c r="AI1445" s="55">
        <f>IF(LEFT(Cockpit!$I$5,1)="A",G1445,IF(BT1445=1,BU1445,IF(LEFT(Cockpit!$I$5,1)="B",AM1445,MAX(AM1445,G1445))))</f>
        <v/>
      </c>
      <c r="AJ1445" s="55">
        <f>IF(BO1445=1,0,ROUNDUP(AI1445/BN1445,0))</f>
        <v/>
      </c>
      <c r="AK1445" s="64">
        <f>IF(BO1445=1,IF(AI1445&lt;=0,0,BP1445*MAX(1,IF(G1445&gt;0,AI1445/G1445,1))),AJ1445*Q1445)</f>
        <v/>
      </c>
      <c r="AL1445" s="55">
        <f>AI1445*F1445</f>
        <v/>
      </c>
      <c r="AM1445" s="55">
        <f>ROUNDUP(MAX(I1445/IF(BS1445&gt;0,BS1445,MAX(0.1,N(Cockpit!$I$6))),BV1445)/BN1445,0)*BN1445</f>
        <v/>
      </c>
      <c r="AN1445" s="56">
        <f>IF(AK1445&gt;0,I1445/AK1445,-1)</f>
        <v/>
      </c>
      <c r="AO1445" s="56">
        <f>IF(AND(OR(BR1445="L1",BR1445="L23"),AK1445&gt;0),SUMIFS($AK$7:$AK$1570,$BR$7:$BR$1570,BR1445,$AN$7:$AN$1570,"&gt;"&amp;AN1445)+SUMIFS($AK$7:$AK$1570,$BR$7:$BR$1570,BR1445,$AN$7:$AN$1570,AN1445,$BL$7:$BL$1570,"&lt;="&amp;BL1445),"")</f>
        <v/>
      </c>
      <c r="AP1445" s="65">
        <f>IF(AO1445="",0,MAX(0,MIN(1,(IF(BR1445="L1",Parameter!$K$5,Parameter!$K$6+Parameter!$K$7)-(AO1445-AK1445))/AK1445)))</f>
        <v/>
      </c>
      <c r="AQ1445" s="55">
        <f>IF(LEFT(Cockpit!$O$5,1)="A",G1445,IF(BT1445=1,BU1445,IF(LEFT(Cockpit!$O$5,1)="B",AU1445,MAX(AU1445,G1445))))</f>
        <v/>
      </c>
      <c r="AR1445" s="55">
        <f>IF(BO1445=1,0,ROUNDUP(AQ1445/BN1445,0))</f>
        <v/>
      </c>
      <c r="AS1445" s="64">
        <f>IF(BO1445=1,IF(AQ1445&lt;=0,0,BP1445*MAX(1,IF(G1445&gt;0,AQ1445/G1445,1))),AR1445*Q1445)</f>
        <v/>
      </c>
      <c r="AT1445" s="55">
        <f>AQ1445*F1445</f>
        <v/>
      </c>
      <c r="AU1445" s="55">
        <f>ROUNDUP(MAX(I1445/IF(BS1445&gt;0,BS1445,MAX(0.1,N(Cockpit!$O$6))),BV1445)/BN1445,0)*BN1445</f>
        <v/>
      </c>
      <c r="AV1445" s="56">
        <f>IF(AS1445&gt;0,I1445/AS1445,-1)</f>
        <v/>
      </c>
      <c r="AW1445" s="56">
        <f>IF(AND(OR(BR1445="L1",BR1445="L23"),AS1445&gt;0),SUMIFS($AS$7:$AS$1570,$BR$7:$BR$1570,BR1445,$AV$7:$AV$1570,"&gt;"&amp;AV1445)+SUMIFS($AS$7:$AS$1570,$BR$7:$BR$1570,BR1445,$AV$7:$AV$1570,AV1445,$BL$7:$BL$1570,"&lt;="&amp;BL1445),"")</f>
        <v/>
      </c>
      <c r="AX1445" s="65">
        <f>IF(AW1445="",0,MAX(0,MIN(1,(IF(BR1445="L1",Parameter!$K$5,Parameter!$K$6+Parameter!$K$7)-(AW1445-AS1445))/AS1445)))</f>
        <v/>
      </c>
      <c r="AY1445" s="53">
        <f>IF(AC1445&lt;=0,"",IF(BR1445="Aussen","Aussenlager",IF(BR1445="-","Nicht im Lift",IF(AH1445&gt;=1,"Lift",IF(AH1445&lt;=0,"Aussenlager","teilweise")))))</f>
        <v/>
      </c>
      <c r="AZ1445" s="53">
        <f>IF(AK1445&lt;=0,"",IF(BR1445="Aussen","Aussenlager",IF(BR1445="-","Nicht im Lift",IF(AP1445&gt;=1,"Lift",IF(AP1445&lt;=0,"Aussenlager","teilweise")))))</f>
        <v/>
      </c>
      <c r="BA1445" s="53">
        <f>IF(AS1445&lt;=0,"",IF(BR1445="Aussen","Aussenlager",IF(BR1445="-","Nicht im Lift",IF(AX1445&gt;=1,"Lift",IF(AX1445&lt;=0,"Aussenlager","teilweise")))))</f>
        <v/>
      </c>
      <c r="BB1445" s="53">
        <f>IF(A1445="","",IF(BK1445=1,"Neu; ","")&amp;IF(AND(BK1445=0,BF1445&lt;0),"negativer Bestand (Export "&amp;BF1445&amp;"); ","")&amp;IF(I1445&lt;=0,"Kein Verbrauch; ","")&amp;IF(BO1445=1,"Lose – Fläche geschätzt; ","")&amp;IF(G1445&gt;AM1445,"Überbestand "&amp;ROUND(G1445-AM1445,0)&amp;" Stk / CHF "&amp;ROUND((G1445-AM1445)*F1445,0)&amp;"; ","")&amp;IF(AND(BT1445=1,BU1445&lt;BV1445),"MAX &lt; MB+LG; ","")&amp;IF(AND(BZ1445&gt;0,BY1445*10&gt;BZ1445),"zu hoch für Tablar; ","")&amp;IF(AND(BK1445=0,OR(BT1445=1,V1445&lt;&gt;"",S1445&lt;&gt;"",T1445&lt;&gt;"",W1445&lt;&gt;"")),"manuell übersteuert; ","")&amp;IF(AND(BO1445=0,Q1445=0),"Gebinde unbekannt; ","")&amp;IF(AND(BO1445=0,N(T1445)&lt;=0,N(P1445)&lt;=0),"Menge pro Gebinde fehlt (Ist = 1 Gebinde); ","")&amp;BJ1445)</f>
        <v/>
      </c>
      <c r="BC1445" s="53" t="n"/>
      <c r="BD1445" s="53" t="n"/>
      <c r="BE1445" s="61" t="n"/>
      <c r="BF1445" s="55" t="n">
        <v>-3</v>
      </c>
      <c r="BG1445" s="55" t="n">
        <v>0</v>
      </c>
      <c r="BH1445" s="54" t="n">
        <v>-9978.84</v>
      </c>
      <c r="BI1445" s="55" t="n">
        <v>0</v>
      </c>
      <c r="BJ1445" s="53" t="inlineStr"/>
      <c r="BK1445" s="58" t="n">
        <v>0</v>
      </c>
      <c r="BL1445" s="58" t="n">
        <v>1445</v>
      </c>
      <c r="BM1445" s="53">
        <f>IF(S1445&lt;&gt;"",UPPER(TRIM(S1445)),IF(O1445="","LOSE",O1445))</f>
        <v/>
      </c>
      <c r="BN1445" s="55">
        <f>IF(BM1445="LOSE",1,IF(N(T1445)&gt;0,T1445,IF(N(P1445)&gt;0,P1445,MAX(1,G1445))))</f>
        <v/>
      </c>
      <c r="BO1445" s="58">
        <f>IF(BM1445="LOSE",1,0)</f>
        <v/>
      </c>
      <c r="BP1445" s="64">
        <f>IF(BO1445=0,0,IF(N(R1445)&gt;0,R1445,IFERROR(VLOOKUP(D1445,Parameter!$A$35:$C$64,3,0)+0,0)))</f>
        <v/>
      </c>
      <c r="BQ1445" s="53">
        <f>IF(V1445&lt;&gt;"",V1445,U1445)</f>
        <v/>
      </c>
      <c r="BR1445" s="53">
        <f>IF(BQ1445=1,"L1",IF(OR(BQ1445=2,BQ1445=3),"L23",IF(BQ1445="Aussen","Aussen","-")))</f>
        <v/>
      </c>
      <c r="BS1445" s="66">
        <f>IF(N(W1445)&gt;0,W1445,0)</f>
        <v/>
      </c>
      <c r="BT1445" s="58">
        <f>IF(ISNUMBER(Z1445),1,0)</f>
        <v/>
      </c>
      <c r="BU1445" s="55">
        <f>N(Z1445)</f>
        <v/>
      </c>
      <c r="BV1445" s="55">
        <f>N(L1445)+N(M1445)</f>
        <v/>
      </c>
      <c r="BW1445" s="55">
        <f>ROUNDUP(G1445/BN1445,0)</f>
        <v/>
      </c>
      <c r="BX1445" s="55">
        <f>ROUNDUP(BU1445/BN1445,0)</f>
        <v/>
      </c>
      <c r="BY1445" s="58">
        <f>IF(BO1445=1,0,IFERROR(VLOOKUP(BM1445,'Gebinde-Kategorie'!$A$5:$G$45,5,0)+0,0))</f>
        <v/>
      </c>
      <c r="BZ1445" s="58">
        <f>IFERROR(IF(OR(BQ1445=1,BQ1445=2,BQ1445=3),N(INDEX(Parameter!$I$5:$I$7,BQ1445)),0),0)</f>
        <v/>
      </c>
    </row>
    <row r="1446">
      <c r="A1446" s="53" t="inlineStr">
        <is>
          <t>109094</t>
        </is>
      </c>
      <c r="B1446" s="53" t="inlineStr">
        <is>
          <t>Rückschlagventil</t>
        </is>
      </c>
      <c r="C1446" s="53" t="inlineStr">
        <is>
          <t>F</t>
        </is>
      </c>
      <c r="D1446" s="53" t="inlineStr">
        <is>
          <t>KTL</t>
        </is>
      </c>
      <c r="E1446" s="53" t="inlineStr"/>
      <c r="F1446" s="54" t="n">
        <v>52.49</v>
      </c>
      <c r="G1446" s="55">
        <f>MAX(0,IF(Parameter!$B$20="Jahresanfang 2025 + Export",BG1446+BF1446,BF1446))</f>
        <v/>
      </c>
      <c r="H1446" s="55">
        <f>G1446*F1446</f>
        <v/>
      </c>
      <c r="I1446" s="55">
        <f>BI1446*Parameter!$B$18</f>
        <v/>
      </c>
      <c r="J1446" s="56" t="n"/>
      <c r="K1446" s="57" t="n"/>
      <c r="L1446" s="55" t="n">
        <v>50</v>
      </c>
      <c r="M1446" s="55" t="n">
        <v>100</v>
      </c>
      <c r="N1446" s="58" t="n"/>
      <c r="O1446" s="53" t="inlineStr">
        <is>
          <t>S62</t>
        </is>
      </c>
      <c r="P1446" s="55" t="n">
        <v>430</v>
      </c>
      <c r="Q1446" s="59">
        <f>IF(BO1446=1,0,IFERROR(VLOOKUP(BM1446,'Gebinde-Kategorie'!$A$5:$G$45,6,0)+0,0))</f>
        <v/>
      </c>
      <c r="R1446" s="60" t="n"/>
      <c r="S1446" s="61" t="n"/>
      <c r="T1446" s="61" t="n"/>
      <c r="U1446" s="53">
        <f>IF(A1446="","",IF(IFERROR(VLOOKUP(D1446,Parameter!$A$35:$C$64,2,0),"Nein")="2+3",IF(ISNUMBER(SEARCH("grosser Artikel",BJ1446)),2,IFERROR(VLOOKUP(BM1446,Parameter!$F$35:$G$64,2,0),2)),IF(OR(IFERROR(VLOOKUP(D1446,Parameter!$A$35:$C$64,2,0),"Nein")="Nein",IFERROR(VLOOKUP(D1446,Parameter!$A$35:$C$64,2,0),"Nein")=""),"-",VLOOKUP(D1446,Parameter!$A$35:$C$64,2,0))))</f>
        <v/>
      </c>
      <c r="V1446" s="61" t="n"/>
      <c r="W1446" s="62" t="n"/>
      <c r="X1446" s="55">
        <f>AM1446</f>
        <v/>
      </c>
      <c r="Y1446" s="55">
        <f>MAX(AM1446,G1446)</f>
        <v/>
      </c>
      <c r="Z1446" s="63" t="n"/>
      <c r="AA1446" s="55">
        <f>IF(LEFT(Cockpit!$C$5,1)="A",G1446,IF(BT1446=1,BU1446,IF(LEFT(Cockpit!$C$5,1)="B",AE1446,MAX(AE1446,G1446))))</f>
        <v/>
      </c>
      <c r="AB1446" s="55">
        <f>IF(BO1446=1,0,ROUNDUP(AA1446/BN1446,0))</f>
        <v/>
      </c>
      <c r="AC1446" s="64">
        <f>IF(BO1446=1,IF(AA1446&lt;=0,0,BP1446*MAX(1,IF(G1446&gt;0,AA1446/G1446,1))),AB1446*Q1446)</f>
        <v/>
      </c>
      <c r="AD1446" s="55">
        <f>AA1446*F1446</f>
        <v/>
      </c>
      <c r="AE1446" s="55">
        <f>ROUNDUP(MAX(I1446/IF(BS1446&gt;0,BS1446,MAX(0.1,N(Cockpit!$C$6))),BV1446)/BN1446,0)*BN1446</f>
        <v/>
      </c>
      <c r="AF1446" s="56">
        <f>IF(AC1446&gt;0,I1446/AC1446,-1)</f>
        <v/>
      </c>
      <c r="AG1446" s="56">
        <f>IF(AND(OR(BR1446="L1",BR1446="L23"),AC1446&gt;0),SUMIFS($AC$7:$AC$1570,$BR$7:$BR$1570,BR1446,$AF$7:$AF$1570,"&gt;"&amp;AF1446)+SUMIFS($AC$7:$AC$1570,$BR$7:$BR$1570,BR1446,$AF$7:$AF$1570,AF1446,$BL$7:$BL$1570,"&lt;="&amp;BL1446),"")</f>
        <v/>
      </c>
      <c r="AH1446" s="65">
        <f>IF(AG1446="",0,MAX(0,MIN(1,(IF(BR1446="L1",Parameter!$K$5,Parameter!$K$6+Parameter!$K$7)-(AG1446-AC1446))/AC1446)))</f>
        <v/>
      </c>
      <c r="AI1446" s="55">
        <f>IF(LEFT(Cockpit!$I$5,1)="A",G1446,IF(BT1446=1,BU1446,IF(LEFT(Cockpit!$I$5,1)="B",AM1446,MAX(AM1446,G1446))))</f>
        <v/>
      </c>
      <c r="AJ1446" s="55">
        <f>IF(BO1446=1,0,ROUNDUP(AI1446/BN1446,0))</f>
        <v/>
      </c>
      <c r="AK1446" s="64">
        <f>IF(BO1446=1,IF(AI1446&lt;=0,0,BP1446*MAX(1,IF(G1446&gt;0,AI1446/G1446,1))),AJ1446*Q1446)</f>
        <v/>
      </c>
      <c r="AL1446" s="55">
        <f>AI1446*F1446</f>
        <v/>
      </c>
      <c r="AM1446" s="55">
        <f>ROUNDUP(MAX(I1446/IF(BS1446&gt;0,BS1446,MAX(0.1,N(Cockpit!$I$6))),BV1446)/BN1446,0)*BN1446</f>
        <v/>
      </c>
      <c r="AN1446" s="56">
        <f>IF(AK1446&gt;0,I1446/AK1446,-1)</f>
        <v/>
      </c>
      <c r="AO1446" s="56">
        <f>IF(AND(OR(BR1446="L1",BR1446="L23"),AK1446&gt;0),SUMIFS($AK$7:$AK$1570,$BR$7:$BR$1570,BR1446,$AN$7:$AN$1570,"&gt;"&amp;AN1446)+SUMIFS($AK$7:$AK$1570,$BR$7:$BR$1570,BR1446,$AN$7:$AN$1570,AN1446,$BL$7:$BL$1570,"&lt;="&amp;BL1446),"")</f>
        <v/>
      </c>
      <c r="AP1446" s="65">
        <f>IF(AO1446="",0,MAX(0,MIN(1,(IF(BR1446="L1",Parameter!$K$5,Parameter!$K$6+Parameter!$K$7)-(AO1446-AK1446))/AK1446)))</f>
        <v/>
      </c>
      <c r="AQ1446" s="55">
        <f>IF(LEFT(Cockpit!$O$5,1)="A",G1446,IF(BT1446=1,BU1446,IF(LEFT(Cockpit!$O$5,1)="B",AU1446,MAX(AU1446,G1446))))</f>
        <v/>
      </c>
      <c r="AR1446" s="55">
        <f>IF(BO1446=1,0,ROUNDUP(AQ1446/BN1446,0))</f>
        <v/>
      </c>
      <c r="AS1446" s="64">
        <f>IF(BO1446=1,IF(AQ1446&lt;=0,0,BP1446*MAX(1,IF(G1446&gt;0,AQ1446/G1446,1))),AR1446*Q1446)</f>
        <v/>
      </c>
      <c r="AT1446" s="55">
        <f>AQ1446*F1446</f>
        <v/>
      </c>
      <c r="AU1446" s="55">
        <f>ROUNDUP(MAX(I1446/IF(BS1446&gt;0,BS1446,MAX(0.1,N(Cockpit!$O$6))),BV1446)/BN1446,0)*BN1446</f>
        <v/>
      </c>
      <c r="AV1446" s="56">
        <f>IF(AS1446&gt;0,I1446/AS1446,-1)</f>
        <v/>
      </c>
      <c r="AW1446" s="56">
        <f>IF(AND(OR(BR1446="L1",BR1446="L23"),AS1446&gt;0),SUMIFS($AS$7:$AS$1570,$BR$7:$BR$1570,BR1446,$AV$7:$AV$1570,"&gt;"&amp;AV1446)+SUMIFS($AS$7:$AS$1570,$BR$7:$BR$1570,BR1446,$AV$7:$AV$1570,AV1446,$BL$7:$BL$1570,"&lt;="&amp;BL1446),"")</f>
        <v/>
      </c>
      <c r="AX1446" s="65">
        <f>IF(AW1446="",0,MAX(0,MIN(1,(IF(BR1446="L1",Parameter!$K$5,Parameter!$K$6+Parameter!$K$7)-(AW1446-AS1446))/AS1446)))</f>
        <v/>
      </c>
      <c r="AY1446" s="53">
        <f>IF(AC1446&lt;=0,"",IF(BR1446="Aussen","Aussenlager",IF(BR1446="-","Nicht im Lift",IF(AH1446&gt;=1,"Lift",IF(AH1446&lt;=0,"Aussenlager","teilweise")))))</f>
        <v/>
      </c>
      <c r="AZ1446" s="53">
        <f>IF(AK1446&lt;=0,"",IF(BR1446="Aussen","Aussenlager",IF(BR1446="-","Nicht im Lift",IF(AP1446&gt;=1,"Lift",IF(AP1446&lt;=0,"Aussenlager","teilweise")))))</f>
        <v/>
      </c>
      <c r="BA1446" s="53">
        <f>IF(AS1446&lt;=0,"",IF(BR1446="Aussen","Aussenlager",IF(BR1446="-","Nicht im Lift",IF(AX1446&gt;=1,"Lift",IF(AX1446&lt;=0,"Aussenlager","teilweise")))))</f>
        <v/>
      </c>
      <c r="BB1446" s="53">
        <f>IF(A1446="","",IF(BK1446=1,"Neu; ","")&amp;IF(AND(BK1446=0,BF1446&lt;0),"negativer Bestand (Export "&amp;BF1446&amp;"); ","")&amp;IF(I1446&lt;=0,"Kein Verbrauch; ","")&amp;IF(BO1446=1,"Lose – Fläche geschätzt; ","")&amp;IF(G1446&gt;AM1446,"Überbestand "&amp;ROUND(G1446-AM1446,0)&amp;" Stk / CHF "&amp;ROUND((G1446-AM1446)*F1446,0)&amp;"; ","")&amp;IF(AND(BT1446=1,BU1446&lt;BV1446),"MAX &lt; MB+LG; ","")&amp;IF(AND(BZ1446&gt;0,BY1446*10&gt;BZ1446),"zu hoch für Tablar; ","")&amp;IF(AND(BK1446=0,OR(BT1446=1,V1446&lt;&gt;"",S1446&lt;&gt;"",T1446&lt;&gt;"",W1446&lt;&gt;"")),"manuell übersteuert; ","")&amp;IF(AND(BO1446=0,Q1446=0),"Gebinde unbekannt; ","")&amp;IF(AND(BO1446=0,N(T1446)&lt;=0,N(P1446)&lt;=0),"Menge pro Gebinde fehlt (Ist = 1 Gebinde); ","")&amp;BJ1446)</f>
        <v/>
      </c>
      <c r="BC1446" s="53" t="n"/>
      <c r="BD1446" s="53" t="n"/>
      <c r="BE1446" s="61" t="n"/>
      <c r="BF1446" s="55" t="n">
        <v>-228</v>
      </c>
      <c r="BG1446" s="55" t="n">
        <v>0</v>
      </c>
      <c r="BH1446" s="54" t="n">
        <v>-10655.48</v>
      </c>
      <c r="BI1446" s="55" t="n">
        <v>859</v>
      </c>
      <c r="BJ1446" s="53" t="inlineStr">
        <is>
          <t>Neuer Art.</t>
        </is>
      </c>
      <c r="BK1446" s="58" t="n">
        <v>0</v>
      </c>
      <c r="BL1446" s="58" t="n">
        <v>1446</v>
      </c>
      <c r="BM1446" s="53">
        <f>IF(S1446&lt;&gt;"",UPPER(TRIM(S1446)),IF(O1446="","LOSE",O1446))</f>
        <v/>
      </c>
      <c r="BN1446" s="55">
        <f>IF(BM1446="LOSE",1,IF(N(T1446)&gt;0,T1446,IF(N(P1446)&gt;0,P1446,MAX(1,G1446))))</f>
        <v/>
      </c>
      <c r="BO1446" s="58">
        <f>IF(BM1446="LOSE",1,0)</f>
        <v/>
      </c>
      <c r="BP1446" s="64">
        <f>IF(BO1446=0,0,IF(N(R1446)&gt;0,R1446,IFERROR(VLOOKUP(D1446,Parameter!$A$35:$C$64,3,0)+0,0)))</f>
        <v/>
      </c>
      <c r="BQ1446" s="53">
        <f>IF(V1446&lt;&gt;"",V1446,U1446)</f>
        <v/>
      </c>
      <c r="BR1446" s="53">
        <f>IF(BQ1446=1,"L1",IF(OR(BQ1446=2,BQ1446=3),"L23",IF(BQ1446="Aussen","Aussen","-")))</f>
        <v/>
      </c>
      <c r="BS1446" s="66">
        <f>IF(N(W1446)&gt;0,W1446,0)</f>
        <v/>
      </c>
      <c r="BT1446" s="58">
        <f>IF(ISNUMBER(Z1446),1,0)</f>
        <v/>
      </c>
      <c r="BU1446" s="55">
        <f>N(Z1446)</f>
        <v/>
      </c>
      <c r="BV1446" s="55">
        <f>N(L1446)+N(M1446)</f>
        <v/>
      </c>
      <c r="BW1446" s="55">
        <f>ROUNDUP(G1446/BN1446,0)</f>
        <v/>
      </c>
      <c r="BX1446" s="55">
        <f>ROUNDUP(BU1446/BN1446,0)</f>
        <v/>
      </c>
      <c r="BY1446" s="58">
        <f>IF(BO1446=1,0,IFERROR(VLOOKUP(BM1446,'Gebinde-Kategorie'!$A$5:$G$45,5,0)+0,0))</f>
        <v/>
      </c>
      <c r="BZ1446" s="58">
        <f>IFERROR(IF(OR(BQ1446=1,BQ1446=2,BQ1446=3),N(INDEX(Parameter!$I$5:$I$7,BQ1446)),0),0)</f>
        <v/>
      </c>
    </row>
    <row r="1447">
      <c r="A1447" s="53" t="inlineStr">
        <is>
          <t>108329</t>
        </is>
      </c>
      <c r="B1447" s="53" t="inlineStr">
        <is>
          <t>Kugelhahn Brenngas Ventilpanel</t>
        </is>
      </c>
      <c r="C1447" s="53" t="inlineStr">
        <is>
          <t>F</t>
        </is>
      </c>
      <c r="D1447" s="53" t="inlineStr">
        <is>
          <t>KTL</t>
        </is>
      </c>
      <c r="E1447" s="53" t="inlineStr"/>
      <c r="F1447" s="54" t="n">
        <v>315</v>
      </c>
      <c r="G1447" s="55">
        <f>MAX(0,IF(Parameter!$B$20="Jahresanfang 2025 + Export",BG1447+BF1447,BF1447))</f>
        <v/>
      </c>
      <c r="H1447" s="55">
        <f>G1447*F1447</f>
        <v/>
      </c>
      <c r="I1447" s="55">
        <f>BI1447*Parameter!$B$18</f>
        <v/>
      </c>
      <c r="J1447" s="56" t="n"/>
      <c r="K1447" s="57" t="n"/>
      <c r="L1447" s="55" t="n">
        <v>5</v>
      </c>
      <c r="M1447" s="55" t="n">
        <v>1</v>
      </c>
      <c r="N1447" s="58" t="n"/>
      <c r="O1447" s="53" t="inlineStr">
        <is>
          <t>S52</t>
        </is>
      </c>
      <c r="P1447" s="55" t="n">
        <v>50</v>
      </c>
      <c r="Q1447" s="59">
        <f>IF(BO1447=1,0,IFERROR(VLOOKUP(BM1447,'Gebinde-Kategorie'!$A$5:$G$45,6,0)+0,0))</f>
        <v/>
      </c>
      <c r="R1447" s="60" t="n"/>
      <c r="S1447" s="61" t="n"/>
      <c r="T1447" s="61" t="n"/>
      <c r="U1447" s="53">
        <f>IF(A1447="","",IF(IFERROR(VLOOKUP(D1447,Parameter!$A$35:$C$64,2,0),"Nein")="2+3",IF(ISNUMBER(SEARCH("grosser Artikel",BJ1447)),2,IFERROR(VLOOKUP(BM1447,Parameter!$F$35:$G$64,2,0),2)),IF(OR(IFERROR(VLOOKUP(D1447,Parameter!$A$35:$C$64,2,0),"Nein")="Nein",IFERROR(VLOOKUP(D1447,Parameter!$A$35:$C$64,2,0),"Nein")=""),"-",VLOOKUP(D1447,Parameter!$A$35:$C$64,2,0))))</f>
        <v/>
      </c>
      <c r="V1447" s="61" t="n"/>
      <c r="W1447" s="62" t="n"/>
      <c r="X1447" s="55">
        <f>AM1447</f>
        <v/>
      </c>
      <c r="Y1447" s="55">
        <f>MAX(AM1447,G1447)</f>
        <v/>
      </c>
      <c r="Z1447" s="63" t="n"/>
      <c r="AA1447" s="55">
        <f>IF(LEFT(Cockpit!$C$5,1)="A",G1447,IF(BT1447=1,BU1447,IF(LEFT(Cockpit!$C$5,1)="B",AE1447,MAX(AE1447,G1447))))</f>
        <v/>
      </c>
      <c r="AB1447" s="55">
        <f>IF(BO1447=1,0,ROUNDUP(AA1447/BN1447,0))</f>
        <v/>
      </c>
      <c r="AC1447" s="64">
        <f>IF(BO1447=1,IF(AA1447&lt;=0,0,BP1447*MAX(1,IF(G1447&gt;0,AA1447/G1447,1))),AB1447*Q1447)</f>
        <v/>
      </c>
      <c r="AD1447" s="55">
        <f>AA1447*F1447</f>
        <v/>
      </c>
      <c r="AE1447" s="55">
        <f>ROUNDUP(MAX(I1447/IF(BS1447&gt;0,BS1447,MAX(0.1,N(Cockpit!$C$6))),BV1447)/BN1447,0)*BN1447</f>
        <v/>
      </c>
      <c r="AF1447" s="56">
        <f>IF(AC1447&gt;0,I1447/AC1447,-1)</f>
        <v/>
      </c>
      <c r="AG1447" s="56">
        <f>IF(AND(OR(BR1447="L1",BR1447="L23"),AC1447&gt;0),SUMIFS($AC$7:$AC$1570,$BR$7:$BR$1570,BR1447,$AF$7:$AF$1570,"&gt;"&amp;AF1447)+SUMIFS($AC$7:$AC$1570,$BR$7:$BR$1570,BR1447,$AF$7:$AF$1570,AF1447,$BL$7:$BL$1570,"&lt;="&amp;BL1447),"")</f>
        <v/>
      </c>
      <c r="AH1447" s="65">
        <f>IF(AG1447="",0,MAX(0,MIN(1,(IF(BR1447="L1",Parameter!$K$5,Parameter!$K$6+Parameter!$K$7)-(AG1447-AC1447))/AC1447)))</f>
        <v/>
      </c>
      <c r="AI1447" s="55">
        <f>IF(LEFT(Cockpit!$I$5,1)="A",G1447,IF(BT1447=1,BU1447,IF(LEFT(Cockpit!$I$5,1)="B",AM1447,MAX(AM1447,G1447))))</f>
        <v/>
      </c>
      <c r="AJ1447" s="55">
        <f>IF(BO1447=1,0,ROUNDUP(AI1447/BN1447,0))</f>
        <v/>
      </c>
      <c r="AK1447" s="64">
        <f>IF(BO1447=1,IF(AI1447&lt;=0,0,BP1447*MAX(1,IF(G1447&gt;0,AI1447/G1447,1))),AJ1447*Q1447)</f>
        <v/>
      </c>
      <c r="AL1447" s="55">
        <f>AI1447*F1447</f>
        <v/>
      </c>
      <c r="AM1447" s="55">
        <f>ROUNDUP(MAX(I1447/IF(BS1447&gt;0,BS1447,MAX(0.1,N(Cockpit!$I$6))),BV1447)/BN1447,0)*BN1447</f>
        <v/>
      </c>
      <c r="AN1447" s="56">
        <f>IF(AK1447&gt;0,I1447/AK1447,-1)</f>
        <v/>
      </c>
      <c r="AO1447" s="56">
        <f>IF(AND(OR(BR1447="L1",BR1447="L23"),AK1447&gt;0),SUMIFS($AK$7:$AK$1570,$BR$7:$BR$1570,BR1447,$AN$7:$AN$1570,"&gt;"&amp;AN1447)+SUMIFS($AK$7:$AK$1570,$BR$7:$BR$1570,BR1447,$AN$7:$AN$1570,AN1447,$BL$7:$BL$1570,"&lt;="&amp;BL1447),"")</f>
        <v/>
      </c>
      <c r="AP1447" s="65">
        <f>IF(AO1447="",0,MAX(0,MIN(1,(IF(BR1447="L1",Parameter!$K$5,Parameter!$K$6+Parameter!$K$7)-(AO1447-AK1447))/AK1447)))</f>
        <v/>
      </c>
      <c r="AQ1447" s="55">
        <f>IF(LEFT(Cockpit!$O$5,1)="A",G1447,IF(BT1447=1,BU1447,IF(LEFT(Cockpit!$O$5,1)="B",AU1447,MAX(AU1447,G1447))))</f>
        <v/>
      </c>
      <c r="AR1447" s="55">
        <f>IF(BO1447=1,0,ROUNDUP(AQ1447/BN1447,0))</f>
        <v/>
      </c>
      <c r="AS1447" s="64">
        <f>IF(BO1447=1,IF(AQ1447&lt;=0,0,BP1447*MAX(1,IF(G1447&gt;0,AQ1447/G1447,1))),AR1447*Q1447)</f>
        <v/>
      </c>
      <c r="AT1447" s="55">
        <f>AQ1447*F1447</f>
        <v/>
      </c>
      <c r="AU1447" s="55">
        <f>ROUNDUP(MAX(I1447/IF(BS1447&gt;0,BS1447,MAX(0.1,N(Cockpit!$O$6))),BV1447)/BN1447,0)*BN1447</f>
        <v/>
      </c>
      <c r="AV1447" s="56">
        <f>IF(AS1447&gt;0,I1447/AS1447,-1)</f>
        <v/>
      </c>
      <c r="AW1447" s="56">
        <f>IF(AND(OR(BR1447="L1",BR1447="L23"),AS1447&gt;0),SUMIFS($AS$7:$AS$1570,$BR$7:$BR$1570,BR1447,$AV$7:$AV$1570,"&gt;"&amp;AV1447)+SUMIFS($AS$7:$AS$1570,$BR$7:$BR$1570,BR1447,$AV$7:$AV$1570,AV1447,$BL$7:$BL$1570,"&lt;="&amp;BL1447),"")</f>
        <v/>
      </c>
      <c r="AX1447" s="65">
        <f>IF(AW1447="",0,MAX(0,MIN(1,(IF(BR1447="L1",Parameter!$K$5,Parameter!$K$6+Parameter!$K$7)-(AW1447-AS1447))/AS1447)))</f>
        <v/>
      </c>
      <c r="AY1447" s="53">
        <f>IF(AC1447&lt;=0,"",IF(BR1447="Aussen","Aussenlager",IF(BR1447="-","Nicht im Lift",IF(AH1447&gt;=1,"Lift",IF(AH1447&lt;=0,"Aussenlager","teilweise")))))</f>
        <v/>
      </c>
      <c r="AZ1447" s="53">
        <f>IF(AK1447&lt;=0,"",IF(BR1447="Aussen","Aussenlager",IF(BR1447="-","Nicht im Lift",IF(AP1447&gt;=1,"Lift",IF(AP1447&lt;=0,"Aussenlager","teilweise")))))</f>
        <v/>
      </c>
      <c r="BA1447" s="53">
        <f>IF(AS1447&lt;=0,"",IF(BR1447="Aussen","Aussenlager",IF(BR1447="-","Nicht im Lift",IF(AX1447&gt;=1,"Lift",IF(AX1447&lt;=0,"Aussenlager","teilweise")))))</f>
        <v/>
      </c>
      <c r="BB1447" s="53">
        <f>IF(A1447="","",IF(BK1447=1,"Neu; ","")&amp;IF(AND(BK1447=0,BF1447&lt;0),"negativer Bestand (Export "&amp;BF1447&amp;"); ","")&amp;IF(I1447&lt;=0,"Kein Verbrauch; ","")&amp;IF(BO1447=1,"Lose – Fläche geschätzt; ","")&amp;IF(G1447&gt;AM1447,"Überbestand "&amp;ROUND(G1447-AM1447,0)&amp;" Stk / CHF "&amp;ROUND((G1447-AM1447)*F1447,0)&amp;"; ","")&amp;IF(AND(BT1447=1,BU1447&lt;BV1447),"MAX &lt; MB+LG; ","")&amp;IF(AND(BZ1447&gt;0,BY1447*10&gt;BZ1447),"zu hoch für Tablar; ","")&amp;IF(AND(BK1447=0,OR(BT1447=1,V1447&lt;&gt;"",S1447&lt;&gt;"",T1447&lt;&gt;"",W1447&lt;&gt;"")),"manuell übersteuert; ","")&amp;IF(AND(BO1447=0,Q1447=0),"Gebinde unbekannt; ","")&amp;IF(AND(BO1447=0,N(T1447)&lt;=0,N(P1447)&lt;=0),"Menge pro Gebinde fehlt (Ist = 1 Gebinde); ","")&amp;BJ1447)</f>
        <v/>
      </c>
      <c r="BC1447" s="53" t="n"/>
      <c r="BD1447" s="53" t="n"/>
      <c r="BE1447" s="61" t="n"/>
      <c r="BF1447" s="55" t="n">
        <v>-37</v>
      </c>
      <c r="BG1447" s="55" t="n">
        <v>0</v>
      </c>
      <c r="BH1447" s="54" t="n">
        <v>-11655</v>
      </c>
      <c r="BI1447" s="55" t="n">
        <v>37</v>
      </c>
      <c r="BJ1447" s="53" t="inlineStr"/>
      <c r="BK1447" s="58" t="n">
        <v>0</v>
      </c>
      <c r="BL1447" s="58" t="n">
        <v>1447</v>
      </c>
      <c r="BM1447" s="53">
        <f>IF(S1447&lt;&gt;"",UPPER(TRIM(S1447)),IF(O1447="","LOSE",O1447))</f>
        <v/>
      </c>
      <c r="BN1447" s="55">
        <f>IF(BM1447="LOSE",1,IF(N(T1447)&gt;0,T1447,IF(N(P1447)&gt;0,P1447,MAX(1,G1447))))</f>
        <v/>
      </c>
      <c r="BO1447" s="58">
        <f>IF(BM1447="LOSE",1,0)</f>
        <v/>
      </c>
      <c r="BP1447" s="64">
        <f>IF(BO1447=0,0,IF(N(R1447)&gt;0,R1447,IFERROR(VLOOKUP(D1447,Parameter!$A$35:$C$64,3,0)+0,0)))</f>
        <v/>
      </c>
      <c r="BQ1447" s="53">
        <f>IF(V1447&lt;&gt;"",V1447,U1447)</f>
        <v/>
      </c>
      <c r="BR1447" s="53">
        <f>IF(BQ1447=1,"L1",IF(OR(BQ1447=2,BQ1447=3),"L23",IF(BQ1447="Aussen","Aussen","-")))</f>
        <v/>
      </c>
      <c r="BS1447" s="66">
        <f>IF(N(W1447)&gt;0,W1447,0)</f>
        <v/>
      </c>
      <c r="BT1447" s="58">
        <f>IF(ISNUMBER(Z1447),1,0)</f>
        <v/>
      </c>
      <c r="BU1447" s="55">
        <f>N(Z1447)</f>
        <v/>
      </c>
      <c r="BV1447" s="55">
        <f>N(L1447)+N(M1447)</f>
        <v/>
      </c>
      <c r="BW1447" s="55">
        <f>ROUNDUP(G1447/BN1447,0)</f>
        <v/>
      </c>
      <c r="BX1447" s="55">
        <f>ROUNDUP(BU1447/BN1447,0)</f>
        <v/>
      </c>
      <c r="BY1447" s="58">
        <f>IF(BO1447=1,0,IFERROR(VLOOKUP(BM1447,'Gebinde-Kategorie'!$A$5:$G$45,5,0)+0,0))</f>
        <v/>
      </c>
      <c r="BZ1447" s="58">
        <f>IFERROR(IF(OR(BQ1447=1,BQ1447=2,BQ1447=3),N(INDEX(Parameter!$I$5:$I$7,BQ1447)),0),0)</f>
        <v/>
      </c>
    </row>
    <row r="1448">
      <c r="A1448" s="53" t="inlineStr">
        <is>
          <t>106590</t>
        </is>
      </c>
      <c r="B1448" s="53" t="inlineStr">
        <is>
          <t>Zylinderschraube mit Innensechskant</t>
        </is>
      </c>
      <c r="C1448" s="53" t="inlineStr">
        <is>
          <t>F</t>
        </is>
      </c>
      <c r="D1448" s="53" t="inlineStr">
        <is>
          <t>KTL</t>
        </is>
      </c>
      <c r="E1448" s="53" t="inlineStr"/>
      <c r="F1448" s="54" t="n">
        <v>3.25</v>
      </c>
      <c r="G1448" s="55">
        <f>MAX(0,IF(Parameter!$B$20="Jahresanfang 2025 + Export",BG1448+BF1448,BF1448))</f>
        <v/>
      </c>
      <c r="H1448" s="55">
        <f>G1448*F1448</f>
        <v/>
      </c>
      <c r="I1448" s="55">
        <f>BI1448*Parameter!$B$18</f>
        <v/>
      </c>
      <c r="J1448" s="56" t="n"/>
      <c r="K1448" s="57" t="n"/>
      <c r="L1448" s="55" t="n">
        <v>150</v>
      </c>
      <c r="M1448" s="55" t="n">
        <v>500</v>
      </c>
      <c r="N1448" s="58" t="n"/>
      <c r="O1448" s="53" t="inlineStr">
        <is>
          <t>S72</t>
        </is>
      </c>
      <c r="P1448" s="55" t="n">
        <v>1200</v>
      </c>
      <c r="Q1448" s="59">
        <f>IF(BO1448=1,0,IFERROR(VLOOKUP(BM1448,'Gebinde-Kategorie'!$A$5:$G$45,6,0)+0,0))</f>
        <v/>
      </c>
      <c r="R1448" s="60" t="n"/>
      <c r="S1448" s="61" t="n"/>
      <c r="T1448" s="61" t="n"/>
      <c r="U1448" s="53">
        <f>IF(A1448="","",IF(IFERROR(VLOOKUP(D1448,Parameter!$A$35:$C$64,2,0),"Nein")="2+3",IF(ISNUMBER(SEARCH("grosser Artikel",BJ1448)),2,IFERROR(VLOOKUP(BM1448,Parameter!$F$35:$G$64,2,0),2)),IF(OR(IFERROR(VLOOKUP(D1448,Parameter!$A$35:$C$64,2,0),"Nein")="Nein",IFERROR(VLOOKUP(D1448,Parameter!$A$35:$C$64,2,0),"Nein")=""),"-",VLOOKUP(D1448,Parameter!$A$35:$C$64,2,0))))</f>
        <v/>
      </c>
      <c r="V1448" s="61" t="n"/>
      <c r="W1448" s="62" t="n"/>
      <c r="X1448" s="55">
        <f>AM1448</f>
        <v/>
      </c>
      <c r="Y1448" s="55">
        <f>MAX(AM1448,G1448)</f>
        <v/>
      </c>
      <c r="Z1448" s="63" t="n"/>
      <c r="AA1448" s="55">
        <f>IF(LEFT(Cockpit!$C$5,1)="A",G1448,IF(BT1448=1,BU1448,IF(LEFT(Cockpit!$C$5,1)="B",AE1448,MAX(AE1448,G1448))))</f>
        <v/>
      </c>
      <c r="AB1448" s="55">
        <f>IF(BO1448=1,0,ROUNDUP(AA1448/BN1448,0))</f>
        <v/>
      </c>
      <c r="AC1448" s="64">
        <f>IF(BO1448=1,IF(AA1448&lt;=0,0,BP1448*MAX(1,IF(G1448&gt;0,AA1448/G1448,1))),AB1448*Q1448)</f>
        <v/>
      </c>
      <c r="AD1448" s="55">
        <f>AA1448*F1448</f>
        <v/>
      </c>
      <c r="AE1448" s="55">
        <f>ROUNDUP(MAX(I1448/IF(BS1448&gt;0,BS1448,MAX(0.1,N(Cockpit!$C$6))),BV1448)/BN1448,0)*BN1448</f>
        <v/>
      </c>
      <c r="AF1448" s="56">
        <f>IF(AC1448&gt;0,I1448/AC1448,-1)</f>
        <v/>
      </c>
      <c r="AG1448" s="56">
        <f>IF(AND(OR(BR1448="L1",BR1448="L23"),AC1448&gt;0),SUMIFS($AC$7:$AC$1570,$BR$7:$BR$1570,BR1448,$AF$7:$AF$1570,"&gt;"&amp;AF1448)+SUMIFS($AC$7:$AC$1570,$BR$7:$BR$1570,BR1448,$AF$7:$AF$1570,AF1448,$BL$7:$BL$1570,"&lt;="&amp;BL1448),"")</f>
        <v/>
      </c>
      <c r="AH1448" s="65">
        <f>IF(AG1448="",0,MAX(0,MIN(1,(IF(BR1448="L1",Parameter!$K$5,Parameter!$K$6+Parameter!$K$7)-(AG1448-AC1448))/AC1448)))</f>
        <v/>
      </c>
      <c r="AI1448" s="55">
        <f>IF(LEFT(Cockpit!$I$5,1)="A",G1448,IF(BT1448=1,BU1448,IF(LEFT(Cockpit!$I$5,1)="B",AM1448,MAX(AM1448,G1448))))</f>
        <v/>
      </c>
      <c r="AJ1448" s="55">
        <f>IF(BO1448=1,0,ROUNDUP(AI1448/BN1448,0))</f>
        <v/>
      </c>
      <c r="AK1448" s="64">
        <f>IF(BO1448=1,IF(AI1448&lt;=0,0,BP1448*MAX(1,IF(G1448&gt;0,AI1448/G1448,1))),AJ1448*Q1448)</f>
        <v/>
      </c>
      <c r="AL1448" s="55">
        <f>AI1448*F1448</f>
        <v/>
      </c>
      <c r="AM1448" s="55">
        <f>ROUNDUP(MAX(I1448/IF(BS1448&gt;0,BS1448,MAX(0.1,N(Cockpit!$I$6))),BV1448)/BN1448,0)*BN1448</f>
        <v/>
      </c>
      <c r="AN1448" s="56">
        <f>IF(AK1448&gt;0,I1448/AK1448,-1)</f>
        <v/>
      </c>
      <c r="AO1448" s="56">
        <f>IF(AND(OR(BR1448="L1",BR1448="L23"),AK1448&gt;0),SUMIFS($AK$7:$AK$1570,$BR$7:$BR$1570,BR1448,$AN$7:$AN$1570,"&gt;"&amp;AN1448)+SUMIFS($AK$7:$AK$1570,$BR$7:$BR$1570,BR1448,$AN$7:$AN$1570,AN1448,$BL$7:$BL$1570,"&lt;="&amp;BL1448),"")</f>
        <v/>
      </c>
      <c r="AP1448" s="65">
        <f>IF(AO1448="",0,MAX(0,MIN(1,(IF(BR1448="L1",Parameter!$K$5,Parameter!$K$6+Parameter!$K$7)-(AO1448-AK1448))/AK1448)))</f>
        <v/>
      </c>
      <c r="AQ1448" s="55">
        <f>IF(LEFT(Cockpit!$O$5,1)="A",G1448,IF(BT1448=1,BU1448,IF(LEFT(Cockpit!$O$5,1)="B",AU1448,MAX(AU1448,G1448))))</f>
        <v/>
      </c>
      <c r="AR1448" s="55">
        <f>IF(BO1448=1,0,ROUNDUP(AQ1448/BN1448,0))</f>
        <v/>
      </c>
      <c r="AS1448" s="64">
        <f>IF(BO1448=1,IF(AQ1448&lt;=0,0,BP1448*MAX(1,IF(G1448&gt;0,AQ1448/G1448,1))),AR1448*Q1448)</f>
        <v/>
      </c>
      <c r="AT1448" s="55">
        <f>AQ1448*F1448</f>
        <v/>
      </c>
      <c r="AU1448" s="55">
        <f>ROUNDUP(MAX(I1448/IF(BS1448&gt;0,BS1448,MAX(0.1,N(Cockpit!$O$6))),BV1448)/BN1448,0)*BN1448</f>
        <v/>
      </c>
      <c r="AV1448" s="56">
        <f>IF(AS1448&gt;0,I1448/AS1448,-1)</f>
        <v/>
      </c>
      <c r="AW1448" s="56">
        <f>IF(AND(OR(BR1448="L1",BR1448="L23"),AS1448&gt;0),SUMIFS($AS$7:$AS$1570,$BR$7:$BR$1570,BR1448,$AV$7:$AV$1570,"&gt;"&amp;AV1448)+SUMIFS($AS$7:$AS$1570,$BR$7:$BR$1570,BR1448,$AV$7:$AV$1570,AV1448,$BL$7:$BL$1570,"&lt;="&amp;BL1448),"")</f>
        <v/>
      </c>
      <c r="AX1448" s="65">
        <f>IF(AW1448="",0,MAX(0,MIN(1,(IF(BR1448="L1",Parameter!$K$5,Parameter!$K$6+Parameter!$K$7)-(AW1448-AS1448))/AS1448)))</f>
        <v/>
      </c>
      <c r="AY1448" s="53">
        <f>IF(AC1448&lt;=0,"",IF(BR1448="Aussen","Aussenlager",IF(BR1448="-","Nicht im Lift",IF(AH1448&gt;=1,"Lift",IF(AH1448&lt;=0,"Aussenlager","teilweise")))))</f>
        <v/>
      </c>
      <c r="AZ1448" s="53">
        <f>IF(AK1448&lt;=0,"",IF(BR1448="Aussen","Aussenlager",IF(BR1448="-","Nicht im Lift",IF(AP1448&gt;=1,"Lift",IF(AP1448&lt;=0,"Aussenlager","teilweise")))))</f>
        <v/>
      </c>
      <c r="BA1448" s="53">
        <f>IF(AS1448&lt;=0,"",IF(BR1448="Aussen","Aussenlager",IF(BR1448="-","Nicht im Lift",IF(AX1448&gt;=1,"Lift",IF(AX1448&lt;=0,"Aussenlager","teilweise")))))</f>
        <v/>
      </c>
      <c r="BB1448" s="53">
        <f>IF(A1448="","",IF(BK1448=1,"Neu; ","")&amp;IF(AND(BK1448=0,BF1448&lt;0),"negativer Bestand (Export "&amp;BF1448&amp;"); ","")&amp;IF(I1448&lt;=0,"Kein Verbrauch; ","")&amp;IF(BO1448=1,"Lose – Fläche geschätzt; ","")&amp;IF(G1448&gt;AM1448,"Überbestand "&amp;ROUND(G1448-AM1448,0)&amp;" Stk / CHF "&amp;ROUND((G1448-AM1448)*F1448,0)&amp;"; ","")&amp;IF(AND(BT1448=1,BU1448&lt;BV1448),"MAX &lt; MB+LG; ","")&amp;IF(AND(BZ1448&gt;0,BY1448*10&gt;BZ1448),"zu hoch für Tablar; ","")&amp;IF(AND(BK1448=0,OR(BT1448=1,V1448&lt;&gt;"",S1448&lt;&gt;"",T1448&lt;&gt;"",W1448&lt;&gt;"")),"manuell übersteuert; ","")&amp;IF(AND(BO1448=0,Q1448=0),"Gebinde unbekannt; ","")&amp;IF(AND(BO1448=0,N(T1448)&lt;=0,N(P1448)&lt;=0),"Menge pro Gebinde fehlt (Ist = 1 Gebinde); ","")&amp;BJ1448)</f>
        <v/>
      </c>
      <c r="BC1448" s="53" t="n"/>
      <c r="BD1448" s="53" t="n"/>
      <c r="BE1448" s="61" t="n"/>
      <c r="BF1448" s="55" t="n">
        <v>-3665</v>
      </c>
      <c r="BG1448" s="55" t="n">
        <v>0</v>
      </c>
      <c r="BH1448" s="54" t="n">
        <v>-11911.25</v>
      </c>
      <c r="BI1448" s="55" t="n">
        <v>2410</v>
      </c>
      <c r="BJ1448" s="53" t="inlineStr">
        <is>
          <t>grosse  Artikelmenge</t>
        </is>
      </c>
      <c r="BK1448" s="58" t="n">
        <v>0</v>
      </c>
      <c r="BL1448" s="58" t="n">
        <v>1448</v>
      </c>
      <c r="BM1448" s="53">
        <f>IF(S1448&lt;&gt;"",UPPER(TRIM(S1448)),IF(O1448="","LOSE",O1448))</f>
        <v/>
      </c>
      <c r="BN1448" s="55">
        <f>IF(BM1448="LOSE",1,IF(N(T1448)&gt;0,T1448,IF(N(P1448)&gt;0,P1448,MAX(1,G1448))))</f>
        <v/>
      </c>
      <c r="BO1448" s="58">
        <f>IF(BM1448="LOSE",1,0)</f>
        <v/>
      </c>
      <c r="BP1448" s="64">
        <f>IF(BO1448=0,0,IF(N(R1448)&gt;0,R1448,IFERROR(VLOOKUP(D1448,Parameter!$A$35:$C$64,3,0)+0,0)))</f>
        <v/>
      </c>
      <c r="BQ1448" s="53">
        <f>IF(V1448&lt;&gt;"",V1448,U1448)</f>
        <v/>
      </c>
      <c r="BR1448" s="53">
        <f>IF(BQ1448=1,"L1",IF(OR(BQ1448=2,BQ1448=3),"L23",IF(BQ1448="Aussen","Aussen","-")))</f>
        <v/>
      </c>
      <c r="BS1448" s="66">
        <f>IF(N(W1448)&gt;0,W1448,0)</f>
        <v/>
      </c>
      <c r="BT1448" s="58">
        <f>IF(ISNUMBER(Z1448),1,0)</f>
        <v/>
      </c>
      <c r="BU1448" s="55">
        <f>N(Z1448)</f>
        <v/>
      </c>
      <c r="BV1448" s="55">
        <f>N(L1448)+N(M1448)</f>
        <v/>
      </c>
      <c r="BW1448" s="55">
        <f>ROUNDUP(G1448/BN1448,0)</f>
        <v/>
      </c>
      <c r="BX1448" s="55">
        <f>ROUNDUP(BU1448/BN1448,0)</f>
        <v/>
      </c>
      <c r="BY1448" s="58">
        <f>IF(BO1448=1,0,IFERROR(VLOOKUP(BM1448,'Gebinde-Kategorie'!$A$5:$G$45,5,0)+0,0))</f>
        <v/>
      </c>
      <c r="BZ1448" s="58">
        <f>IFERROR(IF(OR(BQ1448=1,BQ1448=2,BQ1448=3),N(INDEX(Parameter!$I$5:$I$7,BQ1448)),0),0)</f>
        <v/>
      </c>
    </row>
    <row r="1449">
      <c r="A1449" s="53" t="inlineStr">
        <is>
          <t>107821</t>
        </is>
      </c>
      <c r="B1449" s="53" t="inlineStr">
        <is>
          <t>Austrittsdüse SPGr10</t>
        </is>
      </c>
      <c r="C1449" s="53" t="inlineStr">
        <is>
          <t>F</t>
        </is>
      </c>
      <c r="D1449" s="53" t="inlineStr">
        <is>
          <t>LIFT1</t>
        </is>
      </c>
      <c r="E1449" s="53" t="inlineStr"/>
      <c r="F1449" s="54" t="n">
        <v>2608.01</v>
      </c>
      <c r="G1449" s="55">
        <f>MAX(0,IF(Parameter!$B$20="Jahresanfang 2025 + Export",BG1449+BF1449,BF1449))</f>
        <v/>
      </c>
      <c r="H1449" s="55">
        <f>G1449*F1449</f>
        <v/>
      </c>
      <c r="I1449" s="55">
        <f>BI1449*Parameter!$B$18</f>
        <v/>
      </c>
      <c r="J1449" s="56" t="n"/>
      <c r="K1449" s="57" t="n"/>
      <c r="L1449" s="55" t="n">
        <v>1</v>
      </c>
      <c r="M1449" s="55" t="n">
        <v>5</v>
      </c>
      <c r="N1449" s="58" t="n"/>
      <c r="O1449" s="53" t="inlineStr">
        <is>
          <t>LOSE</t>
        </is>
      </c>
      <c r="P1449" s="55" t="n"/>
      <c r="Q1449" s="59">
        <f>IF(BO1449=1,0,IFERROR(VLOOKUP(BM1449,'Gebinde-Kategorie'!$A$5:$G$45,6,0)+0,0))</f>
        <v/>
      </c>
      <c r="R1449" s="60" t="n"/>
      <c r="S1449" s="61" t="n"/>
      <c r="T1449" s="61" t="n"/>
      <c r="U1449" s="53">
        <f>IF(A1449="","",IF(IFERROR(VLOOKUP(D1449,Parameter!$A$35:$C$64,2,0),"Nein")="2+3",IF(ISNUMBER(SEARCH("grosser Artikel",BJ1449)),2,IFERROR(VLOOKUP(BM1449,Parameter!$F$35:$G$64,2,0),2)),IF(OR(IFERROR(VLOOKUP(D1449,Parameter!$A$35:$C$64,2,0),"Nein")="Nein",IFERROR(VLOOKUP(D1449,Parameter!$A$35:$C$64,2,0),"Nein")=""),"-",VLOOKUP(D1449,Parameter!$A$35:$C$64,2,0))))</f>
        <v/>
      </c>
      <c r="V1449" s="61" t="n"/>
      <c r="W1449" s="62" t="n"/>
      <c r="X1449" s="55">
        <f>AM1449</f>
        <v/>
      </c>
      <c r="Y1449" s="55">
        <f>MAX(AM1449,G1449)</f>
        <v/>
      </c>
      <c r="Z1449" s="63" t="n"/>
      <c r="AA1449" s="55">
        <f>IF(LEFT(Cockpit!$C$5,1)="A",G1449,IF(BT1449=1,BU1449,IF(LEFT(Cockpit!$C$5,1)="B",AE1449,MAX(AE1449,G1449))))</f>
        <v/>
      </c>
      <c r="AB1449" s="55">
        <f>IF(BO1449=1,0,ROUNDUP(AA1449/BN1449,0))</f>
        <v/>
      </c>
      <c r="AC1449" s="64">
        <f>IF(BO1449=1,IF(AA1449&lt;=0,0,BP1449*MAX(1,IF(G1449&gt;0,AA1449/G1449,1))),AB1449*Q1449)</f>
        <v/>
      </c>
      <c r="AD1449" s="55">
        <f>AA1449*F1449</f>
        <v/>
      </c>
      <c r="AE1449" s="55">
        <f>ROUNDUP(MAX(I1449/IF(BS1449&gt;0,BS1449,MAX(0.1,N(Cockpit!$C$6))),BV1449)/BN1449,0)*BN1449</f>
        <v/>
      </c>
      <c r="AF1449" s="56">
        <f>IF(AC1449&gt;0,I1449/AC1449,-1)</f>
        <v/>
      </c>
      <c r="AG1449" s="56">
        <f>IF(AND(OR(BR1449="L1",BR1449="L23"),AC1449&gt;0),SUMIFS($AC$7:$AC$1570,$BR$7:$BR$1570,BR1449,$AF$7:$AF$1570,"&gt;"&amp;AF1449)+SUMIFS($AC$7:$AC$1570,$BR$7:$BR$1570,BR1449,$AF$7:$AF$1570,AF1449,$BL$7:$BL$1570,"&lt;="&amp;BL1449),"")</f>
        <v/>
      </c>
      <c r="AH1449" s="65">
        <f>IF(AG1449="",0,MAX(0,MIN(1,(IF(BR1449="L1",Parameter!$K$5,Parameter!$K$6+Parameter!$K$7)-(AG1449-AC1449))/AC1449)))</f>
        <v/>
      </c>
      <c r="AI1449" s="55">
        <f>IF(LEFT(Cockpit!$I$5,1)="A",G1449,IF(BT1449=1,BU1449,IF(LEFT(Cockpit!$I$5,1)="B",AM1449,MAX(AM1449,G1449))))</f>
        <v/>
      </c>
      <c r="AJ1449" s="55">
        <f>IF(BO1449=1,0,ROUNDUP(AI1449/BN1449,0))</f>
        <v/>
      </c>
      <c r="AK1449" s="64">
        <f>IF(BO1449=1,IF(AI1449&lt;=0,0,BP1449*MAX(1,IF(G1449&gt;0,AI1449/G1449,1))),AJ1449*Q1449)</f>
        <v/>
      </c>
      <c r="AL1449" s="55">
        <f>AI1449*F1449</f>
        <v/>
      </c>
      <c r="AM1449" s="55">
        <f>ROUNDUP(MAX(I1449/IF(BS1449&gt;0,BS1449,MAX(0.1,N(Cockpit!$I$6))),BV1449)/BN1449,0)*BN1449</f>
        <v/>
      </c>
      <c r="AN1449" s="56">
        <f>IF(AK1449&gt;0,I1449/AK1449,-1)</f>
        <v/>
      </c>
      <c r="AO1449" s="56">
        <f>IF(AND(OR(BR1449="L1",BR1449="L23"),AK1449&gt;0),SUMIFS($AK$7:$AK$1570,$BR$7:$BR$1570,BR1449,$AN$7:$AN$1570,"&gt;"&amp;AN1449)+SUMIFS($AK$7:$AK$1570,$BR$7:$BR$1570,BR1449,$AN$7:$AN$1570,AN1449,$BL$7:$BL$1570,"&lt;="&amp;BL1449),"")</f>
        <v/>
      </c>
      <c r="AP1449" s="65">
        <f>IF(AO1449="",0,MAX(0,MIN(1,(IF(BR1449="L1",Parameter!$K$5,Parameter!$K$6+Parameter!$K$7)-(AO1449-AK1449))/AK1449)))</f>
        <v/>
      </c>
      <c r="AQ1449" s="55">
        <f>IF(LEFT(Cockpit!$O$5,1)="A",G1449,IF(BT1449=1,BU1449,IF(LEFT(Cockpit!$O$5,1)="B",AU1449,MAX(AU1449,G1449))))</f>
        <v/>
      </c>
      <c r="AR1449" s="55">
        <f>IF(BO1449=1,0,ROUNDUP(AQ1449/BN1449,0))</f>
        <v/>
      </c>
      <c r="AS1449" s="64">
        <f>IF(BO1449=1,IF(AQ1449&lt;=0,0,BP1449*MAX(1,IF(G1449&gt;0,AQ1449/G1449,1))),AR1449*Q1449)</f>
        <v/>
      </c>
      <c r="AT1449" s="55">
        <f>AQ1449*F1449</f>
        <v/>
      </c>
      <c r="AU1449" s="55">
        <f>ROUNDUP(MAX(I1449/IF(BS1449&gt;0,BS1449,MAX(0.1,N(Cockpit!$O$6))),BV1449)/BN1449,0)*BN1449</f>
        <v/>
      </c>
      <c r="AV1449" s="56">
        <f>IF(AS1449&gt;0,I1449/AS1449,-1)</f>
        <v/>
      </c>
      <c r="AW1449" s="56">
        <f>IF(AND(OR(BR1449="L1",BR1449="L23"),AS1449&gt;0),SUMIFS($AS$7:$AS$1570,$BR$7:$BR$1570,BR1449,$AV$7:$AV$1570,"&gt;"&amp;AV1449)+SUMIFS($AS$7:$AS$1570,$BR$7:$BR$1570,BR1449,$AV$7:$AV$1570,AV1449,$BL$7:$BL$1570,"&lt;="&amp;BL1449),"")</f>
        <v/>
      </c>
      <c r="AX1449" s="65">
        <f>IF(AW1449="",0,MAX(0,MIN(1,(IF(BR1449="L1",Parameter!$K$5,Parameter!$K$6+Parameter!$K$7)-(AW1449-AS1449))/AS1449)))</f>
        <v/>
      </c>
      <c r="AY1449" s="53">
        <f>IF(AC1449&lt;=0,"",IF(BR1449="Aussen","Aussenlager",IF(BR1449="-","Nicht im Lift",IF(AH1449&gt;=1,"Lift",IF(AH1449&lt;=0,"Aussenlager","teilweise")))))</f>
        <v/>
      </c>
      <c r="AZ1449" s="53">
        <f>IF(AK1449&lt;=0,"",IF(BR1449="Aussen","Aussenlager",IF(BR1449="-","Nicht im Lift",IF(AP1449&gt;=1,"Lift",IF(AP1449&lt;=0,"Aussenlager","teilweise")))))</f>
        <v/>
      </c>
      <c r="BA1449" s="53">
        <f>IF(AS1449&lt;=0,"",IF(BR1449="Aussen","Aussenlager",IF(BR1449="-","Nicht im Lift",IF(AX1449&gt;=1,"Lift",IF(AX1449&lt;=0,"Aussenlager","teilweise")))))</f>
        <v/>
      </c>
      <c r="BB1449" s="53">
        <f>IF(A1449="","",IF(BK1449=1,"Neu; ","")&amp;IF(AND(BK1449=0,BF1449&lt;0),"negativer Bestand (Export "&amp;BF1449&amp;"); ","")&amp;IF(I1449&lt;=0,"Kein Verbrauch; ","")&amp;IF(BO1449=1,"Lose – Fläche geschätzt; ","")&amp;IF(G1449&gt;AM1449,"Überbestand "&amp;ROUND(G1449-AM1449,0)&amp;" Stk / CHF "&amp;ROUND((G1449-AM1449)*F1449,0)&amp;"; ","")&amp;IF(AND(BT1449=1,BU1449&lt;BV1449),"MAX &lt; MB+LG; ","")&amp;IF(AND(BZ1449&gt;0,BY1449*10&gt;BZ1449),"zu hoch für Tablar; ","")&amp;IF(AND(BK1449=0,OR(BT1449=1,V1449&lt;&gt;"",S1449&lt;&gt;"",T1449&lt;&gt;"",W1449&lt;&gt;"")),"manuell übersteuert; ","")&amp;IF(AND(BO1449=0,Q1449=0),"Gebinde unbekannt; ","")&amp;IF(AND(BO1449=0,N(T1449)&lt;=0,N(P1449)&lt;=0),"Menge pro Gebinde fehlt (Ist = 1 Gebinde); ","")&amp;BJ1449)</f>
        <v/>
      </c>
      <c r="BC1449" s="53" t="n"/>
      <c r="BD1449" s="53" t="n"/>
      <c r="BE1449" s="61" t="n"/>
      <c r="BF1449" s="55" t="n">
        <v>-3</v>
      </c>
      <c r="BG1449" s="55" t="n">
        <v>0</v>
      </c>
      <c r="BH1449" s="54" t="n">
        <v>-12165.39000000007</v>
      </c>
      <c r="BI1449" s="55" t="n">
        <v>30</v>
      </c>
      <c r="BJ1449" s="53" t="inlineStr"/>
      <c r="BK1449" s="58" t="n">
        <v>0</v>
      </c>
      <c r="BL1449" s="58" t="n">
        <v>1449</v>
      </c>
      <c r="BM1449" s="53">
        <f>IF(S1449&lt;&gt;"",UPPER(TRIM(S1449)),IF(O1449="","LOSE",O1449))</f>
        <v/>
      </c>
      <c r="BN1449" s="55">
        <f>IF(BM1449="LOSE",1,IF(N(T1449)&gt;0,T1449,IF(N(P1449)&gt;0,P1449,MAX(1,G1449))))</f>
        <v/>
      </c>
      <c r="BO1449" s="58">
        <f>IF(BM1449="LOSE",1,0)</f>
        <v/>
      </c>
      <c r="BP1449" s="64">
        <f>IF(BO1449=0,0,IF(N(R1449)&gt;0,R1449,IFERROR(VLOOKUP(D1449,Parameter!$A$35:$C$64,3,0)+0,0)))</f>
        <v/>
      </c>
      <c r="BQ1449" s="53">
        <f>IF(V1449&lt;&gt;"",V1449,U1449)</f>
        <v/>
      </c>
      <c r="BR1449" s="53">
        <f>IF(BQ1449=1,"L1",IF(OR(BQ1449=2,BQ1449=3),"L23",IF(BQ1449="Aussen","Aussen","-")))</f>
        <v/>
      </c>
      <c r="BS1449" s="66">
        <f>IF(N(W1449)&gt;0,W1449,0)</f>
        <v/>
      </c>
      <c r="BT1449" s="58">
        <f>IF(ISNUMBER(Z1449),1,0)</f>
        <v/>
      </c>
      <c r="BU1449" s="55">
        <f>N(Z1449)</f>
        <v/>
      </c>
      <c r="BV1449" s="55">
        <f>N(L1449)+N(M1449)</f>
        <v/>
      </c>
      <c r="BW1449" s="55">
        <f>ROUNDUP(G1449/BN1449,0)</f>
        <v/>
      </c>
      <c r="BX1449" s="55">
        <f>ROUNDUP(BU1449/BN1449,0)</f>
        <v/>
      </c>
      <c r="BY1449" s="58">
        <f>IF(BO1449=1,0,IFERROR(VLOOKUP(BM1449,'Gebinde-Kategorie'!$A$5:$G$45,5,0)+0,0))</f>
        <v/>
      </c>
      <c r="BZ1449" s="58">
        <f>IFERROR(IF(OR(BQ1449=1,BQ1449=2,BQ1449=3),N(INDEX(Parameter!$I$5:$I$7,BQ1449)),0),0)</f>
        <v/>
      </c>
    </row>
    <row r="1450">
      <c r="A1450" s="53" t="inlineStr">
        <is>
          <t>106579</t>
        </is>
      </c>
      <c r="B1450" s="53" t="inlineStr">
        <is>
          <t>Drucktransmitter</t>
        </is>
      </c>
      <c r="C1450" s="53" t="inlineStr">
        <is>
          <t>F</t>
        </is>
      </c>
      <c r="D1450" s="53" t="inlineStr">
        <is>
          <t>KTL</t>
        </is>
      </c>
      <c r="E1450" s="53" t="inlineStr"/>
      <c r="F1450" s="54" t="n">
        <v>456.15</v>
      </c>
      <c r="G1450" s="55">
        <f>MAX(0,IF(Parameter!$B$20="Jahresanfang 2025 + Export",BG1450+BF1450,BF1450))</f>
        <v/>
      </c>
      <c r="H1450" s="55">
        <f>G1450*F1450</f>
        <v/>
      </c>
      <c r="I1450" s="55">
        <f>BI1450*Parameter!$B$18</f>
        <v/>
      </c>
      <c r="J1450" s="56" t="n"/>
      <c r="K1450" s="57" t="n"/>
      <c r="L1450" s="55" t="n">
        <v>1</v>
      </c>
      <c r="M1450" s="55" t="n">
        <v>20</v>
      </c>
      <c r="N1450" s="58" t="n"/>
      <c r="O1450" s="53" t="inlineStr">
        <is>
          <t>S52</t>
        </is>
      </c>
      <c r="P1450" s="55" t="n">
        <v>24</v>
      </c>
      <c r="Q1450" s="59">
        <f>IF(BO1450=1,0,IFERROR(VLOOKUP(BM1450,'Gebinde-Kategorie'!$A$5:$G$45,6,0)+0,0))</f>
        <v/>
      </c>
      <c r="R1450" s="60" t="n"/>
      <c r="S1450" s="61" t="n"/>
      <c r="T1450" s="61" t="n"/>
      <c r="U1450" s="53">
        <f>IF(A1450="","",IF(IFERROR(VLOOKUP(D1450,Parameter!$A$35:$C$64,2,0),"Nein")="2+3",IF(ISNUMBER(SEARCH("grosser Artikel",BJ1450)),2,IFERROR(VLOOKUP(BM1450,Parameter!$F$35:$G$64,2,0),2)),IF(OR(IFERROR(VLOOKUP(D1450,Parameter!$A$35:$C$64,2,0),"Nein")="Nein",IFERROR(VLOOKUP(D1450,Parameter!$A$35:$C$64,2,0),"Nein")=""),"-",VLOOKUP(D1450,Parameter!$A$35:$C$64,2,0))))</f>
        <v/>
      </c>
      <c r="V1450" s="61" t="n"/>
      <c r="W1450" s="62" t="n"/>
      <c r="X1450" s="55">
        <f>AM1450</f>
        <v/>
      </c>
      <c r="Y1450" s="55">
        <f>MAX(AM1450,G1450)</f>
        <v/>
      </c>
      <c r="Z1450" s="63" t="n"/>
      <c r="AA1450" s="55">
        <f>IF(LEFT(Cockpit!$C$5,1)="A",G1450,IF(BT1450=1,BU1450,IF(LEFT(Cockpit!$C$5,1)="B",AE1450,MAX(AE1450,G1450))))</f>
        <v/>
      </c>
      <c r="AB1450" s="55">
        <f>IF(BO1450=1,0,ROUNDUP(AA1450/BN1450,0))</f>
        <v/>
      </c>
      <c r="AC1450" s="64">
        <f>IF(BO1450=1,IF(AA1450&lt;=0,0,BP1450*MAX(1,IF(G1450&gt;0,AA1450/G1450,1))),AB1450*Q1450)</f>
        <v/>
      </c>
      <c r="AD1450" s="55">
        <f>AA1450*F1450</f>
        <v/>
      </c>
      <c r="AE1450" s="55">
        <f>ROUNDUP(MAX(I1450/IF(BS1450&gt;0,BS1450,MAX(0.1,N(Cockpit!$C$6))),BV1450)/BN1450,0)*BN1450</f>
        <v/>
      </c>
      <c r="AF1450" s="56">
        <f>IF(AC1450&gt;0,I1450/AC1450,-1)</f>
        <v/>
      </c>
      <c r="AG1450" s="56">
        <f>IF(AND(OR(BR1450="L1",BR1450="L23"),AC1450&gt;0),SUMIFS($AC$7:$AC$1570,$BR$7:$BR$1570,BR1450,$AF$7:$AF$1570,"&gt;"&amp;AF1450)+SUMIFS($AC$7:$AC$1570,$BR$7:$BR$1570,BR1450,$AF$7:$AF$1570,AF1450,$BL$7:$BL$1570,"&lt;="&amp;BL1450),"")</f>
        <v/>
      </c>
      <c r="AH1450" s="65">
        <f>IF(AG1450="",0,MAX(0,MIN(1,(IF(BR1450="L1",Parameter!$K$5,Parameter!$K$6+Parameter!$K$7)-(AG1450-AC1450))/AC1450)))</f>
        <v/>
      </c>
      <c r="AI1450" s="55">
        <f>IF(LEFT(Cockpit!$I$5,1)="A",G1450,IF(BT1450=1,BU1450,IF(LEFT(Cockpit!$I$5,1)="B",AM1450,MAX(AM1450,G1450))))</f>
        <v/>
      </c>
      <c r="AJ1450" s="55">
        <f>IF(BO1450=1,0,ROUNDUP(AI1450/BN1450,0))</f>
        <v/>
      </c>
      <c r="AK1450" s="64">
        <f>IF(BO1450=1,IF(AI1450&lt;=0,0,BP1450*MAX(1,IF(G1450&gt;0,AI1450/G1450,1))),AJ1450*Q1450)</f>
        <v/>
      </c>
      <c r="AL1450" s="55">
        <f>AI1450*F1450</f>
        <v/>
      </c>
      <c r="AM1450" s="55">
        <f>ROUNDUP(MAX(I1450/IF(BS1450&gt;0,BS1450,MAX(0.1,N(Cockpit!$I$6))),BV1450)/BN1450,0)*BN1450</f>
        <v/>
      </c>
      <c r="AN1450" s="56">
        <f>IF(AK1450&gt;0,I1450/AK1450,-1)</f>
        <v/>
      </c>
      <c r="AO1450" s="56">
        <f>IF(AND(OR(BR1450="L1",BR1450="L23"),AK1450&gt;0),SUMIFS($AK$7:$AK$1570,$BR$7:$BR$1570,BR1450,$AN$7:$AN$1570,"&gt;"&amp;AN1450)+SUMIFS($AK$7:$AK$1570,$BR$7:$BR$1570,BR1450,$AN$7:$AN$1570,AN1450,$BL$7:$BL$1570,"&lt;="&amp;BL1450),"")</f>
        <v/>
      </c>
      <c r="AP1450" s="65">
        <f>IF(AO1450="",0,MAX(0,MIN(1,(IF(BR1450="L1",Parameter!$K$5,Parameter!$K$6+Parameter!$K$7)-(AO1450-AK1450))/AK1450)))</f>
        <v/>
      </c>
      <c r="AQ1450" s="55">
        <f>IF(LEFT(Cockpit!$O$5,1)="A",G1450,IF(BT1450=1,BU1450,IF(LEFT(Cockpit!$O$5,1)="B",AU1450,MAX(AU1450,G1450))))</f>
        <v/>
      </c>
      <c r="AR1450" s="55">
        <f>IF(BO1450=1,0,ROUNDUP(AQ1450/BN1450,0))</f>
        <v/>
      </c>
      <c r="AS1450" s="64">
        <f>IF(BO1450=1,IF(AQ1450&lt;=0,0,BP1450*MAX(1,IF(G1450&gt;0,AQ1450/G1450,1))),AR1450*Q1450)</f>
        <v/>
      </c>
      <c r="AT1450" s="55">
        <f>AQ1450*F1450</f>
        <v/>
      </c>
      <c r="AU1450" s="55">
        <f>ROUNDUP(MAX(I1450/IF(BS1450&gt;0,BS1450,MAX(0.1,N(Cockpit!$O$6))),BV1450)/BN1450,0)*BN1450</f>
        <v/>
      </c>
      <c r="AV1450" s="56">
        <f>IF(AS1450&gt;0,I1450/AS1450,-1)</f>
        <v/>
      </c>
      <c r="AW1450" s="56">
        <f>IF(AND(OR(BR1450="L1",BR1450="L23"),AS1450&gt;0),SUMIFS($AS$7:$AS$1570,$BR$7:$BR$1570,BR1450,$AV$7:$AV$1570,"&gt;"&amp;AV1450)+SUMIFS($AS$7:$AS$1570,$BR$7:$BR$1570,BR1450,$AV$7:$AV$1570,AV1450,$BL$7:$BL$1570,"&lt;="&amp;BL1450),"")</f>
        <v/>
      </c>
      <c r="AX1450" s="65">
        <f>IF(AW1450="",0,MAX(0,MIN(1,(IF(BR1450="L1",Parameter!$K$5,Parameter!$K$6+Parameter!$K$7)-(AW1450-AS1450))/AS1450)))</f>
        <v/>
      </c>
      <c r="AY1450" s="53">
        <f>IF(AC1450&lt;=0,"",IF(BR1450="Aussen","Aussenlager",IF(BR1450="-","Nicht im Lift",IF(AH1450&gt;=1,"Lift",IF(AH1450&lt;=0,"Aussenlager","teilweise")))))</f>
        <v/>
      </c>
      <c r="AZ1450" s="53">
        <f>IF(AK1450&lt;=0,"",IF(BR1450="Aussen","Aussenlager",IF(BR1450="-","Nicht im Lift",IF(AP1450&gt;=1,"Lift",IF(AP1450&lt;=0,"Aussenlager","teilweise")))))</f>
        <v/>
      </c>
      <c r="BA1450" s="53">
        <f>IF(AS1450&lt;=0,"",IF(BR1450="Aussen","Aussenlager",IF(BR1450="-","Nicht im Lift",IF(AX1450&gt;=1,"Lift",IF(AX1450&lt;=0,"Aussenlager","teilweise")))))</f>
        <v/>
      </c>
      <c r="BB1450" s="53">
        <f>IF(A1450="","",IF(BK1450=1,"Neu; ","")&amp;IF(AND(BK1450=0,BF1450&lt;0),"negativer Bestand (Export "&amp;BF1450&amp;"); ","")&amp;IF(I1450&lt;=0,"Kein Verbrauch; ","")&amp;IF(BO1450=1,"Lose – Fläche geschätzt; ","")&amp;IF(G1450&gt;AM1450,"Überbestand "&amp;ROUND(G1450-AM1450,0)&amp;" Stk / CHF "&amp;ROUND((G1450-AM1450)*F1450,0)&amp;"; ","")&amp;IF(AND(BT1450=1,BU1450&lt;BV1450),"MAX &lt; MB+LG; ","")&amp;IF(AND(BZ1450&gt;0,BY1450*10&gt;BZ1450),"zu hoch für Tablar; ","")&amp;IF(AND(BK1450=0,OR(BT1450=1,V1450&lt;&gt;"",S1450&lt;&gt;"",T1450&lt;&gt;"",W1450&lt;&gt;"")),"manuell übersteuert; ","")&amp;IF(AND(BO1450=0,Q1450=0),"Gebinde unbekannt; ","")&amp;IF(AND(BO1450=0,N(T1450)&lt;=0,N(P1450)&lt;=0),"Menge pro Gebinde fehlt (Ist = 1 Gebinde); ","")&amp;BJ1450)</f>
        <v/>
      </c>
      <c r="BC1450" s="53" t="n"/>
      <c r="BD1450" s="53" t="n"/>
      <c r="BE1450" s="61" t="n"/>
      <c r="BF1450" s="55" t="n">
        <v>-33</v>
      </c>
      <c r="BG1450" s="55" t="n">
        <v>0</v>
      </c>
      <c r="BH1450" s="54" t="n">
        <v>-12841.95</v>
      </c>
      <c r="BI1450" s="55" t="n">
        <v>9</v>
      </c>
      <c r="BJ1450" s="53" t="inlineStr">
        <is>
          <t>twin</t>
        </is>
      </c>
      <c r="BK1450" s="58" t="n">
        <v>0</v>
      </c>
      <c r="BL1450" s="58" t="n">
        <v>1450</v>
      </c>
      <c r="BM1450" s="53">
        <f>IF(S1450&lt;&gt;"",UPPER(TRIM(S1450)),IF(O1450="","LOSE",O1450))</f>
        <v/>
      </c>
      <c r="BN1450" s="55">
        <f>IF(BM1450="LOSE",1,IF(N(T1450)&gt;0,T1450,IF(N(P1450)&gt;0,P1450,MAX(1,G1450))))</f>
        <v/>
      </c>
      <c r="BO1450" s="58">
        <f>IF(BM1450="LOSE",1,0)</f>
        <v/>
      </c>
      <c r="BP1450" s="64">
        <f>IF(BO1450=0,0,IF(N(R1450)&gt;0,R1450,IFERROR(VLOOKUP(D1450,Parameter!$A$35:$C$64,3,0)+0,0)))</f>
        <v/>
      </c>
      <c r="BQ1450" s="53">
        <f>IF(V1450&lt;&gt;"",V1450,U1450)</f>
        <v/>
      </c>
      <c r="BR1450" s="53">
        <f>IF(BQ1450=1,"L1",IF(OR(BQ1450=2,BQ1450=3),"L23",IF(BQ1450="Aussen","Aussen","-")))</f>
        <v/>
      </c>
      <c r="BS1450" s="66">
        <f>IF(N(W1450)&gt;0,W1450,0)</f>
        <v/>
      </c>
      <c r="BT1450" s="58">
        <f>IF(ISNUMBER(Z1450),1,0)</f>
        <v/>
      </c>
      <c r="BU1450" s="55">
        <f>N(Z1450)</f>
        <v/>
      </c>
      <c r="BV1450" s="55">
        <f>N(L1450)+N(M1450)</f>
        <v/>
      </c>
      <c r="BW1450" s="55">
        <f>ROUNDUP(G1450/BN1450,0)</f>
        <v/>
      </c>
      <c r="BX1450" s="55">
        <f>ROUNDUP(BU1450/BN1450,0)</f>
        <v/>
      </c>
      <c r="BY1450" s="58">
        <f>IF(BO1450=1,0,IFERROR(VLOOKUP(BM1450,'Gebinde-Kategorie'!$A$5:$G$45,5,0)+0,0))</f>
        <v/>
      </c>
      <c r="BZ1450" s="58">
        <f>IFERROR(IF(OR(BQ1450=1,BQ1450=2,BQ1450=3),N(INDEX(Parameter!$I$5:$I$7,BQ1450)),0),0)</f>
        <v/>
      </c>
    </row>
    <row r="1451">
      <c r="A1451" s="53" t="inlineStr">
        <is>
          <t>100058</t>
        </is>
      </c>
      <c r="B1451" s="53" t="inlineStr">
        <is>
          <t>Kolben</t>
        </is>
      </c>
      <c r="C1451" s="53" t="inlineStr">
        <is>
          <t>F</t>
        </is>
      </c>
      <c r="D1451" s="53" t="inlineStr">
        <is>
          <t>PAL</t>
        </is>
      </c>
      <c r="E1451" s="53" t="inlineStr"/>
      <c r="F1451" s="54" t="n">
        <v>216.49</v>
      </c>
      <c r="G1451" s="55">
        <f>MAX(0,IF(Parameter!$B$20="Jahresanfang 2025 + Export",BG1451+BF1451,BF1451))</f>
        <v/>
      </c>
      <c r="H1451" s="55">
        <f>G1451*F1451</f>
        <v/>
      </c>
      <c r="I1451" s="55">
        <f>BI1451*Parameter!$B$18</f>
        <v/>
      </c>
      <c r="J1451" s="56" t="n"/>
      <c r="K1451" s="57" t="n"/>
      <c r="L1451" s="55" t="n">
        <v>49</v>
      </c>
      <c r="M1451" s="55" t="n">
        <v>90</v>
      </c>
      <c r="N1451" s="58" t="n"/>
      <c r="O1451" s="53" t="inlineStr">
        <is>
          <t>S71</t>
        </is>
      </c>
      <c r="P1451" s="55" t="n">
        <v>30</v>
      </c>
      <c r="Q1451" s="59">
        <f>IF(BO1451=1,0,IFERROR(VLOOKUP(BM1451,'Gebinde-Kategorie'!$A$5:$G$45,6,0)+0,0))</f>
        <v/>
      </c>
      <c r="R1451" s="60" t="n"/>
      <c r="S1451" s="61" t="n"/>
      <c r="T1451" s="61" t="n"/>
      <c r="U1451" s="53">
        <f>IF(A1451="","",IF(IFERROR(VLOOKUP(D1451,Parameter!$A$35:$C$64,2,0),"Nein")="2+3",IF(ISNUMBER(SEARCH("grosser Artikel",BJ1451)),2,IFERROR(VLOOKUP(BM1451,Parameter!$F$35:$G$64,2,0),2)),IF(OR(IFERROR(VLOOKUP(D1451,Parameter!$A$35:$C$64,2,0),"Nein")="Nein",IFERROR(VLOOKUP(D1451,Parameter!$A$35:$C$64,2,0),"Nein")=""),"-",VLOOKUP(D1451,Parameter!$A$35:$C$64,2,0))))</f>
        <v/>
      </c>
      <c r="V1451" s="61" t="n"/>
      <c r="W1451" s="62" t="n"/>
      <c r="X1451" s="55">
        <f>AM1451</f>
        <v/>
      </c>
      <c r="Y1451" s="55">
        <f>MAX(AM1451,G1451)</f>
        <v/>
      </c>
      <c r="Z1451" s="63" t="n"/>
      <c r="AA1451" s="55">
        <f>IF(LEFT(Cockpit!$C$5,1)="A",G1451,IF(BT1451=1,BU1451,IF(LEFT(Cockpit!$C$5,1)="B",AE1451,MAX(AE1451,G1451))))</f>
        <v/>
      </c>
      <c r="AB1451" s="55">
        <f>IF(BO1451=1,0,ROUNDUP(AA1451/BN1451,0))</f>
        <v/>
      </c>
      <c r="AC1451" s="64">
        <f>IF(BO1451=1,IF(AA1451&lt;=0,0,BP1451*MAX(1,IF(G1451&gt;0,AA1451/G1451,1))),AB1451*Q1451)</f>
        <v/>
      </c>
      <c r="AD1451" s="55">
        <f>AA1451*F1451</f>
        <v/>
      </c>
      <c r="AE1451" s="55">
        <f>ROUNDUP(MAX(I1451/IF(BS1451&gt;0,BS1451,MAX(0.1,N(Cockpit!$C$6))),BV1451)/BN1451,0)*BN1451</f>
        <v/>
      </c>
      <c r="AF1451" s="56">
        <f>IF(AC1451&gt;0,I1451/AC1451,-1)</f>
        <v/>
      </c>
      <c r="AG1451" s="56">
        <f>IF(AND(OR(BR1451="L1",BR1451="L23"),AC1451&gt;0),SUMIFS($AC$7:$AC$1570,$BR$7:$BR$1570,BR1451,$AF$7:$AF$1570,"&gt;"&amp;AF1451)+SUMIFS($AC$7:$AC$1570,$BR$7:$BR$1570,BR1451,$AF$7:$AF$1570,AF1451,$BL$7:$BL$1570,"&lt;="&amp;BL1451),"")</f>
        <v/>
      </c>
      <c r="AH1451" s="65">
        <f>IF(AG1451="",0,MAX(0,MIN(1,(IF(BR1451="L1",Parameter!$K$5,Parameter!$K$6+Parameter!$K$7)-(AG1451-AC1451))/AC1451)))</f>
        <v/>
      </c>
      <c r="AI1451" s="55">
        <f>IF(LEFT(Cockpit!$I$5,1)="A",G1451,IF(BT1451=1,BU1451,IF(LEFT(Cockpit!$I$5,1)="B",AM1451,MAX(AM1451,G1451))))</f>
        <v/>
      </c>
      <c r="AJ1451" s="55">
        <f>IF(BO1451=1,0,ROUNDUP(AI1451/BN1451,0))</f>
        <v/>
      </c>
      <c r="AK1451" s="64">
        <f>IF(BO1451=1,IF(AI1451&lt;=0,0,BP1451*MAX(1,IF(G1451&gt;0,AI1451/G1451,1))),AJ1451*Q1451)</f>
        <v/>
      </c>
      <c r="AL1451" s="55">
        <f>AI1451*F1451</f>
        <v/>
      </c>
      <c r="AM1451" s="55">
        <f>ROUNDUP(MAX(I1451/IF(BS1451&gt;0,BS1451,MAX(0.1,N(Cockpit!$I$6))),BV1451)/BN1451,0)*BN1451</f>
        <v/>
      </c>
      <c r="AN1451" s="56">
        <f>IF(AK1451&gt;0,I1451/AK1451,-1)</f>
        <v/>
      </c>
      <c r="AO1451" s="56">
        <f>IF(AND(OR(BR1451="L1",BR1451="L23"),AK1451&gt;0),SUMIFS($AK$7:$AK$1570,$BR$7:$BR$1570,BR1451,$AN$7:$AN$1570,"&gt;"&amp;AN1451)+SUMIFS($AK$7:$AK$1570,$BR$7:$BR$1570,BR1451,$AN$7:$AN$1570,AN1451,$BL$7:$BL$1570,"&lt;="&amp;BL1451),"")</f>
        <v/>
      </c>
      <c r="AP1451" s="65">
        <f>IF(AO1451="",0,MAX(0,MIN(1,(IF(BR1451="L1",Parameter!$K$5,Parameter!$K$6+Parameter!$K$7)-(AO1451-AK1451))/AK1451)))</f>
        <v/>
      </c>
      <c r="AQ1451" s="55">
        <f>IF(LEFT(Cockpit!$O$5,1)="A",G1451,IF(BT1451=1,BU1451,IF(LEFT(Cockpit!$O$5,1)="B",AU1451,MAX(AU1451,G1451))))</f>
        <v/>
      </c>
      <c r="AR1451" s="55">
        <f>IF(BO1451=1,0,ROUNDUP(AQ1451/BN1451,0))</f>
        <v/>
      </c>
      <c r="AS1451" s="64">
        <f>IF(BO1451=1,IF(AQ1451&lt;=0,0,BP1451*MAX(1,IF(G1451&gt;0,AQ1451/G1451,1))),AR1451*Q1451)</f>
        <v/>
      </c>
      <c r="AT1451" s="55">
        <f>AQ1451*F1451</f>
        <v/>
      </c>
      <c r="AU1451" s="55">
        <f>ROUNDUP(MAX(I1451/IF(BS1451&gt;0,BS1451,MAX(0.1,N(Cockpit!$O$6))),BV1451)/BN1451,0)*BN1451</f>
        <v/>
      </c>
      <c r="AV1451" s="56">
        <f>IF(AS1451&gt;0,I1451/AS1451,-1)</f>
        <v/>
      </c>
      <c r="AW1451" s="56">
        <f>IF(AND(OR(BR1451="L1",BR1451="L23"),AS1451&gt;0),SUMIFS($AS$7:$AS$1570,$BR$7:$BR$1570,BR1451,$AV$7:$AV$1570,"&gt;"&amp;AV1451)+SUMIFS($AS$7:$AS$1570,$BR$7:$BR$1570,BR1451,$AV$7:$AV$1570,AV1451,$BL$7:$BL$1570,"&lt;="&amp;BL1451),"")</f>
        <v/>
      </c>
      <c r="AX1451" s="65">
        <f>IF(AW1451="",0,MAX(0,MIN(1,(IF(BR1451="L1",Parameter!$K$5,Parameter!$K$6+Parameter!$K$7)-(AW1451-AS1451))/AS1451)))</f>
        <v/>
      </c>
      <c r="AY1451" s="53">
        <f>IF(AC1451&lt;=0,"",IF(BR1451="Aussen","Aussenlager",IF(BR1451="-","Nicht im Lift",IF(AH1451&gt;=1,"Lift",IF(AH1451&lt;=0,"Aussenlager","teilweise")))))</f>
        <v/>
      </c>
      <c r="AZ1451" s="53">
        <f>IF(AK1451&lt;=0,"",IF(BR1451="Aussen","Aussenlager",IF(BR1451="-","Nicht im Lift",IF(AP1451&gt;=1,"Lift",IF(AP1451&lt;=0,"Aussenlager","teilweise")))))</f>
        <v/>
      </c>
      <c r="BA1451" s="53">
        <f>IF(AS1451&lt;=0,"",IF(BR1451="Aussen","Aussenlager",IF(BR1451="-","Nicht im Lift",IF(AX1451&gt;=1,"Lift",IF(AX1451&lt;=0,"Aussenlager","teilweise")))))</f>
        <v/>
      </c>
      <c r="BB1451" s="53">
        <f>IF(A1451="","",IF(BK1451=1,"Neu; ","")&amp;IF(AND(BK1451=0,BF1451&lt;0),"negativer Bestand (Export "&amp;BF1451&amp;"); ","")&amp;IF(I1451&lt;=0,"Kein Verbrauch; ","")&amp;IF(BO1451=1,"Lose – Fläche geschätzt; ","")&amp;IF(G1451&gt;AM1451,"Überbestand "&amp;ROUND(G1451-AM1451,0)&amp;" Stk / CHF "&amp;ROUND((G1451-AM1451)*F1451,0)&amp;"; ","")&amp;IF(AND(BT1451=1,BU1451&lt;BV1451),"MAX &lt; MB+LG; ","")&amp;IF(AND(BZ1451&gt;0,BY1451*10&gt;BZ1451),"zu hoch für Tablar; ","")&amp;IF(AND(BK1451=0,OR(BT1451=1,V1451&lt;&gt;"",S1451&lt;&gt;"",T1451&lt;&gt;"",W1451&lt;&gt;"")),"manuell übersteuert; ","")&amp;IF(AND(BO1451=0,Q1451=0),"Gebinde unbekannt; ","")&amp;IF(AND(BO1451=0,N(T1451)&lt;=0,N(P1451)&lt;=0),"Menge pro Gebinde fehlt (Ist = 1 Gebinde); ","")&amp;BJ1451)</f>
        <v/>
      </c>
      <c r="BC1451" s="53" t="n"/>
      <c r="BD1451" s="53" t="n"/>
      <c r="BE1451" s="61" t="n"/>
      <c r="BF1451" s="55" t="n">
        <v>-57</v>
      </c>
      <c r="BG1451" s="55" t="n">
        <v>0</v>
      </c>
      <c r="BH1451" s="54" t="n">
        <v>-12923.04</v>
      </c>
      <c r="BI1451" s="55" t="n">
        <v>849</v>
      </c>
      <c r="BJ1451" s="53" t="inlineStr">
        <is>
          <t>grosser Artikel &amp; nicht im KTL</t>
        </is>
      </c>
      <c r="BK1451" s="58" t="n">
        <v>0</v>
      </c>
      <c r="BL1451" s="58" t="n">
        <v>1451</v>
      </c>
      <c r="BM1451" s="53">
        <f>IF(S1451&lt;&gt;"",UPPER(TRIM(S1451)),IF(O1451="","LOSE",O1451))</f>
        <v/>
      </c>
      <c r="BN1451" s="55">
        <f>IF(BM1451="LOSE",1,IF(N(T1451)&gt;0,T1451,IF(N(P1451)&gt;0,P1451,MAX(1,G1451))))</f>
        <v/>
      </c>
      <c r="BO1451" s="58">
        <f>IF(BM1451="LOSE",1,0)</f>
        <v/>
      </c>
      <c r="BP1451" s="64">
        <f>IF(BO1451=0,0,IF(N(R1451)&gt;0,R1451,IFERROR(VLOOKUP(D1451,Parameter!$A$35:$C$64,3,0)+0,0)))</f>
        <v/>
      </c>
      <c r="BQ1451" s="53">
        <f>IF(V1451&lt;&gt;"",V1451,U1451)</f>
        <v/>
      </c>
      <c r="BR1451" s="53">
        <f>IF(BQ1451=1,"L1",IF(OR(BQ1451=2,BQ1451=3),"L23",IF(BQ1451="Aussen","Aussen","-")))</f>
        <v/>
      </c>
      <c r="BS1451" s="66">
        <f>IF(N(W1451)&gt;0,W1451,0)</f>
        <v/>
      </c>
      <c r="BT1451" s="58">
        <f>IF(ISNUMBER(Z1451),1,0)</f>
        <v/>
      </c>
      <c r="BU1451" s="55">
        <f>N(Z1451)</f>
        <v/>
      </c>
      <c r="BV1451" s="55">
        <f>N(L1451)+N(M1451)</f>
        <v/>
      </c>
      <c r="BW1451" s="55">
        <f>ROUNDUP(G1451/BN1451,0)</f>
        <v/>
      </c>
      <c r="BX1451" s="55">
        <f>ROUNDUP(BU1451/BN1451,0)</f>
        <v/>
      </c>
      <c r="BY1451" s="58">
        <f>IF(BO1451=1,0,IFERROR(VLOOKUP(BM1451,'Gebinde-Kategorie'!$A$5:$G$45,5,0)+0,0))</f>
        <v/>
      </c>
      <c r="BZ1451" s="58">
        <f>IFERROR(IF(OR(BQ1451=1,BQ1451=2,BQ1451=3),N(INDEX(Parameter!$I$5:$I$7,BQ1451)),0),0)</f>
        <v/>
      </c>
    </row>
    <row r="1452">
      <c r="A1452" s="53" t="inlineStr">
        <is>
          <t>107568</t>
        </is>
      </c>
      <c r="B1452" s="53" t="inlineStr">
        <is>
          <t>Federflansch</t>
        </is>
      </c>
      <c r="C1452" s="53" t="inlineStr">
        <is>
          <t>F</t>
        </is>
      </c>
      <c r="D1452" s="53" t="inlineStr">
        <is>
          <t>PAL</t>
        </is>
      </c>
      <c r="E1452" s="53" t="inlineStr"/>
      <c r="F1452" s="54" t="n">
        <v>457</v>
      </c>
      <c r="G1452" s="55">
        <f>MAX(0,IF(Parameter!$B$20="Jahresanfang 2025 + Export",BG1452+BF1452,BF1452))</f>
        <v/>
      </c>
      <c r="H1452" s="55">
        <f>G1452*F1452</f>
        <v/>
      </c>
      <c r="I1452" s="55">
        <f>BI1452*Parameter!$B$18</f>
        <v/>
      </c>
      <c r="J1452" s="56" t="n"/>
      <c r="K1452" s="57" t="n"/>
      <c r="L1452" s="55" t="n">
        <v>0</v>
      </c>
      <c r="M1452" s="55" t="n">
        <v>1</v>
      </c>
      <c r="N1452" s="58" t="n"/>
      <c r="O1452" s="53" t="inlineStr">
        <is>
          <t>S71</t>
        </is>
      </c>
      <c r="P1452" s="55" t="n">
        <v>4</v>
      </c>
      <c r="Q1452" s="59">
        <f>IF(BO1452=1,0,IFERROR(VLOOKUP(BM1452,'Gebinde-Kategorie'!$A$5:$G$45,6,0)+0,0))</f>
        <v/>
      </c>
      <c r="R1452" s="60" t="n"/>
      <c r="S1452" s="61" t="n"/>
      <c r="T1452" s="61" t="n"/>
      <c r="U1452" s="53">
        <f>IF(A1452="","",IF(IFERROR(VLOOKUP(D1452,Parameter!$A$35:$C$64,2,0),"Nein")="2+3",IF(ISNUMBER(SEARCH("grosser Artikel",BJ1452)),2,IFERROR(VLOOKUP(BM1452,Parameter!$F$35:$G$64,2,0),2)),IF(OR(IFERROR(VLOOKUP(D1452,Parameter!$A$35:$C$64,2,0),"Nein")="Nein",IFERROR(VLOOKUP(D1452,Parameter!$A$35:$C$64,2,0),"Nein")=""),"-",VLOOKUP(D1452,Parameter!$A$35:$C$64,2,0))))</f>
        <v/>
      </c>
      <c r="V1452" s="61" t="n"/>
      <c r="W1452" s="62" t="n"/>
      <c r="X1452" s="55">
        <f>AM1452</f>
        <v/>
      </c>
      <c r="Y1452" s="55">
        <f>MAX(AM1452,G1452)</f>
        <v/>
      </c>
      <c r="Z1452" s="63" t="n"/>
      <c r="AA1452" s="55">
        <f>IF(LEFT(Cockpit!$C$5,1)="A",G1452,IF(BT1452=1,BU1452,IF(LEFT(Cockpit!$C$5,1)="B",AE1452,MAX(AE1452,G1452))))</f>
        <v/>
      </c>
      <c r="AB1452" s="55">
        <f>IF(BO1452=1,0,ROUNDUP(AA1452/BN1452,0))</f>
        <v/>
      </c>
      <c r="AC1452" s="64">
        <f>IF(BO1452=1,IF(AA1452&lt;=0,0,BP1452*MAX(1,IF(G1452&gt;0,AA1452/G1452,1))),AB1452*Q1452)</f>
        <v/>
      </c>
      <c r="AD1452" s="55">
        <f>AA1452*F1452</f>
        <v/>
      </c>
      <c r="AE1452" s="55">
        <f>ROUNDUP(MAX(I1452/IF(BS1452&gt;0,BS1452,MAX(0.1,N(Cockpit!$C$6))),BV1452)/BN1452,0)*BN1452</f>
        <v/>
      </c>
      <c r="AF1452" s="56">
        <f>IF(AC1452&gt;0,I1452/AC1452,-1)</f>
        <v/>
      </c>
      <c r="AG1452" s="56">
        <f>IF(AND(OR(BR1452="L1",BR1452="L23"),AC1452&gt;0),SUMIFS($AC$7:$AC$1570,$BR$7:$BR$1570,BR1452,$AF$7:$AF$1570,"&gt;"&amp;AF1452)+SUMIFS($AC$7:$AC$1570,$BR$7:$BR$1570,BR1452,$AF$7:$AF$1570,AF1452,$BL$7:$BL$1570,"&lt;="&amp;BL1452),"")</f>
        <v/>
      </c>
      <c r="AH1452" s="65">
        <f>IF(AG1452="",0,MAX(0,MIN(1,(IF(BR1452="L1",Parameter!$K$5,Parameter!$K$6+Parameter!$K$7)-(AG1452-AC1452))/AC1452)))</f>
        <v/>
      </c>
      <c r="AI1452" s="55">
        <f>IF(LEFT(Cockpit!$I$5,1)="A",G1452,IF(BT1452=1,BU1452,IF(LEFT(Cockpit!$I$5,1)="B",AM1452,MAX(AM1452,G1452))))</f>
        <v/>
      </c>
      <c r="AJ1452" s="55">
        <f>IF(BO1452=1,0,ROUNDUP(AI1452/BN1452,0))</f>
        <v/>
      </c>
      <c r="AK1452" s="64">
        <f>IF(BO1452=1,IF(AI1452&lt;=0,0,BP1452*MAX(1,IF(G1452&gt;0,AI1452/G1452,1))),AJ1452*Q1452)</f>
        <v/>
      </c>
      <c r="AL1452" s="55">
        <f>AI1452*F1452</f>
        <v/>
      </c>
      <c r="AM1452" s="55">
        <f>ROUNDUP(MAX(I1452/IF(BS1452&gt;0,BS1452,MAX(0.1,N(Cockpit!$I$6))),BV1452)/BN1452,0)*BN1452</f>
        <v/>
      </c>
      <c r="AN1452" s="56">
        <f>IF(AK1452&gt;0,I1452/AK1452,-1)</f>
        <v/>
      </c>
      <c r="AO1452" s="56">
        <f>IF(AND(OR(BR1452="L1",BR1452="L23"),AK1452&gt;0),SUMIFS($AK$7:$AK$1570,$BR$7:$BR$1570,BR1452,$AN$7:$AN$1570,"&gt;"&amp;AN1452)+SUMIFS($AK$7:$AK$1570,$BR$7:$BR$1570,BR1452,$AN$7:$AN$1570,AN1452,$BL$7:$BL$1570,"&lt;="&amp;BL1452),"")</f>
        <v/>
      </c>
      <c r="AP1452" s="65">
        <f>IF(AO1452="",0,MAX(0,MIN(1,(IF(BR1452="L1",Parameter!$K$5,Parameter!$K$6+Parameter!$K$7)-(AO1452-AK1452))/AK1452)))</f>
        <v/>
      </c>
      <c r="AQ1452" s="55">
        <f>IF(LEFT(Cockpit!$O$5,1)="A",G1452,IF(BT1452=1,BU1452,IF(LEFT(Cockpit!$O$5,1)="B",AU1452,MAX(AU1452,G1452))))</f>
        <v/>
      </c>
      <c r="AR1452" s="55">
        <f>IF(BO1452=1,0,ROUNDUP(AQ1452/BN1452,0))</f>
        <v/>
      </c>
      <c r="AS1452" s="64">
        <f>IF(BO1452=1,IF(AQ1452&lt;=0,0,BP1452*MAX(1,IF(G1452&gt;0,AQ1452/G1452,1))),AR1452*Q1452)</f>
        <v/>
      </c>
      <c r="AT1452" s="55">
        <f>AQ1452*F1452</f>
        <v/>
      </c>
      <c r="AU1452" s="55">
        <f>ROUNDUP(MAX(I1452/IF(BS1452&gt;0,BS1452,MAX(0.1,N(Cockpit!$O$6))),BV1452)/BN1452,0)*BN1452</f>
        <v/>
      </c>
      <c r="AV1452" s="56">
        <f>IF(AS1452&gt;0,I1452/AS1452,-1)</f>
        <v/>
      </c>
      <c r="AW1452" s="56">
        <f>IF(AND(OR(BR1452="L1",BR1452="L23"),AS1452&gt;0),SUMIFS($AS$7:$AS$1570,$BR$7:$BR$1570,BR1452,$AV$7:$AV$1570,"&gt;"&amp;AV1452)+SUMIFS($AS$7:$AS$1570,$BR$7:$BR$1570,BR1452,$AV$7:$AV$1570,AV1452,$BL$7:$BL$1570,"&lt;="&amp;BL1452),"")</f>
        <v/>
      </c>
      <c r="AX1452" s="65">
        <f>IF(AW1452="",0,MAX(0,MIN(1,(IF(BR1452="L1",Parameter!$K$5,Parameter!$K$6+Parameter!$K$7)-(AW1452-AS1452))/AS1452)))</f>
        <v/>
      </c>
      <c r="AY1452" s="53">
        <f>IF(AC1452&lt;=0,"",IF(BR1452="Aussen","Aussenlager",IF(BR1452="-","Nicht im Lift",IF(AH1452&gt;=1,"Lift",IF(AH1452&lt;=0,"Aussenlager","teilweise")))))</f>
        <v/>
      </c>
      <c r="AZ1452" s="53">
        <f>IF(AK1452&lt;=0,"",IF(BR1452="Aussen","Aussenlager",IF(BR1452="-","Nicht im Lift",IF(AP1452&gt;=1,"Lift",IF(AP1452&lt;=0,"Aussenlager","teilweise")))))</f>
        <v/>
      </c>
      <c r="BA1452" s="53">
        <f>IF(AS1452&lt;=0,"",IF(BR1452="Aussen","Aussenlager",IF(BR1452="-","Nicht im Lift",IF(AX1452&gt;=1,"Lift",IF(AX1452&lt;=0,"Aussenlager","teilweise")))))</f>
        <v/>
      </c>
      <c r="BB1452" s="53">
        <f>IF(A1452="","",IF(BK1452=1,"Neu; ","")&amp;IF(AND(BK1452=0,BF1452&lt;0),"negativer Bestand (Export "&amp;BF1452&amp;"); ","")&amp;IF(I1452&lt;=0,"Kein Verbrauch; ","")&amp;IF(BO1452=1,"Lose – Fläche geschätzt; ","")&amp;IF(G1452&gt;AM1452,"Überbestand "&amp;ROUND(G1452-AM1452,0)&amp;" Stk / CHF "&amp;ROUND((G1452-AM1452)*F1452,0)&amp;"; ","")&amp;IF(AND(BT1452=1,BU1452&lt;BV1452),"MAX &lt; MB+LG; ","")&amp;IF(AND(BZ1452&gt;0,BY1452*10&gt;BZ1452),"zu hoch für Tablar; ","")&amp;IF(AND(BK1452=0,OR(BT1452=1,V1452&lt;&gt;"",S1452&lt;&gt;"",T1452&lt;&gt;"",W1452&lt;&gt;"")),"manuell übersteuert; ","")&amp;IF(AND(BO1452=0,Q1452=0),"Gebinde unbekannt; ","")&amp;IF(AND(BO1452=0,N(T1452)&lt;=0,N(P1452)&lt;=0),"Menge pro Gebinde fehlt (Ist = 1 Gebinde); ","")&amp;BJ1452)</f>
        <v/>
      </c>
      <c r="BC1452" s="53" t="n"/>
      <c r="BD1452" s="53" t="n"/>
      <c r="BE1452" s="61" t="n"/>
      <c r="BF1452" s="55" t="n">
        <v>-29</v>
      </c>
      <c r="BG1452" s="55" t="n">
        <v>0</v>
      </c>
      <c r="BH1452" s="54" t="n">
        <v>-13253</v>
      </c>
      <c r="BI1452" s="55" t="n">
        <v>0</v>
      </c>
      <c r="BJ1452" s="53" t="inlineStr"/>
      <c r="BK1452" s="58" t="n">
        <v>0</v>
      </c>
      <c r="BL1452" s="58" t="n">
        <v>1452</v>
      </c>
      <c r="BM1452" s="53">
        <f>IF(S1452&lt;&gt;"",UPPER(TRIM(S1452)),IF(O1452="","LOSE",O1452))</f>
        <v/>
      </c>
      <c r="BN1452" s="55">
        <f>IF(BM1452="LOSE",1,IF(N(T1452)&gt;0,T1452,IF(N(P1452)&gt;0,P1452,MAX(1,G1452))))</f>
        <v/>
      </c>
      <c r="BO1452" s="58">
        <f>IF(BM1452="LOSE",1,0)</f>
        <v/>
      </c>
      <c r="BP1452" s="64">
        <f>IF(BO1452=0,0,IF(N(R1452)&gt;0,R1452,IFERROR(VLOOKUP(D1452,Parameter!$A$35:$C$64,3,0)+0,0)))</f>
        <v/>
      </c>
      <c r="BQ1452" s="53">
        <f>IF(V1452&lt;&gt;"",V1452,U1452)</f>
        <v/>
      </c>
      <c r="BR1452" s="53">
        <f>IF(BQ1452=1,"L1",IF(OR(BQ1452=2,BQ1452=3),"L23",IF(BQ1452="Aussen","Aussen","-")))</f>
        <v/>
      </c>
      <c r="BS1452" s="66">
        <f>IF(N(W1452)&gt;0,W1452,0)</f>
        <v/>
      </c>
      <c r="BT1452" s="58">
        <f>IF(ISNUMBER(Z1452),1,0)</f>
        <v/>
      </c>
      <c r="BU1452" s="55">
        <f>N(Z1452)</f>
        <v/>
      </c>
      <c r="BV1452" s="55">
        <f>N(L1452)+N(M1452)</f>
        <v/>
      </c>
      <c r="BW1452" s="55">
        <f>ROUNDUP(G1452/BN1452,0)</f>
        <v/>
      </c>
      <c r="BX1452" s="55">
        <f>ROUNDUP(BU1452/BN1452,0)</f>
        <v/>
      </c>
      <c r="BY1452" s="58">
        <f>IF(BO1452=1,0,IFERROR(VLOOKUP(BM1452,'Gebinde-Kategorie'!$A$5:$G$45,5,0)+0,0))</f>
        <v/>
      </c>
      <c r="BZ1452" s="58">
        <f>IFERROR(IF(OR(BQ1452=1,BQ1452=2,BQ1452=3),N(INDEX(Parameter!$I$5:$I$7,BQ1452)),0),0)</f>
        <v/>
      </c>
    </row>
    <row r="1453">
      <c r="A1453" s="53" t="inlineStr">
        <is>
          <t>106931</t>
        </is>
      </c>
      <c r="B1453" s="53" t="inlineStr">
        <is>
          <t>SPS Zentraleinheit</t>
        </is>
      </c>
      <c r="C1453" s="53" t="inlineStr">
        <is>
          <t>F</t>
        </is>
      </c>
      <c r="D1453" s="53" t="inlineStr">
        <is>
          <t>KTL</t>
        </is>
      </c>
      <c r="E1453" s="53" t="inlineStr"/>
      <c r="F1453" s="54" t="n">
        <v>1521.29</v>
      </c>
      <c r="G1453" s="55">
        <f>MAX(0,IF(Parameter!$B$20="Jahresanfang 2025 + Export",BG1453+BF1453,BF1453))</f>
        <v/>
      </c>
      <c r="H1453" s="55">
        <f>G1453*F1453</f>
        <v/>
      </c>
      <c r="I1453" s="55">
        <f>BI1453*Parameter!$B$18</f>
        <v/>
      </c>
      <c r="J1453" s="56" t="n"/>
      <c r="K1453" s="57" t="n"/>
      <c r="L1453" s="55" t="n">
        <v>0</v>
      </c>
      <c r="M1453" s="55" t="n">
        <v>1</v>
      </c>
      <c r="N1453" s="58" t="n"/>
      <c r="O1453" s="53" t="inlineStr">
        <is>
          <t>LOSE</t>
        </is>
      </c>
      <c r="P1453" s="55" t="n"/>
      <c r="Q1453" s="59">
        <f>IF(BO1453=1,0,IFERROR(VLOOKUP(BM1453,'Gebinde-Kategorie'!$A$5:$G$45,6,0)+0,0))</f>
        <v/>
      </c>
      <c r="R1453" s="60" t="n"/>
      <c r="S1453" s="61" t="n"/>
      <c r="T1453" s="61" t="n"/>
      <c r="U1453" s="53">
        <f>IF(A1453="","",IF(IFERROR(VLOOKUP(D1453,Parameter!$A$35:$C$64,2,0),"Nein")="2+3",IF(ISNUMBER(SEARCH("grosser Artikel",BJ1453)),2,IFERROR(VLOOKUP(BM1453,Parameter!$F$35:$G$64,2,0),2)),IF(OR(IFERROR(VLOOKUP(D1453,Parameter!$A$35:$C$64,2,0),"Nein")="Nein",IFERROR(VLOOKUP(D1453,Parameter!$A$35:$C$64,2,0),"Nein")=""),"-",VLOOKUP(D1453,Parameter!$A$35:$C$64,2,0))))</f>
        <v/>
      </c>
      <c r="V1453" s="61" t="n"/>
      <c r="W1453" s="62" t="n"/>
      <c r="X1453" s="55">
        <f>AM1453</f>
        <v/>
      </c>
      <c r="Y1453" s="55">
        <f>MAX(AM1453,G1453)</f>
        <v/>
      </c>
      <c r="Z1453" s="63" t="n"/>
      <c r="AA1453" s="55">
        <f>IF(LEFT(Cockpit!$C$5,1)="A",G1453,IF(BT1453=1,BU1453,IF(LEFT(Cockpit!$C$5,1)="B",AE1453,MAX(AE1453,G1453))))</f>
        <v/>
      </c>
      <c r="AB1453" s="55">
        <f>IF(BO1453=1,0,ROUNDUP(AA1453/BN1453,0))</f>
        <v/>
      </c>
      <c r="AC1453" s="64">
        <f>IF(BO1453=1,IF(AA1453&lt;=0,0,BP1453*MAX(1,IF(G1453&gt;0,AA1453/G1453,1))),AB1453*Q1453)</f>
        <v/>
      </c>
      <c r="AD1453" s="55">
        <f>AA1453*F1453</f>
        <v/>
      </c>
      <c r="AE1453" s="55">
        <f>ROUNDUP(MAX(I1453/IF(BS1453&gt;0,BS1453,MAX(0.1,N(Cockpit!$C$6))),BV1453)/BN1453,0)*BN1453</f>
        <v/>
      </c>
      <c r="AF1453" s="56">
        <f>IF(AC1453&gt;0,I1453/AC1453,-1)</f>
        <v/>
      </c>
      <c r="AG1453" s="56">
        <f>IF(AND(OR(BR1453="L1",BR1453="L23"),AC1453&gt;0),SUMIFS($AC$7:$AC$1570,$BR$7:$BR$1570,BR1453,$AF$7:$AF$1570,"&gt;"&amp;AF1453)+SUMIFS($AC$7:$AC$1570,$BR$7:$BR$1570,BR1453,$AF$7:$AF$1570,AF1453,$BL$7:$BL$1570,"&lt;="&amp;BL1453),"")</f>
        <v/>
      </c>
      <c r="AH1453" s="65">
        <f>IF(AG1453="",0,MAX(0,MIN(1,(IF(BR1453="L1",Parameter!$K$5,Parameter!$K$6+Parameter!$K$7)-(AG1453-AC1453))/AC1453)))</f>
        <v/>
      </c>
      <c r="AI1453" s="55">
        <f>IF(LEFT(Cockpit!$I$5,1)="A",G1453,IF(BT1453=1,BU1453,IF(LEFT(Cockpit!$I$5,1)="B",AM1453,MAX(AM1453,G1453))))</f>
        <v/>
      </c>
      <c r="AJ1453" s="55">
        <f>IF(BO1453=1,0,ROUNDUP(AI1453/BN1453,0))</f>
        <v/>
      </c>
      <c r="AK1453" s="64">
        <f>IF(BO1453=1,IF(AI1453&lt;=0,0,BP1453*MAX(1,IF(G1453&gt;0,AI1453/G1453,1))),AJ1453*Q1453)</f>
        <v/>
      </c>
      <c r="AL1453" s="55">
        <f>AI1453*F1453</f>
        <v/>
      </c>
      <c r="AM1453" s="55">
        <f>ROUNDUP(MAX(I1453/IF(BS1453&gt;0,BS1453,MAX(0.1,N(Cockpit!$I$6))),BV1453)/BN1453,0)*BN1453</f>
        <v/>
      </c>
      <c r="AN1453" s="56">
        <f>IF(AK1453&gt;0,I1453/AK1453,-1)</f>
        <v/>
      </c>
      <c r="AO1453" s="56">
        <f>IF(AND(OR(BR1453="L1",BR1453="L23"),AK1453&gt;0),SUMIFS($AK$7:$AK$1570,$BR$7:$BR$1570,BR1453,$AN$7:$AN$1570,"&gt;"&amp;AN1453)+SUMIFS($AK$7:$AK$1570,$BR$7:$BR$1570,BR1453,$AN$7:$AN$1570,AN1453,$BL$7:$BL$1570,"&lt;="&amp;BL1453),"")</f>
        <v/>
      </c>
      <c r="AP1453" s="65">
        <f>IF(AO1453="",0,MAX(0,MIN(1,(IF(BR1453="L1",Parameter!$K$5,Parameter!$K$6+Parameter!$K$7)-(AO1453-AK1453))/AK1453)))</f>
        <v/>
      </c>
      <c r="AQ1453" s="55">
        <f>IF(LEFT(Cockpit!$O$5,1)="A",G1453,IF(BT1453=1,BU1453,IF(LEFT(Cockpit!$O$5,1)="B",AU1453,MAX(AU1453,G1453))))</f>
        <v/>
      </c>
      <c r="AR1453" s="55">
        <f>IF(BO1453=1,0,ROUNDUP(AQ1453/BN1453,0))</f>
        <v/>
      </c>
      <c r="AS1453" s="64">
        <f>IF(BO1453=1,IF(AQ1453&lt;=0,0,BP1453*MAX(1,IF(G1453&gt;0,AQ1453/G1453,1))),AR1453*Q1453)</f>
        <v/>
      </c>
      <c r="AT1453" s="55">
        <f>AQ1453*F1453</f>
        <v/>
      </c>
      <c r="AU1453" s="55">
        <f>ROUNDUP(MAX(I1453/IF(BS1453&gt;0,BS1453,MAX(0.1,N(Cockpit!$O$6))),BV1453)/BN1453,0)*BN1453</f>
        <v/>
      </c>
      <c r="AV1453" s="56">
        <f>IF(AS1453&gt;0,I1453/AS1453,-1)</f>
        <v/>
      </c>
      <c r="AW1453" s="56">
        <f>IF(AND(OR(BR1453="L1",BR1453="L23"),AS1453&gt;0),SUMIFS($AS$7:$AS$1570,$BR$7:$BR$1570,BR1453,$AV$7:$AV$1570,"&gt;"&amp;AV1453)+SUMIFS($AS$7:$AS$1570,$BR$7:$BR$1570,BR1453,$AV$7:$AV$1570,AV1453,$BL$7:$BL$1570,"&lt;="&amp;BL1453),"")</f>
        <v/>
      </c>
      <c r="AX1453" s="65">
        <f>IF(AW1453="",0,MAX(0,MIN(1,(IF(BR1453="L1",Parameter!$K$5,Parameter!$K$6+Parameter!$K$7)-(AW1453-AS1453))/AS1453)))</f>
        <v/>
      </c>
      <c r="AY1453" s="53">
        <f>IF(AC1453&lt;=0,"",IF(BR1453="Aussen","Aussenlager",IF(BR1453="-","Nicht im Lift",IF(AH1453&gt;=1,"Lift",IF(AH1453&lt;=0,"Aussenlager","teilweise")))))</f>
        <v/>
      </c>
      <c r="AZ1453" s="53">
        <f>IF(AK1453&lt;=0,"",IF(BR1453="Aussen","Aussenlager",IF(BR1453="-","Nicht im Lift",IF(AP1453&gt;=1,"Lift",IF(AP1453&lt;=0,"Aussenlager","teilweise")))))</f>
        <v/>
      </c>
      <c r="BA1453" s="53">
        <f>IF(AS1453&lt;=0,"",IF(BR1453="Aussen","Aussenlager",IF(BR1453="-","Nicht im Lift",IF(AX1453&gt;=1,"Lift",IF(AX1453&lt;=0,"Aussenlager","teilweise")))))</f>
        <v/>
      </c>
      <c r="BB1453" s="53">
        <f>IF(A1453="","",IF(BK1453=1,"Neu; ","")&amp;IF(AND(BK1453=0,BF1453&lt;0),"negativer Bestand (Export "&amp;BF1453&amp;"); ","")&amp;IF(I1453&lt;=0,"Kein Verbrauch; ","")&amp;IF(BO1453=1,"Lose – Fläche geschätzt; ","")&amp;IF(G1453&gt;AM1453,"Überbestand "&amp;ROUND(G1453-AM1453,0)&amp;" Stk / CHF "&amp;ROUND((G1453-AM1453)*F1453,0)&amp;"; ","")&amp;IF(AND(BT1453=1,BU1453&lt;BV1453),"MAX &lt; MB+LG; ","")&amp;IF(AND(BZ1453&gt;0,BY1453*10&gt;BZ1453),"zu hoch für Tablar; ","")&amp;IF(AND(BK1453=0,OR(BT1453=1,V1453&lt;&gt;"",S1453&lt;&gt;"",T1453&lt;&gt;"",W1453&lt;&gt;"")),"manuell übersteuert; ","")&amp;IF(AND(BO1453=0,Q1453=0),"Gebinde unbekannt; ","")&amp;IF(AND(BO1453=0,N(T1453)&lt;=0,N(P1453)&lt;=0),"Menge pro Gebinde fehlt (Ist = 1 Gebinde); ","")&amp;BJ1453)</f>
        <v/>
      </c>
      <c r="BC1453" s="53" t="n"/>
      <c r="BD1453" s="53" t="n"/>
      <c r="BE1453" s="61" t="n"/>
      <c r="BF1453" s="55" t="n">
        <v>-9</v>
      </c>
      <c r="BG1453" s="55" t="n">
        <v>0</v>
      </c>
      <c r="BH1453" s="54" t="n">
        <v>-13691.61</v>
      </c>
      <c r="BI1453" s="55" t="n">
        <v>0</v>
      </c>
      <c r="BJ1453" s="53" t="inlineStr"/>
      <c r="BK1453" s="58" t="n">
        <v>0</v>
      </c>
      <c r="BL1453" s="58" t="n">
        <v>1453</v>
      </c>
      <c r="BM1453" s="53">
        <f>IF(S1453&lt;&gt;"",UPPER(TRIM(S1453)),IF(O1453="","LOSE",O1453))</f>
        <v/>
      </c>
      <c r="BN1453" s="55">
        <f>IF(BM1453="LOSE",1,IF(N(T1453)&gt;0,T1453,IF(N(P1453)&gt;0,P1453,MAX(1,G1453))))</f>
        <v/>
      </c>
      <c r="BO1453" s="58">
        <f>IF(BM1453="LOSE",1,0)</f>
        <v/>
      </c>
      <c r="BP1453" s="64">
        <f>IF(BO1453=0,0,IF(N(R1453)&gt;0,R1453,IFERROR(VLOOKUP(D1453,Parameter!$A$35:$C$64,3,0)+0,0)))</f>
        <v/>
      </c>
      <c r="BQ1453" s="53">
        <f>IF(V1453&lt;&gt;"",V1453,U1453)</f>
        <v/>
      </c>
      <c r="BR1453" s="53">
        <f>IF(BQ1453=1,"L1",IF(OR(BQ1453=2,BQ1453=3),"L23",IF(BQ1453="Aussen","Aussen","-")))</f>
        <v/>
      </c>
      <c r="BS1453" s="66">
        <f>IF(N(W1453)&gt;0,W1453,0)</f>
        <v/>
      </c>
      <c r="BT1453" s="58">
        <f>IF(ISNUMBER(Z1453),1,0)</f>
        <v/>
      </c>
      <c r="BU1453" s="55">
        <f>N(Z1453)</f>
        <v/>
      </c>
      <c r="BV1453" s="55">
        <f>N(L1453)+N(M1453)</f>
        <v/>
      </c>
      <c r="BW1453" s="55">
        <f>ROUNDUP(G1453/BN1453,0)</f>
        <v/>
      </c>
      <c r="BX1453" s="55">
        <f>ROUNDUP(BU1453/BN1453,0)</f>
        <v/>
      </c>
      <c r="BY1453" s="58">
        <f>IF(BO1453=1,0,IFERROR(VLOOKUP(BM1453,'Gebinde-Kategorie'!$A$5:$G$45,5,0)+0,0))</f>
        <v/>
      </c>
      <c r="BZ1453" s="58">
        <f>IFERROR(IF(OR(BQ1453=1,BQ1453=2,BQ1453=3),N(INDEX(Parameter!$I$5:$I$7,BQ1453)),0),0)</f>
        <v/>
      </c>
    </row>
    <row r="1454">
      <c r="A1454" s="53" t="inlineStr">
        <is>
          <t>106963</t>
        </is>
      </c>
      <c r="B1454" s="53" t="inlineStr">
        <is>
          <t>Sicheres digtales Ausgangsmodul</t>
        </is>
      </c>
      <c r="C1454" s="53" t="inlineStr">
        <is>
          <t>F</t>
        </is>
      </c>
      <c r="D1454" s="53" t="inlineStr">
        <is>
          <t>KTL</t>
        </is>
      </c>
      <c r="E1454" s="53" t="inlineStr"/>
      <c r="F1454" s="54" t="n">
        <v>167.8</v>
      </c>
      <c r="G1454" s="55">
        <f>MAX(0,IF(Parameter!$B$20="Jahresanfang 2025 + Export",BG1454+BF1454,BF1454))</f>
        <v/>
      </c>
      <c r="H1454" s="55">
        <f>G1454*F1454</f>
        <v/>
      </c>
      <c r="I1454" s="55">
        <f>BI1454*Parameter!$B$18</f>
        <v/>
      </c>
      <c r="J1454" s="56" t="n"/>
      <c r="K1454" s="57" t="n"/>
      <c r="L1454" s="55" t="n">
        <v>0</v>
      </c>
      <c r="M1454" s="55" t="n">
        <v>5</v>
      </c>
      <c r="N1454" s="58" t="n"/>
      <c r="O1454" s="53" t="inlineStr">
        <is>
          <t>S51</t>
        </is>
      </c>
      <c r="P1454" s="55" t="n">
        <v>10</v>
      </c>
      <c r="Q1454" s="59">
        <f>IF(BO1454=1,0,IFERROR(VLOOKUP(BM1454,'Gebinde-Kategorie'!$A$5:$G$45,6,0)+0,0))</f>
        <v/>
      </c>
      <c r="R1454" s="60" t="n"/>
      <c r="S1454" s="61" t="n"/>
      <c r="T1454" s="61" t="n"/>
      <c r="U1454" s="53">
        <f>IF(A1454="","",IF(IFERROR(VLOOKUP(D1454,Parameter!$A$35:$C$64,2,0),"Nein")="2+3",IF(ISNUMBER(SEARCH("grosser Artikel",BJ1454)),2,IFERROR(VLOOKUP(BM1454,Parameter!$F$35:$G$64,2,0),2)),IF(OR(IFERROR(VLOOKUP(D1454,Parameter!$A$35:$C$64,2,0),"Nein")="Nein",IFERROR(VLOOKUP(D1454,Parameter!$A$35:$C$64,2,0),"Nein")=""),"-",VLOOKUP(D1454,Parameter!$A$35:$C$64,2,0))))</f>
        <v/>
      </c>
      <c r="V1454" s="61" t="n"/>
      <c r="W1454" s="62" t="n"/>
      <c r="X1454" s="55">
        <f>AM1454</f>
        <v/>
      </c>
      <c r="Y1454" s="55">
        <f>MAX(AM1454,G1454)</f>
        <v/>
      </c>
      <c r="Z1454" s="63" t="n"/>
      <c r="AA1454" s="55">
        <f>IF(LEFT(Cockpit!$C$5,1)="A",G1454,IF(BT1454=1,BU1454,IF(LEFT(Cockpit!$C$5,1)="B",AE1454,MAX(AE1454,G1454))))</f>
        <v/>
      </c>
      <c r="AB1454" s="55">
        <f>IF(BO1454=1,0,ROUNDUP(AA1454/BN1454,0))</f>
        <v/>
      </c>
      <c r="AC1454" s="64">
        <f>IF(BO1454=1,IF(AA1454&lt;=0,0,BP1454*MAX(1,IF(G1454&gt;0,AA1454/G1454,1))),AB1454*Q1454)</f>
        <v/>
      </c>
      <c r="AD1454" s="55">
        <f>AA1454*F1454</f>
        <v/>
      </c>
      <c r="AE1454" s="55">
        <f>ROUNDUP(MAX(I1454/IF(BS1454&gt;0,BS1454,MAX(0.1,N(Cockpit!$C$6))),BV1454)/BN1454,0)*BN1454</f>
        <v/>
      </c>
      <c r="AF1454" s="56">
        <f>IF(AC1454&gt;0,I1454/AC1454,-1)</f>
        <v/>
      </c>
      <c r="AG1454" s="56">
        <f>IF(AND(OR(BR1454="L1",BR1454="L23"),AC1454&gt;0),SUMIFS($AC$7:$AC$1570,$BR$7:$BR$1570,BR1454,$AF$7:$AF$1570,"&gt;"&amp;AF1454)+SUMIFS($AC$7:$AC$1570,$BR$7:$BR$1570,BR1454,$AF$7:$AF$1570,AF1454,$BL$7:$BL$1570,"&lt;="&amp;BL1454),"")</f>
        <v/>
      </c>
      <c r="AH1454" s="65">
        <f>IF(AG1454="",0,MAX(0,MIN(1,(IF(BR1454="L1",Parameter!$K$5,Parameter!$K$6+Parameter!$K$7)-(AG1454-AC1454))/AC1454)))</f>
        <v/>
      </c>
      <c r="AI1454" s="55">
        <f>IF(LEFT(Cockpit!$I$5,1)="A",G1454,IF(BT1454=1,BU1454,IF(LEFT(Cockpit!$I$5,1)="B",AM1454,MAX(AM1454,G1454))))</f>
        <v/>
      </c>
      <c r="AJ1454" s="55">
        <f>IF(BO1454=1,0,ROUNDUP(AI1454/BN1454,0))</f>
        <v/>
      </c>
      <c r="AK1454" s="64">
        <f>IF(BO1454=1,IF(AI1454&lt;=0,0,BP1454*MAX(1,IF(G1454&gt;0,AI1454/G1454,1))),AJ1454*Q1454)</f>
        <v/>
      </c>
      <c r="AL1454" s="55">
        <f>AI1454*F1454</f>
        <v/>
      </c>
      <c r="AM1454" s="55">
        <f>ROUNDUP(MAX(I1454/IF(BS1454&gt;0,BS1454,MAX(0.1,N(Cockpit!$I$6))),BV1454)/BN1454,0)*BN1454</f>
        <v/>
      </c>
      <c r="AN1454" s="56">
        <f>IF(AK1454&gt;0,I1454/AK1454,-1)</f>
        <v/>
      </c>
      <c r="AO1454" s="56">
        <f>IF(AND(OR(BR1454="L1",BR1454="L23"),AK1454&gt;0),SUMIFS($AK$7:$AK$1570,$BR$7:$BR$1570,BR1454,$AN$7:$AN$1570,"&gt;"&amp;AN1454)+SUMIFS($AK$7:$AK$1570,$BR$7:$BR$1570,BR1454,$AN$7:$AN$1570,AN1454,$BL$7:$BL$1570,"&lt;="&amp;BL1454),"")</f>
        <v/>
      </c>
      <c r="AP1454" s="65">
        <f>IF(AO1454="",0,MAX(0,MIN(1,(IF(BR1454="L1",Parameter!$K$5,Parameter!$K$6+Parameter!$K$7)-(AO1454-AK1454))/AK1454)))</f>
        <v/>
      </c>
      <c r="AQ1454" s="55">
        <f>IF(LEFT(Cockpit!$O$5,1)="A",G1454,IF(BT1454=1,BU1454,IF(LEFT(Cockpit!$O$5,1)="B",AU1454,MAX(AU1454,G1454))))</f>
        <v/>
      </c>
      <c r="AR1454" s="55">
        <f>IF(BO1454=1,0,ROUNDUP(AQ1454/BN1454,0))</f>
        <v/>
      </c>
      <c r="AS1454" s="64">
        <f>IF(BO1454=1,IF(AQ1454&lt;=0,0,BP1454*MAX(1,IF(G1454&gt;0,AQ1454/G1454,1))),AR1454*Q1454)</f>
        <v/>
      </c>
      <c r="AT1454" s="55">
        <f>AQ1454*F1454</f>
        <v/>
      </c>
      <c r="AU1454" s="55">
        <f>ROUNDUP(MAX(I1454/IF(BS1454&gt;0,BS1454,MAX(0.1,N(Cockpit!$O$6))),BV1454)/BN1454,0)*BN1454</f>
        <v/>
      </c>
      <c r="AV1454" s="56">
        <f>IF(AS1454&gt;0,I1454/AS1454,-1)</f>
        <v/>
      </c>
      <c r="AW1454" s="56">
        <f>IF(AND(OR(BR1454="L1",BR1454="L23"),AS1454&gt;0),SUMIFS($AS$7:$AS$1570,$BR$7:$BR$1570,BR1454,$AV$7:$AV$1570,"&gt;"&amp;AV1454)+SUMIFS($AS$7:$AS$1570,$BR$7:$BR$1570,BR1454,$AV$7:$AV$1570,AV1454,$BL$7:$BL$1570,"&lt;="&amp;BL1454),"")</f>
        <v/>
      </c>
      <c r="AX1454" s="65">
        <f>IF(AW1454="",0,MAX(0,MIN(1,(IF(BR1454="L1",Parameter!$K$5,Parameter!$K$6+Parameter!$K$7)-(AW1454-AS1454))/AS1454)))</f>
        <v/>
      </c>
      <c r="AY1454" s="53">
        <f>IF(AC1454&lt;=0,"",IF(BR1454="Aussen","Aussenlager",IF(BR1454="-","Nicht im Lift",IF(AH1454&gt;=1,"Lift",IF(AH1454&lt;=0,"Aussenlager","teilweise")))))</f>
        <v/>
      </c>
      <c r="AZ1454" s="53">
        <f>IF(AK1454&lt;=0,"",IF(BR1454="Aussen","Aussenlager",IF(BR1454="-","Nicht im Lift",IF(AP1454&gt;=1,"Lift",IF(AP1454&lt;=0,"Aussenlager","teilweise")))))</f>
        <v/>
      </c>
      <c r="BA1454" s="53">
        <f>IF(AS1454&lt;=0,"",IF(BR1454="Aussen","Aussenlager",IF(BR1454="-","Nicht im Lift",IF(AX1454&gt;=1,"Lift",IF(AX1454&lt;=0,"Aussenlager","teilweise")))))</f>
        <v/>
      </c>
      <c r="BB1454" s="53">
        <f>IF(A1454="","",IF(BK1454=1,"Neu; ","")&amp;IF(AND(BK1454=0,BF1454&lt;0),"negativer Bestand (Export "&amp;BF1454&amp;"); ","")&amp;IF(I1454&lt;=0,"Kein Verbrauch; ","")&amp;IF(BO1454=1,"Lose – Fläche geschätzt; ","")&amp;IF(G1454&gt;AM1454,"Überbestand "&amp;ROUND(G1454-AM1454,0)&amp;" Stk / CHF "&amp;ROUND((G1454-AM1454)*F1454,0)&amp;"; ","")&amp;IF(AND(BT1454=1,BU1454&lt;BV1454),"MAX &lt; MB+LG; ","")&amp;IF(AND(BZ1454&gt;0,BY1454*10&gt;BZ1454),"zu hoch für Tablar; ","")&amp;IF(AND(BK1454=0,OR(BT1454=1,V1454&lt;&gt;"",S1454&lt;&gt;"",T1454&lt;&gt;"",W1454&lt;&gt;"")),"manuell übersteuert; ","")&amp;IF(AND(BO1454=0,Q1454=0),"Gebinde unbekannt; ","")&amp;IF(AND(BO1454=0,N(T1454)&lt;=0,N(P1454)&lt;=0),"Menge pro Gebinde fehlt (Ist = 1 Gebinde); ","")&amp;BJ1454)</f>
        <v/>
      </c>
      <c r="BC1454" s="53" t="n"/>
      <c r="BD1454" s="53" t="n"/>
      <c r="BE1454" s="61" t="n"/>
      <c r="BF1454" s="55" t="n">
        <v>-89</v>
      </c>
      <c r="BG1454" s="55" t="n">
        <v>0</v>
      </c>
      <c r="BH1454" s="54" t="n">
        <v>-14934.2</v>
      </c>
      <c r="BI1454" s="55" t="n">
        <v>4</v>
      </c>
      <c r="BJ1454" s="53" t="inlineStr">
        <is>
          <t>Neu</t>
        </is>
      </c>
      <c r="BK1454" s="58" t="n">
        <v>0</v>
      </c>
      <c r="BL1454" s="58" t="n">
        <v>1454</v>
      </c>
      <c r="BM1454" s="53">
        <f>IF(S1454&lt;&gt;"",UPPER(TRIM(S1454)),IF(O1454="","LOSE",O1454))</f>
        <v/>
      </c>
      <c r="BN1454" s="55">
        <f>IF(BM1454="LOSE",1,IF(N(T1454)&gt;0,T1454,IF(N(P1454)&gt;0,P1454,MAX(1,G1454))))</f>
        <v/>
      </c>
      <c r="BO1454" s="58">
        <f>IF(BM1454="LOSE",1,0)</f>
        <v/>
      </c>
      <c r="BP1454" s="64">
        <f>IF(BO1454=0,0,IF(N(R1454)&gt;0,R1454,IFERROR(VLOOKUP(D1454,Parameter!$A$35:$C$64,3,0)+0,0)))</f>
        <v/>
      </c>
      <c r="BQ1454" s="53">
        <f>IF(V1454&lt;&gt;"",V1454,U1454)</f>
        <v/>
      </c>
      <c r="BR1454" s="53">
        <f>IF(BQ1454=1,"L1",IF(OR(BQ1454=2,BQ1454=3),"L23",IF(BQ1454="Aussen","Aussen","-")))</f>
        <v/>
      </c>
      <c r="BS1454" s="66">
        <f>IF(N(W1454)&gt;0,W1454,0)</f>
        <v/>
      </c>
      <c r="BT1454" s="58">
        <f>IF(ISNUMBER(Z1454),1,0)</f>
        <v/>
      </c>
      <c r="BU1454" s="55">
        <f>N(Z1454)</f>
        <v/>
      </c>
      <c r="BV1454" s="55">
        <f>N(L1454)+N(M1454)</f>
        <v/>
      </c>
      <c r="BW1454" s="55">
        <f>ROUNDUP(G1454/BN1454,0)</f>
        <v/>
      </c>
      <c r="BX1454" s="55">
        <f>ROUNDUP(BU1454/BN1454,0)</f>
        <v/>
      </c>
      <c r="BY1454" s="58">
        <f>IF(BO1454=1,0,IFERROR(VLOOKUP(BM1454,'Gebinde-Kategorie'!$A$5:$G$45,5,0)+0,0))</f>
        <v/>
      </c>
      <c r="BZ1454" s="58">
        <f>IFERROR(IF(OR(BQ1454=1,BQ1454=2,BQ1454=3),N(INDEX(Parameter!$I$5:$I$7,BQ1454)),0),0)</f>
        <v/>
      </c>
    </row>
    <row r="1455">
      <c r="A1455" s="53" t="inlineStr">
        <is>
          <t>107192</t>
        </is>
      </c>
      <c r="B1455" s="53" t="inlineStr">
        <is>
          <t>Servicepaket SPGr10 SVC2</t>
        </is>
      </c>
      <c r="C1455" s="53" t="inlineStr">
        <is>
          <t>A</t>
        </is>
      </c>
      <c r="D1455" s="53" t="inlineStr">
        <is>
          <t>(leer)</t>
        </is>
      </c>
      <c r="E1455" s="53" t="inlineStr"/>
      <c r="F1455" s="54" t="n">
        <v>3762.62</v>
      </c>
      <c r="G1455" s="55">
        <f>MAX(0,IF(Parameter!$B$20="Jahresanfang 2025 + Export",BG1455+BF1455,BF1455))</f>
        <v/>
      </c>
      <c r="H1455" s="55">
        <f>G1455*F1455</f>
        <v/>
      </c>
      <c r="I1455" s="55">
        <f>BI1455*Parameter!$B$18</f>
        <v/>
      </c>
      <c r="J1455" s="56" t="n"/>
      <c r="K1455" s="57" t="n"/>
      <c r="L1455" s="55" t="n">
        <v>0</v>
      </c>
      <c r="M1455" s="55" t="n">
        <v>1</v>
      </c>
      <c r="N1455" s="58" t="n"/>
      <c r="O1455" s="53" t="inlineStr">
        <is>
          <t>LOSE</t>
        </is>
      </c>
      <c r="P1455" s="55" t="n"/>
      <c r="Q1455" s="59">
        <f>IF(BO1455=1,0,IFERROR(VLOOKUP(BM1455,'Gebinde-Kategorie'!$A$5:$G$45,6,0)+0,0))</f>
        <v/>
      </c>
      <c r="R1455" s="60" t="n"/>
      <c r="S1455" s="61" t="n"/>
      <c r="T1455" s="61" t="n"/>
      <c r="U1455" s="53">
        <f>IF(A1455="","",IF(IFERROR(VLOOKUP(D1455,Parameter!$A$35:$C$64,2,0),"Nein")="2+3",IF(ISNUMBER(SEARCH("grosser Artikel",BJ1455)),2,IFERROR(VLOOKUP(BM1455,Parameter!$F$35:$G$64,2,0),2)),IF(OR(IFERROR(VLOOKUP(D1455,Parameter!$A$35:$C$64,2,0),"Nein")="Nein",IFERROR(VLOOKUP(D1455,Parameter!$A$35:$C$64,2,0),"Nein")=""),"-",VLOOKUP(D1455,Parameter!$A$35:$C$64,2,0))))</f>
        <v/>
      </c>
      <c r="V1455" s="61" t="n"/>
      <c r="W1455" s="62" t="n"/>
      <c r="X1455" s="55">
        <f>AM1455</f>
        <v/>
      </c>
      <c r="Y1455" s="55">
        <f>MAX(AM1455,G1455)</f>
        <v/>
      </c>
      <c r="Z1455" s="63" t="n"/>
      <c r="AA1455" s="55">
        <f>IF(LEFT(Cockpit!$C$5,1)="A",G1455,IF(BT1455=1,BU1455,IF(LEFT(Cockpit!$C$5,1)="B",AE1455,MAX(AE1455,G1455))))</f>
        <v/>
      </c>
      <c r="AB1455" s="55">
        <f>IF(BO1455=1,0,ROUNDUP(AA1455/BN1455,0))</f>
        <v/>
      </c>
      <c r="AC1455" s="64">
        <f>IF(BO1455=1,IF(AA1455&lt;=0,0,BP1455*MAX(1,IF(G1455&gt;0,AA1455/G1455,1))),AB1455*Q1455)</f>
        <v/>
      </c>
      <c r="AD1455" s="55">
        <f>AA1455*F1455</f>
        <v/>
      </c>
      <c r="AE1455" s="55">
        <f>ROUNDUP(MAX(I1455/IF(BS1455&gt;0,BS1455,MAX(0.1,N(Cockpit!$C$6))),BV1455)/BN1455,0)*BN1455</f>
        <v/>
      </c>
      <c r="AF1455" s="56">
        <f>IF(AC1455&gt;0,I1455/AC1455,-1)</f>
        <v/>
      </c>
      <c r="AG1455" s="56">
        <f>IF(AND(OR(BR1455="L1",BR1455="L23"),AC1455&gt;0),SUMIFS($AC$7:$AC$1570,$BR$7:$BR$1570,BR1455,$AF$7:$AF$1570,"&gt;"&amp;AF1455)+SUMIFS($AC$7:$AC$1570,$BR$7:$BR$1570,BR1455,$AF$7:$AF$1570,AF1455,$BL$7:$BL$1570,"&lt;="&amp;BL1455),"")</f>
        <v/>
      </c>
      <c r="AH1455" s="65">
        <f>IF(AG1455="",0,MAX(0,MIN(1,(IF(BR1455="L1",Parameter!$K$5,Parameter!$K$6+Parameter!$K$7)-(AG1455-AC1455))/AC1455)))</f>
        <v/>
      </c>
      <c r="AI1455" s="55">
        <f>IF(LEFT(Cockpit!$I$5,1)="A",G1455,IF(BT1455=1,BU1455,IF(LEFT(Cockpit!$I$5,1)="B",AM1455,MAX(AM1455,G1455))))</f>
        <v/>
      </c>
      <c r="AJ1455" s="55">
        <f>IF(BO1455=1,0,ROUNDUP(AI1455/BN1455,0))</f>
        <v/>
      </c>
      <c r="AK1455" s="64">
        <f>IF(BO1455=1,IF(AI1455&lt;=0,0,BP1455*MAX(1,IF(G1455&gt;0,AI1455/G1455,1))),AJ1455*Q1455)</f>
        <v/>
      </c>
      <c r="AL1455" s="55">
        <f>AI1455*F1455</f>
        <v/>
      </c>
      <c r="AM1455" s="55">
        <f>ROUNDUP(MAX(I1455/IF(BS1455&gt;0,BS1455,MAX(0.1,N(Cockpit!$I$6))),BV1455)/BN1455,0)*BN1455</f>
        <v/>
      </c>
      <c r="AN1455" s="56">
        <f>IF(AK1455&gt;0,I1455/AK1455,-1)</f>
        <v/>
      </c>
      <c r="AO1455" s="56">
        <f>IF(AND(OR(BR1455="L1",BR1455="L23"),AK1455&gt;0),SUMIFS($AK$7:$AK$1570,$BR$7:$BR$1570,BR1455,$AN$7:$AN$1570,"&gt;"&amp;AN1455)+SUMIFS($AK$7:$AK$1570,$BR$7:$BR$1570,BR1455,$AN$7:$AN$1570,AN1455,$BL$7:$BL$1570,"&lt;="&amp;BL1455),"")</f>
        <v/>
      </c>
      <c r="AP1455" s="65">
        <f>IF(AO1455="",0,MAX(0,MIN(1,(IF(BR1455="L1",Parameter!$K$5,Parameter!$K$6+Parameter!$K$7)-(AO1455-AK1455))/AK1455)))</f>
        <v/>
      </c>
      <c r="AQ1455" s="55">
        <f>IF(LEFT(Cockpit!$O$5,1)="A",G1455,IF(BT1455=1,BU1455,IF(LEFT(Cockpit!$O$5,1)="B",AU1455,MAX(AU1455,G1455))))</f>
        <v/>
      </c>
      <c r="AR1455" s="55">
        <f>IF(BO1455=1,0,ROUNDUP(AQ1455/BN1455,0))</f>
        <v/>
      </c>
      <c r="AS1455" s="64">
        <f>IF(BO1455=1,IF(AQ1455&lt;=0,0,BP1455*MAX(1,IF(G1455&gt;0,AQ1455/G1455,1))),AR1455*Q1455)</f>
        <v/>
      </c>
      <c r="AT1455" s="55">
        <f>AQ1455*F1455</f>
        <v/>
      </c>
      <c r="AU1455" s="55">
        <f>ROUNDUP(MAX(I1455/IF(BS1455&gt;0,BS1455,MAX(0.1,N(Cockpit!$O$6))),BV1455)/BN1455,0)*BN1455</f>
        <v/>
      </c>
      <c r="AV1455" s="56">
        <f>IF(AS1455&gt;0,I1455/AS1455,-1)</f>
        <v/>
      </c>
      <c r="AW1455" s="56">
        <f>IF(AND(OR(BR1455="L1",BR1455="L23"),AS1455&gt;0),SUMIFS($AS$7:$AS$1570,$BR$7:$BR$1570,BR1455,$AV$7:$AV$1570,"&gt;"&amp;AV1455)+SUMIFS($AS$7:$AS$1570,$BR$7:$BR$1570,BR1455,$AV$7:$AV$1570,AV1455,$BL$7:$BL$1570,"&lt;="&amp;BL1455),"")</f>
        <v/>
      </c>
      <c r="AX1455" s="65">
        <f>IF(AW1455="",0,MAX(0,MIN(1,(IF(BR1455="L1",Parameter!$K$5,Parameter!$K$6+Parameter!$K$7)-(AW1455-AS1455))/AS1455)))</f>
        <v/>
      </c>
      <c r="AY1455" s="53">
        <f>IF(AC1455&lt;=0,"",IF(BR1455="Aussen","Aussenlager",IF(BR1455="-","Nicht im Lift",IF(AH1455&gt;=1,"Lift",IF(AH1455&lt;=0,"Aussenlager","teilweise")))))</f>
        <v/>
      </c>
      <c r="AZ1455" s="53">
        <f>IF(AK1455&lt;=0,"",IF(BR1455="Aussen","Aussenlager",IF(BR1455="-","Nicht im Lift",IF(AP1455&gt;=1,"Lift",IF(AP1455&lt;=0,"Aussenlager","teilweise")))))</f>
        <v/>
      </c>
      <c r="BA1455" s="53">
        <f>IF(AS1455&lt;=0,"",IF(BR1455="Aussen","Aussenlager",IF(BR1455="-","Nicht im Lift",IF(AX1455&gt;=1,"Lift",IF(AX1455&lt;=0,"Aussenlager","teilweise")))))</f>
        <v/>
      </c>
      <c r="BB1455" s="53">
        <f>IF(A1455="","",IF(BK1455=1,"Neu; ","")&amp;IF(AND(BK1455=0,BF1455&lt;0),"negativer Bestand (Export "&amp;BF1455&amp;"); ","")&amp;IF(I1455&lt;=0,"Kein Verbrauch; ","")&amp;IF(BO1455=1,"Lose – Fläche geschätzt; ","")&amp;IF(G1455&gt;AM1455,"Überbestand "&amp;ROUND(G1455-AM1455,0)&amp;" Stk / CHF "&amp;ROUND((G1455-AM1455)*F1455,0)&amp;"; ","")&amp;IF(AND(BT1455=1,BU1455&lt;BV1455),"MAX &lt; MB+LG; ","")&amp;IF(AND(BZ1455&gt;0,BY1455*10&gt;BZ1455),"zu hoch für Tablar; ","")&amp;IF(AND(BK1455=0,OR(BT1455=1,V1455&lt;&gt;"",S1455&lt;&gt;"",T1455&lt;&gt;"",W1455&lt;&gt;"")),"manuell übersteuert; ","")&amp;IF(AND(BO1455=0,Q1455=0),"Gebinde unbekannt; ","")&amp;IF(AND(BO1455=0,N(T1455)&lt;=0,N(P1455)&lt;=0),"Menge pro Gebinde fehlt (Ist = 1 Gebinde); ","")&amp;BJ1455)</f>
        <v/>
      </c>
      <c r="BC1455" s="53" t="n"/>
      <c r="BD1455" s="53" t="n"/>
      <c r="BE1455" s="61" t="n"/>
      <c r="BF1455" s="55" t="n">
        <v>-4</v>
      </c>
      <c r="BG1455" s="55" t="n">
        <v>0</v>
      </c>
      <c r="BH1455" s="54" t="n">
        <v>-15318.51999999999</v>
      </c>
      <c r="BI1455" s="55" t="n">
        <v>20</v>
      </c>
      <c r="BJ1455" s="53" t="inlineStr"/>
      <c r="BK1455" s="58" t="n">
        <v>0</v>
      </c>
      <c r="BL1455" s="58" t="n">
        <v>1455</v>
      </c>
      <c r="BM1455" s="53">
        <f>IF(S1455&lt;&gt;"",UPPER(TRIM(S1455)),IF(O1455="","LOSE",O1455))</f>
        <v/>
      </c>
      <c r="BN1455" s="55">
        <f>IF(BM1455="LOSE",1,IF(N(T1455)&gt;0,T1455,IF(N(P1455)&gt;0,P1455,MAX(1,G1455))))</f>
        <v/>
      </c>
      <c r="BO1455" s="58">
        <f>IF(BM1455="LOSE",1,0)</f>
        <v/>
      </c>
      <c r="BP1455" s="64">
        <f>IF(BO1455=0,0,IF(N(R1455)&gt;0,R1455,IFERROR(VLOOKUP(D1455,Parameter!$A$35:$C$64,3,0)+0,0)))</f>
        <v/>
      </c>
      <c r="BQ1455" s="53">
        <f>IF(V1455&lt;&gt;"",V1455,U1455)</f>
        <v/>
      </c>
      <c r="BR1455" s="53">
        <f>IF(BQ1455=1,"L1",IF(OR(BQ1455=2,BQ1455=3),"L23",IF(BQ1455="Aussen","Aussen","-")))</f>
        <v/>
      </c>
      <c r="BS1455" s="66">
        <f>IF(N(W1455)&gt;0,W1455,0)</f>
        <v/>
      </c>
      <c r="BT1455" s="58">
        <f>IF(ISNUMBER(Z1455),1,0)</f>
        <v/>
      </c>
      <c r="BU1455" s="55">
        <f>N(Z1455)</f>
        <v/>
      </c>
      <c r="BV1455" s="55">
        <f>N(L1455)+N(M1455)</f>
        <v/>
      </c>
      <c r="BW1455" s="55">
        <f>ROUNDUP(G1455/BN1455,0)</f>
        <v/>
      </c>
      <c r="BX1455" s="55">
        <f>ROUNDUP(BU1455/BN1455,0)</f>
        <v/>
      </c>
      <c r="BY1455" s="58">
        <f>IF(BO1455=1,0,IFERROR(VLOOKUP(BM1455,'Gebinde-Kategorie'!$A$5:$G$45,5,0)+0,0))</f>
        <v/>
      </c>
      <c r="BZ1455" s="58">
        <f>IFERROR(IF(OR(BQ1455=1,BQ1455=2,BQ1455=3),N(INDEX(Parameter!$I$5:$I$7,BQ1455)),0),0)</f>
        <v/>
      </c>
    </row>
    <row r="1456">
      <c r="A1456" s="53" t="inlineStr">
        <is>
          <t>109145</t>
        </is>
      </c>
      <c r="B1456" s="53" t="inlineStr">
        <is>
          <t>Druckregelstrecke Brenngas</t>
        </is>
      </c>
      <c r="C1456" s="53" t="inlineStr">
        <is>
          <t>F</t>
        </is>
      </c>
      <c r="D1456" s="53" t="inlineStr">
        <is>
          <t>LIFT1</t>
        </is>
      </c>
      <c r="E1456" s="53" t="inlineStr"/>
      <c r="F1456" s="54" t="n">
        <v>2011.57</v>
      </c>
      <c r="G1456" s="55">
        <f>MAX(0,IF(Parameter!$B$20="Jahresanfang 2025 + Export",BG1456+BF1456,BF1456))</f>
        <v/>
      </c>
      <c r="H1456" s="55">
        <f>G1456*F1456</f>
        <v/>
      </c>
      <c r="I1456" s="55">
        <f>BI1456*Parameter!$B$18</f>
        <v/>
      </c>
      <c r="J1456" s="56" t="n"/>
      <c r="K1456" s="57" t="n"/>
      <c r="L1456" s="55" t="n">
        <v>2</v>
      </c>
      <c r="M1456" s="55" t="n">
        <v>3</v>
      </c>
      <c r="N1456" s="58" t="n"/>
      <c r="O1456" s="53" t="inlineStr">
        <is>
          <t>LOSE</t>
        </is>
      </c>
      <c r="P1456" s="55" t="n"/>
      <c r="Q1456" s="59">
        <f>IF(BO1456=1,0,IFERROR(VLOOKUP(BM1456,'Gebinde-Kategorie'!$A$5:$G$45,6,0)+0,0))</f>
        <v/>
      </c>
      <c r="R1456" s="60" t="n"/>
      <c r="S1456" s="61" t="n"/>
      <c r="T1456" s="61" t="n"/>
      <c r="U1456" s="53">
        <f>IF(A1456="","",IF(IFERROR(VLOOKUP(D1456,Parameter!$A$35:$C$64,2,0),"Nein")="2+3",IF(ISNUMBER(SEARCH("grosser Artikel",BJ1456)),2,IFERROR(VLOOKUP(BM1456,Parameter!$F$35:$G$64,2,0),2)),IF(OR(IFERROR(VLOOKUP(D1456,Parameter!$A$35:$C$64,2,0),"Nein")="Nein",IFERROR(VLOOKUP(D1456,Parameter!$A$35:$C$64,2,0),"Nein")=""),"-",VLOOKUP(D1456,Parameter!$A$35:$C$64,2,0))))</f>
        <v/>
      </c>
      <c r="V1456" s="61" t="n"/>
      <c r="W1456" s="62" t="n"/>
      <c r="X1456" s="55">
        <f>AM1456</f>
        <v/>
      </c>
      <c r="Y1456" s="55">
        <f>MAX(AM1456,G1456)</f>
        <v/>
      </c>
      <c r="Z1456" s="63" t="n"/>
      <c r="AA1456" s="55">
        <f>IF(LEFT(Cockpit!$C$5,1)="A",G1456,IF(BT1456=1,BU1456,IF(LEFT(Cockpit!$C$5,1)="B",AE1456,MAX(AE1456,G1456))))</f>
        <v/>
      </c>
      <c r="AB1456" s="55">
        <f>IF(BO1456=1,0,ROUNDUP(AA1456/BN1456,0))</f>
        <v/>
      </c>
      <c r="AC1456" s="64">
        <f>IF(BO1456=1,IF(AA1456&lt;=0,0,BP1456*MAX(1,IF(G1456&gt;0,AA1456/G1456,1))),AB1456*Q1456)</f>
        <v/>
      </c>
      <c r="AD1456" s="55">
        <f>AA1456*F1456</f>
        <v/>
      </c>
      <c r="AE1456" s="55">
        <f>ROUNDUP(MAX(I1456/IF(BS1456&gt;0,BS1456,MAX(0.1,N(Cockpit!$C$6))),BV1456)/BN1456,0)*BN1456</f>
        <v/>
      </c>
      <c r="AF1456" s="56">
        <f>IF(AC1456&gt;0,I1456/AC1456,-1)</f>
        <v/>
      </c>
      <c r="AG1456" s="56">
        <f>IF(AND(OR(BR1456="L1",BR1456="L23"),AC1456&gt;0),SUMIFS($AC$7:$AC$1570,$BR$7:$BR$1570,BR1456,$AF$7:$AF$1570,"&gt;"&amp;AF1456)+SUMIFS($AC$7:$AC$1570,$BR$7:$BR$1570,BR1456,$AF$7:$AF$1570,AF1456,$BL$7:$BL$1570,"&lt;="&amp;BL1456),"")</f>
        <v/>
      </c>
      <c r="AH1456" s="65">
        <f>IF(AG1456="",0,MAX(0,MIN(1,(IF(BR1456="L1",Parameter!$K$5,Parameter!$K$6+Parameter!$K$7)-(AG1456-AC1456))/AC1456)))</f>
        <v/>
      </c>
      <c r="AI1456" s="55">
        <f>IF(LEFT(Cockpit!$I$5,1)="A",G1456,IF(BT1456=1,BU1456,IF(LEFT(Cockpit!$I$5,1)="B",AM1456,MAX(AM1456,G1456))))</f>
        <v/>
      </c>
      <c r="AJ1456" s="55">
        <f>IF(BO1456=1,0,ROUNDUP(AI1456/BN1456,0))</f>
        <v/>
      </c>
      <c r="AK1456" s="64">
        <f>IF(BO1456=1,IF(AI1456&lt;=0,0,BP1456*MAX(1,IF(G1456&gt;0,AI1456/G1456,1))),AJ1456*Q1456)</f>
        <v/>
      </c>
      <c r="AL1456" s="55">
        <f>AI1456*F1456</f>
        <v/>
      </c>
      <c r="AM1456" s="55">
        <f>ROUNDUP(MAX(I1456/IF(BS1456&gt;0,BS1456,MAX(0.1,N(Cockpit!$I$6))),BV1456)/BN1456,0)*BN1456</f>
        <v/>
      </c>
      <c r="AN1456" s="56">
        <f>IF(AK1456&gt;0,I1456/AK1456,-1)</f>
        <v/>
      </c>
      <c r="AO1456" s="56">
        <f>IF(AND(OR(BR1456="L1",BR1456="L23"),AK1456&gt;0),SUMIFS($AK$7:$AK$1570,$BR$7:$BR$1570,BR1456,$AN$7:$AN$1570,"&gt;"&amp;AN1456)+SUMIFS($AK$7:$AK$1570,$BR$7:$BR$1570,BR1456,$AN$7:$AN$1570,AN1456,$BL$7:$BL$1570,"&lt;="&amp;BL1456),"")</f>
        <v/>
      </c>
      <c r="AP1456" s="65">
        <f>IF(AO1456="",0,MAX(0,MIN(1,(IF(BR1456="L1",Parameter!$K$5,Parameter!$K$6+Parameter!$K$7)-(AO1456-AK1456))/AK1456)))</f>
        <v/>
      </c>
      <c r="AQ1456" s="55">
        <f>IF(LEFT(Cockpit!$O$5,1)="A",G1456,IF(BT1456=1,BU1456,IF(LEFT(Cockpit!$O$5,1)="B",AU1456,MAX(AU1456,G1456))))</f>
        <v/>
      </c>
      <c r="AR1456" s="55">
        <f>IF(BO1456=1,0,ROUNDUP(AQ1456/BN1456,0))</f>
        <v/>
      </c>
      <c r="AS1456" s="64">
        <f>IF(BO1456=1,IF(AQ1456&lt;=0,0,BP1456*MAX(1,IF(G1456&gt;0,AQ1456/G1456,1))),AR1456*Q1456)</f>
        <v/>
      </c>
      <c r="AT1456" s="55">
        <f>AQ1456*F1456</f>
        <v/>
      </c>
      <c r="AU1456" s="55">
        <f>ROUNDUP(MAX(I1456/IF(BS1456&gt;0,BS1456,MAX(0.1,N(Cockpit!$O$6))),BV1456)/BN1456,0)*BN1456</f>
        <v/>
      </c>
      <c r="AV1456" s="56">
        <f>IF(AS1456&gt;0,I1456/AS1456,-1)</f>
        <v/>
      </c>
      <c r="AW1456" s="56">
        <f>IF(AND(OR(BR1456="L1",BR1456="L23"),AS1456&gt;0),SUMIFS($AS$7:$AS$1570,$BR$7:$BR$1570,BR1456,$AV$7:$AV$1570,"&gt;"&amp;AV1456)+SUMIFS($AS$7:$AS$1570,$BR$7:$BR$1570,BR1456,$AV$7:$AV$1570,AV1456,$BL$7:$BL$1570,"&lt;="&amp;BL1456),"")</f>
        <v/>
      </c>
      <c r="AX1456" s="65">
        <f>IF(AW1456="",0,MAX(0,MIN(1,(IF(BR1456="L1",Parameter!$K$5,Parameter!$K$6+Parameter!$K$7)-(AW1456-AS1456))/AS1456)))</f>
        <v/>
      </c>
      <c r="AY1456" s="53">
        <f>IF(AC1456&lt;=0,"",IF(BR1456="Aussen","Aussenlager",IF(BR1456="-","Nicht im Lift",IF(AH1456&gt;=1,"Lift",IF(AH1456&lt;=0,"Aussenlager","teilweise")))))</f>
        <v/>
      </c>
      <c r="AZ1456" s="53">
        <f>IF(AK1456&lt;=0,"",IF(BR1456="Aussen","Aussenlager",IF(BR1456="-","Nicht im Lift",IF(AP1456&gt;=1,"Lift",IF(AP1456&lt;=0,"Aussenlager","teilweise")))))</f>
        <v/>
      </c>
      <c r="BA1456" s="53">
        <f>IF(AS1456&lt;=0,"",IF(BR1456="Aussen","Aussenlager",IF(BR1456="-","Nicht im Lift",IF(AX1456&gt;=1,"Lift",IF(AX1456&lt;=0,"Aussenlager","teilweise")))))</f>
        <v/>
      </c>
      <c r="BB1456" s="53">
        <f>IF(A1456="","",IF(BK1456=1,"Neu; ","")&amp;IF(AND(BK1456=0,BF1456&lt;0),"negativer Bestand (Export "&amp;BF1456&amp;"); ","")&amp;IF(I1456&lt;=0,"Kein Verbrauch; ","")&amp;IF(BO1456=1,"Lose – Fläche geschätzt; ","")&amp;IF(G1456&gt;AM1456,"Überbestand "&amp;ROUND(G1456-AM1456,0)&amp;" Stk / CHF "&amp;ROUND((G1456-AM1456)*F1456,0)&amp;"; ","")&amp;IF(AND(BT1456=1,BU1456&lt;BV1456),"MAX &lt; MB+LG; ","")&amp;IF(AND(BZ1456&gt;0,BY1456*10&gt;BZ1456),"zu hoch für Tablar; ","")&amp;IF(AND(BK1456=0,OR(BT1456=1,V1456&lt;&gt;"",S1456&lt;&gt;"",T1456&lt;&gt;"",W1456&lt;&gt;"")),"manuell übersteuert; ","")&amp;IF(AND(BO1456=0,Q1456=0),"Gebinde unbekannt; ","")&amp;IF(AND(BO1456=0,N(T1456)&lt;=0,N(P1456)&lt;=0),"Menge pro Gebinde fehlt (Ist = 1 Gebinde); ","")&amp;BJ1456)</f>
        <v/>
      </c>
      <c r="BC1456" s="53" t="n"/>
      <c r="BD1456" s="53" t="n"/>
      <c r="BE1456" s="61" t="n"/>
      <c r="BF1456" s="55" t="n">
        <v>-8</v>
      </c>
      <c r="BG1456" s="55" t="n">
        <v>0</v>
      </c>
      <c r="BH1456" s="54" t="n">
        <v>-15753.89999999999</v>
      </c>
      <c r="BI1456" s="55" t="n">
        <v>12</v>
      </c>
      <c r="BJ1456" s="53" t="inlineStr"/>
      <c r="BK1456" s="58" t="n">
        <v>0</v>
      </c>
      <c r="BL1456" s="58" t="n">
        <v>1456</v>
      </c>
      <c r="BM1456" s="53">
        <f>IF(S1456&lt;&gt;"",UPPER(TRIM(S1456)),IF(O1456="","LOSE",O1456))</f>
        <v/>
      </c>
      <c r="BN1456" s="55">
        <f>IF(BM1456="LOSE",1,IF(N(T1456)&gt;0,T1456,IF(N(P1456)&gt;0,P1456,MAX(1,G1456))))</f>
        <v/>
      </c>
      <c r="BO1456" s="58">
        <f>IF(BM1456="LOSE",1,0)</f>
        <v/>
      </c>
      <c r="BP1456" s="64">
        <f>IF(BO1456=0,0,IF(N(R1456)&gt;0,R1456,IFERROR(VLOOKUP(D1456,Parameter!$A$35:$C$64,3,0)+0,0)))</f>
        <v/>
      </c>
      <c r="BQ1456" s="53">
        <f>IF(V1456&lt;&gt;"",V1456,U1456)</f>
        <v/>
      </c>
      <c r="BR1456" s="53">
        <f>IF(BQ1456=1,"L1",IF(OR(BQ1456=2,BQ1456=3),"L23",IF(BQ1456="Aussen","Aussen","-")))</f>
        <v/>
      </c>
      <c r="BS1456" s="66">
        <f>IF(N(W1456)&gt;0,W1456,0)</f>
        <v/>
      </c>
      <c r="BT1456" s="58">
        <f>IF(ISNUMBER(Z1456),1,0)</f>
        <v/>
      </c>
      <c r="BU1456" s="55">
        <f>N(Z1456)</f>
        <v/>
      </c>
      <c r="BV1456" s="55">
        <f>N(L1456)+N(M1456)</f>
        <v/>
      </c>
      <c r="BW1456" s="55">
        <f>ROUNDUP(G1456/BN1456,0)</f>
        <v/>
      </c>
      <c r="BX1456" s="55">
        <f>ROUNDUP(BU1456/BN1456,0)</f>
        <v/>
      </c>
      <c r="BY1456" s="58">
        <f>IF(BO1456=1,0,IFERROR(VLOOKUP(BM1456,'Gebinde-Kategorie'!$A$5:$G$45,5,0)+0,0))</f>
        <v/>
      </c>
      <c r="BZ1456" s="58">
        <f>IFERROR(IF(OR(BQ1456=1,BQ1456=2,BQ1456=3),N(INDEX(Parameter!$I$5:$I$7,BQ1456)),0),0)</f>
        <v/>
      </c>
    </row>
    <row r="1457">
      <c r="A1457" s="53" t="inlineStr">
        <is>
          <t>108491</t>
        </is>
      </c>
      <c r="B1457" s="53" t="inlineStr">
        <is>
          <t>Ventilpanel SPGr BASE komplett</t>
        </is>
      </c>
      <c r="C1457" s="53" t="inlineStr">
        <is>
          <t>G</t>
        </is>
      </c>
      <c r="D1457" s="53" t="inlineStr">
        <is>
          <t>PAL</t>
        </is>
      </c>
      <c r="E1457" s="53" t="inlineStr"/>
      <c r="F1457" s="54" t="n">
        <v>5331</v>
      </c>
      <c r="G1457" s="55">
        <f>MAX(0,IF(Parameter!$B$20="Jahresanfang 2025 + Export",BG1457+BF1457,BF1457))</f>
        <v/>
      </c>
      <c r="H1457" s="55">
        <f>G1457*F1457</f>
        <v/>
      </c>
      <c r="I1457" s="55">
        <f>BI1457*Parameter!$B$18</f>
        <v/>
      </c>
      <c r="J1457" s="56" t="n"/>
      <c r="K1457" s="57" t="n"/>
      <c r="L1457" s="55" t="n">
        <v>0</v>
      </c>
      <c r="M1457" s="55" t="n">
        <v>1</v>
      </c>
      <c r="N1457" s="58" t="n"/>
      <c r="O1457" s="53" t="inlineStr">
        <is>
          <t>LOSE</t>
        </is>
      </c>
      <c r="P1457" s="55" t="n"/>
      <c r="Q1457" s="59">
        <f>IF(BO1457=1,0,IFERROR(VLOOKUP(BM1457,'Gebinde-Kategorie'!$A$5:$G$45,6,0)+0,0))</f>
        <v/>
      </c>
      <c r="R1457" s="60" t="n"/>
      <c r="S1457" s="61" t="n"/>
      <c r="T1457" s="61" t="n"/>
      <c r="U1457" s="53">
        <f>IF(A1457="","",IF(IFERROR(VLOOKUP(D1457,Parameter!$A$35:$C$64,2,0),"Nein")="2+3",IF(ISNUMBER(SEARCH("grosser Artikel",BJ1457)),2,IFERROR(VLOOKUP(BM1457,Parameter!$F$35:$G$64,2,0),2)),IF(OR(IFERROR(VLOOKUP(D1457,Parameter!$A$35:$C$64,2,0),"Nein")="Nein",IFERROR(VLOOKUP(D1457,Parameter!$A$35:$C$64,2,0),"Nein")=""),"-",VLOOKUP(D1457,Parameter!$A$35:$C$64,2,0))))</f>
        <v/>
      </c>
      <c r="V1457" s="61" t="n"/>
      <c r="W1457" s="62" t="n"/>
      <c r="X1457" s="55">
        <f>AM1457</f>
        <v/>
      </c>
      <c r="Y1457" s="55">
        <f>MAX(AM1457,G1457)</f>
        <v/>
      </c>
      <c r="Z1457" s="63" t="n"/>
      <c r="AA1457" s="55">
        <f>IF(LEFT(Cockpit!$C$5,1)="A",G1457,IF(BT1457=1,BU1457,IF(LEFT(Cockpit!$C$5,1)="B",AE1457,MAX(AE1457,G1457))))</f>
        <v/>
      </c>
      <c r="AB1457" s="55">
        <f>IF(BO1457=1,0,ROUNDUP(AA1457/BN1457,0))</f>
        <v/>
      </c>
      <c r="AC1457" s="64">
        <f>IF(BO1457=1,IF(AA1457&lt;=0,0,BP1457*MAX(1,IF(G1457&gt;0,AA1457/G1457,1))),AB1457*Q1457)</f>
        <v/>
      </c>
      <c r="AD1457" s="55">
        <f>AA1457*F1457</f>
        <v/>
      </c>
      <c r="AE1457" s="55">
        <f>ROUNDUP(MAX(I1457/IF(BS1457&gt;0,BS1457,MAX(0.1,N(Cockpit!$C$6))),BV1457)/BN1457,0)*BN1457</f>
        <v/>
      </c>
      <c r="AF1457" s="56">
        <f>IF(AC1457&gt;0,I1457/AC1457,-1)</f>
        <v/>
      </c>
      <c r="AG1457" s="56">
        <f>IF(AND(OR(BR1457="L1",BR1457="L23"),AC1457&gt;0),SUMIFS($AC$7:$AC$1570,$BR$7:$BR$1570,BR1457,$AF$7:$AF$1570,"&gt;"&amp;AF1457)+SUMIFS($AC$7:$AC$1570,$BR$7:$BR$1570,BR1457,$AF$7:$AF$1570,AF1457,$BL$7:$BL$1570,"&lt;="&amp;BL1457),"")</f>
        <v/>
      </c>
      <c r="AH1457" s="65">
        <f>IF(AG1457="",0,MAX(0,MIN(1,(IF(BR1457="L1",Parameter!$K$5,Parameter!$K$6+Parameter!$K$7)-(AG1457-AC1457))/AC1457)))</f>
        <v/>
      </c>
      <c r="AI1457" s="55">
        <f>IF(LEFT(Cockpit!$I$5,1)="A",G1457,IF(BT1457=1,BU1457,IF(LEFT(Cockpit!$I$5,1)="B",AM1457,MAX(AM1457,G1457))))</f>
        <v/>
      </c>
      <c r="AJ1457" s="55">
        <f>IF(BO1457=1,0,ROUNDUP(AI1457/BN1457,0))</f>
        <v/>
      </c>
      <c r="AK1457" s="64">
        <f>IF(BO1457=1,IF(AI1457&lt;=0,0,BP1457*MAX(1,IF(G1457&gt;0,AI1457/G1457,1))),AJ1457*Q1457)</f>
        <v/>
      </c>
      <c r="AL1457" s="55">
        <f>AI1457*F1457</f>
        <v/>
      </c>
      <c r="AM1457" s="55">
        <f>ROUNDUP(MAX(I1457/IF(BS1457&gt;0,BS1457,MAX(0.1,N(Cockpit!$I$6))),BV1457)/BN1457,0)*BN1457</f>
        <v/>
      </c>
      <c r="AN1457" s="56">
        <f>IF(AK1457&gt;0,I1457/AK1457,-1)</f>
        <v/>
      </c>
      <c r="AO1457" s="56">
        <f>IF(AND(OR(BR1457="L1",BR1457="L23"),AK1457&gt;0),SUMIFS($AK$7:$AK$1570,$BR$7:$BR$1570,BR1457,$AN$7:$AN$1570,"&gt;"&amp;AN1457)+SUMIFS($AK$7:$AK$1570,$BR$7:$BR$1570,BR1457,$AN$7:$AN$1570,AN1457,$BL$7:$BL$1570,"&lt;="&amp;BL1457),"")</f>
        <v/>
      </c>
      <c r="AP1457" s="65">
        <f>IF(AO1457="",0,MAX(0,MIN(1,(IF(BR1457="L1",Parameter!$K$5,Parameter!$K$6+Parameter!$K$7)-(AO1457-AK1457))/AK1457)))</f>
        <v/>
      </c>
      <c r="AQ1457" s="55">
        <f>IF(LEFT(Cockpit!$O$5,1)="A",G1457,IF(BT1457=1,BU1457,IF(LEFT(Cockpit!$O$5,1)="B",AU1457,MAX(AU1457,G1457))))</f>
        <v/>
      </c>
      <c r="AR1457" s="55">
        <f>IF(BO1457=1,0,ROUNDUP(AQ1457/BN1457,0))</f>
        <v/>
      </c>
      <c r="AS1457" s="64">
        <f>IF(BO1457=1,IF(AQ1457&lt;=0,0,BP1457*MAX(1,IF(G1457&gt;0,AQ1457/G1457,1))),AR1457*Q1457)</f>
        <v/>
      </c>
      <c r="AT1457" s="55">
        <f>AQ1457*F1457</f>
        <v/>
      </c>
      <c r="AU1457" s="55">
        <f>ROUNDUP(MAX(I1457/IF(BS1457&gt;0,BS1457,MAX(0.1,N(Cockpit!$O$6))),BV1457)/BN1457,0)*BN1457</f>
        <v/>
      </c>
      <c r="AV1457" s="56">
        <f>IF(AS1457&gt;0,I1457/AS1457,-1)</f>
        <v/>
      </c>
      <c r="AW1457" s="56">
        <f>IF(AND(OR(BR1457="L1",BR1457="L23"),AS1457&gt;0),SUMIFS($AS$7:$AS$1570,$BR$7:$BR$1570,BR1457,$AV$7:$AV$1570,"&gt;"&amp;AV1457)+SUMIFS($AS$7:$AS$1570,$BR$7:$BR$1570,BR1457,$AV$7:$AV$1570,AV1457,$BL$7:$BL$1570,"&lt;="&amp;BL1457),"")</f>
        <v/>
      </c>
      <c r="AX1457" s="65">
        <f>IF(AW1457="",0,MAX(0,MIN(1,(IF(BR1457="L1",Parameter!$K$5,Parameter!$K$6+Parameter!$K$7)-(AW1457-AS1457))/AS1457)))</f>
        <v/>
      </c>
      <c r="AY1457" s="53">
        <f>IF(AC1457&lt;=0,"",IF(BR1457="Aussen","Aussenlager",IF(BR1457="-","Nicht im Lift",IF(AH1457&gt;=1,"Lift",IF(AH1457&lt;=0,"Aussenlager","teilweise")))))</f>
        <v/>
      </c>
      <c r="AZ1457" s="53">
        <f>IF(AK1457&lt;=0,"",IF(BR1457="Aussen","Aussenlager",IF(BR1457="-","Nicht im Lift",IF(AP1457&gt;=1,"Lift",IF(AP1457&lt;=0,"Aussenlager","teilweise")))))</f>
        <v/>
      </c>
      <c r="BA1457" s="53">
        <f>IF(AS1457&lt;=0,"",IF(BR1457="Aussen","Aussenlager",IF(BR1457="-","Nicht im Lift",IF(AX1457&gt;=1,"Lift",IF(AX1457&lt;=0,"Aussenlager","teilweise")))))</f>
        <v/>
      </c>
      <c r="BB1457" s="53">
        <f>IF(A1457="","",IF(BK1457=1,"Neu; ","")&amp;IF(AND(BK1457=0,BF1457&lt;0),"negativer Bestand (Export "&amp;BF1457&amp;"); ","")&amp;IF(I1457&lt;=0,"Kein Verbrauch; ","")&amp;IF(BO1457=1,"Lose – Fläche geschätzt; ","")&amp;IF(G1457&gt;AM1457,"Überbestand "&amp;ROUND(G1457-AM1457,0)&amp;" Stk / CHF "&amp;ROUND((G1457-AM1457)*F1457,0)&amp;"; ","")&amp;IF(AND(BT1457=1,BU1457&lt;BV1457),"MAX &lt; MB+LG; ","")&amp;IF(AND(BZ1457&gt;0,BY1457*10&gt;BZ1457),"zu hoch für Tablar; ","")&amp;IF(AND(BK1457=0,OR(BT1457=1,V1457&lt;&gt;"",S1457&lt;&gt;"",T1457&lt;&gt;"",W1457&lt;&gt;"")),"manuell übersteuert; ","")&amp;IF(AND(BO1457=0,Q1457=0),"Gebinde unbekannt; ","")&amp;IF(AND(BO1457=0,N(T1457)&lt;=0,N(P1457)&lt;=0),"Menge pro Gebinde fehlt (Ist = 1 Gebinde); ","")&amp;BJ1457)</f>
        <v/>
      </c>
      <c r="BC1457" s="53" t="n"/>
      <c r="BD1457" s="53" t="n"/>
      <c r="BE1457" s="61" t="n"/>
      <c r="BF1457" s="55" t="n">
        <v>-3</v>
      </c>
      <c r="BG1457" s="55" t="n">
        <v>0</v>
      </c>
      <c r="BH1457" s="54" t="n">
        <v>-15993</v>
      </c>
      <c r="BI1457" s="55" t="n">
        <v>5</v>
      </c>
      <c r="BJ1457" s="53" t="inlineStr">
        <is>
          <t>grosser Artikel &amp; nicht im KTL</t>
        </is>
      </c>
      <c r="BK1457" s="58" t="n">
        <v>0</v>
      </c>
      <c r="BL1457" s="58" t="n">
        <v>1457</v>
      </c>
      <c r="BM1457" s="53">
        <f>IF(S1457&lt;&gt;"",UPPER(TRIM(S1457)),IF(O1457="","LOSE",O1457))</f>
        <v/>
      </c>
      <c r="BN1457" s="55">
        <f>IF(BM1457="LOSE",1,IF(N(T1457)&gt;0,T1457,IF(N(P1457)&gt;0,P1457,MAX(1,G1457))))</f>
        <v/>
      </c>
      <c r="BO1457" s="58">
        <f>IF(BM1457="LOSE",1,0)</f>
        <v/>
      </c>
      <c r="BP1457" s="64">
        <f>IF(BO1457=0,0,IF(N(R1457)&gt;0,R1457,IFERROR(VLOOKUP(D1457,Parameter!$A$35:$C$64,3,0)+0,0)))</f>
        <v/>
      </c>
      <c r="BQ1457" s="53">
        <f>IF(V1457&lt;&gt;"",V1457,U1457)</f>
        <v/>
      </c>
      <c r="BR1457" s="53">
        <f>IF(BQ1457=1,"L1",IF(OR(BQ1457=2,BQ1457=3),"L23",IF(BQ1457="Aussen","Aussen","-")))</f>
        <v/>
      </c>
      <c r="BS1457" s="66">
        <f>IF(N(W1457)&gt;0,W1457,0)</f>
        <v/>
      </c>
      <c r="BT1457" s="58">
        <f>IF(ISNUMBER(Z1457),1,0)</f>
        <v/>
      </c>
      <c r="BU1457" s="55">
        <f>N(Z1457)</f>
        <v/>
      </c>
      <c r="BV1457" s="55">
        <f>N(L1457)+N(M1457)</f>
        <v/>
      </c>
      <c r="BW1457" s="55">
        <f>ROUNDUP(G1457/BN1457,0)</f>
        <v/>
      </c>
      <c r="BX1457" s="55">
        <f>ROUNDUP(BU1457/BN1457,0)</f>
        <v/>
      </c>
      <c r="BY1457" s="58">
        <f>IF(BO1457=1,0,IFERROR(VLOOKUP(BM1457,'Gebinde-Kategorie'!$A$5:$G$45,5,0)+0,0))</f>
        <v/>
      </c>
      <c r="BZ1457" s="58">
        <f>IFERROR(IF(OR(BQ1457=1,BQ1457=2,BQ1457=3),N(INDEX(Parameter!$I$5:$I$7,BQ1457)),0),0)</f>
        <v/>
      </c>
    </row>
    <row r="1458">
      <c r="A1458" s="53" t="inlineStr">
        <is>
          <t>106239</t>
        </is>
      </c>
      <c r="B1458" s="53" t="inlineStr">
        <is>
          <t>Verbrennungszylinder EG10L</t>
        </is>
      </c>
      <c r="C1458" s="53" t="inlineStr">
        <is>
          <t>F</t>
        </is>
      </c>
      <c r="D1458" s="53" t="inlineStr">
        <is>
          <t>PAL</t>
        </is>
      </c>
      <c r="E1458" s="53" t="inlineStr"/>
      <c r="F1458" s="54" t="n">
        <v>1180.4</v>
      </c>
      <c r="G1458" s="55">
        <f>MAX(0,IF(Parameter!$B$20="Jahresanfang 2025 + Export",BG1458+BF1458,BF1458))</f>
        <v/>
      </c>
      <c r="H1458" s="55">
        <f>G1458*F1458</f>
        <v/>
      </c>
      <c r="I1458" s="55">
        <f>BI1458*Parameter!$B$18</f>
        <v/>
      </c>
      <c r="J1458" s="56" t="n"/>
      <c r="K1458" s="57" t="n"/>
      <c r="L1458" s="55" t="n">
        <v>3</v>
      </c>
      <c r="M1458" s="55" t="n">
        <v>15</v>
      </c>
      <c r="N1458" s="58" t="n"/>
      <c r="O1458" s="53" t="inlineStr">
        <is>
          <t>LOSE</t>
        </is>
      </c>
      <c r="P1458" s="55" t="n"/>
      <c r="Q1458" s="59">
        <f>IF(BO1458=1,0,IFERROR(VLOOKUP(BM1458,'Gebinde-Kategorie'!$A$5:$G$45,6,0)+0,0))</f>
        <v/>
      </c>
      <c r="R1458" s="60" t="n"/>
      <c r="S1458" s="61" t="n"/>
      <c r="T1458" s="61" t="n"/>
      <c r="U1458" s="53">
        <f>IF(A1458="","",IF(IFERROR(VLOOKUP(D1458,Parameter!$A$35:$C$64,2,0),"Nein")="2+3",IF(ISNUMBER(SEARCH("grosser Artikel",BJ1458)),2,IFERROR(VLOOKUP(BM1458,Parameter!$F$35:$G$64,2,0),2)),IF(OR(IFERROR(VLOOKUP(D1458,Parameter!$A$35:$C$64,2,0),"Nein")="Nein",IFERROR(VLOOKUP(D1458,Parameter!$A$35:$C$64,2,0),"Nein")=""),"-",VLOOKUP(D1458,Parameter!$A$35:$C$64,2,0))))</f>
        <v/>
      </c>
      <c r="V1458" s="61" t="n"/>
      <c r="W1458" s="62" t="n"/>
      <c r="X1458" s="55">
        <f>AM1458</f>
        <v/>
      </c>
      <c r="Y1458" s="55">
        <f>MAX(AM1458,G1458)</f>
        <v/>
      </c>
      <c r="Z1458" s="63" t="n"/>
      <c r="AA1458" s="55">
        <f>IF(LEFT(Cockpit!$C$5,1)="A",G1458,IF(BT1458=1,BU1458,IF(LEFT(Cockpit!$C$5,1)="B",AE1458,MAX(AE1458,G1458))))</f>
        <v/>
      </c>
      <c r="AB1458" s="55">
        <f>IF(BO1458=1,0,ROUNDUP(AA1458/BN1458,0))</f>
        <v/>
      </c>
      <c r="AC1458" s="64">
        <f>IF(BO1458=1,IF(AA1458&lt;=0,0,BP1458*MAX(1,IF(G1458&gt;0,AA1458/G1458,1))),AB1458*Q1458)</f>
        <v/>
      </c>
      <c r="AD1458" s="55">
        <f>AA1458*F1458</f>
        <v/>
      </c>
      <c r="AE1458" s="55">
        <f>ROUNDUP(MAX(I1458/IF(BS1458&gt;0,BS1458,MAX(0.1,N(Cockpit!$C$6))),BV1458)/BN1458,0)*BN1458</f>
        <v/>
      </c>
      <c r="AF1458" s="56">
        <f>IF(AC1458&gt;0,I1458/AC1458,-1)</f>
        <v/>
      </c>
      <c r="AG1458" s="56">
        <f>IF(AND(OR(BR1458="L1",BR1458="L23"),AC1458&gt;0),SUMIFS($AC$7:$AC$1570,$BR$7:$BR$1570,BR1458,$AF$7:$AF$1570,"&gt;"&amp;AF1458)+SUMIFS($AC$7:$AC$1570,$BR$7:$BR$1570,BR1458,$AF$7:$AF$1570,AF1458,$BL$7:$BL$1570,"&lt;="&amp;BL1458),"")</f>
        <v/>
      </c>
      <c r="AH1458" s="65">
        <f>IF(AG1458="",0,MAX(0,MIN(1,(IF(BR1458="L1",Parameter!$K$5,Parameter!$K$6+Parameter!$K$7)-(AG1458-AC1458))/AC1458)))</f>
        <v/>
      </c>
      <c r="AI1458" s="55">
        <f>IF(LEFT(Cockpit!$I$5,1)="A",G1458,IF(BT1458=1,BU1458,IF(LEFT(Cockpit!$I$5,1)="B",AM1458,MAX(AM1458,G1458))))</f>
        <v/>
      </c>
      <c r="AJ1458" s="55">
        <f>IF(BO1458=1,0,ROUNDUP(AI1458/BN1458,0))</f>
        <v/>
      </c>
      <c r="AK1458" s="64">
        <f>IF(BO1458=1,IF(AI1458&lt;=0,0,BP1458*MAX(1,IF(G1458&gt;0,AI1458/G1458,1))),AJ1458*Q1458)</f>
        <v/>
      </c>
      <c r="AL1458" s="55">
        <f>AI1458*F1458</f>
        <v/>
      </c>
      <c r="AM1458" s="55">
        <f>ROUNDUP(MAX(I1458/IF(BS1458&gt;0,BS1458,MAX(0.1,N(Cockpit!$I$6))),BV1458)/BN1458,0)*BN1458</f>
        <v/>
      </c>
      <c r="AN1458" s="56">
        <f>IF(AK1458&gt;0,I1458/AK1458,-1)</f>
        <v/>
      </c>
      <c r="AO1458" s="56">
        <f>IF(AND(OR(BR1458="L1",BR1458="L23"),AK1458&gt;0),SUMIFS($AK$7:$AK$1570,$BR$7:$BR$1570,BR1458,$AN$7:$AN$1570,"&gt;"&amp;AN1458)+SUMIFS($AK$7:$AK$1570,$BR$7:$BR$1570,BR1458,$AN$7:$AN$1570,AN1458,$BL$7:$BL$1570,"&lt;="&amp;BL1458),"")</f>
        <v/>
      </c>
      <c r="AP1458" s="65">
        <f>IF(AO1458="",0,MAX(0,MIN(1,(IF(BR1458="L1",Parameter!$K$5,Parameter!$K$6+Parameter!$K$7)-(AO1458-AK1458))/AK1458)))</f>
        <v/>
      </c>
      <c r="AQ1458" s="55">
        <f>IF(LEFT(Cockpit!$O$5,1)="A",G1458,IF(BT1458=1,BU1458,IF(LEFT(Cockpit!$O$5,1)="B",AU1458,MAX(AU1458,G1458))))</f>
        <v/>
      </c>
      <c r="AR1458" s="55">
        <f>IF(BO1458=1,0,ROUNDUP(AQ1458/BN1458,0))</f>
        <v/>
      </c>
      <c r="AS1458" s="64">
        <f>IF(BO1458=1,IF(AQ1458&lt;=0,0,BP1458*MAX(1,IF(G1458&gt;0,AQ1458/G1458,1))),AR1458*Q1458)</f>
        <v/>
      </c>
      <c r="AT1458" s="55">
        <f>AQ1458*F1458</f>
        <v/>
      </c>
      <c r="AU1458" s="55">
        <f>ROUNDUP(MAX(I1458/IF(BS1458&gt;0,BS1458,MAX(0.1,N(Cockpit!$O$6))),BV1458)/BN1458,0)*BN1458</f>
        <v/>
      </c>
      <c r="AV1458" s="56">
        <f>IF(AS1458&gt;0,I1458/AS1458,-1)</f>
        <v/>
      </c>
      <c r="AW1458" s="56">
        <f>IF(AND(OR(BR1458="L1",BR1458="L23"),AS1458&gt;0),SUMIFS($AS$7:$AS$1570,$BR$7:$BR$1570,BR1458,$AV$7:$AV$1570,"&gt;"&amp;AV1458)+SUMIFS($AS$7:$AS$1570,$BR$7:$BR$1570,BR1458,$AV$7:$AV$1570,AV1458,$BL$7:$BL$1570,"&lt;="&amp;BL1458),"")</f>
        <v/>
      </c>
      <c r="AX1458" s="65">
        <f>IF(AW1458="",0,MAX(0,MIN(1,(IF(BR1458="L1",Parameter!$K$5,Parameter!$K$6+Parameter!$K$7)-(AW1458-AS1458))/AS1458)))</f>
        <v/>
      </c>
      <c r="AY1458" s="53">
        <f>IF(AC1458&lt;=0,"",IF(BR1458="Aussen","Aussenlager",IF(BR1458="-","Nicht im Lift",IF(AH1458&gt;=1,"Lift",IF(AH1458&lt;=0,"Aussenlager","teilweise")))))</f>
        <v/>
      </c>
      <c r="AZ1458" s="53">
        <f>IF(AK1458&lt;=0,"",IF(BR1458="Aussen","Aussenlager",IF(BR1458="-","Nicht im Lift",IF(AP1458&gt;=1,"Lift",IF(AP1458&lt;=0,"Aussenlager","teilweise")))))</f>
        <v/>
      </c>
      <c r="BA1458" s="53">
        <f>IF(AS1458&lt;=0,"",IF(BR1458="Aussen","Aussenlager",IF(BR1458="-","Nicht im Lift",IF(AX1458&gt;=1,"Lift",IF(AX1458&lt;=0,"Aussenlager","teilweise")))))</f>
        <v/>
      </c>
      <c r="BB1458" s="53">
        <f>IF(A1458="","",IF(BK1458=1,"Neu; ","")&amp;IF(AND(BK1458=0,BF1458&lt;0),"negativer Bestand (Export "&amp;BF1458&amp;"); ","")&amp;IF(I1458&lt;=0,"Kein Verbrauch; ","")&amp;IF(BO1458=1,"Lose – Fläche geschätzt; ","")&amp;IF(G1458&gt;AM1458,"Überbestand "&amp;ROUND(G1458-AM1458,0)&amp;" Stk / CHF "&amp;ROUND((G1458-AM1458)*F1458,0)&amp;"; ","")&amp;IF(AND(BT1458=1,BU1458&lt;BV1458),"MAX &lt; MB+LG; ","")&amp;IF(AND(BZ1458&gt;0,BY1458*10&gt;BZ1458),"zu hoch für Tablar; ","")&amp;IF(AND(BK1458=0,OR(BT1458=1,V1458&lt;&gt;"",S1458&lt;&gt;"",T1458&lt;&gt;"",W1458&lt;&gt;"")),"manuell übersteuert; ","")&amp;IF(AND(BO1458=0,Q1458=0),"Gebinde unbekannt; ","")&amp;IF(AND(BO1458=0,N(T1458)&lt;=0,N(P1458)&lt;=0),"Menge pro Gebinde fehlt (Ist = 1 Gebinde); ","")&amp;BJ1458)</f>
        <v/>
      </c>
      <c r="BC1458" s="53" t="n"/>
      <c r="BD1458" s="53" t="n"/>
      <c r="BE1458" s="61" t="n"/>
      <c r="BF1458" s="55" t="n">
        <v>-13</v>
      </c>
      <c r="BG1458" s="55" t="n">
        <v>0</v>
      </c>
      <c r="BH1458" s="54" t="n">
        <v>-18093.29</v>
      </c>
      <c r="BI1458" s="55" t="n">
        <v>55</v>
      </c>
      <c r="BJ1458" s="53" t="inlineStr"/>
      <c r="BK1458" s="58" t="n">
        <v>0</v>
      </c>
      <c r="BL1458" s="58" t="n">
        <v>1458</v>
      </c>
      <c r="BM1458" s="53">
        <f>IF(S1458&lt;&gt;"",UPPER(TRIM(S1458)),IF(O1458="","LOSE",O1458))</f>
        <v/>
      </c>
      <c r="BN1458" s="55">
        <f>IF(BM1458="LOSE",1,IF(N(T1458)&gt;0,T1458,IF(N(P1458)&gt;0,P1458,MAX(1,G1458))))</f>
        <v/>
      </c>
      <c r="BO1458" s="58">
        <f>IF(BM1458="LOSE",1,0)</f>
        <v/>
      </c>
      <c r="BP1458" s="64">
        <f>IF(BO1458=0,0,IF(N(R1458)&gt;0,R1458,IFERROR(VLOOKUP(D1458,Parameter!$A$35:$C$64,3,0)+0,0)))</f>
        <v/>
      </c>
      <c r="BQ1458" s="53">
        <f>IF(V1458&lt;&gt;"",V1458,U1458)</f>
        <v/>
      </c>
      <c r="BR1458" s="53">
        <f>IF(BQ1458=1,"L1",IF(OR(BQ1458=2,BQ1458=3),"L23",IF(BQ1458="Aussen","Aussen","-")))</f>
        <v/>
      </c>
      <c r="BS1458" s="66">
        <f>IF(N(W1458)&gt;0,W1458,0)</f>
        <v/>
      </c>
      <c r="BT1458" s="58">
        <f>IF(ISNUMBER(Z1458),1,0)</f>
        <v/>
      </c>
      <c r="BU1458" s="55">
        <f>N(Z1458)</f>
        <v/>
      </c>
      <c r="BV1458" s="55">
        <f>N(L1458)+N(M1458)</f>
        <v/>
      </c>
      <c r="BW1458" s="55">
        <f>ROUNDUP(G1458/BN1458,0)</f>
        <v/>
      </c>
      <c r="BX1458" s="55">
        <f>ROUNDUP(BU1458/BN1458,0)</f>
        <v/>
      </c>
      <c r="BY1458" s="58">
        <f>IF(BO1458=1,0,IFERROR(VLOOKUP(BM1458,'Gebinde-Kategorie'!$A$5:$G$45,5,0)+0,0))</f>
        <v/>
      </c>
      <c r="BZ1458" s="58">
        <f>IFERROR(IF(OR(BQ1458=1,BQ1458=2,BQ1458=3),N(INDEX(Parameter!$I$5:$I$7,BQ1458)),0),0)</f>
        <v/>
      </c>
    </row>
    <row r="1459">
      <c r="A1459" s="53" t="inlineStr">
        <is>
          <t>109088</t>
        </is>
      </c>
      <c r="B1459" s="53" t="inlineStr">
        <is>
          <t>Gasdruckspeicher Flansch SPGr10</t>
        </is>
      </c>
      <c r="C1459" s="53" t="inlineStr">
        <is>
          <t>F</t>
        </is>
      </c>
      <c r="D1459" s="53" t="inlineStr">
        <is>
          <t>PAL</t>
        </is>
      </c>
      <c r="E1459" s="53" t="inlineStr"/>
      <c r="F1459" s="54" t="n">
        <v>286.19</v>
      </c>
      <c r="G1459" s="55">
        <f>MAX(0,IF(Parameter!$B$20="Jahresanfang 2025 + Export",BG1459+BF1459,BF1459))</f>
        <v/>
      </c>
      <c r="H1459" s="55">
        <f>G1459*F1459</f>
        <v/>
      </c>
      <c r="I1459" s="55">
        <f>BI1459*Parameter!$B$18</f>
        <v/>
      </c>
      <c r="J1459" s="56" t="n"/>
      <c r="K1459" s="57" t="n"/>
      <c r="L1459" s="55" t="n">
        <v>2</v>
      </c>
      <c r="M1459" s="55" t="n">
        <v>35</v>
      </c>
      <c r="N1459" s="58" t="n"/>
      <c r="O1459" s="53" t="inlineStr">
        <is>
          <t>S71</t>
        </is>
      </c>
      <c r="P1459" s="55" t="n">
        <v>36</v>
      </c>
      <c r="Q1459" s="59">
        <f>IF(BO1459=1,0,IFERROR(VLOOKUP(BM1459,'Gebinde-Kategorie'!$A$5:$G$45,6,0)+0,0))</f>
        <v/>
      </c>
      <c r="R1459" s="60" t="n"/>
      <c r="S1459" s="61" t="n"/>
      <c r="T1459" s="61" t="n"/>
      <c r="U1459" s="53">
        <f>IF(A1459="","",IF(IFERROR(VLOOKUP(D1459,Parameter!$A$35:$C$64,2,0),"Nein")="2+3",IF(ISNUMBER(SEARCH("grosser Artikel",BJ1459)),2,IFERROR(VLOOKUP(BM1459,Parameter!$F$35:$G$64,2,0),2)),IF(OR(IFERROR(VLOOKUP(D1459,Parameter!$A$35:$C$64,2,0),"Nein")="Nein",IFERROR(VLOOKUP(D1459,Parameter!$A$35:$C$64,2,0),"Nein")=""),"-",VLOOKUP(D1459,Parameter!$A$35:$C$64,2,0))))</f>
        <v/>
      </c>
      <c r="V1459" s="61" t="n"/>
      <c r="W1459" s="62" t="n"/>
      <c r="X1459" s="55">
        <f>AM1459</f>
        <v/>
      </c>
      <c r="Y1459" s="55">
        <f>MAX(AM1459,G1459)</f>
        <v/>
      </c>
      <c r="Z1459" s="63" t="n"/>
      <c r="AA1459" s="55">
        <f>IF(LEFT(Cockpit!$C$5,1)="A",G1459,IF(BT1459=1,BU1459,IF(LEFT(Cockpit!$C$5,1)="B",AE1459,MAX(AE1459,G1459))))</f>
        <v/>
      </c>
      <c r="AB1459" s="55">
        <f>IF(BO1459=1,0,ROUNDUP(AA1459/BN1459,0))</f>
        <v/>
      </c>
      <c r="AC1459" s="64">
        <f>IF(BO1459=1,IF(AA1459&lt;=0,0,BP1459*MAX(1,IF(G1459&gt;0,AA1459/G1459,1))),AB1459*Q1459)</f>
        <v/>
      </c>
      <c r="AD1459" s="55">
        <f>AA1459*F1459</f>
        <v/>
      </c>
      <c r="AE1459" s="55">
        <f>ROUNDUP(MAX(I1459/IF(BS1459&gt;0,BS1459,MAX(0.1,N(Cockpit!$C$6))),BV1459)/BN1459,0)*BN1459</f>
        <v/>
      </c>
      <c r="AF1459" s="56">
        <f>IF(AC1459&gt;0,I1459/AC1459,-1)</f>
        <v/>
      </c>
      <c r="AG1459" s="56">
        <f>IF(AND(OR(BR1459="L1",BR1459="L23"),AC1459&gt;0),SUMIFS($AC$7:$AC$1570,$BR$7:$BR$1570,BR1459,$AF$7:$AF$1570,"&gt;"&amp;AF1459)+SUMIFS($AC$7:$AC$1570,$BR$7:$BR$1570,BR1459,$AF$7:$AF$1570,AF1459,$BL$7:$BL$1570,"&lt;="&amp;BL1459),"")</f>
        <v/>
      </c>
      <c r="AH1459" s="65">
        <f>IF(AG1459="",0,MAX(0,MIN(1,(IF(BR1459="L1",Parameter!$K$5,Parameter!$K$6+Parameter!$K$7)-(AG1459-AC1459))/AC1459)))</f>
        <v/>
      </c>
      <c r="AI1459" s="55">
        <f>IF(LEFT(Cockpit!$I$5,1)="A",G1459,IF(BT1459=1,BU1459,IF(LEFT(Cockpit!$I$5,1)="B",AM1459,MAX(AM1459,G1459))))</f>
        <v/>
      </c>
      <c r="AJ1459" s="55">
        <f>IF(BO1459=1,0,ROUNDUP(AI1459/BN1459,0))</f>
        <v/>
      </c>
      <c r="AK1459" s="64">
        <f>IF(BO1459=1,IF(AI1459&lt;=0,0,BP1459*MAX(1,IF(G1459&gt;0,AI1459/G1459,1))),AJ1459*Q1459)</f>
        <v/>
      </c>
      <c r="AL1459" s="55">
        <f>AI1459*F1459</f>
        <v/>
      </c>
      <c r="AM1459" s="55">
        <f>ROUNDUP(MAX(I1459/IF(BS1459&gt;0,BS1459,MAX(0.1,N(Cockpit!$I$6))),BV1459)/BN1459,0)*BN1459</f>
        <v/>
      </c>
      <c r="AN1459" s="56">
        <f>IF(AK1459&gt;0,I1459/AK1459,-1)</f>
        <v/>
      </c>
      <c r="AO1459" s="56">
        <f>IF(AND(OR(BR1459="L1",BR1459="L23"),AK1459&gt;0),SUMIFS($AK$7:$AK$1570,$BR$7:$BR$1570,BR1459,$AN$7:$AN$1570,"&gt;"&amp;AN1459)+SUMIFS($AK$7:$AK$1570,$BR$7:$BR$1570,BR1459,$AN$7:$AN$1570,AN1459,$BL$7:$BL$1570,"&lt;="&amp;BL1459),"")</f>
        <v/>
      </c>
      <c r="AP1459" s="65">
        <f>IF(AO1459="",0,MAX(0,MIN(1,(IF(BR1459="L1",Parameter!$K$5,Parameter!$K$6+Parameter!$K$7)-(AO1459-AK1459))/AK1459)))</f>
        <v/>
      </c>
      <c r="AQ1459" s="55">
        <f>IF(LEFT(Cockpit!$O$5,1)="A",G1459,IF(BT1459=1,BU1459,IF(LEFT(Cockpit!$O$5,1)="B",AU1459,MAX(AU1459,G1459))))</f>
        <v/>
      </c>
      <c r="AR1459" s="55">
        <f>IF(BO1459=1,0,ROUNDUP(AQ1459/BN1459,0))</f>
        <v/>
      </c>
      <c r="AS1459" s="64">
        <f>IF(BO1459=1,IF(AQ1459&lt;=0,0,BP1459*MAX(1,IF(G1459&gt;0,AQ1459/G1459,1))),AR1459*Q1459)</f>
        <v/>
      </c>
      <c r="AT1459" s="55">
        <f>AQ1459*F1459</f>
        <v/>
      </c>
      <c r="AU1459" s="55">
        <f>ROUNDUP(MAX(I1459/IF(BS1459&gt;0,BS1459,MAX(0.1,N(Cockpit!$O$6))),BV1459)/BN1459,0)*BN1459</f>
        <v/>
      </c>
      <c r="AV1459" s="56">
        <f>IF(AS1459&gt;0,I1459/AS1459,-1)</f>
        <v/>
      </c>
      <c r="AW1459" s="56">
        <f>IF(AND(OR(BR1459="L1",BR1459="L23"),AS1459&gt;0),SUMIFS($AS$7:$AS$1570,$BR$7:$BR$1570,BR1459,$AV$7:$AV$1570,"&gt;"&amp;AV1459)+SUMIFS($AS$7:$AS$1570,$BR$7:$BR$1570,BR1459,$AV$7:$AV$1570,AV1459,$BL$7:$BL$1570,"&lt;="&amp;BL1459),"")</f>
        <v/>
      </c>
      <c r="AX1459" s="65">
        <f>IF(AW1459="",0,MAX(0,MIN(1,(IF(BR1459="L1",Parameter!$K$5,Parameter!$K$6+Parameter!$K$7)-(AW1459-AS1459))/AS1459)))</f>
        <v/>
      </c>
      <c r="AY1459" s="53">
        <f>IF(AC1459&lt;=0,"",IF(BR1459="Aussen","Aussenlager",IF(BR1459="-","Nicht im Lift",IF(AH1459&gt;=1,"Lift",IF(AH1459&lt;=0,"Aussenlager","teilweise")))))</f>
        <v/>
      </c>
      <c r="AZ1459" s="53">
        <f>IF(AK1459&lt;=0,"",IF(BR1459="Aussen","Aussenlager",IF(BR1459="-","Nicht im Lift",IF(AP1459&gt;=1,"Lift",IF(AP1459&lt;=0,"Aussenlager","teilweise")))))</f>
        <v/>
      </c>
      <c r="BA1459" s="53">
        <f>IF(AS1459&lt;=0,"",IF(BR1459="Aussen","Aussenlager",IF(BR1459="-","Nicht im Lift",IF(AX1459&gt;=1,"Lift",IF(AX1459&lt;=0,"Aussenlager","teilweise")))))</f>
        <v/>
      </c>
      <c r="BB1459" s="53">
        <f>IF(A1459="","",IF(BK1459=1,"Neu; ","")&amp;IF(AND(BK1459=0,BF1459&lt;0),"negativer Bestand (Export "&amp;BF1459&amp;"); ","")&amp;IF(I1459&lt;=0,"Kein Verbrauch; ","")&amp;IF(BO1459=1,"Lose – Fläche geschätzt; ","")&amp;IF(G1459&gt;AM1459,"Überbestand "&amp;ROUND(G1459-AM1459,0)&amp;" Stk / CHF "&amp;ROUND((G1459-AM1459)*F1459,0)&amp;"; ","")&amp;IF(AND(BT1459=1,BU1459&lt;BV1459),"MAX &lt; MB+LG; ","")&amp;IF(AND(BZ1459&gt;0,BY1459*10&gt;BZ1459),"zu hoch für Tablar; ","")&amp;IF(AND(BK1459=0,OR(BT1459=1,V1459&lt;&gt;"",S1459&lt;&gt;"",T1459&lt;&gt;"",W1459&lt;&gt;"")),"manuell übersteuert; ","")&amp;IF(AND(BO1459=0,Q1459=0),"Gebinde unbekannt; ","")&amp;IF(AND(BO1459=0,N(T1459)&lt;=0,N(P1459)&lt;=0),"Menge pro Gebinde fehlt (Ist = 1 Gebinde); ","")&amp;BJ1459)</f>
        <v/>
      </c>
      <c r="BC1459" s="53" t="n"/>
      <c r="BD1459" s="53" t="n"/>
      <c r="BE1459" s="61" t="n"/>
      <c r="BF1459" s="55" t="n">
        <v>-61</v>
      </c>
      <c r="BG1459" s="55" t="n">
        <v>0</v>
      </c>
      <c r="BH1459" s="54" t="n">
        <v>-18618.23000000001</v>
      </c>
      <c r="BI1459" s="55" t="n">
        <v>44</v>
      </c>
      <c r="BJ1459" s="53" t="inlineStr">
        <is>
          <t>Neu</t>
        </is>
      </c>
      <c r="BK1459" s="58" t="n">
        <v>0</v>
      </c>
      <c r="BL1459" s="58" t="n">
        <v>1459</v>
      </c>
      <c r="BM1459" s="53">
        <f>IF(S1459&lt;&gt;"",UPPER(TRIM(S1459)),IF(O1459="","LOSE",O1459))</f>
        <v/>
      </c>
      <c r="BN1459" s="55">
        <f>IF(BM1459="LOSE",1,IF(N(T1459)&gt;0,T1459,IF(N(P1459)&gt;0,P1459,MAX(1,G1459))))</f>
        <v/>
      </c>
      <c r="BO1459" s="58">
        <f>IF(BM1459="LOSE",1,0)</f>
        <v/>
      </c>
      <c r="BP1459" s="64">
        <f>IF(BO1459=0,0,IF(N(R1459)&gt;0,R1459,IFERROR(VLOOKUP(D1459,Parameter!$A$35:$C$64,3,0)+0,0)))</f>
        <v/>
      </c>
      <c r="BQ1459" s="53">
        <f>IF(V1459&lt;&gt;"",V1459,U1459)</f>
        <v/>
      </c>
      <c r="BR1459" s="53">
        <f>IF(BQ1459=1,"L1",IF(OR(BQ1459=2,BQ1459=3),"L23",IF(BQ1459="Aussen","Aussen","-")))</f>
        <v/>
      </c>
      <c r="BS1459" s="66">
        <f>IF(N(W1459)&gt;0,W1459,0)</f>
        <v/>
      </c>
      <c r="BT1459" s="58">
        <f>IF(ISNUMBER(Z1459),1,0)</f>
        <v/>
      </c>
      <c r="BU1459" s="55">
        <f>N(Z1459)</f>
        <v/>
      </c>
      <c r="BV1459" s="55">
        <f>N(L1459)+N(M1459)</f>
        <v/>
      </c>
      <c r="BW1459" s="55">
        <f>ROUNDUP(G1459/BN1459,0)</f>
        <v/>
      </c>
      <c r="BX1459" s="55">
        <f>ROUNDUP(BU1459/BN1459,0)</f>
        <v/>
      </c>
      <c r="BY1459" s="58">
        <f>IF(BO1459=1,0,IFERROR(VLOOKUP(BM1459,'Gebinde-Kategorie'!$A$5:$G$45,5,0)+0,0))</f>
        <v/>
      </c>
      <c r="BZ1459" s="58">
        <f>IFERROR(IF(OR(BQ1459=1,BQ1459=2,BQ1459=3),N(INDEX(Parameter!$I$5:$I$7,BQ1459)),0),0)</f>
        <v/>
      </c>
    </row>
    <row r="1460">
      <c r="A1460" s="53" t="inlineStr">
        <is>
          <t>108624</t>
        </is>
      </c>
      <c r="B1460" s="53" t="inlineStr">
        <is>
          <t>Zylinderschraube mit Innensechskant</t>
        </is>
      </c>
      <c r="C1460" s="53" t="inlineStr">
        <is>
          <t>G</t>
        </is>
      </c>
      <c r="D1460" s="53" t="inlineStr">
        <is>
          <t>PAL</t>
        </is>
      </c>
      <c r="E1460" s="53" t="inlineStr"/>
      <c r="F1460" s="54" t="n">
        <v>5.53</v>
      </c>
      <c r="G1460" s="55">
        <f>MAX(0,IF(Parameter!$B$20="Jahresanfang 2025 + Export",BG1460+BF1460,BF1460))</f>
        <v/>
      </c>
      <c r="H1460" s="55">
        <f>G1460*F1460</f>
        <v/>
      </c>
      <c r="I1460" s="55">
        <f>BI1460*Parameter!$B$18</f>
        <v/>
      </c>
      <c r="J1460" s="56" t="n"/>
      <c r="K1460" s="57" t="n"/>
      <c r="L1460" s="55" t="n">
        <v>2041</v>
      </c>
      <c r="M1460" s="55" t="n">
        <v>1265</v>
      </c>
      <c r="N1460" s="58" t="n"/>
      <c r="O1460" s="53" t="inlineStr">
        <is>
          <t>LOSE</t>
        </is>
      </c>
      <c r="P1460" s="55" t="n"/>
      <c r="Q1460" s="59">
        <f>IF(BO1460=1,0,IFERROR(VLOOKUP(BM1460,'Gebinde-Kategorie'!$A$5:$G$45,6,0)+0,0))</f>
        <v/>
      </c>
      <c r="R1460" s="60" t="n"/>
      <c r="S1460" s="61" t="n"/>
      <c r="T1460" s="61" t="n"/>
      <c r="U1460" s="53">
        <f>IF(A1460="","",IF(IFERROR(VLOOKUP(D1460,Parameter!$A$35:$C$64,2,0),"Nein")="2+3",IF(ISNUMBER(SEARCH("grosser Artikel",BJ1460)),2,IFERROR(VLOOKUP(BM1460,Parameter!$F$35:$G$64,2,0),2)),IF(OR(IFERROR(VLOOKUP(D1460,Parameter!$A$35:$C$64,2,0),"Nein")="Nein",IFERROR(VLOOKUP(D1460,Parameter!$A$35:$C$64,2,0),"Nein")=""),"-",VLOOKUP(D1460,Parameter!$A$35:$C$64,2,0))))</f>
        <v/>
      </c>
      <c r="V1460" s="61" t="n"/>
      <c r="W1460" s="62" t="n"/>
      <c r="X1460" s="55">
        <f>AM1460</f>
        <v/>
      </c>
      <c r="Y1460" s="55">
        <f>MAX(AM1460,G1460)</f>
        <v/>
      </c>
      <c r="Z1460" s="63" t="n"/>
      <c r="AA1460" s="55">
        <f>IF(LEFT(Cockpit!$C$5,1)="A",G1460,IF(BT1460=1,BU1460,IF(LEFT(Cockpit!$C$5,1)="B",AE1460,MAX(AE1460,G1460))))</f>
        <v/>
      </c>
      <c r="AB1460" s="55">
        <f>IF(BO1460=1,0,ROUNDUP(AA1460/BN1460,0))</f>
        <v/>
      </c>
      <c r="AC1460" s="64">
        <f>IF(BO1460=1,IF(AA1460&lt;=0,0,BP1460*MAX(1,IF(G1460&gt;0,AA1460/G1460,1))),AB1460*Q1460)</f>
        <v/>
      </c>
      <c r="AD1460" s="55">
        <f>AA1460*F1460</f>
        <v/>
      </c>
      <c r="AE1460" s="55">
        <f>ROUNDUP(MAX(I1460/IF(BS1460&gt;0,BS1460,MAX(0.1,N(Cockpit!$C$6))),BV1460)/BN1460,0)*BN1460</f>
        <v/>
      </c>
      <c r="AF1460" s="56">
        <f>IF(AC1460&gt;0,I1460/AC1460,-1)</f>
        <v/>
      </c>
      <c r="AG1460" s="56">
        <f>IF(AND(OR(BR1460="L1",BR1460="L23"),AC1460&gt;0),SUMIFS($AC$7:$AC$1570,$BR$7:$BR$1570,BR1460,$AF$7:$AF$1570,"&gt;"&amp;AF1460)+SUMIFS($AC$7:$AC$1570,$BR$7:$BR$1570,BR1460,$AF$7:$AF$1570,AF1460,$BL$7:$BL$1570,"&lt;="&amp;BL1460),"")</f>
        <v/>
      </c>
      <c r="AH1460" s="65">
        <f>IF(AG1460="",0,MAX(0,MIN(1,(IF(BR1460="L1",Parameter!$K$5,Parameter!$K$6+Parameter!$K$7)-(AG1460-AC1460))/AC1460)))</f>
        <v/>
      </c>
      <c r="AI1460" s="55">
        <f>IF(LEFT(Cockpit!$I$5,1)="A",G1460,IF(BT1460=1,BU1460,IF(LEFT(Cockpit!$I$5,1)="B",AM1460,MAX(AM1460,G1460))))</f>
        <v/>
      </c>
      <c r="AJ1460" s="55">
        <f>IF(BO1460=1,0,ROUNDUP(AI1460/BN1460,0))</f>
        <v/>
      </c>
      <c r="AK1460" s="64">
        <f>IF(BO1460=1,IF(AI1460&lt;=0,0,BP1460*MAX(1,IF(G1460&gt;0,AI1460/G1460,1))),AJ1460*Q1460)</f>
        <v/>
      </c>
      <c r="AL1460" s="55">
        <f>AI1460*F1460</f>
        <v/>
      </c>
      <c r="AM1460" s="55">
        <f>ROUNDUP(MAX(I1460/IF(BS1460&gt;0,BS1460,MAX(0.1,N(Cockpit!$I$6))),BV1460)/BN1460,0)*BN1460</f>
        <v/>
      </c>
      <c r="AN1460" s="56">
        <f>IF(AK1460&gt;0,I1460/AK1460,-1)</f>
        <v/>
      </c>
      <c r="AO1460" s="56">
        <f>IF(AND(OR(BR1460="L1",BR1460="L23"),AK1460&gt;0),SUMIFS($AK$7:$AK$1570,$BR$7:$BR$1570,BR1460,$AN$7:$AN$1570,"&gt;"&amp;AN1460)+SUMIFS($AK$7:$AK$1570,$BR$7:$BR$1570,BR1460,$AN$7:$AN$1570,AN1460,$BL$7:$BL$1570,"&lt;="&amp;BL1460),"")</f>
        <v/>
      </c>
      <c r="AP1460" s="65">
        <f>IF(AO1460="",0,MAX(0,MIN(1,(IF(BR1460="L1",Parameter!$K$5,Parameter!$K$6+Parameter!$K$7)-(AO1460-AK1460))/AK1460)))</f>
        <v/>
      </c>
      <c r="AQ1460" s="55">
        <f>IF(LEFT(Cockpit!$O$5,1)="A",G1460,IF(BT1460=1,BU1460,IF(LEFT(Cockpit!$O$5,1)="B",AU1460,MAX(AU1460,G1460))))</f>
        <v/>
      </c>
      <c r="AR1460" s="55">
        <f>IF(BO1460=1,0,ROUNDUP(AQ1460/BN1460,0))</f>
        <v/>
      </c>
      <c r="AS1460" s="64">
        <f>IF(BO1460=1,IF(AQ1460&lt;=0,0,BP1460*MAX(1,IF(G1460&gt;0,AQ1460/G1460,1))),AR1460*Q1460)</f>
        <v/>
      </c>
      <c r="AT1460" s="55">
        <f>AQ1460*F1460</f>
        <v/>
      </c>
      <c r="AU1460" s="55">
        <f>ROUNDUP(MAX(I1460/IF(BS1460&gt;0,BS1460,MAX(0.1,N(Cockpit!$O$6))),BV1460)/BN1460,0)*BN1460</f>
        <v/>
      </c>
      <c r="AV1460" s="56">
        <f>IF(AS1460&gt;0,I1460/AS1460,-1)</f>
        <v/>
      </c>
      <c r="AW1460" s="56">
        <f>IF(AND(OR(BR1460="L1",BR1460="L23"),AS1460&gt;0),SUMIFS($AS$7:$AS$1570,$BR$7:$BR$1570,BR1460,$AV$7:$AV$1570,"&gt;"&amp;AV1460)+SUMIFS($AS$7:$AS$1570,$BR$7:$BR$1570,BR1460,$AV$7:$AV$1570,AV1460,$BL$7:$BL$1570,"&lt;="&amp;BL1460),"")</f>
        <v/>
      </c>
      <c r="AX1460" s="65">
        <f>IF(AW1460="",0,MAX(0,MIN(1,(IF(BR1460="L1",Parameter!$K$5,Parameter!$K$6+Parameter!$K$7)-(AW1460-AS1460))/AS1460)))</f>
        <v/>
      </c>
      <c r="AY1460" s="53">
        <f>IF(AC1460&lt;=0,"",IF(BR1460="Aussen","Aussenlager",IF(BR1460="-","Nicht im Lift",IF(AH1460&gt;=1,"Lift",IF(AH1460&lt;=0,"Aussenlager","teilweise")))))</f>
        <v/>
      </c>
      <c r="AZ1460" s="53">
        <f>IF(AK1460&lt;=0,"",IF(BR1460="Aussen","Aussenlager",IF(BR1460="-","Nicht im Lift",IF(AP1460&gt;=1,"Lift",IF(AP1460&lt;=0,"Aussenlager","teilweise")))))</f>
        <v/>
      </c>
      <c r="BA1460" s="53">
        <f>IF(AS1460&lt;=0,"",IF(BR1460="Aussen","Aussenlager",IF(BR1460="-","Nicht im Lift",IF(AX1460&gt;=1,"Lift",IF(AX1460&lt;=0,"Aussenlager","teilweise")))))</f>
        <v/>
      </c>
      <c r="BB1460" s="53">
        <f>IF(A1460="","",IF(BK1460=1,"Neu; ","")&amp;IF(AND(BK1460=0,BF1460&lt;0),"negativer Bestand (Export "&amp;BF1460&amp;"); ","")&amp;IF(I1460&lt;=0,"Kein Verbrauch; ","")&amp;IF(BO1460=1,"Lose – Fläche geschätzt; ","")&amp;IF(G1460&gt;AM1460,"Überbestand "&amp;ROUND(G1460-AM1460,0)&amp;" Stk / CHF "&amp;ROUND((G1460-AM1460)*F1460,0)&amp;"; ","")&amp;IF(AND(BT1460=1,BU1460&lt;BV1460),"MAX &lt; MB+LG; ","")&amp;IF(AND(BZ1460&gt;0,BY1460*10&gt;BZ1460),"zu hoch für Tablar; ","")&amp;IF(AND(BK1460=0,OR(BT1460=1,V1460&lt;&gt;"",S1460&lt;&gt;"",T1460&lt;&gt;"",W1460&lt;&gt;"")),"manuell übersteuert; ","")&amp;IF(AND(BO1460=0,Q1460=0),"Gebinde unbekannt; ","")&amp;IF(AND(BO1460=0,N(T1460)&lt;=0,N(P1460)&lt;=0),"Menge pro Gebinde fehlt (Ist = 1 Gebinde); ","")&amp;BJ1460)</f>
        <v/>
      </c>
      <c r="BC1460" s="53" t="n"/>
      <c r="BD1460" s="53" t="n"/>
      <c r="BE1460" s="61" t="n"/>
      <c r="BF1460" s="55" t="n">
        <v>-3500</v>
      </c>
      <c r="BG1460" s="55" t="n">
        <v>0</v>
      </c>
      <c r="BH1460" s="54" t="n">
        <v>-19355</v>
      </c>
      <c r="BI1460" s="55" t="n">
        <v>3500</v>
      </c>
      <c r="BJ1460" s="53" t="inlineStr"/>
      <c r="BK1460" s="58" t="n">
        <v>0</v>
      </c>
      <c r="BL1460" s="58" t="n">
        <v>1460</v>
      </c>
      <c r="BM1460" s="53">
        <f>IF(S1460&lt;&gt;"",UPPER(TRIM(S1460)),IF(O1460="","LOSE",O1460))</f>
        <v/>
      </c>
      <c r="BN1460" s="55">
        <f>IF(BM1460="LOSE",1,IF(N(T1460)&gt;0,T1460,IF(N(P1460)&gt;0,P1460,MAX(1,G1460))))</f>
        <v/>
      </c>
      <c r="BO1460" s="58">
        <f>IF(BM1460="LOSE",1,0)</f>
        <v/>
      </c>
      <c r="BP1460" s="64">
        <f>IF(BO1460=0,0,IF(N(R1460)&gt;0,R1460,IFERROR(VLOOKUP(D1460,Parameter!$A$35:$C$64,3,0)+0,0)))</f>
        <v/>
      </c>
      <c r="BQ1460" s="53">
        <f>IF(V1460&lt;&gt;"",V1460,U1460)</f>
        <v/>
      </c>
      <c r="BR1460" s="53">
        <f>IF(BQ1460=1,"L1",IF(OR(BQ1460=2,BQ1460=3),"L23",IF(BQ1460="Aussen","Aussen","-")))</f>
        <v/>
      </c>
      <c r="BS1460" s="66">
        <f>IF(N(W1460)&gt;0,W1460,0)</f>
        <v/>
      </c>
      <c r="BT1460" s="58">
        <f>IF(ISNUMBER(Z1460),1,0)</f>
        <v/>
      </c>
      <c r="BU1460" s="55">
        <f>N(Z1460)</f>
        <v/>
      </c>
      <c r="BV1460" s="55">
        <f>N(L1460)+N(M1460)</f>
        <v/>
      </c>
      <c r="BW1460" s="55">
        <f>ROUNDUP(G1460/BN1460,0)</f>
        <v/>
      </c>
      <c r="BX1460" s="55">
        <f>ROUNDUP(BU1460/BN1460,0)</f>
        <v/>
      </c>
      <c r="BY1460" s="58">
        <f>IF(BO1460=1,0,IFERROR(VLOOKUP(BM1460,'Gebinde-Kategorie'!$A$5:$G$45,5,0)+0,0))</f>
        <v/>
      </c>
      <c r="BZ1460" s="58">
        <f>IFERROR(IF(OR(BQ1460=1,BQ1460=2,BQ1460=3),N(INDEX(Parameter!$I$5:$I$7,BQ1460)),0),0)</f>
        <v/>
      </c>
    </row>
    <row r="1461">
      <c r="A1461" s="53" t="inlineStr">
        <is>
          <t>107948</t>
        </is>
      </c>
      <c r="B1461" s="53" t="inlineStr">
        <is>
          <t>Verpackung Servicepaket SPGr10 SVC1</t>
        </is>
      </c>
      <c r="C1461" s="53" t="inlineStr">
        <is>
          <t>G</t>
        </is>
      </c>
      <c r="D1461" s="53" t="inlineStr">
        <is>
          <t>PAL</t>
        </is>
      </c>
      <c r="E1461" s="53" t="inlineStr"/>
      <c r="F1461" s="54" t="n">
        <v>513.92</v>
      </c>
      <c r="G1461" s="55">
        <f>MAX(0,IF(Parameter!$B$20="Jahresanfang 2025 + Export",BG1461+BF1461,BF1461))</f>
        <v/>
      </c>
      <c r="H1461" s="55">
        <f>G1461*F1461</f>
        <v/>
      </c>
      <c r="I1461" s="55">
        <f>BI1461*Parameter!$B$18</f>
        <v/>
      </c>
      <c r="J1461" s="56" t="n"/>
      <c r="K1461" s="57" t="n"/>
      <c r="L1461" s="55" t="n">
        <v>0</v>
      </c>
      <c r="M1461" s="55" t="n">
        <v>4</v>
      </c>
      <c r="N1461" s="58" t="n"/>
      <c r="O1461" s="53" t="inlineStr">
        <is>
          <t>LOSE</t>
        </is>
      </c>
      <c r="P1461" s="55" t="n"/>
      <c r="Q1461" s="59">
        <f>IF(BO1461=1,0,IFERROR(VLOOKUP(BM1461,'Gebinde-Kategorie'!$A$5:$G$45,6,0)+0,0))</f>
        <v/>
      </c>
      <c r="R1461" s="60" t="n"/>
      <c r="S1461" s="61" t="n"/>
      <c r="T1461" s="61" t="n"/>
      <c r="U1461" s="53">
        <f>IF(A1461="","",IF(IFERROR(VLOOKUP(D1461,Parameter!$A$35:$C$64,2,0),"Nein")="2+3",IF(ISNUMBER(SEARCH("grosser Artikel",BJ1461)),2,IFERROR(VLOOKUP(BM1461,Parameter!$F$35:$G$64,2,0),2)),IF(OR(IFERROR(VLOOKUP(D1461,Parameter!$A$35:$C$64,2,0),"Nein")="Nein",IFERROR(VLOOKUP(D1461,Parameter!$A$35:$C$64,2,0),"Nein")=""),"-",VLOOKUP(D1461,Parameter!$A$35:$C$64,2,0))))</f>
        <v/>
      </c>
      <c r="V1461" s="61" t="n"/>
      <c r="W1461" s="62" t="n"/>
      <c r="X1461" s="55">
        <f>AM1461</f>
        <v/>
      </c>
      <c r="Y1461" s="55">
        <f>MAX(AM1461,G1461)</f>
        <v/>
      </c>
      <c r="Z1461" s="63" t="n"/>
      <c r="AA1461" s="55">
        <f>IF(LEFT(Cockpit!$C$5,1)="A",G1461,IF(BT1461=1,BU1461,IF(LEFT(Cockpit!$C$5,1)="B",AE1461,MAX(AE1461,G1461))))</f>
        <v/>
      </c>
      <c r="AB1461" s="55">
        <f>IF(BO1461=1,0,ROUNDUP(AA1461/BN1461,0))</f>
        <v/>
      </c>
      <c r="AC1461" s="64">
        <f>IF(BO1461=1,IF(AA1461&lt;=0,0,BP1461*MAX(1,IF(G1461&gt;0,AA1461/G1461,1))),AB1461*Q1461)</f>
        <v/>
      </c>
      <c r="AD1461" s="55">
        <f>AA1461*F1461</f>
        <v/>
      </c>
      <c r="AE1461" s="55">
        <f>ROUNDUP(MAX(I1461/IF(BS1461&gt;0,BS1461,MAX(0.1,N(Cockpit!$C$6))),BV1461)/BN1461,0)*BN1461</f>
        <v/>
      </c>
      <c r="AF1461" s="56">
        <f>IF(AC1461&gt;0,I1461/AC1461,-1)</f>
        <v/>
      </c>
      <c r="AG1461" s="56">
        <f>IF(AND(OR(BR1461="L1",BR1461="L23"),AC1461&gt;0),SUMIFS($AC$7:$AC$1570,$BR$7:$BR$1570,BR1461,$AF$7:$AF$1570,"&gt;"&amp;AF1461)+SUMIFS($AC$7:$AC$1570,$BR$7:$BR$1570,BR1461,$AF$7:$AF$1570,AF1461,$BL$7:$BL$1570,"&lt;="&amp;BL1461),"")</f>
        <v/>
      </c>
      <c r="AH1461" s="65">
        <f>IF(AG1461="",0,MAX(0,MIN(1,(IF(BR1461="L1",Parameter!$K$5,Parameter!$K$6+Parameter!$K$7)-(AG1461-AC1461))/AC1461)))</f>
        <v/>
      </c>
      <c r="AI1461" s="55">
        <f>IF(LEFT(Cockpit!$I$5,1)="A",G1461,IF(BT1461=1,BU1461,IF(LEFT(Cockpit!$I$5,1)="B",AM1461,MAX(AM1461,G1461))))</f>
        <v/>
      </c>
      <c r="AJ1461" s="55">
        <f>IF(BO1461=1,0,ROUNDUP(AI1461/BN1461,0))</f>
        <v/>
      </c>
      <c r="AK1461" s="64">
        <f>IF(BO1461=1,IF(AI1461&lt;=0,0,BP1461*MAX(1,IF(G1461&gt;0,AI1461/G1461,1))),AJ1461*Q1461)</f>
        <v/>
      </c>
      <c r="AL1461" s="55">
        <f>AI1461*F1461</f>
        <v/>
      </c>
      <c r="AM1461" s="55">
        <f>ROUNDUP(MAX(I1461/IF(BS1461&gt;0,BS1461,MAX(0.1,N(Cockpit!$I$6))),BV1461)/BN1461,0)*BN1461</f>
        <v/>
      </c>
      <c r="AN1461" s="56">
        <f>IF(AK1461&gt;0,I1461/AK1461,-1)</f>
        <v/>
      </c>
      <c r="AO1461" s="56">
        <f>IF(AND(OR(BR1461="L1",BR1461="L23"),AK1461&gt;0),SUMIFS($AK$7:$AK$1570,$BR$7:$BR$1570,BR1461,$AN$7:$AN$1570,"&gt;"&amp;AN1461)+SUMIFS($AK$7:$AK$1570,$BR$7:$BR$1570,BR1461,$AN$7:$AN$1570,AN1461,$BL$7:$BL$1570,"&lt;="&amp;BL1461),"")</f>
        <v/>
      </c>
      <c r="AP1461" s="65">
        <f>IF(AO1461="",0,MAX(0,MIN(1,(IF(BR1461="L1",Parameter!$K$5,Parameter!$K$6+Parameter!$K$7)-(AO1461-AK1461))/AK1461)))</f>
        <v/>
      </c>
      <c r="AQ1461" s="55">
        <f>IF(LEFT(Cockpit!$O$5,1)="A",G1461,IF(BT1461=1,BU1461,IF(LEFT(Cockpit!$O$5,1)="B",AU1461,MAX(AU1461,G1461))))</f>
        <v/>
      </c>
      <c r="AR1461" s="55">
        <f>IF(BO1461=1,0,ROUNDUP(AQ1461/BN1461,0))</f>
        <v/>
      </c>
      <c r="AS1461" s="64">
        <f>IF(BO1461=1,IF(AQ1461&lt;=0,0,BP1461*MAX(1,IF(G1461&gt;0,AQ1461/G1461,1))),AR1461*Q1461)</f>
        <v/>
      </c>
      <c r="AT1461" s="55">
        <f>AQ1461*F1461</f>
        <v/>
      </c>
      <c r="AU1461" s="55">
        <f>ROUNDUP(MAX(I1461/IF(BS1461&gt;0,BS1461,MAX(0.1,N(Cockpit!$O$6))),BV1461)/BN1461,0)*BN1461</f>
        <v/>
      </c>
      <c r="AV1461" s="56">
        <f>IF(AS1461&gt;0,I1461/AS1461,-1)</f>
        <v/>
      </c>
      <c r="AW1461" s="56">
        <f>IF(AND(OR(BR1461="L1",BR1461="L23"),AS1461&gt;0),SUMIFS($AS$7:$AS$1570,$BR$7:$BR$1570,BR1461,$AV$7:$AV$1570,"&gt;"&amp;AV1461)+SUMIFS($AS$7:$AS$1570,$BR$7:$BR$1570,BR1461,$AV$7:$AV$1570,AV1461,$BL$7:$BL$1570,"&lt;="&amp;BL1461),"")</f>
        <v/>
      </c>
      <c r="AX1461" s="65">
        <f>IF(AW1461="",0,MAX(0,MIN(1,(IF(BR1461="L1",Parameter!$K$5,Parameter!$K$6+Parameter!$K$7)-(AW1461-AS1461))/AS1461)))</f>
        <v/>
      </c>
      <c r="AY1461" s="53">
        <f>IF(AC1461&lt;=0,"",IF(BR1461="Aussen","Aussenlager",IF(BR1461="-","Nicht im Lift",IF(AH1461&gt;=1,"Lift",IF(AH1461&lt;=0,"Aussenlager","teilweise")))))</f>
        <v/>
      </c>
      <c r="AZ1461" s="53">
        <f>IF(AK1461&lt;=0,"",IF(BR1461="Aussen","Aussenlager",IF(BR1461="-","Nicht im Lift",IF(AP1461&gt;=1,"Lift",IF(AP1461&lt;=0,"Aussenlager","teilweise")))))</f>
        <v/>
      </c>
      <c r="BA1461" s="53">
        <f>IF(AS1461&lt;=0,"",IF(BR1461="Aussen","Aussenlager",IF(BR1461="-","Nicht im Lift",IF(AX1461&gt;=1,"Lift",IF(AX1461&lt;=0,"Aussenlager","teilweise")))))</f>
        <v/>
      </c>
      <c r="BB1461" s="53">
        <f>IF(A1461="","",IF(BK1461=1,"Neu; ","")&amp;IF(AND(BK1461=0,BF1461&lt;0),"negativer Bestand (Export "&amp;BF1461&amp;"); ","")&amp;IF(I1461&lt;=0,"Kein Verbrauch; ","")&amp;IF(BO1461=1,"Lose – Fläche geschätzt; ","")&amp;IF(G1461&gt;AM1461,"Überbestand "&amp;ROUND(G1461-AM1461,0)&amp;" Stk / CHF "&amp;ROUND((G1461-AM1461)*F1461,0)&amp;"; ","")&amp;IF(AND(BT1461=1,BU1461&lt;BV1461),"MAX &lt; MB+LG; ","")&amp;IF(AND(BZ1461&gt;0,BY1461*10&gt;BZ1461),"zu hoch für Tablar; ","")&amp;IF(AND(BK1461=0,OR(BT1461=1,V1461&lt;&gt;"",S1461&lt;&gt;"",T1461&lt;&gt;"",W1461&lt;&gt;"")),"manuell übersteuert; ","")&amp;IF(AND(BO1461=0,Q1461=0),"Gebinde unbekannt; ","")&amp;IF(AND(BO1461=0,N(T1461)&lt;=0,N(P1461)&lt;=0),"Menge pro Gebinde fehlt (Ist = 1 Gebinde); ","")&amp;BJ1461)</f>
        <v/>
      </c>
      <c r="BC1461" s="53" t="n"/>
      <c r="BD1461" s="53" t="n"/>
      <c r="BE1461" s="61" t="n"/>
      <c r="BF1461" s="55" t="n">
        <v>-40</v>
      </c>
      <c r="BG1461" s="55" t="n">
        <v>0</v>
      </c>
      <c r="BH1461" s="54" t="n">
        <v>-21904</v>
      </c>
      <c r="BI1461" s="55" t="n">
        <v>135</v>
      </c>
      <c r="BJ1461" s="53" t="inlineStr"/>
      <c r="BK1461" s="58" t="n">
        <v>0</v>
      </c>
      <c r="BL1461" s="58" t="n">
        <v>1461</v>
      </c>
      <c r="BM1461" s="53">
        <f>IF(S1461&lt;&gt;"",UPPER(TRIM(S1461)),IF(O1461="","LOSE",O1461))</f>
        <v/>
      </c>
      <c r="BN1461" s="55">
        <f>IF(BM1461="LOSE",1,IF(N(T1461)&gt;0,T1461,IF(N(P1461)&gt;0,P1461,MAX(1,G1461))))</f>
        <v/>
      </c>
      <c r="BO1461" s="58">
        <f>IF(BM1461="LOSE",1,0)</f>
        <v/>
      </c>
      <c r="BP1461" s="64">
        <f>IF(BO1461=0,0,IF(N(R1461)&gt;0,R1461,IFERROR(VLOOKUP(D1461,Parameter!$A$35:$C$64,3,0)+0,0)))</f>
        <v/>
      </c>
      <c r="BQ1461" s="53">
        <f>IF(V1461&lt;&gt;"",V1461,U1461)</f>
        <v/>
      </c>
      <c r="BR1461" s="53">
        <f>IF(BQ1461=1,"L1",IF(OR(BQ1461=2,BQ1461=3),"L23",IF(BQ1461="Aussen","Aussen","-")))</f>
        <v/>
      </c>
      <c r="BS1461" s="66">
        <f>IF(N(W1461)&gt;0,W1461,0)</f>
        <v/>
      </c>
      <c r="BT1461" s="58">
        <f>IF(ISNUMBER(Z1461),1,0)</f>
        <v/>
      </c>
      <c r="BU1461" s="55">
        <f>N(Z1461)</f>
        <v/>
      </c>
      <c r="BV1461" s="55">
        <f>N(L1461)+N(M1461)</f>
        <v/>
      </c>
      <c r="BW1461" s="55">
        <f>ROUNDUP(G1461/BN1461,0)</f>
        <v/>
      </c>
      <c r="BX1461" s="55">
        <f>ROUNDUP(BU1461/BN1461,0)</f>
        <v/>
      </c>
      <c r="BY1461" s="58">
        <f>IF(BO1461=1,0,IFERROR(VLOOKUP(BM1461,'Gebinde-Kategorie'!$A$5:$G$45,5,0)+0,0))</f>
        <v/>
      </c>
      <c r="BZ1461" s="58">
        <f>IFERROR(IF(OR(BQ1461=1,BQ1461=2,BQ1461=3),N(INDEX(Parameter!$I$5:$I$7,BQ1461)),0),0)</f>
        <v/>
      </c>
    </row>
    <row r="1462">
      <c r="A1462" s="53" t="inlineStr">
        <is>
          <t>107817</t>
        </is>
      </c>
      <c r="B1462" s="53" t="inlineStr">
        <is>
          <t>Austrittsdüse SPGr10</t>
        </is>
      </c>
      <c r="C1462" s="53" t="inlineStr">
        <is>
          <t>F</t>
        </is>
      </c>
      <c r="D1462" s="53" t="inlineStr">
        <is>
          <t>LIFT1</t>
        </is>
      </c>
      <c r="E1462" s="53" t="inlineStr"/>
      <c r="F1462" s="54" t="n">
        <v>2045.23</v>
      </c>
      <c r="G1462" s="55">
        <f>MAX(0,IF(Parameter!$B$20="Jahresanfang 2025 + Export",BG1462+BF1462,BF1462))</f>
        <v/>
      </c>
      <c r="H1462" s="55">
        <f>G1462*F1462</f>
        <v/>
      </c>
      <c r="I1462" s="55">
        <f>BI1462*Parameter!$B$18</f>
        <v/>
      </c>
      <c r="J1462" s="56" t="n"/>
      <c r="K1462" s="57" t="n"/>
      <c r="L1462" s="55" t="n">
        <v>2</v>
      </c>
      <c r="M1462" s="55" t="n">
        <v>10</v>
      </c>
      <c r="N1462" s="58" t="n"/>
      <c r="O1462" s="53" t="inlineStr">
        <is>
          <t>LOSE</t>
        </is>
      </c>
      <c r="P1462" s="55" t="n"/>
      <c r="Q1462" s="59">
        <f>IF(BO1462=1,0,IFERROR(VLOOKUP(BM1462,'Gebinde-Kategorie'!$A$5:$G$45,6,0)+0,0))</f>
        <v/>
      </c>
      <c r="R1462" s="60" t="n"/>
      <c r="S1462" s="61" t="n"/>
      <c r="T1462" s="61" t="n"/>
      <c r="U1462" s="53">
        <f>IF(A1462="","",IF(IFERROR(VLOOKUP(D1462,Parameter!$A$35:$C$64,2,0),"Nein")="2+3",IF(ISNUMBER(SEARCH("grosser Artikel",BJ1462)),2,IFERROR(VLOOKUP(BM1462,Parameter!$F$35:$G$64,2,0),2)),IF(OR(IFERROR(VLOOKUP(D1462,Parameter!$A$35:$C$64,2,0),"Nein")="Nein",IFERROR(VLOOKUP(D1462,Parameter!$A$35:$C$64,2,0),"Nein")=""),"-",VLOOKUP(D1462,Parameter!$A$35:$C$64,2,0))))</f>
        <v/>
      </c>
      <c r="V1462" s="61" t="n"/>
      <c r="W1462" s="62" t="n"/>
      <c r="X1462" s="55">
        <f>AM1462</f>
        <v/>
      </c>
      <c r="Y1462" s="55">
        <f>MAX(AM1462,G1462)</f>
        <v/>
      </c>
      <c r="Z1462" s="63" t="n"/>
      <c r="AA1462" s="55">
        <f>IF(LEFT(Cockpit!$C$5,1)="A",G1462,IF(BT1462=1,BU1462,IF(LEFT(Cockpit!$C$5,1)="B",AE1462,MAX(AE1462,G1462))))</f>
        <v/>
      </c>
      <c r="AB1462" s="55">
        <f>IF(BO1462=1,0,ROUNDUP(AA1462/BN1462,0))</f>
        <v/>
      </c>
      <c r="AC1462" s="64">
        <f>IF(BO1462=1,IF(AA1462&lt;=0,0,BP1462*MAX(1,IF(G1462&gt;0,AA1462/G1462,1))),AB1462*Q1462)</f>
        <v/>
      </c>
      <c r="AD1462" s="55">
        <f>AA1462*F1462</f>
        <v/>
      </c>
      <c r="AE1462" s="55">
        <f>ROUNDUP(MAX(I1462/IF(BS1462&gt;0,BS1462,MAX(0.1,N(Cockpit!$C$6))),BV1462)/BN1462,0)*BN1462</f>
        <v/>
      </c>
      <c r="AF1462" s="56">
        <f>IF(AC1462&gt;0,I1462/AC1462,-1)</f>
        <v/>
      </c>
      <c r="AG1462" s="56">
        <f>IF(AND(OR(BR1462="L1",BR1462="L23"),AC1462&gt;0),SUMIFS($AC$7:$AC$1570,$BR$7:$BR$1570,BR1462,$AF$7:$AF$1570,"&gt;"&amp;AF1462)+SUMIFS($AC$7:$AC$1570,$BR$7:$BR$1570,BR1462,$AF$7:$AF$1570,AF1462,$BL$7:$BL$1570,"&lt;="&amp;BL1462),"")</f>
        <v/>
      </c>
      <c r="AH1462" s="65">
        <f>IF(AG1462="",0,MAX(0,MIN(1,(IF(BR1462="L1",Parameter!$K$5,Parameter!$K$6+Parameter!$K$7)-(AG1462-AC1462))/AC1462)))</f>
        <v/>
      </c>
      <c r="AI1462" s="55">
        <f>IF(LEFT(Cockpit!$I$5,1)="A",G1462,IF(BT1462=1,BU1462,IF(LEFT(Cockpit!$I$5,1)="B",AM1462,MAX(AM1462,G1462))))</f>
        <v/>
      </c>
      <c r="AJ1462" s="55">
        <f>IF(BO1462=1,0,ROUNDUP(AI1462/BN1462,0))</f>
        <v/>
      </c>
      <c r="AK1462" s="64">
        <f>IF(BO1462=1,IF(AI1462&lt;=0,0,BP1462*MAX(1,IF(G1462&gt;0,AI1462/G1462,1))),AJ1462*Q1462)</f>
        <v/>
      </c>
      <c r="AL1462" s="55">
        <f>AI1462*F1462</f>
        <v/>
      </c>
      <c r="AM1462" s="55">
        <f>ROUNDUP(MAX(I1462/IF(BS1462&gt;0,BS1462,MAX(0.1,N(Cockpit!$I$6))),BV1462)/BN1462,0)*BN1462</f>
        <v/>
      </c>
      <c r="AN1462" s="56">
        <f>IF(AK1462&gt;0,I1462/AK1462,-1)</f>
        <v/>
      </c>
      <c r="AO1462" s="56">
        <f>IF(AND(OR(BR1462="L1",BR1462="L23"),AK1462&gt;0),SUMIFS($AK$7:$AK$1570,$BR$7:$BR$1570,BR1462,$AN$7:$AN$1570,"&gt;"&amp;AN1462)+SUMIFS($AK$7:$AK$1570,$BR$7:$BR$1570,BR1462,$AN$7:$AN$1570,AN1462,$BL$7:$BL$1570,"&lt;="&amp;BL1462),"")</f>
        <v/>
      </c>
      <c r="AP1462" s="65">
        <f>IF(AO1462="",0,MAX(0,MIN(1,(IF(BR1462="L1",Parameter!$K$5,Parameter!$K$6+Parameter!$K$7)-(AO1462-AK1462))/AK1462)))</f>
        <v/>
      </c>
      <c r="AQ1462" s="55">
        <f>IF(LEFT(Cockpit!$O$5,1)="A",G1462,IF(BT1462=1,BU1462,IF(LEFT(Cockpit!$O$5,1)="B",AU1462,MAX(AU1462,G1462))))</f>
        <v/>
      </c>
      <c r="AR1462" s="55">
        <f>IF(BO1462=1,0,ROUNDUP(AQ1462/BN1462,0))</f>
        <v/>
      </c>
      <c r="AS1462" s="64">
        <f>IF(BO1462=1,IF(AQ1462&lt;=0,0,BP1462*MAX(1,IF(G1462&gt;0,AQ1462/G1462,1))),AR1462*Q1462)</f>
        <v/>
      </c>
      <c r="AT1462" s="55">
        <f>AQ1462*F1462</f>
        <v/>
      </c>
      <c r="AU1462" s="55">
        <f>ROUNDUP(MAX(I1462/IF(BS1462&gt;0,BS1462,MAX(0.1,N(Cockpit!$O$6))),BV1462)/BN1462,0)*BN1462</f>
        <v/>
      </c>
      <c r="AV1462" s="56">
        <f>IF(AS1462&gt;0,I1462/AS1462,-1)</f>
        <v/>
      </c>
      <c r="AW1462" s="56">
        <f>IF(AND(OR(BR1462="L1",BR1462="L23"),AS1462&gt;0),SUMIFS($AS$7:$AS$1570,$BR$7:$BR$1570,BR1462,$AV$7:$AV$1570,"&gt;"&amp;AV1462)+SUMIFS($AS$7:$AS$1570,$BR$7:$BR$1570,BR1462,$AV$7:$AV$1570,AV1462,$BL$7:$BL$1570,"&lt;="&amp;BL1462),"")</f>
        <v/>
      </c>
      <c r="AX1462" s="65">
        <f>IF(AW1462="",0,MAX(0,MIN(1,(IF(BR1462="L1",Parameter!$K$5,Parameter!$K$6+Parameter!$K$7)-(AW1462-AS1462))/AS1462)))</f>
        <v/>
      </c>
      <c r="AY1462" s="53">
        <f>IF(AC1462&lt;=0,"",IF(BR1462="Aussen","Aussenlager",IF(BR1462="-","Nicht im Lift",IF(AH1462&gt;=1,"Lift",IF(AH1462&lt;=0,"Aussenlager","teilweise")))))</f>
        <v/>
      </c>
      <c r="AZ1462" s="53">
        <f>IF(AK1462&lt;=0,"",IF(BR1462="Aussen","Aussenlager",IF(BR1462="-","Nicht im Lift",IF(AP1462&gt;=1,"Lift",IF(AP1462&lt;=0,"Aussenlager","teilweise")))))</f>
        <v/>
      </c>
      <c r="BA1462" s="53">
        <f>IF(AS1462&lt;=0,"",IF(BR1462="Aussen","Aussenlager",IF(BR1462="-","Nicht im Lift",IF(AX1462&gt;=1,"Lift",IF(AX1462&lt;=0,"Aussenlager","teilweise")))))</f>
        <v/>
      </c>
      <c r="BB1462" s="53">
        <f>IF(A1462="","",IF(BK1462=1,"Neu; ","")&amp;IF(AND(BK1462=0,BF1462&lt;0),"negativer Bestand (Export "&amp;BF1462&amp;"); ","")&amp;IF(I1462&lt;=0,"Kein Verbrauch; ","")&amp;IF(BO1462=1,"Lose – Fläche geschätzt; ","")&amp;IF(G1462&gt;AM1462,"Überbestand "&amp;ROUND(G1462-AM1462,0)&amp;" Stk / CHF "&amp;ROUND((G1462-AM1462)*F1462,0)&amp;"; ","")&amp;IF(AND(BT1462=1,BU1462&lt;BV1462),"MAX &lt; MB+LG; ","")&amp;IF(AND(BZ1462&gt;0,BY1462*10&gt;BZ1462),"zu hoch für Tablar; ","")&amp;IF(AND(BK1462=0,OR(BT1462=1,V1462&lt;&gt;"",S1462&lt;&gt;"",T1462&lt;&gt;"",W1462&lt;&gt;"")),"manuell übersteuert; ","")&amp;IF(AND(BO1462=0,Q1462=0),"Gebinde unbekannt; ","")&amp;IF(AND(BO1462=0,N(T1462)&lt;=0,N(P1462)&lt;=0),"Menge pro Gebinde fehlt (Ist = 1 Gebinde); ","")&amp;BJ1462)</f>
        <v/>
      </c>
      <c r="BC1462" s="53" t="n"/>
      <c r="BD1462" s="53" t="n"/>
      <c r="BE1462" s="61" t="n"/>
      <c r="BF1462" s="55" t="n">
        <v>-24</v>
      </c>
      <c r="BG1462" s="55" t="n">
        <v>0</v>
      </c>
      <c r="BH1462" s="54" t="n">
        <v>-22105.84000000001</v>
      </c>
      <c r="BI1462" s="55" t="n">
        <v>55</v>
      </c>
      <c r="BJ1462" s="53" t="inlineStr">
        <is>
          <t>Standartdüse</t>
        </is>
      </c>
      <c r="BK1462" s="58" t="n">
        <v>0</v>
      </c>
      <c r="BL1462" s="58" t="n">
        <v>1462</v>
      </c>
      <c r="BM1462" s="53">
        <f>IF(S1462&lt;&gt;"",UPPER(TRIM(S1462)),IF(O1462="","LOSE",O1462))</f>
        <v/>
      </c>
      <c r="BN1462" s="55">
        <f>IF(BM1462="LOSE",1,IF(N(T1462)&gt;0,T1462,IF(N(P1462)&gt;0,P1462,MAX(1,G1462))))</f>
        <v/>
      </c>
      <c r="BO1462" s="58">
        <f>IF(BM1462="LOSE",1,0)</f>
        <v/>
      </c>
      <c r="BP1462" s="64">
        <f>IF(BO1462=0,0,IF(N(R1462)&gt;0,R1462,IFERROR(VLOOKUP(D1462,Parameter!$A$35:$C$64,3,0)+0,0)))</f>
        <v/>
      </c>
      <c r="BQ1462" s="53">
        <f>IF(V1462&lt;&gt;"",V1462,U1462)</f>
        <v/>
      </c>
      <c r="BR1462" s="53">
        <f>IF(BQ1462=1,"L1",IF(OR(BQ1462=2,BQ1462=3),"L23",IF(BQ1462="Aussen","Aussen","-")))</f>
        <v/>
      </c>
      <c r="BS1462" s="66">
        <f>IF(N(W1462)&gt;0,W1462,0)</f>
        <v/>
      </c>
      <c r="BT1462" s="58">
        <f>IF(ISNUMBER(Z1462),1,0)</f>
        <v/>
      </c>
      <c r="BU1462" s="55">
        <f>N(Z1462)</f>
        <v/>
      </c>
      <c r="BV1462" s="55">
        <f>N(L1462)+N(M1462)</f>
        <v/>
      </c>
      <c r="BW1462" s="55">
        <f>ROUNDUP(G1462/BN1462,0)</f>
        <v/>
      </c>
      <c r="BX1462" s="55">
        <f>ROUNDUP(BU1462/BN1462,0)</f>
        <v/>
      </c>
      <c r="BY1462" s="58">
        <f>IF(BO1462=1,0,IFERROR(VLOOKUP(BM1462,'Gebinde-Kategorie'!$A$5:$G$45,5,0)+0,0))</f>
        <v/>
      </c>
      <c r="BZ1462" s="58">
        <f>IFERROR(IF(OR(BQ1462=1,BQ1462=2,BQ1462=3),N(INDEX(Parameter!$I$5:$I$7,BQ1462)),0),0)</f>
        <v/>
      </c>
    </row>
    <row r="1463">
      <c r="A1463" s="53" t="inlineStr">
        <is>
          <t>107194</t>
        </is>
      </c>
      <c r="B1463" s="53" t="inlineStr">
        <is>
          <t>Servicepaket SPGr16 SVC2</t>
        </is>
      </c>
      <c r="C1463" s="53" t="inlineStr">
        <is>
          <t>A</t>
        </is>
      </c>
      <c r="D1463" s="53" t="inlineStr">
        <is>
          <t>(leer)</t>
        </is>
      </c>
      <c r="E1463" s="53" t="inlineStr"/>
      <c r="F1463" s="54" t="n">
        <v>4524.05</v>
      </c>
      <c r="G1463" s="55">
        <f>MAX(0,IF(Parameter!$B$20="Jahresanfang 2025 + Export",BG1463+BF1463,BF1463))</f>
        <v/>
      </c>
      <c r="H1463" s="55">
        <f>G1463*F1463</f>
        <v/>
      </c>
      <c r="I1463" s="55">
        <f>BI1463*Parameter!$B$18</f>
        <v/>
      </c>
      <c r="J1463" s="56" t="n"/>
      <c r="K1463" s="57" t="n"/>
      <c r="L1463" s="55" t="n">
        <v>0</v>
      </c>
      <c r="M1463" s="55" t="n">
        <v>1</v>
      </c>
      <c r="N1463" s="58" t="n"/>
      <c r="O1463" s="53" t="inlineStr">
        <is>
          <t>LOSE</t>
        </is>
      </c>
      <c r="P1463" s="55" t="n"/>
      <c r="Q1463" s="59">
        <f>IF(BO1463=1,0,IFERROR(VLOOKUP(BM1463,'Gebinde-Kategorie'!$A$5:$G$45,6,0)+0,0))</f>
        <v/>
      </c>
      <c r="R1463" s="60" t="n"/>
      <c r="S1463" s="61" t="n"/>
      <c r="T1463" s="61" t="n"/>
      <c r="U1463" s="53">
        <f>IF(A1463="","",IF(IFERROR(VLOOKUP(D1463,Parameter!$A$35:$C$64,2,0),"Nein")="2+3",IF(ISNUMBER(SEARCH("grosser Artikel",BJ1463)),2,IFERROR(VLOOKUP(BM1463,Parameter!$F$35:$G$64,2,0),2)),IF(OR(IFERROR(VLOOKUP(D1463,Parameter!$A$35:$C$64,2,0),"Nein")="Nein",IFERROR(VLOOKUP(D1463,Parameter!$A$35:$C$64,2,0),"Nein")=""),"-",VLOOKUP(D1463,Parameter!$A$35:$C$64,2,0))))</f>
        <v/>
      </c>
      <c r="V1463" s="61" t="n"/>
      <c r="W1463" s="62" t="n"/>
      <c r="X1463" s="55">
        <f>AM1463</f>
        <v/>
      </c>
      <c r="Y1463" s="55">
        <f>MAX(AM1463,G1463)</f>
        <v/>
      </c>
      <c r="Z1463" s="63" t="n"/>
      <c r="AA1463" s="55">
        <f>IF(LEFT(Cockpit!$C$5,1)="A",G1463,IF(BT1463=1,BU1463,IF(LEFT(Cockpit!$C$5,1)="B",AE1463,MAX(AE1463,G1463))))</f>
        <v/>
      </c>
      <c r="AB1463" s="55">
        <f>IF(BO1463=1,0,ROUNDUP(AA1463/BN1463,0))</f>
        <v/>
      </c>
      <c r="AC1463" s="64">
        <f>IF(BO1463=1,IF(AA1463&lt;=0,0,BP1463*MAX(1,IF(G1463&gt;0,AA1463/G1463,1))),AB1463*Q1463)</f>
        <v/>
      </c>
      <c r="AD1463" s="55">
        <f>AA1463*F1463</f>
        <v/>
      </c>
      <c r="AE1463" s="55">
        <f>ROUNDUP(MAX(I1463/IF(BS1463&gt;0,BS1463,MAX(0.1,N(Cockpit!$C$6))),BV1463)/BN1463,0)*BN1463</f>
        <v/>
      </c>
      <c r="AF1463" s="56">
        <f>IF(AC1463&gt;0,I1463/AC1463,-1)</f>
        <v/>
      </c>
      <c r="AG1463" s="56">
        <f>IF(AND(OR(BR1463="L1",BR1463="L23"),AC1463&gt;0),SUMIFS($AC$7:$AC$1570,$BR$7:$BR$1570,BR1463,$AF$7:$AF$1570,"&gt;"&amp;AF1463)+SUMIFS($AC$7:$AC$1570,$BR$7:$BR$1570,BR1463,$AF$7:$AF$1570,AF1463,$BL$7:$BL$1570,"&lt;="&amp;BL1463),"")</f>
        <v/>
      </c>
      <c r="AH1463" s="65">
        <f>IF(AG1463="",0,MAX(0,MIN(1,(IF(BR1463="L1",Parameter!$K$5,Parameter!$K$6+Parameter!$K$7)-(AG1463-AC1463))/AC1463)))</f>
        <v/>
      </c>
      <c r="AI1463" s="55">
        <f>IF(LEFT(Cockpit!$I$5,1)="A",G1463,IF(BT1463=1,BU1463,IF(LEFT(Cockpit!$I$5,1)="B",AM1463,MAX(AM1463,G1463))))</f>
        <v/>
      </c>
      <c r="AJ1463" s="55">
        <f>IF(BO1463=1,0,ROUNDUP(AI1463/BN1463,0))</f>
        <v/>
      </c>
      <c r="AK1463" s="64">
        <f>IF(BO1463=1,IF(AI1463&lt;=0,0,BP1463*MAX(1,IF(G1463&gt;0,AI1463/G1463,1))),AJ1463*Q1463)</f>
        <v/>
      </c>
      <c r="AL1463" s="55">
        <f>AI1463*F1463</f>
        <v/>
      </c>
      <c r="AM1463" s="55">
        <f>ROUNDUP(MAX(I1463/IF(BS1463&gt;0,BS1463,MAX(0.1,N(Cockpit!$I$6))),BV1463)/BN1463,0)*BN1463</f>
        <v/>
      </c>
      <c r="AN1463" s="56">
        <f>IF(AK1463&gt;0,I1463/AK1463,-1)</f>
        <v/>
      </c>
      <c r="AO1463" s="56">
        <f>IF(AND(OR(BR1463="L1",BR1463="L23"),AK1463&gt;0),SUMIFS($AK$7:$AK$1570,$BR$7:$BR$1570,BR1463,$AN$7:$AN$1570,"&gt;"&amp;AN1463)+SUMIFS($AK$7:$AK$1570,$BR$7:$BR$1570,BR1463,$AN$7:$AN$1570,AN1463,$BL$7:$BL$1570,"&lt;="&amp;BL1463),"")</f>
        <v/>
      </c>
      <c r="AP1463" s="65">
        <f>IF(AO1463="",0,MAX(0,MIN(1,(IF(BR1463="L1",Parameter!$K$5,Parameter!$K$6+Parameter!$K$7)-(AO1463-AK1463))/AK1463)))</f>
        <v/>
      </c>
      <c r="AQ1463" s="55">
        <f>IF(LEFT(Cockpit!$O$5,1)="A",G1463,IF(BT1463=1,BU1463,IF(LEFT(Cockpit!$O$5,1)="B",AU1463,MAX(AU1463,G1463))))</f>
        <v/>
      </c>
      <c r="AR1463" s="55">
        <f>IF(BO1463=1,0,ROUNDUP(AQ1463/BN1463,0))</f>
        <v/>
      </c>
      <c r="AS1463" s="64">
        <f>IF(BO1463=1,IF(AQ1463&lt;=0,0,BP1463*MAX(1,IF(G1463&gt;0,AQ1463/G1463,1))),AR1463*Q1463)</f>
        <v/>
      </c>
      <c r="AT1463" s="55">
        <f>AQ1463*F1463</f>
        <v/>
      </c>
      <c r="AU1463" s="55">
        <f>ROUNDUP(MAX(I1463/IF(BS1463&gt;0,BS1463,MAX(0.1,N(Cockpit!$O$6))),BV1463)/BN1463,0)*BN1463</f>
        <v/>
      </c>
      <c r="AV1463" s="56">
        <f>IF(AS1463&gt;0,I1463/AS1463,-1)</f>
        <v/>
      </c>
      <c r="AW1463" s="56">
        <f>IF(AND(OR(BR1463="L1",BR1463="L23"),AS1463&gt;0),SUMIFS($AS$7:$AS$1570,$BR$7:$BR$1570,BR1463,$AV$7:$AV$1570,"&gt;"&amp;AV1463)+SUMIFS($AS$7:$AS$1570,$BR$7:$BR$1570,BR1463,$AV$7:$AV$1570,AV1463,$BL$7:$BL$1570,"&lt;="&amp;BL1463),"")</f>
        <v/>
      </c>
      <c r="AX1463" s="65">
        <f>IF(AW1463="",0,MAX(0,MIN(1,(IF(BR1463="L1",Parameter!$K$5,Parameter!$K$6+Parameter!$K$7)-(AW1463-AS1463))/AS1463)))</f>
        <v/>
      </c>
      <c r="AY1463" s="53">
        <f>IF(AC1463&lt;=0,"",IF(BR1463="Aussen","Aussenlager",IF(BR1463="-","Nicht im Lift",IF(AH1463&gt;=1,"Lift",IF(AH1463&lt;=0,"Aussenlager","teilweise")))))</f>
        <v/>
      </c>
      <c r="AZ1463" s="53">
        <f>IF(AK1463&lt;=0,"",IF(BR1463="Aussen","Aussenlager",IF(BR1463="-","Nicht im Lift",IF(AP1463&gt;=1,"Lift",IF(AP1463&lt;=0,"Aussenlager","teilweise")))))</f>
        <v/>
      </c>
      <c r="BA1463" s="53">
        <f>IF(AS1463&lt;=0,"",IF(BR1463="Aussen","Aussenlager",IF(BR1463="-","Nicht im Lift",IF(AX1463&gt;=1,"Lift",IF(AX1463&lt;=0,"Aussenlager","teilweise")))))</f>
        <v/>
      </c>
      <c r="BB1463" s="53">
        <f>IF(A1463="","",IF(BK1463=1,"Neu; ","")&amp;IF(AND(BK1463=0,BF1463&lt;0),"negativer Bestand (Export "&amp;BF1463&amp;"); ","")&amp;IF(I1463&lt;=0,"Kein Verbrauch; ","")&amp;IF(BO1463=1,"Lose – Fläche geschätzt; ","")&amp;IF(G1463&gt;AM1463,"Überbestand "&amp;ROUND(G1463-AM1463,0)&amp;" Stk / CHF "&amp;ROUND((G1463-AM1463)*F1463,0)&amp;"; ","")&amp;IF(AND(BT1463=1,BU1463&lt;BV1463),"MAX &lt; MB+LG; ","")&amp;IF(AND(BZ1463&gt;0,BY1463*10&gt;BZ1463),"zu hoch für Tablar; ","")&amp;IF(AND(BK1463=0,OR(BT1463=1,V1463&lt;&gt;"",S1463&lt;&gt;"",T1463&lt;&gt;"",W1463&lt;&gt;"")),"manuell übersteuert; ","")&amp;IF(AND(BO1463=0,Q1463=0),"Gebinde unbekannt; ","")&amp;IF(AND(BO1463=0,N(T1463)&lt;=0,N(P1463)&lt;=0),"Menge pro Gebinde fehlt (Ist = 1 Gebinde); ","")&amp;BJ1463)</f>
        <v/>
      </c>
      <c r="BC1463" s="53" t="n"/>
      <c r="BD1463" s="53" t="n"/>
      <c r="BE1463" s="61" t="n"/>
      <c r="BF1463" s="55" t="n">
        <v>-6</v>
      </c>
      <c r="BG1463" s="55" t="n">
        <v>0</v>
      </c>
      <c r="BH1463" s="54" t="n">
        <v>-26487.17999999999</v>
      </c>
      <c r="BI1463" s="55" t="n">
        <v>16</v>
      </c>
      <c r="BJ1463" s="53" t="inlineStr">
        <is>
          <t>Neuer Art.</t>
        </is>
      </c>
      <c r="BK1463" s="58" t="n">
        <v>0</v>
      </c>
      <c r="BL1463" s="58" t="n">
        <v>1463</v>
      </c>
      <c r="BM1463" s="53">
        <f>IF(S1463&lt;&gt;"",UPPER(TRIM(S1463)),IF(O1463="","LOSE",O1463))</f>
        <v/>
      </c>
      <c r="BN1463" s="55">
        <f>IF(BM1463="LOSE",1,IF(N(T1463)&gt;0,T1463,IF(N(P1463)&gt;0,P1463,MAX(1,G1463))))</f>
        <v/>
      </c>
      <c r="BO1463" s="58">
        <f>IF(BM1463="LOSE",1,0)</f>
        <v/>
      </c>
      <c r="BP1463" s="64">
        <f>IF(BO1463=0,0,IF(N(R1463)&gt;0,R1463,IFERROR(VLOOKUP(D1463,Parameter!$A$35:$C$64,3,0)+0,0)))</f>
        <v/>
      </c>
      <c r="BQ1463" s="53">
        <f>IF(V1463&lt;&gt;"",V1463,U1463)</f>
        <v/>
      </c>
      <c r="BR1463" s="53">
        <f>IF(BQ1463=1,"L1",IF(OR(BQ1463=2,BQ1463=3),"L23",IF(BQ1463="Aussen","Aussen","-")))</f>
        <v/>
      </c>
      <c r="BS1463" s="66">
        <f>IF(N(W1463)&gt;0,W1463,0)</f>
        <v/>
      </c>
      <c r="BT1463" s="58">
        <f>IF(ISNUMBER(Z1463),1,0)</f>
        <v/>
      </c>
      <c r="BU1463" s="55">
        <f>N(Z1463)</f>
        <v/>
      </c>
      <c r="BV1463" s="55">
        <f>N(L1463)+N(M1463)</f>
        <v/>
      </c>
      <c r="BW1463" s="55">
        <f>ROUNDUP(G1463/BN1463,0)</f>
        <v/>
      </c>
      <c r="BX1463" s="55">
        <f>ROUNDUP(BU1463/BN1463,0)</f>
        <v/>
      </c>
      <c r="BY1463" s="58">
        <f>IF(BO1463=1,0,IFERROR(VLOOKUP(BM1463,'Gebinde-Kategorie'!$A$5:$G$45,5,0)+0,0))</f>
        <v/>
      </c>
      <c r="BZ1463" s="58">
        <f>IFERROR(IF(OR(BQ1463=1,BQ1463=2,BQ1463=3),N(INDEX(Parameter!$I$5:$I$7,BQ1463)),0),0)</f>
        <v/>
      </c>
    </row>
    <row r="1464">
      <c r="A1464" s="53" t="inlineStr">
        <is>
          <t>109194</t>
        </is>
      </c>
      <c r="B1464" s="53" t="inlineStr">
        <is>
          <t>Zylinderschraube mit Innensechskant</t>
        </is>
      </c>
      <c r="C1464" s="53" t="inlineStr">
        <is>
          <t>G</t>
        </is>
      </c>
      <c r="D1464" s="53" t="inlineStr">
        <is>
          <t>PAL</t>
        </is>
      </c>
      <c r="E1464" s="53" t="inlineStr"/>
      <c r="F1464" s="54" t="n">
        <v>7.96</v>
      </c>
      <c r="G1464" s="55">
        <f>MAX(0,IF(Parameter!$B$20="Jahresanfang 2025 + Export",BG1464+BF1464,BF1464))</f>
        <v/>
      </c>
      <c r="H1464" s="55">
        <f>G1464*F1464</f>
        <v/>
      </c>
      <c r="I1464" s="55">
        <f>BI1464*Parameter!$B$18</f>
        <v/>
      </c>
      <c r="J1464" s="56" t="n"/>
      <c r="K1464" s="57" t="n"/>
      <c r="L1464" s="55" t="n">
        <v>379</v>
      </c>
      <c r="M1464" s="55" t="n">
        <v>1435</v>
      </c>
      <c r="N1464" s="58" t="n"/>
      <c r="O1464" s="53" t="inlineStr">
        <is>
          <t>LOSE</t>
        </is>
      </c>
      <c r="P1464" s="55" t="n"/>
      <c r="Q1464" s="59">
        <f>IF(BO1464=1,0,IFERROR(VLOOKUP(BM1464,'Gebinde-Kategorie'!$A$5:$G$45,6,0)+0,0))</f>
        <v/>
      </c>
      <c r="R1464" s="60" t="n"/>
      <c r="S1464" s="61" t="n"/>
      <c r="T1464" s="61" t="n"/>
      <c r="U1464" s="53">
        <f>IF(A1464="","",IF(IFERROR(VLOOKUP(D1464,Parameter!$A$35:$C$64,2,0),"Nein")="2+3",IF(ISNUMBER(SEARCH("grosser Artikel",BJ1464)),2,IFERROR(VLOOKUP(BM1464,Parameter!$F$35:$G$64,2,0),2)),IF(OR(IFERROR(VLOOKUP(D1464,Parameter!$A$35:$C$64,2,0),"Nein")="Nein",IFERROR(VLOOKUP(D1464,Parameter!$A$35:$C$64,2,0),"Nein")=""),"-",VLOOKUP(D1464,Parameter!$A$35:$C$64,2,0))))</f>
        <v/>
      </c>
      <c r="V1464" s="61" t="n"/>
      <c r="W1464" s="62" t="n"/>
      <c r="X1464" s="55">
        <f>AM1464</f>
        <v/>
      </c>
      <c r="Y1464" s="55">
        <f>MAX(AM1464,G1464)</f>
        <v/>
      </c>
      <c r="Z1464" s="63" t="n"/>
      <c r="AA1464" s="55">
        <f>IF(LEFT(Cockpit!$C$5,1)="A",G1464,IF(BT1464=1,BU1464,IF(LEFT(Cockpit!$C$5,1)="B",AE1464,MAX(AE1464,G1464))))</f>
        <v/>
      </c>
      <c r="AB1464" s="55">
        <f>IF(BO1464=1,0,ROUNDUP(AA1464/BN1464,0))</f>
        <v/>
      </c>
      <c r="AC1464" s="64">
        <f>IF(BO1464=1,IF(AA1464&lt;=0,0,BP1464*MAX(1,IF(G1464&gt;0,AA1464/G1464,1))),AB1464*Q1464)</f>
        <v/>
      </c>
      <c r="AD1464" s="55">
        <f>AA1464*F1464</f>
        <v/>
      </c>
      <c r="AE1464" s="55">
        <f>ROUNDUP(MAX(I1464/IF(BS1464&gt;0,BS1464,MAX(0.1,N(Cockpit!$C$6))),BV1464)/BN1464,0)*BN1464</f>
        <v/>
      </c>
      <c r="AF1464" s="56">
        <f>IF(AC1464&gt;0,I1464/AC1464,-1)</f>
        <v/>
      </c>
      <c r="AG1464" s="56">
        <f>IF(AND(OR(BR1464="L1",BR1464="L23"),AC1464&gt;0),SUMIFS($AC$7:$AC$1570,$BR$7:$BR$1570,BR1464,$AF$7:$AF$1570,"&gt;"&amp;AF1464)+SUMIFS($AC$7:$AC$1570,$BR$7:$BR$1570,BR1464,$AF$7:$AF$1570,AF1464,$BL$7:$BL$1570,"&lt;="&amp;BL1464),"")</f>
        <v/>
      </c>
      <c r="AH1464" s="65">
        <f>IF(AG1464="",0,MAX(0,MIN(1,(IF(BR1464="L1",Parameter!$K$5,Parameter!$K$6+Parameter!$K$7)-(AG1464-AC1464))/AC1464)))</f>
        <v/>
      </c>
      <c r="AI1464" s="55">
        <f>IF(LEFT(Cockpit!$I$5,1)="A",G1464,IF(BT1464=1,BU1464,IF(LEFT(Cockpit!$I$5,1)="B",AM1464,MAX(AM1464,G1464))))</f>
        <v/>
      </c>
      <c r="AJ1464" s="55">
        <f>IF(BO1464=1,0,ROUNDUP(AI1464/BN1464,0))</f>
        <v/>
      </c>
      <c r="AK1464" s="64">
        <f>IF(BO1464=1,IF(AI1464&lt;=0,0,BP1464*MAX(1,IF(G1464&gt;0,AI1464/G1464,1))),AJ1464*Q1464)</f>
        <v/>
      </c>
      <c r="AL1464" s="55">
        <f>AI1464*F1464</f>
        <v/>
      </c>
      <c r="AM1464" s="55">
        <f>ROUNDUP(MAX(I1464/IF(BS1464&gt;0,BS1464,MAX(0.1,N(Cockpit!$I$6))),BV1464)/BN1464,0)*BN1464</f>
        <v/>
      </c>
      <c r="AN1464" s="56">
        <f>IF(AK1464&gt;0,I1464/AK1464,-1)</f>
        <v/>
      </c>
      <c r="AO1464" s="56">
        <f>IF(AND(OR(BR1464="L1",BR1464="L23"),AK1464&gt;0),SUMIFS($AK$7:$AK$1570,$BR$7:$BR$1570,BR1464,$AN$7:$AN$1570,"&gt;"&amp;AN1464)+SUMIFS($AK$7:$AK$1570,$BR$7:$BR$1570,BR1464,$AN$7:$AN$1570,AN1464,$BL$7:$BL$1570,"&lt;="&amp;BL1464),"")</f>
        <v/>
      </c>
      <c r="AP1464" s="65">
        <f>IF(AO1464="",0,MAX(0,MIN(1,(IF(BR1464="L1",Parameter!$K$5,Parameter!$K$6+Parameter!$K$7)-(AO1464-AK1464))/AK1464)))</f>
        <v/>
      </c>
      <c r="AQ1464" s="55">
        <f>IF(LEFT(Cockpit!$O$5,1)="A",G1464,IF(BT1464=1,BU1464,IF(LEFT(Cockpit!$O$5,1)="B",AU1464,MAX(AU1464,G1464))))</f>
        <v/>
      </c>
      <c r="AR1464" s="55">
        <f>IF(BO1464=1,0,ROUNDUP(AQ1464/BN1464,0))</f>
        <v/>
      </c>
      <c r="AS1464" s="64">
        <f>IF(BO1464=1,IF(AQ1464&lt;=0,0,BP1464*MAX(1,IF(G1464&gt;0,AQ1464/G1464,1))),AR1464*Q1464)</f>
        <v/>
      </c>
      <c r="AT1464" s="55">
        <f>AQ1464*F1464</f>
        <v/>
      </c>
      <c r="AU1464" s="55">
        <f>ROUNDUP(MAX(I1464/IF(BS1464&gt;0,BS1464,MAX(0.1,N(Cockpit!$O$6))),BV1464)/BN1464,0)*BN1464</f>
        <v/>
      </c>
      <c r="AV1464" s="56">
        <f>IF(AS1464&gt;0,I1464/AS1464,-1)</f>
        <v/>
      </c>
      <c r="AW1464" s="56">
        <f>IF(AND(OR(BR1464="L1",BR1464="L23"),AS1464&gt;0),SUMIFS($AS$7:$AS$1570,$BR$7:$BR$1570,BR1464,$AV$7:$AV$1570,"&gt;"&amp;AV1464)+SUMIFS($AS$7:$AS$1570,$BR$7:$BR$1570,BR1464,$AV$7:$AV$1570,AV1464,$BL$7:$BL$1570,"&lt;="&amp;BL1464),"")</f>
        <v/>
      </c>
      <c r="AX1464" s="65">
        <f>IF(AW1464="",0,MAX(0,MIN(1,(IF(BR1464="L1",Parameter!$K$5,Parameter!$K$6+Parameter!$K$7)-(AW1464-AS1464))/AS1464)))</f>
        <v/>
      </c>
      <c r="AY1464" s="53">
        <f>IF(AC1464&lt;=0,"",IF(BR1464="Aussen","Aussenlager",IF(BR1464="-","Nicht im Lift",IF(AH1464&gt;=1,"Lift",IF(AH1464&lt;=0,"Aussenlager","teilweise")))))</f>
        <v/>
      </c>
      <c r="AZ1464" s="53">
        <f>IF(AK1464&lt;=0,"",IF(BR1464="Aussen","Aussenlager",IF(BR1464="-","Nicht im Lift",IF(AP1464&gt;=1,"Lift",IF(AP1464&lt;=0,"Aussenlager","teilweise")))))</f>
        <v/>
      </c>
      <c r="BA1464" s="53">
        <f>IF(AS1464&lt;=0,"",IF(BR1464="Aussen","Aussenlager",IF(BR1464="-","Nicht im Lift",IF(AX1464&gt;=1,"Lift",IF(AX1464&lt;=0,"Aussenlager","teilweise")))))</f>
        <v/>
      </c>
      <c r="BB1464" s="53">
        <f>IF(A1464="","",IF(BK1464=1,"Neu; ","")&amp;IF(AND(BK1464=0,BF1464&lt;0),"negativer Bestand (Export "&amp;BF1464&amp;"); ","")&amp;IF(I1464&lt;=0,"Kein Verbrauch; ","")&amp;IF(BO1464=1,"Lose – Fläche geschätzt; ","")&amp;IF(G1464&gt;AM1464,"Überbestand "&amp;ROUND(G1464-AM1464,0)&amp;" Stk / CHF "&amp;ROUND((G1464-AM1464)*F1464,0)&amp;"; ","")&amp;IF(AND(BT1464=1,BU1464&lt;BV1464),"MAX &lt; MB+LG; ","")&amp;IF(AND(BZ1464&gt;0,BY1464*10&gt;BZ1464),"zu hoch für Tablar; ","")&amp;IF(AND(BK1464=0,OR(BT1464=1,V1464&lt;&gt;"",S1464&lt;&gt;"",T1464&lt;&gt;"",W1464&lt;&gt;"")),"manuell übersteuert; ","")&amp;IF(AND(BO1464=0,Q1464=0),"Gebinde unbekannt; ","")&amp;IF(AND(BO1464=0,N(T1464)&lt;=0,N(P1464)&lt;=0),"Menge pro Gebinde fehlt (Ist = 1 Gebinde); ","")&amp;BJ1464)</f>
        <v/>
      </c>
      <c r="BC1464" s="53" t="n"/>
      <c r="BD1464" s="53" t="n"/>
      <c r="BE1464" s="61" t="n"/>
      <c r="BF1464" s="55" t="n">
        <v>-3000</v>
      </c>
      <c r="BG1464" s="55" t="n">
        <v>0</v>
      </c>
      <c r="BH1464" s="54" t="n">
        <v>-26550</v>
      </c>
      <c r="BI1464" s="55" t="n">
        <v>6500</v>
      </c>
      <c r="BJ1464" s="53" t="inlineStr"/>
      <c r="BK1464" s="58" t="n">
        <v>0</v>
      </c>
      <c r="BL1464" s="58" t="n">
        <v>1464</v>
      </c>
      <c r="BM1464" s="53">
        <f>IF(S1464&lt;&gt;"",UPPER(TRIM(S1464)),IF(O1464="","LOSE",O1464))</f>
        <v/>
      </c>
      <c r="BN1464" s="55">
        <f>IF(BM1464="LOSE",1,IF(N(T1464)&gt;0,T1464,IF(N(P1464)&gt;0,P1464,MAX(1,G1464))))</f>
        <v/>
      </c>
      <c r="BO1464" s="58">
        <f>IF(BM1464="LOSE",1,0)</f>
        <v/>
      </c>
      <c r="BP1464" s="64">
        <f>IF(BO1464=0,0,IF(N(R1464)&gt;0,R1464,IFERROR(VLOOKUP(D1464,Parameter!$A$35:$C$64,3,0)+0,0)))</f>
        <v/>
      </c>
      <c r="BQ1464" s="53">
        <f>IF(V1464&lt;&gt;"",V1464,U1464)</f>
        <v/>
      </c>
      <c r="BR1464" s="53">
        <f>IF(BQ1464=1,"L1",IF(OR(BQ1464=2,BQ1464=3),"L23",IF(BQ1464="Aussen","Aussen","-")))</f>
        <v/>
      </c>
      <c r="BS1464" s="66">
        <f>IF(N(W1464)&gt;0,W1464,0)</f>
        <v/>
      </c>
      <c r="BT1464" s="58">
        <f>IF(ISNUMBER(Z1464),1,0)</f>
        <v/>
      </c>
      <c r="BU1464" s="55">
        <f>N(Z1464)</f>
        <v/>
      </c>
      <c r="BV1464" s="55">
        <f>N(L1464)+N(M1464)</f>
        <v/>
      </c>
      <c r="BW1464" s="55">
        <f>ROUNDUP(G1464/BN1464,0)</f>
        <v/>
      </c>
      <c r="BX1464" s="55">
        <f>ROUNDUP(BU1464/BN1464,0)</f>
        <v/>
      </c>
      <c r="BY1464" s="58">
        <f>IF(BO1464=1,0,IFERROR(VLOOKUP(BM1464,'Gebinde-Kategorie'!$A$5:$G$45,5,0)+0,0))</f>
        <v/>
      </c>
      <c r="BZ1464" s="58">
        <f>IFERROR(IF(OR(BQ1464=1,BQ1464=2,BQ1464=3),N(INDEX(Parameter!$I$5:$I$7,BQ1464)),0),0)</f>
        <v/>
      </c>
    </row>
    <row r="1465">
      <c r="A1465" s="53" t="inlineStr">
        <is>
          <t>101245</t>
        </is>
      </c>
      <c r="B1465" s="53" t="inlineStr">
        <is>
          <t>Austrittsdüse</t>
        </is>
      </c>
      <c r="C1465" s="53" t="inlineStr">
        <is>
          <t>F</t>
        </is>
      </c>
      <c r="D1465" s="53" t="inlineStr">
        <is>
          <t>LIFT1</t>
        </is>
      </c>
      <c r="E1465" s="53" t="inlineStr"/>
      <c r="F1465" s="54" t="n">
        <v>4042.46</v>
      </c>
      <c r="G1465" s="55">
        <f>MAX(0,IF(Parameter!$B$20="Jahresanfang 2025 + Export",BG1465+BF1465,BF1465))</f>
        <v/>
      </c>
      <c r="H1465" s="55">
        <f>G1465*F1465</f>
        <v/>
      </c>
      <c r="I1465" s="55">
        <f>BI1465*Parameter!$B$18</f>
        <v/>
      </c>
      <c r="J1465" s="56" t="n"/>
      <c r="K1465" s="57" t="n"/>
      <c r="L1465" s="55" t="n">
        <v>4</v>
      </c>
      <c r="M1465" s="55" t="n">
        <v>8</v>
      </c>
      <c r="N1465" s="58" t="n"/>
      <c r="O1465" s="53" t="inlineStr">
        <is>
          <t>LOSE</t>
        </is>
      </c>
      <c r="P1465" s="55" t="n"/>
      <c r="Q1465" s="59">
        <f>IF(BO1465=1,0,IFERROR(VLOOKUP(BM1465,'Gebinde-Kategorie'!$A$5:$G$45,6,0)+0,0))</f>
        <v/>
      </c>
      <c r="R1465" s="60" t="n"/>
      <c r="S1465" s="61" t="n"/>
      <c r="T1465" s="61" t="n"/>
      <c r="U1465" s="53">
        <f>IF(A1465="","",IF(IFERROR(VLOOKUP(D1465,Parameter!$A$35:$C$64,2,0),"Nein")="2+3",IF(ISNUMBER(SEARCH("grosser Artikel",BJ1465)),2,IFERROR(VLOOKUP(BM1465,Parameter!$F$35:$G$64,2,0),2)),IF(OR(IFERROR(VLOOKUP(D1465,Parameter!$A$35:$C$64,2,0),"Nein")="Nein",IFERROR(VLOOKUP(D1465,Parameter!$A$35:$C$64,2,0),"Nein")=""),"-",VLOOKUP(D1465,Parameter!$A$35:$C$64,2,0))))</f>
        <v/>
      </c>
      <c r="V1465" s="61" t="n"/>
      <c r="W1465" s="62" t="n"/>
      <c r="X1465" s="55">
        <f>AM1465</f>
        <v/>
      </c>
      <c r="Y1465" s="55">
        <f>MAX(AM1465,G1465)</f>
        <v/>
      </c>
      <c r="Z1465" s="63" t="n"/>
      <c r="AA1465" s="55">
        <f>IF(LEFT(Cockpit!$C$5,1)="A",G1465,IF(BT1465=1,BU1465,IF(LEFT(Cockpit!$C$5,1)="B",AE1465,MAX(AE1465,G1465))))</f>
        <v/>
      </c>
      <c r="AB1465" s="55">
        <f>IF(BO1465=1,0,ROUNDUP(AA1465/BN1465,0))</f>
        <v/>
      </c>
      <c r="AC1465" s="64">
        <f>IF(BO1465=1,IF(AA1465&lt;=0,0,BP1465*MAX(1,IF(G1465&gt;0,AA1465/G1465,1))),AB1465*Q1465)</f>
        <v/>
      </c>
      <c r="AD1465" s="55">
        <f>AA1465*F1465</f>
        <v/>
      </c>
      <c r="AE1465" s="55">
        <f>ROUNDUP(MAX(I1465/IF(BS1465&gt;0,BS1465,MAX(0.1,N(Cockpit!$C$6))),BV1465)/BN1465,0)*BN1465</f>
        <v/>
      </c>
      <c r="AF1465" s="56">
        <f>IF(AC1465&gt;0,I1465/AC1465,-1)</f>
        <v/>
      </c>
      <c r="AG1465" s="56">
        <f>IF(AND(OR(BR1465="L1",BR1465="L23"),AC1465&gt;0),SUMIFS($AC$7:$AC$1570,$BR$7:$BR$1570,BR1465,$AF$7:$AF$1570,"&gt;"&amp;AF1465)+SUMIFS($AC$7:$AC$1570,$BR$7:$BR$1570,BR1465,$AF$7:$AF$1570,AF1465,$BL$7:$BL$1570,"&lt;="&amp;BL1465),"")</f>
        <v/>
      </c>
      <c r="AH1465" s="65">
        <f>IF(AG1465="",0,MAX(0,MIN(1,(IF(BR1465="L1",Parameter!$K$5,Parameter!$K$6+Parameter!$K$7)-(AG1465-AC1465))/AC1465)))</f>
        <v/>
      </c>
      <c r="AI1465" s="55">
        <f>IF(LEFT(Cockpit!$I$5,1)="A",G1465,IF(BT1465=1,BU1465,IF(LEFT(Cockpit!$I$5,1)="B",AM1465,MAX(AM1465,G1465))))</f>
        <v/>
      </c>
      <c r="AJ1465" s="55">
        <f>IF(BO1465=1,0,ROUNDUP(AI1465/BN1465,0))</f>
        <v/>
      </c>
      <c r="AK1465" s="64">
        <f>IF(BO1465=1,IF(AI1465&lt;=0,0,BP1465*MAX(1,IF(G1465&gt;0,AI1465/G1465,1))),AJ1465*Q1465)</f>
        <v/>
      </c>
      <c r="AL1465" s="55">
        <f>AI1465*F1465</f>
        <v/>
      </c>
      <c r="AM1465" s="55">
        <f>ROUNDUP(MAX(I1465/IF(BS1465&gt;0,BS1465,MAX(0.1,N(Cockpit!$I$6))),BV1465)/BN1465,0)*BN1465</f>
        <v/>
      </c>
      <c r="AN1465" s="56">
        <f>IF(AK1465&gt;0,I1465/AK1465,-1)</f>
        <v/>
      </c>
      <c r="AO1465" s="56">
        <f>IF(AND(OR(BR1465="L1",BR1465="L23"),AK1465&gt;0),SUMIFS($AK$7:$AK$1570,$BR$7:$BR$1570,BR1465,$AN$7:$AN$1570,"&gt;"&amp;AN1465)+SUMIFS($AK$7:$AK$1570,$BR$7:$BR$1570,BR1465,$AN$7:$AN$1570,AN1465,$BL$7:$BL$1570,"&lt;="&amp;BL1465),"")</f>
        <v/>
      </c>
      <c r="AP1465" s="65">
        <f>IF(AO1465="",0,MAX(0,MIN(1,(IF(BR1465="L1",Parameter!$K$5,Parameter!$K$6+Parameter!$K$7)-(AO1465-AK1465))/AK1465)))</f>
        <v/>
      </c>
      <c r="AQ1465" s="55">
        <f>IF(LEFT(Cockpit!$O$5,1)="A",G1465,IF(BT1465=1,BU1465,IF(LEFT(Cockpit!$O$5,1)="B",AU1465,MAX(AU1465,G1465))))</f>
        <v/>
      </c>
      <c r="AR1465" s="55">
        <f>IF(BO1465=1,0,ROUNDUP(AQ1465/BN1465,0))</f>
        <v/>
      </c>
      <c r="AS1465" s="64">
        <f>IF(BO1465=1,IF(AQ1465&lt;=0,0,BP1465*MAX(1,IF(G1465&gt;0,AQ1465/G1465,1))),AR1465*Q1465)</f>
        <v/>
      </c>
      <c r="AT1465" s="55">
        <f>AQ1465*F1465</f>
        <v/>
      </c>
      <c r="AU1465" s="55">
        <f>ROUNDUP(MAX(I1465/IF(BS1465&gt;0,BS1465,MAX(0.1,N(Cockpit!$O$6))),BV1465)/BN1465,0)*BN1465</f>
        <v/>
      </c>
      <c r="AV1465" s="56">
        <f>IF(AS1465&gt;0,I1465/AS1465,-1)</f>
        <v/>
      </c>
      <c r="AW1465" s="56">
        <f>IF(AND(OR(BR1465="L1",BR1465="L23"),AS1465&gt;0),SUMIFS($AS$7:$AS$1570,$BR$7:$BR$1570,BR1465,$AV$7:$AV$1570,"&gt;"&amp;AV1465)+SUMIFS($AS$7:$AS$1570,$BR$7:$BR$1570,BR1465,$AV$7:$AV$1570,AV1465,$BL$7:$BL$1570,"&lt;="&amp;BL1465),"")</f>
        <v/>
      </c>
      <c r="AX1465" s="65">
        <f>IF(AW1465="",0,MAX(0,MIN(1,(IF(BR1465="L1",Parameter!$K$5,Parameter!$K$6+Parameter!$K$7)-(AW1465-AS1465))/AS1465)))</f>
        <v/>
      </c>
      <c r="AY1465" s="53">
        <f>IF(AC1465&lt;=0,"",IF(BR1465="Aussen","Aussenlager",IF(BR1465="-","Nicht im Lift",IF(AH1465&gt;=1,"Lift",IF(AH1465&lt;=0,"Aussenlager","teilweise")))))</f>
        <v/>
      </c>
      <c r="AZ1465" s="53">
        <f>IF(AK1465&lt;=0,"",IF(BR1465="Aussen","Aussenlager",IF(BR1465="-","Nicht im Lift",IF(AP1465&gt;=1,"Lift",IF(AP1465&lt;=0,"Aussenlager","teilweise")))))</f>
        <v/>
      </c>
      <c r="BA1465" s="53">
        <f>IF(AS1465&lt;=0,"",IF(BR1465="Aussen","Aussenlager",IF(BR1465="-","Nicht im Lift",IF(AX1465&gt;=1,"Lift",IF(AX1465&lt;=0,"Aussenlager","teilweise")))))</f>
        <v/>
      </c>
      <c r="BB1465" s="53">
        <f>IF(A1465="","",IF(BK1465=1,"Neu; ","")&amp;IF(AND(BK1465=0,BF1465&lt;0),"negativer Bestand (Export "&amp;BF1465&amp;"); ","")&amp;IF(I1465&lt;=0,"Kein Verbrauch; ","")&amp;IF(BO1465=1,"Lose – Fläche geschätzt; ","")&amp;IF(G1465&gt;AM1465,"Überbestand "&amp;ROUND(G1465-AM1465,0)&amp;" Stk / CHF "&amp;ROUND((G1465-AM1465)*F1465,0)&amp;"; ","")&amp;IF(AND(BT1465=1,BU1465&lt;BV1465),"MAX &lt; MB+LG; ","")&amp;IF(AND(BZ1465&gt;0,BY1465*10&gt;BZ1465),"zu hoch für Tablar; ","")&amp;IF(AND(BK1465=0,OR(BT1465=1,V1465&lt;&gt;"",S1465&lt;&gt;"",T1465&lt;&gt;"",W1465&lt;&gt;"")),"manuell übersteuert; ","")&amp;IF(AND(BO1465=0,Q1465=0),"Gebinde unbekannt; ","")&amp;IF(AND(BO1465=0,N(T1465)&lt;=0,N(P1465)&lt;=0),"Menge pro Gebinde fehlt (Ist = 1 Gebinde); ","")&amp;BJ1465)</f>
        <v/>
      </c>
      <c r="BC1465" s="53" t="n"/>
      <c r="BD1465" s="53" t="n"/>
      <c r="BE1465" s="61" t="n"/>
      <c r="BF1465" s="55" t="n">
        <v>-4</v>
      </c>
      <c r="BG1465" s="55" t="n">
        <v>0</v>
      </c>
      <c r="BH1465" s="54" t="n">
        <v>-28135.81999999992</v>
      </c>
      <c r="BI1465" s="55" t="n">
        <v>71</v>
      </c>
      <c r="BJ1465" s="53" t="inlineStr"/>
      <c r="BK1465" s="58" t="n">
        <v>0</v>
      </c>
      <c r="BL1465" s="58" t="n">
        <v>1465</v>
      </c>
      <c r="BM1465" s="53">
        <f>IF(S1465&lt;&gt;"",UPPER(TRIM(S1465)),IF(O1465="","LOSE",O1465))</f>
        <v/>
      </c>
      <c r="BN1465" s="55">
        <f>IF(BM1465="LOSE",1,IF(N(T1465)&gt;0,T1465,IF(N(P1465)&gt;0,P1465,MAX(1,G1465))))</f>
        <v/>
      </c>
      <c r="BO1465" s="58">
        <f>IF(BM1465="LOSE",1,0)</f>
        <v/>
      </c>
      <c r="BP1465" s="64">
        <f>IF(BO1465=0,0,IF(N(R1465)&gt;0,R1465,IFERROR(VLOOKUP(D1465,Parameter!$A$35:$C$64,3,0)+0,0)))</f>
        <v/>
      </c>
      <c r="BQ1465" s="53">
        <f>IF(V1465&lt;&gt;"",V1465,U1465)</f>
        <v/>
      </c>
      <c r="BR1465" s="53">
        <f>IF(BQ1465=1,"L1",IF(OR(BQ1465=2,BQ1465=3),"L23",IF(BQ1465="Aussen","Aussen","-")))</f>
        <v/>
      </c>
      <c r="BS1465" s="66">
        <f>IF(N(W1465)&gt;0,W1465,0)</f>
        <v/>
      </c>
      <c r="BT1465" s="58">
        <f>IF(ISNUMBER(Z1465),1,0)</f>
        <v/>
      </c>
      <c r="BU1465" s="55">
        <f>N(Z1465)</f>
        <v/>
      </c>
      <c r="BV1465" s="55">
        <f>N(L1465)+N(M1465)</f>
        <v/>
      </c>
      <c r="BW1465" s="55">
        <f>ROUNDUP(G1465/BN1465,0)</f>
        <v/>
      </c>
      <c r="BX1465" s="55">
        <f>ROUNDUP(BU1465/BN1465,0)</f>
        <v/>
      </c>
      <c r="BY1465" s="58">
        <f>IF(BO1465=1,0,IFERROR(VLOOKUP(BM1465,'Gebinde-Kategorie'!$A$5:$G$45,5,0)+0,0))</f>
        <v/>
      </c>
      <c r="BZ1465" s="58">
        <f>IFERROR(IF(OR(BQ1465=1,BQ1465=2,BQ1465=3),N(INDEX(Parameter!$I$5:$I$7,BQ1465)),0),0)</f>
        <v/>
      </c>
    </row>
    <row r="1466">
      <c r="A1466" s="53" t="inlineStr">
        <is>
          <t>108494</t>
        </is>
      </c>
      <c r="B1466" s="53" t="inlineStr">
        <is>
          <t>Ventilpanel SPGr BASE komplett</t>
        </is>
      </c>
      <c r="C1466" s="53" t="inlineStr">
        <is>
          <t>G</t>
        </is>
      </c>
      <c r="D1466" s="53" t="inlineStr">
        <is>
          <t>PAL</t>
        </is>
      </c>
      <c r="E1466" s="53" t="inlineStr"/>
      <c r="F1466" s="54" t="n">
        <v>4933</v>
      </c>
      <c r="G1466" s="55">
        <f>MAX(0,IF(Parameter!$B$20="Jahresanfang 2025 + Export",BG1466+BF1466,BF1466))</f>
        <v/>
      </c>
      <c r="H1466" s="55">
        <f>G1466*F1466</f>
        <v/>
      </c>
      <c r="I1466" s="55">
        <f>BI1466*Parameter!$B$18</f>
        <v/>
      </c>
      <c r="J1466" s="56" t="n"/>
      <c r="K1466" s="57" t="n"/>
      <c r="L1466" s="55" t="n">
        <v>0</v>
      </c>
      <c r="M1466" s="55" t="n">
        <v>3</v>
      </c>
      <c r="N1466" s="58" t="n"/>
      <c r="O1466" s="53" t="inlineStr">
        <is>
          <t>LOSE</t>
        </is>
      </c>
      <c r="P1466" s="55" t="n"/>
      <c r="Q1466" s="59">
        <f>IF(BO1466=1,0,IFERROR(VLOOKUP(BM1466,'Gebinde-Kategorie'!$A$5:$G$45,6,0)+0,0))</f>
        <v/>
      </c>
      <c r="R1466" s="60" t="n"/>
      <c r="S1466" s="61" t="n"/>
      <c r="T1466" s="61" t="n"/>
      <c r="U1466" s="53">
        <f>IF(A1466="","",IF(IFERROR(VLOOKUP(D1466,Parameter!$A$35:$C$64,2,0),"Nein")="2+3",IF(ISNUMBER(SEARCH("grosser Artikel",BJ1466)),2,IFERROR(VLOOKUP(BM1466,Parameter!$F$35:$G$64,2,0),2)),IF(OR(IFERROR(VLOOKUP(D1466,Parameter!$A$35:$C$64,2,0),"Nein")="Nein",IFERROR(VLOOKUP(D1466,Parameter!$A$35:$C$64,2,0),"Nein")=""),"-",VLOOKUP(D1466,Parameter!$A$35:$C$64,2,0))))</f>
        <v/>
      </c>
      <c r="V1466" s="61" t="n"/>
      <c r="W1466" s="62" t="n"/>
      <c r="X1466" s="55">
        <f>AM1466</f>
        <v/>
      </c>
      <c r="Y1466" s="55">
        <f>MAX(AM1466,G1466)</f>
        <v/>
      </c>
      <c r="Z1466" s="63" t="n"/>
      <c r="AA1466" s="55">
        <f>IF(LEFT(Cockpit!$C$5,1)="A",G1466,IF(BT1466=1,BU1466,IF(LEFT(Cockpit!$C$5,1)="B",AE1466,MAX(AE1466,G1466))))</f>
        <v/>
      </c>
      <c r="AB1466" s="55">
        <f>IF(BO1466=1,0,ROUNDUP(AA1466/BN1466,0))</f>
        <v/>
      </c>
      <c r="AC1466" s="64">
        <f>IF(BO1466=1,IF(AA1466&lt;=0,0,BP1466*MAX(1,IF(G1466&gt;0,AA1466/G1466,1))),AB1466*Q1466)</f>
        <v/>
      </c>
      <c r="AD1466" s="55">
        <f>AA1466*F1466</f>
        <v/>
      </c>
      <c r="AE1466" s="55">
        <f>ROUNDUP(MAX(I1466/IF(BS1466&gt;0,BS1466,MAX(0.1,N(Cockpit!$C$6))),BV1466)/BN1466,0)*BN1466</f>
        <v/>
      </c>
      <c r="AF1466" s="56">
        <f>IF(AC1466&gt;0,I1466/AC1466,-1)</f>
        <v/>
      </c>
      <c r="AG1466" s="56">
        <f>IF(AND(OR(BR1466="L1",BR1466="L23"),AC1466&gt;0),SUMIFS($AC$7:$AC$1570,$BR$7:$BR$1570,BR1466,$AF$7:$AF$1570,"&gt;"&amp;AF1466)+SUMIFS($AC$7:$AC$1570,$BR$7:$BR$1570,BR1466,$AF$7:$AF$1570,AF1466,$BL$7:$BL$1570,"&lt;="&amp;BL1466),"")</f>
        <v/>
      </c>
      <c r="AH1466" s="65">
        <f>IF(AG1466="",0,MAX(0,MIN(1,(IF(BR1466="L1",Parameter!$K$5,Parameter!$K$6+Parameter!$K$7)-(AG1466-AC1466))/AC1466)))</f>
        <v/>
      </c>
      <c r="AI1466" s="55">
        <f>IF(LEFT(Cockpit!$I$5,1)="A",G1466,IF(BT1466=1,BU1466,IF(LEFT(Cockpit!$I$5,1)="B",AM1466,MAX(AM1466,G1466))))</f>
        <v/>
      </c>
      <c r="AJ1466" s="55">
        <f>IF(BO1466=1,0,ROUNDUP(AI1466/BN1466,0))</f>
        <v/>
      </c>
      <c r="AK1466" s="64">
        <f>IF(BO1466=1,IF(AI1466&lt;=0,0,BP1466*MAX(1,IF(G1466&gt;0,AI1466/G1466,1))),AJ1466*Q1466)</f>
        <v/>
      </c>
      <c r="AL1466" s="55">
        <f>AI1466*F1466</f>
        <v/>
      </c>
      <c r="AM1466" s="55">
        <f>ROUNDUP(MAX(I1466/IF(BS1466&gt;0,BS1466,MAX(0.1,N(Cockpit!$I$6))),BV1466)/BN1466,0)*BN1466</f>
        <v/>
      </c>
      <c r="AN1466" s="56">
        <f>IF(AK1466&gt;0,I1466/AK1466,-1)</f>
        <v/>
      </c>
      <c r="AO1466" s="56">
        <f>IF(AND(OR(BR1466="L1",BR1466="L23"),AK1466&gt;0),SUMIFS($AK$7:$AK$1570,$BR$7:$BR$1570,BR1466,$AN$7:$AN$1570,"&gt;"&amp;AN1466)+SUMIFS($AK$7:$AK$1570,$BR$7:$BR$1570,BR1466,$AN$7:$AN$1570,AN1466,$BL$7:$BL$1570,"&lt;="&amp;BL1466),"")</f>
        <v/>
      </c>
      <c r="AP1466" s="65">
        <f>IF(AO1466="",0,MAX(0,MIN(1,(IF(BR1466="L1",Parameter!$K$5,Parameter!$K$6+Parameter!$K$7)-(AO1466-AK1466))/AK1466)))</f>
        <v/>
      </c>
      <c r="AQ1466" s="55">
        <f>IF(LEFT(Cockpit!$O$5,1)="A",G1466,IF(BT1466=1,BU1466,IF(LEFT(Cockpit!$O$5,1)="B",AU1466,MAX(AU1466,G1466))))</f>
        <v/>
      </c>
      <c r="AR1466" s="55">
        <f>IF(BO1466=1,0,ROUNDUP(AQ1466/BN1466,0))</f>
        <v/>
      </c>
      <c r="AS1466" s="64">
        <f>IF(BO1466=1,IF(AQ1466&lt;=0,0,BP1466*MAX(1,IF(G1466&gt;0,AQ1466/G1466,1))),AR1466*Q1466)</f>
        <v/>
      </c>
      <c r="AT1466" s="55">
        <f>AQ1466*F1466</f>
        <v/>
      </c>
      <c r="AU1466" s="55">
        <f>ROUNDUP(MAX(I1466/IF(BS1466&gt;0,BS1466,MAX(0.1,N(Cockpit!$O$6))),BV1466)/BN1466,0)*BN1466</f>
        <v/>
      </c>
      <c r="AV1466" s="56">
        <f>IF(AS1466&gt;0,I1466/AS1466,-1)</f>
        <v/>
      </c>
      <c r="AW1466" s="56">
        <f>IF(AND(OR(BR1466="L1",BR1466="L23"),AS1466&gt;0),SUMIFS($AS$7:$AS$1570,$BR$7:$BR$1570,BR1466,$AV$7:$AV$1570,"&gt;"&amp;AV1466)+SUMIFS($AS$7:$AS$1570,$BR$7:$BR$1570,BR1466,$AV$7:$AV$1570,AV1466,$BL$7:$BL$1570,"&lt;="&amp;BL1466),"")</f>
        <v/>
      </c>
      <c r="AX1466" s="65">
        <f>IF(AW1466="",0,MAX(0,MIN(1,(IF(BR1466="L1",Parameter!$K$5,Parameter!$K$6+Parameter!$K$7)-(AW1466-AS1466))/AS1466)))</f>
        <v/>
      </c>
      <c r="AY1466" s="53">
        <f>IF(AC1466&lt;=0,"",IF(BR1466="Aussen","Aussenlager",IF(BR1466="-","Nicht im Lift",IF(AH1466&gt;=1,"Lift",IF(AH1466&lt;=0,"Aussenlager","teilweise")))))</f>
        <v/>
      </c>
      <c r="AZ1466" s="53">
        <f>IF(AK1466&lt;=0,"",IF(BR1466="Aussen","Aussenlager",IF(BR1466="-","Nicht im Lift",IF(AP1466&gt;=1,"Lift",IF(AP1466&lt;=0,"Aussenlager","teilweise")))))</f>
        <v/>
      </c>
      <c r="BA1466" s="53">
        <f>IF(AS1466&lt;=0,"",IF(BR1466="Aussen","Aussenlager",IF(BR1466="-","Nicht im Lift",IF(AX1466&gt;=1,"Lift",IF(AX1466&lt;=0,"Aussenlager","teilweise")))))</f>
        <v/>
      </c>
      <c r="BB1466" s="53">
        <f>IF(A1466="","",IF(BK1466=1,"Neu; ","")&amp;IF(AND(BK1466=0,BF1466&lt;0),"negativer Bestand (Export "&amp;BF1466&amp;"); ","")&amp;IF(I1466&lt;=0,"Kein Verbrauch; ","")&amp;IF(BO1466=1,"Lose – Fläche geschätzt; ","")&amp;IF(G1466&gt;AM1466,"Überbestand "&amp;ROUND(G1466-AM1466,0)&amp;" Stk / CHF "&amp;ROUND((G1466-AM1466)*F1466,0)&amp;"; ","")&amp;IF(AND(BT1466=1,BU1466&lt;BV1466),"MAX &lt; MB+LG; ","")&amp;IF(AND(BZ1466&gt;0,BY1466*10&gt;BZ1466),"zu hoch für Tablar; ","")&amp;IF(AND(BK1466=0,OR(BT1466=1,V1466&lt;&gt;"",S1466&lt;&gt;"",T1466&lt;&gt;"",W1466&lt;&gt;"")),"manuell übersteuert; ","")&amp;IF(AND(BO1466=0,Q1466=0),"Gebinde unbekannt; ","")&amp;IF(AND(BO1466=0,N(T1466)&lt;=0,N(P1466)&lt;=0),"Menge pro Gebinde fehlt (Ist = 1 Gebinde); ","")&amp;BJ1466)</f>
        <v/>
      </c>
      <c r="BC1466" s="53" t="n"/>
      <c r="BD1466" s="53" t="n"/>
      <c r="BE1466" s="61" t="n"/>
      <c r="BF1466" s="55" t="n">
        <v>-6</v>
      </c>
      <c r="BG1466" s="55" t="n">
        <v>0</v>
      </c>
      <c r="BH1466" s="54" t="n">
        <v>-29571.19000000001</v>
      </c>
      <c r="BI1466" s="55" t="n">
        <v>23</v>
      </c>
      <c r="BJ1466" s="53" t="inlineStr"/>
      <c r="BK1466" s="58" t="n">
        <v>0</v>
      </c>
      <c r="BL1466" s="58" t="n">
        <v>1466</v>
      </c>
      <c r="BM1466" s="53">
        <f>IF(S1466&lt;&gt;"",UPPER(TRIM(S1466)),IF(O1466="","LOSE",O1466))</f>
        <v/>
      </c>
      <c r="BN1466" s="55">
        <f>IF(BM1466="LOSE",1,IF(N(T1466)&gt;0,T1466,IF(N(P1466)&gt;0,P1466,MAX(1,G1466))))</f>
        <v/>
      </c>
      <c r="BO1466" s="58">
        <f>IF(BM1466="LOSE",1,0)</f>
        <v/>
      </c>
      <c r="BP1466" s="64">
        <f>IF(BO1466=0,0,IF(N(R1466)&gt;0,R1466,IFERROR(VLOOKUP(D1466,Parameter!$A$35:$C$64,3,0)+0,0)))</f>
        <v/>
      </c>
      <c r="BQ1466" s="53">
        <f>IF(V1466&lt;&gt;"",V1466,U1466)</f>
        <v/>
      </c>
      <c r="BR1466" s="53">
        <f>IF(BQ1466=1,"L1",IF(OR(BQ1466=2,BQ1466=3),"L23",IF(BQ1466="Aussen","Aussen","-")))</f>
        <v/>
      </c>
      <c r="BS1466" s="66">
        <f>IF(N(W1466)&gt;0,W1466,0)</f>
        <v/>
      </c>
      <c r="BT1466" s="58">
        <f>IF(ISNUMBER(Z1466),1,0)</f>
        <v/>
      </c>
      <c r="BU1466" s="55">
        <f>N(Z1466)</f>
        <v/>
      </c>
      <c r="BV1466" s="55">
        <f>N(L1466)+N(M1466)</f>
        <v/>
      </c>
      <c r="BW1466" s="55">
        <f>ROUNDUP(G1466/BN1466,0)</f>
        <v/>
      </c>
      <c r="BX1466" s="55">
        <f>ROUNDUP(BU1466/BN1466,0)</f>
        <v/>
      </c>
      <c r="BY1466" s="58">
        <f>IF(BO1466=1,0,IFERROR(VLOOKUP(BM1466,'Gebinde-Kategorie'!$A$5:$G$45,5,0)+0,0))</f>
        <v/>
      </c>
      <c r="BZ1466" s="58">
        <f>IFERROR(IF(OR(BQ1466=1,BQ1466=2,BQ1466=3),N(INDEX(Parameter!$I$5:$I$7,BQ1466)),0),0)</f>
        <v/>
      </c>
    </row>
    <row r="1467">
      <c r="A1467" s="53" t="inlineStr">
        <is>
          <t>110377</t>
        </is>
      </c>
      <c r="B1467" s="53" t="inlineStr">
        <is>
          <t>Sicheres Strom-Eingangsmodul</t>
        </is>
      </c>
      <c r="C1467" s="53" t="inlineStr">
        <is>
          <t>F</t>
        </is>
      </c>
      <c r="D1467" s="53" t="inlineStr">
        <is>
          <t>KTL</t>
        </is>
      </c>
      <c r="E1467" s="53" t="inlineStr"/>
      <c r="F1467" s="54" t="n">
        <v>388.42</v>
      </c>
      <c r="G1467" s="55">
        <f>MAX(0,IF(Parameter!$B$20="Jahresanfang 2025 + Export",BG1467+BF1467,BF1467))</f>
        <v/>
      </c>
      <c r="H1467" s="55">
        <f>G1467*F1467</f>
        <v/>
      </c>
      <c r="I1467" s="55">
        <f>BI1467*Parameter!$B$18</f>
        <v/>
      </c>
      <c r="J1467" s="56" t="n"/>
      <c r="K1467" s="57" t="n"/>
      <c r="L1467" s="55" t="n">
        <v>0</v>
      </c>
      <c r="M1467" s="55" t="n">
        <v>35</v>
      </c>
      <c r="N1467" s="58" t="n"/>
      <c r="O1467" s="53" t="inlineStr">
        <is>
          <t>S52</t>
        </is>
      </c>
      <c r="P1467" s="55" t="n">
        <v>60</v>
      </c>
      <c r="Q1467" s="59">
        <f>IF(BO1467=1,0,IFERROR(VLOOKUP(BM1467,'Gebinde-Kategorie'!$A$5:$G$45,6,0)+0,0))</f>
        <v/>
      </c>
      <c r="R1467" s="60" t="n"/>
      <c r="S1467" s="61" t="n"/>
      <c r="T1467" s="61" t="n"/>
      <c r="U1467" s="53">
        <f>IF(A1467="","",IF(IFERROR(VLOOKUP(D1467,Parameter!$A$35:$C$64,2,0),"Nein")="2+3",IF(ISNUMBER(SEARCH("grosser Artikel",BJ1467)),2,IFERROR(VLOOKUP(BM1467,Parameter!$F$35:$G$64,2,0),2)),IF(OR(IFERROR(VLOOKUP(D1467,Parameter!$A$35:$C$64,2,0),"Nein")="Nein",IFERROR(VLOOKUP(D1467,Parameter!$A$35:$C$64,2,0),"Nein")=""),"-",VLOOKUP(D1467,Parameter!$A$35:$C$64,2,0))))</f>
        <v/>
      </c>
      <c r="V1467" s="61" t="n"/>
      <c r="W1467" s="62" t="n"/>
      <c r="X1467" s="55">
        <f>AM1467</f>
        <v/>
      </c>
      <c r="Y1467" s="55">
        <f>MAX(AM1467,G1467)</f>
        <v/>
      </c>
      <c r="Z1467" s="63" t="n"/>
      <c r="AA1467" s="55">
        <f>IF(LEFT(Cockpit!$C$5,1)="A",G1467,IF(BT1467=1,BU1467,IF(LEFT(Cockpit!$C$5,1)="B",AE1467,MAX(AE1467,G1467))))</f>
        <v/>
      </c>
      <c r="AB1467" s="55">
        <f>IF(BO1467=1,0,ROUNDUP(AA1467/BN1467,0))</f>
        <v/>
      </c>
      <c r="AC1467" s="64">
        <f>IF(BO1467=1,IF(AA1467&lt;=0,0,BP1467*MAX(1,IF(G1467&gt;0,AA1467/G1467,1))),AB1467*Q1467)</f>
        <v/>
      </c>
      <c r="AD1467" s="55">
        <f>AA1467*F1467</f>
        <v/>
      </c>
      <c r="AE1467" s="55">
        <f>ROUNDUP(MAX(I1467/IF(BS1467&gt;0,BS1467,MAX(0.1,N(Cockpit!$C$6))),BV1467)/BN1467,0)*BN1467</f>
        <v/>
      </c>
      <c r="AF1467" s="56">
        <f>IF(AC1467&gt;0,I1467/AC1467,-1)</f>
        <v/>
      </c>
      <c r="AG1467" s="56">
        <f>IF(AND(OR(BR1467="L1",BR1467="L23"),AC1467&gt;0),SUMIFS($AC$7:$AC$1570,$BR$7:$BR$1570,BR1467,$AF$7:$AF$1570,"&gt;"&amp;AF1467)+SUMIFS($AC$7:$AC$1570,$BR$7:$BR$1570,BR1467,$AF$7:$AF$1570,AF1467,$BL$7:$BL$1570,"&lt;="&amp;BL1467),"")</f>
        <v/>
      </c>
      <c r="AH1467" s="65">
        <f>IF(AG1467="",0,MAX(0,MIN(1,(IF(BR1467="L1",Parameter!$K$5,Parameter!$K$6+Parameter!$K$7)-(AG1467-AC1467))/AC1467)))</f>
        <v/>
      </c>
      <c r="AI1467" s="55">
        <f>IF(LEFT(Cockpit!$I$5,1)="A",G1467,IF(BT1467=1,BU1467,IF(LEFT(Cockpit!$I$5,1)="B",AM1467,MAX(AM1467,G1467))))</f>
        <v/>
      </c>
      <c r="AJ1467" s="55">
        <f>IF(BO1467=1,0,ROUNDUP(AI1467/BN1467,0))</f>
        <v/>
      </c>
      <c r="AK1467" s="64">
        <f>IF(BO1467=1,IF(AI1467&lt;=0,0,BP1467*MAX(1,IF(G1467&gt;0,AI1467/G1467,1))),AJ1467*Q1467)</f>
        <v/>
      </c>
      <c r="AL1467" s="55">
        <f>AI1467*F1467</f>
        <v/>
      </c>
      <c r="AM1467" s="55">
        <f>ROUNDUP(MAX(I1467/IF(BS1467&gt;0,BS1467,MAX(0.1,N(Cockpit!$I$6))),BV1467)/BN1467,0)*BN1467</f>
        <v/>
      </c>
      <c r="AN1467" s="56">
        <f>IF(AK1467&gt;0,I1467/AK1467,-1)</f>
        <v/>
      </c>
      <c r="AO1467" s="56">
        <f>IF(AND(OR(BR1467="L1",BR1467="L23"),AK1467&gt;0),SUMIFS($AK$7:$AK$1570,$BR$7:$BR$1570,BR1467,$AN$7:$AN$1570,"&gt;"&amp;AN1467)+SUMIFS($AK$7:$AK$1570,$BR$7:$BR$1570,BR1467,$AN$7:$AN$1570,AN1467,$BL$7:$BL$1570,"&lt;="&amp;BL1467),"")</f>
        <v/>
      </c>
      <c r="AP1467" s="65">
        <f>IF(AO1467="",0,MAX(0,MIN(1,(IF(BR1467="L1",Parameter!$K$5,Parameter!$K$6+Parameter!$K$7)-(AO1467-AK1467))/AK1467)))</f>
        <v/>
      </c>
      <c r="AQ1467" s="55">
        <f>IF(LEFT(Cockpit!$O$5,1)="A",G1467,IF(BT1467=1,BU1467,IF(LEFT(Cockpit!$O$5,1)="B",AU1467,MAX(AU1467,G1467))))</f>
        <v/>
      </c>
      <c r="AR1467" s="55">
        <f>IF(BO1467=1,0,ROUNDUP(AQ1467/BN1467,0))</f>
        <v/>
      </c>
      <c r="AS1467" s="64">
        <f>IF(BO1467=1,IF(AQ1467&lt;=0,0,BP1467*MAX(1,IF(G1467&gt;0,AQ1467/G1467,1))),AR1467*Q1467)</f>
        <v/>
      </c>
      <c r="AT1467" s="55">
        <f>AQ1467*F1467</f>
        <v/>
      </c>
      <c r="AU1467" s="55">
        <f>ROUNDUP(MAX(I1467/IF(BS1467&gt;0,BS1467,MAX(0.1,N(Cockpit!$O$6))),BV1467)/BN1467,0)*BN1467</f>
        <v/>
      </c>
      <c r="AV1467" s="56">
        <f>IF(AS1467&gt;0,I1467/AS1467,-1)</f>
        <v/>
      </c>
      <c r="AW1467" s="56">
        <f>IF(AND(OR(BR1467="L1",BR1467="L23"),AS1467&gt;0),SUMIFS($AS$7:$AS$1570,$BR$7:$BR$1570,BR1467,$AV$7:$AV$1570,"&gt;"&amp;AV1467)+SUMIFS($AS$7:$AS$1570,$BR$7:$BR$1570,BR1467,$AV$7:$AV$1570,AV1467,$BL$7:$BL$1570,"&lt;="&amp;BL1467),"")</f>
        <v/>
      </c>
      <c r="AX1467" s="65">
        <f>IF(AW1467="",0,MAX(0,MIN(1,(IF(BR1467="L1",Parameter!$K$5,Parameter!$K$6+Parameter!$K$7)-(AW1467-AS1467))/AS1467)))</f>
        <v/>
      </c>
      <c r="AY1467" s="53">
        <f>IF(AC1467&lt;=0,"",IF(BR1467="Aussen","Aussenlager",IF(BR1467="-","Nicht im Lift",IF(AH1467&gt;=1,"Lift",IF(AH1467&lt;=0,"Aussenlager","teilweise")))))</f>
        <v/>
      </c>
      <c r="AZ1467" s="53">
        <f>IF(AK1467&lt;=0,"",IF(BR1467="Aussen","Aussenlager",IF(BR1467="-","Nicht im Lift",IF(AP1467&gt;=1,"Lift",IF(AP1467&lt;=0,"Aussenlager","teilweise")))))</f>
        <v/>
      </c>
      <c r="BA1467" s="53">
        <f>IF(AS1467&lt;=0,"",IF(BR1467="Aussen","Aussenlager",IF(BR1467="-","Nicht im Lift",IF(AX1467&gt;=1,"Lift",IF(AX1467&lt;=0,"Aussenlager","teilweise")))))</f>
        <v/>
      </c>
      <c r="BB1467" s="53">
        <f>IF(A1467="","",IF(BK1467=1,"Neu; ","")&amp;IF(AND(BK1467=0,BF1467&lt;0),"negativer Bestand (Export "&amp;BF1467&amp;"); ","")&amp;IF(I1467&lt;=0,"Kein Verbrauch; ","")&amp;IF(BO1467=1,"Lose – Fläche geschätzt; ","")&amp;IF(G1467&gt;AM1467,"Überbestand "&amp;ROUND(G1467-AM1467,0)&amp;" Stk / CHF "&amp;ROUND((G1467-AM1467)*F1467,0)&amp;"; ","")&amp;IF(AND(BT1467=1,BU1467&lt;BV1467),"MAX &lt; MB+LG; ","")&amp;IF(AND(BZ1467&gt;0,BY1467*10&gt;BZ1467),"zu hoch für Tablar; ","")&amp;IF(AND(BK1467=0,OR(BT1467=1,V1467&lt;&gt;"",S1467&lt;&gt;"",T1467&lt;&gt;"",W1467&lt;&gt;"")),"manuell übersteuert; ","")&amp;IF(AND(BO1467=0,Q1467=0),"Gebinde unbekannt; ","")&amp;IF(AND(BO1467=0,N(T1467)&lt;=0,N(P1467)&lt;=0),"Menge pro Gebinde fehlt (Ist = 1 Gebinde); ","")&amp;BJ1467)</f>
        <v/>
      </c>
      <c r="BC1467" s="53" t="n"/>
      <c r="BD1467" s="53" t="n"/>
      <c r="BE1467" s="61" t="n"/>
      <c r="BF1467" s="55" t="n">
        <v>-86</v>
      </c>
      <c r="BG1467" s="55" t="n">
        <v>0</v>
      </c>
      <c r="BH1467" s="54" t="n">
        <v>-33137.78000000001</v>
      </c>
      <c r="BI1467" s="55" t="n">
        <v>185</v>
      </c>
      <c r="BJ1467" s="53" t="inlineStr"/>
      <c r="BK1467" s="58" t="n">
        <v>0</v>
      </c>
      <c r="BL1467" s="58" t="n">
        <v>1467</v>
      </c>
      <c r="BM1467" s="53">
        <f>IF(S1467&lt;&gt;"",UPPER(TRIM(S1467)),IF(O1467="","LOSE",O1467))</f>
        <v/>
      </c>
      <c r="BN1467" s="55">
        <f>IF(BM1467="LOSE",1,IF(N(T1467)&gt;0,T1467,IF(N(P1467)&gt;0,P1467,MAX(1,G1467))))</f>
        <v/>
      </c>
      <c r="BO1467" s="58">
        <f>IF(BM1467="LOSE",1,0)</f>
        <v/>
      </c>
      <c r="BP1467" s="64">
        <f>IF(BO1467=0,0,IF(N(R1467)&gt;0,R1467,IFERROR(VLOOKUP(D1467,Parameter!$A$35:$C$64,3,0)+0,0)))</f>
        <v/>
      </c>
      <c r="BQ1467" s="53">
        <f>IF(V1467&lt;&gt;"",V1467,U1467)</f>
        <v/>
      </c>
      <c r="BR1467" s="53">
        <f>IF(BQ1467=1,"L1",IF(OR(BQ1467=2,BQ1467=3),"L23",IF(BQ1467="Aussen","Aussen","-")))</f>
        <v/>
      </c>
      <c r="BS1467" s="66">
        <f>IF(N(W1467)&gt;0,W1467,0)</f>
        <v/>
      </c>
      <c r="BT1467" s="58">
        <f>IF(ISNUMBER(Z1467),1,0)</f>
        <v/>
      </c>
      <c r="BU1467" s="55">
        <f>N(Z1467)</f>
        <v/>
      </c>
      <c r="BV1467" s="55">
        <f>N(L1467)+N(M1467)</f>
        <v/>
      </c>
      <c r="BW1467" s="55">
        <f>ROUNDUP(G1467/BN1467,0)</f>
        <v/>
      </c>
      <c r="BX1467" s="55">
        <f>ROUNDUP(BU1467/BN1467,0)</f>
        <v/>
      </c>
      <c r="BY1467" s="58">
        <f>IF(BO1467=1,0,IFERROR(VLOOKUP(BM1467,'Gebinde-Kategorie'!$A$5:$G$45,5,0)+0,0))</f>
        <v/>
      </c>
      <c r="BZ1467" s="58">
        <f>IFERROR(IF(OR(BQ1467=1,BQ1467=2,BQ1467=3),N(INDEX(Parameter!$I$5:$I$7,BQ1467)),0),0)</f>
        <v/>
      </c>
    </row>
    <row r="1468">
      <c r="A1468" s="53" t="inlineStr">
        <is>
          <t>108495</t>
        </is>
      </c>
      <c r="B1468" s="53" t="inlineStr">
        <is>
          <t>Ventilpanel SPGr SUB komplett</t>
        </is>
      </c>
      <c r="C1468" s="53" t="inlineStr">
        <is>
          <t>G</t>
        </is>
      </c>
      <c r="D1468" s="53" t="inlineStr">
        <is>
          <t>PAL</t>
        </is>
      </c>
      <c r="E1468" s="53" t="inlineStr"/>
      <c r="F1468" s="54" t="n">
        <v>5022.3</v>
      </c>
      <c r="G1468" s="55">
        <f>MAX(0,IF(Parameter!$B$20="Jahresanfang 2025 + Export",BG1468+BF1468,BF1468))</f>
        <v/>
      </c>
      <c r="H1468" s="55">
        <f>G1468*F1468</f>
        <v/>
      </c>
      <c r="I1468" s="55">
        <f>BI1468*Parameter!$B$18</f>
        <v/>
      </c>
      <c r="J1468" s="56" t="n"/>
      <c r="K1468" s="57" t="n"/>
      <c r="L1468" s="55" t="n">
        <v>0</v>
      </c>
      <c r="M1468" s="55" t="n">
        <v>1</v>
      </c>
      <c r="N1468" s="58" t="n"/>
      <c r="O1468" s="53" t="inlineStr">
        <is>
          <t>LOSE</t>
        </is>
      </c>
      <c r="P1468" s="55" t="n"/>
      <c r="Q1468" s="59">
        <f>IF(BO1468=1,0,IFERROR(VLOOKUP(BM1468,'Gebinde-Kategorie'!$A$5:$G$45,6,0)+0,0))</f>
        <v/>
      </c>
      <c r="R1468" s="60" t="n"/>
      <c r="S1468" s="61" t="n"/>
      <c r="T1468" s="61" t="n"/>
      <c r="U1468" s="53">
        <f>IF(A1468="","",IF(IFERROR(VLOOKUP(D1468,Parameter!$A$35:$C$64,2,0),"Nein")="2+3",IF(ISNUMBER(SEARCH("grosser Artikel",BJ1468)),2,IFERROR(VLOOKUP(BM1468,Parameter!$F$35:$G$64,2,0),2)),IF(OR(IFERROR(VLOOKUP(D1468,Parameter!$A$35:$C$64,2,0),"Nein")="Nein",IFERROR(VLOOKUP(D1468,Parameter!$A$35:$C$64,2,0),"Nein")=""),"-",VLOOKUP(D1468,Parameter!$A$35:$C$64,2,0))))</f>
        <v/>
      </c>
      <c r="V1468" s="61" t="n"/>
      <c r="W1468" s="62" t="n"/>
      <c r="X1468" s="55">
        <f>AM1468</f>
        <v/>
      </c>
      <c r="Y1468" s="55">
        <f>MAX(AM1468,G1468)</f>
        <v/>
      </c>
      <c r="Z1468" s="63" t="n"/>
      <c r="AA1468" s="55">
        <f>IF(LEFT(Cockpit!$C$5,1)="A",G1468,IF(BT1468=1,BU1468,IF(LEFT(Cockpit!$C$5,1)="B",AE1468,MAX(AE1468,G1468))))</f>
        <v/>
      </c>
      <c r="AB1468" s="55">
        <f>IF(BO1468=1,0,ROUNDUP(AA1468/BN1468,0))</f>
        <v/>
      </c>
      <c r="AC1468" s="64">
        <f>IF(BO1468=1,IF(AA1468&lt;=0,0,BP1468*MAX(1,IF(G1468&gt;0,AA1468/G1468,1))),AB1468*Q1468)</f>
        <v/>
      </c>
      <c r="AD1468" s="55">
        <f>AA1468*F1468</f>
        <v/>
      </c>
      <c r="AE1468" s="55">
        <f>ROUNDUP(MAX(I1468/IF(BS1468&gt;0,BS1468,MAX(0.1,N(Cockpit!$C$6))),BV1468)/BN1468,0)*BN1468</f>
        <v/>
      </c>
      <c r="AF1468" s="56">
        <f>IF(AC1468&gt;0,I1468/AC1468,-1)</f>
        <v/>
      </c>
      <c r="AG1468" s="56">
        <f>IF(AND(OR(BR1468="L1",BR1468="L23"),AC1468&gt;0),SUMIFS($AC$7:$AC$1570,$BR$7:$BR$1570,BR1468,$AF$7:$AF$1570,"&gt;"&amp;AF1468)+SUMIFS($AC$7:$AC$1570,$BR$7:$BR$1570,BR1468,$AF$7:$AF$1570,AF1468,$BL$7:$BL$1570,"&lt;="&amp;BL1468),"")</f>
        <v/>
      </c>
      <c r="AH1468" s="65">
        <f>IF(AG1468="",0,MAX(0,MIN(1,(IF(BR1468="L1",Parameter!$K$5,Parameter!$K$6+Parameter!$K$7)-(AG1468-AC1468))/AC1468)))</f>
        <v/>
      </c>
      <c r="AI1468" s="55">
        <f>IF(LEFT(Cockpit!$I$5,1)="A",G1468,IF(BT1468=1,BU1468,IF(LEFT(Cockpit!$I$5,1)="B",AM1468,MAX(AM1468,G1468))))</f>
        <v/>
      </c>
      <c r="AJ1468" s="55">
        <f>IF(BO1468=1,0,ROUNDUP(AI1468/BN1468,0))</f>
        <v/>
      </c>
      <c r="AK1468" s="64">
        <f>IF(BO1468=1,IF(AI1468&lt;=0,0,BP1468*MAX(1,IF(G1468&gt;0,AI1468/G1468,1))),AJ1468*Q1468)</f>
        <v/>
      </c>
      <c r="AL1468" s="55">
        <f>AI1468*F1468</f>
        <v/>
      </c>
      <c r="AM1468" s="55">
        <f>ROUNDUP(MAX(I1468/IF(BS1468&gt;0,BS1468,MAX(0.1,N(Cockpit!$I$6))),BV1468)/BN1468,0)*BN1468</f>
        <v/>
      </c>
      <c r="AN1468" s="56">
        <f>IF(AK1468&gt;0,I1468/AK1468,-1)</f>
        <v/>
      </c>
      <c r="AO1468" s="56">
        <f>IF(AND(OR(BR1468="L1",BR1468="L23"),AK1468&gt;0),SUMIFS($AK$7:$AK$1570,$BR$7:$BR$1570,BR1468,$AN$7:$AN$1570,"&gt;"&amp;AN1468)+SUMIFS($AK$7:$AK$1570,$BR$7:$BR$1570,BR1468,$AN$7:$AN$1570,AN1468,$BL$7:$BL$1570,"&lt;="&amp;BL1468),"")</f>
        <v/>
      </c>
      <c r="AP1468" s="65">
        <f>IF(AO1468="",0,MAX(0,MIN(1,(IF(BR1468="L1",Parameter!$K$5,Parameter!$K$6+Parameter!$K$7)-(AO1468-AK1468))/AK1468)))</f>
        <v/>
      </c>
      <c r="AQ1468" s="55">
        <f>IF(LEFT(Cockpit!$O$5,1)="A",G1468,IF(BT1468=1,BU1468,IF(LEFT(Cockpit!$O$5,1)="B",AU1468,MAX(AU1468,G1468))))</f>
        <v/>
      </c>
      <c r="AR1468" s="55">
        <f>IF(BO1468=1,0,ROUNDUP(AQ1468/BN1468,0))</f>
        <v/>
      </c>
      <c r="AS1468" s="64">
        <f>IF(BO1468=1,IF(AQ1468&lt;=0,0,BP1468*MAX(1,IF(G1468&gt;0,AQ1468/G1468,1))),AR1468*Q1468)</f>
        <v/>
      </c>
      <c r="AT1468" s="55">
        <f>AQ1468*F1468</f>
        <v/>
      </c>
      <c r="AU1468" s="55">
        <f>ROUNDUP(MAX(I1468/IF(BS1468&gt;0,BS1468,MAX(0.1,N(Cockpit!$O$6))),BV1468)/BN1468,0)*BN1468</f>
        <v/>
      </c>
      <c r="AV1468" s="56">
        <f>IF(AS1468&gt;0,I1468/AS1468,-1)</f>
        <v/>
      </c>
      <c r="AW1468" s="56">
        <f>IF(AND(OR(BR1468="L1",BR1468="L23"),AS1468&gt;0),SUMIFS($AS$7:$AS$1570,$BR$7:$BR$1570,BR1468,$AV$7:$AV$1570,"&gt;"&amp;AV1468)+SUMIFS($AS$7:$AS$1570,$BR$7:$BR$1570,BR1468,$AV$7:$AV$1570,AV1468,$BL$7:$BL$1570,"&lt;="&amp;BL1468),"")</f>
        <v/>
      </c>
      <c r="AX1468" s="65">
        <f>IF(AW1468="",0,MAX(0,MIN(1,(IF(BR1468="L1",Parameter!$K$5,Parameter!$K$6+Parameter!$K$7)-(AW1468-AS1468))/AS1468)))</f>
        <v/>
      </c>
      <c r="AY1468" s="53">
        <f>IF(AC1468&lt;=0,"",IF(BR1468="Aussen","Aussenlager",IF(BR1468="-","Nicht im Lift",IF(AH1468&gt;=1,"Lift",IF(AH1468&lt;=0,"Aussenlager","teilweise")))))</f>
        <v/>
      </c>
      <c r="AZ1468" s="53">
        <f>IF(AK1468&lt;=0,"",IF(BR1468="Aussen","Aussenlager",IF(BR1468="-","Nicht im Lift",IF(AP1468&gt;=1,"Lift",IF(AP1468&lt;=0,"Aussenlager","teilweise")))))</f>
        <v/>
      </c>
      <c r="BA1468" s="53">
        <f>IF(AS1468&lt;=0,"",IF(BR1468="Aussen","Aussenlager",IF(BR1468="-","Nicht im Lift",IF(AX1468&gt;=1,"Lift",IF(AX1468&lt;=0,"Aussenlager","teilweise")))))</f>
        <v/>
      </c>
      <c r="BB1468" s="53">
        <f>IF(A1468="","",IF(BK1468=1,"Neu; ","")&amp;IF(AND(BK1468=0,BF1468&lt;0),"negativer Bestand (Export "&amp;BF1468&amp;"); ","")&amp;IF(I1468&lt;=0,"Kein Verbrauch; ","")&amp;IF(BO1468=1,"Lose – Fläche geschätzt; ","")&amp;IF(G1468&gt;AM1468,"Überbestand "&amp;ROUND(G1468-AM1468,0)&amp;" Stk / CHF "&amp;ROUND((G1468-AM1468)*F1468,0)&amp;"; ","")&amp;IF(AND(BT1468=1,BU1468&lt;BV1468),"MAX &lt; MB+LG; ","")&amp;IF(AND(BZ1468&gt;0,BY1468*10&gt;BZ1468),"zu hoch für Tablar; ","")&amp;IF(AND(BK1468=0,OR(BT1468=1,V1468&lt;&gt;"",S1468&lt;&gt;"",T1468&lt;&gt;"",W1468&lt;&gt;"")),"manuell übersteuert; ","")&amp;IF(AND(BO1468=0,Q1468=0),"Gebinde unbekannt; ","")&amp;IF(AND(BO1468=0,N(T1468)&lt;=0,N(P1468)&lt;=0),"Menge pro Gebinde fehlt (Ist = 1 Gebinde); ","")&amp;BJ1468)</f>
        <v/>
      </c>
      <c r="BC1468" s="53" t="n"/>
      <c r="BD1468" s="53" t="n"/>
      <c r="BE1468" s="61" t="n"/>
      <c r="BF1468" s="55" t="n">
        <v>-13</v>
      </c>
      <c r="BG1468" s="55" t="n">
        <v>0</v>
      </c>
      <c r="BH1468" s="54" t="n">
        <v>-64779.00000000001</v>
      </c>
      <c r="BI1468" s="55" t="n">
        <v>13</v>
      </c>
      <c r="BJ1468" s="53" t="inlineStr"/>
      <c r="BK1468" s="58" t="n">
        <v>0</v>
      </c>
      <c r="BL1468" s="58" t="n">
        <v>1468</v>
      </c>
      <c r="BM1468" s="53">
        <f>IF(S1468&lt;&gt;"",UPPER(TRIM(S1468)),IF(O1468="","LOSE",O1468))</f>
        <v/>
      </c>
      <c r="BN1468" s="55">
        <f>IF(BM1468="LOSE",1,IF(N(T1468)&gt;0,T1468,IF(N(P1468)&gt;0,P1468,MAX(1,G1468))))</f>
        <v/>
      </c>
      <c r="BO1468" s="58">
        <f>IF(BM1468="LOSE",1,0)</f>
        <v/>
      </c>
      <c r="BP1468" s="64">
        <f>IF(BO1468=0,0,IF(N(R1468)&gt;0,R1468,IFERROR(VLOOKUP(D1468,Parameter!$A$35:$C$64,3,0)+0,0)))</f>
        <v/>
      </c>
      <c r="BQ1468" s="53">
        <f>IF(V1468&lt;&gt;"",V1468,U1468)</f>
        <v/>
      </c>
      <c r="BR1468" s="53">
        <f>IF(BQ1468=1,"L1",IF(OR(BQ1468=2,BQ1468=3),"L23",IF(BQ1468="Aussen","Aussen","-")))</f>
        <v/>
      </c>
      <c r="BS1468" s="66">
        <f>IF(N(W1468)&gt;0,W1468,0)</f>
        <v/>
      </c>
      <c r="BT1468" s="58">
        <f>IF(ISNUMBER(Z1468),1,0)</f>
        <v/>
      </c>
      <c r="BU1468" s="55">
        <f>N(Z1468)</f>
        <v/>
      </c>
      <c r="BV1468" s="55">
        <f>N(L1468)+N(M1468)</f>
        <v/>
      </c>
      <c r="BW1468" s="55">
        <f>ROUNDUP(G1468/BN1468,0)</f>
        <v/>
      </c>
      <c r="BX1468" s="55">
        <f>ROUNDUP(BU1468/BN1468,0)</f>
        <v/>
      </c>
      <c r="BY1468" s="58">
        <f>IF(BO1468=1,0,IFERROR(VLOOKUP(BM1468,'Gebinde-Kategorie'!$A$5:$G$45,5,0)+0,0))</f>
        <v/>
      </c>
      <c r="BZ1468" s="58">
        <f>IFERROR(IF(OR(BQ1468=1,BQ1468=2,BQ1468=3),N(INDEX(Parameter!$I$5:$I$7,BQ1468)),0),0)</f>
        <v/>
      </c>
    </row>
    <row r="1469">
      <c r="A1469" s="53" t="inlineStr">
        <is>
          <t>106819</t>
        </is>
      </c>
      <c r="B1469" s="53" t="inlineStr">
        <is>
          <t>Luftkompressor AC260</t>
        </is>
      </c>
      <c r="C1469" s="53" t="inlineStr">
        <is>
          <t>F</t>
        </is>
      </c>
      <c r="D1469" s="53" t="inlineStr">
        <is>
          <t>PAL</t>
        </is>
      </c>
      <c r="E1469" s="53" t="inlineStr"/>
      <c r="F1469" s="54" t="n">
        <v>11412.99</v>
      </c>
      <c r="G1469" s="55">
        <f>MAX(0,IF(Parameter!$B$20="Jahresanfang 2025 + Export",BG1469+BF1469,BF1469))</f>
        <v/>
      </c>
      <c r="H1469" s="55">
        <f>G1469*F1469</f>
        <v/>
      </c>
      <c r="I1469" s="55">
        <f>BI1469*Parameter!$B$18</f>
        <v/>
      </c>
      <c r="J1469" s="56" t="n"/>
      <c r="K1469" s="57" t="n"/>
      <c r="L1469" s="55" t="n">
        <v>2</v>
      </c>
      <c r="M1469" s="55" t="n">
        <v>1</v>
      </c>
      <c r="N1469" s="58" t="n"/>
      <c r="O1469" s="53" t="inlineStr">
        <is>
          <t>LOSE</t>
        </is>
      </c>
      <c r="P1469" s="55" t="n"/>
      <c r="Q1469" s="59">
        <f>IF(BO1469=1,0,IFERROR(VLOOKUP(BM1469,'Gebinde-Kategorie'!$A$5:$G$45,6,0)+0,0))</f>
        <v/>
      </c>
      <c r="R1469" s="60" t="n"/>
      <c r="S1469" s="61" t="n"/>
      <c r="T1469" s="61" t="n"/>
      <c r="U1469" s="53">
        <f>IF(A1469="","",IF(IFERROR(VLOOKUP(D1469,Parameter!$A$35:$C$64,2,0),"Nein")="2+3",IF(ISNUMBER(SEARCH("grosser Artikel",BJ1469)),2,IFERROR(VLOOKUP(BM1469,Parameter!$F$35:$G$64,2,0),2)),IF(OR(IFERROR(VLOOKUP(D1469,Parameter!$A$35:$C$64,2,0),"Nein")="Nein",IFERROR(VLOOKUP(D1469,Parameter!$A$35:$C$64,2,0),"Nein")=""),"-",VLOOKUP(D1469,Parameter!$A$35:$C$64,2,0))))</f>
        <v/>
      </c>
      <c r="V1469" s="61" t="n"/>
      <c r="W1469" s="62" t="n"/>
      <c r="X1469" s="55">
        <f>AM1469</f>
        <v/>
      </c>
      <c r="Y1469" s="55">
        <f>MAX(AM1469,G1469)</f>
        <v/>
      </c>
      <c r="Z1469" s="63" t="n"/>
      <c r="AA1469" s="55">
        <f>IF(LEFT(Cockpit!$C$5,1)="A",G1469,IF(BT1469=1,BU1469,IF(LEFT(Cockpit!$C$5,1)="B",AE1469,MAX(AE1469,G1469))))</f>
        <v/>
      </c>
      <c r="AB1469" s="55">
        <f>IF(BO1469=1,0,ROUNDUP(AA1469/BN1469,0))</f>
        <v/>
      </c>
      <c r="AC1469" s="64">
        <f>IF(BO1469=1,IF(AA1469&lt;=0,0,BP1469*MAX(1,IF(G1469&gt;0,AA1469/G1469,1))),AB1469*Q1469)</f>
        <v/>
      </c>
      <c r="AD1469" s="55">
        <f>AA1469*F1469</f>
        <v/>
      </c>
      <c r="AE1469" s="55">
        <f>ROUNDUP(MAX(I1469/IF(BS1469&gt;0,BS1469,MAX(0.1,N(Cockpit!$C$6))),BV1469)/BN1469,0)*BN1469</f>
        <v/>
      </c>
      <c r="AF1469" s="56">
        <f>IF(AC1469&gt;0,I1469/AC1469,-1)</f>
        <v/>
      </c>
      <c r="AG1469" s="56">
        <f>IF(AND(OR(BR1469="L1",BR1469="L23"),AC1469&gt;0),SUMIFS($AC$7:$AC$1570,$BR$7:$BR$1570,BR1469,$AF$7:$AF$1570,"&gt;"&amp;AF1469)+SUMIFS($AC$7:$AC$1570,$BR$7:$BR$1570,BR1469,$AF$7:$AF$1570,AF1469,$BL$7:$BL$1570,"&lt;="&amp;BL1469),"")</f>
        <v/>
      </c>
      <c r="AH1469" s="65">
        <f>IF(AG1469="",0,MAX(0,MIN(1,(IF(BR1469="L1",Parameter!$K$5,Parameter!$K$6+Parameter!$K$7)-(AG1469-AC1469))/AC1469)))</f>
        <v/>
      </c>
      <c r="AI1469" s="55">
        <f>IF(LEFT(Cockpit!$I$5,1)="A",G1469,IF(BT1469=1,BU1469,IF(LEFT(Cockpit!$I$5,1)="B",AM1469,MAX(AM1469,G1469))))</f>
        <v/>
      </c>
      <c r="AJ1469" s="55">
        <f>IF(BO1469=1,0,ROUNDUP(AI1469/BN1469,0))</f>
        <v/>
      </c>
      <c r="AK1469" s="64">
        <f>IF(BO1469=1,IF(AI1469&lt;=0,0,BP1469*MAX(1,IF(G1469&gt;0,AI1469/G1469,1))),AJ1469*Q1469)</f>
        <v/>
      </c>
      <c r="AL1469" s="55">
        <f>AI1469*F1469</f>
        <v/>
      </c>
      <c r="AM1469" s="55">
        <f>ROUNDUP(MAX(I1469/IF(BS1469&gt;0,BS1469,MAX(0.1,N(Cockpit!$I$6))),BV1469)/BN1469,0)*BN1469</f>
        <v/>
      </c>
      <c r="AN1469" s="56">
        <f>IF(AK1469&gt;0,I1469/AK1469,-1)</f>
        <v/>
      </c>
      <c r="AO1469" s="56">
        <f>IF(AND(OR(BR1469="L1",BR1469="L23"),AK1469&gt;0),SUMIFS($AK$7:$AK$1570,$BR$7:$BR$1570,BR1469,$AN$7:$AN$1570,"&gt;"&amp;AN1469)+SUMIFS($AK$7:$AK$1570,$BR$7:$BR$1570,BR1469,$AN$7:$AN$1570,AN1469,$BL$7:$BL$1570,"&lt;="&amp;BL1469),"")</f>
        <v/>
      </c>
      <c r="AP1469" s="65">
        <f>IF(AO1469="",0,MAX(0,MIN(1,(IF(BR1469="L1",Parameter!$K$5,Parameter!$K$6+Parameter!$K$7)-(AO1469-AK1469))/AK1469)))</f>
        <v/>
      </c>
      <c r="AQ1469" s="55">
        <f>IF(LEFT(Cockpit!$O$5,1)="A",G1469,IF(BT1469=1,BU1469,IF(LEFT(Cockpit!$O$5,1)="B",AU1469,MAX(AU1469,G1469))))</f>
        <v/>
      </c>
      <c r="AR1469" s="55">
        <f>IF(BO1469=1,0,ROUNDUP(AQ1469/BN1469,0))</f>
        <v/>
      </c>
      <c r="AS1469" s="64">
        <f>IF(BO1469=1,IF(AQ1469&lt;=0,0,BP1469*MAX(1,IF(G1469&gt;0,AQ1469/G1469,1))),AR1469*Q1469)</f>
        <v/>
      </c>
      <c r="AT1469" s="55">
        <f>AQ1469*F1469</f>
        <v/>
      </c>
      <c r="AU1469" s="55">
        <f>ROUNDUP(MAX(I1469/IF(BS1469&gt;0,BS1469,MAX(0.1,N(Cockpit!$O$6))),BV1469)/BN1469,0)*BN1469</f>
        <v/>
      </c>
      <c r="AV1469" s="56">
        <f>IF(AS1469&gt;0,I1469/AS1469,-1)</f>
        <v/>
      </c>
      <c r="AW1469" s="56">
        <f>IF(AND(OR(BR1469="L1",BR1469="L23"),AS1469&gt;0),SUMIFS($AS$7:$AS$1570,$BR$7:$BR$1570,BR1469,$AV$7:$AV$1570,"&gt;"&amp;AV1469)+SUMIFS($AS$7:$AS$1570,$BR$7:$BR$1570,BR1469,$AV$7:$AV$1570,AV1469,$BL$7:$BL$1570,"&lt;="&amp;BL1469),"")</f>
        <v/>
      </c>
      <c r="AX1469" s="65">
        <f>IF(AW1469="",0,MAX(0,MIN(1,(IF(BR1469="L1",Parameter!$K$5,Parameter!$K$6+Parameter!$K$7)-(AW1469-AS1469))/AS1469)))</f>
        <v/>
      </c>
      <c r="AY1469" s="53">
        <f>IF(AC1469&lt;=0,"",IF(BR1469="Aussen","Aussenlager",IF(BR1469="-","Nicht im Lift",IF(AH1469&gt;=1,"Lift",IF(AH1469&lt;=0,"Aussenlager","teilweise")))))</f>
        <v/>
      </c>
      <c r="AZ1469" s="53">
        <f>IF(AK1469&lt;=0,"",IF(BR1469="Aussen","Aussenlager",IF(BR1469="-","Nicht im Lift",IF(AP1469&gt;=1,"Lift",IF(AP1469&lt;=0,"Aussenlager","teilweise")))))</f>
        <v/>
      </c>
      <c r="BA1469" s="53">
        <f>IF(AS1469&lt;=0,"",IF(BR1469="Aussen","Aussenlager",IF(BR1469="-","Nicht im Lift",IF(AX1469&gt;=1,"Lift",IF(AX1469&lt;=0,"Aussenlager","teilweise")))))</f>
        <v/>
      </c>
      <c r="BB1469" s="53">
        <f>IF(A1469="","",IF(BK1469=1,"Neu; ","")&amp;IF(AND(BK1469=0,BF1469&lt;0),"negativer Bestand (Export "&amp;BF1469&amp;"); ","")&amp;IF(I1469&lt;=0,"Kein Verbrauch; ","")&amp;IF(BO1469=1,"Lose – Fläche geschätzt; ","")&amp;IF(G1469&gt;AM1469,"Überbestand "&amp;ROUND(G1469-AM1469,0)&amp;" Stk / CHF "&amp;ROUND((G1469-AM1469)*F1469,0)&amp;"; ","")&amp;IF(AND(BT1469=1,BU1469&lt;BV1469),"MAX &lt; MB+LG; ","")&amp;IF(AND(BZ1469&gt;0,BY1469*10&gt;BZ1469),"zu hoch für Tablar; ","")&amp;IF(AND(BK1469=0,OR(BT1469=1,V1469&lt;&gt;"",S1469&lt;&gt;"",T1469&lt;&gt;"",W1469&lt;&gt;"")),"manuell übersteuert; ","")&amp;IF(AND(BO1469=0,Q1469=0),"Gebinde unbekannt; ","")&amp;IF(AND(BO1469=0,N(T1469)&lt;=0,N(P1469)&lt;=0),"Menge pro Gebinde fehlt (Ist = 1 Gebinde); ","")&amp;BJ1469)</f>
        <v/>
      </c>
      <c r="BC1469" s="53" t="n"/>
      <c r="BD1469" s="53" t="n"/>
      <c r="BE1469" s="61" t="n"/>
      <c r="BF1469" s="55" t="n">
        <v>-7</v>
      </c>
      <c r="BG1469" s="55" t="n">
        <v>0</v>
      </c>
      <c r="BH1469" s="54" t="n">
        <v>-66765.84</v>
      </c>
      <c r="BI1469" s="55" t="n">
        <v>12</v>
      </c>
      <c r="BJ1469" s="53" t="inlineStr"/>
      <c r="BK1469" s="58" t="n">
        <v>0</v>
      </c>
      <c r="BL1469" s="58" t="n">
        <v>1469</v>
      </c>
      <c r="BM1469" s="53">
        <f>IF(S1469&lt;&gt;"",UPPER(TRIM(S1469)),IF(O1469="","LOSE",O1469))</f>
        <v/>
      </c>
      <c r="BN1469" s="55">
        <f>IF(BM1469="LOSE",1,IF(N(T1469)&gt;0,T1469,IF(N(P1469)&gt;0,P1469,MAX(1,G1469))))</f>
        <v/>
      </c>
      <c r="BO1469" s="58">
        <f>IF(BM1469="LOSE",1,0)</f>
        <v/>
      </c>
      <c r="BP1469" s="64">
        <f>IF(BO1469=0,0,IF(N(R1469)&gt;0,R1469,IFERROR(VLOOKUP(D1469,Parameter!$A$35:$C$64,3,0)+0,0)))</f>
        <v/>
      </c>
      <c r="BQ1469" s="53">
        <f>IF(V1469&lt;&gt;"",V1469,U1469)</f>
        <v/>
      </c>
      <c r="BR1469" s="53">
        <f>IF(BQ1469=1,"L1",IF(OR(BQ1469=2,BQ1469=3),"L23",IF(BQ1469="Aussen","Aussen","-")))</f>
        <v/>
      </c>
      <c r="BS1469" s="66">
        <f>IF(N(W1469)&gt;0,W1469,0)</f>
        <v/>
      </c>
      <c r="BT1469" s="58">
        <f>IF(ISNUMBER(Z1469),1,0)</f>
        <v/>
      </c>
      <c r="BU1469" s="55">
        <f>N(Z1469)</f>
        <v/>
      </c>
      <c r="BV1469" s="55">
        <f>N(L1469)+N(M1469)</f>
        <v/>
      </c>
      <c r="BW1469" s="55">
        <f>ROUNDUP(G1469/BN1469,0)</f>
        <v/>
      </c>
      <c r="BX1469" s="55">
        <f>ROUNDUP(BU1469/BN1469,0)</f>
        <v/>
      </c>
      <c r="BY1469" s="58">
        <f>IF(BO1469=1,0,IFERROR(VLOOKUP(BM1469,'Gebinde-Kategorie'!$A$5:$G$45,5,0)+0,0))</f>
        <v/>
      </c>
      <c r="BZ1469" s="58">
        <f>IFERROR(IF(OR(BQ1469=1,BQ1469=2,BQ1469=3),N(INDEX(Parameter!$I$5:$I$7,BQ1469)),0),0)</f>
        <v/>
      </c>
    </row>
    <row r="1470">
      <c r="A1470" s="53" t="inlineStr">
        <is>
          <t>108496</t>
        </is>
      </c>
      <c r="B1470" s="53" t="inlineStr">
        <is>
          <t>Ventilpanel SPGr SUB komplett</t>
        </is>
      </c>
      <c r="C1470" s="53" t="inlineStr">
        <is>
          <t>G</t>
        </is>
      </c>
      <c r="D1470" s="53" t="inlineStr">
        <is>
          <t>PAL</t>
        </is>
      </c>
      <c r="E1470" s="53" t="inlineStr"/>
      <c r="F1470" s="54" t="n">
        <v>4545.65</v>
      </c>
      <c r="G1470" s="55">
        <f>MAX(0,IF(Parameter!$B$20="Jahresanfang 2025 + Export",BG1470+BF1470,BF1470))</f>
        <v/>
      </c>
      <c r="H1470" s="55">
        <f>G1470*F1470</f>
        <v/>
      </c>
      <c r="I1470" s="55">
        <f>BI1470*Parameter!$B$18</f>
        <v/>
      </c>
      <c r="J1470" s="56" t="n"/>
      <c r="K1470" s="57" t="n"/>
      <c r="L1470" s="55" t="n">
        <v>0</v>
      </c>
      <c r="M1470" s="55" t="n">
        <v>3</v>
      </c>
      <c r="N1470" s="58" t="n"/>
      <c r="O1470" s="53" t="inlineStr">
        <is>
          <t>LOSE</t>
        </is>
      </c>
      <c r="P1470" s="55" t="n"/>
      <c r="Q1470" s="59">
        <f>IF(BO1470=1,0,IFERROR(VLOOKUP(BM1470,'Gebinde-Kategorie'!$A$5:$G$45,6,0)+0,0))</f>
        <v/>
      </c>
      <c r="R1470" s="60" t="n"/>
      <c r="S1470" s="61" t="n"/>
      <c r="T1470" s="61" t="n"/>
      <c r="U1470" s="53">
        <f>IF(A1470="","",IF(IFERROR(VLOOKUP(D1470,Parameter!$A$35:$C$64,2,0),"Nein")="2+3",IF(ISNUMBER(SEARCH("grosser Artikel",BJ1470)),2,IFERROR(VLOOKUP(BM1470,Parameter!$F$35:$G$64,2,0),2)),IF(OR(IFERROR(VLOOKUP(D1470,Parameter!$A$35:$C$64,2,0),"Nein")="Nein",IFERROR(VLOOKUP(D1470,Parameter!$A$35:$C$64,2,0),"Nein")=""),"-",VLOOKUP(D1470,Parameter!$A$35:$C$64,2,0))))</f>
        <v/>
      </c>
      <c r="V1470" s="61" t="n"/>
      <c r="W1470" s="62" t="n"/>
      <c r="X1470" s="55">
        <f>AM1470</f>
        <v/>
      </c>
      <c r="Y1470" s="55">
        <f>MAX(AM1470,G1470)</f>
        <v/>
      </c>
      <c r="Z1470" s="63" t="n"/>
      <c r="AA1470" s="55">
        <f>IF(LEFT(Cockpit!$C$5,1)="A",G1470,IF(BT1470=1,BU1470,IF(LEFT(Cockpit!$C$5,1)="B",AE1470,MAX(AE1470,G1470))))</f>
        <v/>
      </c>
      <c r="AB1470" s="55">
        <f>IF(BO1470=1,0,ROUNDUP(AA1470/BN1470,0))</f>
        <v/>
      </c>
      <c r="AC1470" s="64">
        <f>IF(BO1470=1,IF(AA1470&lt;=0,0,BP1470*MAX(1,IF(G1470&gt;0,AA1470/G1470,1))),AB1470*Q1470)</f>
        <v/>
      </c>
      <c r="AD1470" s="55">
        <f>AA1470*F1470</f>
        <v/>
      </c>
      <c r="AE1470" s="55">
        <f>ROUNDUP(MAX(I1470/IF(BS1470&gt;0,BS1470,MAX(0.1,N(Cockpit!$C$6))),BV1470)/BN1470,0)*BN1470</f>
        <v/>
      </c>
      <c r="AF1470" s="56">
        <f>IF(AC1470&gt;0,I1470/AC1470,-1)</f>
        <v/>
      </c>
      <c r="AG1470" s="56">
        <f>IF(AND(OR(BR1470="L1",BR1470="L23"),AC1470&gt;0),SUMIFS($AC$7:$AC$1570,$BR$7:$BR$1570,BR1470,$AF$7:$AF$1570,"&gt;"&amp;AF1470)+SUMIFS($AC$7:$AC$1570,$BR$7:$BR$1570,BR1470,$AF$7:$AF$1570,AF1470,$BL$7:$BL$1570,"&lt;="&amp;BL1470),"")</f>
        <v/>
      </c>
      <c r="AH1470" s="65">
        <f>IF(AG1470="",0,MAX(0,MIN(1,(IF(BR1470="L1",Parameter!$K$5,Parameter!$K$6+Parameter!$K$7)-(AG1470-AC1470))/AC1470)))</f>
        <v/>
      </c>
      <c r="AI1470" s="55">
        <f>IF(LEFT(Cockpit!$I$5,1)="A",G1470,IF(BT1470=1,BU1470,IF(LEFT(Cockpit!$I$5,1)="B",AM1470,MAX(AM1470,G1470))))</f>
        <v/>
      </c>
      <c r="AJ1470" s="55">
        <f>IF(BO1470=1,0,ROUNDUP(AI1470/BN1470,0))</f>
        <v/>
      </c>
      <c r="AK1470" s="64">
        <f>IF(BO1470=1,IF(AI1470&lt;=0,0,BP1470*MAX(1,IF(G1470&gt;0,AI1470/G1470,1))),AJ1470*Q1470)</f>
        <v/>
      </c>
      <c r="AL1470" s="55">
        <f>AI1470*F1470</f>
        <v/>
      </c>
      <c r="AM1470" s="55">
        <f>ROUNDUP(MAX(I1470/IF(BS1470&gt;0,BS1470,MAX(0.1,N(Cockpit!$I$6))),BV1470)/BN1470,0)*BN1470</f>
        <v/>
      </c>
      <c r="AN1470" s="56">
        <f>IF(AK1470&gt;0,I1470/AK1470,-1)</f>
        <v/>
      </c>
      <c r="AO1470" s="56">
        <f>IF(AND(OR(BR1470="L1",BR1470="L23"),AK1470&gt;0),SUMIFS($AK$7:$AK$1570,$BR$7:$BR$1570,BR1470,$AN$7:$AN$1570,"&gt;"&amp;AN1470)+SUMIFS($AK$7:$AK$1570,$BR$7:$BR$1570,BR1470,$AN$7:$AN$1570,AN1470,$BL$7:$BL$1570,"&lt;="&amp;BL1470),"")</f>
        <v/>
      </c>
      <c r="AP1470" s="65">
        <f>IF(AO1470="",0,MAX(0,MIN(1,(IF(BR1470="L1",Parameter!$K$5,Parameter!$K$6+Parameter!$K$7)-(AO1470-AK1470))/AK1470)))</f>
        <v/>
      </c>
      <c r="AQ1470" s="55">
        <f>IF(LEFT(Cockpit!$O$5,1)="A",G1470,IF(BT1470=1,BU1470,IF(LEFT(Cockpit!$O$5,1)="B",AU1470,MAX(AU1470,G1470))))</f>
        <v/>
      </c>
      <c r="AR1470" s="55">
        <f>IF(BO1470=1,0,ROUNDUP(AQ1470/BN1470,0))</f>
        <v/>
      </c>
      <c r="AS1470" s="64">
        <f>IF(BO1470=1,IF(AQ1470&lt;=0,0,BP1470*MAX(1,IF(G1470&gt;0,AQ1470/G1470,1))),AR1470*Q1470)</f>
        <v/>
      </c>
      <c r="AT1470" s="55">
        <f>AQ1470*F1470</f>
        <v/>
      </c>
      <c r="AU1470" s="55">
        <f>ROUNDUP(MAX(I1470/IF(BS1470&gt;0,BS1470,MAX(0.1,N(Cockpit!$O$6))),BV1470)/BN1470,0)*BN1470</f>
        <v/>
      </c>
      <c r="AV1470" s="56">
        <f>IF(AS1470&gt;0,I1470/AS1470,-1)</f>
        <v/>
      </c>
      <c r="AW1470" s="56">
        <f>IF(AND(OR(BR1470="L1",BR1470="L23"),AS1470&gt;0),SUMIFS($AS$7:$AS$1570,$BR$7:$BR$1570,BR1470,$AV$7:$AV$1570,"&gt;"&amp;AV1470)+SUMIFS($AS$7:$AS$1570,$BR$7:$BR$1570,BR1470,$AV$7:$AV$1570,AV1470,$BL$7:$BL$1570,"&lt;="&amp;BL1470),"")</f>
        <v/>
      </c>
      <c r="AX1470" s="65">
        <f>IF(AW1470="",0,MAX(0,MIN(1,(IF(BR1470="L1",Parameter!$K$5,Parameter!$K$6+Parameter!$K$7)-(AW1470-AS1470))/AS1470)))</f>
        <v/>
      </c>
      <c r="AY1470" s="53">
        <f>IF(AC1470&lt;=0,"",IF(BR1470="Aussen","Aussenlager",IF(BR1470="-","Nicht im Lift",IF(AH1470&gt;=1,"Lift",IF(AH1470&lt;=0,"Aussenlager","teilweise")))))</f>
        <v/>
      </c>
      <c r="AZ1470" s="53">
        <f>IF(AK1470&lt;=0,"",IF(BR1470="Aussen","Aussenlager",IF(BR1470="-","Nicht im Lift",IF(AP1470&gt;=1,"Lift",IF(AP1470&lt;=0,"Aussenlager","teilweise")))))</f>
        <v/>
      </c>
      <c r="BA1470" s="53">
        <f>IF(AS1470&lt;=0,"",IF(BR1470="Aussen","Aussenlager",IF(BR1470="-","Nicht im Lift",IF(AX1470&gt;=1,"Lift",IF(AX1470&lt;=0,"Aussenlager","teilweise")))))</f>
        <v/>
      </c>
      <c r="BB1470" s="53">
        <f>IF(A1470="","",IF(BK1470=1,"Neu; ","")&amp;IF(AND(BK1470=0,BF1470&lt;0),"negativer Bestand (Export "&amp;BF1470&amp;"); ","")&amp;IF(I1470&lt;=0,"Kein Verbrauch; ","")&amp;IF(BO1470=1,"Lose – Fläche geschätzt; ","")&amp;IF(G1470&gt;AM1470,"Überbestand "&amp;ROUND(G1470-AM1470,0)&amp;" Stk / CHF "&amp;ROUND((G1470-AM1470)*F1470,0)&amp;"; ","")&amp;IF(AND(BT1470=1,BU1470&lt;BV1470),"MAX &lt; MB+LG; ","")&amp;IF(AND(BZ1470&gt;0,BY1470*10&gt;BZ1470),"zu hoch für Tablar; ","")&amp;IF(AND(BK1470=0,OR(BT1470=1,V1470&lt;&gt;"",S1470&lt;&gt;"",T1470&lt;&gt;"",W1470&lt;&gt;"")),"manuell übersteuert; ","")&amp;IF(AND(BO1470=0,Q1470=0),"Gebinde unbekannt; ","")&amp;IF(AND(BO1470=0,N(T1470)&lt;=0,N(P1470)&lt;=0),"Menge pro Gebinde fehlt (Ist = 1 Gebinde); ","")&amp;BJ1470)</f>
        <v/>
      </c>
      <c r="BC1470" s="53" t="n"/>
      <c r="BD1470" s="53" t="n"/>
      <c r="BE1470" s="61" t="n"/>
      <c r="BF1470" s="55" t="n">
        <v>-21</v>
      </c>
      <c r="BG1470" s="55" t="n">
        <v>0</v>
      </c>
      <c r="BH1470" s="54" t="n">
        <v>-95302.93999999999</v>
      </c>
      <c r="BI1470" s="55" t="n">
        <v>49</v>
      </c>
      <c r="BJ1470" s="53" t="inlineStr"/>
      <c r="BK1470" s="58" t="n">
        <v>0</v>
      </c>
      <c r="BL1470" s="58" t="n">
        <v>1470</v>
      </c>
      <c r="BM1470" s="53">
        <f>IF(S1470&lt;&gt;"",UPPER(TRIM(S1470)),IF(O1470="","LOSE",O1470))</f>
        <v/>
      </c>
      <c r="BN1470" s="55">
        <f>IF(BM1470="LOSE",1,IF(N(T1470)&gt;0,T1470,IF(N(P1470)&gt;0,P1470,MAX(1,G1470))))</f>
        <v/>
      </c>
      <c r="BO1470" s="58">
        <f>IF(BM1470="LOSE",1,0)</f>
        <v/>
      </c>
      <c r="BP1470" s="64">
        <f>IF(BO1470=0,0,IF(N(R1470)&gt;0,R1470,IFERROR(VLOOKUP(D1470,Parameter!$A$35:$C$64,3,0)+0,0)))</f>
        <v/>
      </c>
      <c r="BQ1470" s="53">
        <f>IF(V1470&lt;&gt;"",V1470,U1470)</f>
        <v/>
      </c>
      <c r="BR1470" s="53">
        <f>IF(BQ1470=1,"L1",IF(OR(BQ1470=2,BQ1470=3),"L23",IF(BQ1470="Aussen","Aussen","-")))</f>
        <v/>
      </c>
      <c r="BS1470" s="66">
        <f>IF(N(W1470)&gt;0,W1470,0)</f>
        <v/>
      </c>
      <c r="BT1470" s="58">
        <f>IF(ISNUMBER(Z1470),1,0)</f>
        <v/>
      </c>
      <c r="BU1470" s="55">
        <f>N(Z1470)</f>
        <v/>
      </c>
      <c r="BV1470" s="55">
        <f>N(L1470)+N(M1470)</f>
        <v/>
      </c>
      <c r="BW1470" s="55">
        <f>ROUNDUP(G1470/BN1470,0)</f>
        <v/>
      </c>
      <c r="BX1470" s="55">
        <f>ROUNDUP(BU1470/BN1470,0)</f>
        <v/>
      </c>
      <c r="BY1470" s="58">
        <f>IF(BO1470=1,0,IFERROR(VLOOKUP(BM1470,'Gebinde-Kategorie'!$A$5:$G$45,5,0)+0,0))</f>
        <v/>
      </c>
      <c r="BZ1470" s="58">
        <f>IFERROR(IF(OR(BQ1470=1,BQ1470=2,BQ1470=3),N(INDEX(Parameter!$I$5:$I$7,BQ1470)),0),0)</f>
        <v/>
      </c>
    </row>
    <row r="1471">
      <c r="A1471" s="53">
        <f>IF('Neue Artikel'!$A$5="","",'Neue Artikel'!$A$5&amp;"")</f>
        <v/>
      </c>
      <c r="B1471" s="53">
        <f>'Neue Artikel'!$B$5&amp;""</f>
        <v/>
      </c>
      <c r="C1471" s="53" t="inlineStr"/>
      <c r="D1471" s="53" t="inlineStr">
        <is>
          <t>NEU</t>
        </is>
      </c>
      <c r="E1471" s="53" t="inlineStr"/>
      <c r="F1471" s="54">
        <f>N('Neue Artikel'!$G$5)</f>
        <v/>
      </c>
      <c r="G1471" s="55">
        <f>MAX(0,IF(Parameter!$B$20="Jahresanfang 2025 + Export",BG1471+BF1471,BF1471))</f>
        <v/>
      </c>
      <c r="H1471" s="55">
        <f>G1471*F1471</f>
        <v/>
      </c>
      <c r="I1471" s="55">
        <f>BI1471*Parameter!$B$18</f>
        <v/>
      </c>
      <c r="J1471" s="56" t="n"/>
      <c r="K1471" s="57" t="n"/>
      <c r="L1471" s="55">
        <f>N('Neue Artikel'!$E$5)</f>
        <v/>
      </c>
      <c r="M1471" s="55">
        <f>N('Neue Artikel'!$F$5)</f>
        <v/>
      </c>
      <c r="N1471" s="58" t="n"/>
      <c r="O1471" s="53">
        <f>IF('Neue Artikel'!$H$5="","LOSE",UPPER(TRIM('Neue Artikel'!$H$5)))</f>
        <v/>
      </c>
      <c r="P1471" s="55">
        <f>N('Neue Artikel'!$I$5)</f>
        <v/>
      </c>
      <c r="Q1471" s="59">
        <f>IF(BO1471=1,0,IFERROR(VLOOKUP(BM1471,'Gebinde-Kategorie'!$A$5:$G$45,6,0)+0,0))</f>
        <v/>
      </c>
      <c r="R1471" s="60" t="n"/>
      <c r="S1471" s="61" t="n"/>
      <c r="T1471" s="61" t="n"/>
      <c r="U1471" s="53">
        <f>IF(A1471="","",IF(IFERROR(VLOOKUP(D1471,Parameter!$A$35:$C$64,2,0),"Nein")="2+3",IF(ISNUMBER(SEARCH("grosser Artikel",BJ1471)),2,IFERROR(VLOOKUP(BM1471,Parameter!$F$35:$G$64,2,0),2)),IF(OR(IFERROR(VLOOKUP(D1471,Parameter!$A$35:$C$64,2,0),"Nein")="Nein",IFERROR(VLOOKUP(D1471,Parameter!$A$35:$C$64,2,0),"Nein")=""),"-",VLOOKUP(D1471,Parameter!$A$35:$C$64,2,0))))</f>
        <v/>
      </c>
      <c r="V1471" s="53">
        <f>IF('Neue Artikel'!$J$5="","",'Neue Artikel'!$J$5)</f>
        <v/>
      </c>
      <c r="W1471" s="62" t="n"/>
      <c r="X1471" s="55">
        <f>AM1471</f>
        <v/>
      </c>
      <c r="Y1471" s="55">
        <f>MAX(AM1471,G1471)</f>
        <v/>
      </c>
      <c r="Z1471" s="63" t="n"/>
      <c r="AA1471" s="55">
        <f>IF(LEFT(Cockpit!$C$5,1)="A",G1471,IF(BT1471=1,BU1471,IF(LEFT(Cockpit!$C$5,1)="B",AE1471,MAX(AE1471,G1471))))</f>
        <v/>
      </c>
      <c r="AB1471" s="55">
        <f>IF(BO1471=1,0,ROUNDUP(AA1471/BN1471,0))</f>
        <v/>
      </c>
      <c r="AC1471" s="64">
        <f>IF(BO1471=1,IF(AA1471&lt;=0,0,BP1471*MAX(1,IF(G1471&gt;0,AA1471/G1471,1))),AB1471*Q1471)</f>
        <v/>
      </c>
      <c r="AD1471" s="55">
        <f>AA1471*F1471</f>
        <v/>
      </c>
      <c r="AE1471" s="55">
        <f>ROUNDUP(MAX(I1471/IF(BS1471&gt;0,BS1471,MAX(0.1,N(Cockpit!$C$6))),BV1471)/BN1471,0)*BN1471</f>
        <v/>
      </c>
      <c r="AF1471" s="56">
        <f>IF(AC1471&gt;0,I1471/AC1471,-1)</f>
        <v/>
      </c>
      <c r="AG1471" s="56">
        <f>IF(AND(OR(BR1471="L1",BR1471="L23"),AC1471&gt;0),SUMIFS($AC$7:$AC$1570,$BR$7:$BR$1570,BR1471,$AF$7:$AF$1570,"&gt;"&amp;AF1471)+SUMIFS($AC$7:$AC$1570,$BR$7:$BR$1570,BR1471,$AF$7:$AF$1570,AF1471,$BL$7:$BL$1570,"&lt;="&amp;BL1471),"")</f>
        <v/>
      </c>
      <c r="AH1471" s="65">
        <f>IF(AG1471="",0,MAX(0,MIN(1,(IF(BR1471="L1",Parameter!$K$5,Parameter!$K$6+Parameter!$K$7)-(AG1471-AC1471))/AC1471)))</f>
        <v/>
      </c>
      <c r="AI1471" s="55">
        <f>IF(LEFT(Cockpit!$I$5,1)="A",G1471,IF(BT1471=1,BU1471,IF(LEFT(Cockpit!$I$5,1)="B",AM1471,MAX(AM1471,G1471))))</f>
        <v/>
      </c>
      <c r="AJ1471" s="55">
        <f>IF(BO1471=1,0,ROUNDUP(AI1471/BN1471,0))</f>
        <v/>
      </c>
      <c r="AK1471" s="64">
        <f>IF(BO1471=1,IF(AI1471&lt;=0,0,BP1471*MAX(1,IF(G1471&gt;0,AI1471/G1471,1))),AJ1471*Q1471)</f>
        <v/>
      </c>
      <c r="AL1471" s="55">
        <f>AI1471*F1471</f>
        <v/>
      </c>
      <c r="AM1471" s="55">
        <f>ROUNDUP(MAX(I1471/IF(BS1471&gt;0,BS1471,MAX(0.1,N(Cockpit!$I$6))),BV1471)/BN1471,0)*BN1471</f>
        <v/>
      </c>
      <c r="AN1471" s="56">
        <f>IF(AK1471&gt;0,I1471/AK1471,-1)</f>
        <v/>
      </c>
      <c r="AO1471" s="56">
        <f>IF(AND(OR(BR1471="L1",BR1471="L23"),AK1471&gt;0),SUMIFS($AK$7:$AK$1570,$BR$7:$BR$1570,BR1471,$AN$7:$AN$1570,"&gt;"&amp;AN1471)+SUMIFS($AK$7:$AK$1570,$BR$7:$BR$1570,BR1471,$AN$7:$AN$1570,AN1471,$BL$7:$BL$1570,"&lt;="&amp;BL1471),"")</f>
        <v/>
      </c>
      <c r="AP1471" s="65">
        <f>IF(AO1471="",0,MAX(0,MIN(1,(IF(BR1471="L1",Parameter!$K$5,Parameter!$K$6+Parameter!$K$7)-(AO1471-AK1471))/AK1471)))</f>
        <v/>
      </c>
      <c r="AQ1471" s="55">
        <f>IF(LEFT(Cockpit!$O$5,1)="A",G1471,IF(BT1471=1,BU1471,IF(LEFT(Cockpit!$O$5,1)="B",AU1471,MAX(AU1471,G1471))))</f>
        <v/>
      </c>
      <c r="AR1471" s="55">
        <f>IF(BO1471=1,0,ROUNDUP(AQ1471/BN1471,0))</f>
        <v/>
      </c>
      <c r="AS1471" s="64">
        <f>IF(BO1471=1,IF(AQ1471&lt;=0,0,BP1471*MAX(1,IF(G1471&gt;0,AQ1471/G1471,1))),AR1471*Q1471)</f>
        <v/>
      </c>
      <c r="AT1471" s="55">
        <f>AQ1471*F1471</f>
        <v/>
      </c>
      <c r="AU1471" s="55">
        <f>ROUNDUP(MAX(I1471/IF(BS1471&gt;0,BS1471,MAX(0.1,N(Cockpit!$O$6))),BV1471)/BN1471,0)*BN1471</f>
        <v/>
      </c>
      <c r="AV1471" s="56">
        <f>IF(AS1471&gt;0,I1471/AS1471,-1)</f>
        <v/>
      </c>
      <c r="AW1471" s="56">
        <f>IF(AND(OR(BR1471="L1",BR1471="L23"),AS1471&gt;0),SUMIFS($AS$7:$AS$1570,$BR$7:$BR$1570,BR1471,$AV$7:$AV$1570,"&gt;"&amp;AV1471)+SUMIFS($AS$7:$AS$1570,$BR$7:$BR$1570,BR1471,$AV$7:$AV$1570,AV1471,$BL$7:$BL$1570,"&lt;="&amp;BL1471),"")</f>
        <v/>
      </c>
      <c r="AX1471" s="65">
        <f>IF(AW1471="",0,MAX(0,MIN(1,(IF(BR1471="L1",Parameter!$K$5,Parameter!$K$6+Parameter!$K$7)-(AW1471-AS1471))/AS1471)))</f>
        <v/>
      </c>
      <c r="AY1471" s="53">
        <f>IF(AC1471&lt;=0,"",IF(BR1471="Aussen","Aussenlager",IF(BR1471="-","Nicht im Lift",IF(AH1471&gt;=1,"Lift",IF(AH1471&lt;=0,"Aussenlager","teilweise")))))</f>
        <v/>
      </c>
      <c r="AZ1471" s="53">
        <f>IF(AK1471&lt;=0,"",IF(BR1471="Aussen","Aussenlager",IF(BR1471="-","Nicht im Lift",IF(AP1471&gt;=1,"Lift",IF(AP1471&lt;=0,"Aussenlager","teilweise")))))</f>
        <v/>
      </c>
      <c r="BA1471" s="53">
        <f>IF(AS1471&lt;=0,"",IF(BR1471="Aussen","Aussenlager",IF(BR1471="-","Nicht im Lift",IF(AX1471&gt;=1,"Lift",IF(AX1471&lt;=0,"Aussenlager","teilweise")))))</f>
        <v/>
      </c>
      <c r="BB1471" s="53">
        <f>IF(A1471="","",IF(BK1471=1,"Neu; ","")&amp;IF(AND(BK1471=0,BF1471&lt;0),"negativer Bestand (Export "&amp;BF1471&amp;"); ","")&amp;IF(I1471&lt;=0,"Kein Verbrauch; ","")&amp;IF(BO1471=1,"Lose – Fläche geschätzt; ","")&amp;IF(G1471&gt;AM1471,"Überbestand "&amp;ROUND(G1471-AM1471,0)&amp;" Stk / CHF "&amp;ROUND((G1471-AM1471)*F1471,0)&amp;"; ","")&amp;IF(AND(BT1471=1,BU1471&lt;BV1471),"MAX &lt; MB+LG; ","")&amp;IF(AND(BZ1471&gt;0,BY1471*10&gt;BZ1471),"zu hoch für Tablar; ","")&amp;IF(AND(BK1471=0,OR(BT1471=1,V1471&lt;&gt;"",S1471&lt;&gt;"",T1471&lt;&gt;"",W1471&lt;&gt;"")),"manuell übersteuert; ","")&amp;IF(AND(BO1471=0,Q1471=0),"Gebinde unbekannt; ","")&amp;IF(AND(BO1471=0,N(T1471)&lt;=0,N(P1471)&lt;=0),"Menge pro Gebinde fehlt (Ist = 1 Gebinde); ","")&amp;BJ1471)</f>
        <v/>
      </c>
      <c r="BC1471" s="53" t="n"/>
      <c r="BD1471" s="53" t="n"/>
      <c r="BE1471" s="61" t="n"/>
      <c r="BF1471" s="55">
        <f>N('Neue Artikel'!$D$5)</f>
        <v/>
      </c>
      <c r="BG1471" s="55" t="n">
        <v>0</v>
      </c>
      <c r="BH1471" s="54" t="n">
        <v>0</v>
      </c>
      <c r="BI1471" s="55">
        <f>N('Neue Artikel'!$C$5)/Parameter!$B$18</f>
        <v/>
      </c>
      <c r="BJ1471" s="53" t="inlineStr"/>
      <c r="BK1471" s="58" t="n">
        <v>1</v>
      </c>
      <c r="BL1471" s="58" t="n">
        <v>1471</v>
      </c>
      <c r="BM1471" s="53">
        <f>IF(S1471&lt;&gt;"",UPPER(TRIM(S1471)),IF(O1471="","LOSE",O1471))</f>
        <v/>
      </c>
      <c r="BN1471" s="55">
        <f>IF(BM1471="LOSE",1,IF(N(T1471)&gt;0,T1471,IF(N(P1471)&gt;0,P1471,MAX(1,G1471))))</f>
        <v/>
      </c>
      <c r="BO1471" s="58">
        <f>IF(BM1471="LOSE",1,0)</f>
        <v/>
      </c>
      <c r="BP1471" s="64">
        <f>IF(BO1471=0,0,IF(N(R1471)&gt;0,R1471,IFERROR(VLOOKUP(D1471,Parameter!$A$35:$C$64,3,0)+0,0)))</f>
        <v/>
      </c>
      <c r="BQ1471" s="53">
        <f>IF(V1471&lt;&gt;"",V1471,U1471)</f>
        <v/>
      </c>
      <c r="BR1471" s="53">
        <f>IF(BQ1471=1,"L1",IF(OR(BQ1471=2,BQ1471=3),"L23",IF(BQ1471="Aussen","Aussen","-")))</f>
        <v/>
      </c>
      <c r="BS1471" s="66">
        <f>IF(N(W1471)&gt;0,W1471,0)</f>
        <v/>
      </c>
      <c r="BT1471" s="58">
        <f>IF(ISNUMBER(Z1471),1,0)</f>
        <v/>
      </c>
      <c r="BU1471" s="55">
        <f>N(Z1471)</f>
        <v/>
      </c>
      <c r="BV1471" s="55">
        <f>N(L1471)+N(M1471)</f>
        <v/>
      </c>
      <c r="BW1471" s="55">
        <f>ROUNDUP(G1471/BN1471,0)</f>
        <v/>
      </c>
      <c r="BX1471" s="55">
        <f>ROUNDUP(BU1471/BN1471,0)</f>
        <v/>
      </c>
      <c r="BY1471" s="58">
        <f>IF(BO1471=1,0,IFERROR(VLOOKUP(BM1471,'Gebinde-Kategorie'!$A$5:$G$45,5,0)+0,0))</f>
        <v/>
      </c>
      <c r="BZ1471" s="58">
        <f>IFERROR(IF(OR(BQ1471=1,BQ1471=2,BQ1471=3),N(INDEX(Parameter!$I$5:$I$7,BQ1471)),0),0)</f>
        <v/>
      </c>
    </row>
    <row r="1472">
      <c r="A1472" s="53">
        <f>IF('Neue Artikel'!$A$6="","",'Neue Artikel'!$A$6&amp;"")</f>
        <v/>
      </c>
      <c r="B1472" s="53">
        <f>'Neue Artikel'!$B$6&amp;""</f>
        <v/>
      </c>
      <c r="C1472" s="53" t="inlineStr"/>
      <c r="D1472" s="53" t="inlineStr">
        <is>
          <t>NEU</t>
        </is>
      </c>
      <c r="E1472" s="53" t="inlineStr"/>
      <c r="F1472" s="54">
        <f>N('Neue Artikel'!$G$6)</f>
        <v/>
      </c>
      <c r="G1472" s="55">
        <f>MAX(0,IF(Parameter!$B$20="Jahresanfang 2025 + Export",BG1472+BF1472,BF1472))</f>
        <v/>
      </c>
      <c r="H1472" s="55">
        <f>G1472*F1472</f>
        <v/>
      </c>
      <c r="I1472" s="55">
        <f>BI1472*Parameter!$B$18</f>
        <v/>
      </c>
      <c r="J1472" s="56" t="n"/>
      <c r="K1472" s="57" t="n"/>
      <c r="L1472" s="55">
        <f>N('Neue Artikel'!$E$6)</f>
        <v/>
      </c>
      <c r="M1472" s="55">
        <f>N('Neue Artikel'!$F$6)</f>
        <v/>
      </c>
      <c r="N1472" s="58" t="n"/>
      <c r="O1472" s="53">
        <f>IF('Neue Artikel'!$H$6="","LOSE",UPPER(TRIM('Neue Artikel'!$H$6)))</f>
        <v/>
      </c>
      <c r="P1472" s="55">
        <f>N('Neue Artikel'!$I$6)</f>
        <v/>
      </c>
      <c r="Q1472" s="59">
        <f>IF(BO1472=1,0,IFERROR(VLOOKUP(BM1472,'Gebinde-Kategorie'!$A$5:$G$45,6,0)+0,0))</f>
        <v/>
      </c>
      <c r="R1472" s="60" t="n"/>
      <c r="S1472" s="61" t="n"/>
      <c r="T1472" s="61" t="n"/>
      <c r="U1472" s="53">
        <f>IF(A1472="","",IF(IFERROR(VLOOKUP(D1472,Parameter!$A$35:$C$64,2,0),"Nein")="2+3",IF(ISNUMBER(SEARCH("grosser Artikel",BJ1472)),2,IFERROR(VLOOKUP(BM1472,Parameter!$F$35:$G$64,2,0),2)),IF(OR(IFERROR(VLOOKUP(D1472,Parameter!$A$35:$C$64,2,0),"Nein")="Nein",IFERROR(VLOOKUP(D1472,Parameter!$A$35:$C$64,2,0),"Nein")=""),"-",VLOOKUP(D1472,Parameter!$A$35:$C$64,2,0))))</f>
        <v/>
      </c>
      <c r="V1472" s="53">
        <f>IF('Neue Artikel'!$J$6="","",'Neue Artikel'!$J$6)</f>
        <v/>
      </c>
      <c r="W1472" s="62" t="n"/>
      <c r="X1472" s="55">
        <f>AM1472</f>
        <v/>
      </c>
      <c r="Y1472" s="55">
        <f>MAX(AM1472,G1472)</f>
        <v/>
      </c>
      <c r="Z1472" s="63" t="n"/>
      <c r="AA1472" s="55">
        <f>IF(LEFT(Cockpit!$C$5,1)="A",G1472,IF(BT1472=1,BU1472,IF(LEFT(Cockpit!$C$5,1)="B",AE1472,MAX(AE1472,G1472))))</f>
        <v/>
      </c>
      <c r="AB1472" s="55">
        <f>IF(BO1472=1,0,ROUNDUP(AA1472/BN1472,0))</f>
        <v/>
      </c>
      <c r="AC1472" s="64">
        <f>IF(BO1472=1,IF(AA1472&lt;=0,0,BP1472*MAX(1,IF(G1472&gt;0,AA1472/G1472,1))),AB1472*Q1472)</f>
        <v/>
      </c>
      <c r="AD1472" s="55">
        <f>AA1472*F1472</f>
        <v/>
      </c>
      <c r="AE1472" s="55">
        <f>ROUNDUP(MAX(I1472/IF(BS1472&gt;0,BS1472,MAX(0.1,N(Cockpit!$C$6))),BV1472)/BN1472,0)*BN1472</f>
        <v/>
      </c>
      <c r="AF1472" s="56">
        <f>IF(AC1472&gt;0,I1472/AC1472,-1)</f>
        <v/>
      </c>
      <c r="AG1472" s="56">
        <f>IF(AND(OR(BR1472="L1",BR1472="L23"),AC1472&gt;0),SUMIFS($AC$7:$AC$1570,$BR$7:$BR$1570,BR1472,$AF$7:$AF$1570,"&gt;"&amp;AF1472)+SUMIFS($AC$7:$AC$1570,$BR$7:$BR$1570,BR1472,$AF$7:$AF$1570,AF1472,$BL$7:$BL$1570,"&lt;="&amp;BL1472),"")</f>
        <v/>
      </c>
      <c r="AH1472" s="65">
        <f>IF(AG1472="",0,MAX(0,MIN(1,(IF(BR1472="L1",Parameter!$K$5,Parameter!$K$6+Parameter!$K$7)-(AG1472-AC1472))/AC1472)))</f>
        <v/>
      </c>
      <c r="AI1472" s="55">
        <f>IF(LEFT(Cockpit!$I$5,1)="A",G1472,IF(BT1472=1,BU1472,IF(LEFT(Cockpit!$I$5,1)="B",AM1472,MAX(AM1472,G1472))))</f>
        <v/>
      </c>
      <c r="AJ1472" s="55">
        <f>IF(BO1472=1,0,ROUNDUP(AI1472/BN1472,0))</f>
        <v/>
      </c>
      <c r="AK1472" s="64">
        <f>IF(BO1472=1,IF(AI1472&lt;=0,0,BP1472*MAX(1,IF(G1472&gt;0,AI1472/G1472,1))),AJ1472*Q1472)</f>
        <v/>
      </c>
      <c r="AL1472" s="55">
        <f>AI1472*F1472</f>
        <v/>
      </c>
      <c r="AM1472" s="55">
        <f>ROUNDUP(MAX(I1472/IF(BS1472&gt;0,BS1472,MAX(0.1,N(Cockpit!$I$6))),BV1472)/BN1472,0)*BN1472</f>
        <v/>
      </c>
      <c r="AN1472" s="56">
        <f>IF(AK1472&gt;0,I1472/AK1472,-1)</f>
        <v/>
      </c>
      <c r="AO1472" s="56">
        <f>IF(AND(OR(BR1472="L1",BR1472="L23"),AK1472&gt;0),SUMIFS($AK$7:$AK$1570,$BR$7:$BR$1570,BR1472,$AN$7:$AN$1570,"&gt;"&amp;AN1472)+SUMIFS($AK$7:$AK$1570,$BR$7:$BR$1570,BR1472,$AN$7:$AN$1570,AN1472,$BL$7:$BL$1570,"&lt;="&amp;BL1472),"")</f>
        <v/>
      </c>
      <c r="AP1472" s="65">
        <f>IF(AO1472="",0,MAX(0,MIN(1,(IF(BR1472="L1",Parameter!$K$5,Parameter!$K$6+Parameter!$K$7)-(AO1472-AK1472))/AK1472)))</f>
        <v/>
      </c>
      <c r="AQ1472" s="55">
        <f>IF(LEFT(Cockpit!$O$5,1)="A",G1472,IF(BT1472=1,BU1472,IF(LEFT(Cockpit!$O$5,1)="B",AU1472,MAX(AU1472,G1472))))</f>
        <v/>
      </c>
      <c r="AR1472" s="55">
        <f>IF(BO1472=1,0,ROUNDUP(AQ1472/BN1472,0))</f>
        <v/>
      </c>
      <c r="AS1472" s="64">
        <f>IF(BO1472=1,IF(AQ1472&lt;=0,0,BP1472*MAX(1,IF(G1472&gt;0,AQ1472/G1472,1))),AR1472*Q1472)</f>
        <v/>
      </c>
      <c r="AT1472" s="55">
        <f>AQ1472*F1472</f>
        <v/>
      </c>
      <c r="AU1472" s="55">
        <f>ROUNDUP(MAX(I1472/IF(BS1472&gt;0,BS1472,MAX(0.1,N(Cockpit!$O$6))),BV1472)/BN1472,0)*BN1472</f>
        <v/>
      </c>
      <c r="AV1472" s="56">
        <f>IF(AS1472&gt;0,I1472/AS1472,-1)</f>
        <v/>
      </c>
      <c r="AW1472" s="56">
        <f>IF(AND(OR(BR1472="L1",BR1472="L23"),AS1472&gt;0),SUMIFS($AS$7:$AS$1570,$BR$7:$BR$1570,BR1472,$AV$7:$AV$1570,"&gt;"&amp;AV1472)+SUMIFS($AS$7:$AS$1570,$BR$7:$BR$1570,BR1472,$AV$7:$AV$1570,AV1472,$BL$7:$BL$1570,"&lt;="&amp;BL1472),"")</f>
        <v/>
      </c>
      <c r="AX1472" s="65">
        <f>IF(AW1472="",0,MAX(0,MIN(1,(IF(BR1472="L1",Parameter!$K$5,Parameter!$K$6+Parameter!$K$7)-(AW1472-AS1472))/AS1472)))</f>
        <v/>
      </c>
      <c r="AY1472" s="53">
        <f>IF(AC1472&lt;=0,"",IF(BR1472="Aussen","Aussenlager",IF(BR1472="-","Nicht im Lift",IF(AH1472&gt;=1,"Lift",IF(AH1472&lt;=0,"Aussenlager","teilweise")))))</f>
        <v/>
      </c>
      <c r="AZ1472" s="53">
        <f>IF(AK1472&lt;=0,"",IF(BR1472="Aussen","Aussenlager",IF(BR1472="-","Nicht im Lift",IF(AP1472&gt;=1,"Lift",IF(AP1472&lt;=0,"Aussenlager","teilweise")))))</f>
        <v/>
      </c>
      <c r="BA1472" s="53">
        <f>IF(AS1472&lt;=0,"",IF(BR1472="Aussen","Aussenlager",IF(BR1472="-","Nicht im Lift",IF(AX1472&gt;=1,"Lift",IF(AX1472&lt;=0,"Aussenlager","teilweise")))))</f>
        <v/>
      </c>
      <c r="BB1472" s="53">
        <f>IF(A1472="","",IF(BK1472=1,"Neu; ","")&amp;IF(AND(BK1472=0,BF1472&lt;0),"negativer Bestand (Export "&amp;BF1472&amp;"); ","")&amp;IF(I1472&lt;=0,"Kein Verbrauch; ","")&amp;IF(BO1472=1,"Lose – Fläche geschätzt; ","")&amp;IF(G1472&gt;AM1472,"Überbestand "&amp;ROUND(G1472-AM1472,0)&amp;" Stk / CHF "&amp;ROUND((G1472-AM1472)*F1472,0)&amp;"; ","")&amp;IF(AND(BT1472=1,BU1472&lt;BV1472),"MAX &lt; MB+LG; ","")&amp;IF(AND(BZ1472&gt;0,BY1472*10&gt;BZ1472),"zu hoch für Tablar; ","")&amp;IF(AND(BK1472=0,OR(BT1472=1,V1472&lt;&gt;"",S1472&lt;&gt;"",T1472&lt;&gt;"",W1472&lt;&gt;"")),"manuell übersteuert; ","")&amp;IF(AND(BO1472=0,Q1472=0),"Gebinde unbekannt; ","")&amp;IF(AND(BO1472=0,N(T1472)&lt;=0,N(P1472)&lt;=0),"Menge pro Gebinde fehlt (Ist = 1 Gebinde); ","")&amp;BJ1472)</f>
        <v/>
      </c>
      <c r="BC1472" s="53" t="n"/>
      <c r="BD1472" s="53" t="n"/>
      <c r="BE1472" s="61" t="n"/>
      <c r="BF1472" s="55">
        <f>N('Neue Artikel'!$D$6)</f>
        <v/>
      </c>
      <c r="BG1472" s="55" t="n">
        <v>0</v>
      </c>
      <c r="BH1472" s="54" t="n">
        <v>0</v>
      </c>
      <c r="BI1472" s="55">
        <f>N('Neue Artikel'!$C$6)/Parameter!$B$18</f>
        <v/>
      </c>
      <c r="BJ1472" s="53" t="inlineStr"/>
      <c r="BK1472" s="58" t="n">
        <v>1</v>
      </c>
      <c r="BL1472" s="58" t="n">
        <v>1472</v>
      </c>
      <c r="BM1472" s="53">
        <f>IF(S1472&lt;&gt;"",UPPER(TRIM(S1472)),IF(O1472="","LOSE",O1472))</f>
        <v/>
      </c>
      <c r="BN1472" s="55">
        <f>IF(BM1472="LOSE",1,IF(N(T1472)&gt;0,T1472,IF(N(P1472)&gt;0,P1472,MAX(1,G1472))))</f>
        <v/>
      </c>
      <c r="BO1472" s="58">
        <f>IF(BM1472="LOSE",1,0)</f>
        <v/>
      </c>
      <c r="BP1472" s="64">
        <f>IF(BO1472=0,0,IF(N(R1472)&gt;0,R1472,IFERROR(VLOOKUP(D1472,Parameter!$A$35:$C$64,3,0)+0,0)))</f>
        <v/>
      </c>
      <c r="BQ1472" s="53">
        <f>IF(V1472&lt;&gt;"",V1472,U1472)</f>
        <v/>
      </c>
      <c r="BR1472" s="53">
        <f>IF(BQ1472=1,"L1",IF(OR(BQ1472=2,BQ1472=3),"L23",IF(BQ1472="Aussen","Aussen","-")))</f>
        <v/>
      </c>
      <c r="BS1472" s="66">
        <f>IF(N(W1472)&gt;0,W1472,0)</f>
        <v/>
      </c>
      <c r="BT1472" s="58">
        <f>IF(ISNUMBER(Z1472),1,0)</f>
        <v/>
      </c>
      <c r="BU1472" s="55">
        <f>N(Z1472)</f>
        <v/>
      </c>
      <c r="BV1472" s="55">
        <f>N(L1472)+N(M1472)</f>
        <v/>
      </c>
      <c r="BW1472" s="55">
        <f>ROUNDUP(G1472/BN1472,0)</f>
        <v/>
      </c>
      <c r="BX1472" s="55">
        <f>ROUNDUP(BU1472/BN1472,0)</f>
        <v/>
      </c>
      <c r="BY1472" s="58">
        <f>IF(BO1472=1,0,IFERROR(VLOOKUP(BM1472,'Gebinde-Kategorie'!$A$5:$G$45,5,0)+0,0))</f>
        <v/>
      </c>
      <c r="BZ1472" s="58">
        <f>IFERROR(IF(OR(BQ1472=1,BQ1472=2,BQ1472=3),N(INDEX(Parameter!$I$5:$I$7,BQ1472)),0),0)</f>
        <v/>
      </c>
    </row>
    <row r="1473">
      <c r="A1473" s="53">
        <f>IF('Neue Artikel'!$A$7="","",'Neue Artikel'!$A$7&amp;"")</f>
        <v/>
      </c>
      <c r="B1473" s="53">
        <f>'Neue Artikel'!$B$7&amp;""</f>
        <v/>
      </c>
      <c r="C1473" s="53" t="inlineStr"/>
      <c r="D1473" s="53" t="inlineStr">
        <is>
          <t>NEU</t>
        </is>
      </c>
      <c r="E1473" s="53" t="inlineStr"/>
      <c r="F1473" s="54">
        <f>N('Neue Artikel'!$G$7)</f>
        <v/>
      </c>
      <c r="G1473" s="55">
        <f>MAX(0,IF(Parameter!$B$20="Jahresanfang 2025 + Export",BG1473+BF1473,BF1473))</f>
        <v/>
      </c>
      <c r="H1473" s="55">
        <f>G1473*F1473</f>
        <v/>
      </c>
      <c r="I1473" s="55">
        <f>BI1473*Parameter!$B$18</f>
        <v/>
      </c>
      <c r="J1473" s="56" t="n"/>
      <c r="K1473" s="57" t="n"/>
      <c r="L1473" s="55">
        <f>N('Neue Artikel'!$E$7)</f>
        <v/>
      </c>
      <c r="M1473" s="55">
        <f>N('Neue Artikel'!$F$7)</f>
        <v/>
      </c>
      <c r="N1473" s="58" t="n"/>
      <c r="O1473" s="53">
        <f>IF('Neue Artikel'!$H$7="","LOSE",UPPER(TRIM('Neue Artikel'!$H$7)))</f>
        <v/>
      </c>
      <c r="P1473" s="55">
        <f>N('Neue Artikel'!$I$7)</f>
        <v/>
      </c>
      <c r="Q1473" s="59">
        <f>IF(BO1473=1,0,IFERROR(VLOOKUP(BM1473,'Gebinde-Kategorie'!$A$5:$G$45,6,0)+0,0))</f>
        <v/>
      </c>
      <c r="R1473" s="60" t="n"/>
      <c r="S1473" s="61" t="n"/>
      <c r="T1473" s="61" t="n"/>
      <c r="U1473" s="53">
        <f>IF(A1473="","",IF(IFERROR(VLOOKUP(D1473,Parameter!$A$35:$C$64,2,0),"Nein")="2+3",IF(ISNUMBER(SEARCH("grosser Artikel",BJ1473)),2,IFERROR(VLOOKUP(BM1473,Parameter!$F$35:$G$64,2,0),2)),IF(OR(IFERROR(VLOOKUP(D1473,Parameter!$A$35:$C$64,2,0),"Nein")="Nein",IFERROR(VLOOKUP(D1473,Parameter!$A$35:$C$64,2,0),"Nein")=""),"-",VLOOKUP(D1473,Parameter!$A$35:$C$64,2,0))))</f>
        <v/>
      </c>
      <c r="V1473" s="53">
        <f>IF('Neue Artikel'!$J$7="","",'Neue Artikel'!$J$7)</f>
        <v/>
      </c>
      <c r="W1473" s="62" t="n"/>
      <c r="X1473" s="55">
        <f>AM1473</f>
        <v/>
      </c>
      <c r="Y1473" s="55">
        <f>MAX(AM1473,G1473)</f>
        <v/>
      </c>
      <c r="Z1473" s="63" t="n"/>
      <c r="AA1473" s="55">
        <f>IF(LEFT(Cockpit!$C$5,1)="A",G1473,IF(BT1473=1,BU1473,IF(LEFT(Cockpit!$C$5,1)="B",AE1473,MAX(AE1473,G1473))))</f>
        <v/>
      </c>
      <c r="AB1473" s="55">
        <f>IF(BO1473=1,0,ROUNDUP(AA1473/BN1473,0))</f>
        <v/>
      </c>
      <c r="AC1473" s="64">
        <f>IF(BO1473=1,IF(AA1473&lt;=0,0,BP1473*MAX(1,IF(G1473&gt;0,AA1473/G1473,1))),AB1473*Q1473)</f>
        <v/>
      </c>
      <c r="AD1473" s="55">
        <f>AA1473*F1473</f>
        <v/>
      </c>
      <c r="AE1473" s="55">
        <f>ROUNDUP(MAX(I1473/IF(BS1473&gt;0,BS1473,MAX(0.1,N(Cockpit!$C$6))),BV1473)/BN1473,0)*BN1473</f>
        <v/>
      </c>
      <c r="AF1473" s="56">
        <f>IF(AC1473&gt;0,I1473/AC1473,-1)</f>
        <v/>
      </c>
      <c r="AG1473" s="56">
        <f>IF(AND(OR(BR1473="L1",BR1473="L23"),AC1473&gt;0),SUMIFS($AC$7:$AC$1570,$BR$7:$BR$1570,BR1473,$AF$7:$AF$1570,"&gt;"&amp;AF1473)+SUMIFS($AC$7:$AC$1570,$BR$7:$BR$1570,BR1473,$AF$7:$AF$1570,AF1473,$BL$7:$BL$1570,"&lt;="&amp;BL1473),"")</f>
        <v/>
      </c>
      <c r="AH1473" s="65">
        <f>IF(AG1473="",0,MAX(0,MIN(1,(IF(BR1473="L1",Parameter!$K$5,Parameter!$K$6+Parameter!$K$7)-(AG1473-AC1473))/AC1473)))</f>
        <v/>
      </c>
      <c r="AI1473" s="55">
        <f>IF(LEFT(Cockpit!$I$5,1)="A",G1473,IF(BT1473=1,BU1473,IF(LEFT(Cockpit!$I$5,1)="B",AM1473,MAX(AM1473,G1473))))</f>
        <v/>
      </c>
      <c r="AJ1473" s="55">
        <f>IF(BO1473=1,0,ROUNDUP(AI1473/BN1473,0))</f>
        <v/>
      </c>
      <c r="AK1473" s="64">
        <f>IF(BO1473=1,IF(AI1473&lt;=0,0,BP1473*MAX(1,IF(G1473&gt;0,AI1473/G1473,1))),AJ1473*Q1473)</f>
        <v/>
      </c>
      <c r="AL1473" s="55">
        <f>AI1473*F1473</f>
        <v/>
      </c>
      <c r="AM1473" s="55">
        <f>ROUNDUP(MAX(I1473/IF(BS1473&gt;0,BS1473,MAX(0.1,N(Cockpit!$I$6))),BV1473)/BN1473,0)*BN1473</f>
        <v/>
      </c>
      <c r="AN1473" s="56">
        <f>IF(AK1473&gt;0,I1473/AK1473,-1)</f>
        <v/>
      </c>
      <c r="AO1473" s="56">
        <f>IF(AND(OR(BR1473="L1",BR1473="L23"),AK1473&gt;0),SUMIFS($AK$7:$AK$1570,$BR$7:$BR$1570,BR1473,$AN$7:$AN$1570,"&gt;"&amp;AN1473)+SUMIFS($AK$7:$AK$1570,$BR$7:$BR$1570,BR1473,$AN$7:$AN$1570,AN1473,$BL$7:$BL$1570,"&lt;="&amp;BL1473),"")</f>
        <v/>
      </c>
      <c r="AP1473" s="65">
        <f>IF(AO1473="",0,MAX(0,MIN(1,(IF(BR1473="L1",Parameter!$K$5,Parameter!$K$6+Parameter!$K$7)-(AO1473-AK1473))/AK1473)))</f>
        <v/>
      </c>
      <c r="AQ1473" s="55">
        <f>IF(LEFT(Cockpit!$O$5,1)="A",G1473,IF(BT1473=1,BU1473,IF(LEFT(Cockpit!$O$5,1)="B",AU1473,MAX(AU1473,G1473))))</f>
        <v/>
      </c>
      <c r="AR1473" s="55">
        <f>IF(BO1473=1,0,ROUNDUP(AQ1473/BN1473,0))</f>
        <v/>
      </c>
      <c r="AS1473" s="64">
        <f>IF(BO1473=1,IF(AQ1473&lt;=0,0,BP1473*MAX(1,IF(G1473&gt;0,AQ1473/G1473,1))),AR1473*Q1473)</f>
        <v/>
      </c>
      <c r="AT1473" s="55">
        <f>AQ1473*F1473</f>
        <v/>
      </c>
      <c r="AU1473" s="55">
        <f>ROUNDUP(MAX(I1473/IF(BS1473&gt;0,BS1473,MAX(0.1,N(Cockpit!$O$6))),BV1473)/BN1473,0)*BN1473</f>
        <v/>
      </c>
      <c r="AV1473" s="56">
        <f>IF(AS1473&gt;0,I1473/AS1473,-1)</f>
        <v/>
      </c>
      <c r="AW1473" s="56">
        <f>IF(AND(OR(BR1473="L1",BR1473="L23"),AS1473&gt;0),SUMIFS($AS$7:$AS$1570,$BR$7:$BR$1570,BR1473,$AV$7:$AV$1570,"&gt;"&amp;AV1473)+SUMIFS($AS$7:$AS$1570,$BR$7:$BR$1570,BR1473,$AV$7:$AV$1570,AV1473,$BL$7:$BL$1570,"&lt;="&amp;BL1473),"")</f>
        <v/>
      </c>
      <c r="AX1473" s="65">
        <f>IF(AW1473="",0,MAX(0,MIN(1,(IF(BR1473="L1",Parameter!$K$5,Parameter!$K$6+Parameter!$K$7)-(AW1473-AS1473))/AS1473)))</f>
        <v/>
      </c>
      <c r="AY1473" s="53">
        <f>IF(AC1473&lt;=0,"",IF(BR1473="Aussen","Aussenlager",IF(BR1473="-","Nicht im Lift",IF(AH1473&gt;=1,"Lift",IF(AH1473&lt;=0,"Aussenlager","teilweise")))))</f>
        <v/>
      </c>
      <c r="AZ1473" s="53">
        <f>IF(AK1473&lt;=0,"",IF(BR1473="Aussen","Aussenlager",IF(BR1473="-","Nicht im Lift",IF(AP1473&gt;=1,"Lift",IF(AP1473&lt;=0,"Aussenlager","teilweise")))))</f>
        <v/>
      </c>
      <c r="BA1473" s="53">
        <f>IF(AS1473&lt;=0,"",IF(BR1473="Aussen","Aussenlager",IF(BR1473="-","Nicht im Lift",IF(AX1473&gt;=1,"Lift",IF(AX1473&lt;=0,"Aussenlager","teilweise")))))</f>
        <v/>
      </c>
      <c r="BB1473" s="53">
        <f>IF(A1473="","",IF(BK1473=1,"Neu; ","")&amp;IF(AND(BK1473=0,BF1473&lt;0),"negativer Bestand (Export "&amp;BF1473&amp;"); ","")&amp;IF(I1473&lt;=0,"Kein Verbrauch; ","")&amp;IF(BO1473=1,"Lose – Fläche geschätzt; ","")&amp;IF(G1473&gt;AM1473,"Überbestand "&amp;ROUND(G1473-AM1473,0)&amp;" Stk / CHF "&amp;ROUND((G1473-AM1473)*F1473,0)&amp;"; ","")&amp;IF(AND(BT1473=1,BU1473&lt;BV1473),"MAX &lt; MB+LG; ","")&amp;IF(AND(BZ1473&gt;0,BY1473*10&gt;BZ1473),"zu hoch für Tablar; ","")&amp;IF(AND(BK1473=0,OR(BT1473=1,V1473&lt;&gt;"",S1473&lt;&gt;"",T1473&lt;&gt;"",W1473&lt;&gt;"")),"manuell übersteuert; ","")&amp;IF(AND(BO1473=0,Q1473=0),"Gebinde unbekannt; ","")&amp;IF(AND(BO1473=0,N(T1473)&lt;=0,N(P1473)&lt;=0),"Menge pro Gebinde fehlt (Ist = 1 Gebinde); ","")&amp;BJ1473)</f>
        <v/>
      </c>
      <c r="BC1473" s="53" t="n"/>
      <c r="BD1473" s="53" t="n"/>
      <c r="BE1473" s="61" t="n"/>
      <c r="BF1473" s="55">
        <f>N('Neue Artikel'!$D$7)</f>
        <v/>
      </c>
      <c r="BG1473" s="55" t="n">
        <v>0</v>
      </c>
      <c r="BH1473" s="54" t="n">
        <v>0</v>
      </c>
      <c r="BI1473" s="55">
        <f>N('Neue Artikel'!$C$7)/Parameter!$B$18</f>
        <v/>
      </c>
      <c r="BJ1473" s="53" t="inlineStr"/>
      <c r="BK1473" s="58" t="n">
        <v>1</v>
      </c>
      <c r="BL1473" s="58" t="n">
        <v>1473</v>
      </c>
      <c r="BM1473" s="53">
        <f>IF(S1473&lt;&gt;"",UPPER(TRIM(S1473)),IF(O1473="","LOSE",O1473))</f>
        <v/>
      </c>
      <c r="BN1473" s="55">
        <f>IF(BM1473="LOSE",1,IF(N(T1473)&gt;0,T1473,IF(N(P1473)&gt;0,P1473,MAX(1,G1473))))</f>
        <v/>
      </c>
      <c r="BO1473" s="58">
        <f>IF(BM1473="LOSE",1,0)</f>
        <v/>
      </c>
      <c r="BP1473" s="64">
        <f>IF(BO1473=0,0,IF(N(R1473)&gt;0,R1473,IFERROR(VLOOKUP(D1473,Parameter!$A$35:$C$64,3,0)+0,0)))</f>
        <v/>
      </c>
      <c r="BQ1473" s="53">
        <f>IF(V1473&lt;&gt;"",V1473,U1473)</f>
        <v/>
      </c>
      <c r="BR1473" s="53">
        <f>IF(BQ1473=1,"L1",IF(OR(BQ1473=2,BQ1473=3),"L23",IF(BQ1473="Aussen","Aussen","-")))</f>
        <v/>
      </c>
      <c r="BS1473" s="66">
        <f>IF(N(W1473)&gt;0,W1473,0)</f>
        <v/>
      </c>
      <c r="BT1473" s="58">
        <f>IF(ISNUMBER(Z1473),1,0)</f>
        <v/>
      </c>
      <c r="BU1473" s="55">
        <f>N(Z1473)</f>
        <v/>
      </c>
      <c r="BV1473" s="55">
        <f>N(L1473)+N(M1473)</f>
        <v/>
      </c>
      <c r="BW1473" s="55">
        <f>ROUNDUP(G1473/BN1473,0)</f>
        <v/>
      </c>
      <c r="BX1473" s="55">
        <f>ROUNDUP(BU1473/BN1473,0)</f>
        <v/>
      </c>
      <c r="BY1473" s="58">
        <f>IF(BO1473=1,0,IFERROR(VLOOKUP(BM1473,'Gebinde-Kategorie'!$A$5:$G$45,5,0)+0,0))</f>
        <v/>
      </c>
      <c r="BZ1473" s="58">
        <f>IFERROR(IF(OR(BQ1473=1,BQ1473=2,BQ1473=3),N(INDEX(Parameter!$I$5:$I$7,BQ1473)),0),0)</f>
        <v/>
      </c>
    </row>
    <row r="1474">
      <c r="A1474" s="53">
        <f>IF('Neue Artikel'!$A$8="","",'Neue Artikel'!$A$8&amp;"")</f>
        <v/>
      </c>
      <c r="B1474" s="53">
        <f>'Neue Artikel'!$B$8&amp;""</f>
        <v/>
      </c>
      <c r="C1474" s="53" t="inlineStr"/>
      <c r="D1474" s="53" t="inlineStr">
        <is>
          <t>NEU</t>
        </is>
      </c>
      <c r="E1474" s="53" t="inlineStr"/>
      <c r="F1474" s="54">
        <f>N('Neue Artikel'!$G$8)</f>
        <v/>
      </c>
      <c r="G1474" s="55">
        <f>MAX(0,IF(Parameter!$B$20="Jahresanfang 2025 + Export",BG1474+BF1474,BF1474))</f>
        <v/>
      </c>
      <c r="H1474" s="55">
        <f>G1474*F1474</f>
        <v/>
      </c>
      <c r="I1474" s="55">
        <f>BI1474*Parameter!$B$18</f>
        <v/>
      </c>
      <c r="J1474" s="56" t="n"/>
      <c r="K1474" s="57" t="n"/>
      <c r="L1474" s="55">
        <f>N('Neue Artikel'!$E$8)</f>
        <v/>
      </c>
      <c r="M1474" s="55">
        <f>N('Neue Artikel'!$F$8)</f>
        <v/>
      </c>
      <c r="N1474" s="58" t="n"/>
      <c r="O1474" s="53">
        <f>IF('Neue Artikel'!$H$8="","LOSE",UPPER(TRIM('Neue Artikel'!$H$8)))</f>
        <v/>
      </c>
      <c r="P1474" s="55">
        <f>N('Neue Artikel'!$I$8)</f>
        <v/>
      </c>
      <c r="Q1474" s="59">
        <f>IF(BO1474=1,0,IFERROR(VLOOKUP(BM1474,'Gebinde-Kategorie'!$A$5:$G$45,6,0)+0,0))</f>
        <v/>
      </c>
      <c r="R1474" s="60" t="n"/>
      <c r="S1474" s="61" t="n"/>
      <c r="T1474" s="61" t="n"/>
      <c r="U1474" s="53">
        <f>IF(A1474="","",IF(IFERROR(VLOOKUP(D1474,Parameter!$A$35:$C$64,2,0),"Nein")="2+3",IF(ISNUMBER(SEARCH("grosser Artikel",BJ1474)),2,IFERROR(VLOOKUP(BM1474,Parameter!$F$35:$G$64,2,0),2)),IF(OR(IFERROR(VLOOKUP(D1474,Parameter!$A$35:$C$64,2,0),"Nein")="Nein",IFERROR(VLOOKUP(D1474,Parameter!$A$35:$C$64,2,0),"Nein")=""),"-",VLOOKUP(D1474,Parameter!$A$35:$C$64,2,0))))</f>
        <v/>
      </c>
      <c r="V1474" s="53">
        <f>IF('Neue Artikel'!$J$8="","",'Neue Artikel'!$J$8)</f>
        <v/>
      </c>
      <c r="W1474" s="62" t="n"/>
      <c r="X1474" s="55">
        <f>AM1474</f>
        <v/>
      </c>
      <c r="Y1474" s="55">
        <f>MAX(AM1474,G1474)</f>
        <v/>
      </c>
      <c r="Z1474" s="63" t="n"/>
      <c r="AA1474" s="55">
        <f>IF(LEFT(Cockpit!$C$5,1)="A",G1474,IF(BT1474=1,BU1474,IF(LEFT(Cockpit!$C$5,1)="B",AE1474,MAX(AE1474,G1474))))</f>
        <v/>
      </c>
      <c r="AB1474" s="55">
        <f>IF(BO1474=1,0,ROUNDUP(AA1474/BN1474,0))</f>
        <v/>
      </c>
      <c r="AC1474" s="64">
        <f>IF(BO1474=1,IF(AA1474&lt;=0,0,BP1474*MAX(1,IF(G1474&gt;0,AA1474/G1474,1))),AB1474*Q1474)</f>
        <v/>
      </c>
      <c r="AD1474" s="55">
        <f>AA1474*F1474</f>
        <v/>
      </c>
      <c r="AE1474" s="55">
        <f>ROUNDUP(MAX(I1474/IF(BS1474&gt;0,BS1474,MAX(0.1,N(Cockpit!$C$6))),BV1474)/BN1474,0)*BN1474</f>
        <v/>
      </c>
      <c r="AF1474" s="56">
        <f>IF(AC1474&gt;0,I1474/AC1474,-1)</f>
        <v/>
      </c>
      <c r="AG1474" s="56">
        <f>IF(AND(OR(BR1474="L1",BR1474="L23"),AC1474&gt;0),SUMIFS($AC$7:$AC$1570,$BR$7:$BR$1570,BR1474,$AF$7:$AF$1570,"&gt;"&amp;AF1474)+SUMIFS($AC$7:$AC$1570,$BR$7:$BR$1570,BR1474,$AF$7:$AF$1570,AF1474,$BL$7:$BL$1570,"&lt;="&amp;BL1474),"")</f>
        <v/>
      </c>
      <c r="AH1474" s="65">
        <f>IF(AG1474="",0,MAX(0,MIN(1,(IF(BR1474="L1",Parameter!$K$5,Parameter!$K$6+Parameter!$K$7)-(AG1474-AC1474))/AC1474)))</f>
        <v/>
      </c>
      <c r="AI1474" s="55">
        <f>IF(LEFT(Cockpit!$I$5,1)="A",G1474,IF(BT1474=1,BU1474,IF(LEFT(Cockpit!$I$5,1)="B",AM1474,MAX(AM1474,G1474))))</f>
        <v/>
      </c>
      <c r="AJ1474" s="55">
        <f>IF(BO1474=1,0,ROUNDUP(AI1474/BN1474,0))</f>
        <v/>
      </c>
      <c r="AK1474" s="64">
        <f>IF(BO1474=1,IF(AI1474&lt;=0,0,BP1474*MAX(1,IF(G1474&gt;0,AI1474/G1474,1))),AJ1474*Q1474)</f>
        <v/>
      </c>
      <c r="AL1474" s="55">
        <f>AI1474*F1474</f>
        <v/>
      </c>
      <c r="AM1474" s="55">
        <f>ROUNDUP(MAX(I1474/IF(BS1474&gt;0,BS1474,MAX(0.1,N(Cockpit!$I$6))),BV1474)/BN1474,0)*BN1474</f>
        <v/>
      </c>
      <c r="AN1474" s="56">
        <f>IF(AK1474&gt;0,I1474/AK1474,-1)</f>
        <v/>
      </c>
      <c r="AO1474" s="56">
        <f>IF(AND(OR(BR1474="L1",BR1474="L23"),AK1474&gt;0),SUMIFS($AK$7:$AK$1570,$BR$7:$BR$1570,BR1474,$AN$7:$AN$1570,"&gt;"&amp;AN1474)+SUMIFS($AK$7:$AK$1570,$BR$7:$BR$1570,BR1474,$AN$7:$AN$1570,AN1474,$BL$7:$BL$1570,"&lt;="&amp;BL1474),"")</f>
        <v/>
      </c>
      <c r="AP1474" s="65">
        <f>IF(AO1474="",0,MAX(0,MIN(1,(IF(BR1474="L1",Parameter!$K$5,Parameter!$K$6+Parameter!$K$7)-(AO1474-AK1474))/AK1474)))</f>
        <v/>
      </c>
      <c r="AQ1474" s="55">
        <f>IF(LEFT(Cockpit!$O$5,1)="A",G1474,IF(BT1474=1,BU1474,IF(LEFT(Cockpit!$O$5,1)="B",AU1474,MAX(AU1474,G1474))))</f>
        <v/>
      </c>
      <c r="AR1474" s="55">
        <f>IF(BO1474=1,0,ROUNDUP(AQ1474/BN1474,0))</f>
        <v/>
      </c>
      <c r="AS1474" s="64">
        <f>IF(BO1474=1,IF(AQ1474&lt;=0,0,BP1474*MAX(1,IF(G1474&gt;0,AQ1474/G1474,1))),AR1474*Q1474)</f>
        <v/>
      </c>
      <c r="AT1474" s="55">
        <f>AQ1474*F1474</f>
        <v/>
      </c>
      <c r="AU1474" s="55">
        <f>ROUNDUP(MAX(I1474/IF(BS1474&gt;0,BS1474,MAX(0.1,N(Cockpit!$O$6))),BV1474)/BN1474,0)*BN1474</f>
        <v/>
      </c>
      <c r="AV1474" s="56">
        <f>IF(AS1474&gt;0,I1474/AS1474,-1)</f>
        <v/>
      </c>
      <c r="AW1474" s="56">
        <f>IF(AND(OR(BR1474="L1",BR1474="L23"),AS1474&gt;0),SUMIFS($AS$7:$AS$1570,$BR$7:$BR$1570,BR1474,$AV$7:$AV$1570,"&gt;"&amp;AV1474)+SUMIFS($AS$7:$AS$1570,$BR$7:$BR$1570,BR1474,$AV$7:$AV$1570,AV1474,$BL$7:$BL$1570,"&lt;="&amp;BL1474),"")</f>
        <v/>
      </c>
      <c r="AX1474" s="65">
        <f>IF(AW1474="",0,MAX(0,MIN(1,(IF(BR1474="L1",Parameter!$K$5,Parameter!$K$6+Parameter!$K$7)-(AW1474-AS1474))/AS1474)))</f>
        <v/>
      </c>
      <c r="AY1474" s="53">
        <f>IF(AC1474&lt;=0,"",IF(BR1474="Aussen","Aussenlager",IF(BR1474="-","Nicht im Lift",IF(AH1474&gt;=1,"Lift",IF(AH1474&lt;=0,"Aussenlager","teilweise")))))</f>
        <v/>
      </c>
      <c r="AZ1474" s="53">
        <f>IF(AK1474&lt;=0,"",IF(BR1474="Aussen","Aussenlager",IF(BR1474="-","Nicht im Lift",IF(AP1474&gt;=1,"Lift",IF(AP1474&lt;=0,"Aussenlager","teilweise")))))</f>
        <v/>
      </c>
      <c r="BA1474" s="53">
        <f>IF(AS1474&lt;=0,"",IF(BR1474="Aussen","Aussenlager",IF(BR1474="-","Nicht im Lift",IF(AX1474&gt;=1,"Lift",IF(AX1474&lt;=0,"Aussenlager","teilweise")))))</f>
        <v/>
      </c>
      <c r="BB1474" s="53">
        <f>IF(A1474="","",IF(BK1474=1,"Neu; ","")&amp;IF(AND(BK1474=0,BF1474&lt;0),"negativer Bestand (Export "&amp;BF1474&amp;"); ","")&amp;IF(I1474&lt;=0,"Kein Verbrauch; ","")&amp;IF(BO1474=1,"Lose – Fläche geschätzt; ","")&amp;IF(G1474&gt;AM1474,"Überbestand "&amp;ROUND(G1474-AM1474,0)&amp;" Stk / CHF "&amp;ROUND((G1474-AM1474)*F1474,0)&amp;"; ","")&amp;IF(AND(BT1474=1,BU1474&lt;BV1474),"MAX &lt; MB+LG; ","")&amp;IF(AND(BZ1474&gt;0,BY1474*10&gt;BZ1474),"zu hoch für Tablar; ","")&amp;IF(AND(BK1474=0,OR(BT1474=1,V1474&lt;&gt;"",S1474&lt;&gt;"",T1474&lt;&gt;"",W1474&lt;&gt;"")),"manuell übersteuert; ","")&amp;IF(AND(BO1474=0,Q1474=0),"Gebinde unbekannt; ","")&amp;IF(AND(BO1474=0,N(T1474)&lt;=0,N(P1474)&lt;=0),"Menge pro Gebinde fehlt (Ist = 1 Gebinde); ","")&amp;BJ1474)</f>
        <v/>
      </c>
      <c r="BC1474" s="53" t="n"/>
      <c r="BD1474" s="53" t="n"/>
      <c r="BE1474" s="61" t="n"/>
      <c r="BF1474" s="55">
        <f>N('Neue Artikel'!$D$8)</f>
        <v/>
      </c>
      <c r="BG1474" s="55" t="n">
        <v>0</v>
      </c>
      <c r="BH1474" s="54" t="n">
        <v>0</v>
      </c>
      <c r="BI1474" s="55">
        <f>N('Neue Artikel'!$C$8)/Parameter!$B$18</f>
        <v/>
      </c>
      <c r="BJ1474" s="53" t="inlineStr"/>
      <c r="BK1474" s="58" t="n">
        <v>1</v>
      </c>
      <c r="BL1474" s="58" t="n">
        <v>1474</v>
      </c>
      <c r="BM1474" s="53">
        <f>IF(S1474&lt;&gt;"",UPPER(TRIM(S1474)),IF(O1474="","LOSE",O1474))</f>
        <v/>
      </c>
      <c r="BN1474" s="55">
        <f>IF(BM1474="LOSE",1,IF(N(T1474)&gt;0,T1474,IF(N(P1474)&gt;0,P1474,MAX(1,G1474))))</f>
        <v/>
      </c>
      <c r="BO1474" s="58">
        <f>IF(BM1474="LOSE",1,0)</f>
        <v/>
      </c>
      <c r="BP1474" s="64">
        <f>IF(BO1474=0,0,IF(N(R1474)&gt;0,R1474,IFERROR(VLOOKUP(D1474,Parameter!$A$35:$C$64,3,0)+0,0)))</f>
        <v/>
      </c>
      <c r="BQ1474" s="53">
        <f>IF(V1474&lt;&gt;"",V1474,U1474)</f>
        <v/>
      </c>
      <c r="BR1474" s="53">
        <f>IF(BQ1474=1,"L1",IF(OR(BQ1474=2,BQ1474=3),"L23",IF(BQ1474="Aussen","Aussen","-")))</f>
        <v/>
      </c>
      <c r="BS1474" s="66">
        <f>IF(N(W1474)&gt;0,W1474,0)</f>
        <v/>
      </c>
      <c r="BT1474" s="58">
        <f>IF(ISNUMBER(Z1474),1,0)</f>
        <v/>
      </c>
      <c r="BU1474" s="55">
        <f>N(Z1474)</f>
        <v/>
      </c>
      <c r="BV1474" s="55">
        <f>N(L1474)+N(M1474)</f>
        <v/>
      </c>
      <c r="BW1474" s="55">
        <f>ROUNDUP(G1474/BN1474,0)</f>
        <v/>
      </c>
      <c r="BX1474" s="55">
        <f>ROUNDUP(BU1474/BN1474,0)</f>
        <v/>
      </c>
      <c r="BY1474" s="58">
        <f>IF(BO1474=1,0,IFERROR(VLOOKUP(BM1474,'Gebinde-Kategorie'!$A$5:$G$45,5,0)+0,0))</f>
        <v/>
      </c>
      <c r="BZ1474" s="58">
        <f>IFERROR(IF(OR(BQ1474=1,BQ1474=2,BQ1474=3),N(INDEX(Parameter!$I$5:$I$7,BQ1474)),0),0)</f>
        <v/>
      </c>
    </row>
    <row r="1475">
      <c r="A1475" s="53">
        <f>IF('Neue Artikel'!$A$9="","",'Neue Artikel'!$A$9&amp;"")</f>
        <v/>
      </c>
      <c r="B1475" s="53">
        <f>'Neue Artikel'!$B$9&amp;""</f>
        <v/>
      </c>
      <c r="C1475" s="53" t="inlineStr"/>
      <c r="D1475" s="53" t="inlineStr">
        <is>
          <t>NEU</t>
        </is>
      </c>
      <c r="E1475" s="53" t="inlineStr"/>
      <c r="F1475" s="54">
        <f>N('Neue Artikel'!$G$9)</f>
        <v/>
      </c>
      <c r="G1475" s="55">
        <f>MAX(0,IF(Parameter!$B$20="Jahresanfang 2025 + Export",BG1475+BF1475,BF1475))</f>
        <v/>
      </c>
      <c r="H1475" s="55">
        <f>G1475*F1475</f>
        <v/>
      </c>
      <c r="I1475" s="55">
        <f>BI1475*Parameter!$B$18</f>
        <v/>
      </c>
      <c r="J1475" s="56" t="n"/>
      <c r="K1475" s="57" t="n"/>
      <c r="L1475" s="55">
        <f>N('Neue Artikel'!$E$9)</f>
        <v/>
      </c>
      <c r="M1475" s="55">
        <f>N('Neue Artikel'!$F$9)</f>
        <v/>
      </c>
      <c r="N1475" s="58" t="n"/>
      <c r="O1475" s="53">
        <f>IF('Neue Artikel'!$H$9="","LOSE",UPPER(TRIM('Neue Artikel'!$H$9)))</f>
        <v/>
      </c>
      <c r="P1475" s="55">
        <f>N('Neue Artikel'!$I$9)</f>
        <v/>
      </c>
      <c r="Q1475" s="59">
        <f>IF(BO1475=1,0,IFERROR(VLOOKUP(BM1475,'Gebinde-Kategorie'!$A$5:$G$45,6,0)+0,0))</f>
        <v/>
      </c>
      <c r="R1475" s="60" t="n"/>
      <c r="S1475" s="61" t="n"/>
      <c r="T1475" s="61" t="n"/>
      <c r="U1475" s="53">
        <f>IF(A1475="","",IF(IFERROR(VLOOKUP(D1475,Parameter!$A$35:$C$64,2,0),"Nein")="2+3",IF(ISNUMBER(SEARCH("grosser Artikel",BJ1475)),2,IFERROR(VLOOKUP(BM1475,Parameter!$F$35:$G$64,2,0),2)),IF(OR(IFERROR(VLOOKUP(D1475,Parameter!$A$35:$C$64,2,0),"Nein")="Nein",IFERROR(VLOOKUP(D1475,Parameter!$A$35:$C$64,2,0),"Nein")=""),"-",VLOOKUP(D1475,Parameter!$A$35:$C$64,2,0))))</f>
        <v/>
      </c>
      <c r="V1475" s="53">
        <f>IF('Neue Artikel'!$J$9="","",'Neue Artikel'!$J$9)</f>
        <v/>
      </c>
      <c r="W1475" s="62" t="n"/>
      <c r="X1475" s="55">
        <f>AM1475</f>
        <v/>
      </c>
      <c r="Y1475" s="55">
        <f>MAX(AM1475,G1475)</f>
        <v/>
      </c>
      <c r="Z1475" s="63" t="n"/>
      <c r="AA1475" s="55">
        <f>IF(LEFT(Cockpit!$C$5,1)="A",G1475,IF(BT1475=1,BU1475,IF(LEFT(Cockpit!$C$5,1)="B",AE1475,MAX(AE1475,G1475))))</f>
        <v/>
      </c>
      <c r="AB1475" s="55">
        <f>IF(BO1475=1,0,ROUNDUP(AA1475/BN1475,0))</f>
        <v/>
      </c>
      <c r="AC1475" s="64">
        <f>IF(BO1475=1,IF(AA1475&lt;=0,0,BP1475*MAX(1,IF(G1475&gt;0,AA1475/G1475,1))),AB1475*Q1475)</f>
        <v/>
      </c>
      <c r="AD1475" s="55">
        <f>AA1475*F1475</f>
        <v/>
      </c>
      <c r="AE1475" s="55">
        <f>ROUNDUP(MAX(I1475/IF(BS1475&gt;0,BS1475,MAX(0.1,N(Cockpit!$C$6))),BV1475)/BN1475,0)*BN1475</f>
        <v/>
      </c>
      <c r="AF1475" s="56">
        <f>IF(AC1475&gt;0,I1475/AC1475,-1)</f>
        <v/>
      </c>
      <c r="AG1475" s="56">
        <f>IF(AND(OR(BR1475="L1",BR1475="L23"),AC1475&gt;0),SUMIFS($AC$7:$AC$1570,$BR$7:$BR$1570,BR1475,$AF$7:$AF$1570,"&gt;"&amp;AF1475)+SUMIFS($AC$7:$AC$1570,$BR$7:$BR$1570,BR1475,$AF$7:$AF$1570,AF1475,$BL$7:$BL$1570,"&lt;="&amp;BL1475),"")</f>
        <v/>
      </c>
      <c r="AH1475" s="65">
        <f>IF(AG1475="",0,MAX(0,MIN(1,(IF(BR1475="L1",Parameter!$K$5,Parameter!$K$6+Parameter!$K$7)-(AG1475-AC1475))/AC1475)))</f>
        <v/>
      </c>
      <c r="AI1475" s="55">
        <f>IF(LEFT(Cockpit!$I$5,1)="A",G1475,IF(BT1475=1,BU1475,IF(LEFT(Cockpit!$I$5,1)="B",AM1475,MAX(AM1475,G1475))))</f>
        <v/>
      </c>
      <c r="AJ1475" s="55">
        <f>IF(BO1475=1,0,ROUNDUP(AI1475/BN1475,0))</f>
        <v/>
      </c>
      <c r="AK1475" s="64">
        <f>IF(BO1475=1,IF(AI1475&lt;=0,0,BP1475*MAX(1,IF(G1475&gt;0,AI1475/G1475,1))),AJ1475*Q1475)</f>
        <v/>
      </c>
      <c r="AL1475" s="55">
        <f>AI1475*F1475</f>
        <v/>
      </c>
      <c r="AM1475" s="55">
        <f>ROUNDUP(MAX(I1475/IF(BS1475&gt;0,BS1475,MAX(0.1,N(Cockpit!$I$6))),BV1475)/BN1475,0)*BN1475</f>
        <v/>
      </c>
      <c r="AN1475" s="56">
        <f>IF(AK1475&gt;0,I1475/AK1475,-1)</f>
        <v/>
      </c>
      <c r="AO1475" s="56">
        <f>IF(AND(OR(BR1475="L1",BR1475="L23"),AK1475&gt;0),SUMIFS($AK$7:$AK$1570,$BR$7:$BR$1570,BR1475,$AN$7:$AN$1570,"&gt;"&amp;AN1475)+SUMIFS($AK$7:$AK$1570,$BR$7:$BR$1570,BR1475,$AN$7:$AN$1570,AN1475,$BL$7:$BL$1570,"&lt;="&amp;BL1475),"")</f>
        <v/>
      </c>
      <c r="AP1475" s="65">
        <f>IF(AO1475="",0,MAX(0,MIN(1,(IF(BR1475="L1",Parameter!$K$5,Parameter!$K$6+Parameter!$K$7)-(AO1475-AK1475))/AK1475)))</f>
        <v/>
      </c>
      <c r="AQ1475" s="55">
        <f>IF(LEFT(Cockpit!$O$5,1)="A",G1475,IF(BT1475=1,BU1475,IF(LEFT(Cockpit!$O$5,1)="B",AU1475,MAX(AU1475,G1475))))</f>
        <v/>
      </c>
      <c r="AR1475" s="55">
        <f>IF(BO1475=1,0,ROUNDUP(AQ1475/BN1475,0))</f>
        <v/>
      </c>
      <c r="AS1475" s="64">
        <f>IF(BO1475=1,IF(AQ1475&lt;=0,0,BP1475*MAX(1,IF(G1475&gt;0,AQ1475/G1475,1))),AR1475*Q1475)</f>
        <v/>
      </c>
      <c r="AT1475" s="55">
        <f>AQ1475*F1475</f>
        <v/>
      </c>
      <c r="AU1475" s="55">
        <f>ROUNDUP(MAX(I1475/IF(BS1475&gt;0,BS1475,MAX(0.1,N(Cockpit!$O$6))),BV1475)/BN1475,0)*BN1475</f>
        <v/>
      </c>
      <c r="AV1475" s="56">
        <f>IF(AS1475&gt;0,I1475/AS1475,-1)</f>
        <v/>
      </c>
      <c r="AW1475" s="56">
        <f>IF(AND(OR(BR1475="L1",BR1475="L23"),AS1475&gt;0),SUMIFS($AS$7:$AS$1570,$BR$7:$BR$1570,BR1475,$AV$7:$AV$1570,"&gt;"&amp;AV1475)+SUMIFS($AS$7:$AS$1570,$BR$7:$BR$1570,BR1475,$AV$7:$AV$1570,AV1475,$BL$7:$BL$1570,"&lt;="&amp;BL1475),"")</f>
        <v/>
      </c>
      <c r="AX1475" s="65">
        <f>IF(AW1475="",0,MAX(0,MIN(1,(IF(BR1475="L1",Parameter!$K$5,Parameter!$K$6+Parameter!$K$7)-(AW1475-AS1475))/AS1475)))</f>
        <v/>
      </c>
      <c r="AY1475" s="53">
        <f>IF(AC1475&lt;=0,"",IF(BR1475="Aussen","Aussenlager",IF(BR1475="-","Nicht im Lift",IF(AH1475&gt;=1,"Lift",IF(AH1475&lt;=0,"Aussenlager","teilweise")))))</f>
        <v/>
      </c>
      <c r="AZ1475" s="53">
        <f>IF(AK1475&lt;=0,"",IF(BR1475="Aussen","Aussenlager",IF(BR1475="-","Nicht im Lift",IF(AP1475&gt;=1,"Lift",IF(AP1475&lt;=0,"Aussenlager","teilweise")))))</f>
        <v/>
      </c>
      <c r="BA1475" s="53">
        <f>IF(AS1475&lt;=0,"",IF(BR1475="Aussen","Aussenlager",IF(BR1475="-","Nicht im Lift",IF(AX1475&gt;=1,"Lift",IF(AX1475&lt;=0,"Aussenlager","teilweise")))))</f>
        <v/>
      </c>
      <c r="BB1475" s="53">
        <f>IF(A1475="","",IF(BK1475=1,"Neu; ","")&amp;IF(AND(BK1475=0,BF1475&lt;0),"negativer Bestand (Export "&amp;BF1475&amp;"); ","")&amp;IF(I1475&lt;=0,"Kein Verbrauch; ","")&amp;IF(BO1475=1,"Lose – Fläche geschätzt; ","")&amp;IF(G1475&gt;AM1475,"Überbestand "&amp;ROUND(G1475-AM1475,0)&amp;" Stk / CHF "&amp;ROUND((G1475-AM1475)*F1475,0)&amp;"; ","")&amp;IF(AND(BT1475=1,BU1475&lt;BV1475),"MAX &lt; MB+LG; ","")&amp;IF(AND(BZ1475&gt;0,BY1475*10&gt;BZ1475),"zu hoch für Tablar; ","")&amp;IF(AND(BK1475=0,OR(BT1475=1,V1475&lt;&gt;"",S1475&lt;&gt;"",T1475&lt;&gt;"",W1475&lt;&gt;"")),"manuell übersteuert; ","")&amp;IF(AND(BO1475=0,Q1475=0),"Gebinde unbekannt; ","")&amp;IF(AND(BO1475=0,N(T1475)&lt;=0,N(P1475)&lt;=0),"Menge pro Gebinde fehlt (Ist = 1 Gebinde); ","")&amp;BJ1475)</f>
        <v/>
      </c>
      <c r="BC1475" s="53" t="n"/>
      <c r="BD1475" s="53" t="n"/>
      <c r="BE1475" s="61" t="n"/>
      <c r="BF1475" s="55">
        <f>N('Neue Artikel'!$D$9)</f>
        <v/>
      </c>
      <c r="BG1475" s="55" t="n">
        <v>0</v>
      </c>
      <c r="BH1475" s="54" t="n">
        <v>0</v>
      </c>
      <c r="BI1475" s="55">
        <f>N('Neue Artikel'!$C$9)/Parameter!$B$18</f>
        <v/>
      </c>
      <c r="BJ1475" s="53" t="inlineStr"/>
      <c r="BK1475" s="58" t="n">
        <v>1</v>
      </c>
      <c r="BL1475" s="58" t="n">
        <v>1475</v>
      </c>
      <c r="BM1475" s="53">
        <f>IF(S1475&lt;&gt;"",UPPER(TRIM(S1475)),IF(O1475="","LOSE",O1475))</f>
        <v/>
      </c>
      <c r="BN1475" s="55">
        <f>IF(BM1475="LOSE",1,IF(N(T1475)&gt;0,T1475,IF(N(P1475)&gt;0,P1475,MAX(1,G1475))))</f>
        <v/>
      </c>
      <c r="BO1475" s="58">
        <f>IF(BM1475="LOSE",1,0)</f>
        <v/>
      </c>
      <c r="BP1475" s="64">
        <f>IF(BO1475=0,0,IF(N(R1475)&gt;0,R1475,IFERROR(VLOOKUP(D1475,Parameter!$A$35:$C$64,3,0)+0,0)))</f>
        <v/>
      </c>
      <c r="BQ1475" s="53">
        <f>IF(V1475&lt;&gt;"",V1475,U1475)</f>
        <v/>
      </c>
      <c r="BR1475" s="53">
        <f>IF(BQ1475=1,"L1",IF(OR(BQ1475=2,BQ1475=3),"L23",IF(BQ1475="Aussen","Aussen","-")))</f>
        <v/>
      </c>
      <c r="BS1475" s="66">
        <f>IF(N(W1475)&gt;0,W1475,0)</f>
        <v/>
      </c>
      <c r="BT1475" s="58">
        <f>IF(ISNUMBER(Z1475),1,0)</f>
        <v/>
      </c>
      <c r="BU1475" s="55">
        <f>N(Z1475)</f>
        <v/>
      </c>
      <c r="BV1475" s="55">
        <f>N(L1475)+N(M1475)</f>
        <v/>
      </c>
      <c r="BW1475" s="55">
        <f>ROUNDUP(G1475/BN1475,0)</f>
        <v/>
      </c>
      <c r="BX1475" s="55">
        <f>ROUNDUP(BU1475/BN1475,0)</f>
        <v/>
      </c>
      <c r="BY1475" s="58">
        <f>IF(BO1475=1,0,IFERROR(VLOOKUP(BM1475,'Gebinde-Kategorie'!$A$5:$G$45,5,0)+0,0))</f>
        <v/>
      </c>
      <c r="BZ1475" s="58">
        <f>IFERROR(IF(OR(BQ1475=1,BQ1475=2,BQ1475=3),N(INDEX(Parameter!$I$5:$I$7,BQ1475)),0),0)</f>
        <v/>
      </c>
    </row>
    <row r="1476">
      <c r="A1476" s="53">
        <f>IF('Neue Artikel'!$A$10="","",'Neue Artikel'!$A$10&amp;"")</f>
        <v/>
      </c>
      <c r="B1476" s="53">
        <f>'Neue Artikel'!$B$10&amp;""</f>
        <v/>
      </c>
      <c r="C1476" s="53" t="inlineStr"/>
      <c r="D1476" s="53" t="inlineStr">
        <is>
          <t>NEU</t>
        </is>
      </c>
      <c r="E1476" s="53" t="inlineStr"/>
      <c r="F1476" s="54">
        <f>N('Neue Artikel'!$G$10)</f>
        <v/>
      </c>
      <c r="G1476" s="55">
        <f>MAX(0,IF(Parameter!$B$20="Jahresanfang 2025 + Export",BG1476+BF1476,BF1476))</f>
        <v/>
      </c>
      <c r="H1476" s="55">
        <f>G1476*F1476</f>
        <v/>
      </c>
      <c r="I1476" s="55">
        <f>BI1476*Parameter!$B$18</f>
        <v/>
      </c>
      <c r="J1476" s="56" t="n"/>
      <c r="K1476" s="57" t="n"/>
      <c r="L1476" s="55">
        <f>N('Neue Artikel'!$E$10)</f>
        <v/>
      </c>
      <c r="M1476" s="55">
        <f>N('Neue Artikel'!$F$10)</f>
        <v/>
      </c>
      <c r="N1476" s="58" t="n"/>
      <c r="O1476" s="53">
        <f>IF('Neue Artikel'!$H$10="","LOSE",UPPER(TRIM('Neue Artikel'!$H$10)))</f>
        <v/>
      </c>
      <c r="P1476" s="55">
        <f>N('Neue Artikel'!$I$10)</f>
        <v/>
      </c>
      <c r="Q1476" s="59">
        <f>IF(BO1476=1,0,IFERROR(VLOOKUP(BM1476,'Gebinde-Kategorie'!$A$5:$G$45,6,0)+0,0))</f>
        <v/>
      </c>
      <c r="R1476" s="60" t="n"/>
      <c r="S1476" s="61" t="n"/>
      <c r="T1476" s="61" t="n"/>
      <c r="U1476" s="53">
        <f>IF(A1476="","",IF(IFERROR(VLOOKUP(D1476,Parameter!$A$35:$C$64,2,0),"Nein")="2+3",IF(ISNUMBER(SEARCH("grosser Artikel",BJ1476)),2,IFERROR(VLOOKUP(BM1476,Parameter!$F$35:$G$64,2,0),2)),IF(OR(IFERROR(VLOOKUP(D1476,Parameter!$A$35:$C$64,2,0),"Nein")="Nein",IFERROR(VLOOKUP(D1476,Parameter!$A$35:$C$64,2,0),"Nein")=""),"-",VLOOKUP(D1476,Parameter!$A$35:$C$64,2,0))))</f>
        <v/>
      </c>
      <c r="V1476" s="53">
        <f>IF('Neue Artikel'!$J$10="","",'Neue Artikel'!$J$10)</f>
        <v/>
      </c>
      <c r="W1476" s="62" t="n"/>
      <c r="X1476" s="55">
        <f>AM1476</f>
        <v/>
      </c>
      <c r="Y1476" s="55">
        <f>MAX(AM1476,G1476)</f>
        <v/>
      </c>
      <c r="Z1476" s="63" t="n"/>
      <c r="AA1476" s="55">
        <f>IF(LEFT(Cockpit!$C$5,1)="A",G1476,IF(BT1476=1,BU1476,IF(LEFT(Cockpit!$C$5,1)="B",AE1476,MAX(AE1476,G1476))))</f>
        <v/>
      </c>
      <c r="AB1476" s="55">
        <f>IF(BO1476=1,0,ROUNDUP(AA1476/BN1476,0))</f>
        <v/>
      </c>
      <c r="AC1476" s="64">
        <f>IF(BO1476=1,IF(AA1476&lt;=0,0,BP1476*MAX(1,IF(G1476&gt;0,AA1476/G1476,1))),AB1476*Q1476)</f>
        <v/>
      </c>
      <c r="AD1476" s="55">
        <f>AA1476*F1476</f>
        <v/>
      </c>
      <c r="AE1476" s="55">
        <f>ROUNDUP(MAX(I1476/IF(BS1476&gt;0,BS1476,MAX(0.1,N(Cockpit!$C$6))),BV1476)/BN1476,0)*BN1476</f>
        <v/>
      </c>
      <c r="AF1476" s="56">
        <f>IF(AC1476&gt;0,I1476/AC1476,-1)</f>
        <v/>
      </c>
      <c r="AG1476" s="56">
        <f>IF(AND(OR(BR1476="L1",BR1476="L23"),AC1476&gt;0),SUMIFS($AC$7:$AC$1570,$BR$7:$BR$1570,BR1476,$AF$7:$AF$1570,"&gt;"&amp;AF1476)+SUMIFS($AC$7:$AC$1570,$BR$7:$BR$1570,BR1476,$AF$7:$AF$1570,AF1476,$BL$7:$BL$1570,"&lt;="&amp;BL1476),"")</f>
        <v/>
      </c>
      <c r="AH1476" s="65">
        <f>IF(AG1476="",0,MAX(0,MIN(1,(IF(BR1476="L1",Parameter!$K$5,Parameter!$K$6+Parameter!$K$7)-(AG1476-AC1476))/AC1476)))</f>
        <v/>
      </c>
      <c r="AI1476" s="55">
        <f>IF(LEFT(Cockpit!$I$5,1)="A",G1476,IF(BT1476=1,BU1476,IF(LEFT(Cockpit!$I$5,1)="B",AM1476,MAX(AM1476,G1476))))</f>
        <v/>
      </c>
      <c r="AJ1476" s="55">
        <f>IF(BO1476=1,0,ROUNDUP(AI1476/BN1476,0))</f>
        <v/>
      </c>
      <c r="AK1476" s="64">
        <f>IF(BO1476=1,IF(AI1476&lt;=0,0,BP1476*MAX(1,IF(G1476&gt;0,AI1476/G1476,1))),AJ1476*Q1476)</f>
        <v/>
      </c>
      <c r="AL1476" s="55">
        <f>AI1476*F1476</f>
        <v/>
      </c>
      <c r="AM1476" s="55">
        <f>ROUNDUP(MAX(I1476/IF(BS1476&gt;0,BS1476,MAX(0.1,N(Cockpit!$I$6))),BV1476)/BN1476,0)*BN1476</f>
        <v/>
      </c>
      <c r="AN1476" s="56">
        <f>IF(AK1476&gt;0,I1476/AK1476,-1)</f>
        <v/>
      </c>
      <c r="AO1476" s="56">
        <f>IF(AND(OR(BR1476="L1",BR1476="L23"),AK1476&gt;0),SUMIFS($AK$7:$AK$1570,$BR$7:$BR$1570,BR1476,$AN$7:$AN$1570,"&gt;"&amp;AN1476)+SUMIFS($AK$7:$AK$1570,$BR$7:$BR$1570,BR1476,$AN$7:$AN$1570,AN1476,$BL$7:$BL$1570,"&lt;="&amp;BL1476),"")</f>
        <v/>
      </c>
      <c r="AP1476" s="65">
        <f>IF(AO1476="",0,MAX(0,MIN(1,(IF(BR1476="L1",Parameter!$K$5,Parameter!$K$6+Parameter!$K$7)-(AO1476-AK1476))/AK1476)))</f>
        <v/>
      </c>
      <c r="AQ1476" s="55">
        <f>IF(LEFT(Cockpit!$O$5,1)="A",G1476,IF(BT1476=1,BU1476,IF(LEFT(Cockpit!$O$5,1)="B",AU1476,MAX(AU1476,G1476))))</f>
        <v/>
      </c>
      <c r="AR1476" s="55">
        <f>IF(BO1476=1,0,ROUNDUP(AQ1476/BN1476,0))</f>
        <v/>
      </c>
      <c r="AS1476" s="64">
        <f>IF(BO1476=1,IF(AQ1476&lt;=0,0,BP1476*MAX(1,IF(G1476&gt;0,AQ1476/G1476,1))),AR1476*Q1476)</f>
        <v/>
      </c>
      <c r="AT1476" s="55">
        <f>AQ1476*F1476</f>
        <v/>
      </c>
      <c r="AU1476" s="55">
        <f>ROUNDUP(MAX(I1476/IF(BS1476&gt;0,BS1476,MAX(0.1,N(Cockpit!$O$6))),BV1476)/BN1476,0)*BN1476</f>
        <v/>
      </c>
      <c r="AV1476" s="56">
        <f>IF(AS1476&gt;0,I1476/AS1476,-1)</f>
        <v/>
      </c>
      <c r="AW1476" s="56">
        <f>IF(AND(OR(BR1476="L1",BR1476="L23"),AS1476&gt;0),SUMIFS($AS$7:$AS$1570,$BR$7:$BR$1570,BR1476,$AV$7:$AV$1570,"&gt;"&amp;AV1476)+SUMIFS($AS$7:$AS$1570,$BR$7:$BR$1570,BR1476,$AV$7:$AV$1570,AV1476,$BL$7:$BL$1570,"&lt;="&amp;BL1476),"")</f>
        <v/>
      </c>
      <c r="AX1476" s="65">
        <f>IF(AW1476="",0,MAX(0,MIN(1,(IF(BR1476="L1",Parameter!$K$5,Parameter!$K$6+Parameter!$K$7)-(AW1476-AS1476))/AS1476)))</f>
        <v/>
      </c>
      <c r="AY1476" s="53">
        <f>IF(AC1476&lt;=0,"",IF(BR1476="Aussen","Aussenlager",IF(BR1476="-","Nicht im Lift",IF(AH1476&gt;=1,"Lift",IF(AH1476&lt;=0,"Aussenlager","teilweise")))))</f>
        <v/>
      </c>
      <c r="AZ1476" s="53">
        <f>IF(AK1476&lt;=0,"",IF(BR1476="Aussen","Aussenlager",IF(BR1476="-","Nicht im Lift",IF(AP1476&gt;=1,"Lift",IF(AP1476&lt;=0,"Aussenlager","teilweise")))))</f>
        <v/>
      </c>
      <c r="BA1476" s="53">
        <f>IF(AS1476&lt;=0,"",IF(BR1476="Aussen","Aussenlager",IF(BR1476="-","Nicht im Lift",IF(AX1476&gt;=1,"Lift",IF(AX1476&lt;=0,"Aussenlager","teilweise")))))</f>
        <v/>
      </c>
      <c r="BB1476" s="53">
        <f>IF(A1476="","",IF(BK1476=1,"Neu; ","")&amp;IF(AND(BK1476=0,BF1476&lt;0),"negativer Bestand (Export "&amp;BF1476&amp;"); ","")&amp;IF(I1476&lt;=0,"Kein Verbrauch; ","")&amp;IF(BO1476=1,"Lose – Fläche geschätzt; ","")&amp;IF(G1476&gt;AM1476,"Überbestand "&amp;ROUND(G1476-AM1476,0)&amp;" Stk / CHF "&amp;ROUND((G1476-AM1476)*F1476,0)&amp;"; ","")&amp;IF(AND(BT1476=1,BU1476&lt;BV1476),"MAX &lt; MB+LG; ","")&amp;IF(AND(BZ1476&gt;0,BY1476*10&gt;BZ1476),"zu hoch für Tablar; ","")&amp;IF(AND(BK1476=0,OR(BT1476=1,V1476&lt;&gt;"",S1476&lt;&gt;"",T1476&lt;&gt;"",W1476&lt;&gt;"")),"manuell übersteuert; ","")&amp;IF(AND(BO1476=0,Q1476=0),"Gebinde unbekannt; ","")&amp;IF(AND(BO1476=0,N(T1476)&lt;=0,N(P1476)&lt;=0),"Menge pro Gebinde fehlt (Ist = 1 Gebinde); ","")&amp;BJ1476)</f>
        <v/>
      </c>
      <c r="BC1476" s="53" t="n"/>
      <c r="BD1476" s="53" t="n"/>
      <c r="BE1476" s="61" t="n"/>
      <c r="BF1476" s="55">
        <f>N('Neue Artikel'!$D$10)</f>
        <v/>
      </c>
      <c r="BG1476" s="55" t="n">
        <v>0</v>
      </c>
      <c r="BH1476" s="54" t="n">
        <v>0</v>
      </c>
      <c r="BI1476" s="55">
        <f>N('Neue Artikel'!$C$10)/Parameter!$B$18</f>
        <v/>
      </c>
      <c r="BJ1476" s="53" t="inlineStr"/>
      <c r="BK1476" s="58" t="n">
        <v>1</v>
      </c>
      <c r="BL1476" s="58" t="n">
        <v>1476</v>
      </c>
      <c r="BM1476" s="53">
        <f>IF(S1476&lt;&gt;"",UPPER(TRIM(S1476)),IF(O1476="","LOSE",O1476))</f>
        <v/>
      </c>
      <c r="BN1476" s="55">
        <f>IF(BM1476="LOSE",1,IF(N(T1476)&gt;0,T1476,IF(N(P1476)&gt;0,P1476,MAX(1,G1476))))</f>
        <v/>
      </c>
      <c r="BO1476" s="58">
        <f>IF(BM1476="LOSE",1,0)</f>
        <v/>
      </c>
      <c r="BP1476" s="64">
        <f>IF(BO1476=0,0,IF(N(R1476)&gt;0,R1476,IFERROR(VLOOKUP(D1476,Parameter!$A$35:$C$64,3,0)+0,0)))</f>
        <v/>
      </c>
      <c r="BQ1476" s="53">
        <f>IF(V1476&lt;&gt;"",V1476,U1476)</f>
        <v/>
      </c>
      <c r="BR1476" s="53">
        <f>IF(BQ1476=1,"L1",IF(OR(BQ1476=2,BQ1476=3),"L23",IF(BQ1476="Aussen","Aussen","-")))</f>
        <v/>
      </c>
      <c r="BS1476" s="66">
        <f>IF(N(W1476)&gt;0,W1476,0)</f>
        <v/>
      </c>
      <c r="BT1476" s="58">
        <f>IF(ISNUMBER(Z1476),1,0)</f>
        <v/>
      </c>
      <c r="BU1476" s="55">
        <f>N(Z1476)</f>
        <v/>
      </c>
      <c r="BV1476" s="55">
        <f>N(L1476)+N(M1476)</f>
        <v/>
      </c>
      <c r="BW1476" s="55">
        <f>ROUNDUP(G1476/BN1476,0)</f>
        <v/>
      </c>
      <c r="BX1476" s="55">
        <f>ROUNDUP(BU1476/BN1476,0)</f>
        <v/>
      </c>
      <c r="BY1476" s="58">
        <f>IF(BO1476=1,0,IFERROR(VLOOKUP(BM1476,'Gebinde-Kategorie'!$A$5:$G$45,5,0)+0,0))</f>
        <v/>
      </c>
      <c r="BZ1476" s="58">
        <f>IFERROR(IF(OR(BQ1476=1,BQ1476=2,BQ1476=3),N(INDEX(Parameter!$I$5:$I$7,BQ1476)),0),0)</f>
        <v/>
      </c>
    </row>
    <row r="1477">
      <c r="A1477" s="53">
        <f>IF('Neue Artikel'!$A$11="","",'Neue Artikel'!$A$11&amp;"")</f>
        <v/>
      </c>
      <c r="B1477" s="53">
        <f>'Neue Artikel'!$B$11&amp;""</f>
        <v/>
      </c>
      <c r="C1477" s="53" t="inlineStr"/>
      <c r="D1477" s="53" t="inlineStr">
        <is>
          <t>NEU</t>
        </is>
      </c>
      <c r="E1477" s="53" t="inlineStr"/>
      <c r="F1477" s="54">
        <f>N('Neue Artikel'!$G$11)</f>
        <v/>
      </c>
      <c r="G1477" s="55">
        <f>MAX(0,IF(Parameter!$B$20="Jahresanfang 2025 + Export",BG1477+BF1477,BF1477))</f>
        <v/>
      </c>
      <c r="H1477" s="55">
        <f>G1477*F1477</f>
        <v/>
      </c>
      <c r="I1477" s="55">
        <f>BI1477*Parameter!$B$18</f>
        <v/>
      </c>
      <c r="J1477" s="56" t="n"/>
      <c r="K1477" s="57" t="n"/>
      <c r="L1477" s="55">
        <f>N('Neue Artikel'!$E$11)</f>
        <v/>
      </c>
      <c r="M1477" s="55">
        <f>N('Neue Artikel'!$F$11)</f>
        <v/>
      </c>
      <c r="N1477" s="58" t="n"/>
      <c r="O1477" s="53">
        <f>IF('Neue Artikel'!$H$11="","LOSE",UPPER(TRIM('Neue Artikel'!$H$11)))</f>
        <v/>
      </c>
      <c r="P1477" s="55">
        <f>N('Neue Artikel'!$I$11)</f>
        <v/>
      </c>
      <c r="Q1477" s="59">
        <f>IF(BO1477=1,0,IFERROR(VLOOKUP(BM1477,'Gebinde-Kategorie'!$A$5:$G$45,6,0)+0,0))</f>
        <v/>
      </c>
      <c r="R1477" s="60" t="n"/>
      <c r="S1477" s="61" t="n"/>
      <c r="T1477" s="61" t="n"/>
      <c r="U1477" s="53">
        <f>IF(A1477="","",IF(IFERROR(VLOOKUP(D1477,Parameter!$A$35:$C$64,2,0),"Nein")="2+3",IF(ISNUMBER(SEARCH("grosser Artikel",BJ1477)),2,IFERROR(VLOOKUP(BM1477,Parameter!$F$35:$G$64,2,0),2)),IF(OR(IFERROR(VLOOKUP(D1477,Parameter!$A$35:$C$64,2,0),"Nein")="Nein",IFERROR(VLOOKUP(D1477,Parameter!$A$35:$C$64,2,0),"Nein")=""),"-",VLOOKUP(D1477,Parameter!$A$35:$C$64,2,0))))</f>
        <v/>
      </c>
      <c r="V1477" s="53">
        <f>IF('Neue Artikel'!$J$11="","",'Neue Artikel'!$J$11)</f>
        <v/>
      </c>
      <c r="W1477" s="62" t="n"/>
      <c r="X1477" s="55">
        <f>AM1477</f>
        <v/>
      </c>
      <c r="Y1477" s="55">
        <f>MAX(AM1477,G1477)</f>
        <v/>
      </c>
      <c r="Z1477" s="63" t="n"/>
      <c r="AA1477" s="55">
        <f>IF(LEFT(Cockpit!$C$5,1)="A",G1477,IF(BT1477=1,BU1477,IF(LEFT(Cockpit!$C$5,1)="B",AE1477,MAX(AE1477,G1477))))</f>
        <v/>
      </c>
      <c r="AB1477" s="55">
        <f>IF(BO1477=1,0,ROUNDUP(AA1477/BN1477,0))</f>
        <v/>
      </c>
      <c r="AC1477" s="64">
        <f>IF(BO1477=1,IF(AA1477&lt;=0,0,BP1477*MAX(1,IF(G1477&gt;0,AA1477/G1477,1))),AB1477*Q1477)</f>
        <v/>
      </c>
      <c r="AD1477" s="55">
        <f>AA1477*F1477</f>
        <v/>
      </c>
      <c r="AE1477" s="55">
        <f>ROUNDUP(MAX(I1477/IF(BS1477&gt;0,BS1477,MAX(0.1,N(Cockpit!$C$6))),BV1477)/BN1477,0)*BN1477</f>
        <v/>
      </c>
      <c r="AF1477" s="56">
        <f>IF(AC1477&gt;0,I1477/AC1477,-1)</f>
        <v/>
      </c>
      <c r="AG1477" s="56">
        <f>IF(AND(OR(BR1477="L1",BR1477="L23"),AC1477&gt;0),SUMIFS($AC$7:$AC$1570,$BR$7:$BR$1570,BR1477,$AF$7:$AF$1570,"&gt;"&amp;AF1477)+SUMIFS($AC$7:$AC$1570,$BR$7:$BR$1570,BR1477,$AF$7:$AF$1570,AF1477,$BL$7:$BL$1570,"&lt;="&amp;BL1477),"")</f>
        <v/>
      </c>
      <c r="AH1477" s="65">
        <f>IF(AG1477="",0,MAX(0,MIN(1,(IF(BR1477="L1",Parameter!$K$5,Parameter!$K$6+Parameter!$K$7)-(AG1477-AC1477))/AC1477)))</f>
        <v/>
      </c>
      <c r="AI1477" s="55">
        <f>IF(LEFT(Cockpit!$I$5,1)="A",G1477,IF(BT1477=1,BU1477,IF(LEFT(Cockpit!$I$5,1)="B",AM1477,MAX(AM1477,G1477))))</f>
        <v/>
      </c>
      <c r="AJ1477" s="55">
        <f>IF(BO1477=1,0,ROUNDUP(AI1477/BN1477,0))</f>
        <v/>
      </c>
      <c r="AK1477" s="64">
        <f>IF(BO1477=1,IF(AI1477&lt;=0,0,BP1477*MAX(1,IF(G1477&gt;0,AI1477/G1477,1))),AJ1477*Q1477)</f>
        <v/>
      </c>
      <c r="AL1477" s="55">
        <f>AI1477*F1477</f>
        <v/>
      </c>
      <c r="AM1477" s="55">
        <f>ROUNDUP(MAX(I1477/IF(BS1477&gt;0,BS1477,MAX(0.1,N(Cockpit!$I$6))),BV1477)/BN1477,0)*BN1477</f>
        <v/>
      </c>
      <c r="AN1477" s="56">
        <f>IF(AK1477&gt;0,I1477/AK1477,-1)</f>
        <v/>
      </c>
      <c r="AO1477" s="56">
        <f>IF(AND(OR(BR1477="L1",BR1477="L23"),AK1477&gt;0),SUMIFS($AK$7:$AK$1570,$BR$7:$BR$1570,BR1477,$AN$7:$AN$1570,"&gt;"&amp;AN1477)+SUMIFS($AK$7:$AK$1570,$BR$7:$BR$1570,BR1477,$AN$7:$AN$1570,AN1477,$BL$7:$BL$1570,"&lt;="&amp;BL1477),"")</f>
        <v/>
      </c>
      <c r="AP1477" s="65">
        <f>IF(AO1477="",0,MAX(0,MIN(1,(IF(BR1477="L1",Parameter!$K$5,Parameter!$K$6+Parameter!$K$7)-(AO1477-AK1477))/AK1477)))</f>
        <v/>
      </c>
      <c r="AQ1477" s="55">
        <f>IF(LEFT(Cockpit!$O$5,1)="A",G1477,IF(BT1477=1,BU1477,IF(LEFT(Cockpit!$O$5,1)="B",AU1477,MAX(AU1477,G1477))))</f>
        <v/>
      </c>
      <c r="AR1477" s="55">
        <f>IF(BO1477=1,0,ROUNDUP(AQ1477/BN1477,0))</f>
        <v/>
      </c>
      <c r="AS1477" s="64">
        <f>IF(BO1477=1,IF(AQ1477&lt;=0,0,BP1477*MAX(1,IF(G1477&gt;0,AQ1477/G1477,1))),AR1477*Q1477)</f>
        <v/>
      </c>
      <c r="AT1477" s="55">
        <f>AQ1477*F1477</f>
        <v/>
      </c>
      <c r="AU1477" s="55">
        <f>ROUNDUP(MAX(I1477/IF(BS1477&gt;0,BS1477,MAX(0.1,N(Cockpit!$O$6))),BV1477)/BN1477,0)*BN1477</f>
        <v/>
      </c>
      <c r="AV1477" s="56">
        <f>IF(AS1477&gt;0,I1477/AS1477,-1)</f>
        <v/>
      </c>
      <c r="AW1477" s="56">
        <f>IF(AND(OR(BR1477="L1",BR1477="L23"),AS1477&gt;0),SUMIFS($AS$7:$AS$1570,$BR$7:$BR$1570,BR1477,$AV$7:$AV$1570,"&gt;"&amp;AV1477)+SUMIFS($AS$7:$AS$1570,$BR$7:$BR$1570,BR1477,$AV$7:$AV$1570,AV1477,$BL$7:$BL$1570,"&lt;="&amp;BL1477),"")</f>
        <v/>
      </c>
      <c r="AX1477" s="65">
        <f>IF(AW1477="",0,MAX(0,MIN(1,(IF(BR1477="L1",Parameter!$K$5,Parameter!$K$6+Parameter!$K$7)-(AW1477-AS1477))/AS1477)))</f>
        <v/>
      </c>
      <c r="AY1477" s="53">
        <f>IF(AC1477&lt;=0,"",IF(BR1477="Aussen","Aussenlager",IF(BR1477="-","Nicht im Lift",IF(AH1477&gt;=1,"Lift",IF(AH1477&lt;=0,"Aussenlager","teilweise")))))</f>
        <v/>
      </c>
      <c r="AZ1477" s="53">
        <f>IF(AK1477&lt;=0,"",IF(BR1477="Aussen","Aussenlager",IF(BR1477="-","Nicht im Lift",IF(AP1477&gt;=1,"Lift",IF(AP1477&lt;=0,"Aussenlager","teilweise")))))</f>
        <v/>
      </c>
      <c r="BA1477" s="53">
        <f>IF(AS1477&lt;=0,"",IF(BR1477="Aussen","Aussenlager",IF(BR1477="-","Nicht im Lift",IF(AX1477&gt;=1,"Lift",IF(AX1477&lt;=0,"Aussenlager","teilweise")))))</f>
        <v/>
      </c>
      <c r="BB1477" s="53">
        <f>IF(A1477="","",IF(BK1477=1,"Neu; ","")&amp;IF(AND(BK1477=0,BF1477&lt;0),"negativer Bestand (Export "&amp;BF1477&amp;"); ","")&amp;IF(I1477&lt;=0,"Kein Verbrauch; ","")&amp;IF(BO1477=1,"Lose – Fläche geschätzt; ","")&amp;IF(G1477&gt;AM1477,"Überbestand "&amp;ROUND(G1477-AM1477,0)&amp;" Stk / CHF "&amp;ROUND((G1477-AM1477)*F1477,0)&amp;"; ","")&amp;IF(AND(BT1477=1,BU1477&lt;BV1477),"MAX &lt; MB+LG; ","")&amp;IF(AND(BZ1477&gt;0,BY1477*10&gt;BZ1477),"zu hoch für Tablar; ","")&amp;IF(AND(BK1477=0,OR(BT1477=1,V1477&lt;&gt;"",S1477&lt;&gt;"",T1477&lt;&gt;"",W1477&lt;&gt;"")),"manuell übersteuert; ","")&amp;IF(AND(BO1477=0,Q1477=0),"Gebinde unbekannt; ","")&amp;IF(AND(BO1477=0,N(T1477)&lt;=0,N(P1477)&lt;=0),"Menge pro Gebinde fehlt (Ist = 1 Gebinde); ","")&amp;BJ1477)</f>
        <v/>
      </c>
      <c r="BC1477" s="53" t="n"/>
      <c r="BD1477" s="53" t="n"/>
      <c r="BE1477" s="61" t="n"/>
      <c r="BF1477" s="55">
        <f>N('Neue Artikel'!$D$11)</f>
        <v/>
      </c>
      <c r="BG1477" s="55" t="n">
        <v>0</v>
      </c>
      <c r="BH1477" s="54" t="n">
        <v>0</v>
      </c>
      <c r="BI1477" s="55">
        <f>N('Neue Artikel'!$C$11)/Parameter!$B$18</f>
        <v/>
      </c>
      <c r="BJ1477" s="53" t="inlineStr"/>
      <c r="BK1477" s="58" t="n">
        <v>1</v>
      </c>
      <c r="BL1477" s="58" t="n">
        <v>1477</v>
      </c>
      <c r="BM1477" s="53">
        <f>IF(S1477&lt;&gt;"",UPPER(TRIM(S1477)),IF(O1477="","LOSE",O1477))</f>
        <v/>
      </c>
      <c r="BN1477" s="55">
        <f>IF(BM1477="LOSE",1,IF(N(T1477)&gt;0,T1477,IF(N(P1477)&gt;0,P1477,MAX(1,G1477))))</f>
        <v/>
      </c>
      <c r="BO1477" s="58">
        <f>IF(BM1477="LOSE",1,0)</f>
        <v/>
      </c>
      <c r="BP1477" s="64">
        <f>IF(BO1477=0,0,IF(N(R1477)&gt;0,R1477,IFERROR(VLOOKUP(D1477,Parameter!$A$35:$C$64,3,0)+0,0)))</f>
        <v/>
      </c>
      <c r="BQ1477" s="53">
        <f>IF(V1477&lt;&gt;"",V1477,U1477)</f>
        <v/>
      </c>
      <c r="BR1477" s="53">
        <f>IF(BQ1477=1,"L1",IF(OR(BQ1477=2,BQ1477=3),"L23",IF(BQ1477="Aussen","Aussen","-")))</f>
        <v/>
      </c>
      <c r="BS1477" s="66">
        <f>IF(N(W1477)&gt;0,W1477,0)</f>
        <v/>
      </c>
      <c r="BT1477" s="58">
        <f>IF(ISNUMBER(Z1477),1,0)</f>
        <v/>
      </c>
      <c r="BU1477" s="55">
        <f>N(Z1477)</f>
        <v/>
      </c>
      <c r="BV1477" s="55">
        <f>N(L1477)+N(M1477)</f>
        <v/>
      </c>
      <c r="BW1477" s="55">
        <f>ROUNDUP(G1477/BN1477,0)</f>
        <v/>
      </c>
      <c r="BX1477" s="55">
        <f>ROUNDUP(BU1477/BN1477,0)</f>
        <v/>
      </c>
      <c r="BY1477" s="58">
        <f>IF(BO1477=1,0,IFERROR(VLOOKUP(BM1477,'Gebinde-Kategorie'!$A$5:$G$45,5,0)+0,0))</f>
        <v/>
      </c>
      <c r="BZ1477" s="58">
        <f>IFERROR(IF(OR(BQ1477=1,BQ1477=2,BQ1477=3),N(INDEX(Parameter!$I$5:$I$7,BQ1477)),0),0)</f>
        <v/>
      </c>
    </row>
    <row r="1478">
      <c r="A1478" s="53">
        <f>IF('Neue Artikel'!$A$12="","",'Neue Artikel'!$A$12&amp;"")</f>
        <v/>
      </c>
      <c r="B1478" s="53">
        <f>'Neue Artikel'!$B$12&amp;""</f>
        <v/>
      </c>
      <c r="C1478" s="53" t="inlineStr"/>
      <c r="D1478" s="53" t="inlineStr">
        <is>
          <t>NEU</t>
        </is>
      </c>
      <c r="E1478" s="53" t="inlineStr"/>
      <c r="F1478" s="54">
        <f>N('Neue Artikel'!$G$12)</f>
        <v/>
      </c>
      <c r="G1478" s="55">
        <f>MAX(0,IF(Parameter!$B$20="Jahresanfang 2025 + Export",BG1478+BF1478,BF1478))</f>
        <v/>
      </c>
      <c r="H1478" s="55">
        <f>G1478*F1478</f>
        <v/>
      </c>
      <c r="I1478" s="55">
        <f>BI1478*Parameter!$B$18</f>
        <v/>
      </c>
      <c r="J1478" s="56" t="n"/>
      <c r="K1478" s="57" t="n"/>
      <c r="L1478" s="55">
        <f>N('Neue Artikel'!$E$12)</f>
        <v/>
      </c>
      <c r="M1478" s="55">
        <f>N('Neue Artikel'!$F$12)</f>
        <v/>
      </c>
      <c r="N1478" s="58" t="n"/>
      <c r="O1478" s="53">
        <f>IF('Neue Artikel'!$H$12="","LOSE",UPPER(TRIM('Neue Artikel'!$H$12)))</f>
        <v/>
      </c>
      <c r="P1478" s="55">
        <f>N('Neue Artikel'!$I$12)</f>
        <v/>
      </c>
      <c r="Q1478" s="59">
        <f>IF(BO1478=1,0,IFERROR(VLOOKUP(BM1478,'Gebinde-Kategorie'!$A$5:$G$45,6,0)+0,0))</f>
        <v/>
      </c>
      <c r="R1478" s="60" t="n"/>
      <c r="S1478" s="61" t="n"/>
      <c r="T1478" s="61" t="n"/>
      <c r="U1478" s="53">
        <f>IF(A1478="","",IF(IFERROR(VLOOKUP(D1478,Parameter!$A$35:$C$64,2,0),"Nein")="2+3",IF(ISNUMBER(SEARCH("grosser Artikel",BJ1478)),2,IFERROR(VLOOKUP(BM1478,Parameter!$F$35:$G$64,2,0),2)),IF(OR(IFERROR(VLOOKUP(D1478,Parameter!$A$35:$C$64,2,0),"Nein")="Nein",IFERROR(VLOOKUP(D1478,Parameter!$A$35:$C$64,2,0),"Nein")=""),"-",VLOOKUP(D1478,Parameter!$A$35:$C$64,2,0))))</f>
        <v/>
      </c>
      <c r="V1478" s="53">
        <f>IF('Neue Artikel'!$J$12="","",'Neue Artikel'!$J$12)</f>
        <v/>
      </c>
      <c r="W1478" s="62" t="n"/>
      <c r="X1478" s="55">
        <f>AM1478</f>
        <v/>
      </c>
      <c r="Y1478" s="55">
        <f>MAX(AM1478,G1478)</f>
        <v/>
      </c>
      <c r="Z1478" s="63" t="n"/>
      <c r="AA1478" s="55">
        <f>IF(LEFT(Cockpit!$C$5,1)="A",G1478,IF(BT1478=1,BU1478,IF(LEFT(Cockpit!$C$5,1)="B",AE1478,MAX(AE1478,G1478))))</f>
        <v/>
      </c>
      <c r="AB1478" s="55">
        <f>IF(BO1478=1,0,ROUNDUP(AA1478/BN1478,0))</f>
        <v/>
      </c>
      <c r="AC1478" s="64">
        <f>IF(BO1478=1,IF(AA1478&lt;=0,0,BP1478*MAX(1,IF(G1478&gt;0,AA1478/G1478,1))),AB1478*Q1478)</f>
        <v/>
      </c>
      <c r="AD1478" s="55">
        <f>AA1478*F1478</f>
        <v/>
      </c>
      <c r="AE1478" s="55">
        <f>ROUNDUP(MAX(I1478/IF(BS1478&gt;0,BS1478,MAX(0.1,N(Cockpit!$C$6))),BV1478)/BN1478,0)*BN1478</f>
        <v/>
      </c>
      <c r="AF1478" s="56">
        <f>IF(AC1478&gt;0,I1478/AC1478,-1)</f>
        <v/>
      </c>
      <c r="AG1478" s="56">
        <f>IF(AND(OR(BR1478="L1",BR1478="L23"),AC1478&gt;0),SUMIFS($AC$7:$AC$1570,$BR$7:$BR$1570,BR1478,$AF$7:$AF$1570,"&gt;"&amp;AF1478)+SUMIFS($AC$7:$AC$1570,$BR$7:$BR$1570,BR1478,$AF$7:$AF$1570,AF1478,$BL$7:$BL$1570,"&lt;="&amp;BL1478),"")</f>
        <v/>
      </c>
      <c r="AH1478" s="65">
        <f>IF(AG1478="",0,MAX(0,MIN(1,(IF(BR1478="L1",Parameter!$K$5,Parameter!$K$6+Parameter!$K$7)-(AG1478-AC1478))/AC1478)))</f>
        <v/>
      </c>
      <c r="AI1478" s="55">
        <f>IF(LEFT(Cockpit!$I$5,1)="A",G1478,IF(BT1478=1,BU1478,IF(LEFT(Cockpit!$I$5,1)="B",AM1478,MAX(AM1478,G1478))))</f>
        <v/>
      </c>
      <c r="AJ1478" s="55">
        <f>IF(BO1478=1,0,ROUNDUP(AI1478/BN1478,0))</f>
        <v/>
      </c>
      <c r="AK1478" s="64">
        <f>IF(BO1478=1,IF(AI1478&lt;=0,0,BP1478*MAX(1,IF(G1478&gt;0,AI1478/G1478,1))),AJ1478*Q1478)</f>
        <v/>
      </c>
      <c r="AL1478" s="55">
        <f>AI1478*F1478</f>
        <v/>
      </c>
      <c r="AM1478" s="55">
        <f>ROUNDUP(MAX(I1478/IF(BS1478&gt;0,BS1478,MAX(0.1,N(Cockpit!$I$6))),BV1478)/BN1478,0)*BN1478</f>
        <v/>
      </c>
      <c r="AN1478" s="56">
        <f>IF(AK1478&gt;0,I1478/AK1478,-1)</f>
        <v/>
      </c>
      <c r="AO1478" s="56">
        <f>IF(AND(OR(BR1478="L1",BR1478="L23"),AK1478&gt;0),SUMIFS($AK$7:$AK$1570,$BR$7:$BR$1570,BR1478,$AN$7:$AN$1570,"&gt;"&amp;AN1478)+SUMIFS($AK$7:$AK$1570,$BR$7:$BR$1570,BR1478,$AN$7:$AN$1570,AN1478,$BL$7:$BL$1570,"&lt;="&amp;BL1478),"")</f>
        <v/>
      </c>
      <c r="AP1478" s="65">
        <f>IF(AO1478="",0,MAX(0,MIN(1,(IF(BR1478="L1",Parameter!$K$5,Parameter!$K$6+Parameter!$K$7)-(AO1478-AK1478))/AK1478)))</f>
        <v/>
      </c>
      <c r="AQ1478" s="55">
        <f>IF(LEFT(Cockpit!$O$5,1)="A",G1478,IF(BT1478=1,BU1478,IF(LEFT(Cockpit!$O$5,1)="B",AU1478,MAX(AU1478,G1478))))</f>
        <v/>
      </c>
      <c r="AR1478" s="55">
        <f>IF(BO1478=1,0,ROUNDUP(AQ1478/BN1478,0))</f>
        <v/>
      </c>
      <c r="AS1478" s="64">
        <f>IF(BO1478=1,IF(AQ1478&lt;=0,0,BP1478*MAX(1,IF(G1478&gt;0,AQ1478/G1478,1))),AR1478*Q1478)</f>
        <v/>
      </c>
      <c r="AT1478" s="55">
        <f>AQ1478*F1478</f>
        <v/>
      </c>
      <c r="AU1478" s="55">
        <f>ROUNDUP(MAX(I1478/IF(BS1478&gt;0,BS1478,MAX(0.1,N(Cockpit!$O$6))),BV1478)/BN1478,0)*BN1478</f>
        <v/>
      </c>
      <c r="AV1478" s="56">
        <f>IF(AS1478&gt;0,I1478/AS1478,-1)</f>
        <v/>
      </c>
      <c r="AW1478" s="56">
        <f>IF(AND(OR(BR1478="L1",BR1478="L23"),AS1478&gt;0),SUMIFS($AS$7:$AS$1570,$BR$7:$BR$1570,BR1478,$AV$7:$AV$1570,"&gt;"&amp;AV1478)+SUMIFS($AS$7:$AS$1570,$BR$7:$BR$1570,BR1478,$AV$7:$AV$1570,AV1478,$BL$7:$BL$1570,"&lt;="&amp;BL1478),"")</f>
        <v/>
      </c>
      <c r="AX1478" s="65">
        <f>IF(AW1478="",0,MAX(0,MIN(1,(IF(BR1478="L1",Parameter!$K$5,Parameter!$K$6+Parameter!$K$7)-(AW1478-AS1478))/AS1478)))</f>
        <v/>
      </c>
      <c r="AY1478" s="53">
        <f>IF(AC1478&lt;=0,"",IF(BR1478="Aussen","Aussenlager",IF(BR1478="-","Nicht im Lift",IF(AH1478&gt;=1,"Lift",IF(AH1478&lt;=0,"Aussenlager","teilweise")))))</f>
        <v/>
      </c>
      <c r="AZ1478" s="53">
        <f>IF(AK1478&lt;=0,"",IF(BR1478="Aussen","Aussenlager",IF(BR1478="-","Nicht im Lift",IF(AP1478&gt;=1,"Lift",IF(AP1478&lt;=0,"Aussenlager","teilweise")))))</f>
        <v/>
      </c>
      <c r="BA1478" s="53">
        <f>IF(AS1478&lt;=0,"",IF(BR1478="Aussen","Aussenlager",IF(BR1478="-","Nicht im Lift",IF(AX1478&gt;=1,"Lift",IF(AX1478&lt;=0,"Aussenlager","teilweise")))))</f>
        <v/>
      </c>
      <c r="BB1478" s="53">
        <f>IF(A1478="","",IF(BK1478=1,"Neu; ","")&amp;IF(AND(BK1478=0,BF1478&lt;0),"negativer Bestand (Export "&amp;BF1478&amp;"); ","")&amp;IF(I1478&lt;=0,"Kein Verbrauch; ","")&amp;IF(BO1478=1,"Lose – Fläche geschätzt; ","")&amp;IF(G1478&gt;AM1478,"Überbestand "&amp;ROUND(G1478-AM1478,0)&amp;" Stk / CHF "&amp;ROUND((G1478-AM1478)*F1478,0)&amp;"; ","")&amp;IF(AND(BT1478=1,BU1478&lt;BV1478),"MAX &lt; MB+LG; ","")&amp;IF(AND(BZ1478&gt;0,BY1478*10&gt;BZ1478),"zu hoch für Tablar; ","")&amp;IF(AND(BK1478=0,OR(BT1478=1,V1478&lt;&gt;"",S1478&lt;&gt;"",T1478&lt;&gt;"",W1478&lt;&gt;"")),"manuell übersteuert; ","")&amp;IF(AND(BO1478=0,Q1478=0),"Gebinde unbekannt; ","")&amp;IF(AND(BO1478=0,N(T1478)&lt;=0,N(P1478)&lt;=0),"Menge pro Gebinde fehlt (Ist = 1 Gebinde); ","")&amp;BJ1478)</f>
        <v/>
      </c>
      <c r="BC1478" s="53" t="n"/>
      <c r="BD1478" s="53" t="n"/>
      <c r="BE1478" s="61" t="n"/>
      <c r="BF1478" s="55">
        <f>N('Neue Artikel'!$D$12)</f>
        <v/>
      </c>
      <c r="BG1478" s="55" t="n">
        <v>0</v>
      </c>
      <c r="BH1478" s="54" t="n">
        <v>0</v>
      </c>
      <c r="BI1478" s="55">
        <f>N('Neue Artikel'!$C$12)/Parameter!$B$18</f>
        <v/>
      </c>
      <c r="BJ1478" s="53" t="inlineStr"/>
      <c r="BK1478" s="58" t="n">
        <v>1</v>
      </c>
      <c r="BL1478" s="58" t="n">
        <v>1478</v>
      </c>
      <c r="BM1478" s="53">
        <f>IF(S1478&lt;&gt;"",UPPER(TRIM(S1478)),IF(O1478="","LOSE",O1478))</f>
        <v/>
      </c>
      <c r="BN1478" s="55">
        <f>IF(BM1478="LOSE",1,IF(N(T1478)&gt;0,T1478,IF(N(P1478)&gt;0,P1478,MAX(1,G1478))))</f>
        <v/>
      </c>
      <c r="BO1478" s="58">
        <f>IF(BM1478="LOSE",1,0)</f>
        <v/>
      </c>
      <c r="BP1478" s="64">
        <f>IF(BO1478=0,0,IF(N(R1478)&gt;0,R1478,IFERROR(VLOOKUP(D1478,Parameter!$A$35:$C$64,3,0)+0,0)))</f>
        <v/>
      </c>
      <c r="BQ1478" s="53">
        <f>IF(V1478&lt;&gt;"",V1478,U1478)</f>
        <v/>
      </c>
      <c r="BR1478" s="53">
        <f>IF(BQ1478=1,"L1",IF(OR(BQ1478=2,BQ1478=3),"L23",IF(BQ1478="Aussen","Aussen","-")))</f>
        <v/>
      </c>
      <c r="BS1478" s="66">
        <f>IF(N(W1478)&gt;0,W1478,0)</f>
        <v/>
      </c>
      <c r="BT1478" s="58">
        <f>IF(ISNUMBER(Z1478),1,0)</f>
        <v/>
      </c>
      <c r="BU1478" s="55">
        <f>N(Z1478)</f>
        <v/>
      </c>
      <c r="BV1478" s="55">
        <f>N(L1478)+N(M1478)</f>
        <v/>
      </c>
      <c r="BW1478" s="55">
        <f>ROUNDUP(G1478/BN1478,0)</f>
        <v/>
      </c>
      <c r="BX1478" s="55">
        <f>ROUNDUP(BU1478/BN1478,0)</f>
        <v/>
      </c>
      <c r="BY1478" s="58">
        <f>IF(BO1478=1,0,IFERROR(VLOOKUP(BM1478,'Gebinde-Kategorie'!$A$5:$G$45,5,0)+0,0))</f>
        <v/>
      </c>
      <c r="BZ1478" s="58">
        <f>IFERROR(IF(OR(BQ1478=1,BQ1478=2,BQ1478=3),N(INDEX(Parameter!$I$5:$I$7,BQ1478)),0),0)</f>
        <v/>
      </c>
    </row>
    <row r="1479">
      <c r="A1479" s="53">
        <f>IF('Neue Artikel'!$A$13="","",'Neue Artikel'!$A$13&amp;"")</f>
        <v/>
      </c>
      <c r="B1479" s="53">
        <f>'Neue Artikel'!$B$13&amp;""</f>
        <v/>
      </c>
      <c r="C1479" s="53" t="inlineStr"/>
      <c r="D1479" s="53" t="inlineStr">
        <is>
          <t>NEU</t>
        </is>
      </c>
      <c r="E1479" s="53" t="inlineStr"/>
      <c r="F1479" s="54">
        <f>N('Neue Artikel'!$G$13)</f>
        <v/>
      </c>
      <c r="G1479" s="55">
        <f>MAX(0,IF(Parameter!$B$20="Jahresanfang 2025 + Export",BG1479+BF1479,BF1479))</f>
        <v/>
      </c>
      <c r="H1479" s="55">
        <f>G1479*F1479</f>
        <v/>
      </c>
      <c r="I1479" s="55">
        <f>BI1479*Parameter!$B$18</f>
        <v/>
      </c>
      <c r="J1479" s="56" t="n"/>
      <c r="K1479" s="57" t="n"/>
      <c r="L1479" s="55">
        <f>N('Neue Artikel'!$E$13)</f>
        <v/>
      </c>
      <c r="M1479" s="55">
        <f>N('Neue Artikel'!$F$13)</f>
        <v/>
      </c>
      <c r="N1479" s="58" t="n"/>
      <c r="O1479" s="53">
        <f>IF('Neue Artikel'!$H$13="","LOSE",UPPER(TRIM('Neue Artikel'!$H$13)))</f>
        <v/>
      </c>
      <c r="P1479" s="55">
        <f>N('Neue Artikel'!$I$13)</f>
        <v/>
      </c>
      <c r="Q1479" s="59">
        <f>IF(BO1479=1,0,IFERROR(VLOOKUP(BM1479,'Gebinde-Kategorie'!$A$5:$G$45,6,0)+0,0))</f>
        <v/>
      </c>
      <c r="R1479" s="60" t="n"/>
      <c r="S1479" s="61" t="n"/>
      <c r="T1479" s="61" t="n"/>
      <c r="U1479" s="53">
        <f>IF(A1479="","",IF(IFERROR(VLOOKUP(D1479,Parameter!$A$35:$C$64,2,0),"Nein")="2+3",IF(ISNUMBER(SEARCH("grosser Artikel",BJ1479)),2,IFERROR(VLOOKUP(BM1479,Parameter!$F$35:$G$64,2,0),2)),IF(OR(IFERROR(VLOOKUP(D1479,Parameter!$A$35:$C$64,2,0),"Nein")="Nein",IFERROR(VLOOKUP(D1479,Parameter!$A$35:$C$64,2,0),"Nein")=""),"-",VLOOKUP(D1479,Parameter!$A$35:$C$64,2,0))))</f>
        <v/>
      </c>
      <c r="V1479" s="53">
        <f>IF('Neue Artikel'!$J$13="","",'Neue Artikel'!$J$13)</f>
        <v/>
      </c>
      <c r="W1479" s="62" t="n"/>
      <c r="X1479" s="55">
        <f>AM1479</f>
        <v/>
      </c>
      <c r="Y1479" s="55">
        <f>MAX(AM1479,G1479)</f>
        <v/>
      </c>
      <c r="Z1479" s="63" t="n"/>
      <c r="AA1479" s="55">
        <f>IF(LEFT(Cockpit!$C$5,1)="A",G1479,IF(BT1479=1,BU1479,IF(LEFT(Cockpit!$C$5,1)="B",AE1479,MAX(AE1479,G1479))))</f>
        <v/>
      </c>
      <c r="AB1479" s="55">
        <f>IF(BO1479=1,0,ROUNDUP(AA1479/BN1479,0))</f>
        <v/>
      </c>
      <c r="AC1479" s="64">
        <f>IF(BO1479=1,IF(AA1479&lt;=0,0,BP1479*MAX(1,IF(G1479&gt;0,AA1479/G1479,1))),AB1479*Q1479)</f>
        <v/>
      </c>
      <c r="AD1479" s="55">
        <f>AA1479*F1479</f>
        <v/>
      </c>
      <c r="AE1479" s="55">
        <f>ROUNDUP(MAX(I1479/IF(BS1479&gt;0,BS1479,MAX(0.1,N(Cockpit!$C$6))),BV1479)/BN1479,0)*BN1479</f>
        <v/>
      </c>
      <c r="AF1479" s="56">
        <f>IF(AC1479&gt;0,I1479/AC1479,-1)</f>
        <v/>
      </c>
      <c r="AG1479" s="56">
        <f>IF(AND(OR(BR1479="L1",BR1479="L23"),AC1479&gt;0),SUMIFS($AC$7:$AC$1570,$BR$7:$BR$1570,BR1479,$AF$7:$AF$1570,"&gt;"&amp;AF1479)+SUMIFS($AC$7:$AC$1570,$BR$7:$BR$1570,BR1479,$AF$7:$AF$1570,AF1479,$BL$7:$BL$1570,"&lt;="&amp;BL1479),"")</f>
        <v/>
      </c>
      <c r="AH1479" s="65">
        <f>IF(AG1479="",0,MAX(0,MIN(1,(IF(BR1479="L1",Parameter!$K$5,Parameter!$K$6+Parameter!$K$7)-(AG1479-AC1479))/AC1479)))</f>
        <v/>
      </c>
      <c r="AI1479" s="55">
        <f>IF(LEFT(Cockpit!$I$5,1)="A",G1479,IF(BT1479=1,BU1479,IF(LEFT(Cockpit!$I$5,1)="B",AM1479,MAX(AM1479,G1479))))</f>
        <v/>
      </c>
      <c r="AJ1479" s="55">
        <f>IF(BO1479=1,0,ROUNDUP(AI1479/BN1479,0))</f>
        <v/>
      </c>
      <c r="AK1479" s="64">
        <f>IF(BO1479=1,IF(AI1479&lt;=0,0,BP1479*MAX(1,IF(G1479&gt;0,AI1479/G1479,1))),AJ1479*Q1479)</f>
        <v/>
      </c>
      <c r="AL1479" s="55">
        <f>AI1479*F1479</f>
        <v/>
      </c>
      <c r="AM1479" s="55">
        <f>ROUNDUP(MAX(I1479/IF(BS1479&gt;0,BS1479,MAX(0.1,N(Cockpit!$I$6))),BV1479)/BN1479,0)*BN1479</f>
        <v/>
      </c>
      <c r="AN1479" s="56">
        <f>IF(AK1479&gt;0,I1479/AK1479,-1)</f>
        <v/>
      </c>
      <c r="AO1479" s="56">
        <f>IF(AND(OR(BR1479="L1",BR1479="L23"),AK1479&gt;0),SUMIFS($AK$7:$AK$1570,$BR$7:$BR$1570,BR1479,$AN$7:$AN$1570,"&gt;"&amp;AN1479)+SUMIFS($AK$7:$AK$1570,$BR$7:$BR$1570,BR1479,$AN$7:$AN$1570,AN1479,$BL$7:$BL$1570,"&lt;="&amp;BL1479),"")</f>
        <v/>
      </c>
      <c r="AP1479" s="65">
        <f>IF(AO1479="",0,MAX(0,MIN(1,(IF(BR1479="L1",Parameter!$K$5,Parameter!$K$6+Parameter!$K$7)-(AO1479-AK1479))/AK1479)))</f>
        <v/>
      </c>
      <c r="AQ1479" s="55">
        <f>IF(LEFT(Cockpit!$O$5,1)="A",G1479,IF(BT1479=1,BU1479,IF(LEFT(Cockpit!$O$5,1)="B",AU1479,MAX(AU1479,G1479))))</f>
        <v/>
      </c>
      <c r="AR1479" s="55">
        <f>IF(BO1479=1,0,ROUNDUP(AQ1479/BN1479,0))</f>
        <v/>
      </c>
      <c r="AS1479" s="64">
        <f>IF(BO1479=1,IF(AQ1479&lt;=0,0,BP1479*MAX(1,IF(G1479&gt;0,AQ1479/G1479,1))),AR1479*Q1479)</f>
        <v/>
      </c>
      <c r="AT1479" s="55">
        <f>AQ1479*F1479</f>
        <v/>
      </c>
      <c r="AU1479" s="55">
        <f>ROUNDUP(MAX(I1479/IF(BS1479&gt;0,BS1479,MAX(0.1,N(Cockpit!$O$6))),BV1479)/BN1479,0)*BN1479</f>
        <v/>
      </c>
      <c r="AV1479" s="56">
        <f>IF(AS1479&gt;0,I1479/AS1479,-1)</f>
        <v/>
      </c>
      <c r="AW1479" s="56">
        <f>IF(AND(OR(BR1479="L1",BR1479="L23"),AS1479&gt;0),SUMIFS($AS$7:$AS$1570,$BR$7:$BR$1570,BR1479,$AV$7:$AV$1570,"&gt;"&amp;AV1479)+SUMIFS($AS$7:$AS$1570,$BR$7:$BR$1570,BR1479,$AV$7:$AV$1570,AV1479,$BL$7:$BL$1570,"&lt;="&amp;BL1479),"")</f>
        <v/>
      </c>
      <c r="AX1479" s="65">
        <f>IF(AW1479="",0,MAX(0,MIN(1,(IF(BR1479="L1",Parameter!$K$5,Parameter!$K$6+Parameter!$K$7)-(AW1479-AS1479))/AS1479)))</f>
        <v/>
      </c>
      <c r="AY1479" s="53">
        <f>IF(AC1479&lt;=0,"",IF(BR1479="Aussen","Aussenlager",IF(BR1479="-","Nicht im Lift",IF(AH1479&gt;=1,"Lift",IF(AH1479&lt;=0,"Aussenlager","teilweise")))))</f>
        <v/>
      </c>
      <c r="AZ1479" s="53">
        <f>IF(AK1479&lt;=0,"",IF(BR1479="Aussen","Aussenlager",IF(BR1479="-","Nicht im Lift",IF(AP1479&gt;=1,"Lift",IF(AP1479&lt;=0,"Aussenlager","teilweise")))))</f>
        <v/>
      </c>
      <c r="BA1479" s="53">
        <f>IF(AS1479&lt;=0,"",IF(BR1479="Aussen","Aussenlager",IF(BR1479="-","Nicht im Lift",IF(AX1479&gt;=1,"Lift",IF(AX1479&lt;=0,"Aussenlager","teilweise")))))</f>
        <v/>
      </c>
      <c r="BB1479" s="53">
        <f>IF(A1479="","",IF(BK1479=1,"Neu; ","")&amp;IF(AND(BK1479=0,BF1479&lt;0),"negativer Bestand (Export "&amp;BF1479&amp;"); ","")&amp;IF(I1479&lt;=0,"Kein Verbrauch; ","")&amp;IF(BO1479=1,"Lose – Fläche geschätzt; ","")&amp;IF(G1479&gt;AM1479,"Überbestand "&amp;ROUND(G1479-AM1479,0)&amp;" Stk / CHF "&amp;ROUND((G1479-AM1479)*F1479,0)&amp;"; ","")&amp;IF(AND(BT1479=1,BU1479&lt;BV1479),"MAX &lt; MB+LG; ","")&amp;IF(AND(BZ1479&gt;0,BY1479*10&gt;BZ1479),"zu hoch für Tablar; ","")&amp;IF(AND(BK1479=0,OR(BT1479=1,V1479&lt;&gt;"",S1479&lt;&gt;"",T1479&lt;&gt;"",W1479&lt;&gt;"")),"manuell übersteuert; ","")&amp;IF(AND(BO1479=0,Q1479=0),"Gebinde unbekannt; ","")&amp;IF(AND(BO1479=0,N(T1479)&lt;=0,N(P1479)&lt;=0),"Menge pro Gebinde fehlt (Ist = 1 Gebinde); ","")&amp;BJ1479)</f>
        <v/>
      </c>
      <c r="BC1479" s="53" t="n"/>
      <c r="BD1479" s="53" t="n"/>
      <c r="BE1479" s="61" t="n"/>
      <c r="BF1479" s="55">
        <f>N('Neue Artikel'!$D$13)</f>
        <v/>
      </c>
      <c r="BG1479" s="55" t="n">
        <v>0</v>
      </c>
      <c r="BH1479" s="54" t="n">
        <v>0</v>
      </c>
      <c r="BI1479" s="55">
        <f>N('Neue Artikel'!$C$13)/Parameter!$B$18</f>
        <v/>
      </c>
      <c r="BJ1479" s="53" t="inlineStr"/>
      <c r="BK1479" s="58" t="n">
        <v>1</v>
      </c>
      <c r="BL1479" s="58" t="n">
        <v>1479</v>
      </c>
      <c r="BM1479" s="53">
        <f>IF(S1479&lt;&gt;"",UPPER(TRIM(S1479)),IF(O1479="","LOSE",O1479))</f>
        <v/>
      </c>
      <c r="BN1479" s="55">
        <f>IF(BM1479="LOSE",1,IF(N(T1479)&gt;0,T1479,IF(N(P1479)&gt;0,P1479,MAX(1,G1479))))</f>
        <v/>
      </c>
      <c r="BO1479" s="58">
        <f>IF(BM1479="LOSE",1,0)</f>
        <v/>
      </c>
      <c r="BP1479" s="64">
        <f>IF(BO1479=0,0,IF(N(R1479)&gt;0,R1479,IFERROR(VLOOKUP(D1479,Parameter!$A$35:$C$64,3,0)+0,0)))</f>
        <v/>
      </c>
      <c r="BQ1479" s="53">
        <f>IF(V1479&lt;&gt;"",V1479,U1479)</f>
        <v/>
      </c>
      <c r="BR1479" s="53">
        <f>IF(BQ1479=1,"L1",IF(OR(BQ1479=2,BQ1479=3),"L23",IF(BQ1479="Aussen","Aussen","-")))</f>
        <v/>
      </c>
      <c r="BS1479" s="66">
        <f>IF(N(W1479)&gt;0,W1479,0)</f>
        <v/>
      </c>
      <c r="BT1479" s="58">
        <f>IF(ISNUMBER(Z1479),1,0)</f>
        <v/>
      </c>
      <c r="BU1479" s="55">
        <f>N(Z1479)</f>
        <v/>
      </c>
      <c r="BV1479" s="55">
        <f>N(L1479)+N(M1479)</f>
        <v/>
      </c>
      <c r="BW1479" s="55">
        <f>ROUNDUP(G1479/BN1479,0)</f>
        <v/>
      </c>
      <c r="BX1479" s="55">
        <f>ROUNDUP(BU1479/BN1479,0)</f>
        <v/>
      </c>
      <c r="BY1479" s="58">
        <f>IF(BO1479=1,0,IFERROR(VLOOKUP(BM1479,'Gebinde-Kategorie'!$A$5:$G$45,5,0)+0,0))</f>
        <v/>
      </c>
      <c r="BZ1479" s="58">
        <f>IFERROR(IF(OR(BQ1479=1,BQ1479=2,BQ1479=3),N(INDEX(Parameter!$I$5:$I$7,BQ1479)),0),0)</f>
        <v/>
      </c>
    </row>
    <row r="1480">
      <c r="A1480" s="53">
        <f>IF('Neue Artikel'!$A$14="","",'Neue Artikel'!$A$14&amp;"")</f>
        <v/>
      </c>
      <c r="B1480" s="53">
        <f>'Neue Artikel'!$B$14&amp;""</f>
        <v/>
      </c>
      <c r="C1480" s="53" t="inlineStr"/>
      <c r="D1480" s="53" t="inlineStr">
        <is>
          <t>NEU</t>
        </is>
      </c>
      <c r="E1480" s="53" t="inlineStr"/>
      <c r="F1480" s="54">
        <f>N('Neue Artikel'!$G$14)</f>
        <v/>
      </c>
      <c r="G1480" s="55">
        <f>MAX(0,IF(Parameter!$B$20="Jahresanfang 2025 + Export",BG1480+BF1480,BF1480))</f>
        <v/>
      </c>
      <c r="H1480" s="55">
        <f>G1480*F1480</f>
        <v/>
      </c>
      <c r="I1480" s="55">
        <f>BI1480*Parameter!$B$18</f>
        <v/>
      </c>
      <c r="J1480" s="56" t="n"/>
      <c r="K1480" s="57" t="n"/>
      <c r="L1480" s="55">
        <f>N('Neue Artikel'!$E$14)</f>
        <v/>
      </c>
      <c r="M1480" s="55">
        <f>N('Neue Artikel'!$F$14)</f>
        <v/>
      </c>
      <c r="N1480" s="58" t="n"/>
      <c r="O1480" s="53">
        <f>IF('Neue Artikel'!$H$14="","LOSE",UPPER(TRIM('Neue Artikel'!$H$14)))</f>
        <v/>
      </c>
      <c r="P1480" s="55">
        <f>N('Neue Artikel'!$I$14)</f>
        <v/>
      </c>
      <c r="Q1480" s="59">
        <f>IF(BO1480=1,0,IFERROR(VLOOKUP(BM1480,'Gebinde-Kategorie'!$A$5:$G$45,6,0)+0,0))</f>
        <v/>
      </c>
      <c r="R1480" s="60" t="n"/>
      <c r="S1480" s="61" t="n"/>
      <c r="T1480" s="61" t="n"/>
      <c r="U1480" s="53">
        <f>IF(A1480="","",IF(IFERROR(VLOOKUP(D1480,Parameter!$A$35:$C$64,2,0),"Nein")="2+3",IF(ISNUMBER(SEARCH("grosser Artikel",BJ1480)),2,IFERROR(VLOOKUP(BM1480,Parameter!$F$35:$G$64,2,0),2)),IF(OR(IFERROR(VLOOKUP(D1480,Parameter!$A$35:$C$64,2,0),"Nein")="Nein",IFERROR(VLOOKUP(D1480,Parameter!$A$35:$C$64,2,0),"Nein")=""),"-",VLOOKUP(D1480,Parameter!$A$35:$C$64,2,0))))</f>
        <v/>
      </c>
      <c r="V1480" s="53">
        <f>IF('Neue Artikel'!$J$14="","",'Neue Artikel'!$J$14)</f>
        <v/>
      </c>
      <c r="W1480" s="62" t="n"/>
      <c r="X1480" s="55">
        <f>AM1480</f>
        <v/>
      </c>
      <c r="Y1480" s="55">
        <f>MAX(AM1480,G1480)</f>
        <v/>
      </c>
      <c r="Z1480" s="63" t="n"/>
      <c r="AA1480" s="55">
        <f>IF(LEFT(Cockpit!$C$5,1)="A",G1480,IF(BT1480=1,BU1480,IF(LEFT(Cockpit!$C$5,1)="B",AE1480,MAX(AE1480,G1480))))</f>
        <v/>
      </c>
      <c r="AB1480" s="55">
        <f>IF(BO1480=1,0,ROUNDUP(AA1480/BN1480,0))</f>
        <v/>
      </c>
      <c r="AC1480" s="64">
        <f>IF(BO1480=1,IF(AA1480&lt;=0,0,BP1480*MAX(1,IF(G1480&gt;0,AA1480/G1480,1))),AB1480*Q1480)</f>
        <v/>
      </c>
      <c r="AD1480" s="55">
        <f>AA1480*F1480</f>
        <v/>
      </c>
      <c r="AE1480" s="55">
        <f>ROUNDUP(MAX(I1480/IF(BS1480&gt;0,BS1480,MAX(0.1,N(Cockpit!$C$6))),BV1480)/BN1480,0)*BN1480</f>
        <v/>
      </c>
      <c r="AF1480" s="56">
        <f>IF(AC1480&gt;0,I1480/AC1480,-1)</f>
        <v/>
      </c>
      <c r="AG1480" s="56">
        <f>IF(AND(OR(BR1480="L1",BR1480="L23"),AC1480&gt;0),SUMIFS($AC$7:$AC$1570,$BR$7:$BR$1570,BR1480,$AF$7:$AF$1570,"&gt;"&amp;AF1480)+SUMIFS($AC$7:$AC$1570,$BR$7:$BR$1570,BR1480,$AF$7:$AF$1570,AF1480,$BL$7:$BL$1570,"&lt;="&amp;BL1480),"")</f>
        <v/>
      </c>
      <c r="AH1480" s="65">
        <f>IF(AG1480="",0,MAX(0,MIN(1,(IF(BR1480="L1",Parameter!$K$5,Parameter!$K$6+Parameter!$K$7)-(AG1480-AC1480))/AC1480)))</f>
        <v/>
      </c>
      <c r="AI1480" s="55">
        <f>IF(LEFT(Cockpit!$I$5,1)="A",G1480,IF(BT1480=1,BU1480,IF(LEFT(Cockpit!$I$5,1)="B",AM1480,MAX(AM1480,G1480))))</f>
        <v/>
      </c>
      <c r="AJ1480" s="55">
        <f>IF(BO1480=1,0,ROUNDUP(AI1480/BN1480,0))</f>
        <v/>
      </c>
      <c r="AK1480" s="64">
        <f>IF(BO1480=1,IF(AI1480&lt;=0,0,BP1480*MAX(1,IF(G1480&gt;0,AI1480/G1480,1))),AJ1480*Q1480)</f>
        <v/>
      </c>
      <c r="AL1480" s="55">
        <f>AI1480*F1480</f>
        <v/>
      </c>
      <c r="AM1480" s="55">
        <f>ROUNDUP(MAX(I1480/IF(BS1480&gt;0,BS1480,MAX(0.1,N(Cockpit!$I$6))),BV1480)/BN1480,0)*BN1480</f>
        <v/>
      </c>
      <c r="AN1480" s="56">
        <f>IF(AK1480&gt;0,I1480/AK1480,-1)</f>
        <v/>
      </c>
      <c r="AO1480" s="56">
        <f>IF(AND(OR(BR1480="L1",BR1480="L23"),AK1480&gt;0),SUMIFS($AK$7:$AK$1570,$BR$7:$BR$1570,BR1480,$AN$7:$AN$1570,"&gt;"&amp;AN1480)+SUMIFS($AK$7:$AK$1570,$BR$7:$BR$1570,BR1480,$AN$7:$AN$1570,AN1480,$BL$7:$BL$1570,"&lt;="&amp;BL1480),"")</f>
        <v/>
      </c>
      <c r="AP1480" s="65">
        <f>IF(AO1480="",0,MAX(0,MIN(1,(IF(BR1480="L1",Parameter!$K$5,Parameter!$K$6+Parameter!$K$7)-(AO1480-AK1480))/AK1480)))</f>
        <v/>
      </c>
      <c r="AQ1480" s="55">
        <f>IF(LEFT(Cockpit!$O$5,1)="A",G1480,IF(BT1480=1,BU1480,IF(LEFT(Cockpit!$O$5,1)="B",AU1480,MAX(AU1480,G1480))))</f>
        <v/>
      </c>
      <c r="AR1480" s="55">
        <f>IF(BO1480=1,0,ROUNDUP(AQ1480/BN1480,0))</f>
        <v/>
      </c>
      <c r="AS1480" s="64">
        <f>IF(BO1480=1,IF(AQ1480&lt;=0,0,BP1480*MAX(1,IF(G1480&gt;0,AQ1480/G1480,1))),AR1480*Q1480)</f>
        <v/>
      </c>
      <c r="AT1480" s="55">
        <f>AQ1480*F1480</f>
        <v/>
      </c>
      <c r="AU1480" s="55">
        <f>ROUNDUP(MAX(I1480/IF(BS1480&gt;0,BS1480,MAX(0.1,N(Cockpit!$O$6))),BV1480)/BN1480,0)*BN1480</f>
        <v/>
      </c>
      <c r="AV1480" s="56">
        <f>IF(AS1480&gt;0,I1480/AS1480,-1)</f>
        <v/>
      </c>
      <c r="AW1480" s="56">
        <f>IF(AND(OR(BR1480="L1",BR1480="L23"),AS1480&gt;0),SUMIFS($AS$7:$AS$1570,$BR$7:$BR$1570,BR1480,$AV$7:$AV$1570,"&gt;"&amp;AV1480)+SUMIFS($AS$7:$AS$1570,$BR$7:$BR$1570,BR1480,$AV$7:$AV$1570,AV1480,$BL$7:$BL$1570,"&lt;="&amp;BL1480),"")</f>
        <v/>
      </c>
      <c r="AX1480" s="65">
        <f>IF(AW1480="",0,MAX(0,MIN(1,(IF(BR1480="L1",Parameter!$K$5,Parameter!$K$6+Parameter!$K$7)-(AW1480-AS1480))/AS1480)))</f>
        <v/>
      </c>
      <c r="AY1480" s="53">
        <f>IF(AC1480&lt;=0,"",IF(BR1480="Aussen","Aussenlager",IF(BR1480="-","Nicht im Lift",IF(AH1480&gt;=1,"Lift",IF(AH1480&lt;=0,"Aussenlager","teilweise")))))</f>
        <v/>
      </c>
      <c r="AZ1480" s="53">
        <f>IF(AK1480&lt;=0,"",IF(BR1480="Aussen","Aussenlager",IF(BR1480="-","Nicht im Lift",IF(AP1480&gt;=1,"Lift",IF(AP1480&lt;=0,"Aussenlager","teilweise")))))</f>
        <v/>
      </c>
      <c r="BA1480" s="53">
        <f>IF(AS1480&lt;=0,"",IF(BR1480="Aussen","Aussenlager",IF(BR1480="-","Nicht im Lift",IF(AX1480&gt;=1,"Lift",IF(AX1480&lt;=0,"Aussenlager","teilweise")))))</f>
        <v/>
      </c>
      <c r="BB1480" s="53">
        <f>IF(A1480="","",IF(BK1480=1,"Neu; ","")&amp;IF(AND(BK1480=0,BF1480&lt;0),"negativer Bestand (Export "&amp;BF1480&amp;"); ","")&amp;IF(I1480&lt;=0,"Kein Verbrauch; ","")&amp;IF(BO1480=1,"Lose – Fläche geschätzt; ","")&amp;IF(G1480&gt;AM1480,"Überbestand "&amp;ROUND(G1480-AM1480,0)&amp;" Stk / CHF "&amp;ROUND((G1480-AM1480)*F1480,0)&amp;"; ","")&amp;IF(AND(BT1480=1,BU1480&lt;BV1480),"MAX &lt; MB+LG; ","")&amp;IF(AND(BZ1480&gt;0,BY1480*10&gt;BZ1480),"zu hoch für Tablar; ","")&amp;IF(AND(BK1480=0,OR(BT1480=1,V1480&lt;&gt;"",S1480&lt;&gt;"",T1480&lt;&gt;"",W1480&lt;&gt;"")),"manuell übersteuert; ","")&amp;IF(AND(BO1480=0,Q1480=0),"Gebinde unbekannt; ","")&amp;IF(AND(BO1480=0,N(T1480)&lt;=0,N(P1480)&lt;=0),"Menge pro Gebinde fehlt (Ist = 1 Gebinde); ","")&amp;BJ1480)</f>
        <v/>
      </c>
      <c r="BC1480" s="53" t="n"/>
      <c r="BD1480" s="53" t="n"/>
      <c r="BE1480" s="61" t="n"/>
      <c r="BF1480" s="55">
        <f>N('Neue Artikel'!$D$14)</f>
        <v/>
      </c>
      <c r="BG1480" s="55" t="n">
        <v>0</v>
      </c>
      <c r="BH1480" s="54" t="n">
        <v>0</v>
      </c>
      <c r="BI1480" s="55">
        <f>N('Neue Artikel'!$C$14)/Parameter!$B$18</f>
        <v/>
      </c>
      <c r="BJ1480" s="53" t="inlineStr"/>
      <c r="BK1480" s="58" t="n">
        <v>1</v>
      </c>
      <c r="BL1480" s="58" t="n">
        <v>1480</v>
      </c>
      <c r="BM1480" s="53">
        <f>IF(S1480&lt;&gt;"",UPPER(TRIM(S1480)),IF(O1480="","LOSE",O1480))</f>
        <v/>
      </c>
      <c r="BN1480" s="55">
        <f>IF(BM1480="LOSE",1,IF(N(T1480)&gt;0,T1480,IF(N(P1480)&gt;0,P1480,MAX(1,G1480))))</f>
        <v/>
      </c>
      <c r="BO1480" s="58">
        <f>IF(BM1480="LOSE",1,0)</f>
        <v/>
      </c>
      <c r="BP1480" s="64">
        <f>IF(BO1480=0,0,IF(N(R1480)&gt;0,R1480,IFERROR(VLOOKUP(D1480,Parameter!$A$35:$C$64,3,0)+0,0)))</f>
        <v/>
      </c>
      <c r="BQ1480" s="53">
        <f>IF(V1480&lt;&gt;"",V1480,U1480)</f>
        <v/>
      </c>
      <c r="BR1480" s="53">
        <f>IF(BQ1480=1,"L1",IF(OR(BQ1480=2,BQ1480=3),"L23",IF(BQ1480="Aussen","Aussen","-")))</f>
        <v/>
      </c>
      <c r="BS1480" s="66">
        <f>IF(N(W1480)&gt;0,W1480,0)</f>
        <v/>
      </c>
      <c r="BT1480" s="58">
        <f>IF(ISNUMBER(Z1480),1,0)</f>
        <v/>
      </c>
      <c r="BU1480" s="55">
        <f>N(Z1480)</f>
        <v/>
      </c>
      <c r="BV1480" s="55">
        <f>N(L1480)+N(M1480)</f>
        <v/>
      </c>
      <c r="BW1480" s="55">
        <f>ROUNDUP(G1480/BN1480,0)</f>
        <v/>
      </c>
      <c r="BX1480" s="55">
        <f>ROUNDUP(BU1480/BN1480,0)</f>
        <v/>
      </c>
      <c r="BY1480" s="58">
        <f>IF(BO1480=1,0,IFERROR(VLOOKUP(BM1480,'Gebinde-Kategorie'!$A$5:$G$45,5,0)+0,0))</f>
        <v/>
      </c>
      <c r="BZ1480" s="58">
        <f>IFERROR(IF(OR(BQ1480=1,BQ1480=2,BQ1480=3),N(INDEX(Parameter!$I$5:$I$7,BQ1480)),0),0)</f>
        <v/>
      </c>
    </row>
    <row r="1481">
      <c r="A1481" s="53">
        <f>IF('Neue Artikel'!$A$15="","",'Neue Artikel'!$A$15&amp;"")</f>
        <v/>
      </c>
      <c r="B1481" s="53">
        <f>'Neue Artikel'!$B$15&amp;""</f>
        <v/>
      </c>
      <c r="C1481" s="53" t="inlineStr"/>
      <c r="D1481" s="53" t="inlineStr">
        <is>
          <t>NEU</t>
        </is>
      </c>
      <c r="E1481" s="53" t="inlineStr"/>
      <c r="F1481" s="54">
        <f>N('Neue Artikel'!$G$15)</f>
        <v/>
      </c>
      <c r="G1481" s="55">
        <f>MAX(0,IF(Parameter!$B$20="Jahresanfang 2025 + Export",BG1481+BF1481,BF1481))</f>
        <v/>
      </c>
      <c r="H1481" s="55">
        <f>G1481*F1481</f>
        <v/>
      </c>
      <c r="I1481" s="55">
        <f>BI1481*Parameter!$B$18</f>
        <v/>
      </c>
      <c r="J1481" s="56" t="n"/>
      <c r="K1481" s="57" t="n"/>
      <c r="L1481" s="55">
        <f>N('Neue Artikel'!$E$15)</f>
        <v/>
      </c>
      <c r="M1481" s="55">
        <f>N('Neue Artikel'!$F$15)</f>
        <v/>
      </c>
      <c r="N1481" s="58" t="n"/>
      <c r="O1481" s="53">
        <f>IF('Neue Artikel'!$H$15="","LOSE",UPPER(TRIM('Neue Artikel'!$H$15)))</f>
        <v/>
      </c>
      <c r="P1481" s="55">
        <f>N('Neue Artikel'!$I$15)</f>
        <v/>
      </c>
      <c r="Q1481" s="59">
        <f>IF(BO1481=1,0,IFERROR(VLOOKUP(BM1481,'Gebinde-Kategorie'!$A$5:$G$45,6,0)+0,0))</f>
        <v/>
      </c>
      <c r="R1481" s="60" t="n"/>
      <c r="S1481" s="61" t="n"/>
      <c r="T1481" s="61" t="n"/>
      <c r="U1481" s="53">
        <f>IF(A1481="","",IF(IFERROR(VLOOKUP(D1481,Parameter!$A$35:$C$64,2,0),"Nein")="2+3",IF(ISNUMBER(SEARCH("grosser Artikel",BJ1481)),2,IFERROR(VLOOKUP(BM1481,Parameter!$F$35:$G$64,2,0),2)),IF(OR(IFERROR(VLOOKUP(D1481,Parameter!$A$35:$C$64,2,0),"Nein")="Nein",IFERROR(VLOOKUP(D1481,Parameter!$A$35:$C$64,2,0),"Nein")=""),"-",VLOOKUP(D1481,Parameter!$A$35:$C$64,2,0))))</f>
        <v/>
      </c>
      <c r="V1481" s="53">
        <f>IF('Neue Artikel'!$J$15="","",'Neue Artikel'!$J$15)</f>
        <v/>
      </c>
      <c r="W1481" s="62" t="n"/>
      <c r="X1481" s="55">
        <f>AM1481</f>
        <v/>
      </c>
      <c r="Y1481" s="55">
        <f>MAX(AM1481,G1481)</f>
        <v/>
      </c>
      <c r="Z1481" s="63" t="n"/>
      <c r="AA1481" s="55">
        <f>IF(LEFT(Cockpit!$C$5,1)="A",G1481,IF(BT1481=1,BU1481,IF(LEFT(Cockpit!$C$5,1)="B",AE1481,MAX(AE1481,G1481))))</f>
        <v/>
      </c>
      <c r="AB1481" s="55">
        <f>IF(BO1481=1,0,ROUNDUP(AA1481/BN1481,0))</f>
        <v/>
      </c>
      <c r="AC1481" s="64">
        <f>IF(BO1481=1,IF(AA1481&lt;=0,0,BP1481*MAX(1,IF(G1481&gt;0,AA1481/G1481,1))),AB1481*Q1481)</f>
        <v/>
      </c>
      <c r="AD1481" s="55">
        <f>AA1481*F1481</f>
        <v/>
      </c>
      <c r="AE1481" s="55">
        <f>ROUNDUP(MAX(I1481/IF(BS1481&gt;0,BS1481,MAX(0.1,N(Cockpit!$C$6))),BV1481)/BN1481,0)*BN1481</f>
        <v/>
      </c>
      <c r="AF1481" s="56">
        <f>IF(AC1481&gt;0,I1481/AC1481,-1)</f>
        <v/>
      </c>
      <c r="AG1481" s="56">
        <f>IF(AND(OR(BR1481="L1",BR1481="L23"),AC1481&gt;0),SUMIFS($AC$7:$AC$1570,$BR$7:$BR$1570,BR1481,$AF$7:$AF$1570,"&gt;"&amp;AF1481)+SUMIFS($AC$7:$AC$1570,$BR$7:$BR$1570,BR1481,$AF$7:$AF$1570,AF1481,$BL$7:$BL$1570,"&lt;="&amp;BL1481),"")</f>
        <v/>
      </c>
      <c r="AH1481" s="65">
        <f>IF(AG1481="",0,MAX(0,MIN(1,(IF(BR1481="L1",Parameter!$K$5,Parameter!$K$6+Parameter!$K$7)-(AG1481-AC1481))/AC1481)))</f>
        <v/>
      </c>
      <c r="AI1481" s="55">
        <f>IF(LEFT(Cockpit!$I$5,1)="A",G1481,IF(BT1481=1,BU1481,IF(LEFT(Cockpit!$I$5,1)="B",AM1481,MAX(AM1481,G1481))))</f>
        <v/>
      </c>
      <c r="AJ1481" s="55">
        <f>IF(BO1481=1,0,ROUNDUP(AI1481/BN1481,0))</f>
        <v/>
      </c>
      <c r="AK1481" s="64">
        <f>IF(BO1481=1,IF(AI1481&lt;=0,0,BP1481*MAX(1,IF(G1481&gt;0,AI1481/G1481,1))),AJ1481*Q1481)</f>
        <v/>
      </c>
      <c r="AL1481" s="55">
        <f>AI1481*F1481</f>
        <v/>
      </c>
      <c r="AM1481" s="55">
        <f>ROUNDUP(MAX(I1481/IF(BS1481&gt;0,BS1481,MAX(0.1,N(Cockpit!$I$6))),BV1481)/BN1481,0)*BN1481</f>
        <v/>
      </c>
      <c r="AN1481" s="56">
        <f>IF(AK1481&gt;0,I1481/AK1481,-1)</f>
        <v/>
      </c>
      <c r="AO1481" s="56">
        <f>IF(AND(OR(BR1481="L1",BR1481="L23"),AK1481&gt;0),SUMIFS($AK$7:$AK$1570,$BR$7:$BR$1570,BR1481,$AN$7:$AN$1570,"&gt;"&amp;AN1481)+SUMIFS($AK$7:$AK$1570,$BR$7:$BR$1570,BR1481,$AN$7:$AN$1570,AN1481,$BL$7:$BL$1570,"&lt;="&amp;BL1481),"")</f>
        <v/>
      </c>
      <c r="AP1481" s="65">
        <f>IF(AO1481="",0,MAX(0,MIN(1,(IF(BR1481="L1",Parameter!$K$5,Parameter!$K$6+Parameter!$K$7)-(AO1481-AK1481))/AK1481)))</f>
        <v/>
      </c>
      <c r="AQ1481" s="55">
        <f>IF(LEFT(Cockpit!$O$5,1)="A",G1481,IF(BT1481=1,BU1481,IF(LEFT(Cockpit!$O$5,1)="B",AU1481,MAX(AU1481,G1481))))</f>
        <v/>
      </c>
      <c r="AR1481" s="55">
        <f>IF(BO1481=1,0,ROUNDUP(AQ1481/BN1481,0))</f>
        <v/>
      </c>
      <c r="AS1481" s="64">
        <f>IF(BO1481=1,IF(AQ1481&lt;=0,0,BP1481*MAX(1,IF(G1481&gt;0,AQ1481/G1481,1))),AR1481*Q1481)</f>
        <v/>
      </c>
      <c r="AT1481" s="55">
        <f>AQ1481*F1481</f>
        <v/>
      </c>
      <c r="AU1481" s="55">
        <f>ROUNDUP(MAX(I1481/IF(BS1481&gt;0,BS1481,MAX(0.1,N(Cockpit!$O$6))),BV1481)/BN1481,0)*BN1481</f>
        <v/>
      </c>
      <c r="AV1481" s="56">
        <f>IF(AS1481&gt;0,I1481/AS1481,-1)</f>
        <v/>
      </c>
      <c r="AW1481" s="56">
        <f>IF(AND(OR(BR1481="L1",BR1481="L23"),AS1481&gt;0),SUMIFS($AS$7:$AS$1570,$BR$7:$BR$1570,BR1481,$AV$7:$AV$1570,"&gt;"&amp;AV1481)+SUMIFS($AS$7:$AS$1570,$BR$7:$BR$1570,BR1481,$AV$7:$AV$1570,AV1481,$BL$7:$BL$1570,"&lt;="&amp;BL1481),"")</f>
        <v/>
      </c>
      <c r="AX1481" s="65">
        <f>IF(AW1481="",0,MAX(0,MIN(1,(IF(BR1481="L1",Parameter!$K$5,Parameter!$K$6+Parameter!$K$7)-(AW1481-AS1481))/AS1481)))</f>
        <v/>
      </c>
      <c r="AY1481" s="53">
        <f>IF(AC1481&lt;=0,"",IF(BR1481="Aussen","Aussenlager",IF(BR1481="-","Nicht im Lift",IF(AH1481&gt;=1,"Lift",IF(AH1481&lt;=0,"Aussenlager","teilweise")))))</f>
        <v/>
      </c>
      <c r="AZ1481" s="53">
        <f>IF(AK1481&lt;=0,"",IF(BR1481="Aussen","Aussenlager",IF(BR1481="-","Nicht im Lift",IF(AP1481&gt;=1,"Lift",IF(AP1481&lt;=0,"Aussenlager","teilweise")))))</f>
        <v/>
      </c>
      <c r="BA1481" s="53">
        <f>IF(AS1481&lt;=0,"",IF(BR1481="Aussen","Aussenlager",IF(BR1481="-","Nicht im Lift",IF(AX1481&gt;=1,"Lift",IF(AX1481&lt;=0,"Aussenlager","teilweise")))))</f>
        <v/>
      </c>
      <c r="BB1481" s="53">
        <f>IF(A1481="","",IF(BK1481=1,"Neu; ","")&amp;IF(AND(BK1481=0,BF1481&lt;0),"negativer Bestand (Export "&amp;BF1481&amp;"); ","")&amp;IF(I1481&lt;=0,"Kein Verbrauch; ","")&amp;IF(BO1481=1,"Lose – Fläche geschätzt; ","")&amp;IF(G1481&gt;AM1481,"Überbestand "&amp;ROUND(G1481-AM1481,0)&amp;" Stk / CHF "&amp;ROUND((G1481-AM1481)*F1481,0)&amp;"; ","")&amp;IF(AND(BT1481=1,BU1481&lt;BV1481),"MAX &lt; MB+LG; ","")&amp;IF(AND(BZ1481&gt;0,BY1481*10&gt;BZ1481),"zu hoch für Tablar; ","")&amp;IF(AND(BK1481=0,OR(BT1481=1,V1481&lt;&gt;"",S1481&lt;&gt;"",T1481&lt;&gt;"",W1481&lt;&gt;"")),"manuell übersteuert; ","")&amp;IF(AND(BO1481=0,Q1481=0),"Gebinde unbekannt; ","")&amp;IF(AND(BO1481=0,N(T1481)&lt;=0,N(P1481)&lt;=0),"Menge pro Gebinde fehlt (Ist = 1 Gebinde); ","")&amp;BJ1481)</f>
        <v/>
      </c>
      <c r="BC1481" s="53" t="n"/>
      <c r="BD1481" s="53" t="n"/>
      <c r="BE1481" s="61" t="n"/>
      <c r="BF1481" s="55">
        <f>N('Neue Artikel'!$D$15)</f>
        <v/>
      </c>
      <c r="BG1481" s="55" t="n">
        <v>0</v>
      </c>
      <c r="BH1481" s="54" t="n">
        <v>0</v>
      </c>
      <c r="BI1481" s="55">
        <f>N('Neue Artikel'!$C$15)/Parameter!$B$18</f>
        <v/>
      </c>
      <c r="BJ1481" s="53" t="inlineStr"/>
      <c r="BK1481" s="58" t="n">
        <v>1</v>
      </c>
      <c r="BL1481" s="58" t="n">
        <v>1481</v>
      </c>
      <c r="BM1481" s="53">
        <f>IF(S1481&lt;&gt;"",UPPER(TRIM(S1481)),IF(O1481="","LOSE",O1481))</f>
        <v/>
      </c>
      <c r="BN1481" s="55">
        <f>IF(BM1481="LOSE",1,IF(N(T1481)&gt;0,T1481,IF(N(P1481)&gt;0,P1481,MAX(1,G1481))))</f>
        <v/>
      </c>
      <c r="BO1481" s="58">
        <f>IF(BM1481="LOSE",1,0)</f>
        <v/>
      </c>
      <c r="BP1481" s="64">
        <f>IF(BO1481=0,0,IF(N(R1481)&gt;0,R1481,IFERROR(VLOOKUP(D1481,Parameter!$A$35:$C$64,3,0)+0,0)))</f>
        <v/>
      </c>
      <c r="BQ1481" s="53">
        <f>IF(V1481&lt;&gt;"",V1481,U1481)</f>
        <v/>
      </c>
      <c r="BR1481" s="53">
        <f>IF(BQ1481=1,"L1",IF(OR(BQ1481=2,BQ1481=3),"L23",IF(BQ1481="Aussen","Aussen","-")))</f>
        <v/>
      </c>
      <c r="BS1481" s="66">
        <f>IF(N(W1481)&gt;0,W1481,0)</f>
        <v/>
      </c>
      <c r="BT1481" s="58">
        <f>IF(ISNUMBER(Z1481),1,0)</f>
        <v/>
      </c>
      <c r="BU1481" s="55">
        <f>N(Z1481)</f>
        <v/>
      </c>
      <c r="BV1481" s="55">
        <f>N(L1481)+N(M1481)</f>
        <v/>
      </c>
      <c r="BW1481" s="55">
        <f>ROUNDUP(G1481/BN1481,0)</f>
        <v/>
      </c>
      <c r="BX1481" s="55">
        <f>ROUNDUP(BU1481/BN1481,0)</f>
        <v/>
      </c>
      <c r="BY1481" s="58">
        <f>IF(BO1481=1,0,IFERROR(VLOOKUP(BM1481,'Gebinde-Kategorie'!$A$5:$G$45,5,0)+0,0))</f>
        <v/>
      </c>
      <c r="BZ1481" s="58">
        <f>IFERROR(IF(OR(BQ1481=1,BQ1481=2,BQ1481=3),N(INDEX(Parameter!$I$5:$I$7,BQ1481)),0),0)</f>
        <v/>
      </c>
    </row>
    <row r="1482">
      <c r="A1482" s="53">
        <f>IF('Neue Artikel'!$A$16="","",'Neue Artikel'!$A$16&amp;"")</f>
        <v/>
      </c>
      <c r="B1482" s="53">
        <f>'Neue Artikel'!$B$16&amp;""</f>
        <v/>
      </c>
      <c r="C1482" s="53" t="inlineStr"/>
      <c r="D1482" s="53" t="inlineStr">
        <is>
          <t>NEU</t>
        </is>
      </c>
      <c r="E1482" s="53" t="inlineStr"/>
      <c r="F1482" s="54">
        <f>N('Neue Artikel'!$G$16)</f>
        <v/>
      </c>
      <c r="G1482" s="55">
        <f>MAX(0,IF(Parameter!$B$20="Jahresanfang 2025 + Export",BG1482+BF1482,BF1482))</f>
        <v/>
      </c>
      <c r="H1482" s="55">
        <f>G1482*F1482</f>
        <v/>
      </c>
      <c r="I1482" s="55">
        <f>BI1482*Parameter!$B$18</f>
        <v/>
      </c>
      <c r="J1482" s="56" t="n"/>
      <c r="K1482" s="57" t="n"/>
      <c r="L1482" s="55">
        <f>N('Neue Artikel'!$E$16)</f>
        <v/>
      </c>
      <c r="M1482" s="55">
        <f>N('Neue Artikel'!$F$16)</f>
        <v/>
      </c>
      <c r="N1482" s="58" t="n"/>
      <c r="O1482" s="53">
        <f>IF('Neue Artikel'!$H$16="","LOSE",UPPER(TRIM('Neue Artikel'!$H$16)))</f>
        <v/>
      </c>
      <c r="P1482" s="55">
        <f>N('Neue Artikel'!$I$16)</f>
        <v/>
      </c>
      <c r="Q1482" s="59">
        <f>IF(BO1482=1,0,IFERROR(VLOOKUP(BM1482,'Gebinde-Kategorie'!$A$5:$G$45,6,0)+0,0))</f>
        <v/>
      </c>
      <c r="R1482" s="60" t="n"/>
      <c r="S1482" s="61" t="n"/>
      <c r="T1482" s="61" t="n"/>
      <c r="U1482" s="53">
        <f>IF(A1482="","",IF(IFERROR(VLOOKUP(D1482,Parameter!$A$35:$C$64,2,0),"Nein")="2+3",IF(ISNUMBER(SEARCH("grosser Artikel",BJ1482)),2,IFERROR(VLOOKUP(BM1482,Parameter!$F$35:$G$64,2,0),2)),IF(OR(IFERROR(VLOOKUP(D1482,Parameter!$A$35:$C$64,2,0),"Nein")="Nein",IFERROR(VLOOKUP(D1482,Parameter!$A$35:$C$64,2,0),"Nein")=""),"-",VLOOKUP(D1482,Parameter!$A$35:$C$64,2,0))))</f>
        <v/>
      </c>
      <c r="V1482" s="53">
        <f>IF('Neue Artikel'!$J$16="","",'Neue Artikel'!$J$16)</f>
        <v/>
      </c>
      <c r="W1482" s="62" t="n"/>
      <c r="X1482" s="55">
        <f>AM1482</f>
        <v/>
      </c>
      <c r="Y1482" s="55">
        <f>MAX(AM1482,G1482)</f>
        <v/>
      </c>
      <c r="Z1482" s="63" t="n"/>
      <c r="AA1482" s="55">
        <f>IF(LEFT(Cockpit!$C$5,1)="A",G1482,IF(BT1482=1,BU1482,IF(LEFT(Cockpit!$C$5,1)="B",AE1482,MAX(AE1482,G1482))))</f>
        <v/>
      </c>
      <c r="AB1482" s="55">
        <f>IF(BO1482=1,0,ROUNDUP(AA1482/BN1482,0))</f>
        <v/>
      </c>
      <c r="AC1482" s="64">
        <f>IF(BO1482=1,IF(AA1482&lt;=0,0,BP1482*MAX(1,IF(G1482&gt;0,AA1482/G1482,1))),AB1482*Q1482)</f>
        <v/>
      </c>
      <c r="AD1482" s="55">
        <f>AA1482*F1482</f>
        <v/>
      </c>
      <c r="AE1482" s="55">
        <f>ROUNDUP(MAX(I1482/IF(BS1482&gt;0,BS1482,MAX(0.1,N(Cockpit!$C$6))),BV1482)/BN1482,0)*BN1482</f>
        <v/>
      </c>
      <c r="AF1482" s="56">
        <f>IF(AC1482&gt;0,I1482/AC1482,-1)</f>
        <v/>
      </c>
      <c r="AG1482" s="56">
        <f>IF(AND(OR(BR1482="L1",BR1482="L23"),AC1482&gt;0),SUMIFS($AC$7:$AC$1570,$BR$7:$BR$1570,BR1482,$AF$7:$AF$1570,"&gt;"&amp;AF1482)+SUMIFS($AC$7:$AC$1570,$BR$7:$BR$1570,BR1482,$AF$7:$AF$1570,AF1482,$BL$7:$BL$1570,"&lt;="&amp;BL1482),"")</f>
        <v/>
      </c>
      <c r="AH1482" s="65">
        <f>IF(AG1482="",0,MAX(0,MIN(1,(IF(BR1482="L1",Parameter!$K$5,Parameter!$K$6+Parameter!$K$7)-(AG1482-AC1482))/AC1482)))</f>
        <v/>
      </c>
      <c r="AI1482" s="55">
        <f>IF(LEFT(Cockpit!$I$5,1)="A",G1482,IF(BT1482=1,BU1482,IF(LEFT(Cockpit!$I$5,1)="B",AM1482,MAX(AM1482,G1482))))</f>
        <v/>
      </c>
      <c r="AJ1482" s="55">
        <f>IF(BO1482=1,0,ROUNDUP(AI1482/BN1482,0))</f>
        <v/>
      </c>
      <c r="AK1482" s="64">
        <f>IF(BO1482=1,IF(AI1482&lt;=0,0,BP1482*MAX(1,IF(G1482&gt;0,AI1482/G1482,1))),AJ1482*Q1482)</f>
        <v/>
      </c>
      <c r="AL1482" s="55">
        <f>AI1482*F1482</f>
        <v/>
      </c>
      <c r="AM1482" s="55">
        <f>ROUNDUP(MAX(I1482/IF(BS1482&gt;0,BS1482,MAX(0.1,N(Cockpit!$I$6))),BV1482)/BN1482,0)*BN1482</f>
        <v/>
      </c>
      <c r="AN1482" s="56">
        <f>IF(AK1482&gt;0,I1482/AK1482,-1)</f>
        <v/>
      </c>
      <c r="AO1482" s="56">
        <f>IF(AND(OR(BR1482="L1",BR1482="L23"),AK1482&gt;0),SUMIFS($AK$7:$AK$1570,$BR$7:$BR$1570,BR1482,$AN$7:$AN$1570,"&gt;"&amp;AN1482)+SUMIFS($AK$7:$AK$1570,$BR$7:$BR$1570,BR1482,$AN$7:$AN$1570,AN1482,$BL$7:$BL$1570,"&lt;="&amp;BL1482),"")</f>
        <v/>
      </c>
      <c r="AP1482" s="65">
        <f>IF(AO1482="",0,MAX(0,MIN(1,(IF(BR1482="L1",Parameter!$K$5,Parameter!$K$6+Parameter!$K$7)-(AO1482-AK1482))/AK1482)))</f>
        <v/>
      </c>
      <c r="AQ1482" s="55">
        <f>IF(LEFT(Cockpit!$O$5,1)="A",G1482,IF(BT1482=1,BU1482,IF(LEFT(Cockpit!$O$5,1)="B",AU1482,MAX(AU1482,G1482))))</f>
        <v/>
      </c>
      <c r="AR1482" s="55">
        <f>IF(BO1482=1,0,ROUNDUP(AQ1482/BN1482,0))</f>
        <v/>
      </c>
      <c r="AS1482" s="64">
        <f>IF(BO1482=1,IF(AQ1482&lt;=0,0,BP1482*MAX(1,IF(G1482&gt;0,AQ1482/G1482,1))),AR1482*Q1482)</f>
        <v/>
      </c>
      <c r="AT1482" s="55">
        <f>AQ1482*F1482</f>
        <v/>
      </c>
      <c r="AU1482" s="55">
        <f>ROUNDUP(MAX(I1482/IF(BS1482&gt;0,BS1482,MAX(0.1,N(Cockpit!$O$6))),BV1482)/BN1482,0)*BN1482</f>
        <v/>
      </c>
      <c r="AV1482" s="56">
        <f>IF(AS1482&gt;0,I1482/AS1482,-1)</f>
        <v/>
      </c>
      <c r="AW1482" s="56">
        <f>IF(AND(OR(BR1482="L1",BR1482="L23"),AS1482&gt;0),SUMIFS($AS$7:$AS$1570,$BR$7:$BR$1570,BR1482,$AV$7:$AV$1570,"&gt;"&amp;AV1482)+SUMIFS($AS$7:$AS$1570,$BR$7:$BR$1570,BR1482,$AV$7:$AV$1570,AV1482,$BL$7:$BL$1570,"&lt;="&amp;BL1482),"")</f>
        <v/>
      </c>
      <c r="AX1482" s="65">
        <f>IF(AW1482="",0,MAX(0,MIN(1,(IF(BR1482="L1",Parameter!$K$5,Parameter!$K$6+Parameter!$K$7)-(AW1482-AS1482))/AS1482)))</f>
        <v/>
      </c>
      <c r="AY1482" s="53">
        <f>IF(AC1482&lt;=0,"",IF(BR1482="Aussen","Aussenlager",IF(BR1482="-","Nicht im Lift",IF(AH1482&gt;=1,"Lift",IF(AH1482&lt;=0,"Aussenlager","teilweise")))))</f>
        <v/>
      </c>
      <c r="AZ1482" s="53">
        <f>IF(AK1482&lt;=0,"",IF(BR1482="Aussen","Aussenlager",IF(BR1482="-","Nicht im Lift",IF(AP1482&gt;=1,"Lift",IF(AP1482&lt;=0,"Aussenlager","teilweise")))))</f>
        <v/>
      </c>
      <c r="BA1482" s="53">
        <f>IF(AS1482&lt;=0,"",IF(BR1482="Aussen","Aussenlager",IF(BR1482="-","Nicht im Lift",IF(AX1482&gt;=1,"Lift",IF(AX1482&lt;=0,"Aussenlager","teilweise")))))</f>
        <v/>
      </c>
      <c r="BB1482" s="53">
        <f>IF(A1482="","",IF(BK1482=1,"Neu; ","")&amp;IF(AND(BK1482=0,BF1482&lt;0),"negativer Bestand (Export "&amp;BF1482&amp;"); ","")&amp;IF(I1482&lt;=0,"Kein Verbrauch; ","")&amp;IF(BO1482=1,"Lose – Fläche geschätzt; ","")&amp;IF(G1482&gt;AM1482,"Überbestand "&amp;ROUND(G1482-AM1482,0)&amp;" Stk / CHF "&amp;ROUND((G1482-AM1482)*F1482,0)&amp;"; ","")&amp;IF(AND(BT1482=1,BU1482&lt;BV1482),"MAX &lt; MB+LG; ","")&amp;IF(AND(BZ1482&gt;0,BY1482*10&gt;BZ1482),"zu hoch für Tablar; ","")&amp;IF(AND(BK1482=0,OR(BT1482=1,V1482&lt;&gt;"",S1482&lt;&gt;"",T1482&lt;&gt;"",W1482&lt;&gt;"")),"manuell übersteuert; ","")&amp;IF(AND(BO1482=0,Q1482=0),"Gebinde unbekannt; ","")&amp;IF(AND(BO1482=0,N(T1482)&lt;=0,N(P1482)&lt;=0),"Menge pro Gebinde fehlt (Ist = 1 Gebinde); ","")&amp;BJ1482)</f>
        <v/>
      </c>
      <c r="BC1482" s="53" t="n"/>
      <c r="BD1482" s="53" t="n"/>
      <c r="BE1482" s="61" t="n"/>
      <c r="BF1482" s="55">
        <f>N('Neue Artikel'!$D$16)</f>
        <v/>
      </c>
      <c r="BG1482" s="55" t="n">
        <v>0</v>
      </c>
      <c r="BH1482" s="54" t="n">
        <v>0</v>
      </c>
      <c r="BI1482" s="55">
        <f>N('Neue Artikel'!$C$16)/Parameter!$B$18</f>
        <v/>
      </c>
      <c r="BJ1482" s="53" t="inlineStr"/>
      <c r="BK1482" s="58" t="n">
        <v>1</v>
      </c>
      <c r="BL1482" s="58" t="n">
        <v>1482</v>
      </c>
      <c r="BM1482" s="53">
        <f>IF(S1482&lt;&gt;"",UPPER(TRIM(S1482)),IF(O1482="","LOSE",O1482))</f>
        <v/>
      </c>
      <c r="BN1482" s="55">
        <f>IF(BM1482="LOSE",1,IF(N(T1482)&gt;0,T1482,IF(N(P1482)&gt;0,P1482,MAX(1,G1482))))</f>
        <v/>
      </c>
      <c r="BO1482" s="58">
        <f>IF(BM1482="LOSE",1,0)</f>
        <v/>
      </c>
      <c r="BP1482" s="64">
        <f>IF(BO1482=0,0,IF(N(R1482)&gt;0,R1482,IFERROR(VLOOKUP(D1482,Parameter!$A$35:$C$64,3,0)+0,0)))</f>
        <v/>
      </c>
      <c r="BQ1482" s="53">
        <f>IF(V1482&lt;&gt;"",V1482,U1482)</f>
        <v/>
      </c>
      <c r="BR1482" s="53">
        <f>IF(BQ1482=1,"L1",IF(OR(BQ1482=2,BQ1482=3),"L23",IF(BQ1482="Aussen","Aussen","-")))</f>
        <v/>
      </c>
      <c r="BS1482" s="66">
        <f>IF(N(W1482)&gt;0,W1482,0)</f>
        <v/>
      </c>
      <c r="BT1482" s="58">
        <f>IF(ISNUMBER(Z1482),1,0)</f>
        <v/>
      </c>
      <c r="BU1482" s="55">
        <f>N(Z1482)</f>
        <v/>
      </c>
      <c r="BV1482" s="55">
        <f>N(L1482)+N(M1482)</f>
        <v/>
      </c>
      <c r="BW1482" s="55">
        <f>ROUNDUP(G1482/BN1482,0)</f>
        <v/>
      </c>
      <c r="BX1482" s="55">
        <f>ROUNDUP(BU1482/BN1482,0)</f>
        <v/>
      </c>
      <c r="BY1482" s="58">
        <f>IF(BO1482=1,0,IFERROR(VLOOKUP(BM1482,'Gebinde-Kategorie'!$A$5:$G$45,5,0)+0,0))</f>
        <v/>
      </c>
      <c r="BZ1482" s="58">
        <f>IFERROR(IF(OR(BQ1482=1,BQ1482=2,BQ1482=3),N(INDEX(Parameter!$I$5:$I$7,BQ1482)),0),0)</f>
        <v/>
      </c>
    </row>
    <row r="1483">
      <c r="A1483" s="53">
        <f>IF('Neue Artikel'!$A$17="","",'Neue Artikel'!$A$17&amp;"")</f>
        <v/>
      </c>
      <c r="B1483" s="53">
        <f>'Neue Artikel'!$B$17&amp;""</f>
        <v/>
      </c>
      <c r="C1483" s="53" t="inlineStr"/>
      <c r="D1483" s="53" t="inlineStr">
        <is>
          <t>NEU</t>
        </is>
      </c>
      <c r="E1483" s="53" t="inlineStr"/>
      <c r="F1483" s="54">
        <f>N('Neue Artikel'!$G$17)</f>
        <v/>
      </c>
      <c r="G1483" s="55">
        <f>MAX(0,IF(Parameter!$B$20="Jahresanfang 2025 + Export",BG1483+BF1483,BF1483))</f>
        <v/>
      </c>
      <c r="H1483" s="55">
        <f>G1483*F1483</f>
        <v/>
      </c>
      <c r="I1483" s="55">
        <f>BI1483*Parameter!$B$18</f>
        <v/>
      </c>
      <c r="J1483" s="56" t="n"/>
      <c r="K1483" s="57" t="n"/>
      <c r="L1483" s="55">
        <f>N('Neue Artikel'!$E$17)</f>
        <v/>
      </c>
      <c r="M1483" s="55">
        <f>N('Neue Artikel'!$F$17)</f>
        <v/>
      </c>
      <c r="N1483" s="58" t="n"/>
      <c r="O1483" s="53">
        <f>IF('Neue Artikel'!$H$17="","LOSE",UPPER(TRIM('Neue Artikel'!$H$17)))</f>
        <v/>
      </c>
      <c r="P1483" s="55">
        <f>N('Neue Artikel'!$I$17)</f>
        <v/>
      </c>
      <c r="Q1483" s="59">
        <f>IF(BO1483=1,0,IFERROR(VLOOKUP(BM1483,'Gebinde-Kategorie'!$A$5:$G$45,6,0)+0,0))</f>
        <v/>
      </c>
      <c r="R1483" s="60" t="n"/>
      <c r="S1483" s="61" t="n"/>
      <c r="T1483" s="61" t="n"/>
      <c r="U1483" s="53">
        <f>IF(A1483="","",IF(IFERROR(VLOOKUP(D1483,Parameter!$A$35:$C$64,2,0),"Nein")="2+3",IF(ISNUMBER(SEARCH("grosser Artikel",BJ1483)),2,IFERROR(VLOOKUP(BM1483,Parameter!$F$35:$G$64,2,0),2)),IF(OR(IFERROR(VLOOKUP(D1483,Parameter!$A$35:$C$64,2,0),"Nein")="Nein",IFERROR(VLOOKUP(D1483,Parameter!$A$35:$C$64,2,0),"Nein")=""),"-",VLOOKUP(D1483,Parameter!$A$35:$C$64,2,0))))</f>
        <v/>
      </c>
      <c r="V1483" s="53">
        <f>IF('Neue Artikel'!$J$17="","",'Neue Artikel'!$J$17)</f>
        <v/>
      </c>
      <c r="W1483" s="62" t="n"/>
      <c r="X1483" s="55">
        <f>AM1483</f>
        <v/>
      </c>
      <c r="Y1483" s="55">
        <f>MAX(AM1483,G1483)</f>
        <v/>
      </c>
      <c r="Z1483" s="63" t="n"/>
      <c r="AA1483" s="55">
        <f>IF(LEFT(Cockpit!$C$5,1)="A",G1483,IF(BT1483=1,BU1483,IF(LEFT(Cockpit!$C$5,1)="B",AE1483,MAX(AE1483,G1483))))</f>
        <v/>
      </c>
      <c r="AB1483" s="55">
        <f>IF(BO1483=1,0,ROUNDUP(AA1483/BN1483,0))</f>
        <v/>
      </c>
      <c r="AC1483" s="64">
        <f>IF(BO1483=1,IF(AA1483&lt;=0,0,BP1483*MAX(1,IF(G1483&gt;0,AA1483/G1483,1))),AB1483*Q1483)</f>
        <v/>
      </c>
      <c r="AD1483" s="55">
        <f>AA1483*F1483</f>
        <v/>
      </c>
      <c r="AE1483" s="55">
        <f>ROUNDUP(MAX(I1483/IF(BS1483&gt;0,BS1483,MAX(0.1,N(Cockpit!$C$6))),BV1483)/BN1483,0)*BN1483</f>
        <v/>
      </c>
      <c r="AF1483" s="56">
        <f>IF(AC1483&gt;0,I1483/AC1483,-1)</f>
        <v/>
      </c>
      <c r="AG1483" s="56">
        <f>IF(AND(OR(BR1483="L1",BR1483="L23"),AC1483&gt;0),SUMIFS($AC$7:$AC$1570,$BR$7:$BR$1570,BR1483,$AF$7:$AF$1570,"&gt;"&amp;AF1483)+SUMIFS($AC$7:$AC$1570,$BR$7:$BR$1570,BR1483,$AF$7:$AF$1570,AF1483,$BL$7:$BL$1570,"&lt;="&amp;BL1483),"")</f>
        <v/>
      </c>
      <c r="AH1483" s="65">
        <f>IF(AG1483="",0,MAX(0,MIN(1,(IF(BR1483="L1",Parameter!$K$5,Parameter!$K$6+Parameter!$K$7)-(AG1483-AC1483))/AC1483)))</f>
        <v/>
      </c>
      <c r="AI1483" s="55">
        <f>IF(LEFT(Cockpit!$I$5,1)="A",G1483,IF(BT1483=1,BU1483,IF(LEFT(Cockpit!$I$5,1)="B",AM1483,MAX(AM1483,G1483))))</f>
        <v/>
      </c>
      <c r="AJ1483" s="55">
        <f>IF(BO1483=1,0,ROUNDUP(AI1483/BN1483,0))</f>
        <v/>
      </c>
      <c r="AK1483" s="64">
        <f>IF(BO1483=1,IF(AI1483&lt;=0,0,BP1483*MAX(1,IF(G1483&gt;0,AI1483/G1483,1))),AJ1483*Q1483)</f>
        <v/>
      </c>
      <c r="AL1483" s="55">
        <f>AI1483*F1483</f>
        <v/>
      </c>
      <c r="AM1483" s="55">
        <f>ROUNDUP(MAX(I1483/IF(BS1483&gt;0,BS1483,MAX(0.1,N(Cockpit!$I$6))),BV1483)/BN1483,0)*BN1483</f>
        <v/>
      </c>
      <c r="AN1483" s="56">
        <f>IF(AK1483&gt;0,I1483/AK1483,-1)</f>
        <v/>
      </c>
      <c r="AO1483" s="56">
        <f>IF(AND(OR(BR1483="L1",BR1483="L23"),AK1483&gt;0),SUMIFS($AK$7:$AK$1570,$BR$7:$BR$1570,BR1483,$AN$7:$AN$1570,"&gt;"&amp;AN1483)+SUMIFS($AK$7:$AK$1570,$BR$7:$BR$1570,BR1483,$AN$7:$AN$1570,AN1483,$BL$7:$BL$1570,"&lt;="&amp;BL1483),"")</f>
        <v/>
      </c>
      <c r="AP1483" s="65">
        <f>IF(AO1483="",0,MAX(0,MIN(1,(IF(BR1483="L1",Parameter!$K$5,Parameter!$K$6+Parameter!$K$7)-(AO1483-AK1483))/AK1483)))</f>
        <v/>
      </c>
      <c r="AQ1483" s="55">
        <f>IF(LEFT(Cockpit!$O$5,1)="A",G1483,IF(BT1483=1,BU1483,IF(LEFT(Cockpit!$O$5,1)="B",AU1483,MAX(AU1483,G1483))))</f>
        <v/>
      </c>
      <c r="AR1483" s="55">
        <f>IF(BO1483=1,0,ROUNDUP(AQ1483/BN1483,0))</f>
        <v/>
      </c>
      <c r="AS1483" s="64">
        <f>IF(BO1483=1,IF(AQ1483&lt;=0,0,BP1483*MAX(1,IF(G1483&gt;0,AQ1483/G1483,1))),AR1483*Q1483)</f>
        <v/>
      </c>
      <c r="AT1483" s="55">
        <f>AQ1483*F1483</f>
        <v/>
      </c>
      <c r="AU1483" s="55">
        <f>ROUNDUP(MAX(I1483/IF(BS1483&gt;0,BS1483,MAX(0.1,N(Cockpit!$O$6))),BV1483)/BN1483,0)*BN1483</f>
        <v/>
      </c>
      <c r="AV1483" s="56">
        <f>IF(AS1483&gt;0,I1483/AS1483,-1)</f>
        <v/>
      </c>
      <c r="AW1483" s="56">
        <f>IF(AND(OR(BR1483="L1",BR1483="L23"),AS1483&gt;0),SUMIFS($AS$7:$AS$1570,$BR$7:$BR$1570,BR1483,$AV$7:$AV$1570,"&gt;"&amp;AV1483)+SUMIFS($AS$7:$AS$1570,$BR$7:$BR$1570,BR1483,$AV$7:$AV$1570,AV1483,$BL$7:$BL$1570,"&lt;="&amp;BL1483),"")</f>
        <v/>
      </c>
      <c r="AX1483" s="65">
        <f>IF(AW1483="",0,MAX(0,MIN(1,(IF(BR1483="L1",Parameter!$K$5,Parameter!$K$6+Parameter!$K$7)-(AW1483-AS1483))/AS1483)))</f>
        <v/>
      </c>
      <c r="AY1483" s="53">
        <f>IF(AC1483&lt;=0,"",IF(BR1483="Aussen","Aussenlager",IF(BR1483="-","Nicht im Lift",IF(AH1483&gt;=1,"Lift",IF(AH1483&lt;=0,"Aussenlager","teilweise")))))</f>
        <v/>
      </c>
      <c r="AZ1483" s="53">
        <f>IF(AK1483&lt;=0,"",IF(BR1483="Aussen","Aussenlager",IF(BR1483="-","Nicht im Lift",IF(AP1483&gt;=1,"Lift",IF(AP1483&lt;=0,"Aussenlager","teilweise")))))</f>
        <v/>
      </c>
      <c r="BA1483" s="53">
        <f>IF(AS1483&lt;=0,"",IF(BR1483="Aussen","Aussenlager",IF(BR1483="-","Nicht im Lift",IF(AX1483&gt;=1,"Lift",IF(AX1483&lt;=0,"Aussenlager","teilweise")))))</f>
        <v/>
      </c>
      <c r="BB1483" s="53">
        <f>IF(A1483="","",IF(BK1483=1,"Neu; ","")&amp;IF(AND(BK1483=0,BF1483&lt;0),"negativer Bestand (Export "&amp;BF1483&amp;"); ","")&amp;IF(I1483&lt;=0,"Kein Verbrauch; ","")&amp;IF(BO1483=1,"Lose – Fläche geschätzt; ","")&amp;IF(G1483&gt;AM1483,"Überbestand "&amp;ROUND(G1483-AM1483,0)&amp;" Stk / CHF "&amp;ROUND((G1483-AM1483)*F1483,0)&amp;"; ","")&amp;IF(AND(BT1483=1,BU1483&lt;BV1483),"MAX &lt; MB+LG; ","")&amp;IF(AND(BZ1483&gt;0,BY1483*10&gt;BZ1483),"zu hoch für Tablar; ","")&amp;IF(AND(BK1483=0,OR(BT1483=1,V1483&lt;&gt;"",S1483&lt;&gt;"",T1483&lt;&gt;"",W1483&lt;&gt;"")),"manuell übersteuert; ","")&amp;IF(AND(BO1483=0,Q1483=0),"Gebinde unbekannt; ","")&amp;IF(AND(BO1483=0,N(T1483)&lt;=0,N(P1483)&lt;=0),"Menge pro Gebinde fehlt (Ist = 1 Gebinde); ","")&amp;BJ1483)</f>
        <v/>
      </c>
      <c r="BC1483" s="53" t="n"/>
      <c r="BD1483" s="53" t="n"/>
      <c r="BE1483" s="61" t="n"/>
      <c r="BF1483" s="55">
        <f>N('Neue Artikel'!$D$17)</f>
        <v/>
      </c>
      <c r="BG1483" s="55" t="n">
        <v>0</v>
      </c>
      <c r="BH1483" s="54" t="n">
        <v>0</v>
      </c>
      <c r="BI1483" s="55">
        <f>N('Neue Artikel'!$C$17)/Parameter!$B$18</f>
        <v/>
      </c>
      <c r="BJ1483" s="53" t="inlineStr"/>
      <c r="BK1483" s="58" t="n">
        <v>1</v>
      </c>
      <c r="BL1483" s="58" t="n">
        <v>1483</v>
      </c>
      <c r="BM1483" s="53">
        <f>IF(S1483&lt;&gt;"",UPPER(TRIM(S1483)),IF(O1483="","LOSE",O1483))</f>
        <v/>
      </c>
      <c r="BN1483" s="55">
        <f>IF(BM1483="LOSE",1,IF(N(T1483)&gt;0,T1483,IF(N(P1483)&gt;0,P1483,MAX(1,G1483))))</f>
        <v/>
      </c>
      <c r="BO1483" s="58">
        <f>IF(BM1483="LOSE",1,0)</f>
        <v/>
      </c>
      <c r="BP1483" s="64">
        <f>IF(BO1483=0,0,IF(N(R1483)&gt;0,R1483,IFERROR(VLOOKUP(D1483,Parameter!$A$35:$C$64,3,0)+0,0)))</f>
        <v/>
      </c>
      <c r="BQ1483" s="53">
        <f>IF(V1483&lt;&gt;"",V1483,U1483)</f>
        <v/>
      </c>
      <c r="BR1483" s="53">
        <f>IF(BQ1483=1,"L1",IF(OR(BQ1483=2,BQ1483=3),"L23",IF(BQ1483="Aussen","Aussen","-")))</f>
        <v/>
      </c>
      <c r="BS1483" s="66">
        <f>IF(N(W1483)&gt;0,W1483,0)</f>
        <v/>
      </c>
      <c r="BT1483" s="58">
        <f>IF(ISNUMBER(Z1483),1,0)</f>
        <v/>
      </c>
      <c r="BU1483" s="55">
        <f>N(Z1483)</f>
        <v/>
      </c>
      <c r="BV1483" s="55">
        <f>N(L1483)+N(M1483)</f>
        <v/>
      </c>
      <c r="BW1483" s="55">
        <f>ROUNDUP(G1483/BN1483,0)</f>
        <v/>
      </c>
      <c r="BX1483" s="55">
        <f>ROUNDUP(BU1483/BN1483,0)</f>
        <v/>
      </c>
      <c r="BY1483" s="58">
        <f>IF(BO1483=1,0,IFERROR(VLOOKUP(BM1483,'Gebinde-Kategorie'!$A$5:$G$45,5,0)+0,0))</f>
        <v/>
      </c>
      <c r="BZ1483" s="58">
        <f>IFERROR(IF(OR(BQ1483=1,BQ1483=2,BQ1483=3),N(INDEX(Parameter!$I$5:$I$7,BQ1483)),0),0)</f>
        <v/>
      </c>
    </row>
    <row r="1484">
      <c r="A1484" s="53">
        <f>IF('Neue Artikel'!$A$18="","",'Neue Artikel'!$A$18&amp;"")</f>
        <v/>
      </c>
      <c r="B1484" s="53">
        <f>'Neue Artikel'!$B$18&amp;""</f>
        <v/>
      </c>
      <c r="C1484" s="53" t="inlineStr"/>
      <c r="D1484" s="53" t="inlineStr">
        <is>
          <t>NEU</t>
        </is>
      </c>
      <c r="E1484" s="53" t="inlineStr"/>
      <c r="F1484" s="54">
        <f>N('Neue Artikel'!$G$18)</f>
        <v/>
      </c>
      <c r="G1484" s="55">
        <f>MAX(0,IF(Parameter!$B$20="Jahresanfang 2025 + Export",BG1484+BF1484,BF1484))</f>
        <v/>
      </c>
      <c r="H1484" s="55">
        <f>G1484*F1484</f>
        <v/>
      </c>
      <c r="I1484" s="55">
        <f>BI1484*Parameter!$B$18</f>
        <v/>
      </c>
      <c r="J1484" s="56" t="n"/>
      <c r="K1484" s="57" t="n"/>
      <c r="L1484" s="55">
        <f>N('Neue Artikel'!$E$18)</f>
        <v/>
      </c>
      <c r="M1484" s="55">
        <f>N('Neue Artikel'!$F$18)</f>
        <v/>
      </c>
      <c r="N1484" s="58" t="n"/>
      <c r="O1484" s="53">
        <f>IF('Neue Artikel'!$H$18="","LOSE",UPPER(TRIM('Neue Artikel'!$H$18)))</f>
        <v/>
      </c>
      <c r="P1484" s="55">
        <f>N('Neue Artikel'!$I$18)</f>
        <v/>
      </c>
      <c r="Q1484" s="59">
        <f>IF(BO1484=1,0,IFERROR(VLOOKUP(BM1484,'Gebinde-Kategorie'!$A$5:$G$45,6,0)+0,0))</f>
        <v/>
      </c>
      <c r="R1484" s="60" t="n"/>
      <c r="S1484" s="61" t="n"/>
      <c r="T1484" s="61" t="n"/>
      <c r="U1484" s="53">
        <f>IF(A1484="","",IF(IFERROR(VLOOKUP(D1484,Parameter!$A$35:$C$64,2,0),"Nein")="2+3",IF(ISNUMBER(SEARCH("grosser Artikel",BJ1484)),2,IFERROR(VLOOKUP(BM1484,Parameter!$F$35:$G$64,2,0),2)),IF(OR(IFERROR(VLOOKUP(D1484,Parameter!$A$35:$C$64,2,0),"Nein")="Nein",IFERROR(VLOOKUP(D1484,Parameter!$A$35:$C$64,2,0),"Nein")=""),"-",VLOOKUP(D1484,Parameter!$A$35:$C$64,2,0))))</f>
        <v/>
      </c>
      <c r="V1484" s="53">
        <f>IF('Neue Artikel'!$J$18="","",'Neue Artikel'!$J$18)</f>
        <v/>
      </c>
      <c r="W1484" s="62" t="n"/>
      <c r="X1484" s="55">
        <f>AM1484</f>
        <v/>
      </c>
      <c r="Y1484" s="55">
        <f>MAX(AM1484,G1484)</f>
        <v/>
      </c>
      <c r="Z1484" s="63" t="n"/>
      <c r="AA1484" s="55">
        <f>IF(LEFT(Cockpit!$C$5,1)="A",G1484,IF(BT1484=1,BU1484,IF(LEFT(Cockpit!$C$5,1)="B",AE1484,MAX(AE1484,G1484))))</f>
        <v/>
      </c>
      <c r="AB1484" s="55">
        <f>IF(BO1484=1,0,ROUNDUP(AA1484/BN1484,0))</f>
        <v/>
      </c>
      <c r="AC1484" s="64">
        <f>IF(BO1484=1,IF(AA1484&lt;=0,0,BP1484*MAX(1,IF(G1484&gt;0,AA1484/G1484,1))),AB1484*Q1484)</f>
        <v/>
      </c>
      <c r="AD1484" s="55">
        <f>AA1484*F1484</f>
        <v/>
      </c>
      <c r="AE1484" s="55">
        <f>ROUNDUP(MAX(I1484/IF(BS1484&gt;0,BS1484,MAX(0.1,N(Cockpit!$C$6))),BV1484)/BN1484,0)*BN1484</f>
        <v/>
      </c>
      <c r="AF1484" s="56">
        <f>IF(AC1484&gt;0,I1484/AC1484,-1)</f>
        <v/>
      </c>
      <c r="AG1484" s="56">
        <f>IF(AND(OR(BR1484="L1",BR1484="L23"),AC1484&gt;0),SUMIFS($AC$7:$AC$1570,$BR$7:$BR$1570,BR1484,$AF$7:$AF$1570,"&gt;"&amp;AF1484)+SUMIFS($AC$7:$AC$1570,$BR$7:$BR$1570,BR1484,$AF$7:$AF$1570,AF1484,$BL$7:$BL$1570,"&lt;="&amp;BL1484),"")</f>
        <v/>
      </c>
      <c r="AH1484" s="65">
        <f>IF(AG1484="",0,MAX(0,MIN(1,(IF(BR1484="L1",Parameter!$K$5,Parameter!$K$6+Parameter!$K$7)-(AG1484-AC1484))/AC1484)))</f>
        <v/>
      </c>
      <c r="AI1484" s="55">
        <f>IF(LEFT(Cockpit!$I$5,1)="A",G1484,IF(BT1484=1,BU1484,IF(LEFT(Cockpit!$I$5,1)="B",AM1484,MAX(AM1484,G1484))))</f>
        <v/>
      </c>
      <c r="AJ1484" s="55">
        <f>IF(BO1484=1,0,ROUNDUP(AI1484/BN1484,0))</f>
        <v/>
      </c>
      <c r="AK1484" s="64">
        <f>IF(BO1484=1,IF(AI1484&lt;=0,0,BP1484*MAX(1,IF(G1484&gt;0,AI1484/G1484,1))),AJ1484*Q1484)</f>
        <v/>
      </c>
      <c r="AL1484" s="55">
        <f>AI1484*F1484</f>
        <v/>
      </c>
      <c r="AM1484" s="55">
        <f>ROUNDUP(MAX(I1484/IF(BS1484&gt;0,BS1484,MAX(0.1,N(Cockpit!$I$6))),BV1484)/BN1484,0)*BN1484</f>
        <v/>
      </c>
      <c r="AN1484" s="56">
        <f>IF(AK1484&gt;0,I1484/AK1484,-1)</f>
        <v/>
      </c>
      <c r="AO1484" s="56">
        <f>IF(AND(OR(BR1484="L1",BR1484="L23"),AK1484&gt;0),SUMIFS($AK$7:$AK$1570,$BR$7:$BR$1570,BR1484,$AN$7:$AN$1570,"&gt;"&amp;AN1484)+SUMIFS($AK$7:$AK$1570,$BR$7:$BR$1570,BR1484,$AN$7:$AN$1570,AN1484,$BL$7:$BL$1570,"&lt;="&amp;BL1484),"")</f>
        <v/>
      </c>
      <c r="AP1484" s="65">
        <f>IF(AO1484="",0,MAX(0,MIN(1,(IF(BR1484="L1",Parameter!$K$5,Parameter!$K$6+Parameter!$K$7)-(AO1484-AK1484))/AK1484)))</f>
        <v/>
      </c>
      <c r="AQ1484" s="55">
        <f>IF(LEFT(Cockpit!$O$5,1)="A",G1484,IF(BT1484=1,BU1484,IF(LEFT(Cockpit!$O$5,1)="B",AU1484,MAX(AU1484,G1484))))</f>
        <v/>
      </c>
      <c r="AR1484" s="55">
        <f>IF(BO1484=1,0,ROUNDUP(AQ1484/BN1484,0))</f>
        <v/>
      </c>
      <c r="AS1484" s="64">
        <f>IF(BO1484=1,IF(AQ1484&lt;=0,0,BP1484*MAX(1,IF(G1484&gt;0,AQ1484/G1484,1))),AR1484*Q1484)</f>
        <v/>
      </c>
      <c r="AT1484" s="55">
        <f>AQ1484*F1484</f>
        <v/>
      </c>
      <c r="AU1484" s="55">
        <f>ROUNDUP(MAX(I1484/IF(BS1484&gt;0,BS1484,MAX(0.1,N(Cockpit!$O$6))),BV1484)/BN1484,0)*BN1484</f>
        <v/>
      </c>
      <c r="AV1484" s="56">
        <f>IF(AS1484&gt;0,I1484/AS1484,-1)</f>
        <v/>
      </c>
      <c r="AW1484" s="56">
        <f>IF(AND(OR(BR1484="L1",BR1484="L23"),AS1484&gt;0),SUMIFS($AS$7:$AS$1570,$BR$7:$BR$1570,BR1484,$AV$7:$AV$1570,"&gt;"&amp;AV1484)+SUMIFS($AS$7:$AS$1570,$BR$7:$BR$1570,BR1484,$AV$7:$AV$1570,AV1484,$BL$7:$BL$1570,"&lt;="&amp;BL1484),"")</f>
        <v/>
      </c>
      <c r="AX1484" s="65">
        <f>IF(AW1484="",0,MAX(0,MIN(1,(IF(BR1484="L1",Parameter!$K$5,Parameter!$K$6+Parameter!$K$7)-(AW1484-AS1484))/AS1484)))</f>
        <v/>
      </c>
      <c r="AY1484" s="53">
        <f>IF(AC1484&lt;=0,"",IF(BR1484="Aussen","Aussenlager",IF(BR1484="-","Nicht im Lift",IF(AH1484&gt;=1,"Lift",IF(AH1484&lt;=0,"Aussenlager","teilweise")))))</f>
        <v/>
      </c>
      <c r="AZ1484" s="53">
        <f>IF(AK1484&lt;=0,"",IF(BR1484="Aussen","Aussenlager",IF(BR1484="-","Nicht im Lift",IF(AP1484&gt;=1,"Lift",IF(AP1484&lt;=0,"Aussenlager","teilweise")))))</f>
        <v/>
      </c>
      <c r="BA1484" s="53">
        <f>IF(AS1484&lt;=0,"",IF(BR1484="Aussen","Aussenlager",IF(BR1484="-","Nicht im Lift",IF(AX1484&gt;=1,"Lift",IF(AX1484&lt;=0,"Aussenlager","teilweise")))))</f>
        <v/>
      </c>
      <c r="BB1484" s="53">
        <f>IF(A1484="","",IF(BK1484=1,"Neu; ","")&amp;IF(AND(BK1484=0,BF1484&lt;0),"negativer Bestand (Export "&amp;BF1484&amp;"); ","")&amp;IF(I1484&lt;=0,"Kein Verbrauch; ","")&amp;IF(BO1484=1,"Lose – Fläche geschätzt; ","")&amp;IF(G1484&gt;AM1484,"Überbestand "&amp;ROUND(G1484-AM1484,0)&amp;" Stk / CHF "&amp;ROUND((G1484-AM1484)*F1484,0)&amp;"; ","")&amp;IF(AND(BT1484=1,BU1484&lt;BV1484),"MAX &lt; MB+LG; ","")&amp;IF(AND(BZ1484&gt;0,BY1484*10&gt;BZ1484),"zu hoch für Tablar; ","")&amp;IF(AND(BK1484=0,OR(BT1484=1,V1484&lt;&gt;"",S1484&lt;&gt;"",T1484&lt;&gt;"",W1484&lt;&gt;"")),"manuell übersteuert; ","")&amp;IF(AND(BO1484=0,Q1484=0),"Gebinde unbekannt; ","")&amp;IF(AND(BO1484=0,N(T1484)&lt;=0,N(P1484)&lt;=0),"Menge pro Gebinde fehlt (Ist = 1 Gebinde); ","")&amp;BJ1484)</f>
        <v/>
      </c>
      <c r="BC1484" s="53" t="n"/>
      <c r="BD1484" s="53" t="n"/>
      <c r="BE1484" s="61" t="n"/>
      <c r="BF1484" s="55">
        <f>N('Neue Artikel'!$D$18)</f>
        <v/>
      </c>
      <c r="BG1484" s="55" t="n">
        <v>0</v>
      </c>
      <c r="BH1484" s="54" t="n">
        <v>0</v>
      </c>
      <c r="BI1484" s="55">
        <f>N('Neue Artikel'!$C$18)/Parameter!$B$18</f>
        <v/>
      </c>
      <c r="BJ1484" s="53" t="inlineStr"/>
      <c r="BK1484" s="58" t="n">
        <v>1</v>
      </c>
      <c r="BL1484" s="58" t="n">
        <v>1484</v>
      </c>
      <c r="BM1484" s="53">
        <f>IF(S1484&lt;&gt;"",UPPER(TRIM(S1484)),IF(O1484="","LOSE",O1484))</f>
        <v/>
      </c>
      <c r="BN1484" s="55">
        <f>IF(BM1484="LOSE",1,IF(N(T1484)&gt;0,T1484,IF(N(P1484)&gt;0,P1484,MAX(1,G1484))))</f>
        <v/>
      </c>
      <c r="BO1484" s="58">
        <f>IF(BM1484="LOSE",1,0)</f>
        <v/>
      </c>
      <c r="BP1484" s="64">
        <f>IF(BO1484=0,0,IF(N(R1484)&gt;0,R1484,IFERROR(VLOOKUP(D1484,Parameter!$A$35:$C$64,3,0)+0,0)))</f>
        <v/>
      </c>
      <c r="BQ1484" s="53">
        <f>IF(V1484&lt;&gt;"",V1484,U1484)</f>
        <v/>
      </c>
      <c r="BR1484" s="53">
        <f>IF(BQ1484=1,"L1",IF(OR(BQ1484=2,BQ1484=3),"L23",IF(BQ1484="Aussen","Aussen","-")))</f>
        <v/>
      </c>
      <c r="BS1484" s="66">
        <f>IF(N(W1484)&gt;0,W1484,0)</f>
        <v/>
      </c>
      <c r="BT1484" s="58">
        <f>IF(ISNUMBER(Z1484),1,0)</f>
        <v/>
      </c>
      <c r="BU1484" s="55">
        <f>N(Z1484)</f>
        <v/>
      </c>
      <c r="BV1484" s="55">
        <f>N(L1484)+N(M1484)</f>
        <v/>
      </c>
      <c r="BW1484" s="55">
        <f>ROUNDUP(G1484/BN1484,0)</f>
        <v/>
      </c>
      <c r="BX1484" s="55">
        <f>ROUNDUP(BU1484/BN1484,0)</f>
        <v/>
      </c>
      <c r="BY1484" s="58">
        <f>IF(BO1484=1,0,IFERROR(VLOOKUP(BM1484,'Gebinde-Kategorie'!$A$5:$G$45,5,0)+0,0))</f>
        <v/>
      </c>
      <c r="BZ1484" s="58">
        <f>IFERROR(IF(OR(BQ1484=1,BQ1484=2,BQ1484=3),N(INDEX(Parameter!$I$5:$I$7,BQ1484)),0),0)</f>
        <v/>
      </c>
    </row>
    <row r="1485">
      <c r="A1485" s="53">
        <f>IF('Neue Artikel'!$A$19="","",'Neue Artikel'!$A$19&amp;"")</f>
        <v/>
      </c>
      <c r="B1485" s="53">
        <f>'Neue Artikel'!$B$19&amp;""</f>
        <v/>
      </c>
      <c r="C1485" s="53" t="inlineStr"/>
      <c r="D1485" s="53" t="inlineStr">
        <is>
          <t>NEU</t>
        </is>
      </c>
      <c r="E1485" s="53" t="inlineStr"/>
      <c r="F1485" s="54">
        <f>N('Neue Artikel'!$G$19)</f>
        <v/>
      </c>
      <c r="G1485" s="55">
        <f>MAX(0,IF(Parameter!$B$20="Jahresanfang 2025 + Export",BG1485+BF1485,BF1485))</f>
        <v/>
      </c>
      <c r="H1485" s="55">
        <f>G1485*F1485</f>
        <v/>
      </c>
      <c r="I1485" s="55">
        <f>BI1485*Parameter!$B$18</f>
        <v/>
      </c>
      <c r="J1485" s="56" t="n"/>
      <c r="K1485" s="57" t="n"/>
      <c r="L1485" s="55">
        <f>N('Neue Artikel'!$E$19)</f>
        <v/>
      </c>
      <c r="M1485" s="55">
        <f>N('Neue Artikel'!$F$19)</f>
        <v/>
      </c>
      <c r="N1485" s="58" t="n"/>
      <c r="O1485" s="53">
        <f>IF('Neue Artikel'!$H$19="","LOSE",UPPER(TRIM('Neue Artikel'!$H$19)))</f>
        <v/>
      </c>
      <c r="P1485" s="55">
        <f>N('Neue Artikel'!$I$19)</f>
        <v/>
      </c>
      <c r="Q1485" s="59">
        <f>IF(BO1485=1,0,IFERROR(VLOOKUP(BM1485,'Gebinde-Kategorie'!$A$5:$G$45,6,0)+0,0))</f>
        <v/>
      </c>
      <c r="R1485" s="60" t="n"/>
      <c r="S1485" s="61" t="n"/>
      <c r="T1485" s="61" t="n"/>
      <c r="U1485" s="53">
        <f>IF(A1485="","",IF(IFERROR(VLOOKUP(D1485,Parameter!$A$35:$C$64,2,0),"Nein")="2+3",IF(ISNUMBER(SEARCH("grosser Artikel",BJ1485)),2,IFERROR(VLOOKUP(BM1485,Parameter!$F$35:$G$64,2,0),2)),IF(OR(IFERROR(VLOOKUP(D1485,Parameter!$A$35:$C$64,2,0),"Nein")="Nein",IFERROR(VLOOKUP(D1485,Parameter!$A$35:$C$64,2,0),"Nein")=""),"-",VLOOKUP(D1485,Parameter!$A$35:$C$64,2,0))))</f>
        <v/>
      </c>
      <c r="V1485" s="53">
        <f>IF('Neue Artikel'!$J$19="","",'Neue Artikel'!$J$19)</f>
        <v/>
      </c>
      <c r="W1485" s="62" t="n"/>
      <c r="X1485" s="55">
        <f>AM1485</f>
        <v/>
      </c>
      <c r="Y1485" s="55">
        <f>MAX(AM1485,G1485)</f>
        <v/>
      </c>
      <c r="Z1485" s="63" t="n"/>
      <c r="AA1485" s="55">
        <f>IF(LEFT(Cockpit!$C$5,1)="A",G1485,IF(BT1485=1,BU1485,IF(LEFT(Cockpit!$C$5,1)="B",AE1485,MAX(AE1485,G1485))))</f>
        <v/>
      </c>
      <c r="AB1485" s="55">
        <f>IF(BO1485=1,0,ROUNDUP(AA1485/BN1485,0))</f>
        <v/>
      </c>
      <c r="AC1485" s="64">
        <f>IF(BO1485=1,IF(AA1485&lt;=0,0,BP1485*MAX(1,IF(G1485&gt;0,AA1485/G1485,1))),AB1485*Q1485)</f>
        <v/>
      </c>
      <c r="AD1485" s="55">
        <f>AA1485*F1485</f>
        <v/>
      </c>
      <c r="AE1485" s="55">
        <f>ROUNDUP(MAX(I1485/IF(BS1485&gt;0,BS1485,MAX(0.1,N(Cockpit!$C$6))),BV1485)/BN1485,0)*BN1485</f>
        <v/>
      </c>
      <c r="AF1485" s="56">
        <f>IF(AC1485&gt;0,I1485/AC1485,-1)</f>
        <v/>
      </c>
      <c r="AG1485" s="56">
        <f>IF(AND(OR(BR1485="L1",BR1485="L23"),AC1485&gt;0),SUMIFS($AC$7:$AC$1570,$BR$7:$BR$1570,BR1485,$AF$7:$AF$1570,"&gt;"&amp;AF1485)+SUMIFS($AC$7:$AC$1570,$BR$7:$BR$1570,BR1485,$AF$7:$AF$1570,AF1485,$BL$7:$BL$1570,"&lt;="&amp;BL1485),"")</f>
        <v/>
      </c>
      <c r="AH1485" s="65">
        <f>IF(AG1485="",0,MAX(0,MIN(1,(IF(BR1485="L1",Parameter!$K$5,Parameter!$K$6+Parameter!$K$7)-(AG1485-AC1485))/AC1485)))</f>
        <v/>
      </c>
      <c r="AI1485" s="55">
        <f>IF(LEFT(Cockpit!$I$5,1)="A",G1485,IF(BT1485=1,BU1485,IF(LEFT(Cockpit!$I$5,1)="B",AM1485,MAX(AM1485,G1485))))</f>
        <v/>
      </c>
      <c r="AJ1485" s="55">
        <f>IF(BO1485=1,0,ROUNDUP(AI1485/BN1485,0))</f>
        <v/>
      </c>
      <c r="AK1485" s="64">
        <f>IF(BO1485=1,IF(AI1485&lt;=0,0,BP1485*MAX(1,IF(G1485&gt;0,AI1485/G1485,1))),AJ1485*Q1485)</f>
        <v/>
      </c>
      <c r="AL1485" s="55">
        <f>AI1485*F1485</f>
        <v/>
      </c>
      <c r="AM1485" s="55">
        <f>ROUNDUP(MAX(I1485/IF(BS1485&gt;0,BS1485,MAX(0.1,N(Cockpit!$I$6))),BV1485)/BN1485,0)*BN1485</f>
        <v/>
      </c>
      <c r="AN1485" s="56">
        <f>IF(AK1485&gt;0,I1485/AK1485,-1)</f>
        <v/>
      </c>
      <c r="AO1485" s="56">
        <f>IF(AND(OR(BR1485="L1",BR1485="L23"),AK1485&gt;0),SUMIFS($AK$7:$AK$1570,$BR$7:$BR$1570,BR1485,$AN$7:$AN$1570,"&gt;"&amp;AN1485)+SUMIFS($AK$7:$AK$1570,$BR$7:$BR$1570,BR1485,$AN$7:$AN$1570,AN1485,$BL$7:$BL$1570,"&lt;="&amp;BL1485),"")</f>
        <v/>
      </c>
      <c r="AP1485" s="65">
        <f>IF(AO1485="",0,MAX(0,MIN(1,(IF(BR1485="L1",Parameter!$K$5,Parameter!$K$6+Parameter!$K$7)-(AO1485-AK1485))/AK1485)))</f>
        <v/>
      </c>
      <c r="AQ1485" s="55">
        <f>IF(LEFT(Cockpit!$O$5,1)="A",G1485,IF(BT1485=1,BU1485,IF(LEFT(Cockpit!$O$5,1)="B",AU1485,MAX(AU1485,G1485))))</f>
        <v/>
      </c>
      <c r="AR1485" s="55">
        <f>IF(BO1485=1,0,ROUNDUP(AQ1485/BN1485,0))</f>
        <v/>
      </c>
      <c r="AS1485" s="64">
        <f>IF(BO1485=1,IF(AQ1485&lt;=0,0,BP1485*MAX(1,IF(G1485&gt;0,AQ1485/G1485,1))),AR1485*Q1485)</f>
        <v/>
      </c>
      <c r="AT1485" s="55">
        <f>AQ1485*F1485</f>
        <v/>
      </c>
      <c r="AU1485" s="55">
        <f>ROUNDUP(MAX(I1485/IF(BS1485&gt;0,BS1485,MAX(0.1,N(Cockpit!$O$6))),BV1485)/BN1485,0)*BN1485</f>
        <v/>
      </c>
      <c r="AV1485" s="56">
        <f>IF(AS1485&gt;0,I1485/AS1485,-1)</f>
        <v/>
      </c>
      <c r="AW1485" s="56">
        <f>IF(AND(OR(BR1485="L1",BR1485="L23"),AS1485&gt;0),SUMIFS($AS$7:$AS$1570,$BR$7:$BR$1570,BR1485,$AV$7:$AV$1570,"&gt;"&amp;AV1485)+SUMIFS($AS$7:$AS$1570,$BR$7:$BR$1570,BR1485,$AV$7:$AV$1570,AV1485,$BL$7:$BL$1570,"&lt;="&amp;BL1485),"")</f>
        <v/>
      </c>
      <c r="AX1485" s="65">
        <f>IF(AW1485="",0,MAX(0,MIN(1,(IF(BR1485="L1",Parameter!$K$5,Parameter!$K$6+Parameter!$K$7)-(AW1485-AS1485))/AS1485)))</f>
        <v/>
      </c>
      <c r="AY1485" s="53">
        <f>IF(AC1485&lt;=0,"",IF(BR1485="Aussen","Aussenlager",IF(BR1485="-","Nicht im Lift",IF(AH1485&gt;=1,"Lift",IF(AH1485&lt;=0,"Aussenlager","teilweise")))))</f>
        <v/>
      </c>
      <c r="AZ1485" s="53">
        <f>IF(AK1485&lt;=0,"",IF(BR1485="Aussen","Aussenlager",IF(BR1485="-","Nicht im Lift",IF(AP1485&gt;=1,"Lift",IF(AP1485&lt;=0,"Aussenlager","teilweise")))))</f>
        <v/>
      </c>
      <c r="BA1485" s="53">
        <f>IF(AS1485&lt;=0,"",IF(BR1485="Aussen","Aussenlager",IF(BR1485="-","Nicht im Lift",IF(AX1485&gt;=1,"Lift",IF(AX1485&lt;=0,"Aussenlager","teilweise")))))</f>
        <v/>
      </c>
      <c r="BB1485" s="53">
        <f>IF(A1485="","",IF(BK1485=1,"Neu; ","")&amp;IF(AND(BK1485=0,BF1485&lt;0),"negativer Bestand (Export "&amp;BF1485&amp;"); ","")&amp;IF(I1485&lt;=0,"Kein Verbrauch; ","")&amp;IF(BO1485=1,"Lose – Fläche geschätzt; ","")&amp;IF(G1485&gt;AM1485,"Überbestand "&amp;ROUND(G1485-AM1485,0)&amp;" Stk / CHF "&amp;ROUND((G1485-AM1485)*F1485,0)&amp;"; ","")&amp;IF(AND(BT1485=1,BU1485&lt;BV1485),"MAX &lt; MB+LG; ","")&amp;IF(AND(BZ1485&gt;0,BY1485*10&gt;BZ1485),"zu hoch für Tablar; ","")&amp;IF(AND(BK1485=0,OR(BT1485=1,V1485&lt;&gt;"",S1485&lt;&gt;"",T1485&lt;&gt;"",W1485&lt;&gt;"")),"manuell übersteuert; ","")&amp;IF(AND(BO1485=0,Q1485=0),"Gebinde unbekannt; ","")&amp;IF(AND(BO1485=0,N(T1485)&lt;=0,N(P1485)&lt;=0),"Menge pro Gebinde fehlt (Ist = 1 Gebinde); ","")&amp;BJ1485)</f>
        <v/>
      </c>
      <c r="BC1485" s="53" t="n"/>
      <c r="BD1485" s="53" t="n"/>
      <c r="BE1485" s="61" t="n"/>
      <c r="BF1485" s="55">
        <f>N('Neue Artikel'!$D$19)</f>
        <v/>
      </c>
      <c r="BG1485" s="55" t="n">
        <v>0</v>
      </c>
      <c r="BH1485" s="54" t="n">
        <v>0</v>
      </c>
      <c r="BI1485" s="55">
        <f>N('Neue Artikel'!$C$19)/Parameter!$B$18</f>
        <v/>
      </c>
      <c r="BJ1485" s="53" t="inlineStr"/>
      <c r="BK1485" s="58" t="n">
        <v>1</v>
      </c>
      <c r="BL1485" s="58" t="n">
        <v>1485</v>
      </c>
      <c r="BM1485" s="53">
        <f>IF(S1485&lt;&gt;"",UPPER(TRIM(S1485)),IF(O1485="","LOSE",O1485))</f>
        <v/>
      </c>
      <c r="BN1485" s="55">
        <f>IF(BM1485="LOSE",1,IF(N(T1485)&gt;0,T1485,IF(N(P1485)&gt;0,P1485,MAX(1,G1485))))</f>
        <v/>
      </c>
      <c r="BO1485" s="58">
        <f>IF(BM1485="LOSE",1,0)</f>
        <v/>
      </c>
      <c r="BP1485" s="64">
        <f>IF(BO1485=0,0,IF(N(R1485)&gt;0,R1485,IFERROR(VLOOKUP(D1485,Parameter!$A$35:$C$64,3,0)+0,0)))</f>
        <v/>
      </c>
      <c r="BQ1485" s="53">
        <f>IF(V1485&lt;&gt;"",V1485,U1485)</f>
        <v/>
      </c>
      <c r="BR1485" s="53">
        <f>IF(BQ1485=1,"L1",IF(OR(BQ1485=2,BQ1485=3),"L23",IF(BQ1485="Aussen","Aussen","-")))</f>
        <v/>
      </c>
      <c r="BS1485" s="66">
        <f>IF(N(W1485)&gt;0,W1485,0)</f>
        <v/>
      </c>
      <c r="BT1485" s="58">
        <f>IF(ISNUMBER(Z1485),1,0)</f>
        <v/>
      </c>
      <c r="BU1485" s="55">
        <f>N(Z1485)</f>
        <v/>
      </c>
      <c r="BV1485" s="55">
        <f>N(L1485)+N(M1485)</f>
        <v/>
      </c>
      <c r="BW1485" s="55">
        <f>ROUNDUP(G1485/BN1485,0)</f>
        <v/>
      </c>
      <c r="BX1485" s="55">
        <f>ROUNDUP(BU1485/BN1485,0)</f>
        <v/>
      </c>
      <c r="BY1485" s="58">
        <f>IF(BO1485=1,0,IFERROR(VLOOKUP(BM1485,'Gebinde-Kategorie'!$A$5:$G$45,5,0)+0,0))</f>
        <v/>
      </c>
      <c r="BZ1485" s="58">
        <f>IFERROR(IF(OR(BQ1485=1,BQ1485=2,BQ1485=3),N(INDEX(Parameter!$I$5:$I$7,BQ1485)),0),0)</f>
        <v/>
      </c>
    </row>
    <row r="1486">
      <c r="A1486" s="53">
        <f>IF('Neue Artikel'!$A$20="","",'Neue Artikel'!$A$20&amp;"")</f>
        <v/>
      </c>
      <c r="B1486" s="53">
        <f>'Neue Artikel'!$B$20&amp;""</f>
        <v/>
      </c>
      <c r="C1486" s="53" t="inlineStr"/>
      <c r="D1486" s="53" t="inlineStr">
        <is>
          <t>NEU</t>
        </is>
      </c>
      <c r="E1486" s="53" t="inlineStr"/>
      <c r="F1486" s="54">
        <f>N('Neue Artikel'!$G$20)</f>
        <v/>
      </c>
      <c r="G1486" s="55">
        <f>MAX(0,IF(Parameter!$B$20="Jahresanfang 2025 + Export",BG1486+BF1486,BF1486))</f>
        <v/>
      </c>
      <c r="H1486" s="55">
        <f>G1486*F1486</f>
        <v/>
      </c>
      <c r="I1486" s="55">
        <f>BI1486*Parameter!$B$18</f>
        <v/>
      </c>
      <c r="J1486" s="56" t="n"/>
      <c r="K1486" s="57" t="n"/>
      <c r="L1486" s="55">
        <f>N('Neue Artikel'!$E$20)</f>
        <v/>
      </c>
      <c r="M1486" s="55">
        <f>N('Neue Artikel'!$F$20)</f>
        <v/>
      </c>
      <c r="N1486" s="58" t="n"/>
      <c r="O1486" s="53">
        <f>IF('Neue Artikel'!$H$20="","LOSE",UPPER(TRIM('Neue Artikel'!$H$20)))</f>
        <v/>
      </c>
      <c r="P1486" s="55">
        <f>N('Neue Artikel'!$I$20)</f>
        <v/>
      </c>
      <c r="Q1486" s="59">
        <f>IF(BO1486=1,0,IFERROR(VLOOKUP(BM1486,'Gebinde-Kategorie'!$A$5:$G$45,6,0)+0,0))</f>
        <v/>
      </c>
      <c r="R1486" s="60" t="n"/>
      <c r="S1486" s="61" t="n"/>
      <c r="T1486" s="61" t="n"/>
      <c r="U1486" s="53">
        <f>IF(A1486="","",IF(IFERROR(VLOOKUP(D1486,Parameter!$A$35:$C$64,2,0),"Nein")="2+3",IF(ISNUMBER(SEARCH("grosser Artikel",BJ1486)),2,IFERROR(VLOOKUP(BM1486,Parameter!$F$35:$G$64,2,0),2)),IF(OR(IFERROR(VLOOKUP(D1486,Parameter!$A$35:$C$64,2,0),"Nein")="Nein",IFERROR(VLOOKUP(D1486,Parameter!$A$35:$C$64,2,0),"Nein")=""),"-",VLOOKUP(D1486,Parameter!$A$35:$C$64,2,0))))</f>
        <v/>
      </c>
      <c r="V1486" s="53">
        <f>IF('Neue Artikel'!$J$20="","",'Neue Artikel'!$J$20)</f>
        <v/>
      </c>
      <c r="W1486" s="62" t="n"/>
      <c r="X1486" s="55">
        <f>AM1486</f>
        <v/>
      </c>
      <c r="Y1486" s="55">
        <f>MAX(AM1486,G1486)</f>
        <v/>
      </c>
      <c r="Z1486" s="63" t="n"/>
      <c r="AA1486" s="55">
        <f>IF(LEFT(Cockpit!$C$5,1)="A",G1486,IF(BT1486=1,BU1486,IF(LEFT(Cockpit!$C$5,1)="B",AE1486,MAX(AE1486,G1486))))</f>
        <v/>
      </c>
      <c r="AB1486" s="55">
        <f>IF(BO1486=1,0,ROUNDUP(AA1486/BN1486,0))</f>
        <v/>
      </c>
      <c r="AC1486" s="64">
        <f>IF(BO1486=1,IF(AA1486&lt;=0,0,BP1486*MAX(1,IF(G1486&gt;0,AA1486/G1486,1))),AB1486*Q1486)</f>
        <v/>
      </c>
      <c r="AD1486" s="55">
        <f>AA1486*F1486</f>
        <v/>
      </c>
      <c r="AE1486" s="55">
        <f>ROUNDUP(MAX(I1486/IF(BS1486&gt;0,BS1486,MAX(0.1,N(Cockpit!$C$6))),BV1486)/BN1486,0)*BN1486</f>
        <v/>
      </c>
      <c r="AF1486" s="56">
        <f>IF(AC1486&gt;0,I1486/AC1486,-1)</f>
        <v/>
      </c>
      <c r="AG1486" s="56">
        <f>IF(AND(OR(BR1486="L1",BR1486="L23"),AC1486&gt;0),SUMIFS($AC$7:$AC$1570,$BR$7:$BR$1570,BR1486,$AF$7:$AF$1570,"&gt;"&amp;AF1486)+SUMIFS($AC$7:$AC$1570,$BR$7:$BR$1570,BR1486,$AF$7:$AF$1570,AF1486,$BL$7:$BL$1570,"&lt;="&amp;BL1486),"")</f>
        <v/>
      </c>
      <c r="AH1486" s="65">
        <f>IF(AG1486="",0,MAX(0,MIN(1,(IF(BR1486="L1",Parameter!$K$5,Parameter!$K$6+Parameter!$K$7)-(AG1486-AC1486))/AC1486)))</f>
        <v/>
      </c>
      <c r="AI1486" s="55">
        <f>IF(LEFT(Cockpit!$I$5,1)="A",G1486,IF(BT1486=1,BU1486,IF(LEFT(Cockpit!$I$5,1)="B",AM1486,MAX(AM1486,G1486))))</f>
        <v/>
      </c>
      <c r="AJ1486" s="55">
        <f>IF(BO1486=1,0,ROUNDUP(AI1486/BN1486,0))</f>
        <v/>
      </c>
      <c r="AK1486" s="64">
        <f>IF(BO1486=1,IF(AI1486&lt;=0,0,BP1486*MAX(1,IF(G1486&gt;0,AI1486/G1486,1))),AJ1486*Q1486)</f>
        <v/>
      </c>
      <c r="AL1486" s="55">
        <f>AI1486*F1486</f>
        <v/>
      </c>
      <c r="AM1486" s="55">
        <f>ROUNDUP(MAX(I1486/IF(BS1486&gt;0,BS1486,MAX(0.1,N(Cockpit!$I$6))),BV1486)/BN1486,0)*BN1486</f>
        <v/>
      </c>
      <c r="AN1486" s="56">
        <f>IF(AK1486&gt;0,I1486/AK1486,-1)</f>
        <v/>
      </c>
      <c r="AO1486" s="56">
        <f>IF(AND(OR(BR1486="L1",BR1486="L23"),AK1486&gt;0),SUMIFS($AK$7:$AK$1570,$BR$7:$BR$1570,BR1486,$AN$7:$AN$1570,"&gt;"&amp;AN1486)+SUMIFS($AK$7:$AK$1570,$BR$7:$BR$1570,BR1486,$AN$7:$AN$1570,AN1486,$BL$7:$BL$1570,"&lt;="&amp;BL1486),"")</f>
        <v/>
      </c>
      <c r="AP1486" s="65">
        <f>IF(AO1486="",0,MAX(0,MIN(1,(IF(BR1486="L1",Parameter!$K$5,Parameter!$K$6+Parameter!$K$7)-(AO1486-AK1486))/AK1486)))</f>
        <v/>
      </c>
      <c r="AQ1486" s="55">
        <f>IF(LEFT(Cockpit!$O$5,1)="A",G1486,IF(BT1486=1,BU1486,IF(LEFT(Cockpit!$O$5,1)="B",AU1486,MAX(AU1486,G1486))))</f>
        <v/>
      </c>
      <c r="AR1486" s="55">
        <f>IF(BO1486=1,0,ROUNDUP(AQ1486/BN1486,0))</f>
        <v/>
      </c>
      <c r="AS1486" s="64">
        <f>IF(BO1486=1,IF(AQ1486&lt;=0,0,BP1486*MAX(1,IF(G1486&gt;0,AQ1486/G1486,1))),AR1486*Q1486)</f>
        <v/>
      </c>
      <c r="AT1486" s="55">
        <f>AQ1486*F1486</f>
        <v/>
      </c>
      <c r="AU1486" s="55">
        <f>ROUNDUP(MAX(I1486/IF(BS1486&gt;0,BS1486,MAX(0.1,N(Cockpit!$O$6))),BV1486)/BN1486,0)*BN1486</f>
        <v/>
      </c>
      <c r="AV1486" s="56">
        <f>IF(AS1486&gt;0,I1486/AS1486,-1)</f>
        <v/>
      </c>
      <c r="AW1486" s="56">
        <f>IF(AND(OR(BR1486="L1",BR1486="L23"),AS1486&gt;0),SUMIFS($AS$7:$AS$1570,$BR$7:$BR$1570,BR1486,$AV$7:$AV$1570,"&gt;"&amp;AV1486)+SUMIFS($AS$7:$AS$1570,$BR$7:$BR$1570,BR1486,$AV$7:$AV$1570,AV1486,$BL$7:$BL$1570,"&lt;="&amp;BL1486),"")</f>
        <v/>
      </c>
      <c r="AX1486" s="65">
        <f>IF(AW1486="",0,MAX(0,MIN(1,(IF(BR1486="L1",Parameter!$K$5,Parameter!$K$6+Parameter!$K$7)-(AW1486-AS1486))/AS1486)))</f>
        <v/>
      </c>
      <c r="AY1486" s="53">
        <f>IF(AC1486&lt;=0,"",IF(BR1486="Aussen","Aussenlager",IF(BR1486="-","Nicht im Lift",IF(AH1486&gt;=1,"Lift",IF(AH1486&lt;=0,"Aussenlager","teilweise")))))</f>
        <v/>
      </c>
      <c r="AZ1486" s="53">
        <f>IF(AK1486&lt;=0,"",IF(BR1486="Aussen","Aussenlager",IF(BR1486="-","Nicht im Lift",IF(AP1486&gt;=1,"Lift",IF(AP1486&lt;=0,"Aussenlager","teilweise")))))</f>
        <v/>
      </c>
      <c r="BA1486" s="53">
        <f>IF(AS1486&lt;=0,"",IF(BR1486="Aussen","Aussenlager",IF(BR1486="-","Nicht im Lift",IF(AX1486&gt;=1,"Lift",IF(AX1486&lt;=0,"Aussenlager","teilweise")))))</f>
        <v/>
      </c>
      <c r="BB1486" s="53">
        <f>IF(A1486="","",IF(BK1486=1,"Neu; ","")&amp;IF(AND(BK1486=0,BF1486&lt;0),"negativer Bestand (Export "&amp;BF1486&amp;"); ","")&amp;IF(I1486&lt;=0,"Kein Verbrauch; ","")&amp;IF(BO1486=1,"Lose – Fläche geschätzt; ","")&amp;IF(G1486&gt;AM1486,"Überbestand "&amp;ROUND(G1486-AM1486,0)&amp;" Stk / CHF "&amp;ROUND((G1486-AM1486)*F1486,0)&amp;"; ","")&amp;IF(AND(BT1486=1,BU1486&lt;BV1486),"MAX &lt; MB+LG; ","")&amp;IF(AND(BZ1486&gt;0,BY1486*10&gt;BZ1486),"zu hoch für Tablar; ","")&amp;IF(AND(BK1486=0,OR(BT1486=1,V1486&lt;&gt;"",S1486&lt;&gt;"",T1486&lt;&gt;"",W1486&lt;&gt;"")),"manuell übersteuert; ","")&amp;IF(AND(BO1486=0,Q1486=0),"Gebinde unbekannt; ","")&amp;IF(AND(BO1486=0,N(T1486)&lt;=0,N(P1486)&lt;=0),"Menge pro Gebinde fehlt (Ist = 1 Gebinde); ","")&amp;BJ1486)</f>
        <v/>
      </c>
      <c r="BC1486" s="53" t="n"/>
      <c r="BD1486" s="53" t="n"/>
      <c r="BE1486" s="61" t="n"/>
      <c r="BF1486" s="55">
        <f>N('Neue Artikel'!$D$20)</f>
        <v/>
      </c>
      <c r="BG1486" s="55" t="n">
        <v>0</v>
      </c>
      <c r="BH1486" s="54" t="n">
        <v>0</v>
      </c>
      <c r="BI1486" s="55">
        <f>N('Neue Artikel'!$C$20)/Parameter!$B$18</f>
        <v/>
      </c>
      <c r="BJ1486" s="53" t="inlineStr"/>
      <c r="BK1486" s="58" t="n">
        <v>1</v>
      </c>
      <c r="BL1486" s="58" t="n">
        <v>1486</v>
      </c>
      <c r="BM1486" s="53">
        <f>IF(S1486&lt;&gt;"",UPPER(TRIM(S1486)),IF(O1486="","LOSE",O1486))</f>
        <v/>
      </c>
      <c r="BN1486" s="55">
        <f>IF(BM1486="LOSE",1,IF(N(T1486)&gt;0,T1486,IF(N(P1486)&gt;0,P1486,MAX(1,G1486))))</f>
        <v/>
      </c>
      <c r="BO1486" s="58">
        <f>IF(BM1486="LOSE",1,0)</f>
        <v/>
      </c>
      <c r="BP1486" s="64">
        <f>IF(BO1486=0,0,IF(N(R1486)&gt;0,R1486,IFERROR(VLOOKUP(D1486,Parameter!$A$35:$C$64,3,0)+0,0)))</f>
        <v/>
      </c>
      <c r="BQ1486" s="53">
        <f>IF(V1486&lt;&gt;"",V1486,U1486)</f>
        <v/>
      </c>
      <c r="BR1486" s="53">
        <f>IF(BQ1486=1,"L1",IF(OR(BQ1486=2,BQ1486=3),"L23",IF(BQ1486="Aussen","Aussen","-")))</f>
        <v/>
      </c>
      <c r="BS1486" s="66">
        <f>IF(N(W1486)&gt;0,W1486,0)</f>
        <v/>
      </c>
      <c r="BT1486" s="58">
        <f>IF(ISNUMBER(Z1486),1,0)</f>
        <v/>
      </c>
      <c r="BU1486" s="55">
        <f>N(Z1486)</f>
        <v/>
      </c>
      <c r="BV1486" s="55">
        <f>N(L1486)+N(M1486)</f>
        <v/>
      </c>
      <c r="BW1486" s="55">
        <f>ROUNDUP(G1486/BN1486,0)</f>
        <v/>
      </c>
      <c r="BX1486" s="55">
        <f>ROUNDUP(BU1486/BN1486,0)</f>
        <v/>
      </c>
      <c r="BY1486" s="58">
        <f>IF(BO1486=1,0,IFERROR(VLOOKUP(BM1486,'Gebinde-Kategorie'!$A$5:$G$45,5,0)+0,0))</f>
        <v/>
      </c>
      <c r="BZ1486" s="58">
        <f>IFERROR(IF(OR(BQ1486=1,BQ1486=2,BQ1486=3),N(INDEX(Parameter!$I$5:$I$7,BQ1486)),0),0)</f>
        <v/>
      </c>
    </row>
    <row r="1487">
      <c r="A1487" s="53">
        <f>IF('Neue Artikel'!$A$21="","",'Neue Artikel'!$A$21&amp;"")</f>
        <v/>
      </c>
      <c r="B1487" s="53">
        <f>'Neue Artikel'!$B$21&amp;""</f>
        <v/>
      </c>
      <c r="C1487" s="53" t="inlineStr"/>
      <c r="D1487" s="53" t="inlineStr">
        <is>
          <t>NEU</t>
        </is>
      </c>
      <c r="E1487" s="53" t="inlineStr"/>
      <c r="F1487" s="54">
        <f>N('Neue Artikel'!$G$21)</f>
        <v/>
      </c>
      <c r="G1487" s="55">
        <f>MAX(0,IF(Parameter!$B$20="Jahresanfang 2025 + Export",BG1487+BF1487,BF1487))</f>
        <v/>
      </c>
      <c r="H1487" s="55">
        <f>G1487*F1487</f>
        <v/>
      </c>
      <c r="I1487" s="55">
        <f>BI1487*Parameter!$B$18</f>
        <v/>
      </c>
      <c r="J1487" s="56" t="n"/>
      <c r="K1487" s="57" t="n"/>
      <c r="L1487" s="55">
        <f>N('Neue Artikel'!$E$21)</f>
        <v/>
      </c>
      <c r="M1487" s="55">
        <f>N('Neue Artikel'!$F$21)</f>
        <v/>
      </c>
      <c r="N1487" s="58" t="n"/>
      <c r="O1487" s="53">
        <f>IF('Neue Artikel'!$H$21="","LOSE",UPPER(TRIM('Neue Artikel'!$H$21)))</f>
        <v/>
      </c>
      <c r="P1487" s="55">
        <f>N('Neue Artikel'!$I$21)</f>
        <v/>
      </c>
      <c r="Q1487" s="59">
        <f>IF(BO1487=1,0,IFERROR(VLOOKUP(BM1487,'Gebinde-Kategorie'!$A$5:$G$45,6,0)+0,0))</f>
        <v/>
      </c>
      <c r="R1487" s="60" t="n"/>
      <c r="S1487" s="61" t="n"/>
      <c r="T1487" s="61" t="n"/>
      <c r="U1487" s="53">
        <f>IF(A1487="","",IF(IFERROR(VLOOKUP(D1487,Parameter!$A$35:$C$64,2,0),"Nein")="2+3",IF(ISNUMBER(SEARCH("grosser Artikel",BJ1487)),2,IFERROR(VLOOKUP(BM1487,Parameter!$F$35:$G$64,2,0),2)),IF(OR(IFERROR(VLOOKUP(D1487,Parameter!$A$35:$C$64,2,0),"Nein")="Nein",IFERROR(VLOOKUP(D1487,Parameter!$A$35:$C$64,2,0),"Nein")=""),"-",VLOOKUP(D1487,Parameter!$A$35:$C$64,2,0))))</f>
        <v/>
      </c>
      <c r="V1487" s="53">
        <f>IF('Neue Artikel'!$J$21="","",'Neue Artikel'!$J$21)</f>
        <v/>
      </c>
      <c r="W1487" s="62" t="n"/>
      <c r="X1487" s="55">
        <f>AM1487</f>
        <v/>
      </c>
      <c r="Y1487" s="55">
        <f>MAX(AM1487,G1487)</f>
        <v/>
      </c>
      <c r="Z1487" s="63" t="n"/>
      <c r="AA1487" s="55">
        <f>IF(LEFT(Cockpit!$C$5,1)="A",G1487,IF(BT1487=1,BU1487,IF(LEFT(Cockpit!$C$5,1)="B",AE1487,MAX(AE1487,G1487))))</f>
        <v/>
      </c>
      <c r="AB1487" s="55">
        <f>IF(BO1487=1,0,ROUNDUP(AA1487/BN1487,0))</f>
        <v/>
      </c>
      <c r="AC1487" s="64">
        <f>IF(BO1487=1,IF(AA1487&lt;=0,0,BP1487*MAX(1,IF(G1487&gt;0,AA1487/G1487,1))),AB1487*Q1487)</f>
        <v/>
      </c>
      <c r="AD1487" s="55">
        <f>AA1487*F1487</f>
        <v/>
      </c>
      <c r="AE1487" s="55">
        <f>ROUNDUP(MAX(I1487/IF(BS1487&gt;0,BS1487,MAX(0.1,N(Cockpit!$C$6))),BV1487)/BN1487,0)*BN1487</f>
        <v/>
      </c>
      <c r="AF1487" s="56">
        <f>IF(AC1487&gt;0,I1487/AC1487,-1)</f>
        <v/>
      </c>
      <c r="AG1487" s="56">
        <f>IF(AND(OR(BR1487="L1",BR1487="L23"),AC1487&gt;0),SUMIFS($AC$7:$AC$1570,$BR$7:$BR$1570,BR1487,$AF$7:$AF$1570,"&gt;"&amp;AF1487)+SUMIFS($AC$7:$AC$1570,$BR$7:$BR$1570,BR1487,$AF$7:$AF$1570,AF1487,$BL$7:$BL$1570,"&lt;="&amp;BL1487),"")</f>
        <v/>
      </c>
      <c r="AH1487" s="65">
        <f>IF(AG1487="",0,MAX(0,MIN(1,(IF(BR1487="L1",Parameter!$K$5,Parameter!$K$6+Parameter!$K$7)-(AG1487-AC1487))/AC1487)))</f>
        <v/>
      </c>
      <c r="AI1487" s="55">
        <f>IF(LEFT(Cockpit!$I$5,1)="A",G1487,IF(BT1487=1,BU1487,IF(LEFT(Cockpit!$I$5,1)="B",AM1487,MAX(AM1487,G1487))))</f>
        <v/>
      </c>
      <c r="AJ1487" s="55">
        <f>IF(BO1487=1,0,ROUNDUP(AI1487/BN1487,0))</f>
        <v/>
      </c>
      <c r="AK1487" s="64">
        <f>IF(BO1487=1,IF(AI1487&lt;=0,0,BP1487*MAX(1,IF(G1487&gt;0,AI1487/G1487,1))),AJ1487*Q1487)</f>
        <v/>
      </c>
      <c r="AL1487" s="55">
        <f>AI1487*F1487</f>
        <v/>
      </c>
      <c r="AM1487" s="55">
        <f>ROUNDUP(MAX(I1487/IF(BS1487&gt;0,BS1487,MAX(0.1,N(Cockpit!$I$6))),BV1487)/BN1487,0)*BN1487</f>
        <v/>
      </c>
      <c r="AN1487" s="56">
        <f>IF(AK1487&gt;0,I1487/AK1487,-1)</f>
        <v/>
      </c>
      <c r="AO1487" s="56">
        <f>IF(AND(OR(BR1487="L1",BR1487="L23"),AK1487&gt;0),SUMIFS($AK$7:$AK$1570,$BR$7:$BR$1570,BR1487,$AN$7:$AN$1570,"&gt;"&amp;AN1487)+SUMIFS($AK$7:$AK$1570,$BR$7:$BR$1570,BR1487,$AN$7:$AN$1570,AN1487,$BL$7:$BL$1570,"&lt;="&amp;BL1487),"")</f>
        <v/>
      </c>
      <c r="AP1487" s="65">
        <f>IF(AO1487="",0,MAX(0,MIN(1,(IF(BR1487="L1",Parameter!$K$5,Parameter!$K$6+Parameter!$K$7)-(AO1487-AK1487))/AK1487)))</f>
        <v/>
      </c>
      <c r="AQ1487" s="55">
        <f>IF(LEFT(Cockpit!$O$5,1)="A",G1487,IF(BT1487=1,BU1487,IF(LEFT(Cockpit!$O$5,1)="B",AU1487,MAX(AU1487,G1487))))</f>
        <v/>
      </c>
      <c r="AR1487" s="55">
        <f>IF(BO1487=1,0,ROUNDUP(AQ1487/BN1487,0))</f>
        <v/>
      </c>
      <c r="AS1487" s="64">
        <f>IF(BO1487=1,IF(AQ1487&lt;=0,0,BP1487*MAX(1,IF(G1487&gt;0,AQ1487/G1487,1))),AR1487*Q1487)</f>
        <v/>
      </c>
      <c r="AT1487" s="55">
        <f>AQ1487*F1487</f>
        <v/>
      </c>
      <c r="AU1487" s="55">
        <f>ROUNDUP(MAX(I1487/IF(BS1487&gt;0,BS1487,MAX(0.1,N(Cockpit!$O$6))),BV1487)/BN1487,0)*BN1487</f>
        <v/>
      </c>
      <c r="AV1487" s="56">
        <f>IF(AS1487&gt;0,I1487/AS1487,-1)</f>
        <v/>
      </c>
      <c r="AW1487" s="56">
        <f>IF(AND(OR(BR1487="L1",BR1487="L23"),AS1487&gt;0),SUMIFS($AS$7:$AS$1570,$BR$7:$BR$1570,BR1487,$AV$7:$AV$1570,"&gt;"&amp;AV1487)+SUMIFS($AS$7:$AS$1570,$BR$7:$BR$1570,BR1487,$AV$7:$AV$1570,AV1487,$BL$7:$BL$1570,"&lt;="&amp;BL1487),"")</f>
        <v/>
      </c>
      <c r="AX1487" s="65">
        <f>IF(AW1487="",0,MAX(0,MIN(1,(IF(BR1487="L1",Parameter!$K$5,Parameter!$K$6+Parameter!$K$7)-(AW1487-AS1487))/AS1487)))</f>
        <v/>
      </c>
      <c r="AY1487" s="53">
        <f>IF(AC1487&lt;=0,"",IF(BR1487="Aussen","Aussenlager",IF(BR1487="-","Nicht im Lift",IF(AH1487&gt;=1,"Lift",IF(AH1487&lt;=0,"Aussenlager","teilweise")))))</f>
        <v/>
      </c>
      <c r="AZ1487" s="53">
        <f>IF(AK1487&lt;=0,"",IF(BR1487="Aussen","Aussenlager",IF(BR1487="-","Nicht im Lift",IF(AP1487&gt;=1,"Lift",IF(AP1487&lt;=0,"Aussenlager","teilweise")))))</f>
        <v/>
      </c>
      <c r="BA1487" s="53">
        <f>IF(AS1487&lt;=0,"",IF(BR1487="Aussen","Aussenlager",IF(BR1487="-","Nicht im Lift",IF(AX1487&gt;=1,"Lift",IF(AX1487&lt;=0,"Aussenlager","teilweise")))))</f>
        <v/>
      </c>
      <c r="BB1487" s="53">
        <f>IF(A1487="","",IF(BK1487=1,"Neu; ","")&amp;IF(AND(BK1487=0,BF1487&lt;0),"negativer Bestand (Export "&amp;BF1487&amp;"); ","")&amp;IF(I1487&lt;=0,"Kein Verbrauch; ","")&amp;IF(BO1487=1,"Lose – Fläche geschätzt; ","")&amp;IF(G1487&gt;AM1487,"Überbestand "&amp;ROUND(G1487-AM1487,0)&amp;" Stk / CHF "&amp;ROUND((G1487-AM1487)*F1487,0)&amp;"; ","")&amp;IF(AND(BT1487=1,BU1487&lt;BV1487),"MAX &lt; MB+LG; ","")&amp;IF(AND(BZ1487&gt;0,BY1487*10&gt;BZ1487),"zu hoch für Tablar; ","")&amp;IF(AND(BK1487=0,OR(BT1487=1,V1487&lt;&gt;"",S1487&lt;&gt;"",T1487&lt;&gt;"",W1487&lt;&gt;"")),"manuell übersteuert; ","")&amp;IF(AND(BO1487=0,Q1487=0),"Gebinde unbekannt; ","")&amp;IF(AND(BO1487=0,N(T1487)&lt;=0,N(P1487)&lt;=0),"Menge pro Gebinde fehlt (Ist = 1 Gebinde); ","")&amp;BJ1487)</f>
        <v/>
      </c>
      <c r="BC1487" s="53" t="n"/>
      <c r="BD1487" s="53" t="n"/>
      <c r="BE1487" s="61" t="n"/>
      <c r="BF1487" s="55">
        <f>N('Neue Artikel'!$D$21)</f>
        <v/>
      </c>
      <c r="BG1487" s="55" t="n">
        <v>0</v>
      </c>
      <c r="BH1487" s="54" t="n">
        <v>0</v>
      </c>
      <c r="BI1487" s="55">
        <f>N('Neue Artikel'!$C$21)/Parameter!$B$18</f>
        <v/>
      </c>
      <c r="BJ1487" s="53" t="inlineStr"/>
      <c r="BK1487" s="58" t="n">
        <v>1</v>
      </c>
      <c r="BL1487" s="58" t="n">
        <v>1487</v>
      </c>
      <c r="BM1487" s="53">
        <f>IF(S1487&lt;&gt;"",UPPER(TRIM(S1487)),IF(O1487="","LOSE",O1487))</f>
        <v/>
      </c>
      <c r="BN1487" s="55">
        <f>IF(BM1487="LOSE",1,IF(N(T1487)&gt;0,T1487,IF(N(P1487)&gt;0,P1487,MAX(1,G1487))))</f>
        <v/>
      </c>
      <c r="BO1487" s="58">
        <f>IF(BM1487="LOSE",1,0)</f>
        <v/>
      </c>
      <c r="BP1487" s="64">
        <f>IF(BO1487=0,0,IF(N(R1487)&gt;0,R1487,IFERROR(VLOOKUP(D1487,Parameter!$A$35:$C$64,3,0)+0,0)))</f>
        <v/>
      </c>
      <c r="BQ1487" s="53">
        <f>IF(V1487&lt;&gt;"",V1487,U1487)</f>
        <v/>
      </c>
      <c r="BR1487" s="53">
        <f>IF(BQ1487=1,"L1",IF(OR(BQ1487=2,BQ1487=3),"L23",IF(BQ1487="Aussen","Aussen","-")))</f>
        <v/>
      </c>
      <c r="BS1487" s="66">
        <f>IF(N(W1487)&gt;0,W1487,0)</f>
        <v/>
      </c>
      <c r="BT1487" s="58">
        <f>IF(ISNUMBER(Z1487),1,0)</f>
        <v/>
      </c>
      <c r="BU1487" s="55">
        <f>N(Z1487)</f>
        <v/>
      </c>
      <c r="BV1487" s="55">
        <f>N(L1487)+N(M1487)</f>
        <v/>
      </c>
      <c r="BW1487" s="55">
        <f>ROUNDUP(G1487/BN1487,0)</f>
        <v/>
      </c>
      <c r="BX1487" s="55">
        <f>ROUNDUP(BU1487/BN1487,0)</f>
        <v/>
      </c>
      <c r="BY1487" s="58">
        <f>IF(BO1487=1,0,IFERROR(VLOOKUP(BM1487,'Gebinde-Kategorie'!$A$5:$G$45,5,0)+0,0))</f>
        <v/>
      </c>
      <c r="BZ1487" s="58">
        <f>IFERROR(IF(OR(BQ1487=1,BQ1487=2,BQ1487=3),N(INDEX(Parameter!$I$5:$I$7,BQ1487)),0),0)</f>
        <v/>
      </c>
    </row>
    <row r="1488">
      <c r="A1488" s="53">
        <f>IF('Neue Artikel'!$A$22="","",'Neue Artikel'!$A$22&amp;"")</f>
        <v/>
      </c>
      <c r="B1488" s="53">
        <f>'Neue Artikel'!$B$22&amp;""</f>
        <v/>
      </c>
      <c r="C1488" s="53" t="inlineStr"/>
      <c r="D1488" s="53" t="inlineStr">
        <is>
          <t>NEU</t>
        </is>
      </c>
      <c r="E1488" s="53" t="inlineStr"/>
      <c r="F1488" s="54">
        <f>N('Neue Artikel'!$G$22)</f>
        <v/>
      </c>
      <c r="G1488" s="55">
        <f>MAX(0,IF(Parameter!$B$20="Jahresanfang 2025 + Export",BG1488+BF1488,BF1488))</f>
        <v/>
      </c>
      <c r="H1488" s="55">
        <f>G1488*F1488</f>
        <v/>
      </c>
      <c r="I1488" s="55">
        <f>BI1488*Parameter!$B$18</f>
        <v/>
      </c>
      <c r="J1488" s="56" t="n"/>
      <c r="K1488" s="57" t="n"/>
      <c r="L1488" s="55">
        <f>N('Neue Artikel'!$E$22)</f>
        <v/>
      </c>
      <c r="M1488" s="55">
        <f>N('Neue Artikel'!$F$22)</f>
        <v/>
      </c>
      <c r="N1488" s="58" t="n"/>
      <c r="O1488" s="53">
        <f>IF('Neue Artikel'!$H$22="","LOSE",UPPER(TRIM('Neue Artikel'!$H$22)))</f>
        <v/>
      </c>
      <c r="P1488" s="55">
        <f>N('Neue Artikel'!$I$22)</f>
        <v/>
      </c>
      <c r="Q1488" s="59">
        <f>IF(BO1488=1,0,IFERROR(VLOOKUP(BM1488,'Gebinde-Kategorie'!$A$5:$G$45,6,0)+0,0))</f>
        <v/>
      </c>
      <c r="R1488" s="60" t="n"/>
      <c r="S1488" s="61" t="n"/>
      <c r="T1488" s="61" t="n"/>
      <c r="U1488" s="53">
        <f>IF(A1488="","",IF(IFERROR(VLOOKUP(D1488,Parameter!$A$35:$C$64,2,0),"Nein")="2+3",IF(ISNUMBER(SEARCH("grosser Artikel",BJ1488)),2,IFERROR(VLOOKUP(BM1488,Parameter!$F$35:$G$64,2,0),2)),IF(OR(IFERROR(VLOOKUP(D1488,Parameter!$A$35:$C$64,2,0),"Nein")="Nein",IFERROR(VLOOKUP(D1488,Parameter!$A$35:$C$64,2,0),"Nein")=""),"-",VLOOKUP(D1488,Parameter!$A$35:$C$64,2,0))))</f>
        <v/>
      </c>
      <c r="V1488" s="53">
        <f>IF('Neue Artikel'!$J$22="","",'Neue Artikel'!$J$22)</f>
        <v/>
      </c>
      <c r="W1488" s="62" t="n"/>
      <c r="X1488" s="55">
        <f>AM1488</f>
        <v/>
      </c>
      <c r="Y1488" s="55">
        <f>MAX(AM1488,G1488)</f>
        <v/>
      </c>
      <c r="Z1488" s="63" t="n"/>
      <c r="AA1488" s="55">
        <f>IF(LEFT(Cockpit!$C$5,1)="A",G1488,IF(BT1488=1,BU1488,IF(LEFT(Cockpit!$C$5,1)="B",AE1488,MAX(AE1488,G1488))))</f>
        <v/>
      </c>
      <c r="AB1488" s="55">
        <f>IF(BO1488=1,0,ROUNDUP(AA1488/BN1488,0))</f>
        <v/>
      </c>
      <c r="AC1488" s="64">
        <f>IF(BO1488=1,IF(AA1488&lt;=0,0,BP1488*MAX(1,IF(G1488&gt;0,AA1488/G1488,1))),AB1488*Q1488)</f>
        <v/>
      </c>
      <c r="AD1488" s="55">
        <f>AA1488*F1488</f>
        <v/>
      </c>
      <c r="AE1488" s="55">
        <f>ROUNDUP(MAX(I1488/IF(BS1488&gt;0,BS1488,MAX(0.1,N(Cockpit!$C$6))),BV1488)/BN1488,0)*BN1488</f>
        <v/>
      </c>
      <c r="AF1488" s="56">
        <f>IF(AC1488&gt;0,I1488/AC1488,-1)</f>
        <v/>
      </c>
      <c r="AG1488" s="56">
        <f>IF(AND(OR(BR1488="L1",BR1488="L23"),AC1488&gt;0),SUMIFS($AC$7:$AC$1570,$BR$7:$BR$1570,BR1488,$AF$7:$AF$1570,"&gt;"&amp;AF1488)+SUMIFS($AC$7:$AC$1570,$BR$7:$BR$1570,BR1488,$AF$7:$AF$1570,AF1488,$BL$7:$BL$1570,"&lt;="&amp;BL1488),"")</f>
        <v/>
      </c>
      <c r="AH1488" s="65">
        <f>IF(AG1488="",0,MAX(0,MIN(1,(IF(BR1488="L1",Parameter!$K$5,Parameter!$K$6+Parameter!$K$7)-(AG1488-AC1488))/AC1488)))</f>
        <v/>
      </c>
      <c r="AI1488" s="55">
        <f>IF(LEFT(Cockpit!$I$5,1)="A",G1488,IF(BT1488=1,BU1488,IF(LEFT(Cockpit!$I$5,1)="B",AM1488,MAX(AM1488,G1488))))</f>
        <v/>
      </c>
      <c r="AJ1488" s="55">
        <f>IF(BO1488=1,0,ROUNDUP(AI1488/BN1488,0))</f>
        <v/>
      </c>
      <c r="AK1488" s="64">
        <f>IF(BO1488=1,IF(AI1488&lt;=0,0,BP1488*MAX(1,IF(G1488&gt;0,AI1488/G1488,1))),AJ1488*Q1488)</f>
        <v/>
      </c>
      <c r="AL1488" s="55">
        <f>AI1488*F1488</f>
        <v/>
      </c>
      <c r="AM1488" s="55">
        <f>ROUNDUP(MAX(I1488/IF(BS1488&gt;0,BS1488,MAX(0.1,N(Cockpit!$I$6))),BV1488)/BN1488,0)*BN1488</f>
        <v/>
      </c>
      <c r="AN1488" s="56">
        <f>IF(AK1488&gt;0,I1488/AK1488,-1)</f>
        <v/>
      </c>
      <c r="AO1488" s="56">
        <f>IF(AND(OR(BR1488="L1",BR1488="L23"),AK1488&gt;0),SUMIFS($AK$7:$AK$1570,$BR$7:$BR$1570,BR1488,$AN$7:$AN$1570,"&gt;"&amp;AN1488)+SUMIFS($AK$7:$AK$1570,$BR$7:$BR$1570,BR1488,$AN$7:$AN$1570,AN1488,$BL$7:$BL$1570,"&lt;="&amp;BL1488),"")</f>
        <v/>
      </c>
      <c r="AP1488" s="65">
        <f>IF(AO1488="",0,MAX(0,MIN(1,(IF(BR1488="L1",Parameter!$K$5,Parameter!$K$6+Parameter!$K$7)-(AO1488-AK1488))/AK1488)))</f>
        <v/>
      </c>
      <c r="AQ1488" s="55">
        <f>IF(LEFT(Cockpit!$O$5,1)="A",G1488,IF(BT1488=1,BU1488,IF(LEFT(Cockpit!$O$5,1)="B",AU1488,MAX(AU1488,G1488))))</f>
        <v/>
      </c>
      <c r="AR1488" s="55">
        <f>IF(BO1488=1,0,ROUNDUP(AQ1488/BN1488,0))</f>
        <v/>
      </c>
      <c r="AS1488" s="64">
        <f>IF(BO1488=1,IF(AQ1488&lt;=0,0,BP1488*MAX(1,IF(G1488&gt;0,AQ1488/G1488,1))),AR1488*Q1488)</f>
        <v/>
      </c>
      <c r="AT1488" s="55">
        <f>AQ1488*F1488</f>
        <v/>
      </c>
      <c r="AU1488" s="55">
        <f>ROUNDUP(MAX(I1488/IF(BS1488&gt;0,BS1488,MAX(0.1,N(Cockpit!$O$6))),BV1488)/BN1488,0)*BN1488</f>
        <v/>
      </c>
      <c r="AV1488" s="56">
        <f>IF(AS1488&gt;0,I1488/AS1488,-1)</f>
        <v/>
      </c>
      <c r="AW1488" s="56">
        <f>IF(AND(OR(BR1488="L1",BR1488="L23"),AS1488&gt;0),SUMIFS($AS$7:$AS$1570,$BR$7:$BR$1570,BR1488,$AV$7:$AV$1570,"&gt;"&amp;AV1488)+SUMIFS($AS$7:$AS$1570,$BR$7:$BR$1570,BR1488,$AV$7:$AV$1570,AV1488,$BL$7:$BL$1570,"&lt;="&amp;BL1488),"")</f>
        <v/>
      </c>
      <c r="AX1488" s="65">
        <f>IF(AW1488="",0,MAX(0,MIN(1,(IF(BR1488="L1",Parameter!$K$5,Parameter!$K$6+Parameter!$K$7)-(AW1488-AS1488))/AS1488)))</f>
        <v/>
      </c>
      <c r="AY1488" s="53">
        <f>IF(AC1488&lt;=0,"",IF(BR1488="Aussen","Aussenlager",IF(BR1488="-","Nicht im Lift",IF(AH1488&gt;=1,"Lift",IF(AH1488&lt;=0,"Aussenlager","teilweise")))))</f>
        <v/>
      </c>
      <c r="AZ1488" s="53">
        <f>IF(AK1488&lt;=0,"",IF(BR1488="Aussen","Aussenlager",IF(BR1488="-","Nicht im Lift",IF(AP1488&gt;=1,"Lift",IF(AP1488&lt;=0,"Aussenlager","teilweise")))))</f>
        <v/>
      </c>
      <c r="BA1488" s="53">
        <f>IF(AS1488&lt;=0,"",IF(BR1488="Aussen","Aussenlager",IF(BR1488="-","Nicht im Lift",IF(AX1488&gt;=1,"Lift",IF(AX1488&lt;=0,"Aussenlager","teilweise")))))</f>
        <v/>
      </c>
      <c r="BB1488" s="53">
        <f>IF(A1488="","",IF(BK1488=1,"Neu; ","")&amp;IF(AND(BK1488=0,BF1488&lt;0),"negativer Bestand (Export "&amp;BF1488&amp;"); ","")&amp;IF(I1488&lt;=0,"Kein Verbrauch; ","")&amp;IF(BO1488=1,"Lose – Fläche geschätzt; ","")&amp;IF(G1488&gt;AM1488,"Überbestand "&amp;ROUND(G1488-AM1488,0)&amp;" Stk / CHF "&amp;ROUND((G1488-AM1488)*F1488,0)&amp;"; ","")&amp;IF(AND(BT1488=1,BU1488&lt;BV1488),"MAX &lt; MB+LG; ","")&amp;IF(AND(BZ1488&gt;0,BY1488*10&gt;BZ1488),"zu hoch für Tablar; ","")&amp;IF(AND(BK1488=0,OR(BT1488=1,V1488&lt;&gt;"",S1488&lt;&gt;"",T1488&lt;&gt;"",W1488&lt;&gt;"")),"manuell übersteuert; ","")&amp;IF(AND(BO1488=0,Q1488=0),"Gebinde unbekannt; ","")&amp;IF(AND(BO1488=0,N(T1488)&lt;=0,N(P1488)&lt;=0),"Menge pro Gebinde fehlt (Ist = 1 Gebinde); ","")&amp;BJ1488)</f>
        <v/>
      </c>
      <c r="BC1488" s="53" t="n"/>
      <c r="BD1488" s="53" t="n"/>
      <c r="BE1488" s="61" t="n"/>
      <c r="BF1488" s="55">
        <f>N('Neue Artikel'!$D$22)</f>
        <v/>
      </c>
      <c r="BG1488" s="55" t="n">
        <v>0</v>
      </c>
      <c r="BH1488" s="54" t="n">
        <v>0</v>
      </c>
      <c r="BI1488" s="55">
        <f>N('Neue Artikel'!$C$22)/Parameter!$B$18</f>
        <v/>
      </c>
      <c r="BJ1488" s="53" t="inlineStr"/>
      <c r="BK1488" s="58" t="n">
        <v>1</v>
      </c>
      <c r="BL1488" s="58" t="n">
        <v>1488</v>
      </c>
      <c r="BM1488" s="53">
        <f>IF(S1488&lt;&gt;"",UPPER(TRIM(S1488)),IF(O1488="","LOSE",O1488))</f>
        <v/>
      </c>
      <c r="BN1488" s="55">
        <f>IF(BM1488="LOSE",1,IF(N(T1488)&gt;0,T1488,IF(N(P1488)&gt;0,P1488,MAX(1,G1488))))</f>
        <v/>
      </c>
      <c r="BO1488" s="58">
        <f>IF(BM1488="LOSE",1,0)</f>
        <v/>
      </c>
      <c r="BP1488" s="64">
        <f>IF(BO1488=0,0,IF(N(R1488)&gt;0,R1488,IFERROR(VLOOKUP(D1488,Parameter!$A$35:$C$64,3,0)+0,0)))</f>
        <v/>
      </c>
      <c r="BQ1488" s="53">
        <f>IF(V1488&lt;&gt;"",V1488,U1488)</f>
        <v/>
      </c>
      <c r="BR1488" s="53">
        <f>IF(BQ1488=1,"L1",IF(OR(BQ1488=2,BQ1488=3),"L23",IF(BQ1488="Aussen","Aussen","-")))</f>
        <v/>
      </c>
      <c r="BS1488" s="66">
        <f>IF(N(W1488)&gt;0,W1488,0)</f>
        <v/>
      </c>
      <c r="BT1488" s="58">
        <f>IF(ISNUMBER(Z1488),1,0)</f>
        <v/>
      </c>
      <c r="BU1488" s="55">
        <f>N(Z1488)</f>
        <v/>
      </c>
      <c r="BV1488" s="55">
        <f>N(L1488)+N(M1488)</f>
        <v/>
      </c>
      <c r="BW1488" s="55">
        <f>ROUNDUP(G1488/BN1488,0)</f>
        <v/>
      </c>
      <c r="BX1488" s="55">
        <f>ROUNDUP(BU1488/BN1488,0)</f>
        <v/>
      </c>
      <c r="BY1488" s="58">
        <f>IF(BO1488=1,0,IFERROR(VLOOKUP(BM1488,'Gebinde-Kategorie'!$A$5:$G$45,5,0)+0,0))</f>
        <v/>
      </c>
      <c r="BZ1488" s="58">
        <f>IFERROR(IF(OR(BQ1488=1,BQ1488=2,BQ1488=3),N(INDEX(Parameter!$I$5:$I$7,BQ1488)),0),0)</f>
        <v/>
      </c>
    </row>
    <row r="1489">
      <c r="A1489" s="53">
        <f>IF('Neue Artikel'!$A$23="","",'Neue Artikel'!$A$23&amp;"")</f>
        <v/>
      </c>
      <c r="B1489" s="53">
        <f>'Neue Artikel'!$B$23&amp;""</f>
        <v/>
      </c>
      <c r="C1489" s="53" t="inlineStr"/>
      <c r="D1489" s="53" t="inlineStr">
        <is>
          <t>NEU</t>
        </is>
      </c>
      <c r="E1489" s="53" t="inlineStr"/>
      <c r="F1489" s="54">
        <f>N('Neue Artikel'!$G$23)</f>
        <v/>
      </c>
      <c r="G1489" s="55">
        <f>MAX(0,IF(Parameter!$B$20="Jahresanfang 2025 + Export",BG1489+BF1489,BF1489))</f>
        <v/>
      </c>
      <c r="H1489" s="55">
        <f>G1489*F1489</f>
        <v/>
      </c>
      <c r="I1489" s="55">
        <f>BI1489*Parameter!$B$18</f>
        <v/>
      </c>
      <c r="J1489" s="56" t="n"/>
      <c r="K1489" s="57" t="n"/>
      <c r="L1489" s="55">
        <f>N('Neue Artikel'!$E$23)</f>
        <v/>
      </c>
      <c r="M1489" s="55">
        <f>N('Neue Artikel'!$F$23)</f>
        <v/>
      </c>
      <c r="N1489" s="58" t="n"/>
      <c r="O1489" s="53">
        <f>IF('Neue Artikel'!$H$23="","LOSE",UPPER(TRIM('Neue Artikel'!$H$23)))</f>
        <v/>
      </c>
      <c r="P1489" s="55">
        <f>N('Neue Artikel'!$I$23)</f>
        <v/>
      </c>
      <c r="Q1489" s="59">
        <f>IF(BO1489=1,0,IFERROR(VLOOKUP(BM1489,'Gebinde-Kategorie'!$A$5:$G$45,6,0)+0,0))</f>
        <v/>
      </c>
      <c r="R1489" s="60" t="n"/>
      <c r="S1489" s="61" t="n"/>
      <c r="T1489" s="61" t="n"/>
      <c r="U1489" s="53">
        <f>IF(A1489="","",IF(IFERROR(VLOOKUP(D1489,Parameter!$A$35:$C$64,2,0),"Nein")="2+3",IF(ISNUMBER(SEARCH("grosser Artikel",BJ1489)),2,IFERROR(VLOOKUP(BM1489,Parameter!$F$35:$G$64,2,0),2)),IF(OR(IFERROR(VLOOKUP(D1489,Parameter!$A$35:$C$64,2,0),"Nein")="Nein",IFERROR(VLOOKUP(D1489,Parameter!$A$35:$C$64,2,0),"Nein")=""),"-",VLOOKUP(D1489,Parameter!$A$35:$C$64,2,0))))</f>
        <v/>
      </c>
      <c r="V1489" s="53">
        <f>IF('Neue Artikel'!$J$23="","",'Neue Artikel'!$J$23)</f>
        <v/>
      </c>
      <c r="W1489" s="62" t="n"/>
      <c r="X1489" s="55">
        <f>AM1489</f>
        <v/>
      </c>
      <c r="Y1489" s="55">
        <f>MAX(AM1489,G1489)</f>
        <v/>
      </c>
      <c r="Z1489" s="63" t="n"/>
      <c r="AA1489" s="55">
        <f>IF(LEFT(Cockpit!$C$5,1)="A",G1489,IF(BT1489=1,BU1489,IF(LEFT(Cockpit!$C$5,1)="B",AE1489,MAX(AE1489,G1489))))</f>
        <v/>
      </c>
      <c r="AB1489" s="55">
        <f>IF(BO1489=1,0,ROUNDUP(AA1489/BN1489,0))</f>
        <v/>
      </c>
      <c r="AC1489" s="64">
        <f>IF(BO1489=1,IF(AA1489&lt;=0,0,BP1489*MAX(1,IF(G1489&gt;0,AA1489/G1489,1))),AB1489*Q1489)</f>
        <v/>
      </c>
      <c r="AD1489" s="55">
        <f>AA1489*F1489</f>
        <v/>
      </c>
      <c r="AE1489" s="55">
        <f>ROUNDUP(MAX(I1489/IF(BS1489&gt;0,BS1489,MAX(0.1,N(Cockpit!$C$6))),BV1489)/BN1489,0)*BN1489</f>
        <v/>
      </c>
      <c r="AF1489" s="56">
        <f>IF(AC1489&gt;0,I1489/AC1489,-1)</f>
        <v/>
      </c>
      <c r="AG1489" s="56">
        <f>IF(AND(OR(BR1489="L1",BR1489="L23"),AC1489&gt;0),SUMIFS($AC$7:$AC$1570,$BR$7:$BR$1570,BR1489,$AF$7:$AF$1570,"&gt;"&amp;AF1489)+SUMIFS($AC$7:$AC$1570,$BR$7:$BR$1570,BR1489,$AF$7:$AF$1570,AF1489,$BL$7:$BL$1570,"&lt;="&amp;BL1489),"")</f>
        <v/>
      </c>
      <c r="AH1489" s="65">
        <f>IF(AG1489="",0,MAX(0,MIN(1,(IF(BR1489="L1",Parameter!$K$5,Parameter!$K$6+Parameter!$K$7)-(AG1489-AC1489))/AC1489)))</f>
        <v/>
      </c>
      <c r="AI1489" s="55">
        <f>IF(LEFT(Cockpit!$I$5,1)="A",G1489,IF(BT1489=1,BU1489,IF(LEFT(Cockpit!$I$5,1)="B",AM1489,MAX(AM1489,G1489))))</f>
        <v/>
      </c>
      <c r="AJ1489" s="55">
        <f>IF(BO1489=1,0,ROUNDUP(AI1489/BN1489,0))</f>
        <v/>
      </c>
      <c r="AK1489" s="64">
        <f>IF(BO1489=1,IF(AI1489&lt;=0,0,BP1489*MAX(1,IF(G1489&gt;0,AI1489/G1489,1))),AJ1489*Q1489)</f>
        <v/>
      </c>
      <c r="AL1489" s="55">
        <f>AI1489*F1489</f>
        <v/>
      </c>
      <c r="AM1489" s="55">
        <f>ROUNDUP(MAX(I1489/IF(BS1489&gt;0,BS1489,MAX(0.1,N(Cockpit!$I$6))),BV1489)/BN1489,0)*BN1489</f>
        <v/>
      </c>
      <c r="AN1489" s="56">
        <f>IF(AK1489&gt;0,I1489/AK1489,-1)</f>
        <v/>
      </c>
      <c r="AO1489" s="56">
        <f>IF(AND(OR(BR1489="L1",BR1489="L23"),AK1489&gt;0),SUMIFS($AK$7:$AK$1570,$BR$7:$BR$1570,BR1489,$AN$7:$AN$1570,"&gt;"&amp;AN1489)+SUMIFS($AK$7:$AK$1570,$BR$7:$BR$1570,BR1489,$AN$7:$AN$1570,AN1489,$BL$7:$BL$1570,"&lt;="&amp;BL1489),"")</f>
        <v/>
      </c>
      <c r="AP1489" s="65">
        <f>IF(AO1489="",0,MAX(0,MIN(1,(IF(BR1489="L1",Parameter!$K$5,Parameter!$K$6+Parameter!$K$7)-(AO1489-AK1489))/AK1489)))</f>
        <v/>
      </c>
      <c r="AQ1489" s="55">
        <f>IF(LEFT(Cockpit!$O$5,1)="A",G1489,IF(BT1489=1,BU1489,IF(LEFT(Cockpit!$O$5,1)="B",AU1489,MAX(AU1489,G1489))))</f>
        <v/>
      </c>
      <c r="AR1489" s="55">
        <f>IF(BO1489=1,0,ROUNDUP(AQ1489/BN1489,0))</f>
        <v/>
      </c>
      <c r="AS1489" s="64">
        <f>IF(BO1489=1,IF(AQ1489&lt;=0,0,BP1489*MAX(1,IF(G1489&gt;0,AQ1489/G1489,1))),AR1489*Q1489)</f>
        <v/>
      </c>
      <c r="AT1489" s="55">
        <f>AQ1489*F1489</f>
        <v/>
      </c>
      <c r="AU1489" s="55">
        <f>ROUNDUP(MAX(I1489/IF(BS1489&gt;0,BS1489,MAX(0.1,N(Cockpit!$O$6))),BV1489)/BN1489,0)*BN1489</f>
        <v/>
      </c>
      <c r="AV1489" s="56">
        <f>IF(AS1489&gt;0,I1489/AS1489,-1)</f>
        <v/>
      </c>
      <c r="AW1489" s="56">
        <f>IF(AND(OR(BR1489="L1",BR1489="L23"),AS1489&gt;0),SUMIFS($AS$7:$AS$1570,$BR$7:$BR$1570,BR1489,$AV$7:$AV$1570,"&gt;"&amp;AV1489)+SUMIFS($AS$7:$AS$1570,$BR$7:$BR$1570,BR1489,$AV$7:$AV$1570,AV1489,$BL$7:$BL$1570,"&lt;="&amp;BL1489),"")</f>
        <v/>
      </c>
      <c r="AX1489" s="65">
        <f>IF(AW1489="",0,MAX(0,MIN(1,(IF(BR1489="L1",Parameter!$K$5,Parameter!$K$6+Parameter!$K$7)-(AW1489-AS1489))/AS1489)))</f>
        <v/>
      </c>
      <c r="AY1489" s="53">
        <f>IF(AC1489&lt;=0,"",IF(BR1489="Aussen","Aussenlager",IF(BR1489="-","Nicht im Lift",IF(AH1489&gt;=1,"Lift",IF(AH1489&lt;=0,"Aussenlager","teilweise")))))</f>
        <v/>
      </c>
      <c r="AZ1489" s="53">
        <f>IF(AK1489&lt;=0,"",IF(BR1489="Aussen","Aussenlager",IF(BR1489="-","Nicht im Lift",IF(AP1489&gt;=1,"Lift",IF(AP1489&lt;=0,"Aussenlager","teilweise")))))</f>
        <v/>
      </c>
      <c r="BA1489" s="53">
        <f>IF(AS1489&lt;=0,"",IF(BR1489="Aussen","Aussenlager",IF(BR1489="-","Nicht im Lift",IF(AX1489&gt;=1,"Lift",IF(AX1489&lt;=0,"Aussenlager","teilweise")))))</f>
        <v/>
      </c>
      <c r="BB1489" s="53">
        <f>IF(A1489="","",IF(BK1489=1,"Neu; ","")&amp;IF(AND(BK1489=0,BF1489&lt;0),"negativer Bestand (Export "&amp;BF1489&amp;"); ","")&amp;IF(I1489&lt;=0,"Kein Verbrauch; ","")&amp;IF(BO1489=1,"Lose – Fläche geschätzt; ","")&amp;IF(G1489&gt;AM1489,"Überbestand "&amp;ROUND(G1489-AM1489,0)&amp;" Stk / CHF "&amp;ROUND((G1489-AM1489)*F1489,0)&amp;"; ","")&amp;IF(AND(BT1489=1,BU1489&lt;BV1489),"MAX &lt; MB+LG; ","")&amp;IF(AND(BZ1489&gt;0,BY1489*10&gt;BZ1489),"zu hoch für Tablar; ","")&amp;IF(AND(BK1489=0,OR(BT1489=1,V1489&lt;&gt;"",S1489&lt;&gt;"",T1489&lt;&gt;"",W1489&lt;&gt;"")),"manuell übersteuert; ","")&amp;IF(AND(BO1489=0,Q1489=0),"Gebinde unbekannt; ","")&amp;IF(AND(BO1489=0,N(T1489)&lt;=0,N(P1489)&lt;=0),"Menge pro Gebinde fehlt (Ist = 1 Gebinde); ","")&amp;BJ1489)</f>
        <v/>
      </c>
      <c r="BC1489" s="53" t="n"/>
      <c r="BD1489" s="53" t="n"/>
      <c r="BE1489" s="61" t="n"/>
      <c r="BF1489" s="55">
        <f>N('Neue Artikel'!$D$23)</f>
        <v/>
      </c>
      <c r="BG1489" s="55" t="n">
        <v>0</v>
      </c>
      <c r="BH1489" s="54" t="n">
        <v>0</v>
      </c>
      <c r="BI1489" s="55">
        <f>N('Neue Artikel'!$C$23)/Parameter!$B$18</f>
        <v/>
      </c>
      <c r="BJ1489" s="53" t="inlineStr"/>
      <c r="BK1489" s="58" t="n">
        <v>1</v>
      </c>
      <c r="BL1489" s="58" t="n">
        <v>1489</v>
      </c>
      <c r="BM1489" s="53">
        <f>IF(S1489&lt;&gt;"",UPPER(TRIM(S1489)),IF(O1489="","LOSE",O1489))</f>
        <v/>
      </c>
      <c r="BN1489" s="55">
        <f>IF(BM1489="LOSE",1,IF(N(T1489)&gt;0,T1489,IF(N(P1489)&gt;0,P1489,MAX(1,G1489))))</f>
        <v/>
      </c>
      <c r="BO1489" s="58">
        <f>IF(BM1489="LOSE",1,0)</f>
        <v/>
      </c>
      <c r="BP1489" s="64">
        <f>IF(BO1489=0,0,IF(N(R1489)&gt;0,R1489,IFERROR(VLOOKUP(D1489,Parameter!$A$35:$C$64,3,0)+0,0)))</f>
        <v/>
      </c>
      <c r="BQ1489" s="53">
        <f>IF(V1489&lt;&gt;"",V1489,U1489)</f>
        <v/>
      </c>
      <c r="BR1489" s="53">
        <f>IF(BQ1489=1,"L1",IF(OR(BQ1489=2,BQ1489=3),"L23",IF(BQ1489="Aussen","Aussen","-")))</f>
        <v/>
      </c>
      <c r="BS1489" s="66">
        <f>IF(N(W1489)&gt;0,W1489,0)</f>
        <v/>
      </c>
      <c r="BT1489" s="58">
        <f>IF(ISNUMBER(Z1489),1,0)</f>
        <v/>
      </c>
      <c r="BU1489" s="55">
        <f>N(Z1489)</f>
        <v/>
      </c>
      <c r="BV1489" s="55">
        <f>N(L1489)+N(M1489)</f>
        <v/>
      </c>
      <c r="BW1489" s="55">
        <f>ROUNDUP(G1489/BN1489,0)</f>
        <v/>
      </c>
      <c r="BX1489" s="55">
        <f>ROUNDUP(BU1489/BN1489,0)</f>
        <v/>
      </c>
      <c r="BY1489" s="58">
        <f>IF(BO1489=1,0,IFERROR(VLOOKUP(BM1489,'Gebinde-Kategorie'!$A$5:$G$45,5,0)+0,0))</f>
        <v/>
      </c>
      <c r="BZ1489" s="58">
        <f>IFERROR(IF(OR(BQ1489=1,BQ1489=2,BQ1489=3),N(INDEX(Parameter!$I$5:$I$7,BQ1489)),0),0)</f>
        <v/>
      </c>
    </row>
    <row r="1490">
      <c r="A1490" s="53">
        <f>IF('Neue Artikel'!$A$24="","",'Neue Artikel'!$A$24&amp;"")</f>
        <v/>
      </c>
      <c r="B1490" s="53">
        <f>'Neue Artikel'!$B$24&amp;""</f>
        <v/>
      </c>
      <c r="C1490" s="53" t="inlineStr"/>
      <c r="D1490" s="53" t="inlineStr">
        <is>
          <t>NEU</t>
        </is>
      </c>
      <c r="E1490" s="53" t="inlineStr"/>
      <c r="F1490" s="54">
        <f>N('Neue Artikel'!$G$24)</f>
        <v/>
      </c>
      <c r="G1490" s="55">
        <f>MAX(0,IF(Parameter!$B$20="Jahresanfang 2025 + Export",BG1490+BF1490,BF1490))</f>
        <v/>
      </c>
      <c r="H1490" s="55">
        <f>G1490*F1490</f>
        <v/>
      </c>
      <c r="I1490" s="55">
        <f>BI1490*Parameter!$B$18</f>
        <v/>
      </c>
      <c r="J1490" s="56" t="n"/>
      <c r="K1490" s="57" t="n"/>
      <c r="L1490" s="55">
        <f>N('Neue Artikel'!$E$24)</f>
        <v/>
      </c>
      <c r="M1490" s="55">
        <f>N('Neue Artikel'!$F$24)</f>
        <v/>
      </c>
      <c r="N1490" s="58" t="n"/>
      <c r="O1490" s="53">
        <f>IF('Neue Artikel'!$H$24="","LOSE",UPPER(TRIM('Neue Artikel'!$H$24)))</f>
        <v/>
      </c>
      <c r="P1490" s="55">
        <f>N('Neue Artikel'!$I$24)</f>
        <v/>
      </c>
      <c r="Q1490" s="59">
        <f>IF(BO1490=1,0,IFERROR(VLOOKUP(BM1490,'Gebinde-Kategorie'!$A$5:$G$45,6,0)+0,0))</f>
        <v/>
      </c>
      <c r="R1490" s="60" t="n"/>
      <c r="S1490" s="61" t="n"/>
      <c r="T1490" s="61" t="n"/>
      <c r="U1490" s="53">
        <f>IF(A1490="","",IF(IFERROR(VLOOKUP(D1490,Parameter!$A$35:$C$64,2,0),"Nein")="2+3",IF(ISNUMBER(SEARCH("grosser Artikel",BJ1490)),2,IFERROR(VLOOKUP(BM1490,Parameter!$F$35:$G$64,2,0),2)),IF(OR(IFERROR(VLOOKUP(D1490,Parameter!$A$35:$C$64,2,0),"Nein")="Nein",IFERROR(VLOOKUP(D1490,Parameter!$A$35:$C$64,2,0),"Nein")=""),"-",VLOOKUP(D1490,Parameter!$A$35:$C$64,2,0))))</f>
        <v/>
      </c>
      <c r="V1490" s="53">
        <f>IF('Neue Artikel'!$J$24="","",'Neue Artikel'!$J$24)</f>
        <v/>
      </c>
      <c r="W1490" s="62" t="n"/>
      <c r="X1490" s="55">
        <f>AM1490</f>
        <v/>
      </c>
      <c r="Y1490" s="55">
        <f>MAX(AM1490,G1490)</f>
        <v/>
      </c>
      <c r="Z1490" s="63" t="n"/>
      <c r="AA1490" s="55">
        <f>IF(LEFT(Cockpit!$C$5,1)="A",G1490,IF(BT1490=1,BU1490,IF(LEFT(Cockpit!$C$5,1)="B",AE1490,MAX(AE1490,G1490))))</f>
        <v/>
      </c>
      <c r="AB1490" s="55">
        <f>IF(BO1490=1,0,ROUNDUP(AA1490/BN1490,0))</f>
        <v/>
      </c>
      <c r="AC1490" s="64">
        <f>IF(BO1490=1,IF(AA1490&lt;=0,0,BP1490*MAX(1,IF(G1490&gt;0,AA1490/G1490,1))),AB1490*Q1490)</f>
        <v/>
      </c>
      <c r="AD1490" s="55">
        <f>AA1490*F1490</f>
        <v/>
      </c>
      <c r="AE1490" s="55">
        <f>ROUNDUP(MAX(I1490/IF(BS1490&gt;0,BS1490,MAX(0.1,N(Cockpit!$C$6))),BV1490)/BN1490,0)*BN1490</f>
        <v/>
      </c>
      <c r="AF1490" s="56">
        <f>IF(AC1490&gt;0,I1490/AC1490,-1)</f>
        <v/>
      </c>
      <c r="AG1490" s="56">
        <f>IF(AND(OR(BR1490="L1",BR1490="L23"),AC1490&gt;0),SUMIFS($AC$7:$AC$1570,$BR$7:$BR$1570,BR1490,$AF$7:$AF$1570,"&gt;"&amp;AF1490)+SUMIFS($AC$7:$AC$1570,$BR$7:$BR$1570,BR1490,$AF$7:$AF$1570,AF1490,$BL$7:$BL$1570,"&lt;="&amp;BL1490),"")</f>
        <v/>
      </c>
      <c r="AH1490" s="65">
        <f>IF(AG1490="",0,MAX(0,MIN(1,(IF(BR1490="L1",Parameter!$K$5,Parameter!$K$6+Parameter!$K$7)-(AG1490-AC1490))/AC1490)))</f>
        <v/>
      </c>
      <c r="AI1490" s="55">
        <f>IF(LEFT(Cockpit!$I$5,1)="A",G1490,IF(BT1490=1,BU1490,IF(LEFT(Cockpit!$I$5,1)="B",AM1490,MAX(AM1490,G1490))))</f>
        <v/>
      </c>
      <c r="AJ1490" s="55">
        <f>IF(BO1490=1,0,ROUNDUP(AI1490/BN1490,0))</f>
        <v/>
      </c>
      <c r="AK1490" s="64">
        <f>IF(BO1490=1,IF(AI1490&lt;=0,0,BP1490*MAX(1,IF(G1490&gt;0,AI1490/G1490,1))),AJ1490*Q1490)</f>
        <v/>
      </c>
      <c r="AL1490" s="55">
        <f>AI1490*F1490</f>
        <v/>
      </c>
      <c r="AM1490" s="55">
        <f>ROUNDUP(MAX(I1490/IF(BS1490&gt;0,BS1490,MAX(0.1,N(Cockpit!$I$6))),BV1490)/BN1490,0)*BN1490</f>
        <v/>
      </c>
      <c r="AN1490" s="56">
        <f>IF(AK1490&gt;0,I1490/AK1490,-1)</f>
        <v/>
      </c>
      <c r="AO1490" s="56">
        <f>IF(AND(OR(BR1490="L1",BR1490="L23"),AK1490&gt;0),SUMIFS($AK$7:$AK$1570,$BR$7:$BR$1570,BR1490,$AN$7:$AN$1570,"&gt;"&amp;AN1490)+SUMIFS($AK$7:$AK$1570,$BR$7:$BR$1570,BR1490,$AN$7:$AN$1570,AN1490,$BL$7:$BL$1570,"&lt;="&amp;BL1490),"")</f>
        <v/>
      </c>
      <c r="AP1490" s="65">
        <f>IF(AO1490="",0,MAX(0,MIN(1,(IF(BR1490="L1",Parameter!$K$5,Parameter!$K$6+Parameter!$K$7)-(AO1490-AK1490))/AK1490)))</f>
        <v/>
      </c>
      <c r="AQ1490" s="55">
        <f>IF(LEFT(Cockpit!$O$5,1)="A",G1490,IF(BT1490=1,BU1490,IF(LEFT(Cockpit!$O$5,1)="B",AU1490,MAX(AU1490,G1490))))</f>
        <v/>
      </c>
      <c r="AR1490" s="55">
        <f>IF(BO1490=1,0,ROUNDUP(AQ1490/BN1490,0))</f>
        <v/>
      </c>
      <c r="AS1490" s="64">
        <f>IF(BO1490=1,IF(AQ1490&lt;=0,0,BP1490*MAX(1,IF(G1490&gt;0,AQ1490/G1490,1))),AR1490*Q1490)</f>
        <v/>
      </c>
      <c r="AT1490" s="55">
        <f>AQ1490*F1490</f>
        <v/>
      </c>
      <c r="AU1490" s="55">
        <f>ROUNDUP(MAX(I1490/IF(BS1490&gt;0,BS1490,MAX(0.1,N(Cockpit!$O$6))),BV1490)/BN1490,0)*BN1490</f>
        <v/>
      </c>
      <c r="AV1490" s="56">
        <f>IF(AS1490&gt;0,I1490/AS1490,-1)</f>
        <v/>
      </c>
      <c r="AW1490" s="56">
        <f>IF(AND(OR(BR1490="L1",BR1490="L23"),AS1490&gt;0),SUMIFS($AS$7:$AS$1570,$BR$7:$BR$1570,BR1490,$AV$7:$AV$1570,"&gt;"&amp;AV1490)+SUMIFS($AS$7:$AS$1570,$BR$7:$BR$1570,BR1490,$AV$7:$AV$1570,AV1490,$BL$7:$BL$1570,"&lt;="&amp;BL1490),"")</f>
        <v/>
      </c>
      <c r="AX1490" s="65">
        <f>IF(AW1490="",0,MAX(0,MIN(1,(IF(BR1490="L1",Parameter!$K$5,Parameter!$K$6+Parameter!$K$7)-(AW1490-AS1490))/AS1490)))</f>
        <v/>
      </c>
      <c r="AY1490" s="53">
        <f>IF(AC1490&lt;=0,"",IF(BR1490="Aussen","Aussenlager",IF(BR1490="-","Nicht im Lift",IF(AH1490&gt;=1,"Lift",IF(AH1490&lt;=0,"Aussenlager","teilweise")))))</f>
        <v/>
      </c>
      <c r="AZ1490" s="53">
        <f>IF(AK1490&lt;=0,"",IF(BR1490="Aussen","Aussenlager",IF(BR1490="-","Nicht im Lift",IF(AP1490&gt;=1,"Lift",IF(AP1490&lt;=0,"Aussenlager","teilweise")))))</f>
        <v/>
      </c>
      <c r="BA1490" s="53">
        <f>IF(AS1490&lt;=0,"",IF(BR1490="Aussen","Aussenlager",IF(BR1490="-","Nicht im Lift",IF(AX1490&gt;=1,"Lift",IF(AX1490&lt;=0,"Aussenlager","teilweise")))))</f>
        <v/>
      </c>
      <c r="BB1490" s="53">
        <f>IF(A1490="","",IF(BK1490=1,"Neu; ","")&amp;IF(AND(BK1490=0,BF1490&lt;0),"negativer Bestand (Export "&amp;BF1490&amp;"); ","")&amp;IF(I1490&lt;=0,"Kein Verbrauch; ","")&amp;IF(BO1490=1,"Lose – Fläche geschätzt; ","")&amp;IF(G1490&gt;AM1490,"Überbestand "&amp;ROUND(G1490-AM1490,0)&amp;" Stk / CHF "&amp;ROUND((G1490-AM1490)*F1490,0)&amp;"; ","")&amp;IF(AND(BT1490=1,BU1490&lt;BV1490),"MAX &lt; MB+LG; ","")&amp;IF(AND(BZ1490&gt;0,BY1490*10&gt;BZ1490),"zu hoch für Tablar; ","")&amp;IF(AND(BK1490=0,OR(BT1490=1,V1490&lt;&gt;"",S1490&lt;&gt;"",T1490&lt;&gt;"",W1490&lt;&gt;"")),"manuell übersteuert; ","")&amp;IF(AND(BO1490=0,Q1490=0),"Gebinde unbekannt; ","")&amp;IF(AND(BO1490=0,N(T1490)&lt;=0,N(P1490)&lt;=0),"Menge pro Gebinde fehlt (Ist = 1 Gebinde); ","")&amp;BJ1490)</f>
        <v/>
      </c>
      <c r="BC1490" s="53" t="n"/>
      <c r="BD1490" s="53" t="n"/>
      <c r="BE1490" s="61" t="n"/>
      <c r="BF1490" s="55">
        <f>N('Neue Artikel'!$D$24)</f>
        <v/>
      </c>
      <c r="BG1490" s="55" t="n">
        <v>0</v>
      </c>
      <c r="BH1490" s="54" t="n">
        <v>0</v>
      </c>
      <c r="BI1490" s="55">
        <f>N('Neue Artikel'!$C$24)/Parameter!$B$18</f>
        <v/>
      </c>
      <c r="BJ1490" s="53" t="inlineStr"/>
      <c r="BK1490" s="58" t="n">
        <v>1</v>
      </c>
      <c r="BL1490" s="58" t="n">
        <v>1490</v>
      </c>
      <c r="BM1490" s="53">
        <f>IF(S1490&lt;&gt;"",UPPER(TRIM(S1490)),IF(O1490="","LOSE",O1490))</f>
        <v/>
      </c>
      <c r="BN1490" s="55">
        <f>IF(BM1490="LOSE",1,IF(N(T1490)&gt;0,T1490,IF(N(P1490)&gt;0,P1490,MAX(1,G1490))))</f>
        <v/>
      </c>
      <c r="BO1490" s="58">
        <f>IF(BM1490="LOSE",1,0)</f>
        <v/>
      </c>
      <c r="BP1490" s="64">
        <f>IF(BO1490=0,0,IF(N(R1490)&gt;0,R1490,IFERROR(VLOOKUP(D1490,Parameter!$A$35:$C$64,3,0)+0,0)))</f>
        <v/>
      </c>
      <c r="BQ1490" s="53">
        <f>IF(V1490&lt;&gt;"",V1490,U1490)</f>
        <v/>
      </c>
      <c r="BR1490" s="53">
        <f>IF(BQ1490=1,"L1",IF(OR(BQ1490=2,BQ1490=3),"L23",IF(BQ1490="Aussen","Aussen","-")))</f>
        <v/>
      </c>
      <c r="BS1490" s="66">
        <f>IF(N(W1490)&gt;0,W1490,0)</f>
        <v/>
      </c>
      <c r="BT1490" s="58">
        <f>IF(ISNUMBER(Z1490),1,0)</f>
        <v/>
      </c>
      <c r="BU1490" s="55">
        <f>N(Z1490)</f>
        <v/>
      </c>
      <c r="BV1490" s="55">
        <f>N(L1490)+N(M1490)</f>
        <v/>
      </c>
      <c r="BW1490" s="55">
        <f>ROUNDUP(G1490/BN1490,0)</f>
        <v/>
      </c>
      <c r="BX1490" s="55">
        <f>ROUNDUP(BU1490/BN1490,0)</f>
        <v/>
      </c>
      <c r="BY1490" s="58">
        <f>IF(BO1490=1,0,IFERROR(VLOOKUP(BM1490,'Gebinde-Kategorie'!$A$5:$G$45,5,0)+0,0))</f>
        <v/>
      </c>
      <c r="BZ1490" s="58">
        <f>IFERROR(IF(OR(BQ1490=1,BQ1490=2,BQ1490=3),N(INDEX(Parameter!$I$5:$I$7,BQ1490)),0),0)</f>
        <v/>
      </c>
    </row>
    <row r="1491">
      <c r="A1491" s="53">
        <f>IF('Neue Artikel'!$A$25="","",'Neue Artikel'!$A$25&amp;"")</f>
        <v/>
      </c>
      <c r="B1491" s="53">
        <f>'Neue Artikel'!$B$25&amp;""</f>
        <v/>
      </c>
      <c r="C1491" s="53" t="inlineStr"/>
      <c r="D1491" s="53" t="inlineStr">
        <is>
          <t>NEU</t>
        </is>
      </c>
      <c r="E1491" s="53" t="inlineStr"/>
      <c r="F1491" s="54">
        <f>N('Neue Artikel'!$G$25)</f>
        <v/>
      </c>
      <c r="G1491" s="55">
        <f>MAX(0,IF(Parameter!$B$20="Jahresanfang 2025 + Export",BG1491+BF1491,BF1491))</f>
        <v/>
      </c>
      <c r="H1491" s="55">
        <f>G1491*F1491</f>
        <v/>
      </c>
      <c r="I1491" s="55">
        <f>BI1491*Parameter!$B$18</f>
        <v/>
      </c>
      <c r="J1491" s="56" t="n"/>
      <c r="K1491" s="57" t="n"/>
      <c r="L1491" s="55">
        <f>N('Neue Artikel'!$E$25)</f>
        <v/>
      </c>
      <c r="M1491" s="55">
        <f>N('Neue Artikel'!$F$25)</f>
        <v/>
      </c>
      <c r="N1491" s="58" t="n"/>
      <c r="O1491" s="53">
        <f>IF('Neue Artikel'!$H$25="","LOSE",UPPER(TRIM('Neue Artikel'!$H$25)))</f>
        <v/>
      </c>
      <c r="P1491" s="55">
        <f>N('Neue Artikel'!$I$25)</f>
        <v/>
      </c>
      <c r="Q1491" s="59">
        <f>IF(BO1491=1,0,IFERROR(VLOOKUP(BM1491,'Gebinde-Kategorie'!$A$5:$G$45,6,0)+0,0))</f>
        <v/>
      </c>
      <c r="R1491" s="60" t="n"/>
      <c r="S1491" s="61" t="n"/>
      <c r="T1491" s="61" t="n"/>
      <c r="U1491" s="53">
        <f>IF(A1491="","",IF(IFERROR(VLOOKUP(D1491,Parameter!$A$35:$C$64,2,0),"Nein")="2+3",IF(ISNUMBER(SEARCH("grosser Artikel",BJ1491)),2,IFERROR(VLOOKUP(BM1491,Parameter!$F$35:$G$64,2,0),2)),IF(OR(IFERROR(VLOOKUP(D1491,Parameter!$A$35:$C$64,2,0),"Nein")="Nein",IFERROR(VLOOKUP(D1491,Parameter!$A$35:$C$64,2,0),"Nein")=""),"-",VLOOKUP(D1491,Parameter!$A$35:$C$64,2,0))))</f>
        <v/>
      </c>
      <c r="V1491" s="53">
        <f>IF('Neue Artikel'!$J$25="","",'Neue Artikel'!$J$25)</f>
        <v/>
      </c>
      <c r="W1491" s="62" t="n"/>
      <c r="X1491" s="55">
        <f>AM1491</f>
        <v/>
      </c>
      <c r="Y1491" s="55">
        <f>MAX(AM1491,G1491)</f>
        <v/>
      </c>
      <c r="Z1491" s="63" t="n"/>
      <c r="AA1491" s="55">
        <f>IF(LEFT(Cockpit!$C$5,1)="A",G1491,IF(BT1491=1,BU1491,IF(LEFT(Cockpit!$C$5,1)="B",AE1491,MAX(AE1491,G1491))))</f>
        <v/>
      </c>
      <c r="AB1491" s="55">
        <f>IF(BO1491=1,0,ROUNDUP(AA1491/BN1491,0))</f>
        <v/>
      </c>
      <c r="AC1491" s="64">
        <f>IF(BO1491=1,IF(AA1491&lt;=0,0,BP1491*MAX(1,IF(G1491&gt;0,AA1491/G1491,1))),AB1491*Q1491)</f>
        <v/>
      </c>
      <c r="AD1491" s="55">
        <f>AA1491*F1491</f>
        <v/>
      </c>
      <c r="AE1491" s="55">
        <f>ROUNDUP(MAX(I1491/IF(BS1491&gt;0,BS1491,MAX(0.1,N(Cockpit!$C$6))),BV1491)/BN1491,0)*BN1491</f>
        <v/>
      </c>
      <c r="AF1491" s="56">
        <f>IF(AC1491&gt;0,I1491/AC1491,-1)</f>
        <v/>
      </c>
      <c r="AG1491" s="56">
        <f>IF(AND(OR(BR1491="L1",BR1491="L23"),AC1491&gt;0),SUMIFS($AC$7:$AC$1570,$BR$7:$BR$1570,BR1491,$AF$7:$AF$1570,"&gt;"&amp;AF1491)+SUMIFS($AC$7:$AC$1570,$BR$7:$BR$1570,BR1491,$AF$7:$AF$1570,AF1491,$BL$7:$BL$1570,"&lt;="&amp;BL1491),"")</f>
        <v/>
      </c>
      <c r="AH1491" s="65">
        <f>IF(AG1491="",0,MAX(0,MIN(1,(IF(BR1491="L1",Parameter!$K$5,Parameter!$K$6+Parameter!$K$7)-(AG1491-AC1491))/AC1491)))</f>
        <v/>
      </c>
      <c r="AI1491" s="55">
        <f>IF(LEFT(Cockpit!$I$5,1)="A",G1491,IF(BT1491=1,BU1491,IF(LEFT(Cockpit!$I$5,1)="B",AM1491,MAX(AM1491,G1491))))</f>
        <v/>
      </c>
      <c r="AJ1491" s="55">
        <f>IF(BO1491=1,0,ROUNDUP(AI1491/BN1491,0))</f>
        <v/>
      </c>
      <c r="AK1491" s="64">
        <f>IF(BO1491=1,IF(AI1491&lt;=0,0,BP1491*MAX(1,IF(G1491&gt;0,AI1491/G1491,1))),AJ1491*Q1491)</f>
        <v/>
      </c>
      <c r="AL1491" s="55">
        <f>AI1491*F1491</f>
        <v/>
      </c>
      <c r="AM1491" s="55">
        <f>ROUNDUP(MAX(I1491/IF(BS1491&gt;0,BS1491,MAX(0.1,N(Cockpit!$I$6))),BV1491)/BN1491,0)*BN1491</f>
        <v/>
      </c>
      <c r="AN1491" s="56">
        <f>IF(AK1491&gt;0,I1491/AK1491,-1)</f>
        <v/>
      </c>
      <c r="AO1491" s="56">
        <f>IF(AND(OR(BR1491="L1",BR1491="L23"),AK1491&gt;0),SUMIFS($AK$7:$AK$1570,$BR$7:$BR$1570,BR1491,$AN$7:$AN$1570,"&gt;"&amp;AN1491)+SUMIFS($AK$7:$AK$1570,$BR$7:$BR$1570,BR1491,$AN$7:$AN$1570,AN1491,$BL$7:$BL$1570,"&lt;="&amp;BL1491),"")</f>
        <v/>
      </c>
      <c r="AP1491" s="65">
        <f>IF(AO1491="",0,MAX(0,MIN(1,(IF(BR1491="L1",Parameter!$K$5,Parameter!$K$6+Parameter!$K$7)-(AO1491-AK1491))/AK1491)))</f>
        <v/>
      </c>
      <c r="AQ1491" s="55">
        <f>IF(LEFT(Cockpit!$O$5,1)="A",G1491,IF(BT1491=1,BU1491,IF(LEFT(Cockpit!$O$5,1)="B",AU1491,MAX(AU1491,G1491))))</f>
        <v/>
      </c>
      <c r="AR1491" s="55">
        <f>IF(BO1491=1,0,ROUNDUP(AQ1491/BN1491,0))</f>
        <v/>
      </c>
      <c r="AS1491" s="64">
        <f>IF(BO1491=1,IF(AQ1491&lt;=0,0,BP1491*MAX(1,IF(G1491&gt;0,AQ1491/G1491,1))),AR1491*Q1491)</f>
        <v/>
      </c>
      <c r="AT1491" s="55">
        <f>AQ1491*F1491</f>
        <v/>
      </c>
      <c r="AU1491" s="55">
        <f>ROUNDUP(MAX(I1491/IF(BS1491&gt;0,BS1491,MAX(0.1,N(Cockpit!$O$6))),BV1491)/BN1491,0)*BN1491</f>
        <v/>
      </c>
      <c r="AV1491" s="56">
        <f>IF(AS1491&gt;0,I1491/AS1491,-1)</f>
        <v/>
      </c>
      <c r="AW1491" s="56">
        <f>IF(AND(OR(BR1491="L1",BR1491="L23"),AS1491&gt;0),SUMIFS($AS$7:$AS$1570,$BR$7:$BR$1570,BR1491,$AV$7:$AV$1570,"&gt;"&amp;AV1491)+SUMIFS($AS$7:$AS$1570,$BR$7:$BR$1570,BR1491,$AV$7:$AV$1570,AV1491,$BL$7:$BL$1570,"&lt;="&amp;BL1491),"")</f>
        <v/>
      </c>
      <c r="AX1491" s="65">
        <f>IF(AW1491="",0,MAX(0,MIN(1,(IF(BR1491="L1",Parameter!$K$5,Parameter!$K$6+Parameter!$K$7)-(AW1491-AS1491))/AS1491)))</f>
        <v/>
      </c>
      <c r="AY1491" s="53">
        <f>IF(AC1491&lt;=0,"",IF(BR1491="Aussen","Aussenlager",IF(BR1491="-","Nicht im Lift",IF(AH1491&gt;=1,"Lift",IF(AH1491&lt;=0,"Aussenlager","teilweise")))))</f>
        <v/>
      </c>
      <c r="AZ1491" s="53">
        <f>IF(AK1491&lt;=0,"",IF(BR1491="Aussen","Aussenlager",IF(BR1491="-","Nicht im Lift",IF(AP1491&gt;=1,"Lift",IF(AP1491&lt;=0,"Aussenlager","teilweise")))))</f>
        <v/>
      </c>
      <c r="BA1491" s="53">
        <f>IF(AS1491&lt;=0,"",IF(BR1491="Aussen","Aussenlager",IF(BR1491="-","Nicht im Lift",IF(AX1491&gt;=1,"Lift",IF(AX1491&lt;=0,"Aussenlager","teilweise")))))</f>
        <v/>
      </c>
      <c r="BB1491" s="53">
        <f>IF(A1491="","",IF(BK1491=1,"Neu; ","")&amp;IF(AND(BK1491=0,BF1491&lt;0),"negativer Bestand (Export "&amp;BF1491&amp;"); ","")&amp;IF(I1491&lt;=0,"Kein Verbrauch; ","")&amp;IF(BO1491=1,"Lose – Fläche geschätzt; ","")&amp;IF(G1491&gt;AM1491,"Überbestand "&amp;ROUND(G1491-AM1491,0)&amp;" Stk / CHF "&amp;ROUND((G1491-AM1491)*F1491,0)&amp;"; ","")&amp;IF(AND(BT1491=1,BU1491&lt;BV1491),"MAX &lt; MB+LG; ","")&amp;IF(AND(BZ1491&gt;0,BY1491*10&gt;BZ1491),"zu hoch für Tablar; ","")&amp;IF(AND(BK1491=0,OR(BT1491=1,V1491&lt;&gt;"",S1491&lt;&gt;"",T1491&lt;&gt;"",W1491&lt;&gt;"")),"manuell übersteuert; ","")&amp;IF(AND(BO1491=0,Q1491=0),"Gebinde unbekannt; ","")&amp;IF(AND(BO1491=0,N(T1491)&lt;=0,N(P1491)&lt;=0),"Menge pro Gebinde fehlt (Ist = 1 Gebinde); ","")&amp;BJ1491)</f>
        <v/>
      </c>
      <c r="BC1491" s="53" t="n"/>
      <c r="BD1491" s="53" t="n"/>
      <c r="BE1491" s="61" t="n"/>
      <c r="BF1491" s="55">
        <f>N('Neue Artikel'!$D$25)</f>
        <v/>
      </c>
      <c r="BG1491" s="55" t="n">
        <v>0</v>
      </c>
      <c r="BH1491" s="54" t="n">
        <v>0</v>
      </c>
      <c r="BI1491" s="55">
        <f>N('Neue Artikel'!$C$25)/Parameter!$B$18</f>
        <v/>
      </c>
      <c r="BJ1491" s="53" t="inlineStr"/>
      <c r="BK1491" s="58" t="n">
        <v>1</v>
      </c>
      <c r="BL1491" s="58" t="n">
        <v>1491</v>
      </c>
      <c r="BM1491" s="53">
        <f>IF(S1491&lt;&gt;"",UPPER(TRIM(S1491)),IF(O1491="","LOSE",O1491))</f>
        <v/>
      </c>
      <c r="BN1491" s="55">
        <f>IF(BM1491="LOSE",1,IF(N(T1491)&gt;0,T1491,IF(N(P1491)&gt;0,P1491,MAX(1,G1491))))</f>
        <v/>
      </c>
      <c r="BO1491" s="58">
        <f>IF(BM1491="LOSE",1,0)</f>
        <v/>
      </c>
      <c r="BP1491" s="64">
        <f>IF(BO1491=0,0,IF(N(R1491)&gt;0,R1491,IFERROR(VLOOKUP(D1491,Parameter!$A$35:$C$64,3,0)+0,0)))</f>
        <v/>
      </c>
      <c r="BQ1491" s="53">
        <f>IF(V1491&lt;&gt;"",V1491,U1491)</f>
        <v/>
      </c>
      <c r="BR1491" s="53">
        <f>IF(BQ1491=1,"L1",IF(OR(BQ1491=2,BQ1491=3),"L23",IF(BQ1491="Aussen","Aussen","-")))</f>
        <v/>
      </c>
      <c r="BS1491" s="66">
        <f>IF(N(W1491)&gt;0,W1491,0)</f>
        <v/>
      </c>
      <c r="BT1491" s="58">
        <f>IF(ISNUMBER(Z1491),1,0)</f>
        <v/>
      </c>
      <c r="BU1491" s="55">
        <f>N(Z1491)</f>
        <v/>
      </c>
      <c r="BV1491" s="55">
        <f>N(L1491)+N(M1491)</f>
        <v/>
      </c>
      <c r="BW1491" s="55">
        <f>ROUNDUP(G1491/BN1491,0)</f>
        <v/>
      </c>
      <c r="BX1491" s="55">
        <f>ROUNDUP(BU1491/BN1491,0)</f>
        <v/>
      </c>
      <c r="BY1491" s="58">
        <f>IF(BO1491=1,0,IFERROR(VLOOKUP(BM1491,'Gebinde-Kategorie'!$A$5:$G$45,5,0)+0,0))</f>
        <v/>
      </c>
      <c r="BZ1491" s="58">
        <f>IFERROR(IF(OR(BQ1491=1,BQ1491=2,BQ1491=3),N(INDEX(Parameter!$I$5:$I$7,BQ1491)),0),0)</f>
        <v/>
      </c>
    </row>
    <row r="1492">
      <c r="A1492" s="53">
        <f>IF('Neue Artikel'!$A$26="","",'Neue Artikel'!$A$26&amp;"")</f>
        <v/>
      </c>
      <c r="B1492" s="53">
        <f>'Neue Artikel'!$B$26&amp;""</f>
        <v/>
      </c>
      <c r="C1492" s="53" t="inlineStr"/>
      <c r="D1492" s="53" t="inlineStr">
        <is>
          <t>NEU</t>
        </is>
      </c>
      <c r="E1492" s="53" t="inlineStr"/>
      <c r="F1492" s="54">
        <f>N('Neue Artikel'!$G$26)</f>
        <v/>
      </c>
      <c r="G1492" s="55">
        <f>MAX(0,IF(Parameter!$B$20="Jahresanfang 2025 + Export",BG1492+BF1492,BF1492))</f>
        <v/>
      </c>
      <c r="H1492" s="55">
        <f>G1492*F1492</f>
        <v/>
      </c>
      <c r="I1492" s="55">
        <f>BI1492*Parameter!$B$18</f>
        <v/>
      </c>
      <c r="J1492" s="56" t="n"/>
      <c r="K1492" s="57" t="n"/>
      <c r="L1492" s="55">
        <f>N('Neue Artikel'!$E$26)</f>
        <v/>
      </c>
      <c r="M1492" s="55">
        <f>N('Neue Artikel'!$F$26)</f>
        <v/>
      </c>
      <c r="N1492" s="58" t="n"/>
      <c r="O1492" s="53">
        <f>IF('Neue Artikel'!$H$26="","LOSE",UPPER(TRIM('Neue Artikel'!$H$26)))</f>
        <v/>
      </c>
      <c r="P1492" s="55">
        <f>N('Neue Artikel'!$I$26)</f>
        <v/>
      </c>
      <c r="Q1492" s="59">
        <f>IF(BO1492=1,0,IFERROR(VLOOKUP(BM1492,'Gebinde-Kategorie'!$A$5:$G$45,6,0)+0,0))</f>
        <v/>
      </c>
      <c r="R1492" s="60" t="n"/>
      <c r="S1492" s="61" t="n"/>
      <c r="T1492" s="61" t="n"/>
      <c r="U1492" s="53">
        <f>IF(A1492="","",IF(IFERROR(VLOOKUP(D1492,Parameter!$A$35:$C$64,2,0),"Nein")="2+3",IF(ISNUMBER(SEARCH("grosser Artikel",BJ1492)),2,IFERROR(VLOOKUP(BM1492,Parameter!$F$35:$G$64,2,0),2)),IF(OR(IFERROR(VLOOKUP(D1492,Parameter!$A$35:$C$64,2,0),"Nein")="Nein",IFERROR(VLOOKUP(D1492,Parameter!$A$35:$C$64,2,0),"Nein")=""),"-",VLOOKUP(D1492,Parameter!$A$35:$C$64,2,0))))</f>
        <v/>
      </c>
      <c r="V1492" s="53">
        <f>IF('Neue Artikel'!$J$26="","",'Neue Artikel'!$J$26)</f>
        <v/>
      </c>
      <c r="W1492" s="62" t="n"/>
      <c r="X1492" s="55">
        <f>AM1492</f>
        <v/>
      </c>
      <c r="Y1492" s="55">
        <f>MAX(AM1492,G1492)</f>
        <v/>
      </c>
      <c r="Z1492" s="63" t="n"/>
      <c r="AA1492" s="55">
        <f>IF(LEFT(Cockpit!$C$5,1)="A",G1492,IF(BT1492=1,BU1492,IF(LEFT(Cockpit!$C$5,1)="B",AE1492,MAX(AE1492,G1492))))</f>
        <v/>
      </c>
      <c r="AB1492" s="55">
        <f>IF(BO1492=1,0,ROUNDUP(AA1492/BN1492,0))</f>
        <v/>
      </c>
      <c r="AC1492" s="64">
        <f>IF(BO1492=1,IF(AA1492&lt;=0,0,BP1492*MAX(1,IF(G1492&gt;0,AA1492/G1492,1))),AB1492*Q1492)</f>
        <v/>
      </c>
      <c r="AD1492" s="55">
        <f>AA1492*F1492</f>
        <v/>
      </c>
      <c r="AE1492" s="55">
        <f>ROUNDUP(MAX(I1492/IF(BS1492&gt;0,BS1492,MAX(0.1,N(Cockpit!$C$6))),BV1492)/BN1492,0)*BN1492</f>
        <v/>
      </c>
      <c r="AF1492" s="56">
        <f>IF(AC1492&gt;0,I1492/AC1492,-1)</f>
        <v/>
      </c>
      <c r="AG1492" s="56">
        <f>IF(AND(OR(BR1492="L1",BR1492="L23"),AC1492&gt;0),SUMIFS($AC$7:$AC$1570,$BR$7:$BR$1570,BR1492,$AF$7:$AF$1570,"&gt;"&amp;AF1492)+SUMIFS($AC$7:$AC$1570,$BR$7:$BR$1570,BR1492,$AF$7:$AF$1570,AF1492,$BL$7:$BL$1570,"&lt;="&amp;BL1492),"")</f>
        <v/>
      </c>
      <c r="AH1492" s="65">
        <f>IF(AG1492="",0,MAX(0,MIN(1,(IF(BR1492="L1",Parameter!$K$5,Parameter!$K$6+Parameter!$K$7)-(AG1492-AC1492))/AC1492)))</f>
        <v/>
      </c>
      <c r="AI1492" s="55">
        <f>IF(LEFT(Cockpit!$I$5,1)="A",G1492,IF(BT1492=1,BU1492,IF(LEFT(Cockpit!$I$5,1)="B",AM1492,MAX(AM1492,G1492))))</f>
        <v/>
      </c>
      <c r="AJ1492" s="55">
        <f>IF(BO1492=1,0,ROUNDUP(AI1492/BN1492,0))</f>
        <v/>
      </c>
      <c r="AK1492" s="64">
        <f>IF(BO1492=1,IF(AI1492&lt;=0,0,BP1492*MAX(1,IF(G1492&gt;0,AI1492/G1492,1))),AJ1492*Q1492)</f>
        <v/>
      </c>
      <c r="AL1492" s="55">
        <f>AI1492*F1492</f>
        <v/>
      </c>
      <c r="AM1492" s="55">
        <f>ROUNDUP(MAX(I1492/IF(BS1492&gt;0,BS1492,MAX(0.1,N(Cockpit!$I$6))),BV1492)/BN1492,0)*BN1492</f>
        <v/>
      </c>
      <c r="AN1492" s="56">
        <f>IF(AK1492&gt;0,I1492/AK1492,-1)</f>
        <v/>
      </c>
      <c r="AO1492" s="56">
        <f>IF(AND(OR(BR1492="L1",BR1492="L23"),AK1492&gt;0),SUMIFS($AK$7:$AK$1570,$BR$7:$BR$1570,BR1492,$AN$7:$AN$1570,"&gt;"&amp;AN1492)+SUMIFS($AK$7:$AK$1570,$BR$7:$BR$1570,BR1492,$AN$7:$AN$1570,AN1492,$BL$7:$BL$1570,"&lt;="&amp;BL1492),"")</f>
        <v/>
      </c>
      <c r="AP1492" s="65">
        <f>IF(AO1492="",0,MAX(0,MIN(1,(IF(BR1492="L1",Parameter!$K$5,Parameter!$K$6+Parameter!$K$7)-(AO1492-AK1492))/AK1492)))</f>
        <v/>
      </c>
      <c r="AQ1492" s="55">
        <f>IF(LEFT(Cockpit!$O$5,1)="A",G1492,IF(BT1492=1,BU1492,IF(LEFT(Cockpit!$O$5,1)="B",AU1492,MAX(AU1492,G1492))))</f>
        <v/>
      </c>
      <c r="AR1492" s="55">
        <f>IF(BO1492=1,0,ROUNDUP(AQ1492/BN1492,0))</f>
        <v/>
      </c>
      <c r="AS1492" s="64">
        <f>IF(BO1492=1,IF(AQ1492&lt;=0,0,BP1492*MAX(1,IF(G1492&gt;0,AQ1492/G1492,1))),AR1492*Q1492)</f>
        <v/>
      </c>
      <c r="AT1492" s="55">
        <f>AQ1492*F1492</f>
        <v/>
      </c>
      <c r="AU1492" s="55">
        <f>ROUNDUP(MAX(I1492/IF(BS1492&gt;0,BS1492,MAX(0.1,N(Cockpit!$O$6))),BV1492)/BN1492,0)*BN1492</f>
        <v/>
      </c>
      <c r="AV1492" s="56">
        <f>IF(AS1492&gt;0,I1492/AS1492,-1)</f>
        <v/>
      </c>
      <c r="AW1492" s="56">
        <f>IF(AND(OR(BR1492="L1",BR1492="L23"),AS1492&gt;0),SUMIFS($AS$7:$AS$1570,$BR$7:$BR$1570,BR1492,$AV$7:$AV$1570,"&gt;"&amp;AV1492)+SUMIFS($AS$7:$AS$1570,$BR$7:$BR$1570,BR1492,$AV$7:$AV$1570,AV1492,$BL$7:$BL$1570,"&lt;="&amp;BL1492),"")</f>
        <v/>
      </c>
      <c r="AX1492" s="65">
        <f>IF(AW1492="",0,MAX(0,MIN(1,(IF(BR1492="L1",Parameter!$K$5,Parameter!$K$6+Parameter!$K$7)-(AW1492-AS1492))/AS1492)))</f>
        <v/>
      </c>
      <c r="AY1492" s="53">
        <f>IF(AC1492&lt;=0,"",IF(BR1492="Aussen","Aussenlager",IF(BR1492="-","Nicht im Lift",IF(AH1492&gt;=1,"Lift",IF(AH1492&lt;=0,"Aussenlager","teilweise")))))</f>
        <v/>
      </c>
      <c r="AZ1492" s="53">
        <f>IF(AK1492&lt;=0,"",IF(BR1492="Aussen","Aussenlager",IF(BR1492="-","Nicht im Lift",IF(AP1492&gt;=1,"Lift",IF(AP1492&lt;=0,"Aussenlager","teilweise")))))</f>
        <v/>
      </c>
      <c r="BA1492" s="53">
        <f>IF(AS1492&lt;=0,"",IF(BR1492="Aussen","Aussenlager",IF(BR1492="-","Nicht im Lift",IF(AX1492&gt;=1,"Lift",IF(AX1492&lt;=0,"Aussenlager","teilweise")))))</f>
        <v/>
      </c>
      <c r="BB1492" s="53">
        <f>IF(A1492="","",IF(BK1492=1,"Neu; ","")&amp;IF(AND(BK1492=0,BF1492&lt;0),"negativer Bestand (Export "&amp;BF1492&amp;"); ","")&amp;IF(I1492&lt;=0,"Kein Verbrauch; ","")&amp;IF(BO1492=1,"Lose – Fläche geschätzt; ","")&amp;IF(G1492&gt;AM1492,"Überbestand "&amp;ROUND(G1492-AM1492,0)&amp;" Stk / CHF "&amp;ROUND((G1492-AM1492)*F1492,0)&amp;"; ","")&amp;IF(AND(BT1492=1,BU1492&lt;BV1492),"MAX &lt; MB+LG; ","")&amp;IF(AND(BZ1492&gt;0,BY1492*10&gt;BZ1492),"zu hoch für Tablar; ","")&amp;IF(AND(BK1492=0,OR(BT1492=1,V1492&lt;&gt;"",S1492&lt;&gt;"",T1492&lt;&gt;"",W1492&lt;&gt;"")),"manuell übersteuert; ","")&amp;IF(AND(BO1492=0,Q1492=0),"Gebinde unbekannt; ","")&amp;IF(AND(BO1492=0,N(T1492)&lt;=0,N(P1492)&lt;=0),"Menge pro Gebinde fehlt (Ist = 1 Gebinde); ","")&amp;BJ1492)</f>
        <v/>
      </c>
      <c r="BC1492" s="53" t="n"/>
      <c r="BD1492" s="53" t="n"/>
      <c r="BE1492" s="61" t="n"/>
      <c r="BF1492" s="55">
        <f>N('Neue Artikel'!$D$26)</f>
        <v/>
      </c>
      <c r="BG1492" s="55" t="n">
        <v>0</v>
      </c>
      <c r="BH1492" s="54" t="n">
        <v>0</v>
      </c>
      <c r="BI1492" s="55">
        <f>N('Neue Artikel'!$C$26)/Parameter!$B$18</f>
        <v/>
      </c>
      <c r="BJ1492" s="53" t="inlineStr"/>
      <c r="BK1492" s="58" t="n">
        <v>1</v>
      </c>
      <c r="BL1492" s="58" t="n">
        <v>1492</v>
      </c>
      <c r="BM1492" s="53">
        <f>IF(S1492&lt;&gt;"",UPPER(TRIM(S1492)),IF(O1492="","LOSE",O1492))</f>
        <v/>
      </c>
      <c r="BN1492" s="55">
        <f>IF(BM1492="LOSE",1,IF(N(T1492)&gt;0,T1492,IF(N(P1492)&gt;0,P1492,MAX(1,G1492))))</f>
        <v/>
      </c>
      <c r="BO1492" s="58">
        <f>IF(BM1492="LOSE",1,0)</f>
        <v/>
      </c>
      <c r="BP1492" s="64">
        <f>IF(BO1492=0,0,IF(N(R1492)&gt;0,R1492,IFERROR(VLOOKUP(D1492,Parameter!$A$35:$C$64,3,0)+0,0)))</f>
        <v/>
      </c>
      <c r="BQ1492" s="53">
        <f>IF(V1492&lt;&gt;"",V1492,U1492)</f>
        <v/>
      </c>
      <c r="BR1492" s="53">
        <f>IF(BQ1492=1,"L1",IF(OR(BQ1492=2,BQ1492=3),"L23",IF(BQ1492="Aussen","Aussen","-")))</f>
        <v/>
      </c>
      <c r="BS1492" s="66">
        <f>IF(N(W1492)&gt;0,W1492,0)</f>
        <v/>
      </c>
      <c r="BT1492" s="58">
        <f>IF(ISNUMBER(Z1492),1,0)</f>
        <v/>
      </c>
      <c r="BU1492" s="55">
        <f>N(Z1492)</f>
        <v/>
      </c>
      <c r="BV1492" s="55">
        <f>N(L1492)+N(M1492)</f>
        <v/>
      </c>
      <c r="BW1492" s="55">
        <f>ROUNDUP(G1492/BN1492,0)</f>
        <v/>
      </c>
      <c r="BX1492" s="55">
        <f>ROUNDUP(BU1492/BN1492,0)</f>
        <v/>
      </c>
      <c r="BY1492" s="58">
        <f>IF(BO1492=1,0,IFERROR(VLOOKUP(BM1492,'Gebinde-Kategorie'!$A$5:$G$45,5,0)+0,0))</f>
        <v/>
      </c>
      <c r="BZ1492" s="58">
        <f>IFERROR(IF(OR(BQ1492=1,BQ1492=2,BQ1492=3),N(INDEX(Parameter!$I$5:$I$7,BQ1492)),0),0)</f>
        <v/>
      </c>
    </row>
    <row r="1493">
      <c r="A1493" s="53">
        <f>IF('Neue Artikel'!$A$27="","",'Neue Artikel'!$A$27&amp;"")</f>
        <v/>
      </c>
      <c r="B1493" s="53">
        <f>'Neue Artikel'!$B$27&amp;""</f>
        <v/>
      </c>
      <c r="C1493" s="53" t="inlineStr"/>
      <c r="D1493" s="53" t="inlineStr">
        <is>
          <t>NEU</t>
        </is>
      </c>
      <c r="E1493" s="53" t="inlineStr"/>
      <c r="F1493" s="54">
        <f>N('Neue Artikel'!$G$27)</f>
        <v/>
      </c>
      <c r="G1493" s="55">
        <f>MAX(0,IF(Parameter!$B$20="Jahresanfang 2025 + Export",BG1493+BF1493,BF1493))</f>
        <v/>
      </c>
      <c r="H1493" s="55">
        <f>G1493*F1493</f>
        <v/>
      </c>
      <c r="I1493" s="55">
        <f>BI1493*Parameter!$B$18</f>
        <v/>
      </c>
      <c r="J1493" s="56" t="n"/>
      <c r="K1493" s="57" t="n"/>
      <c r="L1493" s="55">
        <f>N('Neue Artikel'!$E$27)</f>
        <v/>
      </c>
      <c r="M1493" s="55">
        <f>N('Neue Artikel'!$F$27)</f>
        <v/>
      </c>
      <c r="N1493" s="58" t="n"/>
      <c r="O1493" s="53">
        <f>IF('Neue Artikel'!$H$27="","LOSE",UPPER(TRIM('Neue Artikel'!$H$27)))</f>
        <v/>
      </c>
      <c r="P1493" s="55">
        <f>N('Neue Artikel'!$I$27)</f>
        <v/>
      </c>
      <c r="Q1493" s="59">
        <f>IF(BO1493=1,0,IFERROR(VLOOKUP(BM1493,'Gebinde-Kategorie'!$A$5:$G$45,6,0)+0,0))</f>
        <v/>
      </c>
      <c r="R1493" s="60" t="n"/>
      <c r="S1493" s="61" t="n"/>
      <c r="T1493" s="61" t="n"/>
      <c r="U1493" s="53">
        <f>IF(A1493="","",IF(IFERROR(VLOOKUP(D1493,Parameter!$A$35:$C$64,2,0),"Nein")="2+3",IF(ISNUMBER(SEARCH("grosser Artikel",BJ1493)),2,IFERROR(VLOOKUP(BM1493,Parameter!$F$35:$G$64,2,0),2)),IF(OR(IFERROR(VLOOKUP(D1493,Parameter!$A$35:$C$64,2,0),"Nein")="Nein",IFERROR(VLOOKUP(D1493,Parameter!$A$35:$C$64,2,0),"Nein")=""),"-",VLOOKUP(D1493,Parameter!$A$35:$C$64,2,0))))</f>
        <v/>
      </c>
      <c r="V1493" s="53">
        <f>IF('Neue Artikel'!$J$27="","",'Neue Artikel'!$J$27)</f>
        <v/>
      </c>
      <c r="W1493" s="62" t="n"/>
      <c r="X1493" s="55">
        <f>AM1493</f>
        <v/>
      </c>
      <c r="Y1493" s="55">
        <f>MAX(AM1493,G1493)</f>
        <v/>
      </c>
      <c r="Z1493" s="63" t="n"/>
      <c r="AA1493" s="55">
        <f>IF(LEFT(Cockpit!$C$5,1)="A",G1493,IF(BT1493=1,BU1493,IF(LEFT(Cockpit!$C$5,1)="B",AE1493,MAX(AE1493,G1493))))</f>
        <v/>
      </c>
      <c r="AB1493" s="55">
        <f>IF(BO1493=1,0,ROUNDUP(AA1493/BN1493,0))</f>
        <v/>
      </c>
      <c r="AC1493" s="64">
        <f>IF(BO1493=1,IF(AA1493&lt;=0,0,BP1493*MAX(1,IF(G1493&gt;0,AA1493/G1493,1))),AB1493*Q1493)</f>
        <v/>
      </c>
      <c r="AD1493" s="55">
        <f>AA1493*F1493</f>
        <v/>
      </c>
      <c r="AE1493" s="55">
        <f>ROUNDUP(MAX(I1493/IF(BS1493&gt;0,BS1493,MAX(0.1,N(Cockpit!$C$6))),BV1493)/BN1493,0)*BN1493</f>
        <v/>
      </c>
      <c r="AF1493" s="56">
        <f>IF(AC1493&gt;0,I1493/AC1493,-1)</f>
        <v/>
      </c>
      <c r="AG1493" s="56">
        <f>IF(AND(OR(BR1493="L1",BR1493="L23"),AC1493&gt;0),SUMIFS($AC$7:$AC$1570,$BR$7:$BR$1570,BR1493,$AF$7:$AF$1570,"&gt;"&amp;AF1493)+SUMIFS($AC$7:$AC$1570,$BR$7:$BR$1570,BR1493,$AF$7:$AF$1570,AF1493,$BL$7:$BL$1570,"&lt;="&amp;BL1493),"")</f>
        <v/>
      </c>
      <c r="AH1493" s="65">
        <f>IF(AG1493="",0,MAX(0,MIN(1,(IF(BR1493="L1",Parameter!$K$5,Parameter!$K$6+Parameter!$K$7)-(AG1493-AC1493))/AC1493)))</f>
        <v/>
      </c>
      <c r="AI1493" s="55">
        <f>IF(LEFT(Cockpit!$I$5,1)="A",G1493,IF(BT1493=1,BU1493,IF(LEFT(Cockpit!$I$5,1)="B",AM1493,MAX(AM1493,G1493))))</f>
        <v/>
      </c>
      <c r="AJ1493" s="55">
        <f>IF(BO1493=1,0,ROUNDUP(AI1493/BN1493,0))</f>
        <v/>
      </c>
      <c r="AK1493" s="64">
        <f>IF(BO1493=1,IF(AI1493&lt;=0,0,BP1493*MAX(1,IF(G1493&gt;0,AI1493/G1493,1))),AJ1493*Q1493)</f>
        <v/>
      </c>
      <c r="AL1493" s="55">
        <f>AI1493*F1493</f>
        <v/>
      </c>
      <c r="AM1493" s="55">
        <f>ROUNDUP(MAX(I1493/IF(BS1493&gt;0,BS1493,MAX(0.1,N(Cockpit!$I$6))),BV1493)/BN1493,0)*BN1493</f>
        <v/>
      </c>
      <c r="AN1493" s="56">
        <f>IF(AK1493&gt;0,I1493/AK1493,-1)</f>
        <v/>
      </c>
      <c r="AO1493" s="56">
        <f>IF(AND(OR(BR1493="L1",BR1493="L23"),AK1493&gt;0),SUMIFS($AK$7:$AK$1570,$BR$7:$BR$1570,BR1493,$AN$7:$AN$1570,"&gt;"&amp;AN1493)+SUMIFS($AK$7:$AK$1570,$BR$7:$BR$1570,BR1493,$AN$7:$AN$1570,AN1493,$BL$7:$BL$1570,"&lt;="&amp;BL1493),"")</f>
        <v/>
      </c>
      <c r="AP1493" s="65">
        <f>IF(AO1493="",0,MAX(0,MIN(1,(IF(BR1493="L1",Parameter!$K$5,Parameter!$K$6+Parameter!$K$7)-(AO1493-AK1493))/AK1493)))</f>
        <v/>
      </c>
      <c r="AQ1493" s="55">
        <f>IF(LEFT(Cockpit!$O$5,1)="A",G1493,IF(BT1493=1,BU1493,IF(LEFT(Cockpit!$O$5,1)="B",AU1493,MAX(AU1493,G1493))))</f>
        <v/>
      </c>
      <c r="AR1493" s="55">
        <f>IF(BO1493=1,0,ROUNDUP(AQ1493/BN1493,0))</f>
        <v/>
      </c>
      <c r="AS1493" s="64">
        <f>IF(BO1493=1,IF(AQ1493&lt;=0,0,BP1493*MAX(1,IF(G1493&gt;0,AQ1493/G1493,1))),AR1493*Q1493)</f>
        <v/>
      </c>
      <c r="AT1493" s="55">
        <f>AQ1493*F1493</f>
        <v/>
      </c>
      <c r="AU1493" s="55">
        <f>ROUNDUP(MAX(I1493/IF(BS1493&gt;0,BS1493,MAX(0.1,N(Cockpit!$O$6))),BV1493)/BN1493,0)*BN1493</f>
        <v/>
      </c>
      <c r="AV1493" s="56">
        <f>IF(AS1493&gt;0,I1493/AS1493,-1)</f>
        <v/>
      </c>
      <c r="AW1493" s="56">
        <f>IF(AND(OR(BR1493="L1",BR1493="L23"),AS1493&gt;0),SUMIFS($AS$7:$AS$1570,$BR$7:$BR$1570,BR1493,$AV$7:$AV$1570,"&gt;"&amp;AV1493)+SUMIFS($AS$7:$AS$1570,$BR$7:$BR$1570,BR1493,$AV$7:$AV$1570,AV1493,$BL$7:$BL$1570,"&lt;="&amp;BL1493),"")</f>
        <v/>
      </c>
      <c r="AX1493" s="65">
        <f>IF(AW1493="",0,MAX(0,MIN(1,(IF(BR1493="L1",Parameter!$K$5,Parameter!$K$6+Parameter!$K$7)-(AW1493-AS1493))/AS1493)))</f>
        <v/>
      </c>
      <c r="AY1493" s="53">
        <f>IF(AC1493&lt;=0,"",IF(BR1493="Aussen","Aussenlager",IF(BR1493="-","Nicht im Lift",IF(AH1493&gt;=1,"Lift",IF(AH1493&lt;=0,"Aussenlager","teilweise")))))</f>
        <v/>
      </c>
      <c r="AZ1493" s="53">
        <f>IF(AK1493&lt;=0,"",IF(BR1493="Aussen","Aussenlager",IF(BR1493="-","Nicht im Lift",IF(AP1493&gt;=1,"Lift",IF(AP1493&lt;=0,"Aussenlager","teilweise")))))</f>
        <v/>
      </c>
      <c r="BA1493" s="53">
        <f>IF(AS1493&lt;=0,"",IF(BR1493="Aussen","Aussenlager",IF(BR1493="-","Nicht im Lift",IF(AX1493&gt;=1,"Lift",IF(AX1493&lt;=0,"Aussenlager","teilweise")))))</f>
        <v/>
      </c>
      <c r="BB1493" s="53">
        <f>IF(A1493="","",IF(BK1493=1,"Neu; ","")&amp;IF(AND(BK1493=0,BF1493&lt;0),"negativer Bestand (Export "&amp;BF1493&amp;"); ","")&amp;IF(I1493&lt;=0,"Kein Verbrauch; ","")&amp;IF(BO1493=1,"Lose – Fläche geschätzt; ","")&amp;IF(G1493&gt;AM1493,"Überbestand "&amp;ROUND(G1493-AM1493,0)&amp;" Stk / CHF "&amp;ROUND((G1493-AM1493)*F1493,0)&amp;"; ","")&amp;IF(AND(BT1493=1,BU1493&lt;BV1493),"MAX &lt; MB+LG; ","")&amp;IF(AND(BZ1493&gt;0,BY1493*10&gt;BZ1493),"zu hoch für Tablar; ","")&amp;IF(AND(BK1493=0,OR(BT1493=1,V1493&lt;&gt;"",S1493&lt;&gt;"",T1493&lt;&gt;"",W1493&lt;&gt;"")),"manuell übersteuert; ","")&amp;IF(AND(BO1493=0,Q1493=0),"Gebinde unbekannt; ","")&amp;IF(AND(BO1493=0,N(T1493)&lt;=0,N(P1493)&lt;=0),"Menge pro Gebinde fehlt (Ist = 1 Gebinde); ","")&amp;BJ1493)</f>
        <v/>
      </c>
      <c r="BC1493" s="53" t="n"/>
      <c r="BD1493" s="53" t="n"/>
      <c r="BE1493" s="61" t="n"/>
      <c r="BF1493" s="55">
        <f>N('Neue Artikel'!$D$27)</f>
        <v/>
      </c>
      <c r="BG1493" s="55" t="n">
        <v>0</v>
      </c>
      <c r="BH1493" s="54" t="n">
        <v>0</v>
      </c>
      <c r="BI1493" s="55">
        <f>N('Neue Artikel'!$C$27)/Parameter!$B$18</f>
        <v/>
      </c>
      <c r="BJ1493" s="53" t="inlineStr"/>
      <c r="BK1493" s="58" t="n">
        <v>1</v>
      </c>
      <c r="BL1493" s="58" t="n">
        <v>1493</v>
      </c>
      <c r="BM1493" s="53">
        <f>IF(S1493&lt;&gt;"",UPPER(TRIM(S1493)),IF(O1493="","LOSE",O1493))</f>
        <v/>
      </c>
      <c r="BN1493" s="55">
        <f>IF(BM1493="LOSE",1,IF(N(T1493)&gt;0,T1493,IF(N(P1493)&gt;0,P1493,MAX(1,G1493))))</f>
        <v/>
      </c>
      <c r="BO1493" s="58">
        <f>IF(BM1493="LOSE",1,0)</f>
        <v/>
      </c>
      <c r="BP1493" s="64">
        <f>IF(BO1493=0,0,IF(N(R1493)&gt;0,R1493,IFERROR(VLOOKUP(D1493,Parameter!$A$35:$C$64,3,0)+0,0)))</f>
        <v/>
      </c>
      <c r="BQ1493" s="53">
        <f>IF(V1493&lt;&gt;"",V1493,U1493)</f>
        <v/>
      </c>
      <c r="BR1493" s="53">
        <f>IF(BQ1493=1,"L1",IF(OR(BQ1493=2,BQ1493=3),"L23",IF(BQ1493="Aussen","Aussen","-")))</f>
        <v/>
      </c>
      <c r="BS1493" s="66">
        <f>IF(N(W1493)&gt;0,W1493,0)</f>
        <v/>
      </c>
      <c r="BT1493" s="58">
        <f>IF(ISNUMBER(Z1493),1,0)</f>
        <v/>
      </c>
      <c r="BU1493" s="55">
        <f>N(Z1493)</f>
        <v/>
      </c>
      <c r="BV1493" s="55">
        <f>N(L1493)+N(M1493)</f>
        <v/>
      </c>
      <c r="BW1493" s="55">
        <f>ROUNDUP(G1493/BN1493,0)</f>
        <v/>
      </c>
      <c r="BX1493" s="55">
        <f>ROUNDUP(BU1493/BN1493,0)</f>
        <v/>
      </c>
      <c r="BY1493" s="58">
        <f>IF(BO1493=1,0,IFERROR(VLOOKUP(BM1493,'Gebinde-Kategorie'!$A$5:$G$45,5,0)+0,0))</f>
        <v/>
      </c>
      <c r="BZ1493" s="58">
        <f>IFERROR(IF(OR(BQ1493=1,BQ1493=2,BQ1493=3),N(INDEX(Parameter!$I$5:$I$7,BQ1493)),0),0)</f>
        <v/>
      </c>
    </row>
    <row r="1494">
      <c r="A1494" s="53">
        <f>IF('Neue Artikel'!$A$28="","",'Neue Artikel'!$A$28&amp;"")</f>
        <v/>
      </c>
      <c r="B1494" s="53">
        <f>'Neue Artikel'!$B$28&amp;""</f>
        <v/>
      </c>
      <c r="C1494" s="53" t="inlineStr"/>
      <c r="D1494" s="53" t="inlineStr">
        <is>
          <t>NEU</t>
        </is>
      </c>
      <c r="E1494" s="53" t="inlineStr"/>
      <c r="F1494" s="54">
        <f>N('Neue Artikel'!$G$28)</f>
        <v/>
      </c>
      <c r="G1494" s="55">
        <f>MAX(0,IF(Parameter!$B$20="Jahresanfang 2025 + Export",BG1494+BF1494,BF1494))</f>
        <v/>
      </c>
      <c r="H1494" s="55">
        <f>G1494*F1494</f>
        <v/>
      </c>
      <c r="I1494" s="55">
        <f>BI1494*Parameter!$B$18</f>
        <v/>
      </c>
      <c r="J1494" s="56" t="n"/>
      <c r="K1494" s="57" t="n"/>
      <c r="L1494" s="55">
        <f>N('Neue Artikel'!$E$28)</f>
        <v/>
      </c>
      <c r="M1494" s="55">
        <f>N('Neue Artikel'!$F$28)</f>
        <v/>
      </c>
      <c r="N1494" s="58" t="n"/>
      <c r="O1494" s="53">
        <f>IF('Neue Artikel'!$H$28="","LOSE",UPPER(TRIM('Neue Artikel'!$H$28)))</f>
        <v/>
      </c>
      <c r="P1494" s="55">
        <f>N('Neue Artikel'!$I$28)</f>
        <v/>
      </c>
      <c r="Q1494" s="59">
        <f>IF(BO1494=1,0,IFERROR(VLOOKUP(BM1494,'Gebinde-Kategorie'!$A$5:$G$45,6,0)+0,0))</f>
        <v/>
      </c>
      <c r="R1494" s="60" t="n"/>
      <c r="S1494" s="61" t="n"/>
      <c r="T1494" s="61" t="n"/>
      <c r="U1494" s="53">
        <f>IF(A1494="","",IF(IFERROR(VLOOKUP(D1494,Parameter!$A$35:$C$64,2,0),"Nein")="2+3",IF(ISNUMBER(SEARCH("grosser Artikel",BJ1494)),2,IFERROR(VLOOKUP(BM1494,Parameter!$F$35:$G$64,2,0),2)),IF(OR(IFERROR(VLOOKUP(D1494,Parameter!$A$35:$C$64,2,0),"Nein")="Nein",IFERROR(VLOOKUP(D1494,Parameter!$A$35:$C$64,2,0),"Nein")=""),"-",VLOOKUP(D1494,Parameter!$A$35:$C$64,2,0))))</f>
        <v/>
      </c>
      <c r="V1494" s="53">
        <f>IF('Neue Artikel'!$J$28="","",'Neue Artikel'!$J$28)</f>
        <v/>
      </c>
      <c r="W1494" s="62" t="n"/>
      <c r="X1494" s="55">
        <f>AM1494</f>
        <v/>
      </c>
      <c r="Y1494" s="55">
        <f>MAX(AM1494,G1494)</f>
        <v/>
      </c>
      <c r="Z1494" s="63" t="n"/>
      <c r="AA1494" s="55">
        <f>IF(LEFT(Cockpit!$C$5,1)="A",G1494,IF(BT1494=1,BU1494,IF(LEFT(Cockpit!$C$5,1)="B",AE1494,MAX(AE1494,G1494))))</f>
        <v/>
      </c>
      <c r="AB1494" s="55">
        <f>IF(BO1494=1,0,ROUNDUP(AA1494/BN1494,0))</f>
        <v/>
      </c>
      <c r="AC1494" s="64">
        <f>IF(BO1494=1,IF(AA1494&lt;=0,0,BP1494*MAX(1,IF(G1494&gt;0,AA1494/G1494,1))),AB1494*Q1494)</f>
        <v/>
      </c>
      <c r="AD1494" s="55">
        <f>AA1494*F1494</f>
        <v/>
      </c>
      <c r="AE1494" s="55">
        <f>ROUNDUP(MAX(I1494/IF(BS1494&gt;0,BS1494,MAX(0.1,N(Cockpit!$C$6))),BV1494)/BN1494,0)*BN1494</f>
        <v/>
      </c>
      <c r="AF1494" s="56">
        <f>IF(AC1494&gt;0,I1494/AC1494,-1)</f>
        <v/>
      </c>
      <c r="AG1494" s="56">
        <f>IF(AND(OR(BR1494="L1",BR1494="L23"),AC1494&gt;0),SUMIFS($AC$7:$AC$1570,$BR$7:$BR$1570,BR1494,$AF$7:$AF$1570,"&gt;"&amp;AF1494)+SUMIFS($AC$7:$AC$1570,$BR$7:$BR$1570,BR1494,$AF$7:$AF$1570,AF1494,$BL$7:$BL$1570,"&lt;="&amp;BL1494),"")</f>
        <v/>
      </c>
      <c r="AH1494" s="65">
        <f>IF(AG1494="",0,MAX(0,MIN(1,(IF(BR1494="L1",Parameter!$K$5,Parameter!$K$6+Parameter!$K$7)-(AG1494-AC1494))/AC1494)))</f>
        <v/>
      </c>
      <c r="AI1494" s="55">
        <f>IF(LEFT(Cockpit!$I$5,1)="A",G1494,IF(BT1494=1,BU1494,IF(LEFT(Cockpit!$I$5,1)="B",AM1494,MAX(AM1494,G1494))))</f>
        <v/>
      </c>
      <c r="AJ1494" s="55">
        <f>IF(BO1494=1,0,ROUNDUP(AI1494/BN1494,0))</f>
        <v/>
      </c>
      <c r="AK1494" s="64">
        <f>IF(BO1494=1,IF(AI1494&lt;=0,0,BP1494*MAX(1,IF(G1494&gt;0,AI1494/G1494,1))),AJ1494*Q1494)</f>
        <v/>
      </c>
      <c r="AL1494" s="55">
        <f>AI1494*F1494</f>
        <v/>
      </c>
      <c r="AM1494" s="55">
        <f>ROUNDUP(MAX(I1494/IF(BS1494&gt;0,BS1494,MAX(0.1,N(Cockpit!$I$6))),BV1494)/BN1494,0)*BN1494</f>
        <v/>
      </c>
      <c r="AN1494" s="56">
        <f>IF(AK1494&gt;0,I1494/AK1494,-1)</f>
        <v/>
      </c>
      <c r="AO1494" s="56">
        <f>IF(AND(OR(BR1494="L1",BR1494="L23"),AK1494&gt;0),SUMIFS($AK$7:$AK$1570,$BR$7:$BR$1570,BR1494,$AN$7:$AN$1570,"&gt;"&amp;AN1494)+SUMIFS($AK$7:$AK$1570,$BR$7:$BR$1570,BR1494,$AN$7:$AN$1570,AN1494,$BL$7:$BL$1570,"&lt;="&amp;BL1494),"")</f>
        <v/>
      </c>
      <c r="AP1494" s="65">
        <f>IF(AO1494="",0,MAX(0,MIN(1,(IF(BR1494="L1",Parameter!$K$5,Parameter!$K$6+Parameter!$K$7)-(AO1494-AK1494))/AK1494)))</f>
        <v/>
      </c>
      <c r="AQ1494" s="55">
        <f>IF(LEFT(Cockpit!$O$5,1)="A",G1494,IF(BT1494=1,BU1494,IF(LEFT(Cockpit!$O$5,1)="B",AU1494,MAX(AU1494,G1494))))</f>
        <v/>
      </c>
      <c r="AR1494" s="55">
        <f>IF(BO1494=1,0,ROUNDUP(AQ1494/BN1494,0))</f>
        <v/>
      </c>
      <c r="AS1494" s="64">
        <f>IF(BO1494=1,IF(AQ1494&lt;=0,0,BP1494*MAX(1,IF(G1494&gt;0,AQ1494/G1494,1))),AR1494*Q1494)</f>
        <v/>
      </c>
      <c r="AT1494" s="55">
        <f>AQ1494*F1494</f>
        <v/>
      </c>
      <c r="AU1494" s="55">
        <f>ROUNDUP(MAX(I1494/IF(BS1494&gt;0,BS1494,MAX(0.1,N(Cockpit!$O$6))),BV1494)/BN1494,0)*BN1494</f>
        <v/>
      </c>
      <c r="AV1494" s="56">
        <f>IF(AS1494&gt;0,I1494/AS1494,-1)</f>
        <v/>
      </c>
      <c r="AW1494" s="56">
        <f>IF(AND(OR(BR1494="L1",BR1494="L23"),AS1494&gt;0),SUMIFS($AS$7:$AS$1570,$BR$7:$BR$1570,BR1494,$AV$7:$AV$1570,"&gt;"&amp;AV1494)+SUMIFS($AS$7:$AS$1570,$BR$7:$BR$1570,BR1494,$AV$7:$AV$1570,AV1494,$BL$7:$BL$1570,"&lt;="&amp;BL1494),"")</f>
        <v/>
      </c>
      <c r="AX1494" s="65">
        <f>IF(AW1494="",0,MAX(0,MIN(1,(IF(BR1494="L1",Parameter!$K$5,Parameter!$K$6+Parameter!$K$7)-(AW1494-AS1494))/AS1494)))</f>
        <v/>
      </c>
      <c r="AY1494" s="53">
        <f>IF(AC1494&lt;=0,"",IF(BR1494="Aussen","Aussenlager",IF(BR1494="-","Nicht im Lift",IF(AH1494&gt;=1,"Lift",IF(AH1494&lt;=0,"Aussenlager","teilweise")))))</f>
        <v/>
      </c>
      <c r="AZ1494" s="53">
        <f>IF(AK1494&lt;=0,"",IF(BR1494="Aussen","Aussenlager",IF(BR1494="-","Nicht im Lift",IF(AP1494&gt;=1,"Lift",IF(AP1494&lt;=0,"Aussenlager","teilweise")))))</f>
        <v/>
      </c>
      <c r="BA1494" s="53">
        <f>IF(AS1494&lt;=0,"",IF(BR1494="Aussen","Aussenlager",IF(BR1494="-","Nicht im Lift",IF(AX1494&gt;=1,"Lift",IF(AX1494&lt;=0,"Aussenlager","teilweise")))))</f>
        <v/>
      </c>
      <c r="BB1494" s="53">
        <f>IF(A1494="","",IF(BK1494=1,"Neu; ","")&amp;IF(AND(BK1494=0,BF1494&lt;0),"negativer Bestand (Export "&amp;BF1494&amp;"); ","")&amp;IF(I1494&lt;=0,"Kein Verbrauch; ","")&amp;IF(BO1494=1,"Lose – Fläche geschätzt; ","")&amp;IF(G1494&gt;AM1494,"Überbestand "&amp;ROUND(G1494-AM1494,0)&amp;" Stk / CHF "&amp;ROUND((G1494-AM1494)*F1494,0)&amp;"; ","")&amp;IF(AND(BT1494=1,BU1494&lt;BV1494),"MAX &lt; MB+LG; ","")&amp;IF(AND(BZ1494&gt;0,BY1494*10&gt;BZ1494),"zu hoch für Tablar; ","")&amp;IF(AND(BK1494=0,OR(BT1494=1,V1494&lt;&gt;"",S1494&lt;&gt;"",T1494&lt;&gt;"",W1494&lt;&gt;"")),"manuell übersteuert; ","")&amp;IF(AND(BO1494=0,Q1494=0),"Gebinde unbekannt; ","")&amp;IF(AND(BO1494=0,N(T1494)&lt;=0,N(P1494)&lt;=0),"Menge pro Gebinde fehlt (Ist = 1 Gebinde); ","")&amp;BJ1494)</f>
        <v/>
      </c>
      <c r="BC1494" s="53" t="n"/>
      <c r="BD1494" s="53" t="n"/>
      <c r="BE1494" s="61" t="n"/>
      <c r="BF1494" s="55">
        <f>N('Neue Artikel'!$D$28)</f>
        <v/>
      </c>
      <c r="BG1494" s="55" t="n">
        <v>0</v>
      </c>
      <c r="BH1494" s="54" t="n">
        <v>0</v>
      </c>
      <c r="BI1494" s="55">
        <f>N('Neue Artikel'!$C$28)/Parameter!$B$18</f>
        <v/>
      </c>
      <c r="BJ1494" s="53" t="inlineStr"/>
      <c r="BK1494" s="58" t="n">
        <v>1</v>
      </c>
      <c r="BL1494" s="58" t="n">
        <v>1494</v>
      </c>
      <c r="BM1494" s="53">
        <f>IF(S1494&lt;&gt;"",UPPER(TRIM(S1494)),IF(O1494="","LOSE",O1494))</f>
        <v/>
      </c>
      <c r="BN1494" s="55">
        <f>IF(BM1494="LOSE",1,IF(N(T1494)&gt;0,T1494,IF(N(P1494)&gt;0,P1494,MAX(1,G1494))))</f>
        <v/>
      </c>
      <c r="BO1494" s="58">
        <f>IF(BM1494="LOSE",1,0)</f>
        <v/>
      </c>
      <c r="BP1494" s="64">
        <f>IF(BO1494=0,0,IF(N(R1494)&gt;0,R1494,IFERROR(VLOOKUP(D1494,Parameter!$A$35:$C$64,3,0)+0,0)))</f>
        <v/>
      </c>
      <c r="BQ1494" s="53">
        <f>IF(V1494&lt;&gt;"",V1494,U1494)</f>
        <v/>
      </c>
      <c r="BR1494" s="53">
        <f>IF(BQ1494=1,"L1",IF(OR(BQ1494=2,BQ1494=3),"L23",IF(BQ1494="Aussen","Aussen","-")))</f>
        <v/>
      </c>
      <c r="BS1494" s="66">
        <f>IF(N(W1494)&gt;0,W1494,0)</f>
        <v/>
      </c>
      <c r="BT1494" s="58">
        <f>IF(ISNUMBER(Z1494),1,0)</f>
        <v/>
      </c>
      <c r="BU1494" s="55">
        <f>N(Z1494)</f>
        <v/>
      </c>
      <c r="BV1494" s="55">
        <f>N(L1494)+N(M1494)</f>
        <v/>
      </c>
      <c r="BW1494" s="55">
        <f>ROUNDUP(G1494/BN1494,0)</f>
        <v/>
      </c>
      <c r="BX1494" s="55">
        <f>ROUNDUP(BU1494/BN1494,0)</f>
        <v/>
      </c>
      <c r="BY1494" s="58">
        <f>IF(BO1494=1,0,IFERROR(VLOOKUP(BM1494,'Gebinde-Kategorie'!$A$5:$G$45,5,0)+0,0))</f>
        <v/>
      </c>
      <c r="BZ1494" s="58">
        <f>IFERROR(IF(OR(BQ1494=1,BQ1494=2,BQ1494=3),N(INDEX(Parameter!$I$5:$I$7,BQ1494)),0),0)</f>
        <v/>
      </c>
    </row>
    <row r="1495">
      <c r="A1495" s="53">
        <f>IF('Neue Artikel'!$A$29="","",'Neue Artikel'!$A$29&amp;"")</f>
        <v/>
      </c>
      <c r="B1495" s="53">
        <f>'Neue Artikel'!$B$29&amp;""</f>
        <v/>
      </c>
      <c r="C1495" s="53" t="inlineStr"/>
      <c r="D1495" s="53" t="inlineStr">
        <is>
          <t>NEU</t>
        </is>
      </c>
      <c r="E1495" s="53" t="inlineStr"/>
      <c r="F1495" s="54">
        <f>N('Neue Artikel'!$G$29)</f>
        <v/>
      </c>
      <c r="G1495" s="55">
        <f>MAX(0,IF(Parameter!$B$20="Jahresanfang 2025 + Export",BG1495+BF1495,BF1495))</f>
        <v/>
      </c>
      <c r="H1495" s="55">
        <f>G1495*F1495</f>
        <v/>
      </c>
      <c r="I1495" s="55">
        <f>BI1495*Parameter!$B$18</f>
        <v/>
      </c>
      <c r="J1495" s="56" t="n"/>
      <c r="K1495" s="57" t="n"/>
      <c r="L1495" s="55">
        <f>N('Neue Artikel'!$E$29)</f>
        <v/>
      </c>
      <c r="M1495" s="55">
        <f>N('Neue Artikel'!$F$29)</f>
        <v/>
      </c>
      <c r="N1495" s="58" t="n"/>
      <c r="O1495" s="53">
        <f>IF('Neue Artikel'!$H$29="","LOSE",UPPER(TRIM('Neue Artikel'!$H$29)))</f>
        <v/>
      </c>
      <c r="P1495" s="55">
        <f>N('Neue Artikel'!$I$29)</f>
        <v/>
      </c>
      <c r="Q1495" s="59">
        <f>IF(BO1495=1,0,IFERROR(VLOOKUP(BM1495,'Gebinde-Kategorie'!$A$5:$G$45,6,0)+0,0))</f>
        <v/>
      </c>
      <c r="R1495" s="60" t="n"/>
      <c r="S1495" s="61" t="n"/>
      <c r="T1495" s="61" t="n"/>
      <c r="U1495" s="53">
        <f>IF(A1495="","",IF(IFERROR(VLOOKUP(D1495,Parameter!$A$35:$C$64,2,0),"Nein")="2+3",IF(ISNUMBER(SEARCH("grosser Artikel",BJ1495)),2,IFERROR(VLOOKUP(BM1495,Parameter!$F$35:$G$64,2,0),2)),IF(OR(IFERROR(VLOOKUP(D1495,Parameter!$A$35:$C$64,2,0),"Nein")="Nein",IFERROR(VLOOKUP(D1495,Parameter!$A$35:$C$64,2,0),"Nein")=""),"-",VLOOKUP(D1495,Parameter!$A$35:$C$64,2,0))))</f>
        <v/>
      </c>
      <c r="V1495" s="53">
        <f>IF('Neue Artikel'!$J$29="","",'Neue Artikel'!$J$29)</f>
        <v/>
      </c>
      <c r="W1495" s="62" t="n"/>
      <c r="X1495" s="55">
        <f>AM1495</f>
        <v/>
      </c>
      <c r="Y1495" s="55">
        <f>MAX(AM1495,G1495)</f>
        <v/>
      </c>
      <c r="Z1495" s="63" t="n"/>
      <c r="AA1495" s="55">
        <f>IF(LEFT(Cockpit!$C$5,1)="A",G1495,IF(BT1495=1,BU1495,IF(LEFT(Cockpit!$C$5,1)="B",AE1495,MAX(AE1495,G1495))))</f>
        <v/>
      </c>
      <c r="AB1495" s="55">
        <f>IF(BO1495=1,0,ROUNDUP(AA1495/BN1495,0))</f>
        <v/>
      </c>
      <c r="AC1495" s="64">
        <f>IF(BO1495=1,IF(AA1495&lt;=0,0,BP1495*MAX(1,IF(G1495&gt;0,AA1495/G1495,1))),AB1495*Q1495)</f>
        <v/>
      </c>
      <c r="AD1495" s="55">
        <f>AA1495*F1495</f>
        <v/>
      </c>
      <c r="AE1495" s="55">
        <f>ROUNDUP(MAX(I1495/IF(BS1495&gt;0,BS1495,MAX(0.1,N(Cockpit!$C$6))),BV1495)/BN1495,0)*BN1495</f>
        <v/>
      </c>
      <c r="AF1495" s="56">
        <f>IF(AC1495&gt;0,I1495/AC1495,-1)</f>
        <v/>
      </c>
      <c r="AG1495" s="56">
        <f>IF(AND(OR(BR1495="L1",BR1495="L23"),AC1495&gt;0),SUMIFS($AC$7:$AC$1570,$BR$7:$BR$1570,BR1495,$AF$7:$AF$1570,"&gt;"&amp;AF1495)+SUMIFS($AC$7:$AC$1570,$BR$7:$BR$1570,BR1495,$AF$7:$AF$1570,AF1495,$BL$7:$BL$1570,"&lt;="&amp;BL1495),"")</f>
        <v/>
      </c>
      <c r="AH1495" s="65">
        <f>IF(AG1495="",0,MAX(0,MIN(1,(IF(BR1495="L1",Parameter!$K$5,Parameter!$K$6+Parameter!$K$7)-(AG1495-AC1495))/AC1495)))</f>
        <v/>
      </c>
      <c r="AI1495" s="55">
        <f>IF(LEFT(Cockpit!$I$5,1)="A",G1495,IF(BT1495=1,BU1495,IF(LEFT(Cockpit!$I$5,1)="B",AM1495,MAX(AM1495,G1495))))</f>
        <v/>
      </c>
      <c r="AJ1495" s="55">
        <f>IF(BO1495=1,0,ROUNDUP(AI1495/BN1495,0))</f>
        <v/>
      </c>
      <c r="AK1495" s="64">
        <f>IF(BO1495=1,IF(AI1495&lt;=0,0,BP1495*MAX(1,IF(G1495&gt;0,AI1495/G1495,1))),AJ1495*Q1495)</f>
        <v/>
      </c>
      <c r="AL1495" s="55">
        <f>AI1495*F1495</f>
        <v/>
      </c>
      <c r="AM1495" s="55">
        <f>ROUNDUP(MAX(I1495/IF(BS1495&gt;0,BS1495,MAX(0.1,N(Cockpit!$I$6))),BV1495)/BN1495,0)*BN1495</f>
        <v/>
      </c>
      <c r="AN1495" s="56">
        <f>IF(AK1495&gt;0,I1495/AK1495,-1)</f>
        <v/>
      </c>
      <c r="AO1495" s="56">
        <f>IF(AND(OR(BR1495="L1",BR1495="L23"),AK1495&gt;0),SUMIFS($AK$7:$AK$1570,$BR$7:$BR$1570,BR1495,$AN$7:$AN$1570,"&gt;"&amp;AN1495)+SUMIFS($AK$7:$AK$1570,$BR$7:$BR$1570,BR1495,$AN$7:$AN$1570,AN1495,$BL$7:$BL$1570,"&lt;="&amp;BL1495),"")</f>
        <v/>
      </c>
      <c r="AP1495" s="65">
        <f>IF(AO1495="",0,MAX(0,MIN(1,(IF(BR1495="L1",Parameter!$K$5,Parameter!$K$6+Parameter!$K$7)-(AO1495-AK1495))/AK1495)))</f>
        <v/>
      </c>
      <c r="AQ1495" s="55">
        <f>IF(LEFT(Cockpit!$O$5,1)="A",G1495,IF(BT1495=1,BU1495,IF(LEFT(Cockpit!$O$5,1)="B",AU1495,MAX(AU1495,G1495))))</f>
        <v/>
      </c>
      <c r="AR1495" s="55">
        <f>IF(BO1495=1,0,ROUNDUP(AQ1495/BN1495,0))</f>
        <v/>
      </c>
      <c r="AS1495" s="64">
        <f>IF(BO1495=1,IF(AQ1495&lt;=0,0,BP1495*MAX(1,IF(G1495&gt;0,AQ1495/G1495,1))),AR1495*Q1495)</f>
        <v/>
      </c>
      <c r="AT1495" s="55">
        <f>AQ1495*F1495</f>
        <v/>
      </c>
      <c r="AU1495" s="55">
        <f>ROUNDUP(MAX(I1495/IF(BS1495&gt;0,BS1495,MAX(0.1,N(Cockpit!$O$6))),BV1495)/BN1495,0)*BN1495</f>
        <v/>
      </c>
      <c r="AV1495" s="56">
        <f>IF(AS1495&gt;0,I1495/AS1495,-1)</f>
        <v/>
      </c>
      <c r="AW1495" s="56">
        <f>IF(AND(OR(BR1495="L1",BR1495="L23"),AS1495&gt;0),SUMIFS($AS$7:$AS$1570,$BR$7:$BR$1570,BR1495,$AV$7:$AV$1570,"&gt;"&amp;AV1495)+SUMIFS($AS$7:$AS$1570,$BR$7:$BR$1570,BR1495,$AV$7:$AV$1570,AV1495,$BL$7:$BL$1570,"&lt;="&amp;BL1495),"")</f>
        <v/>
      </c>
      <c r="AX1495" s="65">
        <f>IF(AW1495="",0,MAX(0,MIN(1,(IF(BR1495="L1",Parameter!$K$5,Parameter!$K$6+Parameter!$K$7)-(AW1495-AS1495))/AS1495)))</f>
        <v/>
      </c>
      <c r="AY1495" s="53">
        <f>IF(AC1495&lt;=0,"",IF(BR1495="Aussen","Aussenlager",IF(BR1495="-","Nicht im Lift",IF(AH1495&gt;=1,"Lift",IF(AH1495&lt;=0,"Aussenlager","teilweise")))))</f>
        <v/>
      </c>
      <c r="AZ1495" s="53">
        <f>IF(AK1495&lt;=0,"",IF(BR1495="Aussen","Aussenlager",IF(BR1495="-","Nicht im Lift",IF(AP1495&gt;=1,"Lift",IF(AP1495&lt;=0,"Aussenlager","teilweise")))))</f>
        <v/>
      </c>
      <c r="BA1495" s="53">
        <f>IF(AS1495&lt;=0,"",IF(BR1495="Aussen","Aussenlager",IF(BR1495="-","Nicht im Lift",IF(AX1495&gt;=1,"Lift",IF(AX1495&lt;=0,"Aussenlager","teilweise")))))</f>
        <v/>
      </c>
      <c r="BB1495" s="53">
        <f>IF(A1495="","",IF(BK1495=1,"Neu; ","")&amp;IF(AND(BK1495=0,BF1495&lt;0),"negativer Bestand (Export "&amp;BF1495&amp;"); ","")&amp;IF(I1495&lt;=0,"Kein Verbrauch; ","")&amp;IF(BO1495=1,"Lose – Fläche geschätzt; ","")&amp;IF(G1495&gt;AM1495,"Überbestand "&amp;ROUND(G1495-AM1495,0)&amp;" Stk / CHF "&amp;ROUND((G1495-AM1495)*F1495,0)&amp;"; ","")&amp;IF(AND(BT1495=1,BU1495&lt;BV1495),"MAX &lt; MB+LG; ","")&amp;IF(AND(BZ1495&gt;0,BY1495*10&gt;BZ1495),"zu hoch für Tablar; ","")&amp;IF(AND(BK1495=0,OR(BT1495=1,V1495&lt;&gt;"",S1495&lt;&gt;"",T1495&lt;&gt;"",W1495&lt;&gt;"")),"manuell übersteuert; ","")&amp;IF(AND(BO1495=0,Q1495=0),"Gebinde unbekannt; ","")&amp;IF(AND(BO1495=0,N(T1495)&lt;=0,N(P1495)&lt;=0),"Menge pro Gebinde fehlt (Ist = 1 Gebinde); ","")&amp;BJ1495)</f>
        <v/>
      </c>
      <c r="BC1495" s="53" t="n"/>
      <c r="BD1495" s="53" t="n"/>
      <c r="BE1495" s="61" t="n"/>
      <c r="BF1495" s="55">
        <f>N('Neue Artikel'!$D$29)</f>
        <v/>
      </c>
      <c r="BG1495" s="55" t="n">
        <v>0</v>
      </c>
      <c r="BH1495" s="54" t="n">
        <v>0</v>
      </c>
      <c r="BI1495" s="55">
        <f>N('Neue Artikel'!$C$29)/Parameter!$B$18</f>
        <v/>
      </c>
      <c r="BJ1495" s="53" t="inlineStr"/>
      <c r="BK1495" s="58" t="n">
        <v>1</v>
      </c>
      <c r="BL1495" s="58" t="n">
        <v>1495</v>
      </c>
      <c r="BM1495" s="53">
        <f>IF(S1495&lt;&gt;"",UPPER(TRIM(S1495)),IF(O1495="","LOSE",O1495))</f>
        <v/>
      </c>
      <c r="BN1495" s="55">
        <f>IF(BM1495="LOSE",1,IF(N(T1495)&gt;0,T1495,IF(N(P1495)&gt;0,P1495,MAX(1,G1495))))</f>
        <v/>
      </c>
      <c r="BO1495" s="58">
        <f>IF(BM1495="LOSE",1,0)</f>
        <v/>
      </c>
      <c r="BP1495" s="64">
        <f>IF(BO1495=0,0,IF(N(R1495)&gt;0,R1495,IFERROR(VLOOKUP(D1495,Parameter!$A$35:$C$64,3,0)+0,0)))</f>
        <v/>
      </c>
      <c r="BQ1495" s="53">
        <f>IF(V1495&lt;&gt;"",V1495,U1495)</f>
        <v/>
      </c>
      <c r="BR1495" s="53">
        <f>IF(BQ1495=1,"L1",IF(OR(BQ1495=2,BQ1495=3),"L23",IF(BQ1495="Aussen","Aussen","-")))</f>
        <v/>
      </c>
      <c r="BS1495" s="66">
        <f>IF(N(W1495)&gt;0,W1495,0)</f>
        <v/>
      </c>
      <c r="BT1495" s="58">
        <f>IF(ISNUMBER(Z1495),1,0)</f>
        <v/>
      </c>
      <c r="BU1495" s="55">
        <f>N(Z1495)</f>
        <v/>
      </c>
      <c r="BV1495" s="55">
        <f>N(L1495)+N(M1495)</f>
        <v/>
      </c>
      <c r="BW1495" s="55">
        <f>ROUNDUP(G1495/BN1495,0)</f>
        <v/>
      </c>
      <c r="BX1495" s="55">
        <f>ROUNDUP(BU1495/BN1495,0)</f>
        <v/>
      </c>
      <c r="BY1495" s="58">
        <f>IF(BO1495=1,0,IFERROR(VLOOKUP(BM1495,'Gebinde-Kategorie'!$A$5:$G$45,5,0)+0,0))</f>
        <v/>
      </c>
      <c r="BZ1495" s="58">
        <f>IFERROR(IF(OR(BQ1495=1,BQ1495=2,BQ1495=3),N(INDEX(Parameter!$I$5:$I$7,BQ1495)),0),0)</f>
        <v/>
      </c>
    </row>
    <row r="1496">
      <c r="A1496" s="53">
        <f>IF('Neue Artikel'!$A$30="","",'Neue Artikel'!$A$30&amp;"")</f>
        <v/>
      </c>
      <c r="B1496" s="53">
        <f>'Neue Artikel'!$B$30&amp;""</f>
        <v/>
      </c>
      <c r="C1496" s="53" t="inlineStr"/>
      <c r="D1496" s="53" t="inlineStr">
        <is>
          <t>NEU</t>
        </is>
      </c>
      <c r="E1496" s="53" t="inlineStr"/>
      <c r="F1496" s="54">
        <f>N('Neue Artikel'!$G$30)</f>
        <v/>
      </c>
      <c r="G1496" s="55">
        <f>MAX(0,IF(Parameter!$B$20="Jahresanfang 2025 + Export",BG1496+BF1496,BF1496))</f>
        <v/>
      </c>
      <c r="H1496" s="55">
        <f>G1496*F1496</f>
        <v/>
      </c>
      <c r="I1496" s="55">
        <f>BI1496*Parameter!$B$18</f>
        <v/>
      </c>
      <c r="J1496" s="56" t="n"/>
      <c r="K1496" s="57" t="n"/>
      <c r="L1496" s="55">
        <f>N('Neue Artikel'!$E$30)</f>
        <v/>
      </c>
      <c r="M1496" s="55">
        <f>N('Neue Artikel'!$F$30)</f>
        <v/>
      </c>
      <c r="N1496" s="58" t="n"/>
      <c r="O1496" s="53">
        <f>IF('Neue Artikel'!$H$30="","LOSE",UPPER(TRIM('Neue Artikel'!$H$30)))</f>
        <v/>
      </c>
      <c r="P1496" s="55">
        <f>N('Neue Artikel'!$I$30)</f>
        <v/>
      </c>
      <c r="Q1496" s="59">
        <f>IF(BO1496=1,0,IFERROR(VLOOKUP(BM1496,'Gebinde-Kategorie'!$A$5:$G$45,6,0)+0,0))</f>
        <v/>
      </c>
      <c r="R1496" s="60" t="n"/>
      <c r="S1496" s="61" t="n"/>
      <c r="T1496" s="61" t="n"/>
      <c r="U1496" s="53">
        <f>IF(A1496="","",IF(IFERROR(VLOOKUP(D1496,Parameter!$A$35:$C$64,2,0),"Nein")="2+3",IF(ISNUMBER(SEARCH("grosser Artikel",BJ1496)),2,IFERROR(VLOOKUP(BM1496,Parameter!$F$35:$G$64,2,0),2)),IF(OR(IFERROR(VLOOKUP(D1496,Parameter!$A$35:$C$64,2,0),"Nein")="Nein",IFERROR(VLOOKUP(D1496,Parameter!$A$35:$C$64,2,0),"Nein")=""),"-",VLOOKUP(D1496,Parameter!$A$35:$C$64,2,0))))</f>
        <v/>
      </c>
      <c r="V1496" s="53">
        <f>IF('Neue Artikel'!$J$30="","",'Neue Artikel'!$J$30)</f>
        <v/>
      </c>
      <c r="W1496" s="62" t="n"/>
      <c r="X1496" s="55">
        <f>AM1496</f>
        <v/>
      </c>
      <c r="Y1496" s="55">
        <f>MAX(AM1496,G1496)</f>
        <v/>
      </c>
      <c r="Z1496" s="63" t="n"/>
      <c r="AA1496" s="55">
        <f>IF(LEFT(Cockpit!$C$5,1)="A",G1496,IF(BT1496=1,BU1496,IF(LEFT(Cockpit!$C$5,1)="B",AE1496,MAX(AE1496,G1496))))</f>
        <v/>
      </c>
      <c r="AB1496" s="55">
        <f>IF(BO1496=1,0,ROUNDUP(AA1496/BN1496,0))</f>
        <v/>
      </c>
      <c r="AC1496" s="64">
        <f>IF(BO1496=1,IF(AA1496&lt;=0,0,BP1496*MAX(1,IF(G1496&gt;0,AA1496/G1496,1))),AB1496*Q1496)</f>
        <v/>
      </c>
      <c r="AD1496" s="55">
        <f>AA1496*F1496</f>
        <v/>
      </c>
      <c r="AE1496" s="55">
        <f>ROUNDUP(MAX(I1496/IF(BS1496&gt;0,BS1496,MAX(0.1,N(Cockpit!$C$6))),BV1496)/BN1496,0)*BN1496</f>
        <v/>
      </c>
      <c r="AF1496" s="56">
        <f>IF(AC1496&gt;0,I1496/AC1496,-1)</f>
        <v/>
      </c>
      <c r="AG1496" s="56">
        <f>IF(AND(OR(BR1496="L1",BR1496="L23"),AC1496&gt;0),SUMIFS($AC$7:$AC$1570,$BR$7:$BR$1570,BR1496,$AF$7:$AF$1570,"&gt;"&amp;AF1496)+SUMIFS($AC$7:$AC$1570,$BR$7:$BR$1570,BR1496,$AF$7:$AF$1570,AF1496,$BL$7:$BL$1570,"&lt;="&amp;BL1496),"")</f>
        <v/>
      </c>
      <c r="AH1496" s="65">
        <f>IF(AG1496="",0,MAX(0,MIN(1,(IF(BR1496="L1",Parameter!$K$5,Parameter!$K$6+Parameter!$K$7)-(AG1496-AC1496))/AC1496)))</f>
        <v/>
      </c>
      <c r="AI1496" s="55">
        <f>IF(LEFT(Cockpit!$I$5,1)="A",G1496,IF(BT1496=1,BU1496,IF(LEFT(Cockpit!$I$5,1)="B",AM1496,MAX(AM1496,G1496))))</f>
        <v/>
      </c>
      <c r="AJ1496" s="55">
        <f>IF(BO1496=1,0,ROUNDUP(AI1496/BN1496,0))</f>
        <v/>
      </c>
      <c r="AK1496" s="64">
        <f>IF(BO1496=1,IF(AI1496&lt;=0,0,BP1496*MAX(1,IF(G1496&gt;0,AI1496/G1496,1))),AJ1496*Q1496)</f>
        <v/>
      </c>
      <c r="AL1496" s="55">
        <f>AI1496*F1496</f>
        <v/>
      </c>
      <c r="AM1496" s="55">
        <f>ROUNDUP(MAX(I1496/IF(BS1496&gt;0,BS1496,MAX(0.1,N(Cockpit!$I$6))),BV1496)/BN1496,0)*BN1496</f>
        <v/>
      </c>
      <c r="AN1496" s="56">
        <f>IF(AK1496&gt;0,I1496/AK1496,-1)</f>
        <v/>
      </c>
      <c r="AO1496" s="56">
        <f>IF(AND(OR(BR1496="L1",BR1496="L23"),AK1496&gt;0),SUMIFS($AK$7:$AK$1570,$BR$7:$BR$1570,BR1496,$AN$7:$AN$1570,"&gt;"&amp;AN1496)+SUMIFS($AK$7:$AK$1570,$BR$7:$BR$1570,BR1496,$AN$7:$AN$1570,AN1496,$BL$7:$BL$1570,"&lt;="&amp;BL1496),"")</f>
        <v/>
      </c>
      <c r="AP1496" s="65">
        <f>IF(AO1496="",0,MAX(0,MIN(1,(IF(BR1496="L1",Parameter!$K$5,Parameter!$K$6+Parameter!$K$7)-(AO1496-AK1496))/AK1496)))</f>
        <v/>
      </c>
      <c r="AQ1496" s="55">
        <f>IF(LEFT(Cockpit!$O$5,1)="A",G1496,IF(BT1496=1,BU1496,IF(LEFT(Cockpit!$O$5,1)="B",AU1496,MAX(AU1496,G1496))))</f>
        <v/>
      </c>
      <c r="AR1496" s="55">
        <f>IF(BO1496=1,0,ROUNDUP(AQ1496/BN1496,0))</f>
        <v/>
      </c>
      <c r="AS1496" s="64">
        <f>IF(BO1496=1,IF(AQ1496&lt;=0,0,BP1496*MAX(1,IF(G1496&gt;0,AQ1496/G1496,1))),AR1496*Q1496)</f>
        <v/>
      </c>
      <c r="AT1496" s="55">
        <f>AQ1496*F1496</f>
        <v/>
      </c>
      <c r="AU1496" s="55">
        <f>ROUNDUP(MAX(I1496/IF(BS1496&gt;0,BS1496,MAX(0.1,N(Cockpit!$O$6))),BV1496)/BN1496,0)*BN1496</f>
        <v/>
      </c>
      <c r="AV1496" s="56">
        <f>IF(AS1496&gt;0,I1496/AS1496,-1)</f>
        <v/>
      </c>
      <c r="AW1496" s="56">
        <f>IF(AND(OR(BR1496="L1",BR1496="L23"),AS1496&gt;0),SUMIFS($AS$7:$AS$1570,$BR$7:$BR$1570,BR1496,$AV$7:$AV$1570,"&gt;"&amp;AV1496)+SUMIFS($AS$7:$AS$1570,$BR$7:$BR$1570,BR1496,$AV$7:$AV$1570,AV1496,$BL$7:$BL$1570,"&lt;="&amp;BL1496),"")</f>
        <v/>
      </c>
      <c r="AX1496" s="65">
        <f>IF(AW1496="",0,MAX(0,MIN(1,(IF(BR1496="L1",Parameter!$K$5,Parameter!$K$6+Parameter!$K$7)-(AW1496-AS1496))/AS1496)))</f>
        <v/>
      </c>
      <c r="AY1496" s="53">
        <f>IF(AC1496&lt;=0,"",IF(BR1496="Aussen","Aussenlager",IF(BR1496="-","Nicht im Lift",IF(AH1496&gt;=1,"Lift",IF(AH1496&lt;=0,"Aussenlager","teilweise")))))</f>
        <v/>
      </c>
      <c r="AZ1496" s="53">
        <f>IF(AK1496&lt;=0,"",IF(BR1496="Aussen","Aussenlager",IF(BR1496="-","Nicht im Lift",IF(AP1496&gt;=1,"Lift",IF(AP1496&lt;=0,"Aussenlager","teilweise")))))</f>
        <v/>
      </c>
      <c r="BA1496" s="53">
        <f>IF(AS1496&lt;=0,"",IF(BR1496="Aussen","Aussenlager",IF(BR1496="-","Nicht im Lift",IF(AX1496&gt;=1,"Lift",IF(AX1496&lt;=0,"Aussenlager","teilweise")))))</f>
        <v/>
      </c>
      <c r="BB1496" s="53">
        <f>IF(A1496="","",IF(BK1496=1,"Neu; ","")&amp;IF(AND(BK1496=0,BF1496&lt;0),"negativer Bestand (Export "&amp;BF1496&amp;"); ","")&amp;IF(I1496&lt;=0,"Kein Verbrauch; ","")&amp;IF(BO1496=1,"Lose – Fläche geschätzt; ","")&amp;IF(G1496&gt;AM1496,"Überbestand "&amp;ROUND(G1496-AM1496,0)&amp;" Stk / CHF "&amp;ROUND((G1496-AM1496)*F1496,0)&amp;"; ","")&amp;IF(AND(BT1496=1,BU1496&lt;BV1496),"MAX &lt; MB+LG; ","")&amp;IF(AND(BZ1496&gt;0,BY1496*10&gt;BZ1496),"zu hoch für Tablar; ","")&amp;IF(AND(BK1496=0,OR(BT1496=1,V1496&lt;&gt;"",S1496&lt;&gt;"",T1496&lt;&gt;"",W1496&lt;&gt;"")),"manuell übersteuert; ","")&amp;IF(AND(BO1496=0,Q1496=0),"Gebinde unbekannt; ","")&amp;IF(AND(BO1496=0,N(T1496)&lt;=0,N(P1496)&lt;=0),"Menge pro Gebinde fehlt (Ist = 1 Gebinde); ","")&amp;BJ1496)</f>
        <v/>
      </c>
      <c r="BC1496" s="53" t="n"/>
      <c r="BD1496" s="53" t="n"/>
      <c r="BE1496" s="61" t="n"/>
      <c r="BF1496" s="55">
        <f>N('Neue Artikel'!$D$30)</f>
        <v/>
      </c>
      <c r="BG1496" s="55" t="n">
        <v>0</v>
      </c>
      <c r="BH1496" s="54" t="n">
        <v>0</v>
      </c>
      <c r="BI1496" s="55">
        <f>N('Neue Artikel'!$C$30)/Parameter!$B$18</f>
        <v/>
      </c>
      <c r="BJ1496" s="53" t="inlineStr"/>
      <c r="BK1496" s="58" t="n">
        <v>1</v>
      </c>
      <c r="BL1496" s="58" t="n">
        <v>1496</v>
      </c>
      <c r="BM1496" s="53">
        <f>IF(S1496&lt;&gt;"",UPPER(TRIM(S1496)),IF(O1496="","LOSE",O1496))</f>
        <v/>
      </c>
      <c r="BN1496" s="55">
        <f>IF(BM1496="LOSE",1,IF(N(T1496)&gt;0,T1496,IF(N(P1496)&gt;0,P1496,MAX(1,G1496))))</f>
        <v/>
      </c>
      <c r="BO1496" s="58">
        <f>IF(BM1496="LOSE",1,0)</f>
        <v/>
      </c>
      <c r="BP1496" s="64">
        <f>IF(BO1496=0,0,IF(N(R1496)&gt;0,R1496,IFERROR(VLOOKUP(D1496,Parameter!$A$35:$C$64,3,0)+0,0)))</f>
        <v/>
      </c>
      <c r="BQ1496" s="53">
        <f>IF(V1496&lt;&gt;"",V1496,U1496)</f>
        <v/>
      </c>
      <c r="BR1496" s="53">
        <f>IF(BQ1496=1,"L1",IF(OR(BQ1496=2,BQ1496=3),"L23",IF(BQ1496="Aussen","Aussen","-")))</f>
        <v/>
      </c>
      <c r="BS1496" s="66">
        <f>IF(N(W1496)&gt;0,W1496,0)</f>
        <v/>
      </c>
      <c r="BT1496" s="58">
        <f>IF(ISNUMBER(Z1496),1,0)</f>
        <v/>
      </c>
      <c r="BU1496" s="55">
        <f>N(Z1496)</f>
        <v/>
      </c>
      <c r="BV1496" s="55">
        <f>N(L1496)+N(M1496)</f>
        <v/>
      </c>
      <c r="BW1496" s="55">
        <f>ROUNDUP(G1496/BN1496,0)</f>
        <v/>
      </c>
      <c r="BX1496" s="55">
        <f>ROUNDUP(BU1496/BN1496,0)</f>
        <v/>
      </c>
      <c r="BY1496" s="58">
        <f>IF(BO1496=1,0,IFERROR(VLOOKUP(BM1496,'Gebinde-Kategorie'!$A$5:$G$45,5,0)+0,0))</f>
        <v/>
      </c>
      <c r="BZ1496" s="58">
        <f>IFERROR(IF(OR(BQ1496=1,BQ1496=2,BQ1496=3),N(INDEX(Parameter!$I$5:$I$7,BQ1496)),0),0)</f>
        <v/>
      </c>
    </row>
    <row r="1497">
      <c r="A1497" s="53">
        <f>IF('Neue Artikel'!$A$31="","",'Neue Artikel'!$A$31&amp;"")</f>
        <v/>
      </c>
      <c r="B1497" s="53">
        <f>'Neue Artikel'!$B$31&amp;""</f>
        <v/>
      </c>
      <c r="C1497" s="53" t="inlineStr"/>
      <c r="D1497" s="53" t="inlineStr">
        <is>
          <t>NEU</t>
        </is>
      </c>
      <c r="E1497" s="53" t="inlineStr"/>
      <c r="F1497" s="54">
        <f>N('Neue Artikel'!$G$31)</f>
        <v/>
      </c>
      <c r="G1497" s="55">
        <f>MAX(0,IF(Parameter!$B$20="Jahresanfang 2025 + Export",BG1497+BF1497,BF1497))</f>
        <v/>
      </c>
      <c r="H1497" s="55">
        <f>G1497*F1497</f>
        <v/>
      </c>
      <c r="I1497" s="55">
        <f>BI1497*Parameter!$B$18</f>
        <v/>
      </c>
      <c r="J1497" s="56" t="n"/>
      <c r="K1497" s="57" t="n"/>
      <c r="L1497" s="55">
        <f>N('Neue Artikel'!$E$31)</f>
        <v/>
      </c>
      <c r="M1497" s="55">
        <f>N('Neue Artikel'!$F$31)</f>
        <v/>
      </c>
      <c r="N1497" s="58" t="n"/>
      <c r="O1497" s="53">
        <f>IF('Neue Artikel'!$H$31="","LOSE",UPPER(TRIM('Neue Artikel'!$H$31)))</f>
        <v/>
      </c>
      <c r="P1497" s="55">
        <f>N('Neue Artikel'!$I$31)</f>
        <v/>
      </c>
      <c r="Q1497" s="59">
        <f>IF(BO1497=1,0,IFERROR(VLOOKUP(BM1497,'Gebinde-Kategorie'!$A$5:$G$45,6,0)+0,0))</f>
        <v/>
      </c>
      <c r="R1497" s="60" t="n"/>
      <c r="S1497" s="61" t="n"/>
      <c r="T1497" s="61" t="n"/>
      <c r="U1497" s="53">
        <f>IF(A1497="","",IF(IFERROR(VLOOKUP(D1497,Parameter!$A$35:$C$64,2,0),"Nein")="2+3",IF(ISNUMBER(SEARCH("grosser Artikel",BJ1497)),2,IFERROR(VLOOKUP(BM1497,Parameter!$F$35:$G$64,2,0),2)),IF(OR(IFERROR(VLOOKUP(D1497,Parameter!$A$35:$C$64,2,0),"Nein")="Nein",IFERROR(VLOOKUP(D1497,Parameter!$A$35:$C$64,2,0),"Nein")=""),"-",VLOOKUP(D1497,Parameter!$A$35:$C$64,2,0))))</f>
        <v/>
      </c>
      <c r="V1497" s="53">
        <f>IF('Neue Artikel'!$J$31="","",'Neue Artikel'!$J$31)</f>
        <v/>
      </c>
      <c r="W1497" s="62" t="n"/>
      <c r="X1497" s="55">
        <f>AM1497</f>
        <v/>
      </c>
      <c r="Y1497" s="55">
        <f>MAX(AM1497,G1497)</f>
        <v/>
      </c>
      <c r="Z1497" s="63" t="n"/>
      <c r="AA1497" s="55">
        <f>IF(LEFT(Cockpit!$C$5,1)="A",G1497,IF(BT1497=1,BU1497,IF(LEFT(Cockpit!$C$5,1)="B",AE1497,MAX(AE1497,G1497))))</f>
        <v/>
      </c>
      <c r="AB1497" s="55">
        <f>IF(BO1497=1,0,ROUNDUP(AA1497/BN1497,0))</f>
        <v/>
      </c>
      <c r="AC1497" s="64">
        <f>IF(BO1497=1,IF(AA1497&lt;=0,0,BP1497*MAX(1,IF(G1497&gt;0,AA1497/G1497,1))),AB1497*Q1497)</f>
        <v/>
      </c>
      <c r="AD1497" s="55">
        <f>AA1497*F1497</f>
        <v/>
      </c>
      <c r="AE1497" s="55">
        <f>ROUNDUP(MAX(I1497/IF(BS1497&gt;0,BS1497,MAX(0.1,N(Cockpit!$C$6))),BV1497)/BN1497,0)*BN1497</f>
        <v/>
      </c>
      <c r="AF1497" s="56">
        <f>IF(AC1497&gt;0,I1497/AC1497,-1)</f>
        <v/>
      </c>
      <c r="AG1497" s="56">
        <f>IF(AND(OR(BR1497="L1",BR1497="L23"),AC1497&gt;0),SUMIFS($AC$7:$AC$1570,$BR$7:$BR$1570,BR1497,$AF$7:$AF$1570,"&gt;"&amp;AF1497)+SUMIFS($AC$7:$AC$1570,$BR$7:$BR$1570,BR1497,$AF$7:$AF$1570,AF1497,$BL$7:$BL$1570,"&lt;="&amp;BL1497),"")</f>
        <v/>
      </c>
      <c r="AH1497" s="65">
        <f>IF(AG1497="",0,MAX(0,MIN(1,(IF(BR1497="L1",Parameter!$K$5,Parameter!$K$6+Parameter!$K$7)-(AG1497-AC1497))/AC1497)))</f>
        <v/>
      </c>
      <c r="AI1497" s="55">
        <f>IF(LEFT(Cockpit!$I$5,1)="A",G1497,IF(BT1497=1,BU1497,IF(LEFT(Cockpit!$I$5,1)="B",AM1497,MAX(AM1497,G1497))))</f>
        <v/>
      </c>
      <c r="AJ1497" s="55">
        <f>IF(BO1497=1,0,ROUNDUP(AI1497/BN1497,0))</f>
        <v/>
      </c>
      <c r="AK1497" s="64">
        <f>IF(BO1497=1,IF(AI1497&lt;=0,0,BP1497*MAX(1,IF(G1497&gt;0,AI1497/G1497,1))),AJ1497*Q1497)</f>
        <v/>
      </c>
      <c r="AL1497" s="55">
        <f>AI1497*F1497</f>
        <v/>
      </c>
      <c r="AM1497" s="55">
        <f>ROUNDUP(MAX(I1497/IF(BS1497&gt;0,BS1497,MAX(0.1,N(Cockpit!$I$6))),BV1497)/BN1497,0)*BN1497</f>
        <v/>
      </c>
      <c r="AN1497" s="56">
        <f>IF(AK1497&gt;0,I1497/AK1497,-1)</f>
        <v/>
      </c>
      <c r="AO1497" s="56">
        <f>IF(AND(OR(BR1497="L1",BR1497="L23"),AK1497&gt;0),SUMIFS($AK$7:$AK$1570,$BR$7:$BR$1570,BR1497,$AN$7:$AN$1570,"&gt;"&amp;AN1497)+SUMIFS($AK$7:$AK$1570,$BR$7:$BR$1570,BR1497,$AN$7:$AN$1570,AN1497,$BL$7:$BL$1570,"&lt;="&amp;BL1497),"")</f>
        <v/>
      </c>
      <c r="AP1497" s="65">
        <f>IF(AO1497="",0,MAX(0,MIN(1,(IF(BR1497="L1",Parameter!$K$5,Parameter!$K$6+Parameter!$K$7)-(AO1497-AK1497))/AK1497)))</f>
        <v/>
      </c>
      <c r="AQ1497" s="55">
        <f>IF(LEFT(Cockpit!$O$5,1)="A",G1497,IF(BT1497=1,BU1497,IF(LEFT(Cockpit!$O$5,1)="B",AU1497,MAX(AU1497,G1497))))</f>
        <v/>
      </c>
      <c r="AR1497" s="55">
        <f>IF(BO1497=1,0,ROUNDUP(AQ1497/BN1497,0))</f>
        <v/>
      </c>
      <c r="AS1497" s="64">
        <f>IF(BO1497=1,IF(AQ1497&lt;=0,0,BP1497*MAX(1,IF(G1497&gt;0,AQ1497/G1497,1))),AR1497*Q1497)</f>
        <v/>
      </c>
      <c r="AT1497" s="55">
        <f>AQ1497*F1497</f>
        <v/>
      </c>
      <c r="AU1497" s="55">
        <f>ROUNDUP(MAX(I1497/IF(BS1497&gt;0,BS1497,MAX(0.1,N(Cockpit!$O$6))),BV1497)/BN1497,0)*BN1497</f>
        <v/>
      </c>
      <c r="AV1497" s="56">
        <f>IF(AS1497&gt;0,I1497/AS1497,-1)</f>
        <v/>
      </c>
      <c r="AW1497" s="56">
        <f>IF(AND(OR(BR1497="L1",BR1497="L23"),AS1497&gt;0),SUMIFS($AS$7:$AS$1570,$BR$7:$BR$1570,BR1497,$AV$7:$AV$1570,"&gt;"&amp;AV1497)+SUMIFS($AS$7:$AS$1570,$BR$7:$BR$1570,BR1497,$AV$7:$AV$1570,AV1497,$BL$7:$BL$1570,"&lt;="&amp;BL1497),"")</f>
        <v/>
      </c>
      <c r="AX1497" s="65">
        <f>IF(AW1497="",0,MAX(0,MIN(1,(IF(BR1497="L1",Parameter!$K$5,Parameter!$K$6+Parameter!$K$7)-(AW1497-AS1497))/AS1497)))</f>
        <v/>
      </c>
      <c r="AY1497" s="53">
        <f>IF(AC1497&lt;=0,"",IF(BR1497="Aussen","Aussenlager",IF(BR1497="-","Nicht im Lift",IF(AH1497&gt;=1,"Lift",IF(AH1497&lt;=0,"Aussenlager","teilweise")))))</f>
        <v/>
      </c>
      <c r="AZ1497" s="53">
        <f>IF(AK1497&lt;=0,"",IF(BR1497="Aussen","Aussenlager",IF(BR1497="-","Nicht im Lift",IF(AP1497&gt;=1,"Lift",IF(AP1497&lt;=0,"Aussenlager","teilweise")))))</f>
        <v/>
      </c>
      <c r="BA1497" s="53">
        <f>IF(AS1497&lt;=0,"",IF(BR1497="Aussen","Aussenlager",IF(BR1497="-","Nicht im Lift",IF(AX1497&gt;=1,"Lift",IF(AX1497&lt;=0,"Aussenlager","teilweise")))))</f>
        <v/>
      </c>
      <c r="BB1497" s="53">
        <f>IF(A1497="","",IF(BK1497=1,"Neu; ","")&amp;IF(AND(BK1497=0,BF1497&lt;0),"negativer Bestand (Export "&amp;BF1497&amp;"); ","")&amp;IF(I1497&lt;=0,"Kein Verbrauch; ","")&amp;IF(BO1497=1,"Lose – Fläche geschätzt; ","")&amp;IF(G1497&gt;AM1497,"Überbestand "&amp;ROUND(G1497-AM1497,0)&amp;" Stk / CHF "&amp;ROUND((G1497-AM1497)*F1497,0)&amp;"; ","")&amp;IF(AND(BT1497=1,BU1497&lt;BV1497),"MAX &lt; MB+LG; ","")&amp;IF(AND(BZ1497&gt;0,BY1497*10&gt;BZ1497),"zu hoch für Tablar; ","")&amp;IF(AND(BK1497=0,OR(BT1497=1,V1497&lt;&gt;"",S1497&lt;&gt;"",T1497&lt;&gt;"",W1497&lt;&gt;"")),"manuell übersteuert; ","")&amp;IF(AND(BO1497=0,Q1497=0),"Gebinde unbekannt; ","")&amp;IF(AND(BO1497=0,N(T1497)&lt;=0,N(P1497)&lt;=0),"Menge pro Gebinde fehlt (Ist = 1 Gebinde); ","")&amp;BJ1497)</f>
        <v/>
      </c>
      <c r="BC1497" s="53" t="n"/>
      <c r="BD1497" s="53" t="n"/>
      <c r="BE1497" s="61" t="n"/>
      <c r="BF1497" s="55">
        <f>N('Neue Artikel'!$D$31)</f>
        <v/>
      </c>
      <c r="BG1497" s="55" t="n">
        <v>0</v>
      </c>
      <c r="BH1497" s="54" t="n">
        <v>0</v>
      </c>
      <c r="BI1497" s="55">
        <f>N('Neue Artikel'!$C$31)/Parameter!$B$18</f>
        <v/>
      </c>
      <c r="BJ1497" s="53" t="inlineStr"/>
      <c r="BK1497" s="58" t="n">
        <v>1</v>
      </c>
      <c r="BL1497" s="58" t="n">
        <v>1497</v>
      </c>
      <c r="BM1497" s="53">
        <f>IF(S1497&lt;&gt;"",UPPER(TRIM(S1497)),IF(O1497="","LOSE",O1497))</f>
        <v/>
      </c>
      <c r="BN1497" s="55">
        <f>IF(BM1497="LOSE",1,IF(N(T1497)&gt;0,T1497,IF(N(P1497)&gt;0,P1497,MAX(1,G1497))))</f>
        <v/>
      </c>
      <c r="BO1497" s="58">
        <f>IF(BM1497="LOSE",1,0)</f>
        <v/>
      </c>
      <c r="BP1497" s="64">
        <f>IF(BO1497=0,0,IF(N(R1497)&gt;0,R1497,IFERROR(VLOOKUP(D1497,Parameter!$A$35:$C$64,3,0)+0,0)))</f>
        <v/>
      </c>
      <c r="BQ1497" s="53">
        <f>IF(V1497&lt;&gt;"",V1497,U1497)</f>
        <v/>
      </c>
      <c r="BR1497" s="53">
        <f>IF(BQ1497=1,"L1",IF(OR(BQ1497=2,BQ1497=3),"L23",IF(BQ1497="Aussen","Aussen","-")))</f>
        <v/>
      </c>
      <c r="BS1497" s="66">
        <f>IF(N(W1497)&gt;0,W1497,0)</f>
        <v/>
      </c>
      <c r="BT1497" s="58">
        <f>IF(ISNUMBER(Z1497),1,0)</f>
        <v/>
      </c>
      <c r="BU1497" s="55">
        <f>N(Z1497)</f>
        <v/>
      </c>
      <c r="BV1497" s="55">
        <f>N(L1497)+N(M1497)</f>
        <v/>
      </c>
      <c r="BW1497" s="55">
        <f>ROUNDUP(G1497/BN1497,0)</f>
        <v/>
      </c>
      <c r="BX1497" s="55">
        <f>ROUNDUP(BU1497/BN1497,0)</f>
        <v/>
      </c>
      <c r="BY1497" s="58">
        <f>IF(BO1497=1,0,IFERROR(VLOOKUP(BM1497,'Gebinde-Kategorie'!$A$5:$G$45,5,0)+0,0))</f>
        <v/>
      </c>
      <c r="BZ1497" s="58">
        <f>IFERROR(IF(OR(BQ1497=1,BQ1497=2,BQ1497=3),N(INDEX(Parameter!$I$5:$I$7,BQ1497)),0),0)</f>
        <v/>
      </c>
    </row>
    <row r="1498">
      <c r="A1498" s="53">
        <f>IF('Neue Artikel'!$A$32="","",'Neue Artikel'!$A$32&amp;"")</f>
        <v/>
      </c>
      <c r="B1498" s="53">
        <f>'Neue Artikel'!$B$32&amp;""</f>
        <v/>
      </c>
      <c r="C1498" s="53" t="inlineStr"/>
      <c r="D1498" s="53" t="inlineStr">
        <is>
          <t>NEU</t>
        </is>
      </c>
      <c r="E1498" s="53" t="inlineStr"/>
      <c r="F1498" s="54">
        <f>N('Neue Artikel'!$G$32)</f>
        <v/>
      </c>
      <c r="G1498" s="55">
        <f>MAX(0,IF(Parameter!$B$20="Jahresanfang 2025 + Export",BG1498+BF1498,BF1498))</f>
        <v/>
      </c>
      <c r="H1498" s="55">
        <f>G1498*F1498</f>
        <v/>
      </c>
      <c r="I1498" s="55">
        <f>BI1498*Parameter!$B$18</f>
        <v/>
      </c>
      <c r="J1498" s="56" t="n"/>
      <c r="K1498" s="57" t="n"/>
      <c r="L1498" s="55">
        <f>N('Neue Artikel'!$E$32)</f>
        <v/>
      </c>
      <c r="M1498" s="55">
        <f>N('Neue Artikel'!$F$32)</f>
        <v/>
      </c>
      <c r="N1498" s="58" t="n"/>
      <c r="O1498" s="53">
        <f>IF('Neue Artikel'!$H$32="","LOSE",UPPER(TRIM('Neue Artikel'!$H$32)))</f>
        <v/>
      </c>
      <c r="P1498" s="55">
        <f>N('Neue Artikel'!$I$32)</f>
        <v/>
      </c>
      <c r="Q1498" s="59">
        <f>IF(BO1498=1,0,IFERROR(VLOOKUP(BM1498,'Gebinde-Kategorie'!$A$5:$G$45,6,0)+0,0))</f>
        <v/>
      </c>
      <c r="R1498" s="60" t="n"/>
      <c r="S1498" s="61" t="n"/>
      <c r="T1498" s="61" t="n"/>
      <c r="U1498" s="53">
        <f>IF(A1498="","",IF(IFERROR(VLOOKUP(D1498,Parameter!$A$35:$C$64,2,0),"Nein")="2+3",IF(ISNUMBER(SEARCH("grosser Artikel",BJ1498)),2,IFERROR(VLOOKUP(BM1498,Parameter!$F$35:$G$64,2,0),2)),IF(OR(IFERROR(VLOOKUP(D1498,Parameter!$A$35:$C$64,2,0),"Nein")="Nein",IFERROR(VLOOKUP(D1498,Parameter!$A$35:$C$64,2,0),"Nein")=""),"-",VLOOKUP(D1498,Parameter!$A$35:$C$64,2,0))))</f>
        <v/>
      </c>
      <c r="V1498" s="53">
        <f>IF('Neue Artikel'!$J$32="","",'Neue Artikel'!$J$32)</f>
        <v/>
      </c>
      <c r="W1498" s="62" t="n"/>
      <c r="X1498" s="55">
        <f>AM1498</f>
        <v/>
      </c>
      <c r="Y1498" s="55">
        <f>MAX(AM1498,G1498)</f>
        <v/>
      </c>
      <c r="Z1498" s="63" t="n"/>
      <c r="AA1498" s="55">
        <f>IF(LEFT(Cockpit!$C$5,1)="A",G1498,IF(BT1498=1,BU1498,IF(LEFT(Cockpit!$C$5,1)="B",AE1498,MAX(AE1498,G1498))))</f>
        <v/>
      </c>
      <c r="AB1498" s="55">
        <f>IF(BO1498=1,0,ROUNDUP(AA1498/BN1498,0))</f>
        <v/>
      </c>
      <c r="AC1498" s="64">
        <f>IF(BO1498=1,IF(AA1498&lt;=0,0,BP1498*MAX(1,IF(G1498&gt;0,AA1498/G1498,1))),AB1498*Q1498)</f>
        <v/>
      </c>
      <c r="AD1498" s="55">
        <f>AA1498*F1498</f>
        <v/>
      </c>
      <c r="AE1498" s="55">
        <f>ROUNDUP(MAX(I1498/IF(BS1498&gt;0,BS1498,MAX(0.1,N(Cockpit!$C$6))),BV1498)/BN1498,0)*BN1498</f>
        <v/>
      </c>
      <c r="AF1498" s="56">
        <f>IF(AC1498&gt;0,I1498/AC1498,-1)</f>
        <v/>
      </c>
      <c r="AG1498" s="56">
        <f>IF(AND(OR(BR1498="L1",BR1498="L23"),AC1498&gt;0),SUMIFS($AC$7:$AC$1570,$BR$7:$BR$1570,BR1498,$AF$7:$AF$1570,"&gt;"&amp;AF1498)+SUMIFS($AC$7:$AC$1570,$BR$7:$BR$1570,BR1498,$AF$7:$AF$1570,AF1498,$BL$7:$BL$1570,"&lt;="&amp;BL1498),"")</f>
        <v/>
      </c>
      <c r="AH1498" s="65">
        <f>IF(AG1498="",0,MAX(0,MIN(1,(IF(BR1498="L1",Parameter!$K$5,Parameter!$K$6+Parameter!$K$7)-(AG1498-AC1498))/AC1498)))</f>
        <v/>
      </c>
      <c r="AI1498" s="55">
        <f>IF(LEFT(Cockpit!$I$5,1)="A",G1498,IF(BT1498=1,BU1498,IF(LEFT(Cockpit!$I$5,1)="B",AM1498,MAX(AM1498,G1498))))</f>
        <v/>
      </c>
      <c r="AJ1498" s="55">
        <f>IF(BO1498=1,0,ROUNDUP(AI1498/BN1498,0))</f>
        <v/>
      </c>
      <c r="AK1498" s="64">
        <f>IF(BO1498=1,IF(AI1498&lt;=0,0,BP1498*MAX(1,IF(G1498&gt;0,AI1498/G1498,1))),AJ1498*Q1498)</f>
        <v/>
      </c>
      <c r="AL1498" s="55">
        <f>AI1498*F1498</f>
        <v/>
      </c>
      <c r="AM1498" s="55">
        <f>ROUNDUP(MAX(I1498/IF(BS1498&gt;0,BS1498,MAX(0.1,N(Cockpit!$I$6))),BV1498)/BN1498,0)*BN1498</f>
        <v/>
      </c>
      <c r="AN1498" s="56">
        <f>IF(AK1498&gt;0,I1498/AK1498,-1)</f>
        <v/>
      </c>
      <c r="AO1498" s="56">
        <f>IF(AND(OR(BR1498="L1",BR1498="L23"),AK1498&gt;0),SUMIFS($AK$7:$AK$1570,$BR$7:$BR$1570,BR1498,$AN$7:$AN$1570,"&gt;"&amp;AN1498)+SUMIFS($AK$7:$AK$1570,$BR$7:$BR$1570,BR1498,$AN$7:$AN$1570,AN1498,$BL$7:$BL$1570,"&lt;="&amp;BL1498),"")</f>
        <v/>
      </c>
      <c r="AP1498" s="65">
        <f>IF(AO1498="",0,MAX(0,MIN(1,(IF(BR1498="L1",Parameter!$K$5,Parameter!$K$6+Parameter!$K$7)-(AO1498-AK1498))/AK1498)))</f>
        <v/>
      </c>
      <c r="AQ1498" s="55">
        <f>IF(LEFT(Cockpit!$O$5,1)="A",G1498,IF(BT1498=1,BU1498,IF(LEFT(Cockpit!$O$5,1)="B",AU1498,MAX(AU1498,G1498))))</f>
        <v/>
      </c>
      <c r="AR1498" s="55">
        <f>IF(BO1498=1,0,ROUNDUP(AQ1498/BN1498,0))</f>
        <v/>
      </c>
      <c r="AS1498" s="64">
        <f>IF(BO1498=1,IF(AQ1498&lt;=0,0,BP1498*MAX(1,IF(G1498&gt;0,AQ1498/G1498,1))),AR1498*Q1498)</f>
        <v/>
      </c>
      <c r="AT1498" s="55">
        <f>AQ1498*F1498</f>
        <v/>
      </c>
      <c r="AU1498" s="55">
        <f>ROUNDUP(MAX(I1498/IF(BS1498&gt;0,BS1498,MAX(0.1,N(Cockpit!$O$6))),BV1498)/BN1498,0)*BN1498</f>
        <v/>
      </c>
      <c r="AV1498" s="56">
        <f>IF(AS1498&gt;0,I1498/AS1498,-1)</f>
        <v/>
      </c>
      <c r="AW1498" s="56">
        <f>IF(AND(OR(BR1498="L1",BR1498="L23"),AS1498&gt;0),SUMIFS($AS$7:$AS$1570,$BR$7:$BR$1570,BR1498,$AV$7:$AV$1570,"&gt;"&amp;AV1498)+SUMIFS($AS$7:$AS$1570,$BR$7:$BR$1570,BR1498,$AV$7:$AV$1570,AV1498,$BL$7:$BL$1570,"&lt;="&amp;BL1498),"")</f>
        <v/>
      </c>
      <c r="AX1498" s="65">
        <f>IF(AW1498="",0,MAX(0,MIN(1,(IF(BR1498="L1",Parameter!$K$5,Parameter!$K$6+Parameter!$K$7)-(AW1498-AS1498))/AS1498)))</f>
        <v/>
      </c>
      <c r="AY1498" s="53">
        <f>IF(AC1498&lt;=0,"",IF(BR1498="Aussen","Aussenlager",IF(BR1498="-","Nicht im Lift",IF(AH1498&gt;=1,"Lift",IF(AH1498&lt;=0,"Aussenlager","teilweise")))))</f>
        <v/>
      </c>
      <c r="AZ1498" s="53">
        <f>IF(AK1498&lt;=0,"",IF(BR1498="Aussen","Aussenlager",IF(BR1498="-","Nicht im Lift",IF(AP1498&gt;=1,"Lift",IF(AP1498&lt;=0,"Aussenlager","teilweise")))))</f>
        <v/>
      </c>
      <c r="BA1498" s="53">
        <f>IF(AS1498&lt;=0,"",IF(BR1498="Aussen","Aussenlager",IF(BR1498="-","Nicht im Lift",IF(AX1498&gt;=1,"Lift",IF(AX1498&lt;=0,"Aussenlager","teilweise")))))</f>
        <v/>
      </c>
      <c r="BB1498" s="53">
        <f>IF(A1498="","",IF(BK1498=1,"Neu; ","")&amp;IF(AND(BK1498=0,BF1498&lt;0),"negativer Bestand (Export "&amp;BF1498&amp;"); ","")&amp;IF(I1498&lt;=0,"Kein Verbrauch; ","")&amp;IF(BO1498=1,"Lose – Fläche geschätzt; ","")&amp;IF(G1498&gt;AM1498,"Überbestand "&amp;ROUND(G1498-AM1498,0)&amp;" Stk / CHF "&amp;ROUND((G1498-AM1498)*F1498,0)&amp;"; ","")&amp;IF(AND(BT1498=1,BU1498&lt;BV1498),"MAX &lt; MB+LG; ","")&amp;IF(AND(BZ1498&gt;0,BY1498*10&gt;BZ1498),"zu hoch für Tablar; ","")&amp;IF(AND(BK1498=0,OR(BT1498=1,V1498&lt;&gt;"",S1498&lt;&gt;"",T1498&lt;&gt;"",W1498&lt;&gt;"")),"manuell übersteuert; ","")&amp;IF(AND(BO1498=0,Q1498=0),"Gebinde unbekannt; ","")&amp;IF(AND(BO1498=0,N(T1498)&lt;=0,N(P1498)&lt;=0),"Menge pro Gebinde fehlt (Ist = 1 Gebinde); ","")&amp;BJ1498)</f>
        <v/>
      </c>
      <c r="BC1498" s="53" t="n"/>
      <c r="BD1498" s="53" t="n"/>
      <c r="BE1498" s="61" t="n"/>
      <c r="BF1498" s="55">
        <f>N('Neue Artikel'!$D$32)</f>
        <v/>
      </c>
      <c r="BG1498" s="55" t="n">
        <v>0</v>
      </c>
      <c r="BH1498" s="54" t="n">
        <v>0</v>
      </c>
      <c r="BI1498" s="55">
        <f>N('Neue Artikel'!$C$32)/Parameter!$B$18</f>
        <v/>
      </c>
      <c r="BJ1498" s="53" t="inlineStr"/>
      <c r="BK1498" s="58" t="n">
        <v>1</v>
      </c>
      <c r="BL1498" s="58" t="n">
        <v>1498</v>
      </c>
      <c r="BM1498" s="53">
        <f>IF(S1498&lt;&gt;"",UPPER(TRIM(S1498)),IF(O1498="","LOSE",O1498))</f>
        <v/>
      </c>
      <c r="BN1498" s="55">
        <f>IF(BM1498="LOSE",1,IF(N(T1498)&gt;0,T1498,IF(N(P1498)&gt;0,P1498,MAX(1,G1498))))</f>
        <v/>
      </c>
      <c r="BO1498" s="58">
        <f>IF(BM1498="LOSE",1,0)</f>
        <v/>
      </c>
      <c r="BP1498" s="64">
        <f>IF(BO1498=0,0,IF(N(R1498)&gt;0,R1498,IFERROR(VLOOKUP(D1498,Parameter!$A$35:$C$64,3,0)+0,0)))</f>
        <v/>
      </c>
      <c r="BQ1498" s="53">
        <f>IF(V1498&lt;&gt;"",V1498,U1498)</f>
        <v/>
      </c>
      <c r="BR1498" s="53">
        <f>IF(BQ1498=1,"L1",IF(OR(BQ1498=2,BQ1498=3),"L23",IF(BQ1498="Aussen","Aussen","-")))</f>
        <v/>
      </c>
      <c r="BS1498" s="66">
        <f>IF(N(W1498)&gt;0,W1498,0)</f>
        <v/>
      </c>
      <c r="BT1498" s="58">
        <f>IF(ISNUMBER(Z1498),1,0)</f>
        <v/>
      </c>
      <c r="BU1498" s="55">
        <f>N(Z1498)</f>
        <v/>
      </c>
      <c r="BV1498" s="55">
        <f>N(L1498)+N(M1498)</f>
        <v/>
      </c>
      <c r="BW1498" s="55">
        <f>ROUNDUP(G1498/BN1498,0)</f>
        <v/>
      </c>
      <c r="BX1498" s="55">
        <f>ROUNDUP(BU1498/BN1498,0)</f>
        <v/>
      </c>
      <c r="BY1498" s="58">
        <f>IF(BO1498=1,0,IFERROR(VLOOKUP(BM1498,'Gebinde-Kategorie'!$A$5:$G$45,5,0)+0,0))</f>
        <v/>
      </c>
      <c r="BZ1498" s="58">
        <f>IFERROR(IF(OR(BQ1498=1,BQ1498=2,BQ1498=3),N(INDEX(Parameter!$I$5:$I$7,BQ1498)),0),0)</f>
        <v/>
      </c>
    </row>
    <row r="1499">
      <c r="A1499" s="53">
        <f>IF('Neue Artikel'!$A$33="","",'Neue Artikel'!$A$33&amp;"")</f>
        <v/>
      </c>
      <c r="B1499" s="53">
        <f>'Neue Artikel'!$B$33&amp;""</f>
        <v/>
      </c>
      <c r="C1499" s="53" t="inlineStr"/>
      <c r="D1499" s="53" t="inlineStr">
        <is>
          <t>NEU</t>
        </is>
      </c>
      <c r="E1499" s="53" t="inlineStr"/>
      <c r="F1499" s="54">
        <f>N('Neue Artikel'!$G$33)</f>
        <v/>
      </c>
      <c r="G1499" s="55">
        <f>MAX(0,IF(Parameter!$B$20="Jahresanfang 2025 + Export",BG1499+BF1499,BF1499))</f>
        <v/>
      </c>
      <c r="H1499" s="55">
        <f>G1499*F1499</f>
        <v/>
      </c>
      <c r="I1499" s="55">
        <f>BI1499*Parameter!$B$18</f>
        <v/>
      </c>
      <c r="J1499" s="56" t="n"/>
      <c r="K1499" s="57" t="n"/>
      <c r="L1499" s="55">
        <f>N('Neue Artikel'!$E$33)</f>
        <v/>
      </c>
      <c r="M1499" s="55">
        <f>N('Neue Artikel'!$F$33)</f>
        <v/>
      </c>
      <c r="N1499" s="58" t="n"/>
      <c r="O1499" s="53">
        <f>IF('Neue Artikel'!$H$33="","LOSE",UPPER(TRIM('Neue Artikel'!$H$33)))</f>
        <v/>
      </c>
      <c r="P1499" s="55">
        <f>N('Neue Artikel'!$I$33)</f>
        <v/>
      </c>
      <c r="Q1499" s="59">
        <f>IF(BO1499=1,0,IFERROR(VLOOKUP(BM1499,'Gebinde-Kategorie'!$A$5:$G$45,6,0)+0,0))</f>
        <v/>
      </c>
      <c r="R1499" s="60" t="n"/>
      <c r="S1499" s="61" t="n"/>
      <c r="T1499" s="61" t="n"/>
      <c r="U1499" s="53">
        <f>IF(A1499="","",IF(IFERROR(VLOOKUP(D1499,Parameter!$A$35:$C$64,2,0),"Nein")="2+3",IF(ISNUMBER(SEARCH("grosser Artikel",BJ1499)),2,IFERROR(VLOOKUP(BM1499,Parameter!$F$35:$G$64,2,0),2)),IF(OR(IFERROR(VLOOKUP(D1499,Parameter!$A$35:$C$64,2,0),"Nein")="Nein",IFERROR(VLOOKUP(D1499,Parameter!$A$35:$C$64,2,0),"Nein")=""),"-",VLOOKUP(D1499,Parameter!$A$35:$C$64,2,0))))</f>
        <v/>
      </c>
      <c r="V1499" s="53">
        <f>IF('Neue Artikel'!$J$33="","",'Neue Artikel'!$J$33)</f>
        <v/>
      </c>
      <c r="W1499" s="62" t="n"/>
      <c r="X1499" s="55">
        <f>AM1499</f>
        <v/>
      </c>
      <c r="Y1499" s="55">
        <f>MAX(AM1499,G1499)</f>
        <v/>
      </c>
      <c r="Z1499" s="63" t="n"/>
      <c r="AA1499" s="55">
        <f>IF(LEFT(Cockpit!$C$5,1)="A",G1499,IF(BT1499=1,BU1499,IF(LEFT(Cockpit!$C$5,1)="B",AE1499,MAX(AE1499,G1499))))</f>
        <v/>
      </c>
      <c r="AB1499" s="55">
        <f>IF(BO1499=1,0,ROUNDUP(AA1499/BN1499,0))</f>
        <v/>
      </c>
      <c r="AC1499" s="64">
        <f>IF(BO1499=1,IF(AA1499&lt;=0,0,BP1499*MAX(1,IF(G1499&gt;0,AA1499/G1499,1))),AB1499*Q1499)</f>
        <v/>
      </c>
      <c r="AD1499" s="55">
        <f>AA1499*F1499</f>
        <v/>
      </c>
      <c r="AE1499" s="55">
        <f>ROUNDUP(MAX(I1499/IF(BS1499&gt;0,BS1499,MAX(0.1,N(Cockpit!$C$6))),BV1499)/BN1499,0)*BN1499</f>
        <v/>
      </c>
      <c r="AF1499" s="56">
        <f>IF(AC1499&gt;0,I1499/AC1499,-1)</f>
        <v/>
      </c>
      <c r="AG1499" s="56">
        <f>IF(AND(OR(BR1499="L1",BR1499="L23"),AC1499&gt;0),SUMIFS($AC$7:$AC$1570,$BR$7:$BR$1570,BR1499,$AF$7:$AF$1570,"&gt;"&amp;AF1499)+SUMIFS($AC$7:$AC$1570,$BR$7:$BR$1570,BR1499,$AF$7:$AF$1570,AF1499,$BL$7:$BL$1570,"&lt;="&amp;BL1499),"")</f>
        <v/>
      </c>
      <c r="AH1499" s="65">
        <f>IF(AG1499="",0,MAX(0,MIN(1,(IF(BR1499="L1",Parameter!$K$5,Parameter!$K$6+Parameter!$K$7)-(AG1499-AC1499))/AC1499)))</f>
        <v/>
      </c>
      <c r="AI1499" s="55">
        <f>IF(LEFT(Cockpit!$I$5,1)="A",G1499,IF(BT1499=1,BU1499,IF(LEFT(Cockpit!$I$5,1)="B",AM1499,MAX(AM1499,G1499))))</f>
        <v/>
      </c>
      <c r="AJ1499" s="55">
        <f>IF(BO1499=1,0,ROUNDUP(AI1499/BN1499,0))</f>
        <v/>
      </c>
      <c r="AK1499" s="64">
        <f>IF(BO1499=1,IF(AI1499&lt;=0,0,BP1499*MAX(1,IF(G1499&gt;0,AI1499/G1499,1))),AJ1499*Q1499)</f>
        <v/>
      </c>
      <c r="AL1499" s="55">
        <f>AI1499*F1499</f>
        <v/>
      </c>
      <c r="AM1499" s="55">
        <f>ROUNDUP(MAX(I1499/IF(BS1499&gt;0,BS1499,MAX(0.1,N(Cockpit!$I$6))),BV1499)/BN1499,0)*BN1499</f>
        <v/>
      </c>
      <c r="AN1499" s="56">
        <f>IF(AK1499&gt;0,I1499/AK1499,-1)</f>
        <v/>
      </c>
      <c r="AO1499" s="56">
        <f>IF(AND(OR(BR1499="L1",BR1499="L23"),AK1499&gt;0),SUMIFS($AK$7:$AK$1570,$BR$7:$BR$1570,BR1499,$AN$7:$AN$1570,"&gt;"&amp;AN1499)+SUMIFS($AK$7:$AK$1570,$BR$7:$BR$1570,BR1499,$AN$7:$AN$1570,AN1499,$BL$7:$BL$1570,"&lt;="&amp;BL1499),"")</f>
        <v/>
      </c>
      <c r="AP1499" s="65">
        <f>IF(AO1499="",0,MAX(0,MIN(1,(IF(BR1499="L1",Parameter!$K$5,Parameter!$K$6+Parameter!$K$7)-(AO1499-AK1499))/AK1499)))</f>
        <v/>
      </c>
      <c r="AQ1499" s="55">
        <f>IF(LEFT(Cockpit!$O$5,1)="A",G1499,IF(BT1499=1,BU1499,IF(LEFT(Cockpit!$O$5,1)="B",AU1499,MAX(AU1499,G1499))))</f>
        <v/>
      </c>
      <c r="AR1499" s="55">
        <f>IF(BO1499=1,0,ROUNDUP(AQ1499/BN1499,0))</f>
        <v/>
      </c>
      <c r="AS1499" s="64">
        <f>IF(BO1499=1,IF(AQ1499&lt;=0,0,BP1499*MAX(1,IF(G1499&gt;0,AQ1499/G1499,1))),AR1499*Q1499)</f>
        <v/>
      </c>
      <c r="AT1499" s="55">
        <f>AQ1499*F1499</f>
        <v/>
      </c>
      <c r="AU1499" s="55">
        <f>ROUNDUP(MAX(I1499/IF(BS1499&gt;0,BS1499,MAX(0.1,N(Cockpit!$O$6))),BV1499)/BN1499,0)*BN1499</f>
        <v/>
      </c>
      <c r="AV1499" s="56">
        <f>IF(AS1499&gt;0,I1499/AS1499,-1)</f>
        <v/>
      </c>
      <c r="AW1499" s="56">
        <f>IF(AND(OR(BR1499="L1",BR1499="L23"),AS1499&gt;0),SUMIFS($AS$7:$AS$1570,$BR$7:$BR$1570,BR1499,$AV$7:$AV$1570,"&gt;"&amp;AV1499)+SUMIFS($AS$7:$AS$1570,$BR$7:$BR$1570,BR1499,$AV$7:$AV$1570,AV1499,$BL$7:$BL$1570,"&lt;="&amp;BL1499),"")</f>
        <v/>
      </c>
      <c r="AX1499" s="65">
        <f>IF(AW1499="",0,MAX(0,MIN(1,(IF(BR1499="L1",Parameter!$K$5,Parameter!$K$6+Parameter!$K$7)-(AW1499-AS1499))/AS1499)))</f>
        <v/>
      </c>
      <c r="AY1499" s="53">
        <f>IF(AC1499&lt;=0,"",IF(BR1499="Aussen","Aussenlager",IF(BR1499="-","Nicht im Lift",IF(AH1499&gt;=1,"Lift",IF(AH1499&lt;=0,"Aussenlager","teilweise")))))</f>
        <v/>
      </c>
      <c r="AZ1499" s="53">
        <f>IF(AK1499&lt;=0,"",IF(BR1499="Aussen","Aussenlager",IF(BR1499="-","Nicht im Lift",IF(AP1499&gt;=1,"Lift",IF(AP1499&lt;=0,"Aussenlager","teilweise")))))</f>
        <v/>
      </c>
      <c r="BA1499" s="53">
        <f>IF(AS1499&lt;=0,"",IF(BR1499="Aussen","Aussenlager",IF(BR1499="-","Nicht im Lift",IF(AX1499&gt;=1,"Lift",IF(AX1499&lt;=0,"Aussenlager","teilweise")))))</f>
        <v/>
      </c>
      <c r="BB1499" s="53">
        <f>IF(A1499="","",IF(BK1499=1,"Neu; ","")&amp;IF(AND(BK1499=0,BF1499&lt;0),"negativer Bestand (Export "&amp;BF1499&amp;"); ","")&amp;IF(I1499&lt;=0,"Kein Verbrauch; ","")&amp;IF(BO1499=1,"Lose – Fläche geschätzt; ","")&amp;IF(G1499&gt;AM1499,"Überbestand "&amp;ROUND(G1499-AM1499,0)&amp;" Stk / CHF "&amp;ROUND((G1499-AM1499)*F1499,0)&amp;"; ","")&amp;IF(AND(BT1499=1,BU1499&lt;BV1499),"MAX &lt; MB+LG; ","")&amp;IF(AND(BZ1499&gt;0,BY1499*10&gt;BZ1499),"zu hoch für Tablar; ","")&amp;IF(AND(BK1499=0,OR(BT1499=1,V1499&lt;&gt;"",S1499&lt;&gt;"",T1499&lt;&gt;"",W1499&lt;&gt;"")),"manuell übersteuert; ","")&amp;IF(AND(BO1499=0,Q1499=0),"Gebinde unbekannt; ","")&amp;IF(AND(BO1499=0,N(T1499)&lt;=0,N(P1499)&lt;=0),"Menge pro Gebinde fehlt (Ist = 1 Gebinde); ","")&amp;BJ1499)</f>
        <v/>
      </c>
      <c r="BC1499" s="53" t="n"/>
      <c r="BD1499" s="53" t="n"/>
      <c r="BE1499" s="61" t="n"/>
      <c r="BF1499" s="55">
        <f>N('Neue Artikel'!$D$33)</f>
        <v/>
      </c>
      <c r="BG1499" s="55" t="n">
        <v>0</v>
      </c>
      <c r="BH1499" s="54" t="n">
        <v>0</v>
      </c>
      <c r="BI1499" s="55">
        <f>N('Neue Artikel'!$C$33)/Parameter!$B$18</f>
        <v/>
      </c>
      <c r="BJ1499" s="53" t="inlineStr"/>
      <c r="BK1499" s="58" t="n">
        <v>1</v>
      </c>
      <c r="BL1499" s="58" t="n">
        <v>1499</v>
      </c>
      <c r="BM1499" s="53">
        <f>IF(S1499&lt;&gt;"",UPPER(TRIM(S1499)),IF(O1499="","LOSE",O1499))</f>
        <v/>
      </c>
      <c r="BN1499" s="55">
        <f>IF(BM1499="LOSE",1,IF(N(T1499)&gt;0,T1499,IF(N(P1499)&gt;0,P1499,MAX(1,G1499))))</f>
        <v/>
      </c>
      <c r="BO1499" s="58">
        <f>IF(BM1499="LOSE",1,0)</f>
        <v/>
      </c>
      <c r="BP1499" s="64">
        <f>IF(BO1499=0,0,IF(N(R1499)&gt;0,R1499,IFERROR(VLOOKUP(D1499,Parameter!$A$35:$C$64,3,0)+0,0)))</f>
        <v/>
      </c>
      <c r="BQ1499" s="53">
        <f>IF(V1499&lt;&gt;"",V1499,U1499)</f>
        <v/>
      </c>
      <c r="BR1499" s="53">
        <f>IF(BQ1499=1,"L1",IF(OR(BQ1499=2,BQ1499=3),"L23",IF(BQ1499="Aussen","Aussen","-")))</f>
        <v/>
      </c>
      <c r="BS1499" s="66">
        <f>IF(N(W1499)&gt;0,W1499,0)</f>
        <v/>
      </c>
      <c r="BT1499" s="58">
        <f>IF(ISNUMBER(Z1499),1,0)</f>
        <v/>
      </c>
      <c r="BU1499" s="55">
        <f>N(Z1499)</f>
        <v/>
      </c>
      <c r="BV1499" s="55">
        <f>N(L1499)+N(M1499)</f>
        <v/>
      </c>
      <c r="BW1499" s="55">
        <f>ROUNDUP(G1499/BN1499,0)</f>
        <v/>
      </c>
      <c r="BX1499" s="55">
        <f>ROUNDUP(BU1499/BN1499,0)</f>
        <v/>
      </c>
      <c r="BY1499" s="58">
        <f>IF(BO1499=1,0,IFERROR(VLOOKUP(BM1499,'Gebinde-Kategorie'!$A$5:$G$45,5,0)+0,0))</f>
        <v/>
      </c>
      <c r="BZ1499" s="58">
        <f>IFERROR(IF(OR(BQ1499=1,BQ1499=2,BQ1499=3),N(INDEX(Parameter!$I$5:$I$7,BQ1499)),0),0)</f>
        <v/>
      </c>
    </row>
    <row r="1500">
      <c r="A1500" s="53">
        <f>IF('Neue Artikel'!$A$34="","",'Neue Artikel'!$A$34&amp;"")</f>
        <v/>
      </c>
      <c r="B1500" s="53">
        <f>'Neue Artikel'!$B$34&amp;""</f>
        <v/>
      </c>
      <c r="C1500" s="53" t="inlineStr"/>
      <c r="D1500" s="53" t="inlineStr">
        <is>
          <t>NEU</t>
        </is>
      </c>
      <c r="E1500" s="53" t="inlineStr"/>
      <c r="F1500" s="54">
        <f>N('Neue Artikel'!$G$34)</f>
        <v/>
      </c>
      <c r="G1500" s="55">
        <f>MAX(0,IF(Parameter!$B$20="Jahresanfang 2025 + Export",BG1500+BF1500,BF1500))</f>
        <v/>
      </c>
      <c r="H1500" s="55">
        <f>G1500*F1500</f>
        <v/>
      </c>
      <c r="I1500" s="55">
        <f>BI1500*Parameter!$B$18</f>
        <v/>
      </c>
      <c r="J1500" s="56" t="n"/>
      <c r="K1500" s="57" t="n"/>
      <c r="L1500" s="55">
        <f>N('Neue Artikel'!$E$34)</f>
        <v/>
      </c>
      <c r="M1500" s="55">
        <f>N('Neue Artikel'!$F$34)</f>
        <v/>
      </c>
      <c r="N1500" s="58" t="n"/>
      <c r="O1500" s="53">
        <f>IF('Neue Artikel'!$H$34="","LOSE",UPPER(TRIM('Neue Artikel'!$H$34)))</f>
        <v/>
      </c>
      <c r="P1500" s="55">
        <f>N('Neue Artikel'!$I$34)</f>
        <v/>
      </c>
      <c r="Q1500" s="59">
        <f>IF(BO1500=1,0,IFERROR(VLOOKUP(BM1500,'Gebinde-Kategorie'!$A$5:$G$45,6,0)+0,0))</f>
        <v/>
      </c>
      <c r="R1500" s="60" t="n"/>
      <c r="S1500" s="61" t="n"/>
      <c r="T1500" s="61" t="n"/>
      <c r="U1500" s="53">
        <f>IF(A1500="","",IF(IFERROR(VLOOKUP(D1500,Parameter!$A$35:$C$64,2,0),"Nein")="2+3",IF(ISNUMBER(SEARCH("grosser Artikel",BJ1500)),2,IFERROR(VLOOKUP(BM1500,Parameter!$F$35:$G$64,2,0),2)),IF(OR(IFERROR(VLOOKUP(D1500,Parameter!$A$35:$C$64,2,0),"Nein")="Nein",IFERROR(VLOOKUP(D1500,Parameter!$A$35:$C$64,2,0),"Nein")=""),"-",VLOOKUP(D1500,Parameter!$A$35:$C$64,2,0))))</f>
        <v/>
      </c>
      <c r="V1500" s="53">
        <f>IF('Neue Artikel'!$J$34="","",'Neue Artikel'!$J$34)</f>
        <v/>
      </c>
      <c r="W1500" s="62" t="n"/>
      <c r="X1500" s="55">
        <f>AM1500</f>
        <v/>
      </c>
      <c r="Y1500" s="55">
        <f>MAX(AM1500,G1500)</f>
        <v/>
      </c>
      <c r="Z1500" s="63" t="n"/>
      <c r="AA1500" s="55">
        <f>IF(LEFT(Cockpit!$C$5,1)="A",G1500,IF(BT1500=1,BU1500,IF(LEFT(Cockpit!$C$5,1)="B",AE1500,MAX(AE1500,G1500))))</f>
        <v/>
      </c>
      <c r="AB1500" s="55">
        <f>IF(BO1500=1,0,ROUNDUP(AA1500/BN1500,0))</f>
        <v/>
      </c>
      <c r="AC1500" s="64">
        <f>IF(BO1500=1,IF(AA1500&lt;=0,0,BP1500*MAX(1,IF(G1500&gt;0,AA1500/G1500,1))),AB1500*Q1500)</f>
        <v/>
      </c>
      <c r="AD1500" s="55">
        <f>AA1500*F1500</f>
        <v/>
      </c>
      <c r="AE1500" s="55">
        <f>ROUNDUP(MAX(I1500/IF(BS1500&gt;0,BS1500,MAX(0.1,N(Cockpit!$C$6))),BV1500)/BN1500,0)*BN1500</f>
        <v/>
      </c>
      <c r="AF1500" s="56">
        <f>IF(AC1500&gt;0,I1500/AC1500,-1)</f>
        <v/>
      </c>
      <c r="AG1500" s="56">
        <f>IF(AND(OR(BR1500="L1",BR1500="L23"),AC1500&gt;0),SUMIFS($AC$7:$AC$1570,$BR$7:$BR$1570,BR1500,$AF$7:$AF$1570,"&gt;"&amp;AF1500)+SUMIFS($AC$7:$AC$1570,$BR$7:$BR$1570,BR1500,$AF$7:$AF$1570,AF1500,$BL$7:$BL$1570,"&lt;="&amp;BL1500),"")</f>
        <v/>
      </c>
      <c r="AH1500" s="65">
        <f>IF(AG1500="",0,MAX(0,MIN(1,(IF(BR1500="L1",Parameter!$K$5,Parameter!$K$6+Parameter!$K$7)-(AG1500-AC1500))/AC1500)))</f>
        <v/>
      </c>
      <c r="AI1500" s="55">
        <f>IF(LEFT(Cockpit!$I$5,1)="A",G1500,IF(BT1500=1,BU1500,IF(LEFT(Cockpit!$I$5,1)="B",AM1500,MAX(AM1500,G1500))))</f>
        <v/>
      </c>
      <c r="AJ1500" s="55">
        <f>IF(BO1500=1,0,ROUNDUP(AI1500/BN1500,0))</f>
        <v/>
      </c>
      <c r="AK1500" s="64">
        <f>IF(BO1500=1,IF(AI1500&lt;=0,0,BP1500*MAX(1,IF(G1500&gt;0,AI1500/G1500,1))),AJ1500*Q1500)</f>
        <v/>
      </c>
      <c r="AL1500" s="55">
        <f>AI1500*F1500</f>
        <v/>
      </c>
      <c r="AM1500" s="55">
        <f>ROUNDUP(MAX(I1500/IF(BS1500&gt;0,BS1500,MAX(0.1,N(Cockpit!$I$6))),BV1500)/BN1500,0)*BN1500</f>
        <v/>
      </c>
      <c r="AN1500" s="56">
        <f>IF(AK1500&gt;0,I1500/AK1500,-1)</f>
        <v/>
      </c>
      <c r="AO1500" s="56">
        <f>IF(AND(OR(BR1500="L1",BR1500="L23"),AK1500&gt;0),SUMIFS($AK$7:$AK$1570,$BR$7:$BR$1570,BR1500,$AN$7:$AN$1570,"&gt;"&amp;AN1500)+SUMIFS($AK$7:$AK$1570,$BR$7:$BR$1570,BR1500,$AN$7:$AN$1570,AN1500,$BL$7:$BL$1570,"&lt;="&amp;BL1500),"")</f>
        <v/>
      </c>
      <c r="AP1500" s="65">
        <f>IF(AO1500="",0,MAX(0,MIN(1,(IF(BR1500="L1",Parameter!$K$5,Parameter!$K$6+Parameter!$K$7)-(AO1500-AK1500))/AK1500)))</f>
        <v/>
      </c>
      <c r="AQ1500" s="55">
        <f>IF(LEFT(Cockpit!$O$5,1)="A",G1500,IF(BT1500=1,BU1500,IF(LEFT(Cockpit!$O$5,1)="B",AU1500,MAX(AU1500,G1500))))</f>
        <v/>
      </c>
      <c r="AR1500" s="55">
        <f>IF(BO1500=1,0,ROUNDUP(AQ1500/BN1500,0))</f>
        <v/>
      </c>
      <c r="AS1500" s="64">
        <f>IF(BO1500=1,IF(AQ1500&lt;=0,0,BP1500*MAX(1,IF(G1500&gt;0,AQ1500/G1500,1))),AR1500*Q1500)</f>
        <v/>
      </c>
      <c r="AT1500" s="55">
        <f>AQ1500*F1500</f>
        <v/>
      </c>
      <c r="AU1500" s="55">
        <f>ROUNDUP(MAX(I1500/IF(BS1500&gt;0,BS1500,MAX(0.1,N(Cockpit!$O$6))),BV1500)/BN1500,0)*BN1500</f>
        <v/>
      </c>
      <c r="AV1500" s="56">
        <f>IF(AS1500&gt;0,I1500/AS1500,-1)</f>
        <v/>
      </c>
      <c r="AW1500" s="56">
        <f>IF(AND(OR(BR1500="L1",BR1500="L23"),AS1500&gt;0),SUMIFS($AS$7:$AS$1570,$BR$7:$BR$1570,BR1500,$AV$7:$AV$1570,"&gt;"&amp;AV1500)+SUMIFS($AS$7:$AS$1570,$BR$7:$BR$1570,BR1500,$AV$7:$AV$1570,AV1500,$BL$7:$BL$1570,"&lt;="&amp;BL1500),"")</f>
        <v/>
      </c>
      <c r="AX1500" s="65">
        <f>IF(AW1500="",0,MAX(0,MIN(1,(IF(BR1500="L1",Parameter!$K$5,Parameter!$K$6+Parameter!$K$7)-(AW1500-AS1500))/AS1500)))</f>
        <v/>
      </c>
      <c r="AY1500" s="53">
        <f>IF(AC1500&lt;=0,"",IF(BR1500="Aussen","Aussenlager",IF(BR1500="-","Nicht im Lift",IF(AH1500&gt;=1,"Lift",IF(AH1500&lt;=0,"Aussenlager","teilweise")))))</f>
        <v/>
      </c>
      <c r="AZ1500" s="53">
        <f>IF(AK1500&lt;=0,"",IF(BR1500="Aussen","Aussenlager",IF(BR1500="-","Nicht im Lift",IF(AP1500&gt;=1,"Lift",IF(AP1500&lt;=0,"Aussenlager","teilweise")))))</f>
        <v/>
      </c>
      <c r="BA1500" s="53">
        <f>IF(AS1500&lt;=0,"",IF(BR1500="Aussen","Aussenlager",IF(BR1500="-","Nicht im Lift",IF(AX1500&gt;=1,"Lift",IF(AX1500&lt;=0,"Aussenlager","teilweise")))))</f>
        <v/>
      </c>
      <c r="BB1500" s="53">
        <f>IF(A1500="","",IF(BK1500=1,"Neu; ","")&amp;IF(AND(BK1500=0,BF1500&lt;0),"negativer Bestand (Export "&amp;BF1500&amp;"); ","")&amp;IF(I1500&lt;=0,"Kein Verbrauch; ","")&amp;IF(BO1500=1,"Lose – Fläche geschätzt; ","")&amp;IF(G1500&gt;AM1500,"Überbestand "&amp;ROUND(G1500-AM1500,0)&amp;" Stk / CHF "&amp;ROUND((G1500-AM1500)*F1500,0)&amp;"; ","")&amp;IF(AND(BT1500=1,BU1500&lt;BV1500),"MAX &lt; MB+LG; ","")&amp;IF(AND(BZ1500&gt;0,BY1500*10&gt;BZ1500),"zu hoch für Tablar; ","")&amp;IF(AND(BK1500=0,OR(BT1500=1,V1500&lt;&gt;"",S1500&lt;&gt;"",T1500&lt;&gt;"",W1500&lt;&gt;"")),"manuell übersteuert; ","")&amp;IF(AND(BO1500=0,Q1500=0),"Gebinde unbekannt; ","")&amp;IF(AND(BO1500=0,N(T1500)&lt;=0,N(P1500)&lt;=0),"Menge pro Gebinde fehlt (Ist = 1 Gebinde); ","")&amp;BJ1500)</f>
        <v/>
      </c>
      <c r="BC1500" s="53" t="n"/>
      <c r="BD1500" s="53" t="n"/>
      <c r="BE1500" s="61" t="n"/>
      <c r="BF1500" s="55">
        <f>N('Neue Artikel'!$D$34)</f>
        <v/>
      </c>
      <c r="BG1500" s="55" t="n">
        <v>0</v>
      </c>
      <c r="BH1500" s="54" t="n">
        <v>0</v>
      </c>
      <c r="BI1500" s="55">
        <f>N('Neue Artikel'!$C$34)/Parameter!$B$18</f>
        <v/>
      </c>
      <c r="BJ1500" s="53" t="inlineStr"/>
      <c r="BK1500" s="58" t="n">
        <v>1</v>
      </c>
      <c r="BL1500" s="58" t="n">
        <v>1500</v>
      </c>
      <c r="BM1500" s="53">
        <f>IF(S1500&lt;&gt;"",UPPER(TRIM(S1500)),IF(O1500="","LOSE",O1500))</f>
        <v/>
      </c>
      <c r="BN1500" s="55">
        <f>IF(BM1500="LOSE",1,IF(N(T1500)&gt;0,T1500,IF(N(P1500)&gt;0,P1500,MAX(1,G1500))))</f>
        <v/>
      </c>
      <c r="BO1500" s="58">
        <f>IF(BM1500="LOSE",1,0)</f>
        <v/>
      </c>
      <c r="BP1500" s="64">
        <f>IF(BO1500=0,0,IF(N(R1500)&gt;0,R1500,IFERROR(VLOOKUP(D1500,Parameter!$A$35:$C$64,3,0)+0,0)))</f>
        <v/>
      </c>
      <c r="BQ1500" s="53">
        <f>IF(V1500&lt;&gt;"",V1500,U1500)</f>
        <v/>
      </c>
      <c r="BR1500" s="53">
        <f>IF(BQ1500=1,"L1",IF(OR(BQ1500=2,BQ1500=3),"L23",IF(BQ1500="Aussen","Aussen","-")))</f>
        <v/>
      </c>
      <c r="BS1500" s="66">
        <f>IF(N(W1500)&gt;0,W1500,0)</f>
        <v/>
      </c>
      <c r="BT1500" s="58">
        <f>IF(ISNUMBER(Z1500),1,0)</f>
        <v/>
      </c>
      <c r="BU1500" s="55">
        <f>N(Z1500)</f>
        <v/>
      </c>
      <c r="BV1500" s="55">
        <f>N(L1500)+N(M1500)</f>
        <v/>
      </c>
      <c r="BW1500" s="55">
        <f>ROUNDUP(G1500/BN1500,0)</f>
        <v/>
      </c>
      <c r="BX1500" s="55">
        <f>ROUNDUP(BU1500/BN1500,0)</f>
        <v/>
      </c>
      <c r="BY1500" s="58">
        <f>IF(BO1500=1,0,IFERROR(VLOOKUP(BM1500,'Gebinde-Kategorie'!$A$5:$G$45,5,0)+0,0))</f>
        <v/>
      </c>
      <c r="BZ1500" s="58">
        <f>IFERROR(IF(OR(BQ1500=1,BQ1500=2,BQ1500=3),N(INDEX(Parameter!$I$5:$I$7,BQ1500)),0),0)</f>
        <v/>
      </c>
    </row>
    <row r="1501">
      <c r="A1501" s="53">
        <f>IF('Neue Artikel'!$A$35="","",'Neue Artikel'!$A$35&amp;"")</f>
        <v/>
      </c>
      <c r="B1501" s="53">
        <f>'Neue Artikel'!$B$35&amp;""</f>
        <v/>
      </c>
      <c r="C1501" s="53" t="inlineStr"/>
      <c r="D1501" s="53" t="inlineStr">
        <is>
          <t>NEU</t>
        </is>
      </c>
      <c r="E1501" s="53" t="inlineStr"/>
      <c r="F1501" s="54">
        <f>N('Neue Artikel'!$G$35)</f>
        <v/>
      </c>
      <c r="G1501" s="55">
        <f>MAX(0,IF(Parameter!$B$20="Jahresanfang 2025 + Export",BG1501+BF1501,BF1501))</f>
        <v/>
      </c>
      <c r="H1501" s="55">
        <f>G1501*F1501</f>
        <v/>
      </c>
      <c r="I1501" s="55">
        <f>BI1501*Parameter!$B$18</f>
        <v/>
      </c>
      <c r="J1501" s="56" t="n"/>
      <c r="K1501" s="57" t="n"/>
      <c r="L1501" s="55">
        <f>N('Neue Artikel'!$E$35)</f>
        <v/>
      </c>
      <c r="M1501" s="55">
        <f>N('Neue Artikel'!$F$35)</f>
        <v/>
      </c>
      <c r="N1501" s="58" t="n"/>
      <c r="O1501" s="53">
        <f>IF('Neue Artikel'!$H$35="","LOSE",UPPER(TRIM('Neue Artikel'!$H$35)))</f>
        <v/>
      </c>
      <c r="P1501" s="55">
        <f>N('Neue Artikel'!$I$35)</f>
        <v/>
      </c>
      <c r="Q1501" s="59">
        <f>IF(BO1501=1,0,IFERROR(VLOOKUP(BM1501,'Gebinde-Kategorie'!$A$5:$G$45,6,0)+0,0))</f>
        <v/>
      </c>
      <c r="R1501" s="60" t="n"/>
      <c r="S1501" s="61" t="n"/>
      <c r="T1501" s="61" t="n"/>
      <c r="U1501" s="53">
        <f>IF(A1501="","",IF(IFERROR(VLOOKUP(D1501,Parameter!$A$35:$C$64,2,0),"Nein")="2+3",IF(ISNUMBER(SEARCH("grosser Artikel",BJ1501)),2,IFERROR(VLOOKUP(BM1501,Parameter!$F$35:$G$64,2,0),2)),IF(OR(IFERROR(VLOOKUP(D1501,Parameter!$A$35:$C$64,2,0),"Nein")="Nein",IFERROR(VLOOKUP(D1501,Parameter!$A$35:$C$64,2,0),"Nein")=""),"-",VLOOKUP(D1501,Parameter!$A$35:$C$64,2,0))))</f>
        <v/>
      </c>
      <c r="V1501" s="53">
        <f>IF('Neue Artikel'!$J$35="","",'Neue Artikel'!$J$35)</f>
        <v/>
      </c>
      <c r="W1501" s="62" t="n"/>
      <c r="X1501" s="55">
        <f>AM1501</f>
        <v/>
      </c>
      <c r="Y1501" s="55">
        <f>MAX(AM1501,G1501)</f>
        <v/>
      </c>
      <c r="Z1501" s="63" t="n"/>
      <c r="AA1501" s="55">
        <f>IF(LEFT(Cockpit!$C$5,1)="A",G1501,IF(BT1501=1,BU1501,IF(LEFT(Cockpit!$C$5,1)="B",AE1501,MAX(AE1501,G1501))))</f>
        <v/>
      </c>
      <c r="AB1501" s="55">
        <f>IF(BO1501=1,0,ROUNDUP(AA1501/BN1501,0))</f>
        <v/>
      </c>
      <c r="AC1501" s="64">
        <f>IF(BO1501=1,IF(AA1501&lt;=0,0,BP1501*MAX(1,IF(G1501&gt;0,AA1501/G1501,1))),AB1501*Q1501)</f>
        <v/>
      </c>
      <c r="AD1501" s="55">
        <f>AA1501*F1501</f>
        <v/>
      </c>
      <c r="AE1501" s="55">
        <f>ROUNDUP(MAX(I1501/IF(BS1501&gt;0,BS1501,MAX(0.1,N(Cockpit!$C$6))),BV1501)/BN1501,0)*BN1501</f>
        <v/>
      </c>
      <c r="AF1501" s="56">
        <f>IF(AC1501&gt;0,I1501/AC1501,-1)</f>
        <v/>
      </c>
      <c r="AG1501" s="56">
        <f>IF(AND(OR(BR1501="L1",BR1501="L23"),AC1501&gt;0),SUMIFS($AC$7:$AC$1570,$BR$7:$BR$1570,BR1501,$AF$7:$AF$1570,"&gt;"&amp;AF1501)+SUMIFS($AC$7:$AC$1570,$BR$7:$BR$1570,BR1501,$AF$7:$AF$1570,AF1501,$BL$7:$BL$1570,"&lt;="&amp;BL1501),"")</f>
        <v/>
      </c>
      <c r="AH1501" s="65">
        <f>IF(AG1501="",0,MAX(0,MIN(1,(IF(BR1501="L1",Parameter!$K$5,Parameter!$K$6+Parameter!$K$7)-(AG1501-AC1501))/AC1501)))</f>
        <v/>
      </c>
      <c r="AI1501" s="55">
        <f>IF(LEFT(Cockpit!$I$5,1)="A",G1501,IF(BT1501=1,BU1501,IF(LEFT(Cockpit!$I$5,1)="B",AM1501,MAX(AM1501,G1501))))</f>
        <v/>
      </c>
      <c r="AJ1501" s="55">
        <f>IF(BO1501=1,0,ROUNDUP(AI1501/BN1501,0))</f>
        <v/>
      </c>
      <c r="AK1501" s="64">
        <f>IF(BO1501=1,IF(AI1501&lt;=0,0,BP1501*MAX(1,IF(G1501&gt;0,AI1501/G1501,1))),AJ1501*Q1501)</f>
        <v/>
      </c>
      <c r="AL1501" s="55">
        <f>AI1501*F1501</f>
        <v/>
      </c>
      <c r="AM1501" s="55">
        <f>ROUNDUP(MAX(I1501/IF(BS1501&gt;0,BS1501,MAX(0.1,N(Cockpit!$I$6))),BV1501)/BN1501,0)*BN1501</f>
        <v/>
      </c>
      <c r="AN1501" s="56">
        <f>IF(AK1501&gt;0,I1501/AK1501,-1)</f>
        <v/>
      </c>
      <c r="AO1501" s="56">
        <f>IF(AND(OR(BR1501="L1",BR1501="L23"),AK1501&gt;0),SUMIFS($AK$7:$AK$1570,$BR$7:$BR$1570,BR1501,$AN$7:$AN$1570,"&gt;"&amp;AN1501)+SUMIFS($AK$7:$AK$1570,$BR$7:$BR$1570,BR1501,$AN$7:$AN$1570,AN1501,$BL$7:$BL$1570,"&lt;="&amp;BL1501),"")</f>
        <v/>
      </c>
      <c r="AP1501" s="65">
        <f>IF(AO1501="",0,MAX(0,MIN(1,(IF(BR1501="L1",Parameter!$K$5,Parameter!$K$6+Parameter!$K$7)-(AO1501-AK1501))/AK1501)))</f>
        <v/>
      </c>
      <c r="AQ1501" s="55">
        <f>IF(LEFT(Cockpit!$O$5,1)="A",G1501,IF(BT1501=1,BU1501,IF(LEFT(Cockpit!$O$5,1)="B",AU1501,MAX(AU1501,G1501))))</f>
        <v/>
      </c>
      <c r="AR1501" s="55">
        <f>IF(BO1501=1,0,ROUNDUP(AQ1501/BN1501,0))</f>
        <v/>
      </c>
      <c r="AS1501" s="64">
        <f>IF(BO1501=1,IF(AQ1501&lt;=0,0,BP1501*MAX(1,IF(G1501&gt;0,AQ1501/G1501,1))),AR1501*Q1501)</f>
        <v/>
      </c>
      <c r="AT1501" s="55">
        <f>AQ1501*F1501</f>
        <v/>
      </c>
      <c r="AU1501" s="55">
        <f>ROUNDUP(MAX(I1501/IF(BS1501&gt;0,BS1501,MAX(0.1,N(Cockpit!$O$6))),BV1501)/BN1501,0)*BN1501</f>
        <v/>
      </c>
      <c r="AV1501" s="56">
        <f>IF(AS1501&gt;0,I1501/AS1501,-1)</f>
        <v/>
      </c>
      <c r="AW1501" s="56">
        <f>IF(AND(OR(BR1501="L1",BR1501="L23"),AS1501&gt;0),SUMIFS($AS$7:$AS$1570,$BR$7:$BR$1570,BR1501,$AV$7:$AV$1570,"&gt;"&amp;AV1501)+SUMIFS($AS$7:$AS$1570,$BR$7:$BR$1570,BR1501,$AV$7:$AV$1570,AV1501,$BL$7:$BL$1570,"&lt;="&amp;BL1501),"")</f>
        <v/>
      </c>
      <c r="AX1501" s="65">
        <f>IF(AW1501="",0,MAX(0,MIN(1,(IF(BR1501="L1",Parameter!$K$5,Parameter!$K$6+Parameter!$K$7)-(AW1501-AS1501))/AS1501)))</f>
        <v/>
      </c>
      <c r="AY1501" s="53">
        <f>IF(AC1501&lt;=0,"",IF(BR1501="Aussen","Aussenlager",IF(BR1501="-","Nicht im Lift",IF(AH1501&gt;=1,"Lift",IF(AH1501&lt;=0,"Aussenlager","teilweise")))))</f>
        <v/>
      </c>
      <c r="AZ1501" s="53">
        <f>IF(AK1501&lt;=0,"",IF(BR1501="Aussen","Aussenlager",IF(BR1501="-","Nicht im Lift",IF(AP1501&gt;=1,"Lift",IF(AP1501&lt;=0,"Aussenlager","teilweise")))))</f>
        <v/>
      </c>
      <c r="BA1501" s="53">
        <f>IF(AS1501&lt;=0,"",IF(BR1501="Aussen","Aussenlager",IF(BR1501="-","Nicht im Lift",IF(AX1501&gt;=1,"Lift",IF(AX1501&lt;=0,"Aussenlager","teilweise")))))</f>
        <v/>
      </c>
      <c r="BB1501" s="53">
        <f>IF(A1501="","",IF(BK1501=1,"Neu; ","")&amp;IF(AND(BK1501=0,BF1501&lt;0),"negativer Bestand (Export "&amp;BF1501&amp;"); ","")&amp;IF(I1501&lt;=0,"Kein Verbrauch; ","")&amp;IF(BO1501=1,"Lose – Fläche geschätzt; ","")&amp;IF(G1501&gt;AM1501,"Überbestand "&amp;ROUND(G1501-AM1501,0)&amp;" Stk / CHF "&amp;ROUND((G1501-AM1501)*F1501,0)&amp;"; ","")&amp;IF(AND(BT1501=1,BU1501&lt;BV1501),"MAX &lt; MB+LG; ","")&amp;IF(AND(BZ1501&gt;0,BY1501*10&gt;BZ1501),"zu hoch für Tablar; ","")&amp;IF(AND(BK1501=0,OR(BT1501=1,V1501&lt;&gt;"",S1501&lt;&gt;"",T1501&lt;&gt;"",W1501&lt;&gt;"")),"manuell übersteuert; ","")&amp;IF(AND(BO1501=0,Q1501=0),"Gebinde unbekannt; ","")&amp;IF(AND(BO1501=0,N(T1501)&lt;=0,N(P1501)&lt;=0),"Menge pro Gebinde fehlt (Ist = 1 Gebinde); ","")&amp;BJ1501)</f>
        <v/>
      </c>
      <c r="BC1501" s="53" t="n"/>
      <c r="BD1501" s="53" t="n"/>
      <c r="BE1501" s="61" t="n"/>
      <c r="BF1501" s="55">
        <f>N('Neue Artikel'!$D$35)</f>
        <v/>
      </c>
      <c r="BG1501" s="55" t="n">
        <v>0</v>
      </c>
      <c r="BH1501" s="54" t="n">
        <v>0</v>
      </c>
      <c r="BI1501" s="55">
        <f>N('Neue Artikel'!$C$35)/Parameter!$B$18</f>
        <v/>
      </c>
      <c r="BJ1501" s="53" t="inlineStr"/>
      <c r="BK1501" s="58" t="n">
        <v>1</v>
      </c>
      <c r="BL1501" s="58" t="n">
        <v>1501</v>
      </c>
      <c r="BM1501" s="53">
        <f>IF(S1501&lt;&gt;"",UPPER(TRIM(S1501)),IF(O1501="","LOSE",O1501))</f>
        <v/>
      </c>
      <c r="BN1501" s="55">
        <f>IF(BM1501="LOSE",1,IF(N(T1501)&gt;0,T1501,IF(N(P1501)&gt;0,P1501,MAX(1,G1501))))</f>
        <v/>
      </c>
      <c r="BO1501" s="58">
        <f>IF(BM1501="LOSE",1,0)</f>
        <v/>
      </c>
      <c r="BP1501" s="64">
        <f>IF(BO1501=0,0,IF(N(R1501)&gt;0,R1501,IFERROR(VLOOKUP(D1501,Parameter!$A$35:$C$64,3,0)+0,0)))</f>
        <v/>
      </c>
      <c r="BQ1501" s="53">
        <f>IF(V1501&lt;&gt;"",V1501,U1501)</f>
        <v/>
      </c>
      <c r="BR1501" s="53">
        <f>IF(BQ1501=1,"L1",IF(OR(BQ1501=2,BQ1501=3),"L23",IF(BQ1501="Aussen","Aussen","-")))</f>
        <v/>
      </c>
      <c r="BS1501" s="66">
        <f>IF(N(W1501)&gt;0,W1501,0)</f>
        <v/>
      </c>
      <c r="BT1501" s="58">
        <f>IF(ISNUMBER(Z1501),1,0)</f>
        <v/>
      </c>
      <c r="BU1501" s="55">
        <f>N(Z1501)</f>
        <v/>
      </c>
      <c r="BV1501" s="55">
        <f>N(L1501)+N(M1501)</f>
        <v/>
      </c>
      <c r="BW1501" s="55">
        <f>ROUNDUP(G1501/BN1501,0)</f>
        <v/>
      </c>
      <c r="BX1501" s="55">
        <f>ROUNDUP(BU1501/BN1501,0)</f>
        <v/>
      </c>
      <c r="BY1501" s="58">
        <f>IF(BO1501=1,0,IFERROR(VLOOKUP(BM1501,'Gebinde-Kategorie'!$A$5:$G$45,5,0)+0,0))</f>
        <v/>
      </c>
      <c r="BZ1501" s="58">
        <f>IFERROR(IF(OR(BQ1501=1,BQ1501=2,BQ1501=3),N(INDEX(Parameter!$I$5:$I$7,BQ1501)),0),0)</f>
        <v/>
      </c>
    </row>
    <row r="1502">
      <c r="A1502" s="53">
        <f>IF('Neue Artikel'!$A$36="","",'Neue Artikel'!$A$36&amp;"")</f>
        <v/>
      </c>
      <c r="B1502" s="53">
        <f>'Neue Artikel'!$B$36&amp;""</f>
        <v/>
      </c>
      <c r="C1502" s="53" t="inlineStr"/>
      <c r="D1502" s="53" t="inlineStr">
        <is>
          <t>NEU</t>
        </is>
      </c>
      <c r="E1502" s="53" t="inlineStr"/>
      <c r="F1502" s="54">
        <f>N('Neue Artikel'!$G$36)</f>
        <v/>
      </c>
      <c r="G1502" s="55">
        <f>MAX(0,IF(Parameter!$B$20="Jahresanfang 2025 + Export",BG1502+BF1502,BF1502))</f>
        <v/>
      </c>
      <c r="H1502" s="55">
        <f>G1502*F1502</f>
        <v/>
      </c>
      <c r="I1502" s="55">
        <f>BI1502*Parameter!$B$18</f>
        <v/>
      </c>
      <c r="J1502" s="56" t="n"/>
      <c r="K1502" s="57" t="n"/>
      <c r="L1502" s="55">
        <f>N('Neue Artikel'!$E$36)</f>
        <v/>
      </c>
      <c r="M1502" s="55">
        <f>N('Neue Artikel'!$F$36)</f>
        <v/>
      </c>
      <c r="N1502" s="58" t="n"/>
      <c r="O1502" s="53">
        <f>IF('Neue Artikel'!$H$36="","LOSE",UPPER(TRIM('Neue Artikel'!$H$36)))</f>
        <v/>
      </c>
      <c r="P1502" s="55">
        <f>N('Neue Artikel'!$I$36)</f>
        <v/>
      </c>
      <c r="Q1502" s="59">
        <f>IF(BO1502=1,0,IFERROR(VLOOKUP(BM1502,'Gebinde-Kategorie'!$A$5:$G$45,6,0)+0,0))</f>
        <v/>
      </c>
      <c r="R1502" s="60" t="n"/>
      <c r="S1502" s="61" t="n"/>
      <c r="T1502" s="61" t="n"/>
      <c r="U1502" s="53">
        <f>IF(A1502="","",IF(IFERROR(VLOOKUP(D1502,Parameter!$A$35:$C$64,2,0),"Nein")="2+3",IF(ISNUMBER(SEARCH("grosser Artikel",BJ1502)),2,IFERROR(VLOOKUP(BM1502,Parameter!$F$35:$G$64,2,0),2)),IF(OR(IFERROR(VLOOKUP(D1502,Parameter!$A$35:$C$64,2,0),"Nein")="Nein",IFERROR(VLOOKUP(D1502,Parameter!$A$35:$C$64,2,0),"Nein")=""),"-",VLOOKUP(D1502,Parameter!$A$35:$C$64,2,0))))</f>
        <v/>
      </c>
      <c r="V1502" s="53">
        <f>IF('Neue Artikel'!$J$36="","",'Neue Artikel'!$J$36)</f>
        <v/>
      </c>
      <c r="W1502" s="62" t="n"/>
      <c r="X1502" s="55">
        <f>AM1502</f>
        <v/>
      </c>
      <c r="Y1502" s="55">
        <f>MAX(AM1502,G1502)</f>
        <v/>
      </c>
      <c r="Z1502" s="63" t="n"/>
      <c r="AA1502" s="55">
        <f>IF(LEFT(Cockpit!$C$5,1)="A",G1502,IF(BT1502=1,BU1502,IF(LEFT(Cockpit!$C$5,1)="B",AE1502,MAX(AE1502,G1502))))</f>
        <v/>
      </c>
      <c r="AB1502" s="55">
        <f>IF(BO1502=1,0,ROUNDUP(AA1502/BN1502,0))</f>
        <v/>
      </c>
      <c r="AC1502" s="64">
        <f>IF(BO1502=1,IF(AA1502&lt;=0,0,BP1502*MAX(1,IF(G1502&gt;0,AA1502/G1502,1))),AB1502*Q1502)</f>
        <v/>
      </c>
      <c r="AD1502" s="55">
        <f>AA1502*F1502</f>
        <v/>
      </c>
      <c r="AE1502" s="55">
        <f>ROUNDUP(MAX(I1502/IF(BS1502&gt;0,BS1502,MAX(0.1,N(Cockpit!$C$6))),BV1502)/BN1502,0)*BN1502</f>
        <v/>
      </c>
      <c r="AF1502" s="56">
        <f>IF(AC1502&gt;0,I1502/AC1502,-1)</f>
        <v/>
      </c>
      <c r="AG1502" s="56">
        <f>IF(AND(OR(BR1502="L1",BR1502="L23"),AC1502&gt;0),SUMIFS($AC$7:$AC$1570,$BR$7:$BR$1570,BR1502,$AF$7:$AF$1570,"&gt;"&amp;AF1502)+SUMIFS($AC$7:$AC$1570,$BR$7:$BR$1570,BR1502,$AF$7:$AF$1570,AF1502,$BL$7:$BL$1570,"&lt;="&amp;BL1502),"")</f>
        <v/>
      </c>
      <c r="AH1502" s="65">
        <f>IF(AG1502="",0,MAX(0,MIN(1,(IF(BR1502="L1",Parameter!$K$5,Parameter!$K$6+Parameter!$K$7)-(AG1502-AC1502))/AC1502)))</f>
        <v/>
      </c>
      <c r="AI1502" s="55">
        <f>IF(LEFT(Cockpit!$I$5,1)="A",G1502,IF(BT1502=1,BU1502,IF(LEFT(Cockpit!$I$5,1)="B",AM1502,MAX(AM1502,G1502))))</f>
        <v/>
      </c>
      <c r="AJ1502" s="55">
        <f>IF(BO1502=1,0,ROUNDUP(AI1502/BN1502,0))</f>
        <v/>
      </c>
      <c r="AK1502" s="64">
        <f>IF(BO1502=1,IF(AI1502&lt;=0,0,BP1502*MAX(1,IF(G1502&gt;0,AI1502/G1502,1))),AJ1502*Q1502)</f>
        <v/>
      </c>
      <c r="AL1502" s="55">
        <f>AI1502*F1502</f>
        <v/>
      </c>
      <c r="AM1502" s="55">
        <f>ROUNDUP(MAX(I1502/IF(BS1502&gt;0,BS1502,MAX(0.1,N(Cockpit!$I$6))),BV1502)/BN1502,0)*BN1502</f>
        <v/>
      </c>
      <c r="AN1502" s="56">
        <f>IF(AK1502&gt;0,I1502/AK1502,-1)</f>
        <v/>
      </c>
      <c r="AO1502" s="56">
        <f>IF(AND(OR(BR1502="L1",BR1502="L23"),AK1502&gt;0),SUMIFS($AK$7:$AK$1570,$BR$7:$BR$1570,BR1502,$AN$7:$AN$1570,"&gt;"&amp;AN1502)+SUMIFS($AK$7:$AK$1570,$BR$7:$BR$1570,BR1502,$AN$7:$AN$1570,AN1502,$BL$7:$BL$1570,"&lt;="&amp;BL1502),"")</f>
        <v/>
      </c>
      <c r="AP1502" s="65">
        <f>IF(AO1502="",0,MAX(0,MIN(1,(IF(BR1502="L1",Parameter!$K$5,Parameter!$K$6+Parameter!$K$7)-(AO1502-AK1502))/AK1502)))</f>
        <v/>
      </c>
      <c r="AQ1502" s="55">
        <f>IF(LEFT(Cockpit!$O$5,1)="A",G1502,IF(BT1502=1,BU1502,IF(LEFT(Cockpit!$O$5,1)="B",AU1502,MAX(AU1502,G1502))))</f>
        <v/>
      </c>
      <c r="AR1502" s="55">
        <f>IF(BO1502=1,0,ROUNDUP(AQ1502/BN1502,0))</f>
        <v/>
      </c>
      <c r="AS1502" s="64">
        <f>IF(BO1502=1,IF(AQ1502&lt;=0,0,BP1502*MAX(1,IF(G1502&gt;0,AQ1502/G1502,1))),AR1502*Q1502)</f>
        <v/>
      </c>
      <c r="AT1502" s="55">
        <f>AQ1502*F1502</f>
        <v/>
      </c>
      <c r="AU1502" s="55">
        <f>ROUNDUP(MAX(I1502/IF(BS1502&gt;0,BS1502,MAX(0.1,N(Cockpit!$O$6))),BV1502)/BN1502,0)*BN1502</f>
        <v/>
      </c>
      <c r="AV1502" s="56">
        <f>IF(AS1502&gt;0,I1502/AS1502,-1)</f>
        <v/>
      </c>
      <c r="AW1502" s="56">
        <f>IF(AND(OR(BR1502="L1",BR1502="L23"),AS1502&gt;0),SUMIFS($AS$7:$AS$1570,$BR$7:$BR$1570,BR1502,$AV$7:$AV$1570,"&gt;"&amp;AV1502)+SUMIFS($AS$7:$AS$1570,$BR$7:$BR$1570,BR1502,$AV$7:$AV$1570,AV1502,$BL$7:$BL$1570,"&lt;="&amp;BL1502),"")</f>
        <v/>
      </c>
      <c r="AX1502" s="65">
        <f>IF(AW1502="",0,MAX(0,MIN(1,(IF(BR1502="L1",Parameter!$K$5,Parameter!$K$6+Parameter!$K$7)-(AW1502-AS1502))/AS1502)))</f>
        <v/>
      </c>
      <c r="AY1502" s="53">
        <f>IF(AC1502&lt;=0,"",IF(BR1502="Aussen","Aussenlager",IF(BR1502="-","Nicht im Lift",IF(AH1502&gt;=1,"Lift",IF(AH1502&lt;=0,"Aussenlager","teilweise")))))</f>
        <v/>
      </c>
      <c r="AZ1502" s="53">
        <f>IF(AK1502&lt;=0,"",IF(BR1502="Aussen","Aussenlager",IF(BR1502="-","Nicht im Lift",IF(AP1502&gt;=1,"Lift",IF(AP1502&lt;=0,"Aussenlager","teilweise")))))</f>
        <v/>
      </c>
      <c r="BA1502" s="53">
        <f>IF(AS1502&lt;=0,"",IF(BR1502="Aussen","Aussenlager",IF(BR1502="-","Nicht im Lift",IF(AX1502&gt;=1,"Lift",IF(AX1502&lt;=0,"Aussenlager","teilweise")))))</f>
        <v/>
      </c>
      <c r="BB1502" s="53">
        <f>IF(A1502="","",IF(BK1502=1,"Neu; ","")&amp;IF(AND(BK1502=0,BF1502&lt;0),"negativer Bestand (Export "&amp;BF1502&amp;"); ","")&amp;IF(I1502&lt;=0,"Kein Verbrauch; ","")&amp;IF(BO1502=1,"Lose – Fläche geschätzt; ","")&amp;IF(G1502&gt;AM1502,"Überbestand "&amp;ROUND(G1502-AM1502,0)&amp;" Stk / CHF "&amp;ROUND((G1502-AM1502)*F1502,0)&amp;"; ","")&amp;IF(AND(BT1502=1,BU1502&lt;BV1502),"MAX &lt; MB+LG; ","")&amp;IF(AND(BZ1502&gt;0,BY1502*10&gt;BZ1502),"zu hoch für Tablar; ","")&amp;IF(AND(BK1502=0,OR(BT1502=1,V1502&lt;&gt;"",S1502&lt;&gt;"",T1502&lt;&gt;"",W1502&lt;&gt;"")),"manuell übersteuert; ","")&amp;IF(AND(BO1502=0,Q1502=0),"Gebinde unbekannt; ","")&amp;IF(AND(BO1502=0,N(T1502)&lt;=0,N(P1502)&lt;=0),"Menge pro Gebinde fehlt (Ist = 1 Gebinde); ","")&amp;BJ1502)</f>
        <v/>
      </c>
      <c r="BC1502" s="53" t="n"/>
      <c r="BD1502" s="53" t="n"/>
      <c r="BE1502" s="61" t="n"/>
      <c r="BF1502" s="55">
        <f>N('Neue Artikel'!$D$36)</f>
        <v/>
      </c>
      <c r="BG1502" s="55" t="n">
        <v>0</v>
      </c>
      <c r="BH1502" s="54" t="n">
        <v>0</v>
      </c>
      <c r="BI1502" s="55">
        <f>N('Neue Artikel'!$C$36)/Parameter!$B$18</f>
        <v/>
      </c>
      <c r="BJ1502" s="53" t="inlineStr"/>
      <c r="BK1502" s="58" t="n">
        <v>1</v>
      </c>
      <c r="BL1502" s="58" t="n">
        <v>1502</v>
      </c>
      <c r="BM1502" s="53">
        <f>IF(S1502&lt;&gt;"",UPPER(TRIM(S1502)),IF(O1502="","LOSE",O1502))</f>
        <v/>
      </c>
      <c r="BN1502" s="55">
        <f>IF(BM1502="LOSE",1,IF(N(T1502)&gt;0,T1502,IF(N(P1502)&gt;0,P1502,MAX(1,G1502))))</f>
        <v/>
      </c>
      <c r="BO1502" s="58">
        <f>IF(BM1502="LOSE",1,0)</f>
        <v/>
      </c>
      <c r="BP1502" s="64">
        <f>IF(BO1502=0,0,IF(N(R1502)&gt;0,R1502,IFERROR(VLOOKUP(D1502,Parameter!$A$35:$C$64,3,0)+0,0)))</f>
        <v/>
      </c>
      <c r="BQ1502" s="53">
        <f>IF(V1502&lt;&gt;"",V1502,U1502)</f>
        <v/>
      </c>
      <c r="BR1502" s="53">
        <f>IF(BQ1502=1,"L1",IF(OR(BQ1502=2,BQ1502=3),"L23",IF(BQ1502="Aussen","Aussen","-")))</f>
        <v/>
      </c>
      <c r="BS1502" s="66">
        <f>IF(N(W1502)&gt;0,W1502,0)</f>
        <v/>
      </c>
      <c r="BT1502" s="58">
        <f>IF(ISNUMBER(Z1502),1,0)</f>
        <v/>
      </c>
      <c r="BU1502" s="55">
        <f>N(Z1502)</f>
        <v/>
      </c>
      <c r="BV1502" s="55">
        <f>N(L1502)+N(M1502)</f>
        <v/>
      </c>
      <c r="BW1502" s="55">
        <f>ROUNDUP(G1502/BN1502,0)</f>
        <v/>
      </c>
      <c r="BX1502" s="55">
        <f>ROUNDUP(BU1502/BN1502,0)</f>
        <v/>
      </c>
      <c r="BY1502" s="58">
        <f>IF(BO1502=1,0,IFERROR(VLOOKUP(BM1502,'Gebinde-Kategorie'!$A$5:$G$45,5,0)+0,0))</f>
        <v/>
      </c>
      <c r="BZ1502" s="58">
        <f>IFERROR(IF(OR(BQ1502=1,BQ1502=2,BQ1502=3),N(INDEX(Parameter!$I$5:$I$7,BQ1502)),0),0)</f>
        <v/>
      </c>
    </row>
    <row r="1503">
      <c r="A1503" s="53">
        <f>IF('Neue Artikel'!$A$37="","",'Neue Artikel'!$A$37&amp;"")</f>
        <v/>
      </c>
      <c r="B1503" s="53">
        <f>'Neue Artikel'!$B$37&amp;""</f>
        <v/>
      </c>
      <c r="C1503" s="53" t="inlineStr"/>
      <c r="D1503" s="53" t="inlineStr">
        <is>
          <t>NEU</t>
        </is>
      </c>
      <c r="E1503" s="53" t="inlineStr"/>
      <c r="F1503" s="54">
        <f>N('Neue Artikel'!$G$37)</f>
        <v/>
      </c>
      <c r="G1503" s="55">
        <f>MAX(0,IF(Parameter!$B$20="Jahresanfang 2025 + Export",BG1503+BF1503,BF1503))</f>
        <v/>
      </c>
      <c r="H1503" s="55">
        <f>G1503*F1503</f>
        <v/>
      </c>
      <c r="I1503" s="55">
        <f>BI1503*Parameter!$B$18</f>
        <v/>
      </c>
      <c r="J1503" s="56" t="n"/>
      <c r="K1503" s="57" t="n"/>
      <c r="L1503" s="55">
        <f>N('Neue Artikel'!$E$37)</f>
        <v/>
      </c>
      <c r="M1503" s="55">
        <f>N('Neue Artikel'!$F$37)</f>
        <v/>
      </c>
      <c r="N1503" s="58" t="n"/>
      <c r="O1503" s="53">
        <f>IF('Neue Artikel'!$H$37="","LOSE",UPPER(TRIM('Neue Artikel'!$H$37)))</f>
        <v/>
      </c>
      <c r="P1503" s="55">
        <f>N('Neue Artikel'!$I$37)</f>
        <v/>
      </c>
      <c r="Q1503" s="59">
        <f>IF(BO1503=1,0,IFERROR(VLOOKUP(BM1503,'Gebinde-Kategorie'!$A$5:$G$45,6,0)+0,0))</f>
        <v/>
      </c>
      <c r="R1503" s="60" t="n"/>
      <c r="S1503" s="61" t="n"/>
      <c r="T1503" s="61" t="n"/>
      <c r="U1503" s="53">
        <f>IF(A1503="","",IF(IFERROR(VLOOKUP(D1503,Parameter!$A$35:$C$64,2,0),"Nein")="2+3",IF(ISNUMBER(SEARCH("grosser Artikel",BJ1503)),2,IFERROR(VLOOKUP(BM1503,Parameter!$F$35:$G$64,2,0),2)),IF(OR(IFERROR(VLOOKUP(D1503,Parameter!$A$35:$C$64,2,0),"Nein")="Nein",IFERROR(VLOOKUP(D1503,Parameter!$A$35:$C$64,2,0),"Nein")=""),"-",VLOOKUP(D1503,Parameter!$A$35:$C$64,2,0))))</f>
        <v/>
      </c>
      <c r="V1503" s="53">
        <f>IF('Neue Artikel'!$J$37="","",'Neue Artikel'!$J$37)</f>
        <v/>
      </c>
      <c r="W1503" s="62" t="n"/>
      <c r="X1503" s="55">
        <f>AM1503</f>
        <v/>
      </c>
      <c r="Y1503" s="55">
        <f>MAX(AM1503,G1503)</f>
        <v/>
      </c>
      <c r="Z1503" s="63" t="n"/>
      <c r="AA1503" s="55">
        <f>IF(LEFT(Cockpit!$C$5,1)="A",G1503,IF(BT1503=1,BU1503,IF(LEFT(Cockpit!$C$5,1)="B",AE1503,MAX(AE1503,G1503))))</f>
        <v/>
      </c>
      <c r="AB1503" s="55">
        <f>IF(BO1503=1,0,ROUNDUP(AA1503/BN1503,0))</f>
        <v/>
      </c>
      <c r="AC1503" s="64">
        <f>IF(BO1503=1,IF(AA1503&lt;=0,0,BP1503*MAX(1,IF(G1503&gt;0,AA1503/G1503,1))),AB1503*Q1503)</f>
        <v/>
      </c>
      <c r="AD1503" s="55">
        <f>AA1503*F1503</f>
        <v/>
      </c>
      <c r="AE1503" s="55">
        <f>ROUNDUP(MAX(I1503/IF(BS1503&gt;0,BS1503,MAX(0.1,N(Cockpit!$C$6))),BV1503)/BN1503,0)*BN1503</f>
        <v/>
      </c>
      <c r="AF1503" s="56">
        <f>IF(AC1503&gt;0,I1503/AC1503,-1)</f>
        <v/>
      </c>
      <c r="AG1503" s="56">
        <f>IF(AND(OR(BR1503="L1",BR1503="L23"),AC1503&gt;0),SUMIFS($AC$7:$AC$1570,$BR$7:$BR$1570,BR1503,$AF$7:$AF$1570,"&gt;"&amp;AF1503)+SUMIFS($AC$7:$AC$1570,$BR$7:$BR$1570,BR1503,$AF$7:$AF$1570,AF1503,$BL$7:$BL$1570,"&lt;="&amp;BL1503),"")</f>
        <v/>
      </c>
      <c r="AH1503" s="65">
        <f>IF(AG1503="",0,MAX(0,MIN(1,(IF(BR1503="L1",Parameter!$K$5,Parameter!$K$6+Parameter!$K$7)-(AG1503-AC1503))/AC1503)))</f>
        <v/>
      </c>
      <c r="AI1503" s="55">
        <f>IF(LEFT(Cockpit!$I$5,1)="A",G1503,IF(BT1503=1,BU1503,IF(LEFT(Cockpit!$I$5,1)="B",AM1503,MAX(AM1503,G1503))))</f>
        <v/>
      </c>
      <c r="AJ1503" s="55">
        <f>IF(BO1503=1,0,ROUNDUP(AI1503/BN1503,0))</f>
        <v/>
      </c>
      <c r="AK1503" s="64">
        <f>IF(BO1503=1,IF(AI1503&lt;=0,0,BP1503*MAX(1,IF(G1503&gt;0,AI1503/G1503,1))),AJ1503*Q1503)</f>
        <v/>
      </c>
      <c r="AL1503" s="55">
        <f>AI1503*F1503</f>
        <v/>
      </c>
      <c r="AM1503" s="55">
        <f>ROUNDUP(MAX(I1503/IF(BS1503&gt;0,BS1503,MAX(0.1,N(Cockpit!$I$6))),BV1503)/BN1503,0)*BN1503</f>
        <v/>
      </c>
      <c r="AN1503" s="56">
        <f>IF(AK1503&gt;0,I1503/AK1503,-1)</f>
        <v/>
      </c>
      <c r="AO1503" s="56">
        <f>IF(AND(OR(BR1503="L1",BR1503="L23"),AK1503&gt;0),SUMIFS($AK$7:$AK$1570,$BR$7:$BR$1570,BR1503,$AN$7:$AN$1570,"&gt;"&amp;AN1503)+SUMIFS($AK$7:$AK$1570,$BR$7:$BR$1570,BR1503,$AN$7:$AN$1570,AN1503,$BL$7:$BL$1570,"&lt;="&amp;BL1503),"")</f>
        <v/>
      </c>
      <c r="AP1503" s="65">
        <f>IF(AO1503="",0,MAX(0,MIN(1,(IF(BR1503="L1",Parameter!$K$5,Parameter!$K$6+Parameter!$K$7)-(AO1503-AK1503))/AK1503)))</f>
        <v/>
      </c>
      <c r="AQ1503" s="55">
        <f>IF(LEFT(Cockpit!$O$5,1)="A",G1503,IF(BT1503=1,BU1503,IF(LEFT(Cockpit!$O$5,1)="B",AU1503,MAX(AU1503,G1503))))</f>
        <v/>
      </c>
      <c r="AR1503" s="55">
        <f>IF(BO1503=1,0,ROUNDUP(AQ1503/BN1503,0))</f>
        <v/>
      </c>
      <c r="AS1503" s="64">
        <f>IF(BO1503=1,IF(AQ1503&lt;=0,0,BP1503*MAX(1,IF(G1503&gt;0,AQ1503/G1503,1))),AR1503*Q1503)</f>
        <v/>
      </c>
      <c r="AT1503" s="55">
        <f>AQ1503*F1503</f>
        <v/>
      </c>
      <c r="AU1503" s="55">
        <f>ROUNDUP(MAX(I1503/IF(BS1503&gt;0,BS1503,MAX(0.1,N(Cockpit!$O$6))),BV1503)/BN1503,0)*BN1503</f>
        <v/>
      </c>
      <c r="AV1503" s="56">
        <f>IF(AS1503&gt;0,I1503/AS1503,-1)</f>
        <v/>
      </c>
      <c r="AW1503" s="56">
        <f>IF(AND(OR(BR1503="L1",BR1503="L23"),AS1503&gt;0),SUMIFS($AS$7:$AS$1570,$BR$7:$BR$1570,BR1503,$AV$7:$AV$1570,"&gt;"&amp;AV1503)+SUMIFS($AS$7:$AS$1570,$BR$7:$BR$1570,BR1503,$AV$7:$AV$1570,AV1503,$BL$7:$BL$1570,"&lt;="&amp;BL1503),"")</f>
        <v/>
      </c>
      <c r="AX1503" s="65">
        <f>IF(AW1503="",0,MAX(0,MIN(1,(IF(BR1503="L1",Parameter!$K$5,Parameter!$K$6+Parameter!$K$7)-(AW1503-AS1503))/AS1503)))</f>
        <v/>
      </c>
      <c r="AY1503" s="53">
        <f>IF(AC1503&lt;=0,"",IF(BR1503="Aussen","Aussenlager",IF(BR1503="-","Nicht im Lift",IF(AH1503&gt;=1,"Lift",IF(AH1503&lt;=0,"Aussenlager","teilweise")))))</f>
        <v/>
      </c>
      <c r="AZ1503" s="53">
        <f>IF(AK1503&lt;=0,"",IF(BR1503="Aussen","Aussenlager",IF(BR1503="-","Nicht im Lift",IF(AP1503&gt;=1,"Lift",IF(AP1503&lt;=0,"Aussenlager","teilweise")))))</f>
        <v/>
      </c>
      <c r="BA1503" s="53">
        <f>IF(AS1503&lt;=0,"",IF(BR1503="Aussen","Aussenlager",IF(BR1503="-","Nicht im Lift",IF(AX1503&gt;=1,"Lift",IF(AX1503&lt;=0,"Aussenlager","teilweise")))))</f>
        <v/>
      </c>
      <c r="BB1503" s="53">
        <f>IF(A1503="","",IF(BK1503=1,"Neu; ","")&amp;IF(AND(BK1503=0,BF1503&lt;0),"negativer Bestand (Export "&amp;BF1503&amp;"); ","")&amp;IF(I1503&lt;=0,"Kein Verbrauch; ","")&amp;IF(BO1503=1,"Lose – Fläche geschätzt; ","")&amp;IF(G1503&gt;AM1503,"Überbestand "&amp;ROUND(G1503-AM1503,0)&amp;" Stk / CHF "&amp;ROUND((G1503-AM1503)*F1503,0)&amp;"; ","")&amp;IF(AND(BT1503=1,BU1503&lt;BV1503),"MAX &lt; MB+LG; ","")&amp;IF(AND(BZ1503&gt;0,BY1503*10&gt;BZ1503),"zu hoch für Tablar; ","")&amp;IF(AND(BK1503=0,OR(BT1503=1,V1503&lt;&gt;"",S1503&lt;&gt;"",T1503&lt;&gt;"",W1503&lt;&gt;"")),"manuell übersteuert; ","")&amp;IF(AND(BO1503=0,Q1503=0),"Gebinde unbekannt; ","")&amp;IF(AND(BO1503=0,N(T1503)&lt;=0,N(P1503)&lt;=0),"Menge pro Gebinde fehlt (Ist = 1 Gebinde); ","")&amp;BJ1503)</f>
        <v/>
      </c>
      <c r="BC1503" s="53" t="n"/>
      <c r="BD1503" s="53" t="n"/>
      <c r="BE1503" s="61" t="n"/>
      <c r="BF1503" s="55">
        <f>N('Neue Artikel'!$D$37)</f>
        <v/>
      </c>
      <c r="BG1503" s="55" t="n">
        <v>0</v>
      </c>
      <c r="BH1503" s="54" t="n">
        <v>0</v>
      </c>
      <c r="BI1503" s="55">
        <f>N('Neue Artikel'!$C$37)/Parameter!$B$18</f>
        <v/>
      </c>
      <c r="BJ1503" s="53" t="inlineStr"/>
      <c r="BK1503" s="58" t="n">
        <v>1</v>
      </c>
      <c r="BL1503" s="58" t="n">
        <v>1503</v>
      </c>
      <c r="BM1503" s="53">
        <f>IF(S1503&lt;&gt;"",UPPER(TRIM(S1503)),IF(O1503="","LOSE",O1503))</f>
        <v/>
      </c>
      <c r="BN1503" s="55">
        <f>IF(BM1503="LOSE",1,IF(N(T1503)&gt;0,T1503,IF(N(P1503)&gt;0,P1503,MAX(1,G1503))))</f>
        <v/>
      </c>
      <c r="BO1503" s="58">
        <f>IF(BM1503="LOSE",1,0)</f>
        <v/>
      </c>
      <c r="BP1503" s="64">
        <f>IF(BO1503=0,0,IF(N(R1503)&gt;0,R1503,IFERROR(VLOOKUP(D1503,Parameter!$A$35:$C$64,3,0)+0,0)))</f>
        <v/>
      </c>
      <c r="BQ1503" s="53">
        <f>IF(V1503&lt;&gt;"",V1503,U1503)</f>
        <v/>
      </c>
      <c r="BR1503" s="53">
        <f>IF(BQ1503=1,"L1",IF(OR(BQ1503=2,BQ1503=3),"L23",IF(BQ1503="Aussen","Aussen","-")))</f>
        <v/>
      </c>
      <c r="BS1503" s="66">
        <f>IF(N(W1503)&gt;0,W1503,0)</f>
        <v/>
      </c>
      <c r="BT1503" s="58">
        <f>IF(ISNUMBER(Z1503),1,0)</f>
        <v/>
      </c>
      <c r="BU1503" s="55">
        <f>N(Z1503)</f>
        <v/>
      </c>
      <c r="BV1503" s="55">
        <f>N(L1503)+N(M1503)</f>
        <v/>
      </c>
      <c r="BW1503" s="55">
        <f>ROUNDUP(G1503/BN1503,0)</f>
        <v/>
      </c>
      <c r="BX1503" s="55">
        <f>ROUNDUP(BU1503/BN1503,0)</f>
        <v/>
      </c>
      <c r="BY1503" s="58">
        <f>IF(BO1503=1,0,IFERROR(VLOOKUP(BM1503,'Gebinde-Kategorie'!$A$5:$G$45,5,0)+0,0))</f>
        <v/>
      </c>
      <c r="BZ1503" s="58">
        <f>IFERROR(IF(OR(BQ1503=1,BQ1503=2,BQ1503=3),N(INDEX(Parameter!$I$5:$I$7,BQ1503)),0),0)</f>
        <v/>
      </c>
    </row>
    <row r="1504">
      <c r="A1504" s="53">
        <f>IF('Neue Artikel'!$A$38="","",'Neue Artikel'!$A$38&amp;"")</f>
        <v/>
      </c>
      <c r="B1504" s="53">
        <f>'Neue Artikel'!$B$38&amp;""</f>
        <v/>
      </c>
      <c r="C1504" s="53" t="inlineStr"/>
      <c r="D1504" s="53" t="inlineStr">
        <is>
          <t>NEU</t>
        </is>
      </c>
      <c r="E1504" s="53" t="inlineStr"/>
      <c r="F1504" s="54">
        <f>N('Neue Artikel'!$G$38)</f>
        <v/>
      </c>
      <c r="G1504" s="55">
        <f>MAX(0,IF(Parameter!$B$20="Jahresanfang 2025 + Export",BG1504+BF1504,BF1504))</f>
        <v/>
      </c>
      <c r="H1504" s="55">
        <f>G1504*F1504</f>
        <v/>
      </c>
      <c r="I1504" s="55">
        <f>BI1504*Parameter!$B$18</f>
        <v/>
      </c>
      <c r="J1504" s="56" t="n"/>
      <c r="K1504" s="57" t="n"/>
      <c r="L1504" s="55">
        <f>N('Neue Artikel'!$E$38)</f>
        <v/>
      </c>
      <c r="M1504" s="55">
        <f>N('Neue Artikel'!$F$38)</f>
        <v/>
      </c>
      <c r="N1504" s="58" t="n"/>
      <c r="O1504" s="53">
        <f>IF('Neue Artikel'!$H$38="","LOSE",UPPER(TRIM('Neue Artikel'!$H$38)))</f>
        <v/>
      </c>
      <c r="P1504" s="55">
        <f>N('Neue Artikel'!$I$38)</f>
        <v/>
      </c>
      <c r="Q1504" s="59">
        <f>IF(BO1504=1,0,IFERROR(VLOOKUP(BM1504,'Gebinde-Kategorie'!$A$5:$G$45,6,0)+0,0))</f>
        <v/>
      </c>
      <c r="R1504" s="60" t="n"/>
      <c r="S1504" s="61" t="n"/>
      <c r="T1504" s="61" t="n"/>
      <c r="U1504" s="53">
        <f>IF(A1504="","",IF(IFERROR(VLOOKUP(D1504,Parameter!$A$35:$C$64,2,0),"Nein")="2+3",IF(ISNUMBER(SEARCH("grosser Artikel",BJ1504)),2,IFERROR(VLOOKUP(BM1504,Parameter!$F$35:$G$64,2,0),2)),IF(OR(IFERROR(VLOOKUP(D1504,Parameter!$A$35:$C$64,2,0),"Nein")="Nein",IFERROR(VLOOKUP(D1504,Parameter!$A$35:$C$64,2,0),"Nein")=""),"-",VLOOKUP(D1504,Parameter!$A$35:$C$64,2,0))))</f>
        <v/>
      </c>
      <c r="V1504" s="53">
        <f>IF('Neue Artikel'!$J$38="","",'Neue Artikel'!$J$38)</f>
        <v/>
      </c>
      <c r="W1504" s="62" t="n"/>
      <c r="X1504" s="55">
        <f>AM1504</f>
        <v/>
      </c>
      <c r="Y1504" s="55">
        <f>MAX(AM1504,G1504)</f>
        <v/>
      </c>
      <c r="Z1504" s="63" t="n"/>
      <c r="AA1504" s="55">
        <f>IF(LEFT(Cockpit!$C$5,1)="A",G1504,IF(BT1504=1,BU1504,IF(LEFT(Cockpit!$C$5,1)="B",AE1504,MAX(AE1504,G1504))))</f>
        <v/>
      </c>
      <c r="AB1504" s="55">
        <f>IF(BO1504=1,0,ROUNDUP(AA1504/BN1504,0))</f>
        <v/>
      </c>
      <c r="AC1504" s="64">
        <f>IF(BO1504=1,IF(AA1504&lt;=0,0,BP1504*MAX(1,IF(G1504&gt;0,AA1504/G1504,1))),AB1504*Q1504)</f>
        <v/>
      </c>
      <c r="AD1504" s="55">
        <f>AA1504*F1504</f>
        <v/>
      </c>
      <c r="AE1504" s="55">
        <f>ROUNDUP(MAX(I1504/IF(BS1504&gt;0,BS1504,MAX(0.1,N(Cockpit!$C$6))),BV1504)/BN1504,0)*BN1504</f>
        <v/>
      </c>
      <c r="AF1504" s="56">
        <f>IF(AC1504&gt;0,I1504/AC1504,-1)</f>
        <v/>
      </c>
      <c r="AG1504" s="56">
        <f>IF(AND(OR(BR1504="L1",BR1504="L23"),AC1504&gt;0),SUMIFS($AC$7:$AC$1570,$BR$7:$BR$1570,BR1504,$AF$7:$AF$1570,"&gt;"&amp;AF1504)+SUMIFS($AC$7:$AC$1570,$BR$7:$BR$1570,BR1504,$AF$7:$AF$1570,AF1504,$BL$7:$BL$1570,"&lt;="&amp;BL1504),"")</f>
        <v/>
      </c>
      <c r="AH1504" s="65">
        <f>IF(AG1504="",0,MAX(0,MIN(1,(IF(BR1504="L1",Parameter!$K$5,Parameter!$K$6+Parameter!$K$7)-(AG1504-AC1504))/AC1504)))</f>
        <v/>
      </c>
      <c r="AI1504" s="55">
        <f>IF(LEFT(Cockpit!$I$5,1)="A",G1504,IF(BT1504=1,BU1504,IF(LEFT(Cockpit!$I$5,1)="B",AM1504,MAX(AM1504,G1504))))</f>
        <v/>
      </c>
      <c r="AJ1504" s="55">
        <f>IF(BO1504=1,0,ROUNDUP(AI1504/BN1504,0))</f>
        <v/>
      </c>
      <c r="AK1504" s="64">
        <f>IF(BO1504=1,IF(AI1504&lt;=0,0,BP1504*MAX(1,IF(G1504&gt;0,AI1504/G1504,1))),AJ1504*Q1504)</f>
        <v/>
      </c>
      <c r="AL1504" s="55">
        <f>AI1504*F1504</f>
        <v/>
      </c>
      <c r="AM1504" s="55">
        <f>ROUNDUP(MAX(I1504/IF(BS1504&gt;0,BS1504,MAX(0.1,N(Cockpit!$I$6))),BV1504)/BN1504,0)*BN1504</f>
        <v/>
      </c>
      <c r="AN1504" s="56">
        <f>IF(AK1504&gt;0,I1504/AK1504,-1)</f>
        <v/>
      </c>
      <c r="AO1504" s="56">
        <f>IF(AND(OR(BR1504="L1",BR1504="L23"),AK1504&gt;0),SUMIFS($AK$7:$AK$1570,$BR$7:$BR$1570,BR1504,$AN$7:$AN$1570,"&gt;"&amp;AN1504)+SUMIFS($AK$7:$AK$1570,$BR$7:$BR$1570,BR1504,$AN$7:$AN$1570,AN1504,$BL$7:$BL$1570,"&lt;="&amp;BL1504),"")</f>
        <v/>
      </c>
      <c r="AP1504" s="65">
        <f>IF(AO1504="",0,MAX(0,MIN(1,(IF(BR1504="L1",Parameter!$K$5,Parameter!$K$6+Parameter!$K$7)-(AO1504-AK1504))/AK1504)))</f>
        <v/>
      </c>
      <c r="AQ1504" s="55">
        <f>IF(LEFT(Cockpit!$O$5,1)="A",G1504,IF(BT1504=1,BU1504,IF(LEFT(Cockpit!$O$5,1)="B",AU1504,MAX(AU1504,G1504))))</f>
        <v/>
      </c>
      <c r="AR1504" s="55">
        <f>IF(BO1504=1,0,ROUNDUP(AQ1504/BN1504,0))</f>
        <v/>
      </c>
      <c r="AS1504" s="64">
        <f>IF(BO1504=1,IF(AQ1504&lt;=0,0,BP1504*MAX(1,IF(G1504&gt;0,AQ1504/G1504,1))),AR1504*Q1504)</f>
        <v/>
      </c>
      <c r="AT1504" s="55">
        <f>AQ1504*F1504</f>
        <v/>
      </c>
      <c r="AU1504" s="55">
        <f>ROUNDUP(MAX(I1504/IF(BS1504&gt;0,BS1504,MAX(0.1,N(Cockpit!$O$6))),BV1504)/BN1504,0)*BN1504</f>
        <v/>
      </c>
      <c r="AV1504" s="56">
        <f>IF(AS1504&gt;0,I1504/AS1504,-1)</f>
        <v/>
      </c>
      <c r="AW1504" s="56">
        <f>IF(AND(OR(BR1504="L1",BR1504="L23"),AS1504&gt;0),SUMIFS($AS$7:$AS$1570,$BR$7:$BR$1570,BR1504,$AV$7:$AV$1570,"&gt;"&amp;AV1504)+SUMIFS($AS$7:$AS$1570,$BR$7:$BR$1570,BR1504,$AV$7:$AV$1570,AV1504,$BL$7:$BL$1570,"&lt;="&amp;BL1504),"")</f>
        <v/>
      </c>
      <c r="AX1504" s="65">
        <f>IF(AW1504="",0,MAX(0,MIN(1,(IF(BR1504="L1",Parameter!$K$5,Parameter!$K$6+Parameter!$K$7)-(AW1504-AS1504))/AS1504)))</f>
        <v/>
      </c>
      <c r="AY1504" s="53">
        <f>IF(AC1504&lt;=0,"",IF(BR1504="Aussen","Aussenlager",IF(BR1504="-","Nicht im Lift",IF(AH1504&gt;=1,"Lift",IF(AH1504&lt;=0,"Aussenlager","teilweise")))))</f>
        <v/>
      </c>
      <c r="AZ1504" s="53">
        <f>IF(AK1504&lt;=0,"",IF(BR1504="Aussen","Aussenlager",IF(BR1504="-","Nicht im Lift",IF(AP1504&gt;=1,"Lift",IF(AP1504&lt;=0,"Aussenlager","teilweise")))))</f>
        <v/>
      </c>
      <c r="BA1504" s="53">
        <f>IF(AS1504&lt;=0,"",IF(BR1504="Aussen","Aussenlager",IF(BR1504="-","Nicht im Lift",IF(AX1504&gt;=1,"Lift",IF(AX1504&lt;=0,"Aussenlager","teilweise")))))</f>
        <v/>
      </c>
      <c r="BB1504" s="53">
        <f>IF(A1504="","",IF(BK1504=1,"Neu; ","")&amp;IF(AND(BK1504=0,BF1504&lt;0),"negativer Bestand (Export "&amp;BF1504&amp;"); ","")&amp;IF(I1504&lt;=0,"Kein Verbrauch; ","")&amp;IF(BO1504=1,"Lose – Fläche geschätzt; ","")&amp;IF(G1504&gt;AM1504,"Überbestand "&amp;ROUND(G1504-AM1504,0)&amp;" Stk / CHF "&amp;ROUND((G1504-AM1504)*F1504,0)&amp;"; ","")&amp;IF(AND(BT1504=1,BU1504&lt;BV1504),"MAX &lt; MB+LG; ","")&amp;IF(AND(BZ1504&gt;0,BY1504*10&gt;BZ1504),"zu hoch für Tablar; ","")&amp;IF(AND(BK1504=0,OR(BT1504=1,V1504&lt;&gt;"",S1504&lt;&gt;"",T1504&lt;&gt;"",W1504&lt;&gt;"")),"manuell übersteuert; ","")&amp;IF(AND(BO1504=0,Q1504=0),"Gebinde unbekannt; ","")&amp;IF(AND(BO1504=0,N(T1504)&lt;=0,N(P1504)&lt;=0),"Menge pro Gebinde fehlt (Ist = 1 Gebinde); ","")&amp;BJ1504)</f>
        <v/>
      </c>
      <c r="BC1504" s="53" t="n"/>
      <c r="BD1504" s="53" t="n"/>
      <c r="BE1504" s="61" t="n"/>
      <c r="BF1504" s="55">
        <f>N('Neue Artikel'!$D$38)</f>
        <v/>
      </c>
      <c r="BG1504" s="55" t="n">
        <v>0</v>
      </c>
      <c r="BH1504" s="54" t="n">
        <v>0</v>
      </c>
      <c r="BI1504" s="55">
        <f>N('Neue Artikel'!$C$38)/Parameter!$B$18</f>
        <v/>
      </c>
      <c r="BJ1504" s="53" t="inlineStr"/>
      <c r="BK1504" s="58" t="n">
        <v>1</v>
      </c>
      <c r="BL1504" s="58" t="n">
        <v>1504</v>
      </c>
      <c r="BM1504" s="53">
        <f>IF(S1504&lt;&gt;"",UPPER(TRIM(S1504)),IF(O1504="","LOSE",O1504))</f>
        <v/>
      </c>
      <c r="BN1504" s="55">
        <f>IF(BM1504="LOSE",1,IF(N(T1504)&gt;0,T1504,IF(N(P1504)&gt;0,P1504,MAX(1,G1504))))</f>
        <v/>
      </c>
      <c r="BO1504" s="58">
        <f>IF(BM1504="LOSE",1,0)</f>
        <v/>
      </c>
      <c r="BP1504" s="64">
        <f>IF(BO1504=0,0,IF(N(R1504)&gt;0,R1504,IFERROR(VLOOKUP(D1504,Parameter!$A$35:$C$64,3,0)+0,0)))</f>
        <v/>
      </c>
      <c r="BQ1504" s="53">
        <f>IF(V1504&lt;&gt;"",V1504,U1504)</f>
        <v/>
      </c>
      <c r="BR1504" s="53">
        <f>IF(BQ1504=1,"L1",IF(OR(BQ1504=2,BQ1504=3),"L23",IF(BQ1504="Aussen","Aussen","-")))</f>
        <v/>
      </c>
      <c r="BS1504" s="66">
        <f>IF(N(W1504)&gt;0,W1504,0)</f>
        <v/>
      </c>
      <c r="BT1504" s="58">
        <f>IF(ISNUMBER(Z1504),1,0)</f>
        <v/>
      </c>
      <c r="BU1504" s="55">
        <f>N(Z1504)</f>
        <v/>
      </c>
      <c r="BV1504" s="55">
        <f>N(L1504)+N(M1504)</f>
        <v/>
      </c>
      <c r="BW1504" s="55">
        <f>ROUNDUP(G1504/BN1504,0)</f>
        <v/>
      </c>
      <c r="BX1504" s="55">
        <f>ROUNDUP(BU1504/BN1504,0)</f>
        <v/>
      </c>
      <c r="BY1504" s="58">
        <f>IF(BO1504=1,0,IFERROR(VLOOKUP(BM1504,'Gebinde-Kategorie'!$A$5:$G$45,5,0)+0,0))</f>
        <v/>
      </c>
      <c r="BZ1504" s="58">
        <f>IFERROR(IF(OR(BQ1504=1,BQ1504=2,BQ1504=3),N(INDEX(Parameter!$I$5:$I$7,BQ1504)),0),0)</f>
        <v/>
      </c>
    </row>
    <row r="1505">
      <c r="A1505" s="53">
        <f>IF('Neue Artikel'!$A$39="","",'Neue Artikel'!$A$39&amp;"")</f>
        <v/>
      </c>
      <c r="B1505" s="53">
        <f>'Neue Artikel'!$B$39&amp;""</f>
        <v/>
      </c>
      <c r="C1505" s="53" t="inlineStr"/>
      <c r="D1505" s="53" t="inlineStr">
        <is>
          <t>NEU</t>
        </is>
      </c>
      <c r="E1505" s="53" t="inlineStr"/>
      <c r="F1505" s="54">
        <f>N('Neue Artikel'!$G$39)</f>
        <v/>
      </c>
      <c r="G1505" s="55">
        <f>MAX(0,IF(Parameter!$B$20="Jahresanfang 2025 + Export",BG1505+BF1505,BF1505))</f>
        <v/>
      </c>
      <c r="H1505" s="55">
        <f>G1505*F1505</f>
        <v/>
      </c>
      <c r="I1505" s="55">
        <f>BI1505*Parameter!$B$18</f>
        <v/>
      </c>
      <c r="J1505" s="56" t="n"/>
      <c r="K1505" s="57" t="n"/>
      <c r="L1505" s="55">
        <f>N('Neue Artikel'!$E$39)</f>
        <v/>
      </c>
      <c r="M1505" s="55">
        <f>N('Neue Artikel'!$F$39)</f>
        <v/>
      </c>
      <c r="N1505" s="58" t="n"/>
      <c r="O1505" s="53">
        <f>IF('Neue Artikel'!$H$39="","LOSE",UPPER(TRIM('Neue Artikel'!$H$39)))</f>
        <v/>
      </c>
      <c r="P1505" s="55">
        <f>N('Neue Artikel'!$I$39)</f>
        <v/>
      </c>
      <c r="Q1505" s="59">
        <f>IF(BO1505=1,0,IFERROR(VLOOKUP(BM1505,'Gebinde-Kategorie'!$A$5:$G$45,6,0)+0,0))</f>
        <v/>
      </c>
      <c r="R1505" s="60" t="n"/>
      <c r="S1505" s="61" t="n"/>
      <c r="T1505" s="61" t="n"/>
      <c r="U1505" s="53">
        <f>IF(A1505="","",IF(IFERROR(VLOOKUP(D1505,Parameter!$A$35:$C$64,2,0),"Nein")="2+3",IF(ISNUMBER(SEARCH("grosser Artikel",BJ1505)),2,IFERROR(VLOOKUP(BM1505,Parameter!$F$35:$G$64,2,0),2)),IF(OR(IFERROR(VLOOKUP(D1505,Parameter!$A$35:$C$64,2,0),"Nein")="Nein",IFERROR(VLOOKUP(D1505,Parameter!$A$35:$C$64,2,0),"Nein")=""),"-",VLOOKUP(D1505,Parameter!$A$35:$C$64,2,0))))</f>
        <v/>
      </c>
      <c r="V1505" s="53">
        <f>IF('Neue Artikel'!$J$39="","",'Neue Artikel'!$J$39)</f>
        <v/>
      </c>
      <c r="W1505" s="62" t="n"/>
      <c r="X1505" s="55">
        <f>AM1505</f>
        <v/>
      </c>
      <c r="Y1505" s="55">
        <f>MAX(AM1505,G1505)</f>
        <v/>
      </c>
      <c r="Z1505" s="63" t="n"/>
      <c r="AA1505" s="55">
        <f>IF(LEFT(Cockpit!$C$5,1)="A",G1505,IF(BT1505=1,BU1505,IF(LEFT(Cockpit!$C$5,1)="B",AE1505,MAX(AE1505,G1505))))</f>
        <v/>
      </c>
      <c r="AB1505" s="55">
        <f>IF(BO1505=1,0,ROUNDUP(AA1505/BN1505,0))</f>
        <v/>
      </c>
      <c r="AC1505" s="64">
        <f>IF(BO1505=1,IF(AA1505&lt;=0,0,BP1505*MAX(1,IF(G1505&gt;0,AA1505/G1505,1))),AB1505*Q1505)</f>
        <v/>
      </c>
      <c r="AD1505" s="55">
        <f>AA1505*F1505</f>
        <v/>
      </c>
      <c r="AE1505" s="55">
        <f>ROUNDUP(MAX(I1505/IF(BS1505&gt;0,BS1505,MAX(0.1,N(Cockpit!$C$6))),BV1505)/BN1505,0)*BN1505</f>
        <v/>
      </c>
      <c r="AF1505" s="56">
        <f>IF(AC1505&gt;0,I1505/AC1505,-1)</f>
        <v/>
      </c>
      <c r="AG1505" s="56">
        <f>IF(AND(OR(BR1505="L1",BR1505="L23"),AC1505&gt;0),SUMIFS($AC$7:$AC$1570,$BR$7:$BR$1570,BR1505,$AF$7:$AF$1570,"&gt;"&amp;AF1505)+SUMIFS($AC$7:$AC$1570,$BR$7:$BR$1570,BR1505,$AF$7:$AF$1570,AF1505,$BL$7:$BL$1570,"&lt;="&amp;BL1505),"")</f>
        <v/>
      </c>
      <c r="AH1505" s="65">
        <f>IF(AG1505="",0,MAX(0,MIN(1,(IF(BR1505="L1",Parameter!$K$5,Parameter!$K$6+Parameter!$K$7)-(AG1505-AC1505))/AC1505)))</f>
        <v/>
      </c>
      <c r="AI1505" s="55">
        <f>IF(LEFT(Cockpit!$I$5,1)="A",G1505,IF(BT1505=1,BU1505,IF(LEFT(Cockpit!$I$5,1)="B",AM1505,MAX(AM1505,G1505))))</f>
        <v/>
      </c>
      <c r="AJ1505" s="55">
        <f>IF(BO1505=1,0,ROUNDUP(AI1505/BN1505,0))</f>
        <v/>
      </c>
      <c r="AK1505" s="64">
        <f>IF(BO1505=1,IF(AI1505&lt;=0,0,BP1505*MAX(1,IF(G1505&gt;0,AI1505/G1505,1))),AJ1505*Q1505)</f>
        <v/>
      </c>
      <c r="AL1505" s="55">
        <f>AI1505*F1505</f>
        <v/>
      </c>
      <c r="AM1505" s="55">
        <f>ROUNDUP(MAX(I1505/IF(BS1505&gt;0,BS1505,MAX(0.1,N(Cockpit!$I$6))),BV1505)/BN1505,0)*BN1505</f>
        <v/>
      </c>
      <c r="AN1505" s="56">
        <f>IF(AK1505&gt;0,I1505/AK1505,-1)</f>
        <v/>
      </c>
      <c r="AO1505" s="56">
        <f>IF(AND(OR(BR1505="L1",BR1505="L23"),AK1505&gt;0),SUMIFS($AK$7:$AK$1570,$BR$7:$BR$1570,BR1505,$AN$7:$AN$1570,"&gt;"&amp;AN1505)+SUMIFS($AK$7:$AK$1570,$BR$7:$BR$1570,BR1505,$AN$7:$AN$1570,AN1505,$BL$7:$BL$1570,"&lt;="&amp;BL1505),"")</f>
        <v/>
      </c>
      <c r="AP1505" s="65">
        <f>IF(AO1505="",0,MAX(0,MIN(1,(IF(BR1505="L1",Parameter!$K$5,Parameter!$K$6+Parameter!$K$7)-(AO1505-AK1505))/AK1505)))</f>
        <v/>
      </c>
      <c r="AQ1505" s="55">
        <f>IF(LEFT(Cockpit!$O$5,1)="A",G1505,IF(BT1505=1,BU1505,IF(LEFT(Cockpit!$O$5,1)="B",AU1505,MAX(AU1505,G1505))))</f>
        <v/>
      </c>
      <c r="AR1505" s="55">
        <f>IF(BO1505=1,0,ROUNDUP(AQ1505/BN1505,0))</f>
        <v/>
      </c>
      <c r="AS1505" s="64">
        <f>IF(BO1505=1,IF(AQ1505&lt;=0,0,BP1505*MAX(1,IF(G1505&gt;0,AQ1505/G1505,1))),AR1505*Q1505)</f>
        <v/>
      </c>
      <c r="AT1505" s="55">
        <f>AQ1505*F1505</f>
        <v/>
      </c>
      <c r="AU1505" s="55">
        <f>ROUNDUP(MAX(I1505/IF(BS1505&gt;0,BS1505,MAX(0.1,N(Cockpit!$O$6))),BV1505)/BN1505,0)*BN1505</f>
        <v/>
      </c>
      <c r="AV1505" s="56">
        <f>IF(AS1505&gt;0,I1505/AS1505,-1)</f>
        <v/>
      </c>
      <c r="AW1505" s="56">
        <f>IF(AND(OR(BR1505="L1",BR1505="L23"),AS1505&gt;0),SUMIFS($AS$7:$AS$1570,$BR$7:$BR$1570,BR1505,$AV$7:$AV$1570,"&gt;"&amp;AV1505)+SUMIFS($AS$7:$AS$1570,$BR$7:$BR$1570,BR1505,$AV$7:$AV$1570,AV1505,$BL$7:$BL$1570,"&lt;="&amp;BL1505),"")</f>
        <v/>
      </c>
      <c r="AX1505" s="65">
        <f>IF(AW1505="",0,MAX(0,MIN(1,(IF(BR1505="L1",Parameter!$K$5,Parameter!$K$6+Parameter!$K$7)-(AW1505-AS1505))/AS1505)))</f>
        <v/>
      </c>
      <c r="AY1505" s="53">
        <f>IF(AC1505&lt;=0,"",IF(BR1505="Aussen","Aussenlager",IF(BR1505="-","Nicht im Lift",IF(AH1505&gt;=1,"Lift",IF(AH1505&lt;=0,"Aussenlager","teilweise")))))</f>
        <v/>
      </c>
      <c r="AZ1505" s="53">
        <f>IF(AK1505&lt;=0,"",IF(BR1505="Aussen","Aussenlager",IF(BR1505="-","Nicht im Lift",IF(AP1505&gt;=1,"Lift",IF(AP1505&lt;=0,"Aussenlager","teilweise")))))</f>
        <v/>
      </c>
      <c r="BA1505" s="53">
        <f>IF(AS1505&lt;=0,"",IF(BR1505="Aussen","Aussenlager",IF(BR1505="-","Nicht im Lift",IF(AX1505&gt;=1,"Lift",IF(AX1505&lt;=0,"Aussenlager","teilweise")))))</f>
        <v/>
      </c>
      <c r="BB1505" s="53">
        <f>IF(A1505="","",IF(BK1505=1,"Neu; ","")&amp;IF(AND(BK1505=0,BF1505&lt;0),"negativer Bestand (Export "&amp;BF1505&amp;"); ","")&amp;IF(I1505&lt;=0,"Kein Verbrauch; ","")&amp;IF(BO1505=1,"Lose – Fläche geschätzt; ","")&amp;IF(G1505&gt;AM1505,"Überbestand "&amp;ROUND(G1505-AM1505,0)&amp;" Stk / CHF "&amp;ROUND((G1505-AM1505)*F1505,0)&amp;"; ","")&amp;IF(AND(BT1505=1,BU1505&lt;BV1505),"MAX &lt; MB+LG; ","")&amp;IF(AND(BZ1505&gt;0,BY1505*10&gt;BZ1505),"zu hoch für Tablar; ","")&amp;IF(AND(BK1505=0,OR(BT1505=1,V1505&lt;&gt;"",S1505&lt;&gt;"",T1505&lt;&gt;"",W1505&lt;&gt;"")),"manuell übersteuert; ","")&amp;IF(AND(BO1505=0,Q1505=0),"Gebinde unbekannt; ","")&amp;IF(AND(BO1505=0,N(T1505)&lt;=0,N(P1505)&lt;=0),"Menge pro Gebinde fehlt (Ist = 1 Gebinde); ","")&amp;BJ1505)</f>
        <v/>
      </c>
      <c r="BC1505" s="53" t="n"/>
      <c r="BD1505" s="53" t="n"/>
      <c r="BE1505" s="61" t="n"/>
      <c r="BF1505" s="55">
        <f>N('Neue Artikel'!$D$39)</f>
        <v/>
      </c>
      <c r="BG1505" s="55" t="n">
        <v>0</v>
      </c>
      <c r="BH1505" s="54" t="n">
        <v>0</v>
      </c>
      <c r="BI1505" s="55">
        <f>N('Neue Artikel'!$C$39)/Parameter!$B$18</f>
        <v/>
      </c>
      <c r="BJ1505" s="53" t="inlineStr"/>
      <c r="BK1505" s="58" t="n">
        <v>1</v>
      </c>
      <c r="BL1505" s="58" t="n">
        <v>1505</v>
      </c>
      <c r="BM1505" s="53">
        <f>IF(S1505&lt;&gt;"",UPPER(TRIM(S1505)),IF(O1505="","LOSE",O1505))</f>
        <v/>
      </c>
      <c r="BN1505" s="55">
        <f>IF(BM1505="LOSE",1,IF(N(T1505)&gt;0,T1505,IF(N(P1505)&gt;0,P1505,MAX(1,G1505))))</f>
        <v/>
      </c>
      <c r="BO1505" s="58">
        <f>IF(BM1505="LOSE",1,0)</f>
        <v/>
      </c>
      <c r="BP1505" s="64">
        <f>IF(BO1505=0,0,IF(N(R1505)&gt;0,R1505,IFERROR(VLOOKUP(D1505,Parameter!$A$35:$C$64,3,0)+0,0)))</f>
        <v/>
      </c>
      <c r="BQ1505" s="53">
        <f>IF(V1505&lt;&gt;"",V1505,U1505)</f>
        <v/>
      </c>
      <c r="BR1505" s="53">
        <f>IF(BQ1505=1,"L1",IF(OR(BQ1505=2,BQ1505=3),"L23",IF(BQ1505="Aussen","Aussen","-")))</f>
        <v/>
      </c>
      <c r="BS1505" s="66">
        <f>IF(N(W1505)&gt;0,W1505,0)</f>
        <v/>
      </c>
      <c r="BT1505" s="58">
        <f>IF(ISNUMBER(Z1505),1,0)</f>
        <v/>
      </c>
      <c r="BU1505" s="55">
        <f>N(Z1505)</f>
        <v/>
      </c>
      <c r="BV1505" s="55">
        <f>N(L1505)+N(M1505)</f>
        <v/>
      </c>
      <c r="BW1505" s="55">
        <f>ROUNDUP(G1505/BN1505,0)</f>
        <v/>
      </c>
      <c r="BX1505" s="55">
        <f>ROUNDUP(BU1505/BN1505,0)</f>
        <v/>
      </c>
      <c r="BY1505" s="58">
        <f>IF(BO1505=1,0,IFERROR(VLOOKUP(BM1505,'Gebinde-Kategorie'!$A$5:$G$45,5,0)+0,0))</f>
        <v/>
      </c>
      <c r="BZ1505" s="58">
        <f>IFERROR(IF(OR(BQ1505=1,BQ1505=2,BQ1505=3),N(INDEX(Parameter!$I$5:$I$7,BQ1505)),0),0)</f>
        <v/>
      </c>
    </row>
    <row r="1506">
      <c r="A1506" s="53">
        <f>IF('Neue Artikel'!$A$40="","",'Neue Artikel'!$A$40&amp;"")</f>
        <v/>
      </c>
      <c r="B1506" s="53">
        <f>'Neue Artikel'!$B$40&amp;""</f>
        <v/>
      </c>
      <c r="C1506" s="53" t="inlineStr"/>
      <c r="D1506" s="53" t="inlineStr">
        <is>
          <t>NEU</t>
        </is>
      </c>
      <c r="E1506" s="53" t="inlineStr"/>
      <c r="F1506" s="54">
        <f>N('Neue Artikel'!$G$40)</f>
        <v/>
      </c>
      <c r="G1506" s="55">
        <f>MAX(0,IF(Parameter!$B$20="Jahresanfang 2025 + Export",BG1506+BF1506,BF1506))</f>
        <v/>
      </c>
      <c r="H1506" s="55">
        <f>G1506*F1506</f>
        <v/>
      </c>
      <c r="I1506" s="55">
        <f>BI1506*Parameter!$B$18</f>
        <v/>
      </c>
      <c r="J1506" s="56" t="n"/>
      <c r="K1506" s="57" t="n"/>
      <c r="L1506" s="55">
        <f>N('Neue Artikel'!$E$40)</f>
        <v/>
      </c>
      <c r="M1506" s="55">
        <f>N('Neue Artikel'!$F$40)</f>
        <v/>
      </c>
      <c r="N1506" s="58" t="n"/>
      <c r="O1506" s="53">
        <f>IF('Neue Artikel'!$H$40="","LOSE",UPPER(TRIM('Neue Artikel'!$H$40)))</f>
        <v/>
      </c>
      <c r="P1506" s="55">
        <f>N('Neue Artikel'!$I$40)</f>
        <v/>
      </c>
      <c r="Q1506" s="59">
        <f>IF(BO1506=1,0,IFERROR(VLOOKUP(BM1506,'Gebinde-Kategorie'!$A$5:$G$45,6,0)+0,0))</f>
        <v/>
      </c>
      <c r="R1506" s="60" t="n"/>
      <c r="S1506" s="61" t="n"/>
      <c r="T1506" s="61" t="n"/>
      <c r="U1506" s="53">
        <f>IF(A1506="","",IF(IFERROR(VLOOKUP(D1506,Parameter!$A$35:$C$64,2,0),"Nein")="2+3",IF(ISNUMBER(SEARCH("grosser Artikel",BJ1506)),2,IFERROR(VLOOKUP(BM1506,Parameter!$F$35:$G$64,2,0),2)),IF(OR(IFERROR(VLOOKUP(D1506,Parameter!$A$35:$C$64,2,0),"Nein")="Nein",IFERROR(VLOOKUP(D1506,Parameter!$A$35:$C$64,2,0),"Nein")=""),"-",VLOOKUP(D1506,Parameter!$A$35:$C$64,2,0))))</f>
        <v/>
      </c>
      <c r="V1506" s="53">
        <f>IF('Neue Artikel'!$J$40="","",'Neue Artikel'!$J$40)</f>
        <v/>
      </c>
      <c r="W1506" s="62" t="n"/>
      <c r="X1506" s="55">
        <f>AM1506</f>
        <v/>
      </c>
      <c r="Y1506" s="55">
        <f>MAX(AM1506,G1506)</f>
        <v/>
      </c>
      <c r="Z1506" s="63" t="n"/>
      <c r="AA1506" s="55">
        <f>IF(LEFT(Cockpit!$C$5,1)="A",G1506,IF(BT1506=1,BU1506,IF(LEFT(Cockpit!$C$5,1)="B",AE1506,MAX(AE1506,G1506))))</f>
        <v/>
      </c>
      <c r="AB1506" s="55">
        <f>IF(BO1506=1,0,ROUNDUP(AA1506/BN1506,0))</f>
        <v/>
      </c>
      <c r="AC1506" s="64">
        <f>IF(BO1506=1,IF(AA1506&lt;=0,0,BP1506*MAX(1,IF(G1506&gt;0,AA1506/G1506,1))),AB1506*Q1506)</f>
        <v/>
      </c>
      <c r="AD1506" s="55">
        <f>AA1506*F1506</f>
        <v/>
      </c>
      <c r="AE1506" s="55">
        <f>ROUNDUP(MAX(I1506/IF(BS1506&gt;0,BS1506,MAX(0.1,N(Cockpit!$C$6))),BV1506)/BN1506,0)*BN1506</f>
        <v/>
      </c>
      <c r="AF1506" s="56">
        <f>IF(AC1506&gt;0,I1506/AC1506,-1)</f>
        <v/>
      </c>
      <c r="AG1506" s="56">
        <f>IF(AND(OR(BR1506="L1",BR1506="L23"),AC1506&gt;0),SUMIFS($AC$7:$AC$1570,$BR$7:$BR$1570,BR1506,$AF$7:$AF$1570,"&gt;"&amp;AF1506)+SUMIFS($AC$7:$AC$1570,$BR$7:$BR$1570,BR1506,$AF$7:$AF$1570,AF1506,$BL$7:$BL$1570,"&lt;="&amp;BL1506),"")</f>
        <v/>
      </c>
      <c r="AH1506" s="65">
        <f>IF(AG1506="",0,MAX(0,MIN(1,(IF(BR1506="L1",Parameter!$K$5,Parameter!$K$6+Parameter!$K$7)-(AG1506-AC1506))/AC1506)))</f>
        <v/>
      </c>
      <c r="AI1506" s="55">
        <f>IF(LEFT(Cockpit!$I$5,1)="A",G1506,IF(BT1506=1,BU1506,IF(LEFT(Cockpit!$I$5,1)="B",AM1506,MAX(AM1506,G1506))))</f>
        <v/>
      </c>
      <c r="AJ1506" s="55">
        <f>IF(BO1506=1,0,ROUNDUP(AI1506/BN1506,0))</f>
        <v/>
      </c>
      <c r="AK1506" s="64">
        <f>IF(BO1506=1,IF(AI1506&lt;=0,0,BP1506*MAX(1,IF(G1506&gt;0,AI1506/G1506,1))),AJ1506*Q1506)</f>
        <v/>
      </c>
      <c r="AL1506" s="55">
        <f>AI1506*F1506</f>
        <v/>
      </c>
      <c r="AM1506" s="55">
        <f>ROUNDUP(MAX(I1506/IF(BS1506&gt;0,BS1506,MAX(0.1,N(Cockpit!$I$6))),BV1506)/BN1506,0)*BN1506</f>
        <v/>
      </c>
      <c r="AN1506" s="56">
        <f>IF(AK1506&gt;0,I1506/AK1506,-1)</f>
        <v/>
      </c>
      <c r="AO1506" s="56">
        <f>IF(AND(OR(BR1506="L1",BR1506="L23"),AK1506&gt;0),SUMIFS($AK$7:$AK$1570,$BR$7:$BR$1570,BR1506,$AN$7:$AN$1570,"&gt;"&amp;AN1506)+SUMIFS($AK$7:$AK$1570,$BR$7:$BR$1570,BR1506,$AN$7:$AN$1570,AN1506,$BL$7:$BL$1570,"&lt;="&amp;BL1506),"")</f>
        <v/>
      </c>
      <c r="AP1506" s="65">
        <f>IF(AO1506="",0,MAX(0,MIN(1,(IF(BR1506="L1",Parameter!$K$5,Parameter!$K$6+Parameter!$K$7)-(AO1506-AK1506))/AK1506)))</f>
        <v/>
      </c>
      <c r="AQ1506" s="55">
        <f>IF(LEFT(Cockpit!$O$5,1)="A",G1506,IF(BT1506=1,BU1506,IF(LEFT(Cockpit!$O$5,1)="B",AU1506,MAX(AU1506,G1506))))</f>
        <v/>
      </c>
      <c r="AR1506" s="55">
        <f>IF(BO1506=1,0,ROUNDUP(AQ1506/BN1506,0))</f>
        <v/>
      </c>
      <c r="AS1506" s="64">
        <f>IF(BO1506=1,IF(AQ1506&lt;=0,0,BP1506*MAX(1,IF(G1506&gt;0,AQ1506/G1506,1))),AR1506*Q1506)</f>
        <v/>
      </c>
      <c r="AT1506" s="55">
        <f>AQ1506*F1506</f>
        <v/>
      </c>
      <c r="AU1506" s="55">
        <f>ROUNDUP(MAX(I1506/IF(BS1506&gt;0,BS1506,MAX(0.1,N(Cockpit!$O$6))),BV1506)/BN1506,0)*BN1506</f>
        <v/>
      </c>
      <c r="AV1506" s="56">
        <f>IF(AS1506&gt;0,I1506/AS1506,-1)</f>
        <v/>
      </c>
      <c r="AW1506" s="56">
        <f>IF(AND(OR(BR1506="L1",BR1506="L23"),AS1506&gt;0),SUMIFS($AS$7:$AS$1570,$BR$7:$BR$1570,BR1506,$AV$7:$AV$1570,"&gt;"&amp;AV1506)+SUMIFS($AS$7:$AS$1570,$BR$7:$BR$1570,BR1506,$AV$7:$AV$1570,AV1506,$BL$7:$BL$1570,"&lt;="&amp;BL1506),"")</f>
        <v/>
      </c>
      <c r="AX1506" s="65">
        <f>IF(AW1506="",0,MAX(0,MIN(1,(IF(BR1506="L1",Parameter!$K$5,Parameter!$K$6+Parameter!$K$7)-(AW1506-AS1506))/AS1506)))</f>
        <v/>
      </c>
      <c r="AY1506" s="53">
        <f>IF(AC1506&lt;=0,"",IF(BR1506="Aussen","Aussenlager",IF(BR1506="-","Nicht im Lift",IF(AH1506&gt;=1,"Lift",IF(AH1506&lt;=0,"Aussenlager","teilweise")))))</f>
        <v/>
      </c>
      <c r="AZ1506" s="53">
        <f>IF(AK1506&lt;=0,"",IF(BR1506="Aussen","Aussenlager",IF(BR1506="-","Nicht im Lift",IF(AP1506&gt;=1,"Lift",IF(AP1506&lt;=0,"Aussenlager","teilweise")))))</f>
        <v/>
      </c>
      <c r="BA1506" s="53">
        <f>IF(AS1506&lt;=0,"",IF(BR1506="Aussen","Aussenlager",IF(BR1506="-","Nicht im Lift",IF(AX1506&gt;=1,"Lift",IF(AX1506&lt;=0,"Aussenlager","teilweise")))))</f>
        <v/>
      </c>
      <c r="BB1506" s="53">
        <f>IF(A1506="","",IF(BK1506=1,"Neu; ","")&amp;IF(AND(BK1506=0,BF1506&lt;0),"negativer Bestand (Export "&amp;BF1506&amp;"); ","")&amp;IF(I1506&lt;=0,"Kein Verbrauch; ","")&amp;IF(BO1506=1,"Lose – Fläche geschätzt; ","")&amp;IF(G1506&gt;AM1506,"Überbestand "&amp;ROUND(G1506-AM1506,0)&amp;" Stk / CHF "&amp;ROUND((G1506-AM1506)*F1506,0)&amp;"; ","")&amp;IF(AND(BT1506=1,BU1506&lt;BV1506),"MAX &lt; MB+LG; ","")&amp;IF(AND(BZ1506&gt;0,BY1506*10&gt;BZ1506),"zu hoch für Tablar; ","")&amp;IF(AND(BK1506=0,OR(BT1506=1,V1506&lt;&gt;"",S1506&lt;&gt;"",T1506&lt;&gt;"",W1506&lt;&gt;"")),"manuell übersteuert; ","")&amp;IF(AND(BO1506=0,Q1506=0),"Gebinde unbekannt; ","")&amp;IF(AND(BO1506=0,N(T1506)&lt;=0,N(P1506)&lt;=0),"Menge pro Gebinde fehlt (Ist = 1 Gebinde); ","")&amp;BJ1506)</f>
        <v/>
      </c>
      <c r="BC1506" s="53" t="n"/>
      <c r="BD1506" s="53" t="n"/>
      <c r="BE1506" s="61" t="n"/>
      <c r="BF1506" s="55">
        <f>N('Neue Artikel'!$D$40)</f>
        <v/>
      </c>
      <c r="BG1506" s="55" t="n">
        <v>0</v>
      </c>
      <c r="BH1506" s="54" t="n">
        <v>0</v>
      </c>
      <c r="BI1506" s="55">
        <f>N('Neue Artikel'!$C$40)/Parameter!$B$18</f>
        <v/>
      </c>
      <c r="BJ1506" s="53" t="inlineStr"/>
      <c r="BK1506" s="58" t="n">
        <v>1</v>
      </c>
      <c r="BL1506" s="58" t="n">
        <v>1506</v>
      </c>
      <c r="BM1506" s="53">
        <f>IF(S1506&lt;&gt;"",UPPER(TRIM(S1506)),IF(O1506="","LOSE",O1506))</f>
        <v/>
      </c>
      <c r="BN1506" s="55">
        <f>IF(BM1506="LOSE",1,IF(N(T1506)&gt;0,T1506,IF(N(P1506)&gt;0,P1506,MAX(1,G1506))))</f>
        <v/>
      </c>
      <c r="BO1506" s="58">
        <f>IF(BM1506="LOSE",1,0)</f>
        <v/>
      </c>
      <c r="BP1506" s="64">
        <f>IF(BO1506=0,0,IF(N(R1506)&gt;0,R1506,IFERROR(VLOOKUP(D1506,Parameter!$A$35:$C$64,3,0)+0,0)))</f>
        <v/>
      </c>
      <c r="BQ1506" s="53">
        <f>IF(V1506&lt;&gt;"",V1506,U1506)</f>
        <v/>
      </c>
      <c r="BR1506" s="53">
        <f>IF(BQ1506=1,"L1",IF(OR(BQ1506=2,BQ1506=3),"L23",IF(BQ1506="Aussen","Aussen","-")))</f>
        <v/>
      </c>
      <c r="BS1506" s="66">
        <f>IF(N(W1506)&gt;0,W1506,0)</f>
        <v/>
      </c>
      <c r="BT1506" s="58">
        <f>IF(ISNUMBER(Z1506),1,0)</f>
        <v/>
      </c>
      <c r="BU1506" s="55">
        <f>N(Z1506)</f>
        <v/>
      </c>
      <c r="BV1506" s="55">
        <f>N(L1506)+N(M1506)</f>
        <v/>
      </c>
      <c r="BW1506" s="55">
        <f>ROUNDUP(G1506/BN1506,0)</f>
        <v/>
      </c>
      <c r="BX1506" s="55">
        <f>ROUNDUP(BU1506/BN1506,0)</f>
        <v/>
      </c>
      <c r="BY1506" s="58">
        <f>IF(BO1506=1,0,IFERROR(VLOOKUP(BM1506,'Gebinde-Kategorie'!$A$5:$G$45,5,0)+0,0))</f>
        <v/>
      </c>
      <c r="BZ1506" s="58">
        <f>IFERROR(IF(OR(BQ1506=1,BQ1506=2,BQ1506=3),N(INDEX(Parameter!$I$5:$I$7,BQ1506)),0),0)</f>
        <v/>
      </c>
    </row>
    <row r="1507">
      <c r="A1507" s="53">
        <f>IF('Neue Artikel'!$A$41="","",'Neue Artikel'!$A$41&amp;"")</f>
        <v/>
      </c>
      <c r="B1507" s="53">
        <f>'Neue Artikel'!$B$41&amp;""</f>
        <v/>
      </c>
      <c r="C1507" s="53" t="inlineStr"/>
      <c r="D1507" s="53" t="inlineStr">
        <is>
          <t>NEU</t>
        </is>
      </c>
      <c r="E1507" s="53" t="inlineStr"/>
      <c r="F1507" s="54">
        <f>N('Neue Artikel'!$G$41)</f>
        <v/>
      </c>
      <c r="G1507" s="55">
        <f>MAX(0,IF(Parameter!$B$20="Jahresanfang 2025 + Export",BG1507+BF1507,BF1507))</f>
        <v/>
      </c>
      <c r="H1507" s="55">
        <f>G1507*F1507</f>
        <v/>
      </c>
      <c r="I1507" s="55">
        <f>BI1507*Parameter!$B$18</f>
        <v/>
      </c>
      <c r="J1507" s="56" t="n"/>
      <c r="K1507" s="57" t="n"/>
      <c r="L1507" s="55">
        <f>N('Neue Artikel'!$E$41)</f>
        <v/>
      </c>
      <c r="M1507" s="55">
        <f>N('Neue Artikel'!$F$41)</f>
        <v/>
      </c>
      <c r="N1507" s="58" t="n"/>
      <c r="O1507" s="53">
        <f>IF('Neue Artikel'!$H$41="","LOSE",UPPER(TRIM('Neue Artikel'!$H$41)))</f>
        <v/>
      </c>
      <c r="P1507" s="55">
        <f>N('Neue Artikel'!$I$41)</f>
        <v/>
      </c>
      <c r="Q1507" s="59">
        <f>IF(BO1507=1,0,IFERROR(VLOOKUP(BM1507,'Gebinde-Kategorie'!$A$5:$G$45,6,0)+0,0))</f>
        <v/>
      </c>
      <c r="R1507" s="60" t="n"/>
      <c r="S1507" s="61" t="n"/>
      <c r="T1507" s="61" t="n"/>
      <c r="U1507" s="53">
        <f>IF(A1507="","",IF(IFERROR(VLOOKUP(D1507,Parameter!$A$35:$C$64,2,0),"Nein")="2+3",IF(ISNUMBER(SEARCH("grosser Artikel",BJ1507)),2,IFERROR(VLOOKUP(BM1507,Parameter!$F$35:$G$64,2,0),2)),IF(OR(IFERROR(VLOOKUP(D1507,Parameter!$A$35:$C$64,2,0),"Nein")="Nein",IFERROR(VLOOKUP(D1507,Parameter!$A$35:$C$64,2,0),"Nein")=""),"-",VLOOKUP(D1507,Parameter!$A$35:$C$64,2,0))))</f>
        <v/>
      </c>
      <c r="V1507" s="53">
        <f>IF('Neue Artikel'!$J$41="","",'Neue Artikel'!$J$41)</f>
        <v/>
      </c>
      <c r="W1507" s="62" t="n"/>
      <c r="X1507" s="55">
        <f>AM1507</f>
        <v/>
      </c>
      <c r="Y1507" s="55">
        <f>MAX(AM1507,G1507)</f>
        <v/>
      </c>
      <c r="Z1507" s="63" t="n"/>
      <c r="AA1507" s="55">
        <f>IF(LEFT(Cockpit!$C$5,1)="A",G1507,IF(BT1507=1,BU1507,IF(LEFT(Cockpit!$C$5,1)="B",AE1507,MAX(AE1507,G1507))))</f>
        <v/>
      </c>
      <c r="AB1507" s="55">
        <f>IF(BO1507=1,0,ROUNDUP(AA1507/BN1507,0))</f>
        <v/>
      </c>
      <c r="AC1507" s="64">
        <f>IF(BO1507=1,IF(AA1507&lt;=0,0,BP1507*MAX(1,IF(G1507&gt;0,AA1507/G1507,1))),AB1507*Q1507)</f>
        <v/>
      </c>
      <c r="AD1507" s="55">
        <f>AA1507*F1507</f>
        <v/>
      </c>
      <c r="AE1507" s="55">
        <f>ROUNDUP(MAX(I1507/IF(BS1507&gt;0,BS1507,MAX(0.1,N(Cockpit!$C$6))),BV1507)/BN1507,0)*BN1507</f>
        <v/>
      </c>
      <c r="AF1507" s="56">
        <f>IF(AC1507&gt;0,I1507/AC1507,-1)</f>
        <v/>
      </c>
      <c r="AG1507" s="56">
        <f>IF(AND(OR(BR1507="L1",BR1507="L23"),AC1507&gt;0),SUMIFS($AC$7:$AC$1570,$BR$7:$BR$1570,BR1507,$AF$7:$AF$1570,"&gt;"&amp;AF1507)+SUMIFS($AC$7:$AC$1570,$BR$7:$BR$1570,BR1507,$AF$7:$AF$1570,AF1507,$BL$7:$BL$1570,"&lt;="&amp;BL1507),"")</f>
        <v/>
      </c>
      <c r="AH1507" s="65">
        <f>IF(AG1507="",0,MAX(0,MIN(1,(IF(BR1507="L1",Parameter!$K$5,Parameter!$K$6+Parameter!$K$7)-(AG1507-AC1507))/AC1507)))</f>
        <v/>
      </c>
      <c r="AI1507" s="55">
        <f>IF(LEFT(Cockpit!$I$5,1)="A",G1507,IF(BT1507=1,BU1507,IF(LEFT(Cockpit!$I$5,1)="B",AM1507,MAX(AM1507,G1507))))</f>
        <v/>
      </c>
      <c r="AJ1507" s="55">
        <f>IF(BO1507=1,0,ROUNDUP(AI1507/BN1507,0))</f>
        <v/>
      </c>
      <c r="AK1507" s="64">
        <f>IF(BO1507=1,IF(AI1507&lt;=0,0,BP1507*MAX(1,IF(G1507&gt;0,AI1507/G1507,1))),AJ1507*Q1507)</f>
        <v/>
      </c>
      <c r="AL1507" s="55">
        <f>AI1507*F1507</f>
        <v/>
      </c>
      <c r="AM1507" s="55">
        <f>ROUNDUP(MAX(I1507/IF(BS1507&gt;0,BS1507,MAX(0.1,N(Cockpit!$I$6))),BV1507)/BN1507,0)*BN1507</f>
        <v/>
      </c>
      <c r="AN1507" s="56">
        <f>IF(AK1507&gt;0,I1507/AK1507,-1)</f>
        <v/>
      </c>
      <c r="AO1507" s="56">
        <f>IF(AND(OR(BR1507="L1",BR1507="L23"),AK1507&gt;0),SUMIFS($AK$7:$AK$1570,$BR$7:$BR$1570,BR1507,$AN$7:$AN$1570,"&gt;"&amp;AN1507)+SUMIFS($AK$7:$AK$1570,$BR$7:$BR$1570,BR1507,$AN$7:$AN$1570,AN1507,$BL$7:$BL$1570,"&lt;="&amp;BL1507),"")</f>
        <v/>
      </c>
      <c r="AP1507" s="65">
        <f>IF(AO1507="",0,MAX(0,MIN(1,(IF(BR1507="L1",Parameter!$K$5,Parameter!$K$6+Parameter!$K$7)-(AO1507-AK1507))/AK1507)))</f>
        <v/>
      </c>
      <c r="AQ1507" s="55">
        <f>IF(LEFT(Cockpit!$O$5,1)="A",G1507,IF(BT1507=1,BU1507,IF(LEFT(Cockpit!$O$5,1)="B",AU1507,MAX(AU1507,G1507))))</f>
        <v/>
      </c>
      <c r="AR1507" s="55">
        <f>IF(BO1507=1,0,ROUNDUP(AQ1507/BN1507,0))</f>
        <v/>
      </c>
      <c r="AS1507" s="64">
        <f>IF(BO1507=1,IF(AQ1507&lt;=0,0,BP1507*MAX(1,IF(G1507&gt;0,AQ1507/G1507,1))),AR1507*Q1507)</f>
        <v/>
      </c>
      <c r="AT1507" s="55">
        <f>AQ1507*F1507</f>
        <v/>
      </c>
      <c r="AU1507" s="55">
        <f>ROUNDUP(MAX(I1507/IF(BS1507&gt;0,BS1507,MAX(0.1,N(Cockpit!$O$6))),BV1507)/BN1507,0)*BN1507</f>
        <v/>
      </c>
      <c r="AV1507" s="56">
        <f>IF(AS1507&gt;0,I1507/AS1507,-1)</f>
        <v/>
      </c>
      <c r="AW1507" s="56">
        <f>IF(AND(OR(BR1507="L1",BR1507="L23"),AS1507&gt;0),SUMIFS($AS$7:$AS$1570,$BR$7:$BR$1570,BR1507,$AV$7:$AV$1570,"&gt;"&amp;AV1507)+SUMIFS($AS$7:$AS$1570,$BR$7:$BR$1570,BR1507,$AV$7:$AV$1570,AV1507,$BL$7:$BL$1570,"&lt;="&amp;BL1507),"")</f>
        <v/>
      </c>
      <c r="AX1507" s="65">
        <f>IF(AW1507="",0,MAX(0,MIN(1,(IF(BR1507="L1",Parameter!$K$5,Parameter!$K$6+Parameter!$K$7)-(AW1507-AS1507))/AS1507)))</f>
        <v/>
      </c>
      <c r="AY1507" s="53">
        <f>IF(AC1507&lt;=0,"",IF(BR1507="Aussen","Aussenlager",IF(BR1507="-","Nicht im Lift",IF(AH1507&gt;=1,"Lift",IF(AH1507&lt;=0,"Aussenlager","teilweise")))))</f>
        <v/>
      </c>
      <c r="AZ1507" s="53">
        <f>IF(AK1507&lt;=0,"",IF(BR1507="Aussen","Aussenlager",IF(BR1507="-","Nicht im Lift",IF(AP1507&gt;=1,"Lift",IF(AP1507&lt;=0,"Aussenlager","teilweise")))))</f>
        <v/>
      </c>
      <c r="BA1507" s="53">
        <f>IF(AS1507&lt;=0,"",IF(BR1507="Aussen","Aussenlager",IF(BR1507="-","Nicht im Lift",IF(AX1507&gt;=1,"Lift",IF(AX1507&lt;=0,"Aussenlager","teilweise")))))</f>
        <v/>
      </c>
      <c r="BB1507" s="53">
        <f>IF(A1507="","",IF(BK1507=1,"Neu; ","")&amp;IF(AND(BK1507=0,BF1507&lt;0),"negativer Bestand (Export "&amp;BF1507&amp;"); ","")&amp;IF(I1507&lt;=0,"Kein Verbrauch; ","")&amp;IF(BO1507=1,"Lose – Fläche geschätzt; ","")&amp;IF(G1507&gt;AM1507,"Überbestand "&amp;ROUND(G1507-AM1507,0)&amp;" Stk / CHF "&amp;ROUND((G1507-AM1507)*F1507,0)&amp;"; ","")&amp;IF(AND(BT1507=1,BU1507&lt;BV1507),"MAX &lt; MB+LG; ","")&amp;IF(AND(BZ1507&gt;0,BY1507*10&gt;BZ1507),"zu hoch für Tablar; ","")&amp;IF(AND(BK1507=0,OR(BT1507=1,V1507&lt;&gt;"",S1507&lt;&gt;"",T1507&lt;&gt;"",W1507&lt;&gt;"")),"manuell übersteuert; ","")&amp;IF(AND(BO1507=0,Q1507=0),"Gebinde unbekannt; ","")&amp;IF(AND(BO1507=0,N(T1507)&lt;=0,N(P1507)&lt;=0),"Menge pro Gebinde fehlt (Ist = 1 Gebinde); ","")&amp;BJ1507)</f>
        <v/>
      </c>
      <c r="BC1507" s="53" t="n"/>
      <c r="BD1507" s="53" t="n"/>
      <c r="BE1507" s="61" t="n"/>
      <c r="BF1507" s="55">
        <f>N('Neue Artikel'!$D$41)</f>
        <v/>
      </c>
      <c r="BG1507" s="55" t="n">
        <v>0</v>
      </c>
      <c r="BH1507" s="54" t="n">
        <v>0</v>
      </c>
      <c r="BI1507" s="55">
        <f>N('Neue Artikel'!$C$41)/Parameter!$B$18</f>
        <v/>
      </c>
      <c r="BJ1507" s="53" t="inlineStr"/>
      <c r="BK1507" s="58" t="n">
        <v>1</v>
      </c>
      <c r="BL1507" s="58" t="n">
        <v>1507</v>
      </c>
      <c r="BM1507" s="53">
        <f>IF(S1507&lt;&gt;"",UPPER(TRIM(S1507)),IF(O1507="","LOSE",O1507))</f>
        <v/>
      </c>
      <c r="BN1507" s="55">
        <f>IF(BM1507="LOSE",1,IF(N(T1507)&gt;0,T1507,IF(N(P1507)&gt;0,P1507,MAX(1,G1507))))</f>
        <v/>
      </c>
      <c r="BO1507" s="58">
        <f>IF(BM1507="LOSE",1,0)</f>
        <v/>
      </c>
      <c r="BP1507" s="64">
        <f>IF(BO1507=0,0,IF(N(R1507)&gt;0,R1507,IFERROR(VLOOKUP(D1507,Parameter!$A$35:$C$64,3,0)+0,0)))</f>
        <v/>
      </c>
      <c r="BQ1507" s="53">
        <f>IF(V1507&lt;&gt;"",V1507,U1507)</f>
        <v/>
      </c>
      <c r="BR1507" s="53">
        <f>IF(BQ1507=1,"L1",IF(OR(BQ1507=2,BQ1507=3),"L23",IF(BQ1507="Aussen","Aussen","-")))</f>
        <v/>
      </c>
      <c r="BS1507" s="66">
        <f>IF(N(W1507)&gt;0,W1507,0)</f>
        <v/>
      </c>
      <c r="BT1507" s="58">
        <f>IF(ISNUMBER(Z1507),1,0)</f>
        <v/>
      </c>
      <c r="BU1507" s="55">
        <f>N(Z1507)</f>
        <v/>
      </c>
      <c r="BV1507" s="55">
        <f>N(L1507)+N(M1507)</f>
        <v/>
      </c>
      <c r="BW1507" s="55">
        <f>ROUNDUP(G1507/BN1507,0)</f>
        <v/>
      </c>
      <c r="BX1507" s="55">
        <f>ROUNDUP(BU1507/BN1507,0)</f>
        <v/>
      </c>
      <c r="BY1507" s="58">
        <f>IF(BO1507=1,0,IFERROR(VLOOKUP(BM1507,'Gebinde-Kategorie'!$A$5:$G$45,5,0)+0,0))</f>
        <v/>
      </c>
      <c r="BZ1507" s="58">
        <f>IFERROR(IF(OR(BQ1507=1,BQ1507=2,BQ1507=3),N(INDEX(Parameter!$I$5:$I$7,BQ1507)),0),0)</f>
        <v/>
      </c>
    </row>
    <row r="1508">
      <c r="A1508" s="53">
        <f>IF('Neue Artikel'!$A$42="","",'Neue Artikel'!$A$42&amp;"")</f>
        <v/>
      </c>
      <c r="B1508" s="53">
        <f>'Neue Artikel'!$B$42&amp;""</f>
        <v/>
      </c>
      <c r="C1508" s="53" t="inlineStr"/>
      <c r="D1508" s="53" t="inlineStr">
        <is>
          <t>NEU</t>
        </is>
      </c>
      <c r="E1508" s="53" t="inlineStr"/>
      <c r="F1508" s="54">
        <f>N('Neue Artikel'!$G$42)</f>
        <v/>
      </c>
      <c r="G1508" s="55">
        <f>MAX(0,IF(Parameter!$B$20="Jahresanfang 2025 + Export",BG1508+BF1508,BF1508))</f>
        <v/>
      </c>
      <c r="H1508" s="55">
        <f>G1508*F1508</f>
        <v/>
      </c>
      <c r="I1508" s="55">
        <f>BI1508*Parameter!$B$18</f>
        <v/>
      </c>
      <c r="J1508" s="56" t="n"/>
      <c r="K1508" s="57" t="n"/>
      <c r="L1508" s="55">
        <f>N('Neue Artikel'!$E$42)</f>
        <v/>
      </c>
      <c r="M1508" s="55">
        <f>N('Neue Artikel'!$F$42)</f>
        <v/>
      </c>
      <c r="N1508" s="58" t="n"/>
      <c r="O1508" s="53">
        <f>IF('Neue Artikel'!$H$42="","LOSE",UPPER(TRIM('Neue Artikel'!$H$42)))</f>
        <v/>
      </c>
      <c r="P1508" s="55">
        <f>N('Neue Artikel'!$I$42)</f>
        <v/>
      </c>
      <c r="Q1508" s="59">
        <f>IF(BO1508=1,0,IFERROR(VLOOKUP(BM1508,'Gebinde-Kategorie'!$A$5:$G$45,6,0)+0,0))</f>
        <v/>
      </c>
      <c r="R1508" s="60" t="n"/>
      <c r="S1508" s="61" t="n"/>
      <c r="T1508" s="61" t="n"/>
      <c r="U1508" s="53">
        <f>IF(A1508="","",IF(IFERROR(VLOOKUP(D1508,Parameter!$A$35:$C$64,2,0),"Nein")="2+3",IF(ISNUMBER(SEARCH("grosser Artikel",BJ1508)),2,IFERROR(VLOOKUP(BM1508,Parameter!$F$35:$G$64,2,0),2)),IF(OR(IFERROR(VLOOKUP(D1508,Parameter!$A$35:$C$64,2,0),"Nein")="Nein",IFERROR(VLOOKUP(D1508,Parameter!$A$35:$C$64,2,0),"Nein")=""),"-",VLOOKUP(D1508,Parameter!$A$35:$C$64,2,0))))</f>
        <v/>
      </c>
      <c r="V1508" s="53">
        <f>IF('Neue Artikel'!$J$42="","",'Neue Artikel'!$J$42)</f>
        <v/>
      </c>
      <c r="W1508" s="62" t="n"/>
      <c r="X1508" s="55">
        <f>AM1508</f>
        <v/>
      </c>
      <c r="Y1508" s="55">
        <f>MAX(AM1508,G1508)</f>
        <v/>
      </c>
      <c r="Z1508" s="63" t="n"/>
      <c r="AA1508" s="55">
        <f>IF(LEFT(Cockpit!$C$5,1)="A",G1508,IF(BT1508=1,BU1508,IF(LEFT(Cockpit!$C$5,1)="B",AE1508,MAX(AE1508,G1508))))</f>
        <v/>
      </c>
      <c r="AB1508" s="55">
        <f>IF(BO1508=1,0,ROUNDUP(AA1508/BN1508,0))</f>
        <v/>
      </c>
      <c r="AC1508" s="64">
        <f>IF(BO1508=1,IF(AA1508&lt;=0,0,BP1508*MAX(1,IF(G1508&gt;0,AA1508/G1508,1))),AB1508*Q1508)</f>
        <v/>
      </c>
      <c r="AD1508" s="55">
        <f>AA1508*F1508</f>
        <v/>
      </c>
      <c r="AE1508" s="55">
        <f>ROUNDUP(MAX(I1508/IF(BS1508&gt;0,BS1508,MAX(0.1,N(Cockpit!$C$6))),BV1508)/BN1508,0)*BN1508</f>
        <v/>
      </c>
      <c r="AF1508" s="56">
        <f>IF(AC1508&gt;0,I1508/AC1508,-1)</f>
        <v/>
      </c>
      <c r="AG1508" s="56">
        <f>IF(AND(OR(BR1508="L1",BR1508="L23"),AC1508&gt;0),SUMIFS($AC$7:$AC$1570,$BR$7:$BR$1570,BR1508,$AF$7:$AF$1570,"&gt;"&amp;AF1508)+SUMIFS($AC$7:$AC$1570,$BR$7:$BR$1570,BR1508,$AF$7:$AF$1570,AF1508,$BL$7:$BL$1570,"&lt;="&amp;BL1508),"")</f>
        <v/>
      </c>
      <c r="AH1508" s="65">
        <f>IF(AG1508="",0,MAX(0,MIN(1,(IF(BR1508="L1",Parameter!$K$5,Parameter!$K$6+Parameter!$K$7)-(AG1508-AC1508))/AC1508)))</f>
        <v/>
      </c>
      <c r="AI1508" s="55">
        <f>IF(LEFT(Cockpit!$I$5,1)="A",G1508,IF(BT1508=1,BU1508,IF(LEFT(Cockpit!$I$5,1)="B",AM1508,MAX(AM1508,G1508))))</f>
        <v/>
      </c>
      <c r="AJ1508" s="55">
        <f>IF(BO1508=1,0,ROUNDUP(AI1508/BN1508,0))</f>
        <v/>
      </c>
      <c r="AK1508" s="64">
        <f>IF(BO1508=1,IF(AI1508&lt;=0,0,BP1508*MAX(1,IF(G1508&gt;0,AI1508/G1508,1))),AJ1508*Q1508)</f>
        <v/>
      </c>
      <c r="AL1508" s="55">
        <f>AI1508*F1508</f>
        <v/>
      </c>
      <c r="AM1508" s="55">
        <f>ROUNDUP(MAX(I1508/IF(BS1508&gt;0,BS1508,MAX(0.1,N(Cockpit!$I$6))),BV1508)/BN1508,0)*BN1508</f>
        <v/>
      </c>
      <c r="AN1508" s="56">
        <f>IF(AK1508&gt;0,I1508/AK1508,-1)</f>
        <v/>
      </c>
      <c r="AO1508" s="56">
        <f>IF(AND(OR(BR1508="L1",BR1508="L23"),AK1508&gt;0),SUMIFS($AK$7:$AK$1570,$BR$7:$BR$1570,BR1508,$AN$7:$AN$1570,"&gt;"&amp;AN1508)+SUMIFS($AK$7:$AK$1570,$BR$7:$BR$1570,BR1508,$AN$7:$AN$1570,AN1508,$BL$7:$BL$1570,"&lt;="&amp;BL1508),"")</f>
        <v/>
      </c>
      <c r="AP1508" s="65">
        <f>IF(AO1508="",0,MAX(0,MIN(1,(IF(BR1508="L1",Parameter!$K$5,Parameter!$K$6+Parameter!$K$7)-(AO1508-AK1508))/AK1508)))</f>
        <v/>
      </c>
      <c r="AQ1508" s="55">
        <f>IF(LEFT(Cockpit!$O$5,1)="A",G1508,IF(BT1508=1,BU1508,IF(LEFT(Cockpit!$O$5,1)="B",AU1508,MAX(AU1508,G1508))))</f>
        <v/>
      </c>
      <c r="AR1508" s="55">
        <f>IF(BO1508=1,0,ROUNDUP(AQ1508/BN1508,0))</f>
        <v/>
      </c>
      <c r="AS1508" s="64">
        <f>IF(BO1508=1,IF(AQ1508&lt;=0,0,BP1508*MAX(1,IF(G1508&gt;0,AQ1508/G1508,1))),AR1508*Q1508)</f>
        <v/>
      </c>
      <c r="AT1508" s="55">
        <f>AQ1508*F1508</f>
        <v/>
      </c>
      <c r="AU1508" s="55">
        <f>ROUNDUP(MAX(I1508/IF(BS1508&gt;0,BS1508,MAX(0.1,N(Cockpit!$O$6))),BV1508)/BN1508,0)*BN1508</f>
        <v/>
      </c>
      <c r="AV1508" s="56">
        <f>IF(AS1508&gt;0,I1508/AS1508,-1)</f>
        <v/>
      </c>
      <c r="AW1508" s="56">
        <f>IF(AND(OR(BR1508="L1",BR1508="L23"),AS1508&gt;0),SUMIFS($AS$7:$AS$1570,$BR$7:$BR$1570,BR1508,$AV$7:$AV$1570,"&gt;"&amp;AV1508)+SUMIFS($AS$7:$AS$1570,$BR$7:$BR$1570,BR1508,$AV$7:$AV$1570,AV1508,$BL$7:$BL$1570,"&lt;="&amp;BL1508),"")</f>
        <v/>
      </c>
      <c r="AX1508" s="65">
        <f>IF(AW1508="",0,MAX(0,MIN(1,(IF(BR1508="L1",Parameter!$K$5,Parameter!$K$6+Parameter!$K$7)-(AW1508-AS1508))/AS1508)))</f>
        <v/>
      </c>
      <c r="AY1508" s="53">
        <f>IF(AC1508&lt;=0,"",IF(BR1508="Aussen","Aussenlager",IF(BR1508="-","Nicht im Lift",IF(AH1508&gt;=1,"Lift",IF(AH1508&lt;=0,"Aussenlager","teilweise")))))</f>
        <v/>
      </c>
      <c r="AZ1508" s="53">
        <f>IF(AK1508&lt;=0,"",IF(BR1508="Aussen","Aussenlager",IF(BR1508="-","Nicht im Lift",IF(AP1508&gt;=1,"Lift",IF(AP1508&lt;=0,"Aussenlager","teilweise")))))</f>
        <v/>
      </c>
      <c r="BA1508" s="53">
        <f>IF(AS1508&lt;=0,"",IF(BR1508="Aussen","Aussenlager",IF(BR1508="-","Nicht im Lift",IF(AX1508&gt;=1,"Lift",IF(AX1508&lt;=0,"Aussenlager","teilweise")))))</f>
        <v/>
      </c>
      <c r="BB1508" s="53">
        <f>IF(A1508="","",IF(BK1508=1,"Neu; ","")&amp;IF(AND(BK1508=0,BF1508&lt;0),"negativer Bestand (Export "&amp;BF1508&amp;"); ","")&amp;IF(I1508&lt;=0,"Kein Verbrauch; ","")&amp;IF(BO1508=1,"Lose – Fläche geschätzt; ","")&amp;IF(G1508&gt;AM1508,"Überbestand "&amp;ROUND(G1508-AM1508,0)&amp;" Stk / CHF "&amp;ROUND((G1508-AM1508)*F1508,0)&amp;"; ","")&amp;IF(AND(BT1508=1,BU1508&lt;BV1508),"MAX &lt; MB+LG; ","")&amp;IF(AND(BZ1508&gt;0,BY1508*10&gt;BZ1508),"zu hoch für Tablar; ","")&amp;IF(AND(BK1508=0,OR(BT1508=1,V1508&lt;&gt;"",S1508&lt;&gt;"",T1508&lt;&gt;"",W1508&lt;&gt;"")),"manuell übersteuert; ","")&amp;IF(AND(BO1508=0,Q1508=0),"Gebinde unbekannt; ","")&amp;IF(AND(BO1508=0,N(T1508)&lt;=0,N(P1508)&lt;=0),"Menge pro Gebinde fehlt (Ist = 1 Gebinde); ","")&amp;BJ1508)</f>
        <v/>
      </c>
      <c r="BC1508" s="53" t="n"/>
      <c r="BD1508" s="53" t="n"/>
      <c r="BE1508" s="61" t="n"/>
      <c r="BF1508" s="55">
        <f>N('Neue Artikel'!$D$42)</f>
        <v/>
      </c>
      <c r="BG1508" s="55" t="n">
        <v>0</v>
      </c>
      <c r="BH1508" s="54" t="n">
        <v>0</v>
      </c>
      <c r="BI1508" s="55">
        <f>N('Neue Artikel'!$C$42)/Parameter!$B$18</f>
        <v/>
      </c>
      <c r="BJ1508" s="53" t="inlineStr"/>
      <c r="BK1508" s="58" t="n">
        <v>1</v>
      </c>
      <c r="BL1508" s="58" t="n">
        <v>1508</v>
      </c>
      <c r="BM1508" s="53">
        <f>IF(S1508&lt;&gt;"",UPPER(TRIM(S1508)),IF(O1508="","LOSE",O1508))</f>
        <v/>
      </c>
      <c r="BN1508" s="55">
        <f>IF(BM1508="LOSE",1,IF(N(T1508)&gt;0,T1508,IF(N(P1508)&gt;0,P1508,MAX(1,G1508))))</f>
        <v/>
      </c>
      <c r="BO1508" s="58">
        <f>IF(BM1508="LOSE",1,0)</f>
        <v/>
      </c>
      <c r="BP1508" s="64">
        <f>IF(BO1508=0,0,IF(N(R1508)&gt;0,R1508,IFERROR(VLOOKUP(D1508,Parameter!$A$35:$C$64,3,0)+0,0)))</f>
        <v/>
      </c>
      <c r="BQ1508" s="53">
        <f>IF(V1508&lt;&gt;"",V1508,U1508)</f>
        <v/>
      </c>
      <c r="BR1508" s="53">
        <f>IF(BQ1508=1,"L1",IF(OR(BQ1508=2,BQ1508=3),"L23",IF(BQ1508="Aussen","Aussen","-")))</f>
        <v/>
      </c>
      <c r="BS1508" s="66">
        <f>IF(N(W1508)&gt;0,W1508,0)</f>
        <v/>
      </c>
      <c r="BT1508" s="58">
        <f>IF(ISNUMBER(Z1508),1,0)</f>
        <v/>
      </c>
      <c r="BU1508" s="55">
        <f>N(Z1508)</f>
        <v/>
      </c>
      <c r="BV1508" s="55">
        <f>N(L1508)+N(M1508)</f>
        <v/>
      </c>
      <c r="BW1508" s="55">
        <f>ROUNDUP(G1508/BN1508,0)</f>
        <v/>
      </c>
      <c r="BX1508" s="55">
        <f>ROUNDUP(BU1508/BN1508,0)</f>
        <v/>
      </c>
      <c r="BY1508" s="58">
        <f>IF(BO1508=1,0,IFERROR(VLOOKUP(BM1508,'Gebinde-Kategorie'!$A$5:$G$45,5,0)+0,0))</f>
        <v/>
      </c>
      <c r="BZ1508" s="58">
        <f>IFERROR(IF(OR(BQ1508=1,BQ1508=2,BQ1508=3),N(INDEX(Parameter!$I$5:$I$7,BQ1508)),0),0)</f>
        <v/>
      </c>
    </row>
    <row r="1509">
      <c r="A1509" s="53">
        <f>IF('Neue Artikel'!$A$43="","",'Neue Artikel'!$A$43&amp;"")</f>
        <v/>
      </c>
      <c r="B1509" s="53">
        <f>'Neue Artikel'!$B$43&amp;""</f>
        <v/>
      </c>
      <c r="C1509" s="53" t="inlineStr"/>
      <c r="D1509" s="53" t="inlineStr">
        <is>
          <t>NEU</t>
        </is>
      </c>
      <c r="E1509" s="53" t="inlineStr"/>
      <c r="F1509" s="54">
        <f>N('Neue Artikel'!$G$43)</f>
        <v/>
      </c>
      <c r="G1509" s="55">
        <f>MAX(0,IF(Parameter!$B$20="Jahresanfang 2025 + Export",BG1509+BF1509,BF1509))</f>
        <v/>
      </c>
      <c r="H1509" s="55">
        <f>G1509*F1509</f>
        <v/>
      </c>
      <c r="I1509" s="55">
        <f>BI1509*Parameter!$B$18</f>
        <v/>
      </c>
      <c r="J1509" s="56" t="n"/>
      <c r="K1509" s="57" t="n"/>
      <c r="L1509" s="55">
        <f>N('Neue Artikel'!$E$43)</f>
        <v/>
      </c>
      <c r="M1509" s="55">
        <f>N('Neue Artikel'!$F$43)</f>
        <v/>
      </c>
      <c r="N1509" s="58" t="n"/>
      <c r="O1509" s="53">
        <f>IF('Neue Artikel'!$H$43="","LOSE",UPPER(TRIM('Neue Artikel'!$H$43)))</f>
        <v/>
      </c>
      <c r="P1509" s="55">
        <f>N('Neue Artikel'!$I$43)</f>
        <v/>
      </c>
      <c r="Q1509" s="59">
        <f>IF(BO1509=1,0,IFERROR(VLOOKUP(BM1509,'Gebinde-Kategorie'!$A$5:$G$45,6,0)+0,0))</f>
        <v/>
      </c>
      <c r="R1509" s="60" t="n"/>
      <c r="S1509" s="61" t="n"/>
      <c r="T1509" s="61" t="n"/>
      <c r="U1509" s="53">
        <f>IF(A1509="","",IF(IFERROR(VLOOKUP(D1509,Parameter!$A$35:$C$64,2,0),"Nein")="2+3",IF(ISNUMBER(SEARCH("grosser Artikel",BJ1509)),2,IFERROR(VLOOKUP(BM1509,Parameter!$F$35:$G$64,2,0),2)),IF(OR(IFERROR(VLOOKUP(D1509,Parameter!$A$35:$C$64,2,0),"Nein")="Nein",IFERROR(VLOOKUP(D1509,Parameter!$A$35:$C$64,2,0),"Nein")=""),"-",VLOOKUP(D1509,Parameter!$A$35:$C$64,2,0))))</f>
        <v/>
      </c>
      <c r="V1509" s="53">
        <f>IF('Neue Artikel'!$J$43="","",'Neue Artikel'!$J$43)</f>
        <v/>
      </c>
      <c r="W1509" s="62" t="n"/>
      <c r="X1509" s="55">
        <f>AM1509</f>
        <v/>
      </c>
      <c r="Y1509" s="55">
        <f>MAX(AM1509,G1509)</f>
        <v/>
      </c>
      <c r="Z1509" s="63" t="n"/>
      <c r="AA1509" s="55">
        <f>IF(LEFT(Cockpit!$C$5,1)="A",G1509,IF(BT1509=1,BU1509,IF(LEFT(Cockpit!$C$5,1)="B",AE1509,MAX(AE1509,G1509))))</f>
        <v/>
      </c>
      <c r="AB1509" s="55">
        <f>IF(BO1509=1,0,ROUNDUP(AA1509/BN1509,0))</f>
        <v/>
      </c>
      <c r="AC1509" s="64">
        <f>IF(BO1509=1,IF(AA1509&lt;=0,0,BP1509*MAX(1,IF(G1509&gt;0,AA1509/G1509,1))),AB1509*Q1509)</f>
        <v/>
      </c>
      <c r="AD1509" s="55">
        <f>AA1509*F1509</f>
        <v/>
      </c>
      <c r="AE1509" s="55">
        <f>ROUNDUP(MAX(I1509/IF(BS1509&gt;0,BS1509,MAX(0.1,N(Cockpit!$C$6))),BV1509)/BN1509,0)*BN1509</f>
        <v/>
      </c>
      <c r="AF1509" s="56">
        <f>IF(AC1509&gt;0,I1509/AC1509,-1)</f>
        <v/>
      </c>
      <c r="AG1509" s="56">
        <f>IF(AND(OR(BR1509="L1",BR1509="L23"),AC1509&gt;0),SUMIFS($AC$7:$AC$1570,$BR$7:$BR$1570,BR1509,$AF$7:$AF$1570,"&gt;"&amp;AF1509)+SUMIFS($AC$7:$AC$1570,$BR$7:$BR$1570,BR1509,$AF$7:$AF$1570,AF1509,$BL$7:$BL$1570,"&lt;="&amp;BL1509),"")</f>
        <v/>
      </c>
      <c r="AH1509" s="65">
        <f>IF(AG1509="",0,MAX(0,MIN(1,(IF(BR1509="L1",Parameter!$K$5,Parameter!$K$6+Parameter!$K$7)-(AG1509-AC1509))/AC1509)))</f>
        <v/>
      </c>
      <c r="AI1509" s="55">
        <f>IF(LEFT(Cockpit!$I$5,1)="A",G1509,IF(BT1509=1,BU1509,IF(LEFT(Cockpit!$I$5,1)="B",AM1509,MAX(AM1509,G1509))))</f>
        <v/>
      </c>
      <c r="AJ1509" s="55">
        <f>IF(BO1509=1,0,ROUNDUP(AI1509/BN1509,0))</f>
        <v/>
      </c>
      <c r="AK1509" s="64">
        <f>IF(BO1509=1,IF(AI1509&lt;=0,0,BP1509*MAX(1,IF(G1509&gt;0,AI1509/G1509,1))),AJ1509*Q1509)</f>
        <v/>
      </c>
      <c r="AL1509" s="55">
        <f>AI1509*F1509</f>
        <v/>
      </c>
      <c r="AM1509" s="55">
        <f>ROUNDUP(MAX(I1509/IF(BS1509&gt;0,BS1509,MAX(0.1,N(Cockpit!$I$6))),BV1509)/BN1509,0)*BN1509</f>
        <v/>
      </c>
      <c r="AN1509" s="56">
        <f>IF(AK1509&gt;0,I1509/AK1509,-1)</f>
        <v/>
      </c>
      <c r="AO1509" s="56">
        <f>IF(AND(OR(BR1509="L1",BR1509="L23"),AK1509&gt;0),SUMIFS($AK$7:$AK$1570,$BR$7:$BR$1570,BR1509,$AN$7:$AN$1570,"&gt;"&amp;AN1509)+SUMIFS($AK$7:$AK$1570,$BR$7:$BR$1570,BR1509,$AN$7:$AN$1570,AN1509,$BL$7:$BL$1570,"&lt;="&amp;BL1509),"")</f>
        <v/>
      </c>
      <c r="AP1509" s="65">
        <f>IF(AO1509="",0,MAX(0,MIN(1,(IF(BR1509="L1",Parameter!$K$5,Parameter!$K$6+Parameter!$K$7)-(AO1509-AK1509))/AK1509)))</f>
        <v/>
      </c>
      <c r="AQ1509" s="55">
        <f>IF(LEFT(Cockpit!$O$5,1)="A",G1509,IF(BT1509=1,BU1509,IF(LEFT(Cockpit!$O$5,1)="B",AU1509,MAX(AU1509,G1509))))</f>
        <v/>
      </c>
      <c r="AR1509" s="55">
        <f>IF(BO1509=1,0,ROUNDUP(AQ1509/BN1509,0))</f>
        <v/>
      </c>
      <c r="AS1509" s="64">
        <f>IF(BO1509=1,IF(AQ1509&lt;=0,0,BP1509*MAX(1,IF(G1509&gt;0,AQ1509/G1509,1))),AR1509*Q1509)</f>
        <v/>
      </c>
      <c r="AT1509" s="55">
        <f>AQ1509*F1509</f>
        <v/>
      </c>
      <c r="AU1509" s="55">
        <f>ROUNDUP(MAX(I1509/IF(BS1509&gt;0,BS1509,MAX(0.1,N(Cockpit!$O$6))),BV1509)/BN1509,0)*BN1509</f>
        <v/>
      </c>
      <c r="AV1509" s="56">
        <f>IF(AS1509&gt;0,I1509/AS1509,-1)</f>
        <v/>
      </c>
      <c r="AW1509" s="56">
        <f>IF(AND(OR(BR1509="L1",BR1509="L23"),AS1509&gt;0),SUMIFS($AS$7:$AS$1570,$BR$7:$BR$1570,BR1509,$AV$7:$AV$1570,"&gt;"&amp;AV1509)+SUMIFS($AS$7:$AS$1570,$BR$7:$BR$1570,BR1509,$AV$7:$AV$1570,AV1509,$BL$7:$BL$1570,"&lt;="&amp;BL1509),"")</f>
        <v/>
      </c>
      <c r="AX1509" s="65">
        <f>IF(AW1509="",0,MAX(0,MIN(1,(IF(BR1509="L1",Parameter!$K$5,Parameter!$K$6+Parameter!$K$7)-(AW1509-AS1509))/AS1509)))</f>
        <v/>
      </c>
      <c r="AY1509" s="53">
        <f>IF(AC1509&lt;=0,"",IF(BR1509="Aussen","Aussenlager",IF(BR1509="-","Nicht im Lift",IF(AH1509&gt;=1,"Lift",IF(AH1509&lt;=0,"Aussenlager","teilweise")))))</f>
        <v/>
      </c>
      <c r="AZ1509" s="53">
        <f>IF(AK1509&lt;=0,"",IF(BR1509="Aussen","Aussenlager",IF(BR1509="-","Nicht im Lift",IF(AP1509&gt;=1,"Lift",IF(AP1509&lt;=0,"Aussenlager","teilweise")))))</f>
        <v/>
      </c>
      <c r="BA1509" s="53">
        <f>IF(AS1509&lt;=0,"",IF(BR1509="Aussen","Aussenlager",IF(BR1509="-","Nicht im Lift",IF(AX1509&gt;=1,"Lift",IF(AX1509&lt;=0,"Aussenlager","teilweise")))))</f>
        <v/>
      </c>
      <c r="BB1509" s="53">
        <f>IF(A1509="","",IF(BK1509=1,"Neu; ","")&amp;IF(AND(BK1509=0,BF1509&lt;0),"negativer Bestand (Export "&amp;BF1509&amp;"); ","")&amp;IF(I1509&lt;=0,"Kein Verbrauch; ","")&amp;IF(BO1509=1,"Lose – Fläche geschätzt; ","")&amp;IF(G1509&gt;AM1509,"Überbestand "&amp;ROUND(G1509-AM1509,0)&amp;" Stk / CHF "&amp;ROUND((G1509-AM1509)*F1509,0)&amp;"; ","")&amp;IF(AND(BT1509=1,BU1509&lt;BV1509),"MAX &lt; MB+LG; ","")&amp;IF(AND(BZ1509&gt;0,BY1509*10&gt;BZ1509),"zu hoch für Tablar; ","")&amp;IF(AND(BK1509=0,OR(BT1509=1,V1509&lt;&gt;"",S1509&lt;&gt;"",T1509&lt;&gt;"",W1509&lt;&gt;"")),"manuell übersteuert; ","")&amp;IF(AND(BO1509=0,Q1509=0),"Gebinde unbekannt; ","")&amp;IF(AND(BO1509=0,N(T1509)&lt;=0,N(P1509)&lt;=0),"Menge pro Gebinde fehlt (Ist = 1 Gebinde); ","")&amp;BJ1509)</f>
        <v/>
      </c>
      <c r="BC1509" s="53" t="n"/>
      <c r="BD1509" s="53" t="n"/>
      <c r="BE1509" s="61" t="n"/>
      <c r="BF1509" s="55">
        <f>N('Neue Artikel'!$D$43)</f>
        <v/>
      </c>
      <c r="BG1509" s="55" t="n">
        <v>0</v>
      </c>
      <c r="BH1509" s="54" t="n">
        <v>0</v>
      </c>
      <c r="BI1509" s="55">
        <f>N('Neue Artikel'!$C$43)/Parameter!$B$18</f>
        <v/>
      </c>
      <c r="BJ1509" s="53" t="inlineStr"/>
      <c r="BK1509" s="58" t="n">
        <v>1</v>
      </c>
      <c r="BL1509" s="58" t="n">
        <v>1509</v>
      </c>
      <c r="BM1509" s="53">
        <f>IF(S1509&lt;&gt;"",UPPER(TRIM(S1509)),IF(O1509="","LOSE",O1509))</f>
        <v/>
      </c>
      <c r="BN1509" s="55">
        <f>IF(BM1509="LOSE",1,IF(N(T1509)&gt;0,T1509,IF(N(P1509)&gt;0,P1509,MAX(1,G1509))))</f>
        <v/>
      </c>
      <c r="BO1509" s="58">
        <f>IF(BM1509="LOSE",1,0)</f>
        <v/>
      </c>
      <c r="BP1509" s="64">
        <f>IF(BO1509=0,0,IF(N(R1509)&gt;0,R1509,IFERROR(VLOOKUP(D1509,Parameter!$A$35:$C$64,3,0)+0,0)))</f>
        <v/>
      </c>
      <c r="BQ1509" s="53">
        <f>IF(V1509&lt;&gt;"",V1509,U1509)</f>
        <v/>
      </c>
      <c r="BR1509" s="53">
        <f>IF(BQ1509=1,"L1",IF(OR(BQ1509=2,BQ1509=3),"L23",IF(BQ1509="Aussen","Aussen","-")))</f>
        <v/>
      </c>
      <c r="BS1509" s="66">
        <f>IF(N(W1509)&gt;0,W1509,0)</f>
        <v/>
      </c>
      <c r="BT1509" s="58">
        <f>IF(ISNUMBER(Z1509),1,0)</f>
        <v/>
      </c>
      <c r="BU1509" s="55">
        <f>N(Z1509)</f>
        <v/>
      </c>
      <c r="BV1509" s="55">
        <f>N(L1509)+N(M1509)</f>
        <v/>
      </c>
      <c r="BW1509" s="55">
        <f>ROUNDUP(G1509/BN1509,0)</f>
        <v/>
      </c>
      <c r="BX1509" s="55">
        <f>ROUNDUP(BU1509/BN1509,0)</f>
        <v/>
      </c>
      <c r="BY1509" s="58">
        <f>IF(BO1509=1,0,IFERROR(VLOOKUP(BM1509,'Gebinde-Kategorie'!$A$5:$G$45,5,0)+0,0))</f>
        <v/>
      </c>
      <c r="BZ1509" s="58">
        <f>IFERROR(IF(OR(BQ1509=1,BQ1509=2,BQ1509=3),N(INDEX(Parameter!$I$5:$I$7,BQ1509)),0),0)</f>
        <v/>
      </c>
    </row>
    <row r="1510">
      <c r="A1510" s="53">
        <f>IF('Neue Artikel'!$A$44="","",'Neue Artikel'!$A$44&amp;"")</f>
        <v/>
      </c>
      <c r="B1510" s="53">
        <f>'Neue Artikel'!$B$44&amp;""</f>
        <v/>
      </c>
      <c r="C1510" s="53" t="inlineStr"/>
      <c r="D1510" s="53" t="inlineStr">
        <is>
          <t>NEU</t>
        </is>
      </c>
      <c r="E1510" s="53" t="inlineStr"/>
      <c r="F1510" s="54">
        <f>N('Neue Artikel'!$G$44)</f>
        <v/>
      </c>
      <c r="G1510" s="55">
        <f>MAX(0,IF(Parameter!$B$20="Jahresanfang 2025 + Export",BG1510+BF1510,BF1510))</f>
        <v/>
      </c>
      <c r="H1510" s="55">
        <f>G1510*F1510</f>
        <v/>
      </c>
      <c r="I1510" s="55">
        <f>BI1510*Parameter!$B$18</f>
        <v/>
      </c>
      <c r="J1510" s="56" t="n"/>
      <c r="K1510" s="57" t="n"/>
      <c r="L1510" s="55">
        <f>N('Neue Artikel'!$E$44)</f>
        <v/>
      </c>
      <c r="M1510" s="55">
        <f>N('Neue Artikel'!$F$44)</f>
        <v/>
      </c>
      <c r="N1510" s="58" t="n"/>
      <c r="O1510" s="53">
        <f>IF('Neue Artikel'!$H$44="","LOSE",UPPER(TRIM('Neue Artikel'!$H$44)))</f>
        <v/>
      </c>
      <c r="P1510" s="55">
        <f>N('Neue Artikel'!$I$44)</f>
        <v/>
      </c>
      <c r="Q1510" s="59">
        <f>IF(BO1510=1,0,IFERROR(VLOOKUP(BM1510,'Gebinde-Kategorie'!$A$5:$G$45,6,0)+0,0))</f>
        <v/>
      </c>
      <c r="R1510" s="60" t="n"/>
      <c r="S1510" s="61" t="n"/>
      <c r="T1510" s="61" t="n"/>
      <c r="U1510" s="53">
        <f>IF(A1510="","",IF(IFERROR(VLOOKUP(D1510,Parameter!$A$35:$C$64,2,0),"Nein")="2+3",IF(ISNUMBER(SEARCH("grosser Artikel",BJ1510)),2,IFERROR(VLOOKUP(BM1510,Parameter!$F$35:$G$64,2,0),2)),IF(OR(IFERROR(VLOOKUP(D1510,Parameter!$A$35:$C$64,2,0),"Nein")="Nein",IFERROR(VLOOKUP(D1510,Parameter!$A$35:$C$64,2,0),"Nein")=""),"-",VLOOKUP(D1510,Parameter!$A$35:$C$64,2,0))))</f>
        <v/>
      </c>
      <c r="V1510" s="53">
        <f>IF('Neue Artikel'!$J$44="","",'Neue Artikel'!$J$44)</f>
        <v/>
      </c>
      <c r="W1510" s="62" t="n"/>
      <c r="X1510" s="55">
        <f>AM1510</f>
        <v/>
      </c>
      <c r="Y1510" s="55">
        <f>MAX(AM1510,G1510)</f>
        <v/>
      </c>
      <c r="Z1510" s="63" t="n"/>
      <c r="AA1510" s="55">
        <f>IF(LEFT(Cockpit!$C$5,1)="A",G1510,IF(BT1510=1,BU1510,IF(LEFT(Cockpit!$C$5,1)="B",AE1510,MAX(AE1510,G1510))))</f>
        <v/>
      </c>
      <c r="AB1510" s="55">
        <f>IF(BO1510=1,0,ROUNDUP(AA1510/BN1510,0))</f>
        <v/>
      </c>
      <c r="AC1510" s="64">
        <f>IF(BO1510=1,IF(AA1510&lt;=0,0,BP1510*MAX(1,IF(G1510&gt;0,AA1510/G1510,1))),AB1510*Q1510)</f>
        <v/>
      </c>
      <c r="AD1510" s="55">
        <f>AA1510*F1510</f>
        <v/>
      </c>
      <c r="AE1510" s="55">
        <f>ROUNDUP(MAX(I1510/IF(BS1510&gt;0,BS1510,MAX(0.1,N(Cockpit!$C$6))),BV1510)/BN1510,0)*BN1510</f>
        <v/>
      </c>
      <c r="AF1510" s="56">
        <f>IF(AC1510&gt;0,I1510/AC1510,-1)</f>
        <v/>
      </c>
      <c r="AG1510" s="56">
        <f>IF(AND(OR(BR1510="L1",BR1510="L23"),AC1510&gt;0),SUMIFS($AC$7:$AC$1570,$BR$7:$BR$1570,BR1510,$AF$7:$AF$1570,"&gt;"&amp;AF1510)+SUMIFS($AC$7:$AC$1570,$BR$7:$BR$1570,BR1510,$AF$7:$AF$1570,AF1510,$BL$7:$BL$1570,"&lt;="&amp;BL1510),"")</f>
        <v/>
      </c>
      <c r="AH1510" s="65">
        <f>IF(AG1510="",0,MAX(0,MIN(1,(IF(BR1510="L1",Parameter!$K$5,Parameter!$K$6+Parameter!$K$7)-(AG1510-AC1510))/AC1510)))</f>
        <v/>
      </c>
      <c r="AI1510" s="55">
        <f>IF(LEFT(Cockpit!$I$5,1)="A",G1510,IF(BT1510=1,BU1510,IF(LEFT(Cockpit!$I$5,1)="B",AM1510,MAX(AM1510,G1510))))</f>
        <v/>
      </c>
      <c r="AJ1510" s="55">
        <f>IF(BO1510=1,0,ROUNDUP(AI1510/BN1510,0))</f>
        <v/>
      </c>
      <c r="AK1510" s="64">
        <f>IF(BO1510=1,IF(AI1510&lt;=0,0,BP1510*MAX(1,IF(G1510&gt;0,AI1510/G1510,1))),AJ1510*Q1510)</f>
        <v/>
      </c>
      <c r="AL1510" s="55">
        <f>AI1510*F1510</f>
        <v/>
      </c>
      <c r="AM1510" s="55">
        <f>ROUNDUP(MAX(I1510/IF(BS1510&gt;0,BS1510,MAX(0.1,N(Cockpit!$I$6))),BV1510)/BN1510,0)*BN1510</f>
        <v/>
      </c>
      <c r="AN1510" s="56">
        <f>IF(AK1510&gt;0,I1510/AK1510,-1)</f>
        <v/>
      </c>
      <c r="AO1510" s="56">
        <f>IF(AND(OR(BR1510="L1",BR1510="L23"),AK1510&gt;0),SUMIFS($AK$7:$AK$1570,$BR$7:$BR$1570,BR1510,$AN$7:$AN$1570,"&gt;"&amp;AN1510)+SUMIFS($AK$7:$AK$1570,$BR$7:$BR$1570,BR1510,$AN$7:$AN$1570,AN1510,$BL$7:$BL$1570,"&lt;="&amp;BL1510),"")</f>
        <v/>
      </c>
      <c r="AP1510" s="65">
        <f>IF(AO1510="",0,MAX(0,MIN(1,(IF(BR1510="L1",Parameter!$K$5,Parameter!$K$6+Parameter!$K$7)-(AO1510-AK1510))/AK1510)))</f>
        <v/>
      </c>
      <c r="AQ1510" s="55">
        <f>IF(LEFT(Cockpit!$O$5,1)="A",G1510,IF(BT1510=1,BU1510,IF(LEFT(Cockpit!$O$5,1)="B",AU1510,MAX(AU1510,G1510))))</f>
        <v/>
      </c>
      <c r="AR1510" s="55">
        <f>IF(BO1510=1,0,ROUNDUP(AQ1510/BN1510,0))</f>
        <v/>
      </c>
      <c r="AS1510" s="64">
        <f>IF(BO1510=1,IF(AQ1510&lt;=0,0,BP1510*MAX(1,IF(G1510&gt;0,AQ1510/G1510,1))),AR1510*Q1510)</f>
        <v/>
      </c>
      <c r="AT1510" s="55">
        <f>AQ1510*F1510</f>
        <v/>
      </c>
      <c r="AU1510" s="55">
        <f>ROUNDUP(MAX(I1510/IF(BS1510&gt;0,BS1510,MAX(0.1,N(Cockpit!$O$6))),BV1510)/BN1510,0)*BN1510</f>
        <v/>
      </c>
      <c r="AV1510" s="56">
        <f>IF(AS1510&gt;0,I1510/AS1510,-1)</f>
        <v/>
      </c>
      <c r="AW1510" s="56">
        <f>IF(AND(OR(BR1510="L1",BR1510="L23"),AS1510&gt;0),SUMIFS($AS$7:$AS$1570,$BR$7:$BR$1570,BR1510,$AV$7:$AV$1570,"&gt;"&amp;AV1510)+SUMIFS($AS$7:$AS$1570,$BR$7:$BR$1570,BR1510,$AV$7:$AV$1570,AV1510,$BL$7:$BL$1570,"&lt;="&amp;BL1510),"")</f>
        <v/>
      </c>
      <c r="AX1510" s="65">
        <f>IF(AW1510="",0,MAX(0,MIN(1,(IF(BR1510="L1",Parameter!$K$5,Parameter!$K$6+Parameter!$K$7)-(AW1510-AS1510))/AS1510)))</f>
        <v/>
      </c>
      <c r="AY1510" s="53">
        <f>IF(AC1510&lt;=0,"",IF(BR1510="Aussen","Aussenlager",IF(BR1510="-","Nicht im Lift",IF(AH1510&gt;=1,"Lift",IF(AH1510&lt;=0,"Aussenlager","teilweise")))))</f>
        <v/>
      </c>
      <c r="AZ1510" s="53">
        <f>IF(AK1510&lt;=0,"",IF(BR1510="Aussen","Aussenlager",IF(BR1510="-","Nicht im Lift",IF(AP1510&gt;=1,"Lift",IF(AP1510&lt;=0,"Aussenlager","teilweise")))))</f>
        <v/>
      </c>
      <c r="BA1510" s="53">
        <f>IF(AS1510&lt;=0,"",IF(BR1510="Aussen","Aussenlager",IF(BR1510="-","Nicht im Lift",IF(AX1510&gt;=1,"Lift",IF(AX1510&lt;=0,"Aussenlager","teilweise")))))</f>
        <v/>
      </c>
      <c r="BB1510" s="53">
        <f>IF(A1510="","",IF(BK1510=1,"Neu; ","")&amp;IF(AND(BK1510=0,BF1510&lt;0),"negativer Bestand (Export "&amp;BF1510&amp;"); ","")&amp;IF(I1510&lt;=0,"Kein Verbrauch; ","")&amp;IF(BO1510=1,"Lose – Fläche geschätzt; ","")&amp;IF(G1510&gt;AM1510,"Überbestand "&amp;ROUND(G1510-AM1510,0)&amp;" Stk / CHF "&amp;ROUND((G1510-AM1510)*F1510,0)&amp;"; ","")&amp;IF(AND(BT1510=1,BU1510&lt;BV1510),"MAX &lt; MB+LG; ","")&amp;IF(AND(BZ1510&gt;0,BY1510*10&gt;BZ1510),"zu hoch für Tablar; ","")&amp;IF(AND(BK1510=0,OR(BT1510=1,V1510&lt;&gt;"",S1510&lt;&gt;"",T1510&lt;&gt;"",W1510&lt;&gt;"")),"manuell übersteuert; ","")&amp;IF(AND(BO1510=0,Q1510=0),"Gebinde unbekannt; ","")&amp;IF(AND(BO1510=0,N(T1510)&lt;=0,N(P1510)&lt;=0),"Menge pro Gebinde fehlt (Ist = 1 Gebinde); ","")&amp;BJ1510)</f>
        <v/>
      </c>
      <c r="BC1510" s="53" t="n"/>
      <c r="BD1510" s="53" t="n"/>
      <c r="BE1510" s="61" t="n"/>
      <c r="BF1510" s="55">
        <f>N('Neue Artikel'!$D$44)</f>
        <v/>
      </c>
      <c r="BG1510" s="55" t="n">
        <v>0</v>
      </c>
      <c r="BH1510" s="54" t="n">
        <v>0</v>
      </c>
      <c r="BI1510" s="55">
        <f>N('Neue Artikel'!$C$44)/Parameter!$B$18</f>
        <v/>
      </c>
      <c r="BJ1510" s="53" t="inlineStr"/>
      <c r="BK1510" s="58" t="n">
        <v>1</v>
      </c>
      <c r="BL1510" s="58" t="n">
        <v>1510</v>
      </c>
      <c r="BM1510" s="53">
        <f>IF(S1510&lt;&gt;"",UPPER(TRIM(S1510)),IF(O1510="","LOSE",O1510))</f>
        <v/>
      </c>
      <c r="BN1510" s="55">
        <f>IF(BM1510="LOSE",1,IF(N(T1510)&gt;0,T1510,IF(N(P1510)&gt;0,P1510,MAX(1,G1510))))</f>
        <v/>
      </c>
      <c r="BO1510" s="58">
        <f>IF(BM1510="LOSE",1,0)</f>
        <v/>
      </c>
      <c r="BP1510" s="64">
        <f>IF(BO1510=0,0,IF(N(R1510)&gt;0,R1510,IFERROR(VLOOKUP(D1510,Parameter!$A$35:$C$64,3,0)+0,0)))</f>
        <v/>
      </c>
      <c r="BQ1510" s="53">
        <f>IF(V1510&lt;&gt;"",V1510,U1510)</f>
        <v/>
      </c>
      <c r="BR1510" s="53">
        <f>IF(BQ1510=1,"L1",IF(OR(BQ1510=2,BQ1510=3),"L23",IF(BQ1510="Aussen","Aussen","-")))</f>
        <v/>
      </c>
      <c r="BS1510" s="66">
        <f>IF(N(W1510)&gt;0,W1510,0)</f>
        <v/>
      </c>
      <c r="BT1510" s="58">
        <f>IF(ISNUMBER(Z1510),1,0)</f>
        <v/>
      </c>
      <c r="BU1510" s="55">
        <f>N(Z1510)</f>
        <v/>
      </c>
      <c r="BV1510" s="55">
        <f>N(L1510)+N(M1510)</f>
        <v/>
      </c>
      <c r="BW1510" s="55">
        <f>ROUNDUP(G1510/BN1510,0)</f>
        <v/>
      </c>
      <c r="BX1510" s="55">
        <f>ROUNDUP(BU1510/BN1510,0)</f>
        <v/>
      </c>
      <c r="BY1510" s="58">
        <f>IF(BO1510=1,0,IFERROR(VLOOKUP(BM1510,'Gebinde-Kategorie'!$A$5:$G$45,5,0)+0,0))</f>
        <v/>
      </c>
      <c r="BZ1510" s="58">
        <f>IFERROR(IF(OR(BQ1510=1,BQ1510=2,BQ1510=3),N(INDEX(Parameter!$I$5:$I$7,BQ1510)),0),0)</f>
        <v/>
      </c>
    </row>
    <row r="1511">
      <c r="A1511" s="53">
        <f>IF('Neue Artikel'!$A$45="","",'Neue Artikel'!$A$45&amp;"")</f>
        <v/>
      </c>
      <c r="B1511" s="53">
        <f>'Neue Artikel'!$B$45&amp;""</f>
        <v/>
      </c>
      <c r="C1511" s="53" t="inlineStr"/>
      <c r="D1511" s="53" t="inlineStr">
        <is>
          <t>NEU</t>
        </is>
      </c>
      <c r="E1511" s="53" t="inlineStr"/>
      <c r="F1511" s="54">
        <f>N('Neue Artikel'!$G$45)</f>
        <v/>
      </c>
      <c r="G1511" s="55">
        <f>MAX(0,IF(Parameter!$B$20="Jahresanfang 2025 + Export",BG1511+BF1511,BF1511))</f>
        <v/>
      </c>
      <c r="H1511" s="55">
        <f>G1511*F1511</f>
        <v/>
      </c>
      <c r="I1511" s="55">
        <f>BI1511*Parameter!$B$18</f>
        <v/>
      </c>
      <c r="J1511" s="56" t="n"/>
      <c r="K1511" s="57" t="n"/>
      <c r="L1511" s="55">
        <f>N('Neue Artikel'!$E$45)</f>
        <v/>
      </c>
      <c r="M1511" s="55">
        <f>N('Neue Artikel'!$F$45)</f>
        <v/>
      </c>
      <c r="N1511" s="58" t="n"/>
      <c r="O1511" s="53">
        <f>IF('Neue Artikel'!$H$45="","LOSE",UPPER(TRIM('Neue Artikel'!$H$45)))</f>
        <v/>
      </c>
      <c r="P1511" s="55">
        <f>N('Neue Artikel'!$I$45)</f>
        <v/>
      </c>
      <c r="Q1511" s="59">
        <f>IF(BO1511=1,0,IFERROR(VLOOKUP(BM1511,'Gebinde-Kategorie'!$A$5:$G$45,6,0)+0,0))</f>
        <v/>
      </c>
      <c r="R1511" s="60" t="n"/>
      <c r="S1511" s="61" t="n"/>
      <c r="T1511" s="61" t="n"/>
      <c r="U1511" s="53">
        <f>IF(A1511="","",IF(IFERROR(VLOOKUP(D1511,Parameter!$A$35:$C$64,2,0),"Nein")="2+3",IF(ISNUMBER(SEARCH("grosser Artikel",BJ1511)),2,IFERROR(VLOOKUP(BM1511,Parameter!$F$35:$G$64,2,0),2)),IF(OR(IFERROR(VLOOKUP(D1511,Parameter!$A$35:$C$64,2,0),"Nein")="Nein",IFERROR(VLOOKUP(D1511,Parameter!$A$35:$C$64,2,0),"Nein")=""),"-",VLOOKUP(D1511,Parameter!$A$35:$C$64,2,0))))</f>
        <v/>
      </c>
      <c r="V1511" s="53">
        <f>IF('Neue Artikel'!$J$45="","",'Neue Artikel'!$J$45)</f>
        <v/>
      </c>
      <c r="W1511" s="62" t="n"/>
      <c r="X1511" s="55">
        <f>AM1511</f>
        <v/>
      </c>
      <c r="Y1511" s="55">
        <f>MAX(AM1511,G1511)</f>
        <v/>
      </c>
      <c r="Z1511" s="63" t="n"/>
      <c r="AA1511" s="55">
        <f>IF(LEFT(Cockpit!$C$5,1)="A",G1511,IF(BT1511=1,BU1511,IF(LEFT(Cockpit!$C$5,1)="B",AE1511,MAX(AE1511,G1511))))</f>
        <v/>
      </c>
      <c r="AB1511" s="55">
        <f>IF(BO1511=1,0,ROUNDUP(AA1511/BN1511,0))</f>
        <v/>
      </c>
      <c r="AC1511" s="64">
        <f>IF(BO1511=1,IF(AA1511&lt;=0,0,BP1511*MAX(1,IF(G1511&gt;0,AA1511/G1511,1))),AB1511*Q1511)</f>
        <v/>
      </c>
      <c r="AD1511" s="55">
        <f>AA1511*F1511</f>
        <v/>
      </c>
      <c r="AE1511" s="55">
        <f>ROUNDUP(MAX(I1511/IF(BS1511&gt;0,BS1511,MAX(0.1,N(Cockpit!$C$6))),BV1511)/BN1511,0)*BN1511</f>
        <v/>
      </c>
      <c r="AF1511" s="56">
        <f>IF(AC1511&gt;0,I1511/AC1511,-1)</f>
        <v/>
      </c>
      <c r="AG1511" s="56">
        <f>IF(AND(OR(BR1511="L1",BR1511="L23"),AC1511&gt;0),SUMIFS($AC$7:$AC$1570,$BR$7:$BR$1570,BR1511,$AF$7:$AF$1570,"&gt;"&amp;AF1511)+SUMIFS($AC$7:$AC$1570,$BR$7:$BR$1570,BR1511,$AF$7:$AF$1570,AF1511,$BL$7:$BL$1570,"&lt;="&amp;BL1511),"")</f>
        <v/>
      </c>
      <c r="AH1511" s="65">
        <f>IF(AG1511="",0,MAX(0,MIN(1,(IF(BR1511="L1",Parameter!$K$5,Parameter!$K$6+Parameter!$K$7)-(AG1511-AC1511))/AC1511)))</f>
        <v/>
      </c>
      <c r="AI1511" s="55">
        <f>IF(LEFT(Cockpit!$I$5,1)="A",G1511,IF(BT1511=1,BU1511,IF(LEFT(Cockpit!$I$5,1)="B",AM1511,MAX(AM1511,G1511))))</f>
        <v/>
      </c>
      <c r="AJ1511" s="55">
        <f>IF(BO1511=1,0,ROUNDUP(AI1511/BN1511,0))</f>
        <v/>
      </c>
      <c r="AK1511" s="64">
        <f>IF(BO1511=1,IF(AI1511&lt;=0,0,BP1511*MAX(1,IF(G1511&gt;0,AI1511/G1511,1))),AJ1511*Q1511)</f>
        <v/>
      </c>
      <c r="AL1511" s="55">
        <f>AI1511*F1511</f>
        <v/>
      </c>
      <c r="AM1511" s="55">
        <f>ROUNDUP(MAX(I1511/IF(BS1511&gt;0,BS1511,MAX(0.1,N(Cockpit!$I$6))),BV1511)/BN1511,0)*BN1511</f>
        <v/>
      </c>
      <c r="AN1511" s="56">
        <f>IF(AK1511&gt;0,I1511/AK1511,-1)</f>
        <v/>
      </c>
      <c r="AO1511" s="56">
        <f>IF(AND(OR(BR1511="L1",BR1511="L23"),AK1511&gt;0),SUMIFS($AK$7:$AK$1570,$BR$7:$BR$1570,BR1511,$AN$7:$AN$1570,"&gt;"&amp;AN1511)+SUMIFS($AK$7:$AK$1570,$BR$7:$BR$1570,BR1511,$AN$7:$AN$1570,AN1511,$BL$7:$BL$1570,"&lt;="&amp;BL1511),"")</f>
        <v/>
      </c>
      <c r="AP1511" s="65">
        <f>IF(AO1511="",0,MAX(0,MIN(1,(IF(BR1511="L1",Parameter!$K$5,Parameter!$K$6+Parameter!$K$7)-(AO1511-AK1511))/AK1511)))</f>
        <v/>
      </c>
      <c r="AQ1511" s="55">
        <f>IF(LEFT(Cockpit!$O$5,1)="A",G1511,IF(BT1511=1,BU1511,IF(LEFT(Cockpit!$O$5,1)="B",AU1511,MAX(AU1511,G1511))))</f>
        <v/>
      </c>
      <c r="AR1511" s="55">
        <f>IF(BO1511=1,0,ROUNDUP(AQ1511/BN1511,0))</f>
        <v/>
      </c>
      <c r="AS1511" s="64">
        <f>IF(BO1511=1,IF(AQ1511&lt;=0,0,BP1511*MAX(1,IF(G1511&gt;0,AQ1511/G1511,1))),AR1511*Q1511)</f>
        <v/>
      </c>
      <c r="AT1511" s="55">
        <f>AQ1511*F1511</f>
        <v/>
      </c>
      <c r="AU1511" s="55">
        <f>ROUNDUP(MAX(I1511/IF(BS1511&gt;0,BS1511,MAX(0.1,N(Cockpit!$O$6))),BV1511)/BN1511,0)*BN1511</f>
        <v/>
      </c>
      <c r="AV1511" s="56">
        <f>IF(AS1511&gt;0,I1511/AS1511,-1)</f>
        <v/>
      </c>
      <c r="AW1511" s="56">
        <f>IF(AND(OR(BR1511="L1",BR1511="L23"),AS1511&gt;0),SUMIFS($AS$7:$AS$1570,$BR$7:$BR$1570,BR1511,$AV$7:$AV$1570,"&gt;"&amp;AV1511)+SUMIFS($AS$7:$AS$1570,$BR$7:$BR$1570,BR1511,$AV$7:$AV$1570,AV1511,$BL$7:$BL$1570,"&lt;="&amp;BL1511),"")</f>
        <v/>
      </c>
      <c r="AX1511" s="65">
        <f>IF(AW1511="",0,MAX(0,MIN(1,(IF(BR1511="L1",Parameter!$K$5,Parameter!$K$6+Parameter!$K$7)-(AW1511-AS1511))/AS1511)))</f>
        <v/>
      </c>
      <c r="AY1511" s="53">
        <f>IF(AC1511&lt;=0,"",IF(BR1511="Aussen","Aussenlager",IF(BR1511="-","Nicht im Lift",IF(AH1511&gt;=1,"Lift",IF(AH1511&lt;=0,"Aussenlager","teilweise")))))</f>
        <v/>
      </c>
      <c r="AZ1511" s="53">
        <f>IF(AK1511&lt;=0,"",IF(BR1511="Aussen","Aussenlager",IF(BR1511="-","Nicht im Lift",IF(AP1511&gt;=1,"Lift",IF(AP1511&lt;=0,"Aussenlager","teilweise")))))</f>
        <v/>
      </c>
      <c r="BA1511" s="53">
        <f>IF(AS1511&lt;=0,"",IF(BR1511="Aussen","Aussenlager",IF(BR1511="-","Nicht im Lift",IF(AX1511&gt;=1,"Lift",IF(AX1511&lt;=0,"Aussenlager","teilweise")))))</f>
        <v/>
      </c>
      <c r="BB1511" s="53">
        <f>IF(A1511="","",IF(BK1511=1,"Neu; ","")&amp;IF(AND(BK1511=0,BF1511&lt;0),"negativer Bestand (Export "&amp;BF1511&amp;"); ","")&amp;IF(I1511&lt;=0,"Kein Verbrauch; ","")&amp;IF(BO1511=1,"Lose – Fläche geschätzt; ","")&amp;IF(G1511&gt;AM1511,"Überbestand "&amp;ROUND(G1511-AM1511,0)&amp;" Stk / CHF "&amp;ROUND((G1511-AM1511)*F1511,0)&amp;"; ","")&amp;IF(AND(BT1511=1,BU1511&lt;BV1511),"MAX &lt; MB+LG; ","")&amp;IF(AND(BZ1511&gt;0,BY1511*10&gt;BZ1511),"zu hoch für Tablar; ","")&amp;IF(AND(BK1511=0,OR(BT1511=1,V1511&lt;&gt;"",S1511&lt;&gt;"",T1511&lt;&gt;"",W1511&lt;&gt;"")),"manuell übersteuert; ","")&amp;IF(AND(BO1511=0,Q1511=0),"Gebinde unbekannt; ","")&amp;IF(AND(BO1511=0,N(T1511)&lt;=0,N(P1511)&lt;=0),"Menge pro Gebinde fehlt (Ist = 1 Gebinde); ","")&amp;BJ1511)</f>
        <v/>
      </c>
      <c r="BC1511" s="53" t="n"/>
      <c r="BD1511" s="53" t="n"/>
      <c r="BE1511" s="61" t="n"/>
      <c r="BF1511" s="55">
        <f>N('Neue Artikel'!$D$45)</f>
        <v/>
      </c>
      <c r="BG1511" s="55" t="n">
        <v>0</v>
      </c>
      <c r="BH1511" s="54" t="n">
        <v>0</v>
      </c>
      <c r="BI1511" s="55">
        <f>N('Neue Artikel'!$C$45)/Parameter!$B$18</f>
        <v/>
      </c>
      <c r="BJ1511" s="53" t="inlineStr"/>
      <c r="BK1511" s="58" t="n">
        <v>1</v>
      </c>
      <c r="BL1511" s="58" t="n">
        <v>1511</v>
      </c>
      <c r="BM1511" s="53">
        <f>IF(S1511&lt;&gt;"",UPPER(TRIM(S1511)),IF(O1511="","LOSE",O1511))</f>
        <v/>
      </c>
      <c r="BN1511" s="55">
        <f>IF(BM1511="LOSE",1,IF(N(T1511)&gt;0,T1511,IF(N(P1511)&gt;0,P1511,MAX(1,G1511))))</f>
        <v/>
      </c>
      <c r="BO1511" s="58">
        <f>IF(BM1511="LOSE",1,0)</f>
        <v/>
      </c>
      <c r="BP1511" s="64">
        <f>IF(BO1511=0,0,IF(N(R1511)&gt;0,R1511,IFERROR(VLOOKUP(D1511,Parameter!$A$35:$C$64,3,0)+0,0)))</f>
        <v/>
      </c>
      <c r="BQ1511" s="53">
        <f>IF(V1511&lt;&gt;"",V1511,U1511)</f>
        <v/>
      </c>
      <c r="BR1511" s="53">
        <f>IF(BQ1511=1,"L1",IF(OR(BQ1511=2,BQ1511=3),"L23",IF(BQ1511="Aussen","Aussen","-")))</f>
        <v/>
      </c>
      <c r="BS1511" s="66">
        <f>IF(N(W1511)&gt;0,W1511,0)</f>
        <v/>
      </c>
      <c r="BT1511" s="58">
        <f>IF(ISNUMBER(Z1511),1,0)</f>
        <v/>
      </c>
      <c r="BU1511" s="55">
        <f>N(Z1511)</f>
        <v/>
      </c>
      <c r="BV1511" s="55">
        <f>N(L1511)+N(M1511)</f>
        <v/>
      </c>
      <c r="BW1511" s="55">
        <f>ROUNDUP(G1511/BN1511,0)</f>
        <v/>
      </c>
      <c r="BX1511" s="55">
        <f>ROUNDUP(BU1511/BN1511,0)</f>
        <v/>
      </c>
      <c r="BY1511" s="58">
        <f>IF(BO1511=1,0,IFERROR(VLOOKUP(BM1511,'Gebinde-Kategorie'!$A$5:$G$45,5,0)+0,0))</f>
        <v/>
      </c>
      <c r="BZ1511" s="58">
        <f>IFERROR(IF(OR(BQ1511=1,BQ1511=2,BQ1511=3),N(INDEX(Parameter!$I$5:$I$7,BQ1511)),0),0)</f>
        <v/>
      </c>
    </row>
    <row r="1512">
      <c r="A1512" s="53">
        <f>IF('Neue Artikel'!$A$46="","",'Neue Artikel'!$A$46&amp;"")</f>
        <v/>
      </c>
      <c r="B1512" s="53">
        <f>'Neue Artikel'!$B$46&amp;""</f>
        <v/>
      </c>
      <c r="C1512" s="53" t="inlineStr"/>
      <c r="D1512" s="53" t="inlineStr">
        <is>
          <t>NEU</t>
        </is>
      </c>
      <c r="E1512" s="53" t="inlineStr"/>
      <c r="F1512" s="54">
        <f>N('Neue Artikel'!$G$46)</f>
        <v/>
      </c>
      <c r="G1512" s="55">
        <f>MAX(0,IF(Parameter!$B$20="Jahresanfang 2025 + Export",BG1512+BF1512,BF1512))</f>
        <v/>
      </c>
      <c r="H1512" s="55">
        <f>G1512*F1512</f>
        <v/>
      </c>
      <c r="I1512" s="55">
        <f>BI1512*Parameter!$B$18</f>
        <v/>
      </c>
      <c r="J1512" s="56" t="n"/>
      <c r="K1512" s="57" t="n"/>
      <c r="L1512" s="55">
        <f>N('Neue Artikel'!$E$46)</f>
        <v/>
      </c>
      <c r="M1512" s="55">
        <f>N('Neue Artikel'!$F$46)</f>
        <v/>
      </c>
      <c r="N1512" s="58" t="n"/>
      <c r="O1512" s="53">
        <f>IF('Neue Artikel'!$H$46="","LOSE",UPPER(TRIM('Neue Artikel'!$H$46)))</f>
        <v/>
      </c>
      <c r="P1512" s="55">
        <f>N('Neue Artikel'!$I$46)</f>
        <v/>
      </c>
      <c r="Q1512" s="59">
        <f>IF(BO1512=1,0,IFERROR(VLOOKUP(BM1512,'Gebinde-Kategorie'!$A$5:$G$45,6,0)+0,0))</f>
        <v/>
      </c>
      <c r="R1512" s="60" t="n"/>
      <c r="S1512" s="61" t="n"/>
      <c r="T1512" s="61" t="n"/>
      <c r="U1512" s="53">
        <f>IF(A1512="","",IF(IFERROR(VLOOKUP(D1512,Parameter!$A$35:$C$64,2,0),"Nein")="2+3",IF(ISNUMBER(SEARCH("grosser Artikel",BJ1512)),2,IFERROR(VLOOKUP(BM1512,Parameter!$F$35:$G$64,2,0),2)),IF(OR(IFERROR(VLOOKUP(D1512,Parameter!$A$35:$C$64,2,0),"Nein")="Nein",IFERROR(VLOOKUP(D1512,Parameter!$A$35:$C$64,2,0),"Nein")=""),"-",VLOOKUP(D1512,Parameter!$A$35:$C$64,2,0))))</f>
        <v/>
      </c>
      <c r="V1512" s="53">
        <f>IF('Neue Artikel'!$J$46="","",'Neue Artikel'!$J$46)</f>
        <v/>
      </c>
      <c r="W1512" s="62" t="n"/>
      <c r="X1512" s="55">
        <f>AM1512</f>
        <v/>
      </c>
      <c r="Y1512" s="55">
        <f>MAX(AM1512,G1512)</f>
        <v/>
      </c>
      <c r="Z1512" s="63" t="n"/>
      <c r="AA1512" s="55">
        <f>IF(LEFT(Cockpit!$C$5,1)="A",G1512,IF(BT1512=1,BU1512,IF(LEFT(Cockpit!$C$5,1)="B",AE1512,MAX(AE1512,G1512))))</f>
        <v/>
      </c>
      <c r="AB1512" s="55">
        <f>IF(BO1512=1,0,ROUNDUP(AA1512/BN1512,0))</f>
        <v/>
      </c>
      <c r="AC1512" s="64">
        <f>IF(BO1512=1,IF(AA1512&lt;=0,0,BP1512*MAX(1,IF(G1512&gt;0,AA1512/G1512,1))),AB1512*Q1512)</f>
        <v/>
      </c>
      <c r="AD1512" s="55">
        <f>AA1512*F1512</f>
        <v/>
      </c>
      <c r="AE1512" s="55">
        <f>ROUNDUP(MAX(I1512/IF(BS1512&gt;0,BS1512,MAX(0.1,N(Cockpit!$C$6))),BV1512)/BN1512,0)*BN1512</f>
        <v/>
      </c>
      <c r="AF1512" s="56">
        <f>IF(AC1512&gt;0,I1512/AC1512,-1)</f>
        <v/>
      </c>
      <c r="AG1512" s="56">
        <f>IF(AND(OR(BR1512="L1",BR1512="L23"),AC1512&gt;0),SUMIFS($AC$7:$AC$1570,$BR$7:$BR$1570,BR1512,$AF$7:$AF$1570,"&gt;"&amp;AF1512)+SUMIFS($AC$7:$AC$1570,$BR$7:$BR$1570,BR1512,$AF$7:$AF$1570,AF1512,$BL$7:$BL$1570,"&lt;="&amp;BL1512),"")</f>
        <v/>
      </c>
      <c r="AH1512" s="65">
        <f>IF(AG1512="",0,MAX(0,MIN(1,(IF(BR1512="L1",Parameter!$K$5,Parameter!$K$6+Parameter!$K$7)-(AG1512-AC1512))/AC1512)))</f>
        <v/>
      </c>
      <c r="AI1512" s="55">
        <f>IF(LEFT(Cockpit!$I$5,1)="A",G1512,IF(BT1512=1,BU1512,IF(LEFT(Cockpit!$I$5,1)="B",AM1512,MAX(AM1512,G1512))))</f>
        <v/>
      </c>
      <c r="AJ1512" s="55">
        <f>IF(BO1512=1,0,ROUNDUP(AI1512/BN1512,0))</f>
        <v/>
      </c>
      <c r="AK1512" s="64">
        <f>IF(BO1512=1,IF(AI1512&lt;=0,0,BP1512*MAX(1,IF(G1512&gt;0,AI1512/G1512,1))),AJ1512*Q1512)</f>
        <v/>
      </c>
      <c r="AL1512" s="55">
        <f>AI1512*F1512</f>
        <v/>
      </c>
      <c r="AM1512" s="55">
        <f>ROUNDUP(MAX(I1512/IF(BS1512&gt;0,BS1512,MAX(0.1,N(Cockpit!$I$6))),BV1512)/BN1512,0)*BN1512</f>
        <v/>
      </c>
      <c r="AN1512" s="56">
        <f>IF(AK1512&gt;0,I1512/AK1512,-1)</f>
        <v/>
      </c>
      <c r="AO1512" s="56">
        <f>IF(AND(OR(BR1512="L1",BR1512="L23"),AK1512&gt;0),SUMIFS($AK$7:$AK$1570,$BR$7:$BR$1570,BR1512,$AN$7:$AN$1570,"&gt;"&amp;AN1512)+SUMIFS($AK$7:$AK$1570,$BR$7:$BR$1570,BR1512,$AN$7:$AN$1570,AN1512,$BL$7:$BL$1570,"&lt;="&amp;BL1512),"")</f>
        <v/>
      </c>
      <c r="AP1512" s="65">
        <f>IF(AO1512="",0,MAX(0,MIN(1,(IF(BR1512="L1",Parameter!$K$5,Parameter!$K$6+Parameter!$K$7)-(AO1512-AK1512))/AK1512)))</f>
        <v/>
      </c>
      <c r="AQ1512" s="55">
        <f>IF(LEFT(Cockpit!$O$5,1)="A",G1512,IF(BT1512=1,BU1512,IF(LEFT(Cockpit!$O$5,1)="B",AU1512,MAX(AU1512,G1512))))</f>
        <v/>
      </c>
      <c r="AR1512" s="55">
        <f>IF(BO1512=1,0,ROUNDUP(AQ1512/BN1512,0))</f>
        <v/>
      </c>
      <c r="AS1512" s="64">
        <f>IF(BO1512=1,IF(AQ1512&lt;=0,0,BP1512*MAX(1,IF(G1512&gt;0,AQ1512/G1512,1))),AR1512*Q1512)</f>
        <v/>
      </c>
      <c r="AT1512" s="55">
        <f>AQ1512*F1512</f>
        <v/>
      </c>
      <c r="AU1512" s="55">
        <f>ROUNDUP(MAX(I1512/IF(BS1512&gt;0,BS1512,MAX(0.1,N(Cockpit!$O$6))),BV1512)/BN1512,0)*BN1512</f>
        <v/>
      </c>
      <c r="AV1512" s="56">
        <f>IF(AS1512&gt;0,I1512/AS1512,-1)</f>
        <v/>
      </c>
      <c r="AW1512" s="56">
        <f>IF(AND(OR(BR1512="L1",BR1512="L23"),AS1512&gt;0),SUMIFS($AS$7:$AS$1570,$BR$7:$BR$1570,BR1512,$AV$7:$AV$1570,"&gt;"&amp;AV1512)+SUMIFS($AS$7:$AS$1570,$BR$7:$BR$1570,BR1512,$AV$7:$AV$1570,AV1512,$BL$7:$BL$1570,"&lt;="&amp;BL1512),"")</f>
        <v/>
      </c>
      <c r="AX1512" s="65">
        <f>IF(AW1512="",0,MAX(0,MIN(1,(IF(BR1512="L1",Parameter!$K$5,Parameter!$K$6+Parameter!$K$7)-(AW1512-AS1512))/AS1512)))</f>
        <v/>
      </c>
      <c r="AY1512" s="53">
        <f>IF(AC1512&lt;=0,"",IF(BR1512="Aussen","Aussenlager",IF(BR1512="-","Nicht im Lift",IF(AH1512&gt;=1,"Lift",IF(AH1512&lt;=0,"Aussenlager","teilweise")))))</f>
        <v/>
      </c>
      <c r="AZ1512" s="53">
        <f>IF(AK1512&lt;=0,"",IF(BR1512="Aussen","Aussenlager",IF(BR1512="-","Nicht im Lift",IF(AP1512&gt;=1,"Lift",IF(AP1512&lt;=0,"Aussenlager","teilweise")))))</f>
        <v/>
      </c>
      <c r="BA1512" s="53">
        <f>IF(AS1512&lt;=0,"",IF(BR1512="Aussen","Aussenlager",IF(BR1512="-","Nicht im Lift",IF(AX1512&gt;=1,"Lift",IF(AX1512&lt;=0,"Aussenlager","teilweise")))))</f>
        <v/>
      </c>
      <c r="BB1512" s="53">
        <f>IF(A1512="","",IF(BK1512=1,"Neu; ","")&amp;IF(AND(BK1512=0,BF1512&lt;0),"negativer Bestand (Export "&amp;BF1512&amp;"); ","")&amp;IF(I1512&lt;=0,"Kein Verbrauch; ","")&amp;IF(BO1512=1,"Lose – Fläche geschätzt; ","")&amp;IF(G1512&gt;AM1512,"Überbestand "&amp;ROUND(G1512-AM1512,0)&amp;" Stk / CHF "&amp;ROUND((G1512-AM1512)*F1512,0)&amp;"; ","")&amp;IF(AND(BT1512=1,BU1512&lt;BV1512),"MAX &lt; MB+LG; ","")&amp;IF(AND(BZ1512&gt;0,BY1512*10&gt;BZ1512),"zu hoch für Tablar; ","")&amp;IF(AND(BK1512=0,OR(BT1512=1,V1512&lt;&gt;"",S1512&lt;&gt;"",T1512&lt;&gt;"",W1512&lt;&gt;"")),"manuell übersteuert; ","")&amp;IF(AND(BO1512=0,Q1512=0),"Gebinde unbekannt; ","")&amp;IF(AND(BO1512=0,N(T1512)&lt;=0,N(P1512)&lt;=0),"Menge pro Gebinde fehlt (Ist = 1 Gebinde); ","")&amp;BJ1512)</f>
        <v/>
      </c>
      <c r="BC1512" s="53" t="n"/>
      <c r="BD1512" s="53" t="n"/>
      <c r="BE1512" s="61" t="n"/>
      <c r="BF1512" s="55">
        <f>N('Neue Artikel'!$D$46)</f>
        <v/>
      </c>
      <c r="BG1512" s="55" t="n">
        <v>0</v>
      </c>
      <c r="BH1512" s="54" t="n">
        <v>0</v>
      </c>
      <c r="BI1512" s="55">
        <f>N('Neue Artikel'!$C$46)/Parameter!$B$18</f>
        <v/>
      </c>
      <c r="BJ1512" s="53" t="inlineStr"/>
      <c r="BK1512" s="58" t="n">
        <v>1</v>
      </c>
      <c r="BL1512" s="58" t="n">
        <v>1512</v>
      </c>
      <c r="BM1512" s="53">
        <f>IF(S1512&lt;&gt;"",UPPER(TRIM(S1512)),IF(O1512="","LOSE",O1512))</f>
        <v/>
      </c>
      <c r="BN1512" s="55">
        <f>IF(BM1512="LOSE",1,IF(N(T1512)&gt;0,T1512,IF(N(P1512)&gt;0,P1512,MAX(1,G1512))))</f>
        <v/>
      </c>
      <c r="BO1512" s="58">
        <f>IF(BM1512="LOSE",1,0)</f>
        <v/>
      </c>
      <c r="BP1512" s="64">
        <f>IF(BO1512=0,0,IF(N(R1512)&gt;0,R1512,IFERROR(VLOOKUP(D1512,Parameter!$A$35:$C$64,3,0)+0,0)))</f>
        <v/>
      </c>
      <c r="BQ1512" s="53">
        <f>IF(V1512&lt;&gt;"",V1512,U1512)</f>
        <v/>
      </c>
      <c r="BR1512" s="53">
        <f>IF(BQ1512=1,"L1",IF(OR(BQ1512=2,BQ1512=3),"L23",IF(BQ1512="Aussen","Aussen","-")))</f>
        <v/>
      </c>
      <c r="BS1512" s="66">
        <f>IF(N(W1512)&gt;0,W1512,0)</f>
        <v/>
      </c>
      <c r="BT1512" s="58">
        <f>IF(ISNUMBER(Z1512),1,0)</f>
        <v/>
      </c>
      <c r="BU1512" s="55">
        <f>N(Z1512)</f>
        <v/>
      </c>
      <c r="BV1512" s="55">
        <f>N(L1512)+N(M1512)</f>
        <v/>
      </c>
      <c r="BW1512" s="55">
        <f>ROUNDUP(G1512/BN1512,0)</f>
        <v/>
      </c>
      <c r="BX1512" s="55">
        <f>ROUNDUP(BU1512/BN1512,0)</f>
        <v/>
      </c>
      <c r="BY1512" s="58">
        <f>IF(BO1512=1,0,IFERROR(VLOOKUP(BM1512,'Gebinde-Kategorie'!$A$5:$G$45,5,0)+0,0))</f>
        <v/>
      </c>
      <c r="BZ1512" s="58">
        <f>IFERROR(IF(OR(BQ1512=1,BQ1512=2,BQ1512=3),N(INDEX(Parameter!$I$5:$I$7,BQ1512)),0),0)</f>
        <v/>
      </c>
    </row>
    <row r="1513">
      <c r="A1513" s="53">
        <f>IF('Neue Artikel'!$A$47="","",'Neue Artikel'!$A$47&amp;"")</f>
        <v/>
      </c>
      <c r="B1513" s="53">
        <f>'Neue Artikel'!$B$47&amp;""</f>
        <v/>
      </c>
      <c r="C1513" s="53" t="inlineStr"/>
      <c r="D1513" s="53" t="inlineStr">
        <is>
          <t>NEU</t>
        </is>
      </c>
      <c r="E1513" s="53" t="inlineStr"/>
      <c r="F1513" s="54">
        <f>N('Neue Artikel'!$G$47)</f>
        <v/>
      </c>
      <c r="G1513" s="55">
        <f>MAX(0,IF(Parameter!$B$20="Jahresanfang 2025 + Export",BG1513+BF1513,BF1513))</f>
        <v/>
      </c>
      <c r="H1513" s="55">
        <f>G1513*F1513</f>
        <v/>
      </c>
      <c r="I1513" s="55">
        <f>BI1513*Parameter!$B$18</f>
        <v/>
      </c>
      <c r="J1513" s="56" t="n"/>
      <c r="K1513" s="57" t="n"/>
      <c r="L1513" s="55">
        <f>N('Neue Artikel'!$E$47)</f>
        <v/>
      </c>
      <c r="M1513" s="55">
        <f>N('Neue Artikel'!$F$47)</f>
        <v/>
      </c>
      <c r="N1513" s="58" t="n"/>
      <c r="O1513" s="53">
        <f>IF('Neue Artikel'!$H$47="","LOSE",UPPER(TRIM('Neue Artikel'!$H$47)))</f>
        <v/>
      </c>
      <c r="P1513" s="55">
        <f>N('Neue Artikel'!$I$47)</f>
        <v/>
      </c>
      <c r="Q1513" s="59">
        <f>IF(BO1513=1,0,IFERROR(VLOOKUP(BM1513,'Gebinde-Kategorie'!$A$5:$G$45,6,0)+0,0))</f>
        <v/>
      </c>
      <c r="R1513" s="60" t="n"/>
      <c r="S1513" s="61" t="n"/>
      <c r="T1513" s="61" t="n"/>
      <c r="U1513" s="53">
        <f>IF(A1513="","",IF(IFERROR(VLOOKUP(D1513,Parameter!$A$35:$C$64,2,0),"Nein")="2+3",IF(ISNUMBER(SEARCH("grosser Artikel",BJ1513)),2,IFERROR(VLOOKUP(BM1513,Parameter!$F$35:$G$64,2,0),2)),IF(OR(IFERROR(VLOOKUP(D1513,Parameter!$A$35:$C$64,2,0),"Nein")="Nein",IFERROR(VLOOKUP(D1513,Parameter!$A$35:$C$64,2,0),"Nein")=""),"-",VLOOKUP(D1513,Parameter!$A$35:$C$64,2,0))))</f>
        <v/>
      </c>
      <c r="V1513" s="53">
        <f>IF('Neue Artikel'!$J$47="","",'Neue Artikel'!$J$47)</f>
        <v/>
      </c>
      <c r="W1513" s="62" t="n"/>
      <c r="X1513" s="55">
        <f>AM1513</f>
        <v/>
      </c>
      <c r="Y1513" s="55">
        <f>MAX(AM1513,G1513)</f>
        <v/>
      </c>
      <c r="Z1513" s="63" t="n"/>
      <c r="AA1513" s="55">
        <f>IF(LEFT(Cockpit!$C$5,1)="A",G1513,IF(BT1513=1,BU1513,IF(LEFT(Cockpit!$C$5,1)="B",AE1513,MAX(AE1513,G1513))))</f>
        <v/>
      </c>
      <c r="AB1513" s="55">
        <f>IF(BO1513=1,0,ROUNDUP(AA1513/BN1513,0))</f>
        <v/>
      </c>
      <c r="AC1513" s="64">
        <f>IF(BO1513=1,IF(AA1513&lt;=0,0,BP1513*MAX(1,IF(G1513&gt;0,AA1513/G1513,1))),AB1513*Q1513)</f>
        <v/>
      </c>
      <c r="AD1513" s="55">
        <f>AA1513*F1513</f>
        <v/>
      </c>
      <c r="AE1513" s="55">
        <f>ROUNDUP(MAX(I1513/IF(BS1513&gt;0,BS1513,MAX(0.1,N(Cockpit!$C$6))),BV1513)/BN1513,0)*BN1513</f>
        <v/>
      </c>
      <c r="AF1513" s="56">
        <f>IF(AC1513&gt;0,I1513/AC1513,-1)</f>
        <v/>
      </c>
      <c r="AG1513" s="56">
        <f>IF(AND(OR(BR1513="L1",BR1513="L23"),AC1513&gt;0),SUMIFS($AC$7:$AC$1570,$BR$7:$BR$1570,BR1513,$AF$7:$AF$1570,"&gt;"&amp;AF1513)+SUMIFS($AC$7:$AC$1570,$BR$7:$BR$1570,BR1513,$AF$7:$AF$1570,AF1513,$BL$7:$BL$1570,"&lt;="&amp;BL1513),"")</f>
        <v/>
      </c>
      <c r="AH1513" s="65">
        <f>IF(AG1513="",0,MAX(0,MIN(1,(IF(BR1513="L1",Parameter!$K$5,Parameter!$K$6+Parameter!$K$7)-(AG1513-AC1513))/AC1513)))</f>
        <v/>
      </c>
      <c r="AI1513" s="55">
        <f>IF(LEFT(Cockpit!$I$5,1)="A",G1513,IF(BT1513=1,BU1513,IF(LEFT(Cockpit!$I$5,1)="B",AM1513,MAX(AM1513,G1513))))</f>
        <v/>
      </c>
      <c r="AJ1513" s="55">
        <f>IF(BO1513=1,0,ROUNDUP(AI1513/BN1513,0))</f>
        <v/>
      </c>
      <c r="AK1513" s="64">
        <f>IF(BO1513=1,IF(AI1513&lt;=0,0,BP1513*MAX(1,IF(G1513&gt;0,AI1513/G1513,1))),AJ1513*Q1513)</f>
        <v/>
      </c>
      <c r="AL1513" s="55">
        <f>AI1513*F1513</f>
        <v/>
      </c>
      <c r="AM1513" s="55">
        <f>ROUNDUP(MAX(I1513/IF(BS1513&gt;0,BS1513,MAX(0.1,N(Cockpit!$I$6))),BV1513)/BN1513,0)*BN1513</f>
        <v/>
      </c>
      <c r="AN1513" s="56">
        <f>IF(AK1513&gt;0,I1513/AK1513,-1)</f>
        <v/>
      </c>
      <c r="AO1513" s="56">
        <f>IF(AND(OR(BR1513="L1",BR1513="L23"),AK1513&gt;0),SUMIFS($AK$7:$AK$1570,$BR$7:$BR$1570,BR1513,$AN$7:$AN$1570,"&gt;"&amp;AN1513)+SUMIFS($AK$7:$AK$1570,$BR$7:$BR$1570,BR1513,$AN$7:$AN$1570,AN1513,$BL$7:$BL$1570,"&lt;="&amp;BL1513),"")</f>
        <v/>
      </c>
      <c r="AP1513" s="65">
        <f>IF(AO1513="",0,MAX(0,MIN(1,(IF(BR1513="L1",Parameter!$K$5,Parameter!$K$6+Parameter!$K$7)-(AO1513-AK1513))/AK1513)))</f>
        <v/>
      </c>
      <c r="AQ1513" s="55">
        <f>IF(LEFT(Cockpit!$O$5,1)="A",G1513,IF(BT1513=1,BU1513,IF(LEFT(Cockpit!$O$5,1)="B",AU1513,MAX(AU1513,G1513))))</f>
        <v/>
      </c>
      <c r="AR1513" s="55">
        <f>IF(BO1513=1,0,ROUNDUP(AQ1513/BN1513,0))</f>
        <v/>
      </c>
      <c r="AS1513" s="64">
        <f>IF(BO1513=1,IF(AQ1513&lt;=0,0,BP1513*MAX(1,IF(G1513&gt;0,AQ1513/G1513,1))),AR1513*Q1513)</f>
        <v/>
      </c>
      <c r="AT1513" s="55">
        <f>AQ1513*F1513</f>
        <v/>
      </c>
      <c r="AU1513" s="55">
        <f>ROUNDUP(MAX(I1513/IF(BS1513&gt;0,BS1513,MAX(0.1,N(Cockpit!$O$6))),BV1513)/BN1513,0)*BN1513</f>
        <v/>
      </c>
      <c r="AV1513" s="56">
        <f>IF(AS1513&gt;0,I1513/AS1513,-1)</f>
        <v/>
      </c>
      <c r="AW1513" s="56">
        <f>IF(AND(OR(BR1513="L1",BR1513="L23"),AS1513&gt;0),SUMIFS($AS$7:$AS$1570,$BR$7:$BR$1570,BR1513,$AV$7:$AV$1570,"&gt;"&amp;AV1513)+SUMIFS($AS$7:$AS$1570,$BR$7:$BR$1570,BR1513,$AV$7:$AV$1570,AV1513,$BL$7:$BL$1570,"&lt;="&amp;BL1513),"")</f>
        <v/>
      </c>
      <c r="AX1513" s="65">
        <f>IF(AW1513="",0,MAX(0,MIN(1,(IF(BR1513="L1",Parameter!$K$5,Parameter!$K$6+Parameter!$K$7)-(AW1513-AS1513))/AS1513)))</f>
        <v/>
      </c>
      <c r="AY1513" s="53">
        <f>IF(AC1513&lt;=0,"",IF(BR1513="Aussen","Aussenlager",IF(BR1513="-","Nicht im Lift",IF(AH1513&gt;=1,"Lift",IF(AH1513&lt;=0,"Aussenlager","teilweise")))))</f>
        <v/>
      </c>
      <c r="AZ1513" s="53">
        <f>IF(AK1513&lt;=0,"",IF(BR1513="Aussen","Aussenlager",IF(BR1513="-","Nicht im Lift",IF(AP1513&gt;=1,"Lift",IF(AP1513&lt;=0,"Aussenlager","teilweise")))))</f>
        <v/>
      </c>
      <c r="BA1513" s="53">
        <f>IF(AS1513&lt;=0,"",IF(BR1513="Aussen","Aussenlager",IF(BR1513="-","Nicht im Lift",IF(AX1513&gt;=1,"Lift",IF(AX1513&lt;=0,"Aussenlager","teilweise")))))</f>
        <v/>
      </c>
      <c r="BB1513" s="53">
        <f>IF(A1513="","",IF(BK1513=1,"Neu; ","")&amp;IF(AND(BK1513=0,BF1513&lt;0),"negativer Bestand (Export "&amp;BF1513&amp;"); ","")&amp;IF(I1513&lt;=0,"Kein Verbrauch; ","")&amp;IF(BO1513=1,"Lose – Fläche geschätzt; ","")&amp;IF(G1513&gt;AM1513,"Überbestand "&amp;ROUND(G1513-AM1513,0)&amp;" Stk / CHF "&amp;ROUND((G1513-AM1513)*F1513,0)&amp;"; ","")&amp;IF(AND(BT1513=1,BU1513&lt;BV1513),"MAX &lt; MB+LG; ","")&amp;IF(AND(BZ1513&gt;0,BY1513*10&gt;BZ1513),"zu hoch für Tablar; ","")&amp;IF(AND(BK1513=0,OR(BT1513=1,V1513&lt;&gt;"",S1513&lt;&gt;"",T1513&lt;&gt;"",W1513&lt;&gt;"")),"manuell übersteuert; ","")&amp;IF(AND(BO1513=0,Q1513=0),"Gebinde unbekannt; ","")&amp;IF(AND(BO1513=0,N(T1513)&lt;=0,N(P1513)&lt;=0),"Menge pro Gebinde fehlt (Ist = 1 Gebinde); ","")&amp;BJ1513)</f>
        <v/>
      </c>
      <c r="BC1513" s="53" t="n"/>
      <c r="BD1513" s="53" t="n"/>
      <c r="BE1513" s="61" t="n"/>
      <c r="BF1513" s="55">
        <f>N('Neue Artikel'!$D$47)</f>
        <v/>
      </c>
      <c r="BG1513" s="55" t="n">
        <v>0</v>
      </c>
      <c r="BH1513" s="54" t="n">
        <v>0</v>
      </c>
      <c r="BI1513" s="55">
        <f>N('Neue Artikel'!$C$47)/Parameter!$B$18</f>
        <v/>
      </c>
      <c r="BJ1513" s="53" t="inlineStr"/>
      <c r="BK1513" s="58" t="n">
        <v>1</v>
      </c>
      <c r="BL1513" s="58" t="n">
        <v>1513</v>
      </c>
      <c r="BM1513" s="53">
        <f>IF(S1513&lt;&gt;"",UPPER(TRIM(S1513)),IF(O1513="","LOSE",O1513))</f>
        <v/>
      </c>
      <c r="BN1513" s="55">
        <f>IF(BM1513="LOSE",1,IF(N(T1513)&gt;0,T1513,IF(N(P1513)&gt;0,P1513,MAX(1,G1513))))</f>
        <v/>
      </c>
      <c r="BO1513" s="58">
        <f>IF(BM1513="LOSE",1,0)</f>
        <v/>
      </c>
      <c r="BP1513" s="64">
        <f>IF(BO1513=0,0,IF(N(R1513)&gt;0,R1513,IFERROR(VLOOKUP(D1513,Parameter!$A$35:$C$64,3,0)+0,0)))</f>
        <v/>
      </c>
      <c r="BQ1513" s="53">
        <f>IF(V1513&lt;&gt;"",V1513,U1513)</f>
        <v/>
      </c>
      <c r="BR1513" s="53">
        <f>IF(BQ1513=1,"L1",IF(OR(BQ1513=2,BQ1513=3),"L23",IF(BQ1513="Aussen","Aussen","-")))</f>
        <v/>
      </c>
      <c r="BS1513" s="66">
        <f>IF(N(W1513)&gt;0,W1513,0)</f>
        <v/>
      </c>
      <c r="BT1513" s="58">
        <f>IF(ISNUMBER(Z1513),1,0)</f>
        <v/>
      </c>
      <c r="BU1513" s="55">
        <f>N(Z1513)</f>
        <v/>
      </c>
      <c r="BV1513" s="55">
        <f>N(L1513)+N(M1513)</f>
        <v/>
      </c>
      <c r="BW1513" s="55">
        <f>ROUNDUP(G1513/BN1513,0)</f>
        <v/>
      </c>
      <c r="BX1513" s="55">
        <f>ROUNDUP(BU1513/BN1513,0)</f>
        <v/>
      </c>
      <c r="BY1513" s="58">
        <f>IF(BO1513=1,0,IFERROR(VLOOKUP(BM1513,'Gebinde-Kategorie'!$A$5:$G$45,5,0)+0,0))</f>
        <v/>
      </c>
      <c r="BZ1513" s="58">
        <f>IFERROR(IF(OR(BQ1513=1,BQ1513=2,BQ1513=3),N(INDEX(Parameter!$I$5:$I$7,BQ1513)),0),0)</f>
        <v/>
      </c>
    </row>
    <row r="1514">
      <c r="A1514" s="53">
        <f>IF('Neue Artikel'!$A$48="","",'Neue Artikel'!$A$48&amp;"")</f>
        <v/>
      </c>
      <c r="B1514" s="53">
        <f>'Neue Artikel'!$B$48&amp;""</f>
        <v/>
      </c>
      <c r="C1514" s="53" t="inlineStr"/>
      <c r="D1514" s="53" t="inlineStr">
        <is>
          <t>NEU</t>
        </is>
      </c>
      <c r="E1514" s="53" t="inlineStr"/>
      <c r="F1514" s="54">
        <f>N('Neue Artikel'!$G$48)</f>
        <v/>
      </c>
      <c r="G1514" s="55">
        <f>MAX(0,IF(Parameter!$B$20="Jahresanfang 2025 + Export",BG1514+BF1514,BF1514))</f>
        <v/>
      </c>
      <c r="H1514" s="55">
        <f>G1514*F1514</f>
        <v/>
      </c>
      <c r="I1514" s="55">
        <f>BI1514*Parameter!$B$18</f>
        <v/>
      </c>
      <c r="J1514" s="56" t="n"/>
      <c r="K1514" s="57" t="n"/>
      <c r="L1514" s="55">
        <f>N('Neue Artikel'!$E$48)</f>
        <v/>
      </c>
      <c r="M1514" s="55">
        <f>N('Neue Artikel'!$F$48)</f>
        <v/>
      </c>
      <c r="N1514" s="58" t="n"/>
      <c r="O1514" s="53">
        <f>IF('Neue Artikel'!$H$48="","LOSE",UPPER(TRIM('Neue Artikel'!$H$48)))</f>
        <v/>
      </c>
      <c r="P1514" s="55">
        <f>N('Neue Artikel'!$I$48)</f>
        <v/>
      </c>
      <c r="Q1514" s="59">
        <f>IF(BO1514=1,0,IFERROR(VLOOKUP(BM1514,'Gebinde-Kategorie'!$A$5:$G$45,6,0)+0,0))</f>
        <v/>
      </c>
      <c r="R1514" s="60" t="n"/>
      <c r="S1514" s="61" t="n"/>
      <c r="T1514" s="61" t="n"/>
      <c r="U1514" s="53">
        <f>IF(A1514="","",IF(IFERROR(VLOOKUP(D1514,Parameter!$A$35:$C$64,2,0),"Nein")="2+3",IF(ISNUMBER(SEARCH("grosser Artikel",BJ1514)),2,IFERROR(VLOOKUP(BM1514,Parameter!$F$35:$G$64,2,0),2)),IF(OR(IFERROR(VLOOKUP(D1514,Parameter!$A$35:$C$64,2,0),"Nein")="Nein",IFERROR(VLOOKUP(D1514,Parameter!$A$35:$C$64,2,0),"Nein")=""),"-",VLOOKUP(D1514,Parameter!$A$35:$C$64,2,0))))</f>
        <v/>
      </c>
      <c r="V1514" s="53">
        <f>IF('Neue Artikel'!$J$48="","",'Neue Artikel'!$J$48)</f>
        <v/>
      </c>
      <c r="W1514" s="62" t="n"/>
      <c r="X1514" s="55">
        <f>AM1514</f>
        <v/>
      </c>
      <c r="Y1514" s="55">
        <f>MAX(AM1514,G1514)</f>
        <v/>
      </c>
      <c r="Z1514" s="63" t="n"/>
      <c r="AA1514" s="55">
        <f>IF(LEFT(Cockpit!$C$5,1)="A",G1514,IF(BT1514=1,BU1514,IF(LEFT(Cockpit!$C$5,1)="B",AE1514,MAX(AE1514,G1514))))</f>
        <v/>
      </c>
      <c r="AB1514" s="55">
        <f>IF(BO1514=1,0,ROUNDUP(AA1514/BN1514,0))</f>
        <v/>
      </c>
      <c r="AC1514" s="64">
        <f>IF(BO1514=1,IF(AA1514&lt;=0,0,BP1514*MAX(1,IF(G1514&gt;0,AA1514/G1514,1))),AB1514*Q1514)</f>
        <v/>
      </c>
      <c r="AD1514" s="55">
        <f>AA1514*F1514</f>
        <v/>
      </c>
      <c r="AE1514" s="55">
        <f>ROUNDUP(MAX(I1514/IF(BS1514&gt;0,BS1514,MAX(0.1,N(Cockpit!$C$6))),BV1514)/BN1514,0)*BN1514</f>
        <v/>
      </c>
      <c r="AF1514" s="56">
        <f>IF(AC1514&gt;0,I1514/AC1514,-1)</f>
        <v/>
      </c>
      <c r="AG1514" s="56">
        <f>IF(AND(OR(BR1514="L1",BR1514="L23"),AC1514&gt;0),SUMIFS($AC$7:$AC$1570,$BR$7:$BR$1570,BR1514,$AF$7:$AF$1570,"&gt;"&amp;AF1514)+SUMIFS($AC$7:$AC$1570,$BR$7:$BR$1570,BR1514,$AF$7:$AF$1570,AF1514,$BL$7:$BL$1570,"&lt;="&amp;BL1514),"")</f>
        <v/>
      </c>
      <c r="AH1514" s="65">
        <f>IF(AG1514="",0,MAX(0,MIN(1,(IF(BR1514="L1",Parameter!$K$5,Parameter!$K$6+Parameter!$K$7)-(AG1514-AC1514))/AC1514)))</f>
        <v/>
      </c>
      <c r="AI1514" s="55">
        <f>IF(LEFT(Cockpit!$I$5,1)="A",G1514,IF(BT1514=1,BU1514,IF(LEFT(Cockpit!$I$5,1)="B",AM1514,MAX(AM1514,G1514))))</f>
        <v/>
      </c>
      <c r="AJ1514" s="55">
        <f>IF(BO1514=1,0,ROUNDUP(AI1514/BN1514,0))</f>
        <v/>
      </c>
      <c r="AK1514" s="64">
        <f>IF(BO1514=1,IF(AI1514&lt;=0,0,BP1514*MAX(1,IF(G1514&gt;0,AI1514/G1514,1))),AJ1514*Q1514)</f>
        <v/>
      </c>
      <c r="AL1514" s="55">
        <f>AI1514*F1514</f>
        <v/>
      </c>
      <c r="AM1514" s="55">
        <f>ROUNDUP(MAX(I1514/IF(BS1514&gt;0,BS1514,MAX(0.1,N(Cockpit!$I$6))),BV1514)/BN1514,0)*BN1514</f>
        <v/>
      </c>
      <c r="AN1514" s="56">
        <f>IF(AK1514&gt;0,I1514/AK1514,-1)</f>
        <v/>
      </c>
      <c r="AO1514" s="56">
        <f>IF(AND(OR(BR1514="L1",BR1514="L23"),AK1514&gt;0),SUMIFS($AK$7:$AK$1570,$BR$7:$BR$1570,BR1514,$AN$7:$AN$1570,"&gt;"&amp;AN1514)+SUMIFS($AK$7:$AK$1570,$BR$7:$BR$1570,BR1514,$AN$7:$AN$1570,AN1514,$BL$7:$BL$1570,"&lt;="&amp;BL1514),"")</f>
        <v/>
      </c>
      <c r="AP1514" s="65">
        <f>IF(AO1514="",0,MAX(0,MIN(1,(IF(BR1514="L1",Parameter!$K$5,Parameter!$K$6+Parameter!$K$7)-(AO1514-AK1514))/AK1514)))</f>
        <v/>
      </c>
      <c r="AQ1514" s="55">
        <f>IF(LEFT(Cockpit!$O$5,1)="A",G1514,IF(BT1514=1,BU1514,IF(LEFT(Cockpit!$O$5,1)="B",AU1514,MAX(AU1514,G1514))))</f>
        <v/>
      </c>
      <c r="AR1514" s="55">
        <f>IF(BO1514=1,0,ROUNDUP(AQ1514/BN1514,0))</f>
        <v/>
      </c>
      <c r="AS1514" s="64">
        <f>IF(BO1514=1,IF(AQ1514&lt;=0,0,BP1514*MAX(1,IF(G1514&gt;0,AQ1514/G1514,1))),AR1514*Q1514)</f>
        <v/>
      </c>
      <c r="AT1514" s="55">
        <f>AQ1514*F1514</f>
        <v/>
      </c>
      <c r="AU1514" s="55">
        <f>ROUNDUP(MAX(I1514/IF(BS1514&gt;0,BS1514,MAX(0.1,N(Cockpit!$O$6))),BV1514)/BN1514,0)*BN1514</f>
        <v/>
      </c>
      <c r="AV1514" s="56">
        <f>IF(AS1514&gt;0,I1514/AS1514,-1)</f>
        <v/>
      </c>
      <c r="AW1514" s="56">
        <f>IF(AND(OR(BR1514="L1",BR1514="L23"),AS1514&gt;0),SUMIFS($AS$7:$AS$1570,$BR$7:$BR$1570,BR1514,$AV$7:$AV$1570,"&gt;"&amp;AV1514)+SUMIFS($AS$7:$AS$1570,$BR$7:$BR$1570,BR1514,$AV$7:$AV$1570,AV1514,$BL$7:$BL$1570,"&lt;="&amp;BL1514),"")</f>
        <v/>
      </c>
      <c r="AX1514" s="65">
        <f>IF(AW1514="",0,MAX(0,MIN(1,(IF(BR1514="L1",Parameter!$K$5,Parameter!$K$6+Parameter!$K$7)-(AW1514-AS1514))/AS1514)))</f>
        <v/>
      </c>
      <c r="AY1514" s="53">
        <f>IF(AC1514&lt;=0,"",IF(BR1514="Aussen","Aussenlager",IF(BR1514="-","Nicht im Lift",IF(AH1514&gt;=1,"Lift",IF(AH1514&lt;=0,"Aussenlager","teilweise")))))</f>
        <v/>
      </c>
      <c r="AZ1514" s="53">
        <f>IF(AK1514&lt;=0,"",IF(BR1514="Aussen","Aussenlager",IF(BR1514="-","Nicht im Lift",IF(AP1514&gt;=1,"Lift",IF(AP1514&lt;=0,"Aussenlager","teilweise")))))</f>
        <v/>
      </c>
      <c r="BA1514" s="53">
        <f>IF(AS1514&lt;=0,"",IF(BR1514="Aussen","Aussenlager",IF(BR1514="-","Nicht im Lift",IF(AX1514&gt;=1,"Lift",IF(AX1514&lt;=0,"Aussenlager","teilweise")))))</f>
        <v/>
      </c>
      <c r="BB1514" s="53">
        <f>IF(A1514="","",IF(BK1514=1,"Neu; ","")&amp;IF(AND(BK1514=0,BF1514&lt;0),"negativer Bestand (Export "&amp;BF1514&amp;"); ","")&amp;IF(I1514&lt;=0,"Kein Verbrauch; ","")&amp;IF(BO1514=1,"Lose – Fläche geschätzt; ","")&amp;IF(G1514&gt;AM1514,"Überbestand "&amp;ROUND(G1514-AM1514,0)&amp;" Stk / CHF "&amp;ROUND((G1514-AM1514)*F1514,0)&amp;"; ","")&amp;IF(AND(BT1514=1,BU1514&lt;BV1514),"MAX &lt; MB+LG; ","")&amp;IF(AND(BZ1514&gt;0,BY1514*10&gt;BZ1514),"zu hoch für Tablar; ","")&amp;IF(AND(BK1514=0,OR(BT1514=1,V1514&lt;&gt;"",S1514&lt;&gt;"",T1514&lt;&gt;"",W1514&lt;&gt;"")),"manuell übersteuert; ","")&amp;IF(AND(BO1514=0,Q1514=0),"Gebinde unbekannt; ","")&amp;IF(AND(BO1514=0,N(T1514)&lt;=0,N(P1514)&lt;=0),"Menge pro Gebinde fehlt (Ist = 1 Gebinde); ","")&amp;BJ1514)</f>
        <v/>
      </c>
      <c r="BC1514" s="53" t="n"/>
      <c r="BD1514" s="53" t="n"/>
      <c r="BE1514" s="61" t="n"/>
      <c r="BF1514" s="55">
        <f>N('Neue Artikel'!$D$48)</f>
        <v/>
      </c>
      <c r="BG1514" s="55" t="n">
        <v>0</v>
      </c>
      <c r="BH1514" s="54" t="n">
        <v>0</v>
      </c>
      <c r="BI1514" s="55">
        <f>N('Neue Artikel'!$C$48)/Parameter!$B$18</f>
        <v/>
      </c>
      <c r="BJ1514" s="53" t="inlineStr"/>
      <c r="BK1514" s="58" t="n">
        <v>1</v>
      </c>
      <c r="BL1514" s="58" t="n">
        <v>1514</v>
      </c>
      <c r="BM1514" s="53">
        <f>IF(S1514&lt;&gt;"",UPPER(TRIM(S1514)),IF(O1514="","LOSE",O1514))</f>
        <v/>
      </c>
      <c r="BN1514" s="55">
        <f>IF(BM1514="LOSE",1,IF(N(T1514)&gt;0,T1514,IF(N(P1514)&gt;0,P1514,MAX(1,G1514))))</f>
        <v/>
      </c>
      <c r="BO1514" s="58">
        <f>IF(BM1514="LOSE",1,0)</f>
        <v/>
      </c>
      <c r="BP1514" s="64">
        <f>IF(BO1514=0,0,IF(N(R1514)&gt;0,R1514,IFERROR(VLOOKUP(D1514,Parameter!$A$35:$C$64,3,0)+0,0)))</f>
        <v/>
      </c>
      <c r="BQ1514" s="53">
        <f>IF(V1514&lt;&gt;"",V1514,U1514)</f>
        <v/>
      </c>
      <c r="BR1514" s="53">
        <f>IF(BQ1514=1,"L1",IF(OR(BQ1514=2,BQ1514=3),"L23",IF(BQ1514="Aussen","Aussen","-")))</f>
        <v/>
      </c>
      <c r="BS1514" s="66">
        <f>IF(N(W1514)&gt;0,W1514,0)</f>
        <v/>
      </c>
      <c r="BT1514" s="58">
        <f>IF(ISNUMBER(Z1514),1,0)</f>
        <v/>
      </c>
      <c r="BU1514" s="55">
        <f>N(Z1514)</f>
        <v/>
      </c>
      <c r="BV1514" s="55">
        <f>N(L1514)+N(M1514)</f>
        <v/>
      </c>
      <c r="BW1514" s="55">
        <f>ROUNDUP(G1514/BN1514,0)</f>
        <v/>
      </c>
      <c r="BX1514" s="55">
        <f>ROUNDUP(BU1514/BN1514,0)</f>
        <v/>
      </c>
      <c r="BY1514" s="58">
        <f>IF(BO1514=1,0,IFERROR(VLOOKUP(BM1514,'Gebinde-Kategorie'!$A$5:$G$45,5,0)+0,0))</f>
        <v/>
      </c>
      <c r="BZ1514" s="58">
        <f>IFERROR(IF(OR(BQ1514=1,BQ1514=2,BQ1514=3),N(INDEX(Parameter!$I$5:$I$7,BQ1514)),0),0)</f>
        <v/>
      </c>
    </row>
    <row r="1515">
      <c r="A1515" s="53">
        <f>IF('Neue Artikel'!$A$49="","",'Neue Artikel'!$A$49&amp;"")</f>
        <v/>
      </c>
      <c r="B1515" s="53">
        <f>'Neue Artikel'!$B$49&amp;""</f>
        <v/>
      </c>
      <c r="C1515" s="53" t="inlineStr"/>
      <c r="D1515" s="53" t="inlineStr">
        <is>
          <t>NEU</t>
        </is>
      </c>
      <c r="E1515" s="53" t="inlineStr"/>
      <c r="F1515" s="54">
        <f>N('Neue Artikel'!$G$49)</f>
        <v/>
      </c>
      <c r="G1515" s="55">
        <f>MAX(0,IF(Parameter!$B$20="Jahresanfang 2025 + Export",BG1515+BF1515,BF1515))</f>
        <v/>
      </c>
      <c r="H1515" s="55">
        <f>G1515*F1515</f>
        <v/>
      </c>
      <c r="I1515" s="55">
        <f>BI1515*Parameter!$B$18</f>
        <v/>
      </c>
      <c r="J1515" s="56" t="n"/>
      <c r="K1515" s="57" t="n"/>
      <c r="L1515" s="55">
        <f>N('Neue Artikel'!$E$49)</f>
        <v/>
      </c>
      <c r="M1515" s="55">
        <f>N('Neue Artikel'!$F$49)</f>
        <v/>
      </c>
      <c r="N1515" s="58" t="n"/>
      <c r="O1515" s="53">
        <f>IF('Neue Artikel'!$H$49="","LOSE",UPPER(TRIM('Neue Artikel'!$H$49)))</f>
        <v/>
      </c>
      <c r="P1515" s="55">
        <f>N('Neue Artikel'!$I$49)</f>
        <v/>
      </c>
      <c r="Q1515" s="59">
        <f>IF(BO1515=1,0,IFERROR(VLOOKUP(BM1515,'Gebinde-Kategorie'!$A$5:$G$45,6,0)+0,0))</f>
        <v/>
      </c>
      <c r="R1515" s="60" t="n"/>
      <c r="S1515" s="61" t="n"/>
      <c r="T1515" s="61" t="n"/>
      <c r="U1515" s="53">
        <f>IF(A1515="","",IF(IFERROR(VLOOKUP(D1515,Parameter!$A$35:$C$64,2,0),"Nein")="2+3",IF(ISNUMBER(SEARCH("grosser Artikel",BJ1515)),2,IFERROR(VLOOKUP(BM1515,Parameter!$F$35:$G$64,2,0),2)),IF(OR(IFERROR(VLOOKUP(D1515,Parameter!$A$35:$C$64,2,0),"Nein")="Nein",IFERROR(VLOOKUP(D1515,Parameter!$A$35:$C$64,2,0),"Nein")=""),"-",VLOOKUP(D1515,Parameter!$A$35:$C$64,2,0))))</f>
        <v/>
      </c>
      <c r="V1515" s="53">
        <f>IF('Neue Artikel'!$J$49="","",'Neue Artikel'!$J$49)</f>
        <v/>
      </c>
      <c r="W1515" s="62" t="n"/>
      <c r="X1515" s="55">
        <f>AM1515</f>
        <v/>
      </c>
      <c r="Y1515" s="55">
        <f>MAX(AM1515,G1515)</f>
        <v/>
      </c>
      <c r="Z1515" s="63" t="n"/>
      <c r="AA1515" s="55">
        <f>IF(LEFT(Cockpit!$C$5,1)="A",G1515,IF(BT1515=1,BU1515,IF(LEFT(Cockpit!$C$5,1)="B",AE1515,MAX(AE1515,G1515))))</f>
        <v/>
      </c>
      <c r="AB1515" s="55">
        <f>IF(BO1515=1,0,ROUNDUP(AA1515/BN1515,0))</f>
        <v/>
      </c>
      <c r="AC1515" s="64">
        <f>IF(BO1515=1,IF(AA1515&lt;=0,0,BP1515*MAX(1,IF(G1515&gt;0,AA1515/G1515,1))),AB1515*Q1515)</f>
        <v/>
      </c>
      <c r="AD1515" s="55">
        <f>AA1515*F1515</f>
        <v/>
      </c>
      <c r="AE1515" s="55">
        <f>ROUNDUP(MAX(I1515/IF(BS1515&gt;0,BS1515,MAX(0.1,N(Cockpit!$C$6))),BV1515)/BN1515,0)*BN1515</f>
        <v/>
      </c>
      <c r="AF1515" s="56">
        <f>IF(AC1515&gt;0,I1515/AC1515,-1)</f>
        <v/>
      </c>
      <c r="AG1515" s="56">
        <f>IF(AND(OR(BR1515="L1",BR1515="L23"),AC1515&gt;0),SUMIFS($AC$7:$AC$1570,$BR$7:$BR$1570,BR1515,$AF$7:$AF$1570,"&gt;"&amp;AF1515)+SUMIFS($AC$7:$AC$1570,$BR$7:$BR$1570,BR1515,$AF$7:$AF$1570,AF1515,$BL$7:$BL$1570,"&lt;="&amp;BL1515),"")</f>
        <v/>
      </c>
      <c r="AH1515" s="65">
        <f>IF(AG1515="",0,MAX(0,MIN(1,(IF(BR1515="L1",Parameter!$K$5,Parameter!$K$6+Parameter!$K$7)-(AG1515-AC1515))/AC1515)))</f>
        <v/>
      </c>
      <c r="AI1515" s="55">
        <f>IF(LEFT(Cockpit!$I$5,1)="A",G1515,IF(BT1515=1,BU1515,IF(LEFT(Cockpit!$I$5,1)="B",AM1515,MAX(AM1515,G1515))))</f>
        <v/>
      </c>
      <c r="AJ1515" s="55">
        <f>IF(BO1515=1,0,ROUNDUP(AI1515/BN1515,0))</f>
        <v/>
      </c>
      <c r="AK1515" s="64">
        <f>IF(BO1515=1,IF(AI1515&lt;=0,0,BP1515*MAX(1,IF(G1515&gt;0,AI1515/G1515,1))),AJ1515*Q1515)</f>
        <v/>
      </c>
      <c r="AL1515" s="55">
        <f>AI1515*F1515</f>
        <v/>
      </c>
      <c r="AM1515" s="55">
        <f>ROUNDUP(MAX(I1515/IF(BS1515&gt;0,BS1515,MAX(0.1,N(Cockpit!$I$6))),BV1515)/BN1515,0)*BN1515</f>
        <v/>
      </c>
      <c r="AN1515" s="56">
        <f>IF(AK1515&gt;0,I1515/AK1515,-1)</f>
        <v/>
      </c>
      <c r="AO1515" s="56">
        <f>IF(AND(OR(BR1515="L1",BR1515="L23"),AK1515&gt;0),SUMIFS($AK$7:$AK$1570,$BR$7:$BR$1570,BR1515,$AN$7:$AN$1570,"&gt;"&amp;AN1515)+SUMIFS($AK$7:$AK$1570,$BR$7:$BR$1570,BR1515,$AN$7:$AN$1570,AN1515,$BL$7:$BL$1570,"&lt;="&amp;BL1515),"")</f>
        <v/>
      </c>
      <c r="AP1515" s="65">
        <f>IF(AO1515="",0,MAX(0,MIN(1,(IF(BR1515="L1",Parameter!$K$5,Parameter!$K$6+Parameter!$K$7)-(AO1515-AK1515))/AK1515)))</f>
        <v/>
      </c>
      <c r="AQ1515" s="55">
        <f>IF(LEFT(Cockpit!$O$5,1)="A",G1515,IF(BT1515=1,BU1515,IF(LEFT(Cockpit!$O$5,1)="B",AU1515,MAX(AU1515,G1515))))</f>
        <v/>
      </c>
      <c r="AR1515" s="55">
        <f>IF(BO1515=1,0,ROUNDUP(AQ1515/BN1515,0))</f>
        <v/>
      </c>
      <c r="AS1515" s="64">
        <f>IF(BO1515=1,IF(AQ1515&lt;=0,0,BP1515*MAX(1,IF(G1515&gt;0,AQ1515/G1515,1))),AR1515*Q1515)</f>
        <v/>
      </c>
      <c r="AT1515" s="55">
        <f>AQ1515*F1515</f>
        <v/>
      </c>
      <c r="AU1515" s="55">
        <f>ROUNDUP(MAX(I1515/IF(BS1515&gt;0,BS1515,MAX(0.1,N(Cockpit!$O$6))),BV1515)/BN1515,0)*BN1515</f>
        <v/>
      </c>
      <c r="AV1515" s="56">
        <f>IF(AS1515&gt;0,I1515/AS1515,-1)</f>
        <v/>
      </c>
      <c r="AW1515" s="56">
        <f>IF(AND(OR(BR1515="L1",BR1515="L23"),AS1515&gt;0),SUMIFS($AS$7:$AS$1570,$BR$7:$BR$1570,BR1515,$AV$7:$AV$1570,"&gt;"&amp;AV1515)+SUMIFS($AS$7:$AS$1570,$BR$7:$BR$1570,BR1515,$AV$7:$AV$1570,AV1515,$BL$7:$BL$1570,"&lt;="&amp;BL1515),"")</f>
        <v/>
      </c>
      <c r="AX1515" s="65">
        <f>IF(AW1515="",0,MAX(0,MIN(1,(IF(BR1515="L1",Parameter!$K$5,Parameter!$K$6+Parameter!$K$7)-(AW1515-AS1515))/AS1515)))</f>
        <v/>
      </c>
      <c r="AY1515" s="53">
        <f>IF(AC1515&lt;=0,"",IF(BR1515="Aussen","Aussenlager",IF(BR1515="-","Nicht im Lift",IF(AH1515&gt;=1,"Lift",IF(AH1515&lt;=0,"Aussenlager","teilweise")))))</f>
        <v/>
      </c>
      <c r="AZ1515" s="53">
        <f>IF(AK1515&lt;=0,"",IF(BR1515="Aussen","Aussenlager",IF(BR1515="-","Nicht im Lift",IF(AP1515&gt;=1,"Lift",IF(AP1515&lt;=0,"Aussenlager","teilweise")))))</f>
        <v/>
      </c>
      <c r="BA1515" s="53">
        <f>IF(AS1515&lt;=0,"",IF(BR1515="Aussen","Aussenlager",IF(BR1515="-","Nicht im Lift",IF(AX1515&gt;=1,"Lift",IF(AX1515&lt;=0,"Aussenlager","teilweise")))))</f>
        <v/>
      </c>
      <c r="BB1515" s="53">
        <f>IF(A1515="","",IF(BK1515=1,"Neu; ","")&amp;IF(AND(BK1515=0,BF1515&lt;0),"negativer Bestand (Export "&amp;BF1515&amp;"); ","")&amp;IF(I1515&lt;=0,"Kein Verbrauch; ","")&amp;IF(BO1515=1,"Lose – Fläche geschätzt; ","")&amp;IF(G1515&gt;AM1515,"Überbestand "&amp;ROUND(G1515-AM1515,0)&amp;" Stk / CHF "&amp;ROUND((G1515-AM1515)*F1515,0)&amp;"; ","")&amp;IF(AND(BT1515=1,BU1515&lt;BV1515),"MAX &lt; MB+LG; ","")&amp;IF(AND(BZ1515&gt;0,BY1515*10&gt;BZ1515),"zu hoch für Tablar; ","")&amp;IF(AND(BK1515=0,OR(BT1515=1,V1515&lt;&gt;"",S1515&lt;&gt;"",T1515&lt;&gt;"",W1515&lt;&gt;"")),"manuell übersteuert; ","")&amp;IF(AND(BO1515=0,Q1515=0),"Gebinde unbekannt; ","")&amp;IF(AND(BO1515=0,N(T1515)&lt;=0,N(P1515)&lt;=0),"Menge pro Gebinde fehlt (Ist = 1 Gebinde); ","")&amp;BJ1515)</f>
        <v/>
      </c>
      <c r="BC1515" s="53" t="n"/>
      <c r="BD1515" s="53" t="n"/>
      <c r="BE1515" s="61" t="n"/>
      <c r="BF1515" s="55">
        <f>N('Neue Artikel'!$D$49)</f>
        <v/>
      </c>
      <c r="BG1515" s="55" t="n">
        <v>0</v>
      </c>
      <c r="BH1515" s="54" t="n">
        <v>0</v>
      </c>
      <c r="BI1515" s="55">
        <f>N('Neue Artikel'!$C$49)/Parameter!$B$18</f>
        <v/>
      </c>
      <c r="BJ1515" s="53" t="inlineStr"/>
      <c r="BK1515" s="58" t="n">
        <v>1</v>
      </c>
      <c r="BL1515" s="58" t="n">
        <v>1515</v>
      </c>
      <c r="BM1515" s="53">
        <f>IF(S1515&lt;&gt;"",UPPER(TRIM(S1515)),IF(O1515="","LOSE",O1515))</f>
        <v/>
      </c>
      <c r="BN1515" s="55">
        <f>IF(BM1515="LOSE",1,IF(N(T1515)&gt;0,T1515,IF(N(P1515)&gt;0,P1515,MAX(1,G1515))))</f>
        <v/>
      </c>
      <c r="BO1515" s="58">
        <f>IF(BM1515="LOSE",1,0)</f>
        <v/>
      </c>
      <c r="BP1515" s="64">
        <f>IF(BO1515=0,0,IF(N(R1515)&gt;0,R1515,IFERROR(VLOOKUP(D1515,Parameter!$A$35:$C$64,3,0)+0,0)))</f>
        <v/>
      </c>
      <c r="BQ1515" s="53">
        <f>IF(V1515&lt;&gt;"",V1515,U1515)</f>
        <v/>
      </c>
      <c r="BR1515" s="53">
        <f>IF(BQ1515=1,"L1",IF(OR(BQ1515=2,BQ1515=3),"L23",IF(BQ1515="Aussen","Aussen","-")))</f>
        <v/>
      </c>
      <c r="BS1515" s="66">
        <f>IF(N(W1515)&gt;0,W1515,0)</f>
        <v/>
      </c>
      <c r="BT1515" s="58">
        <f>IF(ISNUMBER(Z1515),1,0)</f>
        <v/>
      </c>
      <c r="BU1515" s="55">
        <f>N(Z1515)</f>
        <v/>
      </c>
      <c r="BV1515" s="55">
        <f>N(L1515)+N(M1515)</f>
        <v/>
      </c>
      <c r="BW1515" s="55">
        <f>ROUNDUP(G1515/BN1515,0)</f>
        <v/>
      </c>
      <c r="BX1515" s="55">
        <f>ROUNDUP(BU1515/BN1515,0)</f>
        <v/>
      </c>
      <c r="BY1515" s="58">
        <f>IF(BO1515=1,0,IFERROR(VLOOKUP(BM1515,'Gebinde-Kategorie'!$A$5:$G$45,5,0)+0,0))</f>
        <v/>
      </c>
      <c r="BZ1515" s="58">
        <f>IFERROR(IF(OR(BQ1515=1,BQ1515=2,BQ1515=3),N(INDEX(Parameter!$I$5:$I$7,BQ1515)),0),0)</f>
        <v/>
      </c>
    </row>
    <row r="1516">
      <c r="A1516" s="53">
        <f>IF('Neue Artikel'!$A$50="","",'Neue Artikel'!$A$50&amp;"")</f>
        <v/>
      </c>
      <c r="B1516" s="53">
        <f>'Neue Artikel'!$B$50&amp;""</f>
        <v/>
      </c>
      <c r="C1516" s="53" t="inlineStr"/>
      <c r="D1516" s="53" t="inlineStr">
        <is>
          <t>NEU</t>
        </is>
      </c>
      <c r="E1516" s="53" t="inlineStr"/>
      <c r="F1516" s="54">
        <f>N('Neue Artikel'!$G$50)</f>
        <v/>
      </c>
      <c r="G1516" s="55">
        <f>MAX(0,IF(Parameter!$B$20="Jahresanfang 2025 + Export",BG1516+BF1516,BF1516))</f>
        <v/>
      </c>
      <c r="H1516" s="55">
        <f>G1516*F1516</f>
        <v/>
      </c>
      <c r="I1516" s="55">
        <f>BI1516*Parameter!$B$18</f>
        <v/>
      </c>
      <c r="J1516" s="56" t="n"/>
      <c r="K1516" s="57" t="n"/>
      <c r="L1516" s="55">
        <f>N('Neue Artikel'!$E$50)</f>
        <v/>
      </c>
      <c r="M1516" s="55">
        <f>N('Neue Artikel'!$F$50)</f>
        <v/>
      </c>
      <c r="N1516" s="58" t="n"/>
      <c r="O1516" s="53">
        <f>IF('Neue Artikel'!$H$50="","LOSE",UPPER(TRIM('Neue Artikel'!$H$50)))</f>
        <v/>
      </c>
      <c r="P1516" s="55">
        <f>N('Neue Artikel'!$I$50)</f>
        <v/>
      </c>
      <c r="Q1516" s="59">
        <f>IF(BO1516=1,0,IFERROR(VLOOKUP(BM1516,'Gebinde-Kategorie'!$A$5:$G$45,6,0)+0,0))</f>
        <v/>
      </c>
      <c r="R1516" s="60" t="n"/>
      <c r="S1516" s="61" t="n"/>
      <c r="T1516" s="61" t="n"/>
      <c r="U1516" s="53">
        <f>IF(A1516="","",IF(IFERROR(VLOOKUP(D1516,Parameter!$A$35:$C$64,2,0),"Nein")="2+3",IF(ISNUMBER(SEARCH("grosser Artikel",BJ1516)),2,IFERROR(VLOOKUP(BM1516,Parameter!$F$35:$G$64,2,0),2)),IF(OR(IFERROR(VLOOKUP(D1516,Parameter!$A$35:$C$64,2,0),"Nein")="Nein",IFERROR(VLOOKUP(D1516,Parameter!$A$35:$C$64,2,0),"Nein")=""),"-",VLOOKUP(D1516,Parameter!$A$35:$C$64,2,0))))</f>
        <v/>
      </c>
      <c r="V1516" s="53">
        <f>IF('Neue Artikel'!$J$50="","",'Neue Artikel'!$J$50)</f>
        <v/>
      </c>
      <c r="W1516" s="62" t="n"/>
      <c r="X1516" s="55">
        <f>AM1516</f>
        <v/>
      </c>
      <c r="Y1516" s="55">
        <f>MAX(AM1516,G1516)</f>
        <v/>
      </c>
      <c r="Z1516" s="63" t="n"/>
      <c r="AA1516" s="55">
        <f>IF(LEFT(Cockpit!$C$5,1)="A",G1516,IF(BT1516=1,BU1516,IF(LEFT(Cockpit!$C$5,1)="B",AE1516,MAX(AE1516,G1516))))</f>
        <v/>
      </c>
      <c r="AB1516" s="55">
        <f>IF(BO1516=1,0,ROUNDUP(AA1516/BN1516,0))</f>
        <v/>
      </c>
      <c r="AC1516" s="64">
        <f>IF(BO1516=1,IF(AA1516&lt;=0,0,BP1516*MAX(1,IF(G1516&gt;0,AA1516/G1516,1))),AB1516*Q1516)</f>
        <v/>
      </c>
      <c r="AD1516" s="55">
        <f>AA1516*F1516</f>
        <v/>
      </c>
      <c r="AE1516" s="55">
        <f>ROUNDUP(MAX(I1516/IF(BS1516&gt;0,BS1516,MAX(0.1,N(Cockpit!$C$6))),BV1516)/BN1516,0)*BN1516</f>
        <v/>
      </c>
      <c r="AF1516" s="56">
        <f>IF(AC1516&gt;0,I1516/AC1516,-1)</f>
        <v/>
      </c>
      <c r="AG1516" s="56">
        <f>IF(AND(OR(BR1516="L1",BR1516="L23"),AC1516&gt;0),SUMIFS($AC$7:$AC$1570,$BR$7:$BR$1570,BR1516,$AF$7:$AF$1570,"&gt;"&amp;AF1516)+SUMIFS($AC$7:$AC$1570,$BR$7:$BR$1570,BR1516,$AF$7:$AF$1570,AF1516,$BL$7:$BL$1570,"&lt;="&amp;BL1516),"")</f>
        <v/>
      </c>
      <c r="AH1516" s="65">
        <f>IF(AG1516="",0,MAX(0,MIN(1,(IF(BR1516="L1",Parameter!$K$5,Parameter!$K$6+Parameter!$K$7)-(AG1516-AC1516))/AC1516)))</f>
        <v/>
      </c>
      <c r="AI1516" s="55">
        <f>IF(LEFT(Cockpit!$I$5,1)="A",G1516,IF(BT1516=1,BU1516,IF(LEFT(Cockpit!$I$5,1)="B",AM1516,MAX(AM1516,G1516))))</f>
        <v/>
      </c>
      <c r="AJ1516" s="55">
        <f>IF(BO1516=1,0,ROUNDUP(AI1516/BN1516,0))</f>
        <v/>
      </c>
      <c r="AK1516" s="64">
        <f>IF(BO1516=1,IF(AI1516&lt;=0,0,BP1516*MAX(1,IF(G1516&gt;0,AI1516/G1516,1))),AJ1516*Q1516)</f>
        <v/>
      </c>
      <c r="AL1516" s="55">
        <f>AI1516*F1516</f>
        <v/>
      </c>
      <c r="AM1516" s="55">
        <f>ROUNDUP(MAX(I1516/IF(BS1516&gt;0,BS1516,MAX(0.1,N(Cockpit!$I$6))),BV1516)/BN1516,0)*BN1516</f>
        <v/>
      </c>
      <c r="AN1516" s="56">
        <f>IF(AK1516&gt;0,I1516/AK1516,-1)</f>
        <v/>
      </c>
      <c r="AO1516" s="56">
        <f>IF(AND(OR(BR1516="L1",BR1516="L23"),AK1516&gt;0),SUMIFS($AK$7:$AK$1570,$BR$7:$BR$1570,BR1516,$AN$7:$AN$1570,"&gt;"&amp;AN1516)+SUMIFS($AK$7:$AK$1570,$BR$7:$BR$1570,BR1516,$AN$7:$AN$1570,AN1516,$BL$7:$BL$1570,"&lt;="&amp;BL1516),"")</f>
        <v/>
      </c>
      <c r="AP1516" s="65">
        <f>IF(AO1516="",0,MAX(0,MIN(1,(IF(BR1516="L1",Parameter!$K$5,Parameter!$K$6+Parameter!$K$7)-(AO1516-AK1516))/AK1516)))</f>
        <v/>
      </c>
      <c r="AQ1516" s="55">
        <f>IF(LEFT(Cockpit!$O$5,1)="A",G1516,IF(BT1516=1,BU1516,IF(LEFT(Cockpit!$O$5,1)="B",AU1516,MAX(AU1516,G1516))))</f>
        <v/>
      </c>
      <c r="AR1516" s="55">
        <f>IF(BO1516=1,0,ROUNDUP(AQ1516/BN1516,0))</f>
        <v/>
      </c>
      <c r="AS1516" s="64">
        <f>IF(BO1516=1,IF(AQ1516&lt;=0,0,BP1516*MAX(1,IF(G1516&gt;0,AQ1516/G1516,1))),AR1516*Q1516)</f>
        <v/>
      </c>
      <c r="AT1516" s="55">
        <f>AQ1516*F1516</f>
        <v/>
      </c>
      <c r="AU1516" s="55">
        <f>ROUNDUP(MAX(I1516/IF(BS1516&gt;0,BS1516,MAX(0.1,N(Cockpit!$O$6))),BV1516)/BN1516,0)*BN1516</f>
        <v/>
      </c>
      <c r="AV1516" s="56">
        <f>IF(AS1516&gt;0,I1516/AS1516,-1)</f>
        <v/>
      </c>
      <c r="AW1516" s="56">
        <f>IF(AND(OR(BR1516="L1",BR1516="L23"),AS1516&gt;0),SUMIFS($AS$7:$AS$1570,$BR$7:$BR$1570,BR1516,$AV$7:$AV$1570,"&gt;"&amp;AV1516)+SUMIFS($AS$7:$AS$1570,$BR$7:$BR$1570,BR1516,$AV$7:$AV$1570,AV1516,$BL$7:$BL$1570,"&lt;="&amp;BL1516),"")</f>
        <v/>
      </c>
      <c r="AX1516" s="65">
        <f>IF(AW1516="",0,MAX(0,MIN(1,(IF(BR1516="L1",Parameter!$K$5,Parameter!$K$6+Parameter!$K$7)-(AW1516-AS1516))/AS1516)))</f>
        <v/>
      </c>
      <c r="AY1516" s="53">
        <f>IF(AC1516&lt;=0,"",IF(BR1516="Aussen","Aussenlager",IF(BR1516="-","Nicht im Lift",IF(AH1516&gt;=1,"Lift",IF(AH1516&lt;=0,"Aussenlager","teilweise")))))</f>
        <v/>
      </c>
      <c r="AZ1516" s="53">
        <f>IF(AK1516&lt;=0,"",IF(BR1516="Aussen","Aussenlager",IF(BR1516="-","Nicht im Lift",IF(AP1516&gt;=1,"Lift",IF(AP1516&lt;=0,"Aussenlager","teilweise")))))</f>
        <v/>
      </c>
      <c r="BA1516" s="53">
        <f>IF(AS1516&lt;=0,"",IF(BR1516="Aussen","Aussenlager",IF(BR1516="-","Nicht im Lift",IF(AX1516&gt;=1,"Lift",IF(AX1516&lt;=0,"Aussenlager","teilweise")))))</f>
        <v/>
      </c>
      <c r="BB1516" s="53">
        <f>IF(A1516="","",IF(BK1516=1,"Neu; ","")&amp;IF(AND(BK1516=0,BF1516&lt;0),"negativer Bestand (Export "&amp;BF1516&amp;"); ","")&amp;IF(I1516&lt;=0,"Kein Verbrauch; ","")&amp;IF(BO1516=1,"Lose – Fläche geschätzt; ","")&amp;IF(G1516&gt;AM1516,"Überbestand "&amp;ROUND(G1516-AM1516,0)&amp;" Stk / CHF "&amp;ROUND((G1516-AM1516)*F1516,0)&amp;"; ","")&amp;IF(AND(BT1516=1,BU1516&lt;BV1516),"MAX &lt; MB+LG; ","")&amp;IF(AND(BZ1516&gt;0,BY1516*10&gt;BZ1516),"zu hoch für Tablar; ","")&amp;IF(AND(BK1516=0,OR(BT1516=1,V1516&lt;&gt;"",S1516&lt;&gt;"",T1516&lt;&gt;"",W1516&lt;&gt;"")),"manuell übersteuert; ","")&amp;IF(AND(BO1516=0,Q1516=0),"Gebinde unbekannt; ","")&amp;IF(AND(BO1516=0,N(T1516)&lt;=0,N(P1516)&lt;=0),"Menge pro Gebinde fehlt (Ist = 1 Gebinde); ","")&amp;BJ1516)</f>
        <v/>
      </c>
      <c r="BC1516" s="53" t="n"/>
      <c r="BD1516" s="53" t="n"/>
      <c r="BE1516" s="61" t="n"/>
      <c r="BF1516" s="55">
        <f>N('Neue Artikel'!$D$50)</f>
        <v/>
      </c>
      <c r="BG1516" s="55" t="n">
        <v>0</v>
      </c>
      <c r="BH1516" s="54" t="n">
        <v>0</v>
      </c>
      <c r="BI1516" s="55">
        <f>N('Neue Artikel'!$C$50)/Parameter!$B$18</f>
        <v/>
      </c>
      <c r="BJ1516" s="53" t="inlineStr"/>
      <c r="BK1516" s="58" t="n">
        <v>1</v>
      </c>
      <c r="BL1516" s="58" t="n">
        <v>1516</v>
      </c>
      <c r="BM1516" s="53">
        <f>IF(S1516&lt;&gt;"",UPPER(TRIM(S1516)),IF(O1516="","LOSE",O1516))</f>
        <v/>
      </c>
      <c r="BN1516" s="55">
        <f>IF(BM1516="LOSE",1,IF(N(T1516)&gt;0,T1516,IF(N(P1516)&gt;0,P1516,MAX(1,G1516))))</f>
        <v/>
      </c>
      <c r="BO1516" s="58">
        <f>IF(BM1516="LOSE",1,0)</f>
        <v/>
      </c>
      <c r="BP1516" s="64">
        <f>IF(BO1516=0,0,IF(N(R1516)&gt;0,R1516,IFERROR(VLOOKUP(D1516,Parameter!$A$35:$C$64,3,0)+0,0)))</f>
        <v/>
      </c>
      <c r="BQ1516" s="53">
        <f>IF(V1516&lt;&gt;"",V1516,U1516)</f>
        <v/>
      </c>
      <c r="BR1516" s="53">
        <f>IF(BQ1516=1,"L1",IF(OR(BQ1516=2,BQ1516=3),"L23",IF(BQ1516="Aussen","Aussen","-")))</f>
        <v/>
      </c>
      <c r="BS1516" s="66">
        <f>IF(N(W1516)&gt;0,W1516,0)</f>
        <v/>
      </c>
      <c r="BT1516" s="58">
        <f>IF(ISNUMBER(Z1516),1,0)</f>
        <v/>
      </c>
      <c r="BU1516" s="55">
        <f>N(Z1516)</f>
        <v/>
      </c>
      <c r="BV1516" s="55">
        <f>N(L1516)+N(M1516)</f>
        <v/>
      </c>
      <c r="BW1516" s="55">
        <f>ROUNDUP(G1516/BN1516,0)</f>
        <v/>
      </c>
      <c r="BX1516" s="55">
        <f>ROUNDUP(BU1516/BN1516,0)</f>
        <v/>
      </c>
      <c r="BY1516" s="58">
        <f>IF(BO1516=1,0,IFERROR(VLOOKUP(BM1516,'Gebinde-Kategorie'!$A$5:$G$45,5,0)+0,0))</f>
        <v/>
      </c>
      <c r="BZ1516" s="58">
        <f>IFERROR(IF(OR(BQ1516=1,BQ1516=2,BQ1516=3),N(INDEX(Parameter!$I$5:$I$7,BQ1516)),0),0)</f>
        <v/>
      </c>
    </row>
    <row r="1517">
      <c r="A1517" s="53">
        <f>IF('Neue Artikel'!$A$51="","",'Neue Artikel'!$A$51&amp;"")</f>
        <v/>
      </c>
      <c r="B1517" s="53">
        <f>'Neue Artikel'!$B$51&amp;""</f>
        <v/>
      </c>
      <c r="C1517" s="53" t="inlineStr"/>
      <c r="D1517" s="53" t="inlineStr">
        <is>
          <t>NEU</t>
        </is>
      </c>
      <c r="E1517" s="53" t="inlineStr"/>
      <c r="F1517" s="54">
        <f>N('Neue Artikel'!$G$51)</f>
        <v/>
      </c>
      <c r="G1517" s="55">
        <f>MAX(0,IF(Parameter!$B$20="Jahresanfang 2025 + Export",BG1517+BF1517,BF1517))</f>
        <v/>
      </c>
      <c r="H1517" s="55">
        <f>G1517*F1517</f>
        <v/>
      </c>
      <c r="I1517" s="55">
        <f>BI1517*Parameter!$B$18</f>
        <v/>
      </c>
      <c r="J1517" s="56" t="n"/>
      <c r="K1517" s="57" t="n"/>
      <c r="L1517" s="55">
        <f>N('Neue Artikel'!$E$51)</f>
        <v/>
      </c>
      <c r="M1517" s="55">
        <f>N('Neue Artikel'!$F$51)</f>
        <v/>
      </c>
      <c r="N1517" s="58" t="n"/>
      <c r="O1517" s="53">
        <f>IF('Neue Artikel'!$H$51="","LOSE",UPPER(TRIM('Neue Artikel'!$H$51)))</f>
        <v/>
      </c>
      <c r="P1517" s="55">
        <f>N('Neue Artikel'!$I$51)</f>
        <v/>
      </c>
      <c r="Q1517" s="59">
        <f>IF(BO1517=1,0,IFERROR(VLOOKUP(BM1517,'Gebinde-Kategorie'!$A$5:$G$45,6,0)+0,0))</f>
        <v/>
      </c>
      <c r="R1517" s="60" t="n"/>
      <c r="S1517" s="61" t="n"/>
      <c r="T1517" s="61" t="n"/>
      <c r="U1517" s="53">
        <f>IF(A1517="","",IF(IFERROR(VLOOKUP(D1517,Parameter!$A$35:$C$64,2,0),"Nein")="2+3",IF(ISNUMBER(SEARCH("grosser Artikel",BJ1517)),2,IFERROR(VLOOKUP(BM1517,Parameter!$F$35:$G$64,2,0),2)),IF(OR(IFERROR(VLOOKUP(D1517,Parameter!$A$35:$C$64,2,0),"Nein")="Nein",IFERROR(VLOOKUP(D1517,Parameter!$A$35:$C$64,2,0),"Nein")=""),"-",VLOOKUP(D1517,Parameter!$A$35:$C$64,2,0))))</f>
        <v/>
      </c>
      <c r="V1517" s="53">
        <f>IF('Neue Artikel'!$J$51="","",'Neue Artikel'!$J$51)</f>
        <v/>
      </c>
      <c r="W1517" s="62" t="n"/>
      <c r="X1517" s="55">
        <f>AM1517</f>
        <v/>
      </c>
      <c r="Y1517" s="55">
        <f>MAX(AM1517,G1517)</f>
        <v/>
      </c>
      <c r="Z1517" s="63" t="n"/>
      <c r="AA1517" s="55">
        <f>IF(LEFT(Cockpit!$C$5,1)="A",G1517,IF(BT1517=1,BU1517,IF(LEFT(Cockpit!$C$5,1)="B",AE1517,MAX(AE1517,G1517))))</f>
        <v/>
      </c>
      <c r="AB1517" s="55">
        <f>IF(BO1517=1,0,ROUNDUP(AA1517/BN1517,0))</f>
        <v/>
      </c>
      <c r="AC1517" s="64">
        <f>IF(BO1517=1,IF(AA1517&lt;=0,0,BP1517*MAX(1,IF(G1517&gt;0,AA1517/G1517,1))),AB1517*Q1517)</f>
        <v/>
      </c>
      <c r="AD1517" s="55">
        <f>AA1517*F1517</f>
        <v/>
      </c>
      <c r="AE1517" s="55">
        <f>ROUNDUP(MAX(I1517/IF(BS1517&gt;0,BS1517,MAX(0.1,N(Cockpit!$C$6))),BV1517)/BN1517,0)*BN1517</f>
        <v/>
      </c>
      <c r="AF1517" s="56">
        <f>IF(AC1517&gt;0,I1517/AC1517,-1)</f>
        <v/>
      </c>
      <c r="AG1517" s="56">
        <f>IF(AND(OR(BR1517="L1",BR1517="L23"),AC1517&gt;0),SUMIFS($AC$7:$AC$1570,$BR$7:$BR$1570,BR1517,$AF$7:$AF$1570,"&gt;"&amp;AF1517)+SUMIFS($AC$7:$AC$1570,$BR$7:$BR$1570,BR1517,$AF$7:$AF$1570,AF1517,$BL$7:$BL$1570,"&lt;="&amp;BL1517),"")</f>
        <v/>
      </c>
      <c r="AH1517" s="65">
        <f>IF(AG1517="",0,MAX(0,MIN(1,(IF(BR1517="L1",Parameter!$K$5,Parameter!$K$6+Parameter!$K$7)-(AG1517-AC1517))/AC1517)))</f>
        <v/>
      </c>
      <c r="AI1517" s="55">
        <f>IF(LEFT(Cockpit!$I$5,1)="A",G1517,IF(BT1517=1,BU1517,IF(LEFT(Cockpit!$I$5,1)="B",AM1517,MAX(AM1517,G1517))))</f>
        <v/>
      </c>
      <c r="AJ1517" s="55">
        <f>IF(BO1517=1,0,ROUNDUP(AI1517/BN1517,0))</f>
        <v/>
      </c>
      <c r="AK1517" s="64">
        <f>IF(BO1517=1,IF(AI1517&lt;=0,0,BP1517*MAX(1,IF(G1517&gt;0,AI1517/G1517,1))),AJ1517*Q1517)</f>
        <v/>
      </c>
      <c r="AL1517" s="55">
        <f>AI1517*F1517</f>
        <v/>
      </c>
      <c r="AM1517" s="55">
        <f>ROUNDUP(MAX(I1517/IF(BS1517&gt;0,BS1517,MAX(0.1,N(Cockpit!$I$6))),BV1517)/BN1517,0)*BN1517</f>
        <v/>
      </c>
      <c r="AN1517" s="56">
        <f>IF(AK1517&gt;0,I1517/AK1517,-1)</f>
        <v/>
      </c>
      <c r="AO1517" s="56">
        <f>IF(AND(OR(BR1517="L1",BR1517="L23"),AK1517&gt;0),SUMIFS($AK$7:$AK$1570,$BR$7:$BR$1570,BR1517,$AN$7:$AN$1570,"&gt;"&amp;AN1517)+SUMIFS($AK$7:$AK$1570,$BR$7:$BR$1570,BR1517,$AN$7:$AN$1570,AN1517,$BL$7:$BL$1570,"&lt;="&amp;BL1517),"")</f>
        <v/>
      </c>
      <c r="AP1517" s="65">
        <f>IF(AO1517="",0,MAX(0,MIN(1,(IF(BR1517="L1",Parameter!$K$5,Parameter!$K$6+Parameter!$K$7)-(AO1517-AK1517))/AK1517)))</f>
        <v/>
      </c>
      <c r="AQ1517" s="55">
        <f>IF(LEFT(Cockpit!$O$5,1)="A",G1517,IF(BT1517=1,BU1517,IF(LEFT(Cockpit!$O$5,1)="B",AU1517,MAX(AU1517,G1517))))</f>
        <v/>
      </c>
      <c r="AR1517" s="55">
        <f>IF(BO1517=1,0,ROUNDUP(AQ1517/BN1517,0))</f>
        <v/>
      </c>
      <c r="AS1517" s="64">
        <f>IF(BO1517=1,IF(AQ1517&lt;=0,0,BP1517*MAX(1,IF(G1517&gt;0,AQ1517/G1517,1))),AR1517*Q1517)</f>
        <v/>
      </c>
      <c r="AT1517" s="55">
        <f>AQ1517*F1517</f>
        <v/>
      </c>
      <c r="AU1517" s="55">
        <f>ROUNDUP(MAX(I1517/IF(BS1517&gt;0,BS1517,MAX(0.1,N(Cockpit!$O$6))),BV1517)/BN1517,0)*BN1517</f>
        <v/>
      </c>
      <c r="AV1517" s="56">
        <f>IF(AS1517&gt;0,I1517/AS1517,-1)</f>
        <v/>
      </c>
      <c r="AW1517" s="56">
        <f>IF(AND(OR(BR1517="L1",BR1517="L23"),AS1517&gt;0),SUMIFS($AS$7:$AS$1570,$BR$7:$BR$1570,BR1517,$AV$7:$AV$1570,"&gt;"&amp;AV1517)+SUMIFS($AS$7:$AS$1570,$BR$7:$BR$1570,BR1517,$AV$7:$AV$1570,AV1517,$BL$7:$BL$1570,"&lt;="&amp;BL1517),"")</f>
        <v/>
      </c>
      <c r="AX1517" s="65">
        <f>IF(AW1517="",0,MAX(0,MIN(1,(IF(BR1517="L1",Parameter!$K$5,Parameter!$K$6+Parameter!$K$7)-(AW1517-AS1517))/AS1517)))</f>
        <v/>
      </c>
      <c r="AY1517" s="53">
        <f>IF(AC1517&lt;=0,"",IF(BR1517="Aussen","Aussenlager",IF(BR1517="-","Nicht im Lift",IF(AH1517&gt;=1,"Lift",IF(AH1517&lt;=0,"Aussenlager","teilweise")))))</f>
        <v/>
      </c>
      <c r="AZ1517" s="53">
        <f>IF(AK1517&lt;=0,"",IF(BR1517="Aussen","Aussenlager",IF(BR1517="-","Nicht im Lift",IF(AP1517&gt;=1,"Lift",IF(AP1517&lt;=0,"Aussenlager","teilweise")))))</f>
        <v/>
      </c>
      <c r="BA1517" s="53">
        <f>IF(AS1517&lt;=0,"",IF(BR1517="Aussen","Aussenlager",IF(BR1517="-","Nicht im Lift",IF(AX1517&gt;=1,"Lift",IF(AX1517&lt;=0,"Aussenlager","teilweise")))))</f>
        <v/>
      </c>
      <c r="BB1517" s="53">
        <f>IF(A1517="","",IF(BK1517=1,"Neu; ","")&amp;IF(AND(BK1517=0,BF1517&lt;0),"negativer Bestand (Export "&amp;BF1517&amp;"); ","")&amp;IF(I1517&lt;=0,"Kein Verbrauch; ","")&amp;IF(BO1517=1,"Lose – Fläche geschätzt; ","")&amp;IF(G1517&gt;AM1517,"Überbestand "&amp;ROUND(G1517-AM1517,0)&amp;" Stk / CHF "&amp;ROUND((G1517-AM1517)*F1517,0)&amp;"; ","")&amp;IF(AND(BT1517=1,BU1517&lt;BV1517),"MAX &lt; MB+LG; ","")&amp;IF(AND(BZ1517&gt;0,BY1517*10&gt;BZ1517),"zu hoch für Tablar; ","")&amp;IF(AND(BK1517=0,OR(BT1517=1,V1517&lt;&gt;"",S1517&lt;&gt;"",T1517&lt;&gt;"",W1517&lt;&gt;"")),"manuell übersteuert; ","")&amp;IF(AND(BO1517=0,Q1517=0),"Gebinde unbekannt; ","")&amp;IF(AND(BO1517=0,N(T1517)&lt;=0,N(P1517)&lt;=0),"Menge pro Gebinde fehlt (Ist = 1 Gebinde); ","")&amp;BJ1517)</f>
        <v/>
      </c>
      <c r="BC1517" s="53" t="n"/>
      <c r="BD1517" s="53" t="n"/>
      <c r="BE1517" s="61" t="n"/>
      <c r="BF1517" s="55">
        <f>N('Neue Artikel'!$D$51)</f>
        <v/>
      </c>
      <c r="BG1517" s="55" t="n">
        <v>0</v>
      </c>
      <c r="BH1517" s="54" t="n">
        <v>0</v>
      </c>
      <c r="BI1517" s="55">
        <f>N('Neue Artikel'!$C$51)/Parameter!$B$18</f>
        <v/>
      </c>
      <c r="BJ1517" s="53" t="inlineStr"/>
      <c r="BK1517" s="58" t="n">
        <v>1</v>
      </c>
      <c r="BL1517" s="58" t="n">
        <v>1517</v>
      </c>
      <c r="BM1517" s="53">
        <f>IF(S1517&lt;&gt;"",UPPER(TRIM(S1517)),IF(O1517="","LOSE",O1517))</f>
        <v/>
      </c>
      <c r="BN1517" s="55">
        <f>IF(BM1517="LOSE",1,IF(N(T1517)&gt;0,T1517,IF(N(P1517)&gt;0,P1517,MAX(1,G1517))))</f>
        <v/>
      </c>
      <c r="BO1517" s="58">
        <f>IF(BM1517="LOSE",1,0)</f>
        <v/>
      </c>
      <c r="BP1517" s="64">
        <f>IF(BO1517=0,0,IF(N(R1517)&gt;0,R1517,IFERROR(VLOOKUP(D1517,Parameter!$A$35:$C$64,3,0)+0,0)))</f>
        <v/>
      </c>
      <c r="BQ1517" s="53">
        <f>IF(V1517&lt;&gt;"",V1517,U1517)</f>
        <v/>
      </c>
      <c r="BR1517" s="53">
        <f>IF(BQ1517=1,"L1",IF(OR(BQ1517=2,BQ1517=3),"L23",IF(BQ1517="Aussen","Aussen","-")))</f>
        <v/>
      </c>
      <c r="BS1517" s="66">
        <f>IF(N(W1517)&gt;0,W1517,0)</f>
        <v/>
      </c>
      <c r="BT1517" s="58">
        <f>IF(ISNUMBER(Z1517),1,0)</f>
        <v/>
      </c>
      <c r="BU1517" s="55">
        <f>N(Z1517)</f>
        <v/>
      </c>
      <c r="BV1517" s="55">
        <f>N(L1517)+N(M1517)</f>
        <v/>
      </c>
      <c r="BW1517" s="55">
        <f>ROUNDUP(G1517/BN1517,0)</f>
        <v/>
      </c>
      <c r="BX1517" s="55">
        <f>ROUNDUP(BU1517/BN1517,0)</f>
        <v/>
      </c>
      <c r="BY1517" s="58">
        <f>IF(BO1517=1,0,IFERROR(VLOOKUP(BM1517,'Gebinde-Kategorie'!$A$5:$G$45,5,0)+0,0))</f>
        <v/>
      </c>
      <c r="BZ1517" s="58">
        <f>IFERROR(IF(OR(BQ1517=1,BQ1517=2,BQ1517=3),N(INDEX(Parameter!$I$5:$I$7,BQ1517)),0),0)</f>
        <v/>
      </c>
    </row>
    <row r="1518">
      <c r="A1518" s="53">
        <f>IF('Neue Artikel'!$A$52="","",'Neue Artikel'!$A$52&amp;"")</f>
        <v/>
      </c>
      <c r="B1518" s="53">
        <f>'Neue Artikel'!$B$52&amp;""</f>
        <v/>
      </c>
      <c r="C1518" s="53" t="inlineStr"/>
      <c r="D1518" s="53" t="inlineStr">
        <is>
          <t>NEU</t>
        </is>
      </c>
      <c r="E1518" s="53" t="inlineStr"/>
      <c r="F1518" s="54">
        <f>N('Neue Artikel'!$G$52)</f>
        <v/>
      </c>
      <c r="G1518" s="55">
        <f>MAX(0,IF(Parameter!$B$20="Jahresanfang 2025 + Export",BG1518+BF1518,BF1518))</f>
        <v/>
      </c>
      <c r="H1518" s="55">
        <f>G1518*F1518</f>
        <v/>
      </c>
      <c r="I1518" s="55">
        <f>BI1518*Parameter!$B$18</f>
        <v/>
      </c>
      <c r="J1518" s="56" t="n"/>
      <c r="K1518" s="57" t="n"/>
      <c r="L1518" s="55">
        <f>N('Neue Artikel'!$E$52)</f>
        <v/>
      </c>
      <c r="M1518" s="55">
        <f>N('Neue Artikel'!$F$52)</f>
        <v/>
      </c>
      <c r="N1518" s="58" t="n"/>
      <c r="O1518" s="53">
        <f>IF('Neue Artikel'!$H$52="","LOSE",UPPER(TRIM('Neue Artikel'!$H$52)))</f>
        <v/>
      </c>
      <c r="P1518" s="55">
        <f>N('Neue Artikel'!$I$52)</f>
        <v/>
      </c>
      <c r="Q1518" s="59">
        <f>IF(BO1518=1,0,IFERROR(VLOOKUP(BM1518,'Gebinde-Kategorie'!$A$5:$G$45,6,0)+0,0))</f>
        <v/>
      </c>
      <c r="R1518" s="60" t="n"/>
      <c r="S1518" s="61" t="n"/>
      <c r="T1518" s="61" t="n"/>
      <c r="U1518" s="53">
        <f>IF(A1518="","",IF(IFERROR(VLOOKUP(D1518,Parameter!$A$35:$C$64,2,0),"Nein")="2+3",IF(ISNUMBER(SEARCH("grosser Artikel",BJ1518)),2,IFERROR(VLOOKUP(BM1518,Parameter!$F$35:$G$64,2,0),2)),IF(OR(IFERROR(VLOOKUP(D1518,Parameter!$A$35:$C$64,2,0),"Nein")="Nein",IFERROR(VLOOKUP(D1518,Parameter!$A$35:$C$64,2,0),"Nein")=""),"-",VLOOKUP(D1518,Parameter!$A$35:$C$64,2,0))))</f>
        <v/>
      </c>
      <c r="V1518" s="53">
        <f>IF('Neue Artikel'!$J$52="","",'Neue Artikel'!$J$52)</f>
        <v/>
      </c>
      <c r="W1518" s="62" t="n"/>
      <c r="X1518" s="55">
        <f>AM1518</f>
        <v/>
      </c>
      <c r="Y1518" s="55">
        <f>MAX(AM1518,G1518)</f>
        <v/>
      </c>
      <c r="Z1518" s="63" t="n"/>
      <c r="AA1518" s="55">
        <f>IF(LEFT(Cockpit!$C$5,1)="A",G1518,IF(BT1518=1,BU1518,IF(LEFT(Cockpit!$C$5,1)="B",AE1518,MAX(AE1518,G1518))))</f>
        <v/>
      </c>
      <c r="AB1518" s="55">
        <f>IF(BO1518=1,0,ROUNDUP(AA1518/BN1518,0))</f>
        <v/>
      </c>
      <c r="AC1518" s="64">
        <f>IF(BO1518=1,IF(AA1518&lt;=0,0,BP1518*MAX(1,IF(G1518&gt;0,AA1518/G1518,1))),AB1518*Q1518)</f>
        <v/>
      </c>
      <c r="AD1518" s="55">
        <f>AA1518*F1518</f>
        <v/>
      </c>
      <c r="AE1518" s="55">
        <f>ROUNDUP(MAX(I1518/IF(BS1518&gt;0,BS1518,MAX(0.1,N(Cockpit!$C$6))),BV1518)/BN1518,0)*BN1518</f>
        <v/>
      </c>
      <c r="AF1518" s="56">
        <f>IF(AC1518&gt;0,I1518/AC1518,-1)</f>
        <v/>
      </c>
      <c r="AG1518" s="56">
        <f>IF(AND(OR(BR1518="L1",BR1518="L23"),AC1518&gt;0),SUMIFS($AC$7:$AC$1570,$BR$7:$BR$1570,BR1518,$AF$7:$AF$1570,"&gt;"&amp;AF1518)+SUMIFS($AC$7:$AC$1570,$BR$7:$BR$1570,BR1518,$AF$7:$AF$1570,AF1518,$BL$7:$BL$1570,"&lt;="&amp;BL1518),"")</f>
        <v/>
      </c>
      <c r="AH1518" s="65">
        <f>IF(AG1518="",0,MAX(0,MIN(1,(IF(BR1518="L1",Parameter!$K$5,Parameter!$K$6+Parameter!$K$7)-(AG1518-AC1518))/AC1518)))</f>
        <v/>
      </c>
      <c r="AI1518" s="55">
        <f>IF(LEFT(Cockpit!$I$5,1)="A",G1518,IF(BT1518=1,BU1518,IF(LEFT(Cockpit!$I$5,1)="B",AM1518,MAX(AM1518,G1518))))</f>
        <v/>
      </c>
      <c r="AJ1518" s="55">
        <f>IF(BO1518=1,0,ROUNDUP(AI1518/BN1518,0))</f>
        <v/>
      </c>
      <c r="AK1518" s="64">
        <f>IF(BO1518=1,IF(AI1518&lt;=0,0,BP1518*MAX(1,IF(G1518&gt;0,AI1518/G1518,1))),AJ1518*Q1518)</f>
        <v/>
      </c>
      <c r="AL1518" s="55">
        <f>AI1518*F1518</f>
        <v/>
      </c>
      <c r="AM1518" s="55">
        <f>ROUNDUP(MAX(I1518/IF(BS1518&gt;0,BS1518,MAX(0.1,N(Cockpit!$I$6))),BV1518)/BN1518,0)*BN1518</f>
        <v/>
      </c>
      <c r="AN1518" s="56">
        <f>IF(AK1518&gt;0,I1518/AK1518,-1)</f>
        <v/>
      </c>
      <c r="AO1518" s="56">
        <f>IF(AND(OR(BR1518="L1",BR1518="L23"),AK1518&gt;0),SUMIFS($AK$7:$AK$1570,$BR$7:$BR$1570,BR1518,$AN$7:$AN$1570,"&gt;"&amp;AN1518)+SUMIFS($AK$7:$AK$1570,$BR$7:$BR$1570,BR1518,$AN$7:$AN$1570,AN1518,$BL$7:$BL$1570,"&lt;="&amp;BL1518),"")</f>
        <v/>
      </c>
      <c r="AP1518" s="65">
        <f>IF(AO1518="",0,MAX(0,MIN(1,(IF(BR1518="L1",Parameter!$K$5,Parameter!$K$6+Parameter!$K$7)-(AO1518-AK1518))/AK1518)))</f>
        <v/>
      </c>
      <c r="AQ1518" s="55">
        <f>IF(LEFT(Cockpit!$O$5,1)="A",G1518,IF(BT1518=1,BU1518,IF(LEFT(Cockpit!$O$5,1)="B",AU1518,MAX(AU1518,G1518))))</f>
        <v/>
      </c>
      <c r="AR1518" s="55">
        <f>IF(BO1518=1,0,ROUNDUP(AQ1518/BN1518,0))</f>
        <v/>
      </c>
      <c r="AS1518" s="64">
        <f>IF(BO1518=1,IF(AQ1518&lt;=0,0,BP1518*MAX(1,IF(G1518&gt;0,AQ1518/G1518,1))),AR1518*Q1518)</f>
        <v/>
      </c>
      <c r="AT1518" s="55">
        <f>AQ1518*F1518</f>
        <v/>
      </c>
      <c r="AU1518" s="55">
        <f>ROUNDUP(MAX(I1518/IF(BS1518&gt;0,BS1518,MAX(0.1,N(Cockpit!$O$6))),BV1518)/BN1518,0)*BN1518</f>
        <v/>
      </c>
      <c r="AV1518" s="56">
        <f>IF(AS1518&gt;0,I1518/AS1518,-1)</f>
        <v/>
      </c>
      <c r="AW1518" s="56">
        <f>IF(AND(OR(BR1518="L1",BR1518="L23"),AS1518&gt;0),SUMIFS($AS$7:$AS$1570,$BR$7:$BR$1570,BR1518,$AV$7:$AV$1570,"&gt;"&amp;AV1518)+SUMIFS($AS$7:$AS$1570,$BR$7:$BR$1570,BR1518,$AV$7:$AV$1570,AV1518,$BL$7:$BL$1570,"&lt;="&amp;BL1518),"")</f>
        <v/>
      </c>
      <c r="AX1518" s="65">
        <f>IF(AW1518="",0,MAX(0,MIN(1,(IF(BR1518="L1",Parameter!$K$5,Parameter!$K$6+Parameter!$K$7)-(AW1518-AS1518))/AS1518)))</f>
        <v/>
      </c>
      <c r="AY1518" s="53">
        <f>IF(AC1518&lt;=0,"",IF(BR1518="Aussen","Aussenlager",IF(BR1518="-","Nicht im Lift",IF(AH1518&gt;=1,"Lift",IF(AH1518&lt;=0,"Aussenlager","teilweise")))))</f>
        <v/>
      </c>
      <c r="AZ1518" s="53">
        <f>IF(AK1518&lt;=0,"",IF(BR1518="Aussen","Aussenlager",IF(BR1518="-","Nicht im Lift",IF(AP1518&gt;=1,"Lift",IF(AP1518&lt;=0,"Aussenlager","teilweise")))))</f>
        <v/>
      </c>
      <c r="BA1518" s="53">
        <f>IF(AS1518&lt;=0,"",IF(BR1518="Aussen","Aussenlager",IF(BR1518="-","Nicht im Lift",IF(AX1518&gt;=1,"Lift",IF(AX1518&lt;=0,"Aussenlager","teilweise")))))</f>
        <v/>
      </c>
      <c r="BB1518" s="53">
        <f>IF(A1518="","",IF(BK1518=1,"Neu; ","")&amp;IF(AND(BK1518=0,BF1518&lt;0),"negativer Bestand (Export "&amp;BF1518&amp;"); ","")&amp;IF(I1518&lt;=0,"Kein Verbrauch; ","")&amp;IF(BO1518=1,"Lose – Fläche geschätzt; ","")&amp;IF(G1518&gt;AM1518,"Überbestand "&amp;ROUND(G1518-AM1518,0)&amp;" Stk / CHF "&amp;ROUND((G1518-AM1518)*F1518,0)&amp;"; ","")&amp;IF(AND(BT1518=1,BU1518&lt;BV1518),"MAX &lt; MB+LG; ","")&amp;IF(AND(BZ1518&gt;0,BY1518*10&gt;BZ1518),"zu hoch für Tablar; ","")&amp;IF(AND(BK1518=0,OR(BT1518=1,V1518&lt;&gt;"",S1518&lt;&gt;"",T1518&lt;&gt;"",W1518&lt;&gt;"")),"manuell übersteuert; ","")&amp;IF(AND(BO1518=0,Q1518=0),"Gebinde unbekannt; ","")&amp;IF(AND(BO1518=0,N(T1518)&lt;=0,N(P1518)&lt;=0),"Menge pro Gebinde fehlt (Ist = 1 Gebinde); ","")&amp;BJ1518)</f>
        <v/>
      </c>
      <c r="BC1518" s="53" t="n"/>
      <c r="BD1518" s="53" t="n"/>
      <c r="BE1518" s="61" t="n"/>
      <c r="BF1518" s="55">
        <f>N('Neue Artikel'!$D$52)</f>
        <v/>
      </c>
      <c r="BG1518" s="55" t="n">
        <v>0</v>
      </c>
      <c r="BH1518" s="54" t="n">
        <v>0</v>
      </c>
      <c r="BI1518" s="55">
        <f>N('Neue Artikel'!$C$52)/Parameter!$B$18</f>
        <v/>
      </c>
      <c r="BJ1518" s="53" t="inlineStr"/>
      <c r="BK1518" s="58" t="n">
        <v>1</v>
      </c>
      <c r="BL1518" s="58" t="n">
        <v>1518</v>
      </c>
      <c r="BM1518" s="53">
        <f>IF(S1518&lt;&gt;"",UPPER(TRIM(S1518)),IF(O1518="","LOSE",O1518))</f>
        <v/>
      </c>
      <c r="BN1518" s="55">
        <f>IF(BM1518="LOSE",1,IF(N(T1518)&gt;0,T1518,IF(N(P1518)&gt;0,P1518,MAX(1,G1518))))</f>
        <v/>
      </c>
      <c r="BO1518" s="58">
        <f>IF(BM1518="LOSE",1,0)</f>
        <v/>
      </c>
      <c r="BP1518" s="64">
        <f>IF(BO1518=0,0,IF(N(R1518)&gt;0,R1518,IFERROR(VLOOKUP(D1518,Parameter!$A$35:$C$64,3,0)+0,0)))</f>
        <v/>
      </c>
      <c r="BQ1518" s="53">
        <f>IF(V1518&lt;&gt;"",V1518,U1518)</f>
        <v/>
      </c>
      <c r="BR1518" s="53">
        <f>IF(BQ1518=1,"L1",IF(OR(BQ1518=2,BQ1518=3),"L23",IF(BQ1518="Aussen","Aussen","-")))</f>
        <v/>
      </c>
      <c r="BS1518" s="66">
        <f>IF(N(W1518)&gt;0,W1518,0)</f>
        <v/>
      </c>
      <c r="BT1518" s="58">
        <f>IF(ISNUMBER(Z1518),1,0)</f>
        <v/>
      </c>
      <c r="BU1518" s="55">
        <f>N(Z1518)</f>
        <v/>
      </c>
      <c r="BV1518" s="55">
        <f>N(L1518)+N(M1518)</f>
        <v/>
      </c>
      <c r="BW1518" s="55">
        <f>ROUNDUP(G1518/BN1518,0)</f>
        <v/>
      </c>
      <c r="BX1518" s="55">
        <f>ROUNDUP(BU1518/BN1518,0)</f>
        <v/>
      </c>
      <c r="BY1518" s="58">
        <f>IF(BO1518=1,0,IFERROR(VLOOKUP(BM1518,'Gebinde-Kategorie'!$A$5:$G$45,5,0)+0,0))</f>
        <v/>
      </c>
      <c r="BZ1518" s="58">
        <f>IFERROR(IF(OR(BQ1518=1,BQ1518=2,BQ1518=3),N(INDEX(Parameter!$I$5:$I$7,BQ1518)),0),0)</f>
        <v/>
      </c>
    </row>
    <row r="1519">
      <c r="A1519" s="53">
        <f>IF('Neue Artikel'!$A$53="","",'Neue Artikel'!$A$53&amp;"")</f>
        <v/>
      </c>
      <c r="B1519" s="53">
        <f>'Neue Artikel'!$B$53&amp;""</f>
        <v/>
      </c>
      <c r="C1519" s="53" t="inlineStr"/>
      <c r="D1519" s="53" t="inlineStr">
        <is>
          <t>NEU</t>
        </is>
      </c>
      <c r="E1519" s="53" t="inlineStr"/>
      <c r="F1519" s="54">
        <f>N('Neue Artikel'!$G$53)</f>
        <v/>
      </c>
      <c r="G1519" s="55">
        <f>MAX(0,IF(Parameter!$B$20="Jahresanfang 2025 + Export",BG1519+BF1519,BF1519))</f>
        <v/>
      </c>
      <c r="H1519" s="55">
        <f>G1519*F1519</f>
        <v/>
      </c>
      <c r="I1519" s="55">
        <f>BI1519*Parameter!$B$18</f>
        <v/>
      </c>
      <c r="J1519" s="56" t="n"/>
      <c r="K1519" s="57" t="n"/>
      <c r="L1519" s="55">
        <f>N('Neue Artikel'!$E$53)</f>
        <v/>
      </c>
      <c r="M1519" s="55">
        <f>N('Neue Artikel'!$F$53)</f>
        <v/>
      </c>
      <c r="N1519" s="58" t="n"/>
      <c r="O1519" s="53">
        <f>IF('Neue Artikel'!$H$53="","LOSE",UPPER(TRIM('Neue Artikel'!$H$53)))</f>
        <v/>
      </c>
      <c r="P1519" s="55">
        <f>N('Neue Artikel'!$I$53)</f>
        <v/>
      </c>
      <c r="Q1519" s="59">
        <f>IF(BO1519=1,0,IFERROR(VLOOKUP(BM1519,'Gebinde-Kategorie'!$A$5:$G$45,6,0)+0,0))</f>
        <v/>
      </c>
      <c r="R1519" s="60" t="n"/>
      <c r="S1519" s="61" t="n"/>
      <c r="T1519" s="61" t="n"/>
      <c r="U1519" s="53">
        <f>IF(A1519="","",IF(IFERROR(VLOOKUP(D1519,Parameter!$A$35:$C$64,2,0),"Nein")="2+3",IF(ISNUMBER(SEARCH("grosser Artikel",BJ1519)),2,IFERROR(VLOOKUP(BM1519,Parameter!$F$35:$G$64,2,0),2)),IF(OR(IFERROR(VLOOKUP(D1519,Parameter!$A$35:$C$64,2,0),"Nein")="Nein",IFERROR(VLOOKUP(D1519,Parameter!$A$35:$C$64,2,0),"Nein")=""),"-",VLOOKUP(D1519,Parameter!$A$35:$C$64,2,0))))</f>
        <v/>
      </c>
      <c r="V1519" s="53">
        <f>IF('Neue Artikel'!$J$53="","",'Neue Artikel'!$J$53)</f>
        <v/>
      </c>
      <c r="W1519" s="62" t="n"/>
      <c r="X1519" s="55">
        <f>AM1519</f>
        <v/>
      </c>
      <c r="Y1519" s="55">
        <f>MAX(AM1519,G1519)</f>
        <v/>
      </c>
      <c r="Z1519" s="63" t="n"/>
      <c r="AA1519" s="55">
        <f>IF(LEFT(Cockpit!$C$5,1)="A",G1519,IF(BT1519=1,BU1519,IF(LEFT(Cockpit!$C$5,1)="B",AE1519,MAX(AE1519,G1519))))</f>
        <v/>
      </c>
      <c r="AB1519" s="55">
        <f>IF(BO1519=1,0,ROUNDUP(AA1519/BN1519,0))</f>
        <v/>
      </c>
      <c r="AC1519" s="64">
        <f>IF(BO1519=1,IF(AA1519&lt;=0,0,BP1519*MAX(1,IF(G1519&gt;0,AA1519/G1519,1))),AB1519*Q1519)</f>
        <v/>
      </c>
      <c r="AD1519" s="55">
        <f>AA1519*F1519</f>
        <v/>
      </c>
      <c r="AE1519" s="55">
        <f>ROUNDUP(MAX(I1519/IF(BS1519&gt;0,BS1519,MAX(0.1,N(Cockpit!$C$6))),BV1519)/BN1519,0)*BN1519</f>
        <v/>
      </c>
      <c r="AF1519" s="56">
        <f>IF(AC1519&gt;0,I1519/AC1519,-1)</f>
        <v/>
      </c>
      <c r="AG1519" s="56">
        <f>IF(AND(OR(BR1519="L1",BR1519="L23"),AC1519&gt;0),SUMIFS($AC$7:$AC$1570,$BR$7:$BR$1570,BR1519,$AF$7:$AF$1570,"&gt;"&amp;AF1519)+SUMIFS($AC$7:$AC$1570,$BR$7:$BR$1570,BR1519,$AF$7:$AF$1570,AF1519,$BL$7:$BL$1570,"&lt;="&amp;BL1519),"")</f>
        <v/>
      </c>
      <c r="AH1519" s="65">
        <f>IF(AG1519="",0,MAX(0,MIN(1,(IF(BR1519="L1",Parameter!$K$5,Parameter!$K$6+Parameter!$K$7)-(AG1519-AC1519))/AC1519)))</f>
        <v/>
      </c>
      <c r="AI1519" s="55">
        <f>IF(LEFT(Cockpit!$I$5,1)="A",G1519,IF(BT1519=1,BU1519,IF(LEFT(Cockpit!$I$5,1)="B",AM1519,MAX(AM1519,G1519))))</f>
        <v/>
      </c>
      <c r="AJ1519" s="55">
        <f>IF(BO1519=1,0,ROUNDUP(AI1519/BN1519,0))</f>
        <v/>
      </c>
      <c r="AK1519" s="64">
        <f>IF(BO1519=1,IF(AI1519&lt;=0,0,BP1519*MAX(1,IF(G1519&gt;0,AI1519/G1519,1))),AJ1519*Q1519)</f>
        <v/>
      </c>
      <c r="AL1519" s="55">
        <f>AI1519*F1519</f>
        <v/>
      </c>
      <c r="AM1519" s="55">
        <f>ROUNDUP(MAX(I1519/IF(BS1519&gt;0,BS1519,MAX(0.1,N(Cockpit!$I$6))),BV1519)/BN1519,0)*BN1519</f>
        <v/>
      </c>
      <c r="AN1519" s="56">
        <f>IF(AK1519&gt;0,I1519/AK1519,-1)</f>
        <v/>
      </c>
      <c r="AO1519" s="56">
        <f>IF(AND(OR(BR1519="L1",BR1519="L23"),AK1519&gt;0),SUMIFS($AK$7:$AK$1570,$BR$7:$BR$1570,BR1519,$AN$7:$AN$1570,"&gt;"&amp;AN1519)+SUMIFS($AK$7:$AK$1570,$BR$7:$BR$1570,BR1519,$AN$7:$AN$1570,AN1519,$BL$7:$BL$1570,"&lt;="&amp;BL1519),"")</f>
        <v/>
      </c>
      <c r="AP1519" s="65">
        <f>IF(AO1519="",0,MAX(0,MIN(1,(IF(BR1519="L1",Parameter!$K$5,Parameter!$K$6+Parameter!$K$7)-(AO1519-AK1519))/AK1519)))</f>
        <v/>
      </c>
      <c r="AQ1519" s="55">
        <f>IF(LEFT(Cockpit!$O$5,1)="A",G1519,IF(BT1519=1,BU1519,IF(LEFT(Cockpit!$O$5,1)="B",AU1519,MAX(AU1519,G1519))))</f>
        <v/>
      </c>
      <c r="AR1519" s="55">
        <f>IF(BO1519=1,0,ROUNDUP(AQ1519/BN1519,0))</f>
        <v/>
      </c>
      <c r="AS1519" s="64">
        <f>IF(BO1519=1,IF(AQ1519&lt;=0,0,BP1519*MAX(1,IF(G1519&gt;0,AQ1519/G1519,1))),AR1519*Q1519)</f>
        <v/>
      </c>
      <c r="AT1519" s="55">
        <f>AQ1519*F1519</f>
        <v/>
      </c>
      <c r="AU1519" s="55">
        <f>ROUNDUP(MAX(I1519/IF(BS1519&gt;0,BS1519,MAX(0.1,N(Cockpit!$O$6))),BV1519)/BN1519,0)*BN1519</f>
        <v/>
      </c>
      <c r="AV1519" s="56">
        <f>IF(AS1519&gt;0,I1519/AS1519,-1)</f>
        <v/>
      </c>
      <c r="AW1519" s="56">
        <f>IF(AND(OR(BR1519="L1",BR1519="L23"),AS1519&gt;0),SUMIFS($AS$7:$AS$1570,$BR$7:$BR$1570,BR1519,$AV$7:$AV$1570,"&gt;"&amp;AV1519)+SUMIFS($AS$7:$AS$1570,$BR$7:$BR$1570,BR1519,$AV$7:$AV$1570,AV1519,$BL$7:$BL$1570,"&lt;="&amp;BL1519),"")</f>
        <v/>
      </c>
      <c r="AX1519" s="65">
        <f>IF(AW1519="",0,MAX(0,MIN(1,(IF(BR1519="L1",Parameter!$K$5,Parameter!$K$6+Parameter!$K$7)-(AW1519-AS1519))/AS1519)))</f>
        <v/>
      </c>
      <c r="AY1519" s="53">
        <f>IF(AC1519&lt;=0,"",IF(BR1519="Aussen","Aussenlager",IF(BR1519="-","Nicht im Lift",IF(AH1519&gt;=1,"Lift",IF(AH1519&lt;=0,"Aussenlager","teilweise")))))</f>
        <v/>
      </c>
      <c r="AZ1519" s="53">
        <f>IF(AK1519&lt;=0,"",IF(BR1519="Aussen","Aussenlager",IF(BR1519="-","Nicht im Lift",IF(AP1519&gt;=1,"Lift",IF(AP1519&lt;=0,"Aussenlager","teilweise")))))</f>
        <v/>
      </c>
      <c r="BA1519" s="53">
        <f>IF(AS1519&lt;=0,"",IF(BR1519="Aussen","Aussenlager",IF(BR1519="-","Nicht im Lift",IF(AX1519&gt;=1,"Lift",IF(AX1519&lt;=0,"Aussenlager","teilweise")))))</f>
        <v/>
      </c>
      <c r="BB1519" s="53">
        <f>IF(A1519="","",IF(BK1519=1,"Neu; ","")&amp;IF(AND(BK1519=0,BF1519&lt;0),"negativer Bestand (Export "&amp;BF1519&amp;"); ","")&amp;IF(I1519&lt;=0,"Kein Verbrauch; ","")&amp;IF(BO1519=1,"Lose – Fläche geschätzt; ","")&amp;IF(G1519&gt;AM1519,"Überbestand "&amp;ROUND(G1519-AM1519,0)&amp;" Stk / CHF "&amp;ROUND((G1519-AM1519)*F1519,0)&amp;"; ","")&amp;IF(AND(BT1519=1,BU1519&lt;BV1519),"MAX &lt; MB+LG; ","")&amp;IF(AND(BZ1519&gt;0,BY1519*10&gt;BZ1519),"zu hoch für Tablar; ","")&amp;IF(AND(BK1519=0,OR(BT1519=1,V1519&lt;&gt;"",S1519&lt;&gt;"",T1519&lt;&gt;"",W1519&lt;&gt;"")),"manuell übersteuert; ","")&amp;IF(AND(BO1519=0,Q1519=0),"Gebinde unbekannt; ","")&amp;IF(AND(BO1519=0,N(T1519)&lt;=0,N(P1519)&lt;=0),"Menge pro Gebinde fehlt (Ist = 1 Gebinde); ","")&amp;BJ1519)</f>
        <v/>
      </c>
      <c r="BC1519" s="53" t="n"/>
      <c r="BD1519" s="53" t="n"/>
      <c r="BE1519" s="61" t="n"/>
      <c r="BF1519" s="55">
        <f>N('Neue Artikel'!$D$53)</f>
        <v/>
      </c>
      <c r="BG1519" s="55" t="n">
        <v>0</v>
      </c>
      <c r="BH1519" s="54" t="n">
        <v>0</v>
      </c>
      <c r="BI1519" s="55">
        <f>N('Neue Artikel'!$C$53)/Parameter!$B$18</f>
        <v/>
      </c>
      <c r="BJ1519" s="53" t="inlineStr"/>
      <c r="BK1519" s="58" t="n">
        <v>1</v>
      </c>
      <c r="BL1519" s="58" t="n">
        <v>1519</v>
      </c>
      <c r="BM1519" s="53">
        <f>IF(S1519&lt;&gt;"",UPPER(TRIM(S1519)),IF(O1519="","LOSE",O1519))</f>
        <v/>
      </c>
      <c r="BN1519" s="55">
        <f>IF(BM1519="LOSE",1,IF(N(T1519)&gt;0,T1519,IF(N(P1519)&gt;0,P1519,MAX(1,G1519))))</f>
        <v/>
      </c>
      <c r="BO1519" s="58">
        <f>IF(BM1519="LOSE",1,0)</f>
        <v/>
      </c>
      <c r="BP1519" s="64">
        <f>IF(BO1519=0,0,IF(N(R1519)&gt;0,R1519,IFERROR(VLOOKUP(D1519,Parameter!$A$35:$C$64,3,0)+0,0)))</f>
        <v/>
      </c>
      <c r="BQ1519" s="53">
        <f>IF(V1519&lt;&gt;"",V1519,U1519)</f>
        <v/>
      </c>
      <c r="BR1519" s="53">
        <f>IF(BQ1519=1,"L1",IF(OR(BQ1519=2,BQ1519=3),"L23",IF(BQ1519="Aussen","Aussen","-")))</f>
        <v/>
      </c>
      <c r="BS1519" s="66">
        <f>IF(N(W1519)&gt;0,W1519,0)</f>
        <v/>
      </c>
      <c r="BT1519" s="58">
        <f>IF(ISNUMBER(Z1519),1,0)</f>
        <v/>
      </c>
      <c r="BU1519" s="55">
        <f>N(Z1519)</f>
        <v/>
      </c>
      <c r="BV1519" s="55">
        <f>N(L1519)+N(M1519)</f>
        <v/>
      </c>
      <c r="BW1519" s="55">
        <f>ROUNDUP(G1519/BN1519,0)</f>
        <v/>
      </c>
      <c r="BX1519" s="55">
        <f>ROUNDUP(BU1519/BN1519,0)</f>
        <v/>
      </c>
      <c r="BY1519" s="58">
        <f>IF(BO1519=1,0,IFERROR(VLOOKUP(BM1519,'Gebinde-Kategorie'!$A$5:$G$45,5,0)+0,0))</f>
        <v/>
      </c>
      <c r="BZ1519" s="58">
        <f>IFERROR(IF(OR(BQ1519=1,BQ1519=2,BQ1519=3),N(INDEX(Parameter!$I$5:$I$7,BQ1519)),0),0)</f>
        <v/>
      </c>
    </row>
    <row r="1520">
      <c r="A1520" s="53">
        <f>IF('Neue Artikel'!$A$54="","",'Neue Artikel'!$A$54&amp;"")</f>
        <v/>
      </c>
      <c r="B1520" s="53">
        <f>'Neue Artikel'!$B$54&amp;""</f>
        <v/>
      </c>
      <c r="C1520" s="53" t="inlineStr"/>
      <c r="D1520" s="53" t="inlineStr">
        <is>
          <t>NEU</t>
        </is>
      </c>
      <c r="E1520" s="53" t="inlineStr"/>
      <c r="F1520" s="54">
        <f>N('Neue Artikel'!$G$54)</f>
        <v/>
      </c>
      <c r="G1520" s="55">
        <f>MAX(0,IF(Parameter!$B$20="Jahresanfang 2025 + Export",BG1520+BF1520,BF1520))</f>
        <v/>
      </c>
      <c r="H1520" s="55">
        <f>G1520*F1520</f>
        <v/>
      </c>
      <c r="I1520" s="55">
        <f>BI1520*Parameter!$B$18</f>
        <v/>
      </c>
      <c r="J1520" s="56" t="n"/>
      <c r="K1520" s="57" t="n"/>
      <c r="L1520" s="55">
        <f>N('Neue Artikel'!$E$54)</f>
        <v/>
      </c>
      <c r="M1520" s="55">
        <f>N('Neue Artikel'!$F$54)</f>
        <v/>
      </c>
      <c r="N1520" s="58" t="n"/>
      <c r="O1520" s="53">
        <f>IF('Neue Artikel'!$H$54="","LOSE",UPPER(TRIM('Neue Artikel'!$H$54)))</f>
        <v/>
      </c>
      <c r="P1520" s="55">
        <f>N('Neue Artikel'!$I$54)</f>
        <v/>
      </c>
      <c r="Q1520" s="59">
        <f>IF(BO1520=1,0,IFERROR(VLOOKUP(BM1520,'Gebinde-Kategorie'!$A$5:$G$45,6,0)+0,0))</f>
        <v/>
      </c>
      <c r="R1520" s="60" t="n"/>
      <c r="S1520" s="61" t="n"/>
      <c r="T1520" s="61" t="n"/>
      <c r="U1520" s="53">
        <f>IF(A1520="","",IF(IFERROR(VLOOKUP(D1520,Parameter!$A$35:$C$64,2,0),"Nein")="2+3",IF(ISNUMBER(SEARCH("grosser Artikel",BJ1520)),2,IFERROR(VLOOKUP(BM1520,Parameter!$F$35:$G$64,2,0),2)),IF(OR(IFERROR(VLOOKUP(D1520,Parameter!$A$35:$C$64,2,0),"Nein")="Nein",IFERROR(VLOOKUP(D1520,Parameter!$A$35:$C$64,2,0),"Nein")=""),"-",VLOOKUP(D1520,Parameter!$A$35:$C$64,2,0))))</f>
        <v/>
      </c>
      <c r="V1520" s="53">
        <f>IF('Neue Artikel'!$J$54="","",'Neue Artikel'!$J$54)</f>
        <v/>
      </c>
      <c r="W1520" s="62" t="n"/>
      <c r="X1520" s="55">
        <f>AM1520</f>
        <v/>
      </c>
      <c r="Y1520" s="55">
        <f>MAX(AM1520,G1520)</f>
        <v/>
      </c>
      <c r="Z1520" s="63" t="n"/>
      <c r="AA1520" s="55">
        <f>IF(LEFT(Cockpit!$C$5,1)="A",G1520,IF(BT1520=1,BU1520,IF(LEFT(Cockpit!$C$5,1)="B",AE1520,MAX(AE1520,G1520))))</f>
        <v/>
      </c>
      <c r="AB1520" s="55">
        <f>IF(BO1520=1,0,ROUNDUP(AA1520/BN1520,0))</f>
        <v/>
      </c>
      <c r="AC1520" s="64">
        <f>IF(BO1520=1,IF(AA1520&lt;=0,0,BP1520*MAX(1,IF(G1520&gt;0,AA1520/G1520,1))),AB1520*Q1520)</f>
        <v/>
      </c>
      <c r="AD1520" s="55">
        <f>AA1520*F1520</f>
        <v/>
      </c>
      <c r="AE1520" s="55">
        <f>ROUNDUP(MAX(I1520/IF(BS1520&gt;0,BS1520,MAX(0.1,N(Cockpit!$C$6))),BV1520)/BN1520,0)*BN1520</f>
        <v/>
      </c>
      <c r="AF1520" s="56">
        <f>IF(AC1520&gt;0,I1520/AC1520,-1)</f>
        <v/>
      </c>
      <c r="AG1520" s="56">
        <f>IF(AND(OR(BR1520="L1",BR1520="L23"),AC1520&gt;0),SUMIFS($AC$7:$AC$1570,$BR$7:$BR$1570,BR1520,$AF$7:$AF$1570,"&gt;"&amp;AF1520)+SUMIFS($AC$7:$AC$1570,$BR$7:$BR$1570,BR1520,$AF$7:$AF$1570,AF1520,$BL$7:$BL$1570,"&lt;="&amp;BL1520),"")</f>
        <v/>
      </c>
      <c r="AH1520" s="65">
        <f>IF(AG1520="",0,MAX(0,MIN(1,(IF(BR1520="L1",Parameter!$K$5,Parameter!$K$6+Parameter!$K$7)-(AG1520-AC1520))/AC1520)))</f>
        <v/>
      </c>
      <c r="AI1520" s="55">
        <f>IF(LEFT(Cockpit!$I$5,1)="A",G1520,IF(BT1520=1,BU1520,IF(LEFT(Cockpit!$I$5,1)="B",AM1520,MAX(AM1520,G1520))))</f>
        <v/>
      </c>
      <c r="AJ1520" s="55">
        <f>IF(BO1520=1,0,ROUNDUP(AI1520/BN1520,0))</f>
        <v/>
      </c>
      <c r="AK1520" s="64">
        <f>IF(BO1520=1,IF(AI1520&lt;=0,0,BP1520*MAX(1,IF(G1520&gt;0,AI1520/G1520,1))),AJ1520*Q1520)</f>
        <v/>
      </c>
      <c r="AL1520" s="55">
        <f>AI1520*F1520</f>
        <v/>
      </c>
      <c r="AM1520" s="55">
        <f>ROUNDUP(MAX(I1520/IF(BS1520&gt;0,BS1520,MAX(0.1,N(Cockpit!$I$6))),BV1520)/BN1520,0)*BN1520</f>
        <v/>
      </c>
      <c r="AN1520" s="56">
        <f>IF(AK1520&gt;0,I1520/AK1520,-1)</f>
        <v/>
      </c>
      <c r="AO1520" s="56">
        <f>IF(AND(OR(BR1520="L1",BR1520="L23"),AK1520&gt;0),SUMIFS($AK$7:$AK$1570,$BR$7:$BR$1570,BR1520,$AN$7:$AN$1570,"&gt;"&amp;AN1520)+SUMIFS($AK$7:$AK$1570,$BR$7:$BR$1570,BR1520,$AN$7:$AN$1570,AN1520,$BL$7:$BL$1570,"&lt;="&amp;BL1520),"")</f>
        <v/>
      </c>
      <c r="AP1520" s="65">
        <f>IF(AO1520="",0,MAX(0,MIN(1,(IF(BR1520="L1",Parameter!$K$5,Parameter!$K$6+Parameter!$K$7)-(AO1520-AK1520))/AK1520)))</f>
        <v/>
      </c>
      <c r="AQ1520" s="55">
        <f>IF(LEFT(Cockpit!$O$5,1)="A",G1520,IF(BT1520=1,BU1520,IF(LEFT(Cockpit!$O$5,1)="B",AU1520,MAX(AU1520,G1520))))</f>
        <v/>
      </c>
      <c r="AR1520" s="55">
        <f>IF(BO1520=1,0,ROUNDUP(AQ1520/BN1520,0))</f>
        <v/>
      </c>
      <c r="AS1520" s="64">
        <f>IF(BO1520=1,IF(AQ1520&lt;=0,0,BP1520*MAX(1,IF(G1520&gt;0,AQ1520/G1520,1))),AR1520*Q1520)</f>
        <v/>
      </c>
      <c r="AT1520" s="55">
        <f>AQ1520*F1520</f>
        <v/>
      </c>
      <c r="AU1520" s="55">
        <f>ROUNDUP(MAX(I1520/IF(BS1520&gt;0,BS1520,MAX(0.1,N(Cockpit!$O$6))),BV1520)/BN1520,0)*BN1520</f>
        <v/>
      </c>
      <c r="AV1520" s="56">
        <f>IF(AS1520&gt;0,I1520/AS1520,-1)</f>
        <v/>
      </c>
      <c r="AW1520" s="56">
        <f>IF(AND(OR(BR1520="L1",BR1520="L23"),AS1520&gt;0),SUMIFS($AS$7:$AS$1570,$BR$7:$BR$1570,BR1520,$AV$7:$AV$1570,"&gt;"&amp;AV1520)+SUMIFS($AS$7:$AS$1570,$BR$7:$BR$1570,BR1520,$AV$7:$AV$1570,AV1520,$BL$7:$BL$1570,"&lt;="&amp;BL1520),"")</f>
        <v/>
      </c>
      <c r="AX1520" s="65">
        <f>IF(AW1520="",0,MAX(0,MIN(1,(IF(BR1520="L1",Parameter!$K$5,Parameter!$K$6+Parameter!$K$7)-(AW1520-AS1520))/AS1520)))</f>
        <v/>
      </c>
      <c r="AY1520" s="53">
        <f>IF(AC1520&lt;=0,"",IF(BR1520="Aussen","Aussenlager",IF(BR1520="-","Nicht im Lift",IF(AH1520&gt;=1,"Lift",IF(AH1520&lt;=0,"Aussenlager","teilweise")))))</f>
        <v/>
      </c>
      <c r="AZ1520" s="53">
        <f>IF(AK1520&lt;=0,"",IF(BR1520="Aussen","Aussenlager",IF(BR1520="-","Nicht im Lift",IF(AP1520&gt;=1,"Lift",IF(AP1520&lt;=0,"Aussenlager","teilweise")))))</f>
        <v/>
      </c>
      <c r="BA1520" s="53">
        <f>IF(AS1520&lt;=0,"",IF(BR1520="Aussen","Aussenlager",IF(BR1520="-","Nicht im Lift",IF(AX1520&gt;=1,"Lift",IF(AX1520&lt;=0,"Aussenlager","teilweise")))))</f>
        <v/>
      </c>
      <c r="BB1520" s="53">
        <f>IF(A1520="","",IF(BK1520=1,"Neu; ","")&amp;IF(AND(BK1520=0,BF1520&lt;0),"negativer Bestand (Export "&amp;BF1520&amp;"); ","")&amp;IF(I1520&lt;=0,"Kein Verbrauch; ","")&amp;IF(BO1520=1,"Lose – Fläche geschätzt; ","")&amp;IF(G1520&gt;AM1520,"Überbestand "&amp;ROUND(G1520-AM1520,0)&amp;" Stk / CHF "&amp;ROUND((G1520-AM1520)*F1520,0)&amp;"; ","")&amp;IF(AND(BT1520=1,BU1520&lt;BV1520),"MAX &lt; MB+LG; ","")&amp;IF(AND(BZ1520&gt;0,BY1520*10&gt;BZ1520),"zu hoch für Tablar; ","")&amp;IF(AND(BK1520=0,OR(BT1520=1,V1520&lt;&gt;"",S1520&lt;&gt;"",T1520&lt;&gt;"",W1520&lt;&gt;"")),"manuell übersteuert; ","")&amp;IF(AND(BO1520=0,Q1520=0),"Gebinde unbekannt; ","")&amp;IF(AND(BO1520=0,N(T1520)&lt;=0,N(P1520)&lt;=0),"Menge pro Gebinde fehlt (Ist = 1 Gebinde); ","")&amp;BJ1520)</f>
        <v/>
      </c>
      <c r="BC1520" s="53" t="n"/>
      <c r="BD1520" s="53" t="n"/>
      <c r="BE1520" s="61" t="n"/>
      <c r="BF1520" s="55">
        <f>N('Neue Artikel'!$D$54)</f>
        <v/>
      </c>
      <c r="BG1520" s="55" t="n">
        <v>0</v>
      </c>
      <c r="BH1520" s="54" t="n">
        <v>0</v>
      </c>
      <c r="BI1520" s="55">
        <f>N('Neue Artikel'!$C$54)/Parameter!$B$18</f>
        <v/>
      </c>
      <c r="BJ1520" s="53" t="inlineStr"/>
      <c r="BK1520" s="58" t="n">
        <v>1</v>
      </c>
      <c r="BL1520" s="58" t="n">
        <v>1520</v>
      </c>
      <c r="BM1520" s="53">
        <f>IF(S1520&lt;&gt;"",UPPER(TRIM(S1520)),IF(O1520="","LOSE",O1520))</f>
        <v/>
      </c>
      <c r="BN1520" s="55">
        <f>IF(BM1520="LOSE",1,IF(N(T1520)&gt;0,T1520,IF(N(P1520)&gt;0,P1520,MAX(1,G1520))))</f>
        <v/>
      </c>
      <c r="BO1520" s="58">
        <f>IF(BM1520="LOSE",1,0)</f>
        <v/>
      </c>
      <c r="BP1520" s="64">
        <f>IF(BO1520=0,0,IF(N(R1520)&gt;0,R1520,IFERROR(VLOOKUP(D1520,Parameter!$A$35:$C$64,3,0)+0,0)))</f>
        <v/>
      </c>
      <c r="BQ1520" s="53">
        <f>IF(V1520&lt;&gt;"",V1520,U1520)</f>
        <v/>
      </c>
      <c r="BR1520" s="53">
        <f>IF(BQ1520=1,"L1",IF(OR(BQ1520=2,BQ1520=3),"L23",IF(BQ1520="Aussen","Aussen","-")))</f>
        <v/>
      </c>
      <c r="BS1520" s="66">
        <f>IF(N(W1520)&gt;0,W1520,0)</f>
        <v/>
      </c>
      <c r="BT1520" s="58">
        <f>IF(ISNUMBER(Z1520),1,0)</f>
        <v/>
      </c>
      <c r="BU1520" s="55">
        <f>N(Z1520)</f>
        <v/>
      </c>
      <c r="BV1520" s="55">
        <f>N(L1520)+N(M1520)</f>
        <v/>
      </c>
      <c r="BW1520" s="55">
        <f>ROUNDUP(G1520/BN1520,0)</f>
        <v/>
      </c>
      <c r="BX1520" s="55">
        <f>ROUNDUP(BU1520/BN1520,0)</f>
        <v/>
      </c>
      <c r="BY1520" s="58">
        <f>IF(BO1520=1,0,IFERROR(VLOOKUP(BM1520,'Gebinde-Kategorie'!$A$5:$G$45,5,0)+0,0))</f>
        <v/>
      </c>
      <c r="BZ1520" s="58">
        <f>IFERROR(IF(OR(BQ1520=1,BQ1520=2,BQ1520=3),N(INDEX(Parameter!$I$5:$I$7,BQ1520)),0),0)</f>
        <v/>
      </c>
    </row>
    <row r="1521">
      <c r="A1521" s="53">
        <f>IF('Neue Artikel'!$A$55="","",'Neue Artikel'!$A$55&amp;"")</f>
        <v/>
      </c>
      <c r="B1521" s="53">
        <f>'Neue Artikel'!$B$55&amp;""</f>
        <v/>
      </c>
      <c r="C1521" s="53" t="inlineStr"/>
      <c r="D1521" s="53" t="inlineStr">
        <is>
          <t>NEU</t>
        </is>
      </c>
      <c r="E1521" s="53" t="inlineStr"/>
      <c r="F1521" s="54">
        <f>N('Neue Artikel'!$G$55)</f>
        <v/>
      </c>
      <c r="G1521" s="55">
        <f>MAX(0,IF(Parameter!$B$20="Jahresanfang 2025 + Export",BG1521+BF1521,BF1521))</f>
        <v/>
      </c>
      <c r="H1521" s="55">
        <f>G1521*F1521</f>
        <v/>
      </c>
      <c r="I1521" s="55">
        <f>BI1521*Parameter!$B$18</f>
        <v/>
      </c>
      <c r="J1521" s="56" t="n"/>
      <c r="K1521" s="57" t="n"/>
      <c r="L1521" s="55">
        <f>N('Neue Artikel'!$E$55)</f>
        <v/>
      </c>
      <c r="M1521" s="55">
        <f>N('Neue Artikel'!$F$55)</f>
        <v/>
      </c>
      <c r="N1521" s="58" t="n"/>
      <c r="O1521" s="53">
        <f>IF('Neue Artikel'!$H$55="","LOSE",UPPER(TRIM('Neue Artikel'!$H$55)))</f>
        <v/>
      </c>
      <c r="P1521" s="55">
        <f>N('Neue Artikel'!$I$55)</f>
        <v/>
      </c>
      <c r="Q1521" s="59">
        <f>IF(BO1521=1,0,IFERROR(VLOOKUP(BM1521,'Gebinde-Kategorie'!$A$5:$G$45,6,0)+0,0))</f>
        <v/>
      </c>
      <c r="R1521" s="60" t="n"/>
      <c r="S1521" s="61" t="n"/>
      <c r="T1521" s="61" t="n"/>
      <c r="U1521" s="53">
        <f>IF(A1521="","",IF(IFERROR(VLOOKUP(D1521,Parameter!$A$35:$C$64,2,0),"Nein")="2+3",IF(ISNUMBER(SEARCH("grosser Artikel",BJ1521)),2,IFERROR(VLOOKUP(BM1521,Parameter!$F$35:$G$64,2,0),2)),IF(OR(IFERROR(VLOOKUP(D1521,Parameter!$A$35:$C$64,2,0),"Nein")="Nein",IFERROR(VLOOKUP(D1521,Parameter!$A$35:$C$64,2,0),"Nein")=""),"-",VLOOKUP(D1521,Parameter!$A$35:$C$64,2,0))))</f>
        <v/>
      </c>
      <c r="V1521" s="53">
        <f>IF('Neue Artikel'!$J$55="","",'Neue Artikel'!$J$55)</f>
        <v/>
      </c>
      <c r="W1521" s="62" t="n"/>
      <c r="X1521" s="55">
        <f>AM1521</f>
        <v/>
      </c>
      <c r="Y1521" s="55">
        <f>MAX(AM1521,G1521)</f>
        <v/>
      </c>
      <c r="Z1521" s="63" t="n"/>
      <c r="AA1521" s="55">
        <f>IF(LEFT(Cockpit!$C$5,1)="A",G1521,IF(BT1521=1,BU1521,IF(LEFT(Cockpit!$C$5,1)="B",AE1521,MAX(AE1521,G1521))))</f>
        <v/>
      </c>
      <c r="AB1521" s="55">
        <f>IF(BO1521=1,0,ROUNDUP(AA1521/BN1521,0))</f>
        <v/>
      </c>
      <c r="AC1521" s="64">
        <f>IF(BO1521=1,IF(AA1521&lt;=0,0,BP1521*MAX(1,IF(G1521&gt;0,AA1521/G1521,1))),AB1521*Q1521)</f>
        <v/>
      </c>
      <c r="AD1521" s="55">
        <f>AA1521*F1521</f>
        <v/>
      </c>
      <c r="AE1521" s="55">
        <f>ROUNDUP(MAX(I1521/IF(BS1521&gt;0,BS1521,MAX(0.1,N(Cockpit!$C$6))),BV1521)/BN1521,0)*BN1521</f>
        <v/>
      </c>
      <c r="AF1521" s="56">
        <f>IF(AC1521&gt;0,I1521/AC1521,-1)</f>
        <v/>
      </c>
      <c r="AG1521" s="56">
        <f>IF(AND(OR(BR1521="L1",BR1521="L23"),AC1521&gt;0),SUMIFS($AC$7:$AC$1570,$BR$7:$BR$1570,BR1521,$AF$7:$AF$1570,"&gt;"&amp;AF1521)+SUMIFS($AC$7:$AC$1570,$BR$7:$BR$1570,BR1521,$AF$7:$AF$1570,AF1521,$BL$7:$BL$1570,"&lt;="&amp;BL1521),"")</f>
        <v/>
      </c>
      <c r="AH1521" s="65">
        <f>IF(AG1521="",0,MAX(0,MIN(1,(IF(BR1521="L1",Parameter!$K$5,Parameter!$K$6+Parameter!$K$7)-(AG1521-AC1521))/AC1521)))</f>
        <v/>
      </c>
      <c r="AI1521" s="55">
        <f>IF(LEFT(Cockpit!$I$5,1)="A",G1521,IF(BT1521=1,BU1521,IF(LEFT(Cockpit!$I$5,1)="B",AM1521,MAX(AM1521,G1521))))</f>
        <v/>
      </c>
      <c r="AJ1521" s="55">
        <f>IF(BO1521=1,0,ROUNDUP(AI1521/BN1521,0))</f>
        <v/>
      </c>
      <c r="AK1521" s="64">
        <f>IF(BO1521=1,IF(AI1521&lt;=0,0,BP1521*MAX(1,IF(G1521&gt;0,AI1521/G1521,1))),AJ1521*Q1521)</f>
        <v/>
      </c>
      <c r="AL1521" s="55">
        <f>AI1521*F1521</f>
        <v/>
      </c>
      <c r="AM1521" s="55">
        <f>ROUNDUP(MAX(I1521/IF(BS1521&gt;0,BS1521,MAX(0.1,N(Cockpit!$I$6))),BV1521)/BN1521,0)*BN1521</f>
        <v/>
      </c>
      <c r="AN1521" s="56">
        <f>IF(AK1521&gt;0,I1521/AK1521,-1)</f>
        <v/>
      </c>
      <c r="AO1521" s="56">
        <f>IF(AND(OR(BR1521="L1",BR1521="L23"),AK1521&gt;0),SUMIFS($AK$7:$AK$1570,$BR$7:$BR$1570,BR1521,$AN$7:$AN$1570,"&gt;"&amp;AN1521)+SUMIFS($AK$7:$AK$1570,$BR$7:$BR$1570,BR1521,$AN$7:$AN$1570,AN1521,$BL$7:$BL$1570,"&lt;="&amp;BL1521),"")</f>
        <v/>
      </c>
      <c r="AP1521" s="65">
        <f>IF(AO1521="",0,MAX(0,MIN(1,(IF(BR1521="L1",Parameter!$K$5,Parameter!$K$6+Parameter!$K$7)-(AO1521-AK1521))/AK1521)))</f>
        <v/>
      </c>
      <c r="AQ1521" s="55">
        <f>IF(LEFT(Cockpit!$O$5,1)="A",G1521,IF(BT1521=1,BU1521,IF(LEFT(Cockpit!$O$5,1)="B",AU1521,MAX(AU1521,G1521))))</f>
        <v/>
      </c>
      <c r="AR1521" s="55">
        <f>IF(BO1521=1,0,ROUNDUP(AQ1521/BN1521,0))</f>
        <v/>
      </c>
      <c r="AS1521" s="64">
        <f>IF(BO1521=1,IF(AQ1521&lt;=0,0,BP1521*MAX(1,IF(G1521&gt;0,AQ1521/G1521,1))),AR1521*Q1521)</f>
        <v/>
      </c>
      <c r="AT1521" s="55">
        <f>AQ1521*F1521</f>
        <v/>
      </c>
      <c r="AU1521" s="55">
        <f>ROUNDUP(MAX(I1521/IF(BS1521&gt;0,BS1521,MAX(0.1,N(Cockpit!$O$6))),BV1521)/BN1521,0)*BN1521</f>
        <v/>
      </c>
      <c r="AV1521" s="56">
        <f>IF(AS1521&gt;0,I1521/AS1521,-1)</f>
        <v/>
      </c>
      <c r="AW1521" s="56">
        <f>IF(AND(OR(BR1521="L1",BR1521="L23"),AS1521&gt;0),SUMIFS($AS$7:$AS$1570,$BR$7:$BR$1570,BR1521,$AV$7:$AV$1570,"&gt;"&amp;AV1521)+SUMIFS($AS$7:$AS$1570,$BR$7:$BR$1570,BR1521,$AV$7:$AV$1570,AV1521,$BL$7:$BL$1570,"&lt;="&amp;BL1521),"")</f>
        <v/>
      </c>
      <c r="AX1521" s="65">
        <f>IF(AW1521="",0,MAX(0,MIN(1,(IF(BR1521="L1",Parameter!$K$5,Parameter!$K$6+Parameter!$K$7)-(AW1521-AS1521))/AS1521)))</f>
        <v/>
      </c>
      <c r="AY1521" s="53">
        <f>IF(AC1521&lt;=0,"",IF(BR1521="Aussen","Aussenlager",IF(BR1521="-","Nicht im Lift",IF(AH1521&gt;=1,"Lift",IF(AH1521&lt;=0,"Aussenlager","teilweise")))))</f>
        <v/>
      </c>
      <c r="AZ1521" s="53">
        <f>IF(AK1521&lt;=0,"",IF(BR1521="Aussen","Aussenlager",IF(BR1521="-","Nicht im Lift",IF(AP1521&gt;=1,"Lift",IF(AP1521&lt;=0,"Aussenlager","teilweise")))))</f>
        <v/>
      </c>
      <c r="BA1521" s="53">
        <f>IF(AS1521&lt;=0,"",IF(BR1521="Aussen","Aussenlager",IF(BR1521="-","Nicht im Lift",IF(AX1521&gt;=1,"Lift",IF(AX1521&lt;=0,"Aussenlager","teilweise")))))</f>
        <v/>
      </c>
      <c r="BB1521" s="53">
        <f>IF(A1521="","",IF(BK1521=1,"Neu; ","")&amp;IF(AND(BK1521=0,BF1521&lt;0),"negativer Bestand (Export "&amp;BF1521&amp;"); ","")&amp;IF(I1521&lt;=0,"Kein Verbrauch; ","")&amp;IF(BO1521=1,"Lose – Fläche geschätzt; ","")&amp;IF(G1521&gt;AM1521,"Überbestand "&amp;ROUND(G1521-AM1521,0)&amp;" Stk / CHF "&amp;ROUND((G1521-AM1521)*F1521,0)&amp;"; ","")&amp;IF(AND(BT1521=1,BU1521&lt;BV1521),"MAX &lt; MB+LG; ","")&amp;IF(AND(BZ1521&gt;0,BY1521*10&gt;BZ1521),"zu hoch für Tablar; ","")&amp;IF(AND(BK1521=0,OR(BT1521=1,V1521&lt;&gt;"",S1521&lt;&gt;"",T1521&lt;&gt;"",W1521&lt;&gt;"")),"manuell übersteuert; ","")&amp;IF(AND(BO1521=0,Q1521=0),"Gebinde unbekannt; ","")&amp;IF(AND(BO1521=0,N(T1521)&lt;=0,N(P1521)&lt;=0),"Menge pro Gebinde fehlt (Ist = 1 Gebinde); ","")&amp;BJ1521)</f>
        <v/>
      </c>
      <c r="BC1521" s="53" t="n"/>
      <c r="BD1521" s="53" t="n"/>
      <c r="BE1521" s="61" t="n"/>
      <c r="BF1521" s="55">
        <f>N('Neue Artikel'!$D$55)</f>
        <v/>
      </c>
      <c r="BG1521" s="55" t="n">
        <v>0</v>
      </c>
      <c r="BH1521" s="54" t="n">
        <v>0</v>
      </c>
      <c r="BI1521" s="55">
        <f>N('Neue Artikel'!$C$55)/Parameter!$B$18</f>
        <v/>
      </c>
      <c r="BJ1521" s="53" t="inlineStr"/>
      <c r="BK1521" s="58" t="n">
        <v>1</v>
      </c>
      <c r="BL1521" s="58" t="n">
        <v>1521</v>
      </c>
      <c r="BM1521" s="53">
        <f>IF(S1521&lt;&gt;"",UPPER(TRIM(S1521)),IF(O1521="","LOSE",O1521))</f>
        <v/>
      </c>
      <c r="BN1521" s="55">
        <f>IF(BM1521="LOSE",1,IF(N(T1521)&gt;0,T1521,IF(N(P1521)&gt;0,P1521,MAX(1,G1521))))</f>
        <v/>
      </c>
      <c r="BO1521" s="58">
        <f>IF(BM1521="LOSE",1,0)</f>
        <v/>
      </c>
      <c r="BP1521" s="64">
        <f>IF(BO1521=0,0,IF(N(R1521)&gt;0,R1521,IFERROR(VLOOKUP(D1521,Parameter!$A$35:$C$64,3,0)+0,0)))</f>
        <v/>
      </c>
      <c r="BQ1521" s="53">
        <f>IF(V1521&lt;&gt;"",V1521,U1521)</f>
        <v/>
      </c>
      <c r="BR1521" s="53">
        <f>IF(BQ1521=1,"L1",IF(OR(BQ1521=2,BQ1521=3),"L23",IF(BQ1521="Aussen","Aussen","-")))</f>
        <v/>
      </c>
      <c r="BS1521" s="66">
        <f>IF(N(W1521)&gt;0,W1521,0)</f>
        <v/>
      </c>
      <c r="BT1521" s="58">
        <f>IF(ISNUMBER(Z1521),1,0)</f>
        <v/>
      </c>
      <c r="BU1521" s="55">
        <f>N(Z1521)</f>
        <v/>
      </c>
      <c r="BV1521" s="55">
        <f>N(L1521)+N(M1521)</f>
        <v/>
      </c>
      <c r="BW1521" s="55">
        <f>ROUNDUP(G1521/BN1521,0)</f>
        <v/>
      </c>
      <c r="BX1521" s="55">
        <f>ROUNDUP(BU1521/BN1521,0)</f>
        <v/>
      </c>
      <c r="BY1521" s="58">
        <f>IF(BO1521=1,0,IFERROR(VLOOKUP(BM1521,'Gebinde-Kategorie'!$A$5:$G$45,5,0)+0,0))</f>
        <v/>
      </c>
      <c r="BZ1521" s="58">
        <f>IFERROR(IF(OR(BQ1521=1,BQ1521=2,BQ1521=3),N(INDEX(Parameter!$I$5:$I$7,BQ1521)),0),0)</f>
        <v/>
      </c>
    </row>
    <row r="1522">
      <c r="A1522" s="53">
        <f>IF('Neue Artikel'!$A$56="","",'Neue Artikel'!$A$56&amp;"")</f>
        <v/>
      </c>
      <c r="B1522" s="53">
        <f>'Neue Artikel'!$B$56&amp;""</f>
        <v/>
      </c>
      <c r="C1522" s="53" t="inlineStr"/>
      <c r="D1522" s="53" t="inlineStr">
        <is>
          <t>NEU</t>
        </is>
      </c>
      <c r="E1522" s="53" t="inlineStr"/>
      <c r="F1522" s="54">
        <f>N('Neue Artikel'!$G$56)</f>
        <v/>
      </c>
      <c r="G1522" s="55">
        <f>MAX(0,IF(Parameter!$B$20="Jahresanfang 2025 + Export",BG1522+BF1522,BF1522))</f>
        <v/>
      </c>
      <c r="H1522" s="55">
        <f>G1522*F1522</f>
        <v/>
      </c>
      <c r="I1522" s="55">
        <f>BI1522*Parameter!$B$18</f>
        <v/>
      </c>
      <c r="J1522" s="56" t="n"/>
      <c r="K1522" s="57" t="n"/>
      <c r="L1522" s="55">
        <f>N('Neue Artikel'!$E$56)</f>
        <v/>
      </c>
      <c r="M1522" s="55">
        <f>N('Neue Artikel'!$F$56)</f>
        <v/>
      </c>
      <c r="N1522" s="58" t="n"/>
      <c r="O1522" s="53">
        <f>IF('Neue Artikel'!$H$56="","LOSE",UPPER(TRIM('Neue Artikel'!$H$56)))</f>
        <v/>
      </c>
      <c r="P1522" s="55">
        <f>N('Neue Artikel'!$I$56)</f>
        <v/>
      </c>
      <c r="Q1522" s="59">
        <f>IF(BO1522=1,0,IFERROR(VLOOKUP(BM1522,'Gebinde-Kategorie'!$A$5:$G$45,6,0)+0,0))</f>
        <v/>
      </c>
      <c r="R1522" s="60" t="n"/>
      <c r="S1522" s="61" t="n"/>
      <c r="T1522" s="61" t="n"/>
      <c r="U1522" s="53">
        <f>IF(A1522="","",IF(IFERROR(VLOOKUP(D1522,Parameter!$A$35:$C$64,2,0),"Nein")="2+3",IF(ISNUMBER(SEARCH("grosser Artikel",BJ1522)),2,IFERROR(VLOOKUP(BM1522,Parameter!$F$35:$G$64,2,0),2)),IF(OR(IFERROR(VLOOKUP(D1522,Parameter!$A$35:$C$64,2,0),"Nein")="Nein",IFERROR(VLOOKUP(D1522,Parameter!$A$35:$C$64,2,0),"Nein")=""),"-",VLOOKUP(D1522,Parameter!$A$35:$C$64,2,0))))</f>
        <v/>
      </c>
      <c r="V1522" s="53">
        <f>IF('Neue Artikel'!$J$56="","",'Neue Artikel'!$J$56)</f>
        <v/>
      </c>
      <c r="W1522" s="62" t="n"/>
      <c r="X1522" s="55">
        <f>AM1522</f>
        <v/>
      </c>
      <c r="Y1522" s="55">
        <f>MAX(AM1522,G1522)</f>
        <v/>
      </c>
      <c r="Z1522" s="63" t="n"/>
      <c r="AA1522" s="55">
        <f>IF(LEFT(Cockpit!$C$5,1)="A",G1522,IF(BT1522=1,BU1522,IF(LEFT(Cockpit!$C$5,1)="B",AE1522,MAX(AE1522,G1522))))</f>
        <v/>
      </c>
      <c r="AB1522" s="55">
        <f>IF(BO1522=1,0,ROUNDUP(AA1522/BN1522,0))</f>
        <v/>
      </c>
      <c r="AC1522" s="64">
        <f>IF(BO1522=1,IF(AA1522&lt;=0,0,BP1522*MAX(1,IF(G1522&gt;0,AA1522/G1522,1))),AB1522*Q1522)</f>
        <v/>
      </c>
      <c r="AD1522" s="55">
        <f>AA1522*F1522</f>
        <v/>
      </c>
      <c r="AE1522" s="55">
        <f>ROUNDUP(MAX(I1522/IF(BS1522&gt;0,BS1522,MAX(0.1,N(Cockpit!$C$6))),BV1522)/BN1522,0)*BN1522</f>
        <v/>
      </c>
      <c r="AF1522" s="56">
        <f>IF(AC1522&gt;0,I1522/AC1522,-1)</f>
        <v/>
      </c>
      <c r="AG1522" s="56">
        <f>IF(AND(OR(BR1522="L1",BR1522="L23"),AC1522&gt;0),SUMIFS($AC$7:$AC$1570,$BR$7:$BR$1570,BR1522,$AF$7:$AF$1570,"&gt;"&amp;AF1522)+SUMIFS($AC$7:$AC$1570,$BR$7:$BR$1570,BR1522,$AF$7:$AF$1570,AF1522,$BL$7:$BL$1570,"&lt;="&amp;BL1522),"")</f>
        <v/>
      </c>
      <c r="AH1522" s="65">
        <f>IF(AG1522="",0,MAX(0,MIN(1,(IF(BR1522="L1",Parameter!$K$5,Parameter!$K$6+Parameter!$K$7)-(AG1522-AC1522))/AC1522)))</f>
        <v/>
      </c>
      <c r="AI1522" s="55">
        <f>IF(LEFT(Cockpit!$I$5,1)="A",G1522,IF(BT1522=1,BU1522,IF(LEFT(Cockpit!$I$5,1)="B",AM1522,MAX(AM1522,G1522))))</f>
        <v/>
      </c>
      <c r="AJ1522" s="55">
        <f>IF(BO1522=1,0,ROUNDUP(AI1522/BN1522,0))</f>
        <v/>
      </c>
      <c r="AK1522" s="64">
        <f>IF(BO1522=1,IF(AI1522&lt;=0,0,BP1522*MAX(1,IF(G1522&gt;0,AI1522/G1522,1))),AJ1522*Q1522)</f>
        <v/>
      </c>
      <c r="AL1522" s="55">
        <f>AI1522*F1522</f>
        <v/>
      </c>
      <c r="AM1522" s="55">
        <f>ROUNDUP(MAX(I1522/IF(BS1522&gt;0,BS1522,MAX(0.1,N(Cockpit!$I$6))),BV1522)/BN1522,0)*BN1522</f>
        <v/>
      </c>
      <c r="AN1522" s="56">
        <f>IF(AK1522&gt;0,I1522/AK1522,-1)</f>
        <v/>
      </c>
      <c r="AO1522" s="56">
        <f>IF(AND(OR(BR1522="L1",BR1522="L23"),AK1522&gt;0),SUMIFS($AK$7:$AK$1570,$BR$7:$BR$1570,BR1522,$AN$7:$AN$1570,"&gt;"&amp;AN1522)+SUMIFS($AK$7:$AK$1570,$BR$7:$BR$1570,BR1522,$AN$7:$AN$1570,AN1522,$BL$7:$BL$1570,"&lt;="&amp;BL1522),"")</f>
        <v/>
      </c>
      <c r="AP1522" s="65">
        <f>IF(AO1522="",0,MAX(0,MIN(1,(IF(BR1522="L1",Parameter!$K$5,Parameter!$K$6+Parameter!$K$7)-(AO1522-AK1522))/AK1522)))</f>
        <v/>
      </c>
      <c r="AQ1522" s="55">
        <f>IF(LEFT(Cockpit!$O$5,1)="A",G1522,IF(BT1522=1,BU1522,IF(LEFT(Cockpit!$O$5,1)="B",AU1522,MAX(AU1522,G1522))))</f>
        <v/>
      </c>
      <c r="AR1522" s="55">
        <f>IF(BO1522=1,0,ROUNDUP(AQ1522/BN1522,0))</f>
        <v/>
      </c>
      <c r="AS1522" s="64">
        <f>IF(BO1522=1,IF(AQ1522&lt;=0,0,BP1522*MAX(1,IF(G1522&gt;0,AQ1522/G1522,1))),AR1522*Q1522)</f>
        <v/>
      </c>
      <c r="AT1522" s="55">
        <f>AQ1522*F1522</f>
        <v/>
      </c>
      <c r="AU1522" s="55">
        <f>ROUNDUP(MAX(I1522/IF(BS1522&gt;0,BS1522,MAX(0.1,N(Cockpit!$O$6))),BV1522)/BN1522,0)*BN1522</f>
        <v/>
      </c>
      <c r="AV1522" s="56">
        <f>IF(AS1522&gt;0,I1522/AS1522,-1)</f>
        <v/>
      </c>
      <c r="AW1522" s="56">
        <f>IF(AND(OR(BR1522="L1",BR1522="L23"),AS1522&gt;0),SUMIFS($AS$7:$AS$1570,$BR$7:$BR$1570,BR1522,$AV$7:$AV$1570,"&gt;"&amp;AV1522)+SUMIFS($AS$7:$AS$1570,$BR$7:$BR$1570,BR1522,$AV$7:$AV$1570,AV1522,$BL$7:$BL$1570,"&lt;="&amp;BL1522),"")</f>
        <v/>
      </c>
      <c r="AX1522" s="65">
        <f>IF(AW1522="",0,MAX(0,MIN(1,(IF(BR1522="L1",Parameter!$K$5,Parameter!$K$6+Parameter!$K$7)-(AW1522-AS1522))/AS1522)))</f>
        <v/>
      </c>
      <c r="AY1522" s="53">
        <f>IF(AC1522&lt;=0,"",IF(BR1522="Aussen","Aussenlager",IF(BR1522="-","Nicht im Lift",IF(AH1522&gt;=1,"Lift",IF(AH1522&lt;=0,"Aussenlager","teilweise")))))</f>
        <v/>
      </c>
      <c r="AZ1522" s="53">
        <f>IF(AK1522&lt;=0,"",IF(BR1522="Aussen","Aussenlager",IF(BR1522="-","Nicht im Lift",IF(AP1522&gt;=1,"Lift",IF(AP1522&lt;=0,"Aussenlager","teilweise")))))</f>
        <v/>
      </c>
      <c r="BA1522" s="53">
        <f>IF(AS1522&lt;=0,"",IF(BR1522="Aussen","Aussenlager",IF(BR1522="-","Nicht im Lift",IF(AX1522&gt;=1,"Lift",IF(AX1522&lt;=0,"Aussenlager","teilweise")))))</f>
        <v/>
      </c>
      <c r="BB1522" s="53">
        <f>IF(A1522="","",IF(BK1522=1,"Neu; ","")&amp;IF(AND(BK1522=0,BF1522&lt;0),"negativer Bestand (Export "&amp;BF1522&amp;"); ","")&amp;IF(I1522&lt;=0,"Kein Verbrauch; ","")&amp;IF(BO1522=1,"Lose – Fläche geschätzt; ","")&amp;IF(G1522&gt;AM1522,"Überbestand "&amp;ROUND(G1522-AM1522,0)&amp;" Stk / CHF "&amp;ROUND((G1522-AM1522)*F1522,0)&amp;"; ","")&amp;IF(AND(BT1522=1,BU1522&lt;BV1522),"MAX &lt; MB+LG; ","")&amp;IF(AND(BZ1522&gt;0,BY1522*10&gt;BZ1522),"zu hoch für Tablar; ","")&amp;IF(AND(BK1522=0,OR(BT1522=1,V1522&lt;&gt;"",S1522&lt;&gt;"",T1522&lt;&gt;"",W1522&lt;&gt;"")),"manuell übersteuert; ","")&amp;IF(AND(BO1522=0,Q1522=0),"Gebinde unbekannt; ","")&amp;IF(AND(BO1522=0,N(T1522)&lt;=0,N(P1522)&lt;=0),"Menge pro Gebinde fehlt (Ist = 1 Gebinde); ","")&amp;BJ1522)</f>
        <v/>
      </c>
      <c r="BC1522" s="53" t="n"/>
      <c r="BD1522" s="53" t="n"/>
      <c r="BE1522" s="61" t="n"/>
      <c r="BF1522" s="55">
        <f>N('Neue Artikel'!$D$56)</f>
        <v/>
      </c>
      <c r="BG1522" s="55" t="n">
        <v>0</v>
      </c>
      <c r="BH1522" s="54" t="n">
        <v>0</v>
      </c>
      <c r="BI1522" s="55">
        <f>N('Neue Artikel'!$C$56)/Parameter!$B$18</f>
        <v/>
      </c>
      <c r="BJ1522" s="53" t="inlineStr"/>
      <c r="BK1522" s="58" t="n">
        <v>1</v>
      </c>
      <c r="BL1522" s="58" t="n">
        <v>1522</v>
      </c>
      <c r="BM1522" s="53">
        <f>IF(S1522&lt;&gt;"",UPPER(TRIM(S1522)),IF(O1522="","LOSE",O1522))</f>
        <v/>
      </c>
      <c r="BN1522" s="55">
        <f>IF(BM1522="LOSE",1,IF(N(T1522)&gt;0,T1522,IF(N(P1522)&gt;0,P1522,MAX(1,G1522))))</f>
        <v/>
      </c>
      <c r="BO1522" s="58">
        <f>IF(BM1522="LOSE",1,0)</f>
        <v/>
      </c>
      <c r="BP1522" s="64">
        <f>IF(BO1522=0,0,IF(N(R1522)&gt;0,R1522,IFERROR(VLOOKUP(D1522,Parameter!$A$35:$C$64,3,0)+0,0)))</f>
        <v/>
      </c>
      <c r="BQ1522" s="53">
        <f>IF(V1522&lt;&gt;"",V1522,U1522)</f>
        <v/>
      </c>
      <c r="BR1522" s="53">
        <f>IF(BQ1522=1,"L1",IF(OR(BQ1522=2,BQ1522=3),"L23",IF(BQ1522="Aussen","Aussen","-")))</f>
        <v/>
      </c>
      <c r="BS1522" s="66">
        <f>IF(N(W1522)&gt;0,W1522,0)</f>
        <v/>
      </c>
      <c r="BT1522" s="58">
        <f>IF(ISNUMBER(Z1522),1,0)</f>
        <v/>
      </c>
      <c r="BU1522" s="55">
        <f>N(Z1522)</f>
        <v/>
      </c>
      <c r="BV1522" s="55">
        <f>N(L1522)+N(M1522)</f>
        <v/>
      </c>
      <c r="BW1522" s="55">
        <f>ROUNDUP(G1522/BN1522,0)</f>
        <v/>
      </c>
      <c r="BX1522" s="55">
        <f>ROUNDUP(BU1522/BN1522,0)</f>
        <v/>
      </c>
      <c r="BY1522" s="58">
        <f>IF(BO1522=1,0,IFERROR(VLOOKUP(BM1522,'Gebinde-Kategorie'!$A$5:$G$45,5,0)+0,0))</f>
        <v/>
      </c>
      <c r="BZ1522" s="58">
        <f>IFERROR(IF(OR(BQ1522=1,BQ1522=2,BQ1522=3),N(INDEX(Parameter!$I$5:$I$7,BQ1522)),0),0)</f>
        <v/>
      </c>
    </row>
    <row r="1523">
      <c r="A1523" s="53">
        <f>IF('Neue Artikel'!$A$57="","",'Neue Artikel'!$A$57&amp;"")</f>
        <v/>
      </c>
      <c r="B1523" s="53">
        <f>'Neue Artikel'!$B$57&amp;""</f>
        <v/>
      </c>
      <c r="C1523" s="53" t="inlineStr"/>
      <c r="D1523" s="53" t="inlineStr">
        <is>
          <t>NEU</t>
        </is>
      </c>
      <c r="E1523" s="53" t="inlineStr"/>
      <c r="F1523" s="54">
        <f>N('Neue Artikel'!$G$57)</f>
        <v/>
      </c>
      <c r="G1523" s="55">
        <f>MAX(0,IF(Parameter!$B$20="Jahresanfang 2025 + Export",BG1523+BF1523,BF1523))</f>
        <v/>
      </c>
      <c r="H1523" s="55">
        <f>G1523*F1523</f>
        <v/>
      </c>
      <c r="I1523" s="55">
        <f>BI1523*Parameter!$B$18</f>
        <v/>
      </c>
      <c r="J1523" s="56" t="n"/>
      <c r="K1523" s="57" t="n"/>
      <c r="L1523" s="55">
        <f>N('Neue Artikel'!$E$57)</f>
        <v/>
      </c>
      <c r="M1523" s="55">
        <f>N('Neue Artikel'!$F$57)</f>
        <v/>
      </c>
      <c r="N1523" s="58" t="n"/>
      <c r="O1523" s="53">
        <f>IF('Neue Artikel'!$H$57="","LOSE",UPPER(TRIM('Neue Artikel'!$H$57)))</f>
        <v/>
      </c>
      <c r="P1523" s="55">
        <f>N('Neue Artikel'!$I$57)</f>
        <v/>
      </c>
      <c r="Q1523" s="59">
        <f>IF(BO1523=1,0,IFERROR(VLOOKUP(BM1523,'Gebinde-Kategorie'!$A$5:$G$45,6,0)+0,0))</f>
        <v/>
      </c>
      <c r="R1523" s="60" t="n"/>
      <c r="S1523" s="61" t="n"/>
      <c r="T1523" s="61" t="n"/>
      <c r="U1523" s="53">
        <f>IF(A1523="","",IF(IFERROR(VLOOKUP(D1523,Parameter!$A$35:$C$64,2,0),"Nein")="2+3",IF(ISNUMBER(SEARCH("grosser Artikel",BJ1523)),2,IFERROR(VLOOKUP(BM1523,Parameter!$F$35:$G$64,2,0),2)),IF(OR(IFERROR(VLOOKUP(D1523,Parameter!$A$35:$C$64,2,0),"Nein")="Nein",IFERROR(VLOOKUP(D1523,Parameter!$A$35:$C$64,2,0),"Nein")=""),"-",VLOOKUP(D1523,Parameter!$A$35:$C$64,2,0))))</f>
        <v/>
      </c>
      <c r="V1523" s="53">
        <f>IF('Neue Artikel'!$J$57="","",'Neue Artikel'!$J$57)</f>
        <v/>
      </c>
      <c r="W1523" s="62" t="n"/>
      <c r="X1523" s="55">
        <f>AM1523</f>
        <v/>
      </c>
      <c r="Y1523" s="55">
        <f>MAX(AM1523,G1523)</f>
        <v/>
      </c>
      <c r="Z1523" s="63" t="n"/>
      <c r="AA1523" s="55">
        <f>IF(LEFT(Cockpit!$C$5,1)="A",G1523,IF(BT1523=1,BU1523,IF(LEFT(Cockpit!$C$5,1)="B",AE1523,MAX(AE1523,G1523))))</f>
        <v/>
      </c>
      <c r="AB1523" s="55">
        <f>IF(BO1523=1,0,ROUNDUP(AA1523/BN1523,0))</f>
        <v/>
      </c>
      <c r="AC1523" s="64">
        <f>IF(BO1523=1,IF(AA1523&lt;=0,0,BP1523*MAX(1,IF(G1523&gt;0,AA1523/G1523,1))),AB1523*Q1523)</f>
        <v/>
      </c>
      <c r="AD1523" s="55">
        <f>AA1523*F1523</f>
        <v/>
      </c>
      <c r="AE1523" s="55">
        <f>ROUNDUP(MAX(I1523/IF(BS1523&gt;0,BS1523,MAX(0.1,N(Cockpit!$C$6))),BV1523)/BN1523,0)*BN1523</f>
        <v/>
      </c>
      <c r="AF1523" s="56">
        <f>IF(AC1523&gt;0,I1523/AC1523,-1)</f>
        <v/>
      </c>
      <c r="AG1523" s="56">
        <f>IF(AND(OR(BR1523="L1",BR1523="L23"),AC1523&gt;0),SUMIFS($AC$7:$AC$1570,$BR$7:$BR$1570,BR1523,$AF$7:$AF$1570,"&gt;"&amp;AF1523)+SUMIFS($AC$7:$AC$1570,$BR$7:$BR$1570,BR1523,$AF$7:$AF$1570,AF1523,$BL$7:$BL$1570,"&lt;="&amp;BL1523),"")</f>
        <v/>
      </c>
      <c r="AH1523" s="65">
        <f>IF(AG1523="",0,MAX(0,MIN(1,(IF(BR1523="L1",Parameter!$K$5,Parameter!$K$6+Parameter!$K$7)-(AG1523-AC1523))/AC1523)))</f>
        <v/>
      </c>
      <c r="AI1523" s="55">
        <f>IF(LEFT(Cockpit!$I$5,1)="A",G1523,IF(BT1523=1,BU1523,IF(LEFT(Cockpit!$I$5,1)="B",AM1523,MAX(AM1523,G1523))))</f>
        <v/>
      </c>
      <c r="AJ1523" s="55">
        <f>IF(BO1523=1,0,ROUNDUP(AI1523/BN1523,0))</f>
        <v/>
      </c>
      <c r="AK1523" s="64">
        <f>IF(BO1523=1,IF(AI1523&lt;=0,0,BP1523*MAX(1,IF(G1523&gt;0,AI1523/G1523,1))),AJ1523*Q1523)</f>
        <v/>
      </c>
      <c r="AL1523" s="55">
        <f>AI1523*F1523</f>
        <v/>
      </c>
      <c r="AM1523" s="55">
        <f>ROUNDUP(MAX(I1523/IF(BS1523&gt;0,BS1523,MAX(0.1,N(Cockpit!$I$6))),BV1523)/BN1523,0)*BN1523</f>
        <v/>
      </c>
      <c r="AN1523" s="56">
        <f>IF(AK1523&gt;0,I1523/AK1523,-1)</f>
        <v/>
      </c>
      <c r="AO1523" s="56">
        <f>IF(AND(OR(BR1523="L1",BR1523="L23"),AK1523&gt;0),SUMIFS($AK$7:$AK$1570,$BR$7:$BR$1570,BR1523,$AN$7:$AN$1570,"&gt;"&amp;AN1523)+SUMIFS($AK$7:$AK$1570,$BR$7:$BR$1570,BR1523,$AN$7:$AN$1570,AN1523,$BL$7:$BL$1570,"&lt;="&amp;BL1523),"")</f>
        <v/>
      </c>
      <c r="AP1523" s="65">
        <f>IF(AO1523="",0,MAX(0,MIN(1,(IF(BR1523="L1",Parameter!$K$5,Parameter!$K$6+Parameter!$K$7)-(AO1523-AK1523))/AK1523)))</f>
        <v/>
      </c>
      <c r="AQ1523" s="55">
        <f>IF(LEFT(Cockpit!$O$5,1)="A",G1523,IF(BT1523=1,BU1523,IF(LEFT(Cockpit!$O$5,1)="B",AU1523,MAX(AU1523,G1523))))</f>
        <v/>
      </c>
      <c r="AR1523" s="55">
        <f>IF(BO1523=1,0,ROUNDUP(AQ1523/BN1523,0))</f>
        <v/>
      </c>
      <c r="AS1523" s="64">
        <f>IF(BO1523=1,IF(AQ1523&lt;=0,0,BP1523*MAX(1,IF(G1523&gt;0,AQ1523/G1523,1))),AR1523*Q1523)</f>
        <v/>
      </c>
      <c r="AT1523" s="55">
        <f>AQ1523*F1523</f>
        <v/>
      </c>
      <c r="AU1523" s="55">
        <f>ROUNDUP(MAX(I1523/IF(BS1523&gt;0,BS1523,MAX(0.1,N(Cockpit!$O$6))),BV1523)/BN1523,0)*BN1523</f>
        <v/>
      </c>
      <c r="AV1523" s="56">
        <f>IF(AS1523&gt;0,I1523/AS1523,-1)</f>
        <v/>
      </c>
      <c r="AW1523" s="56">
        <f>IF(AND(OR(BR1523="L1",BR1523="L23"),AS1523&gt;0),SUMIFS($AS$7:$AS$1570,$BR$7:$BR$1570,BR1523,$AV$7:$AV$1570,"&gt;"&amp;AV1523)+SUMIFS($AS$7:$AS$1570,$BR$7:$BR$1570,BR1523,$AV$7:$AV$1570,AV1523,$BL$7:$BL$1570,"&lt;="&amp;BL1523),"")</f>
        <v/>
      </c>
      <c r="AX1523" s="65">
        <f>IF(AW1523="",0,MAX(0,MIN(1,(IF(BR1523="L1",Parameter!$K$5,Parameter!$K$6+Parameter!$K$7)-(AW1523-AS1523))/AS1523)))</f>
        <v/>
      </c>
      <c r="AY1523" s="53">
        <f>IF(AC1523&lt;=0,"",IF(BR1523="Aussen","Aussenlager",IF(BR1523="-","Nicht im Lift",IF(AH1523&gt;=1,"Lift",IF(AH1523&lt;=0,"Aussenlager","teilweise")))))</f>
        <v/>
      </c>
      <c r="AZ1523" s="53">
        <f>IF(AK1523&lt;=0,"",IF(BR1523="Aussen","Aussenlager",IF(BR1523="-","Nicht im Lift",IF(AP1523&gt;=1,"Lift",IF(AP1523&lt;=0,"Aussenlager","teilweise")))))</f>
        <v/>
      </c>
      <c r="BA1523" s="53">
        <f>IF(AS1523&lt;=0,"",IF(BR1523="Aussen","Aussenlager",IF(BR1523="-","Nicht im Lift",IF(AX1523&gt;=1,"Lift",IF(AX1523&lt;=0,"Aussenlager","teilweise")))))</f>
        <v/>
      </c>
      <c r="BB1523" s="53">
        <f>IF(A1523="","",IF(BK1523=1,"Neu; ","")&amp;IF(AND(BK1523=0,BF1523&lt;0),"negativer Bestand (Export "&amp;BF1523&amp;"); ","")&amp;IF(I1523&lt;=0,"Kein Verbrauch; ","")&amp;IF(BO1523=1,"Lose – Fläche geschätzt; ","")&amp;IF(G1523&gt;AM1523,"Überbestand "&amp;ROUND(G1523-AM1523,0)&amp;" Stk / CHF "&amp;ROUND((G1523-AM1523)*F1523,0)&amp;"; ","")&amp;IF(AND(BT1523=1,BU1523&lt;BV1523),"MAX &lt; MB+LG; ","")&amp;IF(AND(BZ1523&gt;0,BY1523*10&gt;BZ1523),"zu hoch für Tablar; ","")&amp;IF(AND(BK1523=0,OR(BT1523=1,V1523&lt;&gt;"",S1523&lt;&gt;"",T1523&lt;&gt;"",W1523&lt;&gt;"")),"manuell übersteuert; ","")&amp;IF(AND(BO1523=0,Q1523=0),"Gebinde unbekannt; ","")&amp;IF(AND(BO1523=0,N(T1523)&lt;=0,N(P1523)&lt;=0),"Menge pro Gebinde fehlt (Ist = 1 Gebinde); ","")&amp;BJ1523)</f>
        <v/>
      </c>
      <c r="BC1523" s="53" t="n"/>
      <c r="BD1523" s="53" t="n"/>
      <c r="BE1523" s="61" t="n"/>
      <c r="BF1523" s="55">
        <f>N('Neue Artikel'!$D$57)</f>
        <v/>
      </c>
      <c r="BG1523" s="55" t="n">
        <v>0</v>
      </c>
      <c r="BH1523" s="54" t="n">
        <v>0</v>
      </c>
      <c r="BI1523" s="55">
        <f>N('Neue Artikel'!$C$57)/Parameter!$B$18</f>
        <v/>
      </c>
      <c r="BJ1523" s="53" t="inlineStr"/>
      <c r="BK1523" s="58" t="n">
        <v>1</v>
      </c>
      <c r="BL1523" s="58" t="n">
        <v>1523</v>
      </c>
      <c r="BM1523" s="53">
        <f>IF(S1523&lt;&gt;"",UPPER(TRIM(S1523)),IF(O1523="","LOSE",O1523))</f>
        <v/>
      </c>
      <c r="BN1523" s="55">
        <f>IF(BM1523="LOSE",1,IF(N(T1523)&gt;0,T1523,IF(N(P1523)&gt;0,P1523,MAX(1,G1523))))</f>
        <v/>
      </c>
      <c r="BO1523" s="58">
        <f>IF(BM1523="LOSE",1,0)</f>
        <v/>
      </c>
      <c r="BP1523" s="64">
        <f>IF(BO1523=0,0,IF(N(R1523)&gt;0,R1523,IFERROR(VLOOKUP(D1523,Parameter!$A$35:$C$64,3,0)+0,0)))</f>
        <v/>
      </c>
      <c r="BQ1523" s="53">
        <f>IF(V1523&lt;&gt;"",V1523,U1523)</f>
        <v/>
      </c>
      <c r="BR1523" s="53">
        <f>IF(BQ1523=1,"L1",IF(OR(BQ1523=2,BQ1523=3),"L23",IF(BQ1523="Aussen","Aussen","-")))</f>
        <v/>
      </c>
      <c r="BS1523" s="66">
        <f>IF(N(W1523)&gt;0,W1523,0)</f>
        <v/>
      </c>
      <c r="BT1523" s="58">
        <f>IF(ISNUMBER(Z1523),1,0)</f>
        <v/>
      </c>
      <c r="BU1523" s="55">
        <f>N(Z1523)</f>
        <v/>
      </c>
      <c r="BV1523" s="55">
        <f>N(L1523)+N(M1523)</f>
        <v/>
      </c>
      <c r="BW1523" s="55">
        <f>ROUNDUP(G1523/BN1523,0)</f>
        <v/>
      </c>
      <c r="BX1523" s="55">
        <f>ROUNDUP(BU1523/BN1523,0)</f>
        <v/>
      </c>
      <c r="BY1523" s="58">
        <f>IF(BO1523=1,0,IFERROR(VLOOKUP(BM1523,'Gebinde-Kategorie'!$A$5:$G$45,5,0)+0,0))</f>
        <v/>
      </c>
      <c r="BZ1523" s="58">
        <f>IFERROR(IF(OR(BQ1523=1,BQ1523=2,BQ1523=3),N(INDEX(Parameter!$I$5:$I$7,BQ1523)),0),0)</f>
        <v/>
      </c>
    </row>
    <row r="1524">
      <c r="A1524" s="53">
        <f>IF('Neue Artikel'!$A$58="","",'Neue Artikel'!$A$58&amp;"")</f>
        <v/>
      </c>
      <c r="B1524" s="53">
        <f>'Neue Artikel'!$B$58&amp;""</f>
        <v/>
      </c>
      <c r="C1524" s="53" t="inlineStr"/>
      <c r="D1524" s="53" t="inlineStr">
        <is>
          <t>NEU</t>
        </is>
      </c>
      <c r="E1524" s="53" t="inlineStr"/>
      <c r="F1524" s="54">
        <f>N('Neue Artikel'!$G$58)</f>
        <v/>
      </c>
      <c r="G1524" s="55">
        <f>MAX(0,IF(Parameter!$B$20="Jahresanfang 2025 + Export",BG1524+BF1524,BF1524))</f>
        <v/>
      </c>
      <c r="H1524" s="55">
        <f>G1524*F1524</f>
        <v/>
      </c>
      <c r="I1524" s="55">
        <f>BI1524*Parameter!$B$18</f>
        <v/>
      </c>
      <c r="J1524" s="56" t="n"/>
      <c r="K1524" s="57" t="n"/>
      <c r="L1524" s="55">
        <f>N('Neue Artikel'!$E$58)</f>
        <v/>
      </c>
      <c r="M1524" s="55">
        <f>N('Neue Artikel'!$F$58)</f>
        <v/>
      </c>
      <c r="N1524" s="58" t="n"/>
      <c r="O1524" s="53">
        <f>IF('Neue Artikel'!$H$58="","LOSE",UPPER(TRIM('Neue Artikel'!$H$58)))</f>
        <v/>
      </c>
      <c r="P1524" s="55">
        <f>N('Neue Artikel'!$I$58)</f>
        <v/>
      </c>
      <c r="Q1524" s="59">
        <f>IF(BO1524=1,0,IFERROR(VLOOKUP(BM1524,'Gebinde-Kategorie'!$A$5:$G$45,6,0)+0,0))</f>
        <v/>
      </c>
      <c r="R1524" s="60" t="n"/>
      <c r="S1524" s="61" t="n"/>
      <c r="T1524" s="61" t="n"/>
      <c r="U1524" s="53">
        <f>IF(A1524="","",IF(IFERROR(VLOOKUP(D1524,Parameter!$A$35:$C$64,2,0),"Nein")="2+3",IF(ISNUMBER(SEARCH("grosser Artikel",BJ1524)),2,IFERROR(VLOOKUP(BM1524,Parameter!$F$35:$G$64,2,0),2)),IF(OR(IFERROR(VLOOKUP(D1524,Parameter!$A$35:$C$64,2,0),"Nein")="Nein",IFERROR(VLOOKUP(D1524,Parameter!$A$35:$C$64,2,0),"Nein")=""),"-",VLOOKUP(D1524,Parameter!$A$35:$C$64,2,0))))</f>
        <v/>
      </c>
      <c r="V1524" s="53">
        <f>IF('Neue Artikel'!$J$58="","",'Neue Artikel'!$J$58)</f>
        <v/>
      </c>
      <c r="W1524" s="62" t="n"/>
      <c r="X1524" s="55">
        <f>AM1524</f>
        <v/>
      </c>
      <c r="Y1524" s="55">
        <f>MAX(AM1524,G1524)</f>
        <v/>
      </c>
      <c r="Z1524" s="63" t="n"/>
      <c r="AA1524" s="55">
        <f>IF(LEFT(Cockpit!$C$5,1)="A",G1524,IF(BT1524=1,BU1524,IF(LEFT(Cockpit!$C$5,1)="B",AE1524,MAX(AE1524,G1524))))</f>
        <v/>
      </c>
      <c r="AB1524" s="55">
        <f>IF(BO1524=1,0,ROUNDUP(AA1524/BN1524,0))</f>
        <v/>
      </c>
      <c r="AC1524" s="64">
        <f>IF(BO1524=1,IF(AA1524&lt;=0,0,BP1524*MAX(1,IF(G1524&gt;0,AA1524/G1524,1))),AB1524*Q1524)</f>
        <v/>
      </c>
      <c r="AD1524" s="55">
        <f>AA1524*F1524</f>
        <v/>
      </c>
      <c r="AE1524" s="55">
        <f>ROUNDUP(MAX(I1524/IF(BS1524&gt;0,BS1524,MAX(0.1,N(Cockpit!$C$6))),BV1524)/BN1524,0)*BN1524</f>
        <v/>
      </c>
      <c r="AF1524" s="56">
        <f>IF(AC1524&gt;0,I1524/AC1524,-1)</f>
        <v/>
      </c>
      <c r="AG1524" s="56">
        <f>IF(AND(OR(BR1524="L1",BR1524="L23"),AC1524&gt;0),SUMIFS($AC$7:$AC$1570,$BR$7:$BR$1570,BR1524,$AF$7:$AF$1570,"&gt;"&amp;AF1524)+SUMIFS($AC$7:$AC$1570,$BR$7:$BR$1570,BR1524,$AF$7:$AF$1570,AF1524,$BL$7:$BL$1570,"&lt;="&amp;BL1524),"")</f>
        <v/>
      </c>
      <c r="AH1524" s="65">
        <f>IF(AG1524="",0,MAX(0,MIN(1,(IF(BR1524="L1",Parameter!$K$5,Parameter!$K$6+Parameter!$K$7)-(AG1524-AC1524))/AC1524)))</f>
        <v/>
      </c>
      <c r="AI1524" s="55">
        <f>IF(LEFT(Cockpit!$I$5,1)="A",G1524,IF(BT1524=1,BU1524,IF(LEFT(Cockpit!$I$5,1)="B",AM1524,MAX(AM1524,G1524))))</f>
        <v/>
      </c>
      <c r="AJ1524" s="55">
        <f>IF(BO1524=1,0,ROUNDUP(AI1524/BN1524,0))</f>
        <v/>
      </c>
      <c r="AK1524" s="64">
        <f>IF(BO1524=1,IF(AI1524&lt;=0,0,BP1524*MAX(1,IF(G1524&gt;0,AI1524/G1524,1))),AJ1524*Q1524)</f>
        <v/>
      </c>
      <c r="AL1524" s="55">
        <f>AI1524*F1524</f>
        <v/>
      </c>
      <c r="AM1524" s="55">
        <f>ROUNDUP(MAX(I1524/IF(BS1524&gt;0,BS1524,MAX(0.1,N(Cockpit!$I$6))),BV1524)/BN1524,0)*BN1524</f>
        <v/>
      </c>
      <c r="AN1524" s="56">
        <f>IF(AK1524&gt;0,I1524/AK1524,-1)</f>
        <v/>
      </c>
      <c r="AO1524" s="56">
        <f>IF(AND(OR(BR1524="L1",BR1524="L23"),AK1524&gt;0),SUMIFS($AK$7:$AK$1570,$BR$7:$BR$1570,BR1524,$AN$7:$AN$1570,"&gt;"&amp;AN1524)+SUMIFS($AK$7:$AK$1570,$BR$7:$BR$1570,BR1524,$AN$7:$AN$1570,AN1524,$BL$7:$BL$1570,"&lt;="&amp;BL1524),"")</f>
        <v/>
      </c>
      <c r="AP1524" s="65">
        <f>IF(AO1524="",0,MAX(0,MIN(1,(IF(BR1524="L1",Parameter!$K$5,Parameter!$K$6+Parameter!$K$7)-(AO1524-AK1524))/AK1524)))</f>
        <v/>
      </c>
      <c r="AQ1524" s="55">
        <f>IF(LEFT(Cockpit!$O$5,1)="A",G1524,IF(BT1524=1,BU1524,IF(LEFT(Cockpit!$O$5,1)="B",AU1524,MAX(AU1524,G1524))))</f>
        <v/>
      </c>
      <c r="AR1524" s="55">
        <f>IF(BO1524=1,0,ROUNDUP(AQ1524/BN1524,0))</f>
        <v/>
      </c>
      <c r="AS1524" s="64">
        <f>IF(BO1524=1,IF(AQ1524&lt;=0,0,BP1524*MAX(1,IF(G1524&gt;0,AQ1524/G1524,1))),AR1524*Q1524)</f>
        <v/>
      </c>
      <c r="AT1524" s="55">
        <f>AQ1524*F1524</f>
        <v/>
      </c>
      <c r="AU1524" s="55">
        <f>ROUNDUP(MAX(I1524/IF(BS1524&gt;0,BS1524,MAX(0.1,N(Cockpit!$O$6))),BV1524)/BN1524,0)*BN1524</f>
        <v/>
      </c>
      <c r="AV1524" s="56">
        <f>IF(AS1524&gt;0,I1524/AS1524,-1)</f>
        <v/>
      </c>
      <c r="AW1524" s="56">
        <f>IF(AND(OR(BR1524="L1",BR1524="L23"),AS1524&gt;0),SUMIFS($AS$7:$AS$1570,$BR$7:$BR$1570,BR1524,$AV$7:$AV$1570,"&gt;"&amp;AV1524)+SUMIFS($AS$7:$AS$1570,$BR$7:$BR$1570,BR1524,$AV$7:$AV$1570,AV1524,$BL$7:$BL$1570,"&lt;="&amp;BL1524),"")</f>
        <v/>
      </c>
      <c r="AX1524" s="65">
        <f>IF(AW1524="",0,MAX(0,MIN(1,(IF(BR1524="L1",Parameter!$K$5,Parameter!$K$6+Parameter!$K$7)-(AW1524-AS1524))/AS1524)))</f>
        <v/>
      </c>
      <c r="AY1524" s="53">
        <f>IF(AC1524&lt;=0,"",IF(BR1524="Aussen","Aussenlager",IF(BR1524="-","Nicht im Lift",IF(AH1524&gt;=1,"Lift",IF(AH1524&lt;=0,"Aussenlager","teilweise")))))</f>
        <v/>
      </c>
      <c r="AZ1524" s="53">
        <f>IF(AK1524&lt;=0,"",IF(BR1524="Aussen","Aussenlager",IF(BR1524="-","Nicht im Lift",IF(AP1524&gt;=1,"Lift",IF(AP1524&lt;=0,"Aussenlager","teilweise")))))</f>
        <v/>
      </c>
      <c r="BA1524" s="53">
        <f>IF(AS1524&lt;=0,"",IF(BR1524="Aussen","Aussenlager",IF(BR1524="-","Nicht im Lift",IF(AX1524&gt;=1,"Lift",IF(AX1524&lt;=0,"Aussenlager","teilweise")))))</f>
        <v/>
      </c>
      <c r="BB1524" s="53">
        <f>IF(A1524="","",IF(BK1524=1,"Neu; ","")&amp;IF(AND(BK1524=0,BF1524&lt;0),"negativer Bestand (Export "&amp;BF1524&amp;"); ","")&amp;IF(I1524&lt;=0,"Kein Verbrauch; ","")&amp;IF(BO1524=1,"Lose – Fläche geschätzt; ","")&amp;IF(G1524&gt;AM1524,"Überbestand "&amp;ROUND(G1524-AM1524,0)&amp;" Stk / CHF "&amp;ROUND((G1524-AM1524)*F1524,0)&amp;"; ","")&amp;IF(AND(BT1524=1,BU1524&lt;BV1524),"MAX &lt; MB+LG; ","")&amp;IF(AND(BZ1524&gt;0,BY1524*10&gt;BZ1524),"zu hoch für Tablar; ","")&amp;IF(AND(BK1524=0,OR(BT1524=1,V1524&lt;&gt;"",S1524&lt;&gt;"",T1524&lt;&gt;"",W1524&lt;&gt;"")),"manuell übersteuert; ","")&amp;IF(AND(BO1524=0,Q1524=0),"Gebinde unbekannt; ","")&amp;IF(AND(BO1524=0,N(T1524)&lt;=0,N(P1524)&lt;=0),"Menge pro Gebinde fehlt (Ist = 1 Gebinde); ","")&amp;BJ1524)</f>
        <v/>
      </c>
      <c r="BC1524" s="53" t="n"/>
      <c r="BD1524" s="53" t="n"/>
      <c r="BE1524" s="61" t="n"/>
      <c r="BF1524" s="55">
        <f>N('Neue Artikel'!$D$58)</f>
        <v/>
      </c>
      <c r="BG1524" s="55" t="n">
        <v>0</v>
      </c>
      <c r="BH1524" s="54" t="n">
        <v>0</v>
      </c>
      <c r="BI1524" s="55">
        <f>N('Neue Artikel'!$C$58)/Parameter!$B$18</f>
        <v/>
      </c>
      <c r="BJ1524" s="53" t="inlineStr"/>
      <c r="BK1524" s="58" t="n">
        <v>1</v>
      </c>
      <c r="BL1524" s="58" t="n">
        <v>1524</v>
      </c>
      <c r="BM1524" s="53">
        <f>IF(S1524&lt;&gt;"",UPPER(TRIM(S1524)),IF(O1524="","LOSE",O1524))</f>
        <v/>
      </c>
      <c r="BN1524" s="55">
        <f>IF(BM1524="LOSE",1,IF(N(T1524)&gt;0,T1524,IF(N(P1524)&gt;0,P1524,MAX(1,G1524))))</f>
        <v/>
      </c>
      <c r="BO1524" s="58">
        <f>IF(BM1524="LOSE",1,0)</f>
        <v/>
      </c>
      <c r="BP1524" s="64">
        <f>IF(BO1524=0,0,IF(N(R1524)&gt;0,R1524,IFERROR(VLOOKUP(D1524,Parameter!$A$35:$C$64,3,0)+0,0)))</f>
        <v/>
      </c>
      <c r="BQ1524" s="53">
        <f>IF(V1524&lt;&gt;"",V1524,U1524)</f>
        <v/>
      </c>
      <c r="BR1524" s="53">
        <f>IF(BQ1524=1,"L1",IF(OR(BQ1524=2,BQ1524=3),"L23",IF(BQ1524="Aussen","Aussen","-")))</f>
        <v/>
      </c>
      <c r="BS1524" s="66">
        <f>IF(N(W1524)&gt;0,W1524,0)</f>
        <v/>
      </c>
      <c r="BT1524" s="58">
        <f>IF(ISNUMBER(Z1524),1,0)</f>
        <v/>
      </c>
      <c r="BU1524" s="55">
        <f>N(Z1524)</f>
        <v/>
      </c>
      <c r="BV1524" s="55">
        <f>N(L1524)+N(M1524)</f>
        <v/>
      </c>
      <c r="BW1524" s="55">
        <f>ROUNDUP(G1524/BN1524,0)</f>
        <v/>
      </c>
      <c r="BX1524" s="55">
        <f>ROUNDUP(BU1524/BN1524,0)</f>
        <v/>
      </c>
      <c r="BY1524" s="58">
        <f>IF(BO1524=1,0,IFERROR(VLOOKUP(BM1524,'Gebinde-Kategorie'!$A$5:$G$45,5,0)+0,0))</f>
        <v/>
      </c>
      <c r="BZ1524" s="58">
        <f>IFERROR(IF(OR(BQ1524=1,BQ1524=2,BQ1524=3),N(INDEX(Parameter!$I$5:$I$7,BQ1524)),0),0)</f>
        <v/>
      </c>
    </row>
    <row r="1525">
      <c r="A1525" s="53">
        <f>IF('Neue Artikel'!$A$59="","",'Neue Artikel'!$A$59&amp;"")</f>
        <v/>
      </c>
      <c r="B1525" s="53">
        <f>'Neue Artikel'!$B$59&amp;""</f>
        <v/>
      </c>
      <c r="C1525" s="53" t="inlineStr"/>
      <c r="D1525" s="53" t="inlineStr">
        <is>
          <t>NEU</t>
        </is>
      </c>
      <c r="E1525" s="53" t="inlineStr"/>
      <c r="F1525" s="54">
        <f>N('Neue Artikel'!$G$59)</f>
        <v/>
      </c>
      <c r="G1525" s="55">
        <f>MAX(0,IF(Parameter!$B$20="Jahresanfang 2025 + Export",BG1525+BF1525,BF1525))</f>
        <v/>
      </c>
      <c r="H1525" s="55">
        <f>G1525*F1525</f>
        <v/>
      </c>
      <c r="I1525" s="55">
        <f>BI1525*Parameter!$B$18</f>
        <v/>
      </c>
      <c r="J1525" s="56" t="n"/>
      <c r="K1525" s="57" t="n"/>
      <c r="L1525" s="55">
        <f>N('Neue Artikel'!$E$59)</f>
        <v/>
      </c>
      <c r="M1525" s="55">
        <f>N('Neue Artikel'!$F$59)</f>
        <v/>
      </c>
      <c r="N1525" s="58" t="n"/>
      <c r="O1525" s="53">
        <f>IF('Neue Artikel'!$H$59="","LOSE",UPPER(TRIM('Neue Artikel'!$H$59)))</f>
        <v/>
      </c>
      <c r="P1525" s="55">
        <f>N('Neue Artikel'!$I$59)</f>
        <v/>
      </c>
      <c r="Q1525" s="59">
        <f>IF(BO1525=1,0,IFERROR(VLOOKUP(BM1525,'Gebinde-Kategorie'!$A$5:$G$45,6,0)+0,0))</f>
        <v/>
      </c>
      <c r="R1525" s="60" t="n"/>
      <c r="S1525" s="61" t="n"/>
      <c r="T1525" s="61" t="n"/>
      <c r="U1525" s="53">
        <f>IF(A1525="","",IF(IFERROR(VLOOKUP(D1525,Parameter!$A$35:$C$64,2,0),"Nein")="2+3",IF(ISNUMBER(SEARCH("grosser Artikel",BJ1525)),2,IFERROR(VLOOKUP(BM1525,Parameter!$F$35:$G$64,2,0),2)),IF(OR(IFERROR(VLOOKUP(D1525,Parameter!$A$35:$C$64,2,0),"Nein")="Nein",IFERROR(VLOOKUP(D1525,Parameter!$A$35:$C$64,2,0),"Nein")=""),"-",VLOOKUP(D1525,Parameter!$A$35:$C$64,2,0))))</f>
        <v/>
      </c>
      <c r="V1525" s="53">
        <f>IF('Neue Artikel'!$J$59="","",'Neue Artikel'!$J$59)</f>
        <v/>
      </c>
      <c r="W1525" s="62" t="n"/>
      <c r="X1525" s="55">
        <f>AM1525</f>
        <v/>
      </c>
      <c r="Y1525" s="55">
        <f>MAX(AM1525,G1525)</f>
        <v/>
      </c>
      <c r="Z1525" s="63" t="n"/>
      <c r="AA1525" s="55">
        <f>IF(LEFT(Cockpit!$C$5,1)="A",G1525,IF(BT1525=1,BU1525,IF(LEFT(Cockpit!$C$5,1)="B",AE1525,MAX(AE1525,G1525))))</f>
        <v/>
      </c>
      <c r="AB1525" s="55">
        <f>IF(BO1525=1,0,ROUNDUP(AA1525/BN1525,0))</f>
        <v/>
      </c>
      <c r="AC1525" s="64">
        <f>IF(BO1525=1,IF(AA1525&lt;=0,0,BP1525*MAX(1,IF(G1525&gt;0,AA1525/G1525,1))),AB1525*Q1525)</f>
        <v/>
      </c>
      <c r="AD1525" s="55">
        <f>AA1525*F1525</f>
        <v/>
      </c>
      <c r="AE1525" s="55">
        <f>ROUNDUP(MAX(I1525/IF(BS1525&gt;0,BS1525,MAX(0.1,N(Cockpit!$C$6))),BV1525)/BN1525,0)*BN1525</f>
        <v/>
      </c>
      <c r="AF1525" s="56">
        <f>IF(AC1525&gt;0,I1525/AC1525,-1)</f>
        <v/>
      </c>
      <c r="AG1525" s="56">
        <f>IF(AND(OR(BR1525="L1",BR1525="L23"),AC1525&gt;0),SUMIFS($AC$7:$AC$1570,$BR$7:$BR$1570,BR1525,$AF$7:$AF$1570,"&gt;"&amp;AF1525)+SUMIFS($AC$7:$AC$1570,$BR$7:$BR$1570,BR1525,$AF$7:$AF$1570,AF1525,$BL$7:$BL$1570,"&lt;="&amp;BL1525),"")</f>
        <v/>
      </c>
      <c r="AH1525" s="65">
        <f>IF(AG1525="",0,MAX(0,MIN(1,(IF(BR1525="L1",Parameter!$K$5,Parameter!$K$6+Parameter!$K$7)-(AG1525-AC1525))/AC1525)))</f>
        <v/>
      </c>
      <c r="AI1525" s="55">
        <f>IF(LEFT(Cockpit!$I$5,1)="A",G1525,IF(BT1525=1,BU1525,IF(LEFT(Cockpit!$I$5,1)="B",AM1525,MAX(AM1525,G1525))))</f>
        <v/>
      </c>
      <c r="AJ1525" s="55">
        <f>IF(BO1525=1,0,ROUNDUP(AI1525/BN1525,0))</f>
        <v/>
      </c>
      <c r="AK1525" s="64">
        <f>IF(BO1525=1,IF(AI1525&lt;=0,0,BP1525*MAX(1,IF(G1525&gt;0,AI1525/G1525,1))),AJ1525*Q1525)</f>
        <v/>
      </c>
      <c r="AL1525" s="55">
        <f>AI1525*F1525</f>
        <v/>
      </c>
      <c r="AM1525" s="55">
        <f>ROUNDUP(MAX(I1525/IF(BS1525&gt;0,BS1525,MAX(0.1,N(Cockpit!$I$6))),BV1525)/BN1525,0)*BN1525</f>
        <v/>
      </c>
      <c r="AN1525" s="56">
        <f>IF(AK1525&gt;0,I1525/AK1525,-1)</f>
        <v/>
      </c>
      <c r="AO1525" s="56">
        <f>IF(AND(OR(BR1525="L1",BR1525="L23"),AK1525&gt;0),SUMIFS($AK$7:$AK$1570,$BR$7:$BR$1570,BR1525,$AN$7:$AN$1570,"&gt;"&amp;AN1525)+SUMIFS($AK$7:$AK$1570,$BR$7:$BR$1570,BR1525,$AN$7:$AN$1570,AN1525,$BL$7:$BL$1570,"&lt;="&amp;BL1525),"")</f>
        <v/>
      </c>
      <c r="AP1525" s="65">
        <f>IF(AO1525="",0,MAX(0,MIN(1,(IF(BR1525="L1",Parameter!$K$5,Parameter!$K$6+Parameter!$K$7)-(AO1525-AK1525))/AK1525)))</f>
        <v/>
      </c>
      <c r="AQ1525" s="55">
        <f>IF(LEFT(Cockpit!$O$5,1)="A",G1525,IF(BT1525=1,BU1525,IF(LEFT(Cockpit!$O$5,1)="B",AU1525,MAX(AU1525,G1525))))</f>
        <v/>
      </c>
      <c r="AR1525" s="55">
        <f>IF(BO1525=1,0,ROUNDUP(AQ1525/BN1525,0))</f>
        <v/>
      </c>
      <c r="AS1525" s="64">
        <f>IF(BO1525=1,IF(AQ1525&lt;=0,0,BP1525*MAX(1,IF(G1525&gt;0,AQ1525/G1525,1))),AR1525*Q1525)</f>
        <v/>
      </c>
      <c r="AT1525" s="55">
        <f>AQ1525*F1525</f>
        <v/>
      </c>
      <c r="AU1525" s="55">
        <f>ROUNDUP(MAX(I1525/IF(BS1525&gt;0,BS1525,MAX(0.1,N(Cockpit!$O$6))),BV1525)/BN1525,0)*BN1525</f>
        <v/>
      </c>
      <c r="AV1525" s="56">
        <f>IF(AS1525&gt;0,I1525/AS1525,-1)</f>
        <v/>
      </c>
      <c r="AW1525" s="56">
        <f>IF(AND(OR(BR1525="L1",BR1525="L23"),AS1525&gt;0),SUMIFS($AS$7:$AS$1570,$BR$7:$BR$1570,BR1525,$AV$7:$AV$1570,"&gt;"&amp;AV1525)+SUMIFS($AS$7:$AS$1570,$BR$7:$BR$1570,BR1525,$AV$7:$AV$1570,AV1525,$BL$7:$BL$1570,"&lt;="&amp;BL1525),"")</f>
        <v/>
      </c>
      <c r="AX1525" s="65">
        <f>IF(AW1525="",0,MAX(0,MIN(1,(IF(BR1525="L1",Parameter!$K$5,Parameter!$K$6+Parameter!$K$7)-(AW1525-AS1525))/AS1525)))</f>
        <v/>
      </c>
      <c r="AY1525" s="53">
        <f>IF(AC1525&lt;=0,"",IF(BR1525="Aussen","Aussenlager",IF(BR1525="-","Nicht im Lift",IF(AH1525&gt;=1,"Lift",IF(AH1525&lt;=0,"Aussenlager","teilweise")))))</f>
        <v/>
      </c>
      <c r="AZ1525" s="53">
        <f>IF(AK1525&lt;=0,"",IF(BR1525="Aussen","Aussenlager",IF(BR1525="-","Nicht im Lift",IF(AP1525&gt;=1,"Lift",IF(AP1525&lt;=0,"Aussenlager","teilweise")))))</f>
        <v/>
      </c>
      <c r="BA1525" s="53">
        <f>IF(AS1525&lt;=0,"",IF(BR1525="Aussen","Aussenlager",IF(BR1525="-","Nicht im Lift",IF(AX1525&gt;=1,"Lift",IF(AX1525&lt;=0,"Aussenlager","teilweise")))))</f>
        <v/>
      </c>
      <c r="BB1525" s="53">
        <f>IF(A1525="","",IF(BK1525=1,"Neu; ","")&amp;IF(AND(BK1525=0,BF1525&lt;0),"negativer Bestand (Export "&amp;BF1525&amp;"); ","")&amp;IF(I1525&lt;=0,"Kein Verbrauch; ","")&amp;IF(BO1525=1,"Lose – Fläche geschätzt; ","")&amp;IF(G1525&gt;AM1525,"Überbestand "&amp;ROUND(G1525-AM1525,0)&amp;" Stk / CHF "&amp;ROUND((G1525-AM1525)*F1525,0)&amp;"; ","")&amp;IF(AND(BT1525=1,BU1525&lt;BV1525),"MAX &lt; MB+LG; ","")&amp;IF(AND(BZ1525&gt;0,BY1525*10&gt;BZ1525),"zu hoch für Tablar; ","")&amp;IF(AND(BK1525=0,OR(BT1525=1,V1525&lt;&gt;"",S1525&lt;&gt;"",T1525&lt;&gt;"",W1525&lt;&gt;"")),"manuell übersteuert; ","")&amp;IF(AND(BO1525=0,Q1525=0),"Gebinde unbekannt; ","")&amp;IF(AND(BO1525=0,N(T1525)&lt;=0,N(P1525)&lt;=0),"Menge pro Gebinde fehlt (Ist = 1 Gebinde); ","")&amp;BJ1525)</f>
        <v/>
      </c>
      <c r="BC1525" s="53" t="n"/>
      <c r="BD1525" s="53" t="n"/>
      <c r="BE1525" s="61" t="n"/>
      <c r="BF1525" s="55">
        <f>N('Neue Artikel'!$D$59)</f>
        <v/>
      </c>
      <c r="BG1525" s="55" t="n">
        <v>0</v>
      </c>
      <c r="BH1525" s="54" t="n">
        <v>0</v>
      </c>
      <c r="BI1525" s="55">
        <f>N('Neue Artikel'!$C$59)/Parameter!$B$18</f>
        <v/>
      </c>
      <c r="BJ1525" s="53" t="inlineStr"/>
      <c r="BK1525" s="58" t="n">
        <v>1</v>
      </c>
      <c r="BL1525" s="58" t="n">
        <v>1525</v>
      </c>
      <c r="BM1525" s="53">
        <f>IF(S1525&lt;&gt;"",UPPER(TRIM(S1525)),IF(O1525="","LOSE",O1525))</f>
        <v/>
      </c>
      <c r="BN1525" s="55">
        <f>IF(BM1525="LOSE",1,IF(N(T1525)&gt;0,T1525,IF(N(P1525)&gt;0,P1525,MAX(1,G1525))))</f>
        <v/>
      </c>
      <c r="BO1525" s="58">
        <f>IF(BM1525="LOSE",1,0)</f>
        <v/>
      </c>
      <c r="BP1525" s="64">
        <f>IF(BO1525=0,0,IF(N(R1525)&gt;0,R1525,IFERROR(VLOOKUP(D1525,Parameter!$A$35:$C$64,3,0)+0,0)))</f>
        <v/>
      </c>
      <c r="BQ1525" s="53">
        <f>IF(V1525&lt;&gt;"",V1525,U1525)</f>
        <v/>
      </c>
      <c r="BR1525" s="53">
        <f>IF(BQ1525=1,"L1",IF(OR(BQ1525=2,BQ1525=3),"L23",IF(BQ1525="Aussen","Aussen","-")))</f>
        <v/>
      </c>
      <c r="BS1525" s="66">
        <f>IF(N(W1525)&gt;0,W1525,0)</f>
        <v/>
      </c>
      <c r="BT1525" s="58">
        <f>IF(ISNUMBER(Z1525),1,0)</f>
        <v/>
      </c>
      <c r="BU1525" s="55">
        <f>N(Z1525)</f>
        <v/>
      </c>
      <c r="BV1525" s="55">
        <f>N(L1525)+N(M1525)</f>
        <v/>
      </c>
      <c r="BW1525" s="55">
        <f>ROUNDUP(G1525/BN1525,0)</f>
        <v/>
      </c>
      <c r="BX1525" s="55">
        <f>ROUNDUP(BU1525/BN1525,0)</f>
        <v/>
      </c>
      <c r="BY1525" s="58">
        <f>IF(BO1525=1,0,IFERROR(VLOOKUP(BM1525,'Gebinde-Kategorie'!$A$5:$G$45,5,0)+0,0))</f>
        <v/>
      </c>
      <c r="BZ1525" s="58">
        <f>IFERROR(IF(OR(BQ1525=1,BQ1525=2,BQ1525=3),N(INDEX(Parameter!$I$5:$I$7,BQ1525)),0),0)</f>
        <v/>
      </c>
    </row>
    <row r="1526">
      <c r="A1526" s="53">
        <f>IF('Neue Artikel'!$A$60="","",'Neue Artikel'!$A$60&amp;"")</f>
        <v/>
      </c>
      <c r="B1526" s="53">
        <f>'Neue Artikel'!$B$60&amp;""</f>
        <v/>
      </c>
      <c r="C1526" s="53" t="inlineStr"/>
      <c r="D1526" s="53" t="inlineStr">
        <is>
          <t>NEU</t>
        </is>
      </c>
      <c r="E1526" s="53" t="inlineStr"/>
      <c r="F1526" s="54">
        <f>N('Neue Artikel'!$G$60)</f>
        <v/>
      </c>
      <c r="G1526" s="55">
        <f>MAX(0,IF(Parameter!$B$20="Jahresanfang 2025 + Export",BG1526+BF1526,BF1526))</f>
        <v/>
      </c>
      <c r="H1526" s="55">
        <f>G1526*F1526</f>
        <v/>
      </c>
      <c r="I1526" s="55">
        <f>BI1526*Parameter!$B$18</f>
        <v/>
      </c>
      <c r="J1526" s="56" t="n"/>
      <c r="K1526" s="57" t="n"/>
      <c r="L1526" s="55">
        <f>N('Neue Artikel'!$E$60)</f>
        <v/>
      </c>
      <c r="M1526" s="55">
        <f>N('Neue Artikel'!$F$60)</f>
        <v/>
      </c>
      <c r="N1526" s="58" t="n"/>
      <c r="O1526" s="53">
        <f>IF('Neue Artikel'!$H$60="","LOSE",UPPER(TRIM('Neue Artikel'!$H$60)))</f>
        <v/>
      </c>
      <c r="P1526" s="55">
        <f>N('Neue Artikel'!$I$60)</f>
        <v/>
      </c>
      <c r="Q1526" s="59">
        <f>IF(BO1526=1,0,IFERROR(VLOOKUP(BM1526,'Gebinde-Kategorie'!$A$5:$G$45,6,0)+0,0))</f>
        <v/>
      </c>
      <c r="R1526" s="60" t="n"/>
      <c r="S1526" s="61" t="n"/>
      <c r="T1526" s="61" t="n"/>
      <c r="U1526" s="53">
        <f>IF(A1526="","",IF(IFERROR(VLOOKUP(D1526,Parameter!$A$35:$C$64,2,0),"Nein")="2+3",IF(ISNUMBER(SEARCH("grosser Artikel",BJ1526)),2,IFERROR(VLOOKUP(BM1526,Parameter!$F$35:$G$64,2,0),2)),IF(OR(IFERROR(VLOOKUP(D1526,Parameter!$A$35:$C$64,2,0),"Nein")="Nein",IFERROR(VLOOKUP(D1526,Parameter!$A$35:$C$64,2,0),"Nein")=""),"-",VLOOKUP(D1526,Parameter!$A$35:$C$64,2,0))))</f>
        <v/>
      </c>
      <c r="V1526" s="53">
        <f>IF('Neue Artikel'!$J$60="","",'Neue Artikel'!$J$60)</f>
        <v/>
      </c>
      <c r="W1526" s="62" t="n"/>
      <c r="X1526" s="55">
        <f>AM1526</f>
        <v/>
      </c>
      <c r="Y1526" s="55">
        <f>MAX(AM1526,G1526)</f>
        <v/>
      </c>
      <c r="Z1526" s="63" t="n"/>
      <c r="AA1526" s="55">
        <f>IF(LEFT(Cockpit!$C$5,1)="A",G1526,IF(BT1526=1,BU1526,IF(LEFT(Cockpit!$C$5,1)="B",AE1526,MAX(AE1526,G1526))))</f>
        <v/>
      </c>
      <c r="AB1526" s="55">
        <f>IF(BO1526=1,0,ROUNDUP(AA1526/BN1526,0))</f>
        <v/>
      </c>
      <c r="AC1526" s="64">
        <f>IF(BO1526=1,IF(AA1526&lt;=0,0,BP1526*MAX(1,IF(G1526&gt;0,AA1526/G1526,1))),AB1526*Q1526)</f>
        <v/>
      </c>
      <c r="AD1526" s="55">
        <f>AA1526*F1526</f>
        <v/>
      </c>
      <c r="AE1526" s="55">
        <f>ROUNDUP(MAX(I1526/IF(BS1526&gt;0,BS1526,MAX(0.1,N(Cockpit!$C$6))),BV1526)/BN1526,0)*BN1526</f>
        <v/>
      </c>
      <c r="AF1526" s="56">
        <f>IF(AC1526&gt;0,I1526/AC1526,-1)</f>
        <v/>
      </c>
      <c r="AG1526" s="56">
        <f>IF(AND(OR(BR1526="L1",BR1526="L23"),AC1526&gt;0),SUMIFS($AC$7:$AC$1570,$BR$7:$BR$1570,BR1526,$AF$7:$AF$1570,"&gt;"&amp;AF1526)+SUMIFS($AC$7:$AC$1570,$BR$7:$BR$1570,BR1526,$AF$7:$AF$1570,AF1526,$BL$7:$BL$1570,"&lt;="&amp;BL1526),"")</f>
        <v/>
      </c>
      <c r="AH1526" s="65">
        <f>IF(AG1526="",0,MAX(0,MIN(1,(IF(BR1526="L1",Parameter!$K$5,Parameter!$K$6+Parameter!$K$7)-(AG1526-AC1526))/AC1526)))</f>
        <v/>
      </c>
      <c r="AI1526" s="55">
        <f>IF(LEFT(Cockpit!$I$5,1)="A",G1526,IF(BT1526=1,BU1526,IF(LEFT(Cockpit!$I$5,1)="B",AM1526,MAX(AM1526,G1526))))</f>
        <v/>
      </c>
      <c r="AJ1526" s="55">
        <f>IF(BO1526=1,0,ROUNDUP(AI1526/BN1526,0))</f>
        <v/>
      </c>
      <c r="AK1526" s="64">
        <f>IF(BO1526=1,IF(AI1526&lt;=0,0,BP1526*MAX(1,IF(G1526&gt;0,AI1526/G1526,1))),AJ1526*Q1526)</f>
        <v/>
      </c>
      <c r="AL1526" s="55">
        <f>AI1526*F1526</f>
        <v/>
      </c>
      <c r="AM1526" s="55">
        <f>ROUNDUP(MAX(I1526/IF(BS1526&gt;0,BS1526,MAX(0.1,N(Cockpit!$I$6))),BV1526)/BN1526,0)*BN1526</f>
        <v/>
      </c>
      <c r="AN1526" s="56">
        <f>IF(AK1526&gt;0,I1526/AK1526,-1)</f>
        <v/>
      </c>
      <c r="AO1526" s="56">
        <f>IF(AND(OR(BR1526="L1",BR1526="L23"),AK1526&gt;0),SUMIFS($AK$7:$AK$1570,$BR$7:$BR$1570,BR1526,$AN$7:$AN$1570,"&gt;"&amp;AN1526)+SUMIFS($AK$7:$AK$1570,$BR$7:$BR$1570,BR1526,$AN$7:$AN$1570,AN1526,$BL$7:$BL$1570,"&lt;="&amp;BL1526),"")</f>
        <v/>
      </c>
      <c r="AP1526" s="65">
        <f>IF(AO1526="",0,MAX(0,MIN(1,(IF(BR1526="L1",Parameter!$K$5,Parameter!$K$6+Parameter!$K$7)-(AO1526-AK1526))/AK1526)))</f>
        <v/>
      </c>
      <c r="AQ1526" s="55">
        <f>IF(LEFT(Cockpit!$O$5,1)="A",G1526,IF(BT1526=1,BU1526,IF(LEFT(Cockpit!$O$5,1)="B",AU1526,MAX(AU1526,G1526))))</f>
        <v/>
      </c>
      <c r="AR1526" s="55">
        <f>IF(BO1526=1,0,ROUNDUP(AQ1526/BN1526,0))</f>
        <v/>
      </c>
      <c r="AS1526" s="64">
        <f>IF(BO1526=1,IF(AQ1526&lt;=0,0,BP1526*MAX(1,IF(G1526&gt;0,AQ1526/G1526,1))),AR1526*Q1526)</f>
        <v/>
      </c>
      <c r="AT1526" s="55">
        <f>AQ1526*F1526</f>
        <v/>
      </c>
      <c r="AU1526" s="55">
        <f>ROUNDUP(MAX(I1526/IF(BS1526&gt;0,BS1526,MAX(0.1,N(Cockpit!$O$6))),BV1526)/BN1526,0)*BN1526</f>
        <v/>
      </c>
      <c r="AV1526" s="56">
        <f>IF(AS1526&gt;0,I1526/AS1526,-1)</f>
        <v/>
      </c>
      <c r="AW1526" s="56">
        <f>IF(AND(OR(BR1526="L1",BR1526="L23"),AS1526&gt;0),SUMIFS($AS$7:$AS$1570,$BR$7:$BR$1570,BR1526,$AV$7:$AV$1570,"&gt;"&amp;AV1526)+SUMIFS($AS$7:$AS$1570,$BR$7:$BR$1570,BR1526,$AV$7:$AV$1570,AV1526,$BL$7:$BL$1570,"&lt;="&amp;BL1526),"")</f>
        <v/>
      </c>
      <c r="AX1526" s="65">
        <f>IF(AW1526="",0,MAX(0,MIN(1,(IF(BR1526="L1",Parameter!$K$5,Parameter!$K$6+Parameter!$K$7)-(AW1526-AS1526))/AS1526)))</f>
        <v/>
      </c>
      <c r="AY1526" s="53">
        <f>IF(AC1526&lt;=0,"",IF(BR1526="Aussen","Aussenlager",IF(BR1526="-","Nicht im Lift",IF(AH1526&gt;=1,"Lift",IF(AH1526&lt;=0,"Aussenlager","teilweise")))))</f>
        <v/>
      </c>
      <c r="AZ1526" s="53">
        <f>IF(AK1526&lt;=0,"",IF(BR1526="Aussen","Aussenlager",IF(BR1526="-","Nicht im Lift",IF(AP1526&gt;=1,"Lift",IF(AP1526&lt;=0,"Aussenlager","teilweise")))))</f>
        <v/>
      </c>
      <c r="BA1526" s="53">
        <f>IF(AS1526&lt;=0,"",IF(BR1526="Aussen","Aussenlager",IF(BR1526="-","Nicht im Lift",IF(AX1526&gt;=1,"Lift",IF(AX1526&lt;=0,"Aussenlager","teilweise")))))</f>
        <v/>
      </c>
      <c r="BB1526" s="53">
        <f>IF(A1526="","",IF(BK1526=1,"Neu; ","")&amp;IF(AND(BK1526=0,BF1526&lt;0),"negativer Bestand (Export "&amp;BF1526&amp;"); ","")&amp;IF(I1526&lt;=0,"Kein Verbrauch; ","")&amp;IF(BO1526=1,"Lose – Fläche geschätzt; ","")&amp;IF(G1526&gt;AM1526,"Überbestand "&amp;ROUND(G1526-AM1526,0)&amp;" Stk / CHF "&amp;ROUND((G1526-AM1526)*F1526,0)&amp;"; ","")&amp;IF(AND(BT1526=1,BU1526&lt;BV1526),"MAX &lt; MB+LG; ","")&amp;IF(AND(BZ1526&gt;0,BY1526*10&gt;BZ1526),"zu hoch für Tablar; ","")&amp;IF(AND(BK1526=0,OR(BT1526=1,V1526&lt;&gt;"",S1526&lt;&gt;"",T1526&lt;&gt;"",W1526&lt;&gt;"")),"manuell übersteuert; ","")&amp;IF(AND(BO1526=0,Q1526=0),"Gebinde unbekannt; ","")&amp;IF(AND(BO1526=0,N(T1526)&lt;=0,N(P1526)&lt;=0),"Menge pro Gebinde fehlt (Ist = 1 Gebinde); ","")&amp;BJ1526)</f>
        <v/>
      </c>
      <c r="BC1526" s="53" t="n"/>
      <c r="BD1526" s="53" t="n"/>
      <c r="BE1526" s="61" t="n"/>
      <c r="BF1526" s="55">
        <f>N('Neue Artikel'!$D$60)</f>
        <v/>
      </c>
      <c r="BG1526" s="55" t="n">
        <v>0</v>
      </c>
      <c r="BH1526" s="54" t="n">
        <v>0</v>
      </c>
      <c r="BI1526" s="55">
        <f>N('Neue Artikel'!$C$60)/Parameter!$B$18</f>
        <v/>
      </c>
      <c r="BJ1526" s="53" t="inlineStr"/>
      <c r="BK1526" s="58" t="n">
        <v>1</v>
      </c>
      <c r="BL1526" s="58" t="n">
        <v>1526</v>
      </c>
      <c r="BM1526" s="53">
        <f>IF(S1526&lt;&gt;"",UPPER(TRIM(S1526)),IF(O1526="","LOSE",O1526))</f>
        <v/>
      </c>
      <c r="BN1526" s="55">
        <f>IF(BM1526="LOSE",1,IF(N(T1526)&gt;0,T1526,IF(N(P1526)&gt;0,P1526,MAX(1,G1526))))</f>
        <v/>
      </c>
      <c r="BO1526" s="58">
        <f>IF(BM1526="LOSE",1,0)</f>
        <v/>
      </c>
      <c r="BP1526" s="64">
        <f>IF(BO1526=0,0,IF(N(R1526)&gt;0,R1526,IFERROR(VLOOKUP(D1526,Parameter!$A$35:$C$64,3,0)+0,0)))</f>
        <v/>
      </c>
      <c r="BQ1526" s="53">
        <f>IF(V1526&lt;&gt;"",V1526,U1526)</f>
        <v/>
      </c>
      <c r="BR1526" s="53">
        <f>IF(BQ1526=1,"L1",IF(OR(BQ1526=2,BQ1526=3),"L23",IF(BQ1526="Aussen","Aussen","-")))</f>
        <v/>
      </c>
      <c r="BS1526" s="66">
        <f>IF(N(W1526)&gt;0,W1526,0)</f>
        <v/>
      </c>
      <c r="BT1526" s="58">
        <f>IF(ISNUMBER(Z1526),1,0)</f>
        <v/>
      </c>
      <c r="BU1526" s="55">
        <f>N(Z1526)</f>
        <v/>
      </c>
      <c r="BV1526" s="55">
        <f>N(L1526)+N(M1526)</f>
        <v/>
      </c>
      <c r="BW1526" s="55">
        <f>ROUNDUP(G1526/BN1526,0)</f>
        <v/>
      </c>
      <c r="BX1526" s="55">
        <f>ROUNDUP(BU1526/BN1526,0)</f>
        <v/>
      </c>
      <c r="BY1526" s="58">
        <f>IF(BO1526=1,0,IFERROR(VLOOKUP(BM1526,'Gebinde-Kategorie'!$A$5:$G$45,5,0)+0,0))</f>
        <v/>
      </c>
      <c r="BZ1526" s="58">
        <f>IFERROR(IF(OR(BQ1526=1,BQ1526=2,BQ1526=3),N(INDEX(Parameter!$I$5:$I$7,BQ1526)),0),0)</f>
        <v/>
      </c>
    </row>
    <row r="1527">
      <c r="A1527" s="53">
        <f>IF('Neue Artikel'!$A$61="","",'Neue Artikel'!$A$61&amp;"")</f>
        <v/>
      </c>
      <c r="B1527" s="53">
        <f>'Neue Artikel'!$B$61&amp;""</f>
        <v/>
      </c>
      <c r="C1527" s="53" t="inlineStr"/>
      <c r="D1527" s="53" t="inlineStr">
        <is>
          <t>NEU</t>
        </is>
      </c>
      <c r="E1527" s="53" t="inlineStr"/>
      <c r="F1527" s="54">
        <f>N('Neue Artikel'!$G$61)</f>
        <v/>
      </c>
      <c r="G1527" s="55">
        <f>MAX(0,IF(Parameter!$B$20="Jahresanfang 2025 + Export",BG1527+BF1527,BF1527))</f>
        <v/>
      </c>
      <c r="H1527" s="55">
        <f>G1527*F1527</f>
        <v/>
      </c>
      <c r="I1527" s="55">
        <f>BI1527*Parameter!$B$18</f>
        <v/>
      </c>
      <c r="J1527" s="56" t="n"/>
      <c r="K1527" s="57" t="n"/>
      <c r="L1527" s="55">
        <f>N('Neue Artikel'!$E$61)</f>
        <v/>
      </c>
      <c r="M1527" s="55">
        <f>N('Neue Artikel'!$F$61)</f>
        <v/>
      </c>
      <c r="N1527" s="58" t="n"/>
      <c r="O1527" s="53">
        <f>IF('Neue Artikel'!$H$61="","LOSE",UPPER(TRIM('Neue Artikel'!$H$61)))</f>
        <v/>
      </c>
      <c r="P1527" s="55">
        <f>N('Neue Artikel'!$I$61)</f>
        <v/>
      </c>
      <c r="Q1527" s="59">
        <f>IF(BO1527=1,0,IFERROR(VLOOKUP(BM1527,'Gebinde-Kategorie'!$A$5:$G$45,6,0)+0,0))</f>
        <v/>
      </c>
      <c r="R1527" s="60" t="n"/>
      <c r="S1527" s="61" t="n"/>
      <c r="T1527" s="61" t="n"/>
      <c r="U1527" s="53">
        <f>IF(A1527="","",IF(IFERROR(VLOOKUP(D1527,Parameter!$A$35:$C$64,2,0),"Nein")="2+3",IF(ISNUMBER(SEARCH("grosser Artikel",BJ1527)),2,IFERROR(VLOOKUP(BM1527,Parameter!$F$35:$G$64,2,0),2)),IF(OR(IFERROR(VLOOKUP(D1527,Parameter!$A$35:$C$64,2,0),"Nein")="Nein",IFERROR(VLOOKUP(D1527,Parameter!$A$35:$C$64,2,0),"Nein")=""),"-",VLOOKUP(D1527,Parameter!$A$35:$C$64,2,0))))</f>
        <v/>
      </c>
      <c r="V1527" s="53">
        <f>IF('Neue Artikel'!$J$61="","",'Neue Artikel'!$J$61)</f>
        <v/>
      </c>
      <c r="W1527" s="62" t="n"/>
      <c r="X1527" s="55">
        <f>AM1527</f>
        <v/>
      </c>
      <c r="Y1527" s="55">
        <f>MAX(AM1527,G1527)</f>
        <v/>
      </c>
      <c r="Z1527" s="63" t="n"/>
      <c r="AA1527" s="55">
        <f>IF(LEFT(Cockpit!$C$5,1)="A",G1527,IF(BT1527=1,BU1527,IF(LEFT(Cockpit!$C$5,1)="B",AE1527,MAX(AE1527,G1527))))</f>
        <v/>
      </c>
      <c r="AB1527" s="55">
        <f>IF(BO1527=1,0,ROUNDUP(AA1527/BN1527,0))</f>
        <v/>
      </c>
      <c r="AC1527" s="64">
        <f>IF(BO1527=1,IF(AA1527&lt;=0,0,BP1527*MAX(1,IF(G1527&gt;0,AA1527/G1527,1))),AB1527*Q1527)</f>
        <v/>
      </c>
      <c r="AD1527" s="55">
        <f>AA1527*F1527</f>
        <v/>
      </c>
      <c r="AE1527" s="55">
        <f>ROUNDUP(MAX(I1527/IF(BS1527&gt;0,BS1527,MAX(0.1,N(Cockpit!$C$6))),BV1527)/BN1527,0)*BN1527</f>
        <v/>
      </c>
      <c r="AF1527" s="56">
        <f>IF(AC1527&gt;0,I1527/AC1527,-1)</f>
        <v/>
      </c>
      <c r="AG1527" s="56">
        <f>IF(AND(OR(BR1527="L1",BR1527="L23"),AC1527&gt;0),SUMIFS($AC$7:$AC$1570,$BR$7:$BR$1570,BR1527,$AF$7:$AF$1570,"&gt;"&amp;AF1527)+SUMIFS($AC$7:$AC$1570,$BR$7:$BR$1570,BR1527,$AF$7:$AF$1570,AF1527,$BL$7:$BL$1570,"&lt;="&amp;BL1527),"")</f>
        <v/>
      </c>
      <c r="AH1527" s="65">
        <f>IF(AG1527="",0,MAX(0,MIN(1,(IF(BR1527="L1",Parameter!$K$5,Parameter!$K$6+Parameter!$K$7)-(AG1527-AC1527))/AC1527)))</f>
        <v/>
      </c>
      <c r="AI1527" s="55">
        <f>IF(LEFT(Cockpit!$I$5,1)="A",G1527,IF(BT1527=1,BU1527,IF(LEFT(Cockpit!$I$5,1)="B",AM1527,MAX(AM1527,G1527))))</f>
        <v/>
      </c>
      <c r="AJ1527" s="55">
        <f>IF(BO1527=1,0,ROUNDUP(AI1527/BN1527,0))</f>
        <v/>
      </c>
      <c r="AK1527" s="64">
        <f>IF(BO1527=1,IF(AI1527&lt;=0,0,BP1527*MAX(1,IF(G1527&gt;0,AI1527/G1527,1))),AJ1527*Q1527)</f>
        <v/>
      </c>
      <c r="AL1527" s="55">
        <f>AI1527*F1527</f>
        <v/>
      </c>
      <c r="AM1527" s="55">
        <f>ROUNDUP(MAX(I1527/IF(BS1527&gt;0,BS1527,MAX(0.1,N(Cockpit!$I$6))),BV1527)/BN1527,0)*BN1527</f>
        <v/>
      </c>
      <c r="AN1527" s="56">
        <f>IF(AK1527&gt;0,I1527/AK1527,-1)</f>
        <v/>
      </c>
      <c r="AO1527" s="56">
        <f>IF(AND(OR(BR1527="L1",BR1527="L23"),AK1527&gt;0),SUMIFS($AK$7:$AK$1570,$BR$7:$BR$1570,BR1527,$AN$7:$AN$1570,"&gt;"&amp;AN1527)+SUMIFS($AK$7:$AK$1570,$BR$7:$BR$1570,BR1527,$AN$7:$AN$1570,AN1527,$BL$7:$BL$1570,"&lt;="&amp;BL1527),"")</f>
        <v/>
      </c>
      <c r="AP1527" s="65">
        <f>IF(AO1527="",0,MAX(0,MIN(1,(IF(BR1527="L1",Parameter!$K$5,Parameter!$K$6+Parameter!$K$7)-(AO1527-AK1527))/AK1527)))</f>
        <v/>
      </c>
      <c r="AQ1527" s="55">
        <f>IF(LEFT(Cockpit!$O$5,1)="A",G1527,IF(BT1527=1,BU1527,IF(LEFT(Cockpit!$O$5,1)="B",AU1527,MAX(AU1527,G1527))))</f>
        <v/>
      </c>
      <c r="AR1527" s="55">
        <f>IF(BO1527=1,0,ROUNDUP(AQ1527/BN1527,0))</f>
        <v/>
      </c>
      <c r="AS1527" s="64">
        <f>IF(BO1527=1,IF(AQ1527&lt;=0,0,BP1527*MAX(1,IF(G1527&gt;0,AQ1527/G1527,1))),AR1527*Q1527)</f>
        <v/>
      </c>
      <c r="AT1527" s="55">
        <f>AQ1527*F1527</f>
        <v/>
      </c>
      <c r="AU1527" s="55">
        <f>ROUNDUP(MAX(I1527/IF(BS1527&gt;0,BS1527,MAX(0.1,N(Cockpit!$O$6))),BV1527)/BN1527,0)*BN1527</f>
        <v/>
      </c>
      <c r="AV1527" s="56">
        <f>IF(AS1527&gt;0,I1527/AS1527,-1)</f>
        <v/>
      </c>
      <c r="AW1527" s="56">
        <f>IF(AND(OR(BR1527="L1",BR1527="L23"),AS1527&gt;0),SUMIFS($AS$7:$AS$1570,$BR$7:$BR$1570,BR1527,$AV$7:$AV$1570,"&gt;"&amp;AV1527)+SUMIFS($AS$7:$AS$1570,$BR$7:$BR$1570,BR1527,$AV$7:$AV$1570,AV1527,$BL$7:$BL$1570,"&lt;="&amp;BL1527),"")</f>
        <v/>
      </c>
      <c r="AX1527" s="65">
        <f>IF(AW1527="",0,MAX(0,MIN(1,(IF(BR1527="L1",Parameter!$K$5,Parameter!$K$6+Parameter!$K$7)-(AW1527-AS1527))/AS1527)))</f>
        <v/>
      </c>
      <c r="AY1527" s="53">
        <f>IF(AC1527&lt;=0,"",IF(BR1527="Aussen","Aussenlager",IF(BR1527="-","Nicht im Lift",IF(AH1527&gt;=1,"Lift",IF(AH1527&lt;=0,"Aussenlager","teilweise")))))</f>
        <v/>
      </c>
      <c r="AZ1527" s="53">
        <f>IF(AK1527&lt;=0,"",IF(BR1527="Aussen","Aussenlager",IF(BR1527="-","Nicht im Lift",IF(AP1527&gt;=1,"Lift",IF(AP1527&lt;=0,"Aussenlager","teilweise")))))</f>
        <v/>
      </c>
      <c r="BA1527" s="53">
        <f>IF(AS1527&lt;=0,"",IF(BR1527="Aussen","Aussenlager",IF(BR1527="-","Nicht im Lift",IF(AX1527&gt;=1,"Lift",IF(AX1527&lt;=0,"Aussenlager","teilweise")))))</f>
        <v/>
      </c>
      <c r="BB1527" s="53">
        <f>IF(A1527="","",IF(BK1527=1,"Neu; ","")&amp;IF(AND(BK1527=0,BF1527&lt;0),"negativer Bestand (Export "&amp;BF1527&amp;"); ","")&amp;IF(I1527&lt;=0,"Kein Verbrauch; ","")&amp;IF(BO1527=1,"Lose – Fläche geschätzt; ","")&amp;IF(G1527&gt;AM1527,"Überbestand "&amp;ROUND(G1527-AM1527,0)&amp;" Stk / CHF "&amp;ROUND((G1527-AM1527)*F1527,0)&amp;"; ","")&amp;IF(AND(BT1527=1,BU1527&lt;BV1527),"MAX &lt; MB+LG; ","")&amp;IF(AND(BZ1527&gt;0,BY1527*10&gt;BZ1527),"zu hoch für Tablar; ","")&amp;IF(AND(BK1527=0,OR(BT1527=1,V1527&lt;&gt;"",S1527&lt;&gt;"",T1527&lt;&gt;"",W1527&lt;&gt;"")),"manuell übersteuert; ","")&amp;IF(AND(BO1527=0,Q1527=0),"Gebinde unbekannt; ","")&amp;IF(AND(BO1527=0,N(T1527)&lt;=0,N(P1527)&lt;=0),"Menge pro Gebinde fehlt (Ist = 1 Gebinde); ","")&amp;BJ1527)</f>
        <v/>
      </c>
      <c r="BC1527" s="53" t="n"/>
      <c r="BD1527" s="53" t="n"/>
      <c r="BE1527" s="61" t="n"/>
      <c r="BF1527" s="55">
        <f>N('Neue Artikel'!$D$61)</f>
        <v/>
      </c>
      <c r="BG1527" s="55" t="n">
        <v>0</v>
      </c>
      <c r="BH1527" s="54" t="n">
        <v>0</v>
      </c>
      <c r="BI1527" s="55">
        <f>N('Neue Artikel'!$C$61)/Parameter!$B$18</f>
        <v/>
      </c>
      <c r="BJ1527" s="53" t="inlineStr"/>
      <c r="BK1527" s="58" t="n">
        <v>1</v>
      </c>
      <c r="BL1527" s="58" t="n">
        <v>1527</v>
      </c>
      <c r="BM1527" s="53">
        <f>IF(S1527&lt;&gt;"",UPPER(TRIM(S1527)),IF(O1527="","LOSE",O1527))</f>
        <v/>
      </c>
      <c r="BN1527" s="55">
        <f>IF(BM1527="LOSE",1,IF(N(T1527)&gt;0,T1527,IF(N(P1527)&gt;0,P1527,MAX(1,G1527))))</f>
        <v/>
      </c>
      <c r="BO1527" s="58">
        <f>IF(BM1527="LOSE",1,0)</f>
        <v/>
      </c>
      <c r="BP1527" s="64">
        <f>IF(BO1527=0,0,IF(N(R1527)&gt;0,R1527,IFERROR(VLOOKUP(D1527,Parameter!$A$35:$C$64,3,0)+0,0)))</f>
        <v/>
      </c>
      <c r="BQ1527" s="53">
        <f>IF(V1527&lt;&gt;"",V1527,U1527)</f>
        <v/>
      </c>
      <c r="BR1527" s="53">
        <f>IF(BQ1527=1,"L1",IF(OR(BQ1527=2,BQ1527=3),"L23",IF(BQ1527="Aussen","Aussen","-")))</f>
        <v/>
      </c>
      <c r="BS1527" s="66">
        <f>IF(N(W1527)&gt;0,W1527,0)</f>
        <v/>
      </c>
      <c r="BT1527" s="58">
        <f>IF(ISNUMBER(Z1527),1,0)</f>
        <v/>
      </c>
      <c r="BU1527" s="55">
        <f>N(Z1527)</f>
        <v/>
      </c>
      <c r="BV1527" s="55">
        <f>N(L1527)+N(M1527)</f>
        <v/>
      </c>
      <c r="BW1527" s="55">
        <f>ROUNDUP(G1527/BN1527,0)</f>
        <v/>
      </c>
      <c r="BX1527" s="55">
        <f>ROUNDUP(BU1527/BN1527,0)</f>
        <v/>
      </c>
      <c r="BY1527" s="58">
        <f>IF(BO1527=1,0,IFERROR(VLOOKUP(BM1527,'Gebinde-Kategorie'!$A$5:$G$45,5,0)+0,0))</f>
        <v/>
      </c>
      <c r="BZ1527" s="58">
        <f>IFERROR(IF(OR(BQ1527=1,BQ1527=2,BQ1527=3),N(INDEX(Parameter!$I$5:$I$7,BQ1527)),0),0)</f>
        <v/>
      </c>
    </row>
    <row r="1528">
      <c r="A1528" s="53">
        <f>IF('Neue Artikel'!$A$62="","",'Neue Artikel'!$A$62&amp;"")</f>
        <v/>
      </c>
      <c r="B1528" s="53">
        <f>'Neue Artikel'!$B$62&amp;""</f>
        <v/>
      </c>
      <c r="C1528" s="53" t="inlineStr"/>
      <c r="D1528" s="53" t="inlineStr">
        <is>
          <t>NEU</t>
        </is>
      </c>
      <c r="E1528" s="53" t="inlineStr"/>
      <c r="F1528" s="54">
        <f>N('Neue Artikel'!$G$62)</f>
        <v/>
      </c>
      <c r="G1528" s="55">
        <f>MAX(0,IF(Parameter!$B$20="Jahresanfang 2025 + Export",BG1528+BF1528,BF1528))</f>
        <v/>
      </c>
      <c r="H1528" s="55">
        <f>G1528*F1528</f>
        <v/>
      </c>
      <c r="I1528" s="55">
        <f>BI1528*Parameter!$B$18</f>
        <v/>
      </c>
      <c r="J1528" s="56" t="n"/>
      <c r="K1528" s="57" t="n"/>
      <c r="L1528" s="55">
        <f>N('Neue Artikel'!$E$62)</f>
        <v/>
      </c>
      <c r="M1528" s="55">
        <f>N('Neue Artikel'!$F$62)</f>
        <v/>
      </c>
      <c r="N1528" s="58" t="n"/>
      <c r="O1528" s="53">
        <f>IF('Neue Artikel'!$H$62="","LOSE",UPPER(TRIM('Neue Artikel'!$H$62)))</f>
        <v/>
      </c>
      <c r="P1528" s="55">
        <f>N('Neue Artikel'!$I$62)</f>
        <v/>
      </c>
      <c r="Q1528" s="59">
        <f>IF(BO1528=1,0,IFERROR(VLOOKUP(BM1528,'Gebinde-Kategorie'!$A$5:$G$45,6,0)+0,0))</f>
        <v/>
      </c>
      <c r="R1528" s="60" t="n"/>
      <c r="S1528" s="61" t="n"/>
      <c r="T1528" s="61" t="n"/>
      <c r="U1528" s="53">
        <f>IF(A1528="","",IF(IFERROR(VLOOKUP(D1528,Parameter!$A$35:$C$64,2,0),"Nein")="2+3",IF(ISNUMBER(SEARCH("grosser Artikel",BJ1528)),2,IFERROR(VLOOKUP(BM1528,Parameter!$F$35:$G$64,2,0),2)),IF(OR(IFERROR(VLOOKUP(D1528,Parameter!$A$35:$C$64,2,0),"Nein")="Nein",IFERROR(VLOOKUP(D1528,Parameter!$A$35:$C$64,2,0),"Nein")=""),"-",VLOOKUP(D1528,Parameter!$A$35:$C$64,2,0))))</f>
        <v/>
      </c>
      <c r="V1528" s="53">
        <f>IF('Neue Artikel'!$J$62="","",'Neue Artikel'!$J$62)</f>
        <v/>
      </c>
      <c r="W1528" s="62" t="n"/>
      <c r="X1528" s="55">
        <f>AM1528</f>
        <v/>
      </c>
      <c r="Y1528" s="55">
        <f>MAX(AM1528,G1528)</f>
        <v/>
      </c>
      <c r="Z1528" s="63" t="n"/>
      <c r="AA1528" s="55">
        <f>IF(LEFT(Cockpit!$C$5,1)="A",G1528,IF(BT1528=1,BU1528,IF(LEFT(Cockpit!$C$5,1)="B",AE1528,MAX(AE1528,G1528))))</f>
        <v/>
      </c>
      <c r="AB1528" s="55">
        <f>IF(BO1528=1,0,ROUNDUP(AA1528/BN1528,0))</f>
        <v/>
      </c>
      <c r="AC1528" s="64">
        <f>IF(BO1528=1,IF(AA1528&lt;=0,0,BP1528*MAX(1,IF(G1528&gt;0,AA1528/G1528,1))),AB1528*Q1528)</f>
        <v/>
      </c>
      <c r="AD1528" s="55">
        <f>AA1528*F1528</f>
        <v/>
      </c>
      <c r="AE1528" s="55">
        <f>ROUNDUP(MAX(I1528/IF(BS1528&gt;0,BS1528,MAX(0.1,N(Cockpit!$C$6))),BV1528)/BN1528,0)*BN1528</f>
        <v/>
      </c>
      <c r="AF1528" s="56">
        <f>IF(AC1528&gt;0,I1528/AC1528,-1)</f>
        <v/>
      </c>
      <c r="AG1528" s="56">
        <f>IF(AND(OR(BR1528="L1",BR1528="L23"),AC1528&gt;0),SUMIFS($AC$7:$AC$1570,$BR$7:$BR$1570,BR1528,$AF$7:$AF$1570,"&gt;"&amp;AF1528)+SUMIFS($AC$7:$AC$1570,$BR$7:$BR$1570,BR1528,$AF$7:$AF$1570,AF1528,$BL$7:$BL$1570,"&lt;="&amp;BL1528),"")</f>
        <v/>
      </c>
      <c r="AH1528" s="65">
        <f>IF(AG1528="",0,MAX(0,MIN(1,(IF(BR1528="L1",Parameter!$K$5,Parameter!$K$6+Parameter!$K$7)-(AG1528-AC1528))/AC1528)))</f>
        <v/>
      </c>
      <c r="AI1528" s="55">
        <f>IF(LEFT(Cockpit!$I$5,1)="A",G1528,IF(BT1528=1,BU1528,IF(LEFT(Cockpit!$I$5,1)="B",AM1528,MAX(AM1528,G1528))))</f>
        <v/>
      </c>
      <c r="AJ1528" s="55">
        <f>IF(BO1528=1,0,ROUNDUP(AI1528/BN1528,0))</f>
        <v/>
      </c>
      <c r="AK1528" s="64">
        <f>IF(BO1528=1,IF(AI1528&lt;=0,0,BP1528*MAX(1,IF(G1528&gt;0,AI1528/G1528,1))),AJ1528*Q1528)</f>
        <v/>
      </c>
      <c r="AL1528" s="55">
        <f>AI1528*F1528</f>
        <v/>
      </c>
      <c r="AM1528" s="55">
        <f>ROUNDUP(MAX(I1528/IF(BS1528&gt;0,BS1528,MAX(0.1,N(Cockpit!$I$6))),BV1528)/BN1528,0)*BN1528</f>
        <v/>
      </c>
      <c r="AN1528" s="56">
        <f>IF(AK1528&gt;0,I1528/AK1528,-1)</f>
        <v/>
      </c>
      <c r="AO1528" s="56">
        <f>IF(AND(OR(BR1528="L1",BR1528="L23"),AK1528&gt;0),SUMIFS($AK$7:$AK$1570,$BR$7:$BR$1570,BR1528,$AN$7:$AN$1570,"&gt;"&amp;AN1528)+SUMIFS($AK$7:$AK$1570,$BR$7:$BR$1570,BR1528,$AN$7:$AN$1570,AN1528,$BL$7:$BL$1570,"&lt;="&amp;BL1528),"")</f>
        <v/>
      </c>
      <c r="AP1528" s="65">
        <f>IF(AO1528="",0,MAX(0,MIN(1,(IF(BR1528="L1",Parameter!$K$5,Parameter!$K$6+Parameter!$K$7)-(AO1528-AK1528))/AK1528)))</f>
        <v/>
      </c>
      <c r="AQ1528" s="55">
        <f>IF(LEFT(Cockpit!$O$5,1)="A",G1528,IF(BT1528=1,BU1528,IF(LEFT(Cockpit!$O$5,1)="B",AU1528,MAX(AU1528,G1528))))</f>
        <v/>
      </c>
      <c r="AR1528" s="55">
        <f>IF(BO1528=1,0,ROUNDUP(AQ1528/BN1528,0))</f>
        <v/>
      </c>
      <c r="AS1528" s="64">
        <f>IF(BO1528=1,IF(AQ1528&lt;=0,0,BP1528*MAX(1,IF(G1528&gt;0,AQ1528/G1528,1))),AR1528*Q1528)</f>
        <v/>
      </c>
      <c r="AT1528" s="55">
        <f>AQ1528*F1528</f>
        <v/>
      </c>
      <c r="AU1528" s="55">
        <f>ROUNDUP(MAX(I1528/IF(BS1528&gt;0,BS1528,MAX(0.1,N(Cockpit!$O$6))),BV1528)/BN1528,0)*BN1528</f>
        <v/>
      </c>
      <c r="AV1528" s="56">
        <f>IF(AS1528&gt;0,I1528/AS1528,-1)</f>
        <v/>
      </c>
      <c r="AW1528" s="56">
        <f>IF(AND(OR(BR1528="L1",BR1528="L23"),AS1528&gt;0),SUMIFS($AS$7:$AS$1570,$BR$7:$BR$1570,BR1528,$AV$7:$AV$1570,"&gt;"&amp;AV1528)+SUMIFS($AS$7:$AS$1570,$BR$7:$BR$1570,BR1528,$AV$7:$AV$1570,AV1528,$BL$7:$BL$1570,"&lt;="&amp;BL1528),"")</f>
        <v/>
      </c>
      <c r="AX1528" s="65">
        <f>IF(AW1528="",0,MAX(0,MIN(1,(IF(BR1528="L1",Parameter!$K$5,Parameter!$K$6+Parameter!$K$7)-(AW1528-AS1528))/AS1528)))</f>
        <v/>
      </c>
      <c r="AY1528" s="53">
        <f>IF(AC1528&lt;=0,"",IF(BR1528="Aussen","Aussenlager",IF(BR1528="-","Nicht im Lift",IF(AH1528&gt;=1,"Lift",IF(AH1528&lt;=0,"Aussenlager","teilweise")))))</f>
        <v/>
      </c>
      <c r="AZ1528" s="53">
        <f>IF(AK1528&lt;=0,"",IF(BR1528="Aussen","Aussenlager",IF(BR1528="-","Nicht im Lift",IF(AP1528&gt;=1,"Lift",IF(AP1528&lt;=0,"Aussenlager","teilweise")))))</f>
        <v/>
      </c>
      <c r="BA1528" s="53">
        <f>IF(AS1528&lt;=0,"",IF(BR1528="Aussen","Aussenlager",IF(BR1528="-","Nicht im Lift",IF(AX1528&gt;=1,"Lift",IF(AX1528&lt;=0,"Aussenlager","teilweise")))))</f>
        <v/>
      </c>
      <c r="BB1528" s="53">
        <f>IF(A1528="","",IF(BK1528=1,"Neu; ","")&amp;IF(AND(BK1528=0,BF1528&lt;0),"negativer Bestand (Export "&amp;BF1528&amp;"); ","")&amp;IF(I1528&lt;=0,"Kein Verbrauch; ","")&amp;IF(BO1528=1,"Lose – Fläche geschätzt; ","")&amp;IF(G1528&gt;AM1528,"Überbestand "&amp;ROUND(G1528-AM1528,0)&amp;" Stk / CHF "&amp;ROUND((G1528-AM1528)*F1528,0)&amp;"; ","")&amp;IF(AND(BT1528=1,BU1528&lt;BV1528),"MAX &lt; MB+LG; ","")&amp;IF(AND(BZ1528&gt;0,BY1528*10&gt;BZ1528),"zu hoch für Tablar; ","")&amp;IF(AND(BK1528=0,OR(BT1528=1,V1528&lt;&gt;"",S1528&lt;&gt;"",T1528&lt;&gt;"",W1528&lt;&gt;"")),"manuell übersteuert; ","")&amp;IF(AND(BO1528=0,Q1528=0),"Gebinde unbekannt; ","")&amp;IF(AND(BO1528=0,N(T1528)&lt;=0,N(P1528)&lt;=0),"Menge pro Gebinde fehlt (Ist = 1 Gebinde); ","")&amp;BJ1528)</f>
        <v/>
      </c>
      <c r="BC1528" s="53" t="n"/>
      <c r="BD1528" s="53" t="n"/>
      <c r="BE1528" s="61" t="n"/>
      <c r="BF1528" s="55">
        <f>N('Neue Artikel'!$D$62)</f>
        <v/>
      </c>
      <c r="BG1528" s="55" t="n">
        <v>0</v>
      </c>
      <c r="BH1528" s="54" t="n">
        <v>0</v>
      </c>
      <c r="BI1528" s="55">
        <f>N('Neue Artikel'!$C$62)/Parameter!$B$18</f>
        <v/>
      </c>
      <c r="BJ1528" s="53" t="inlineStr"/>
      <c r="BK1528" s="58" t="n">
        <v>1</v>
      </c>
      <c r="BL1528" s="58" t="n">
        <v>1528</v>
      </c>
      <c r="BM1528" s="53">
        <f>IF(S1528&lt;&gt;"",UPPER(TRIM(S1528)),IF(O1528="","LOSE",O1528))</f>
        <v/>
      </c>
      <c r="BN1528" s="55">
        <f>IF(BM1528="LOSE",1,IF(N(T1528)&gt;0,T1528,IF(N(P1528)&gt;0,P1528,MAX(1,G1528))))</f>
        <v/>
      </c>
      <c r="BO1528" s="58">
        <f>IF(BM1528="LOSE",1,0)</f>
        <v/>
      </c>
      <c r="BP1528" s="64">
        <f>IF(BO1528=0,0,IF(N(R1528)&gt;0,R1528,IFERROR(VLOOKUP(D1528,Parameter!$A$35:$C$64,3,0)+0,0)))</f>
        <v/>
      </c>
      <c r="BQ1528" s="53">
        <f>IF(V1528&lt;&gt;"",V1528,U1528)</f>
        <v/>
      </c>
      <c r="BR1528" s="53">
        <f>IF(BQ1528=1,"L1",IF(OR(BQ1528=2,BQ1528=3),"L23",IF(BQ1528="Aussen","Aussen","-")))</f>
        <v/>
      </c>
      <c r="BS1528" s="66">
        <f>IF(N(W1528)&gt;0,W1528,0)</f>
        <v/>
      </c>
      <c r="BT1528" s="58">
        <f>IF(ISNUMBER(Z1528),1,0)</f>
        <v/>
      </c>
      <c r="BU1528" s="55">
        <f>N(Z1528)</f>
        <v/>
      </c>
      <c r="BV1528" s="55">
        <f>N(L1528)+N(M1528)</f>
        <v/>
      </c>
      <c r="BW1528" s="55">
        <f>ROUNDUP(G1528/BN1528,0)</f>
        <v/>
      </c>
      <c r="BX1528" s="55">
        <f>ROUNDUP(BU1528/BN1528,0)</f>
        <v/>
      </c>
      <c r="BY1528" s="58">
        <f>IF(BO1528=1,0,IFERROR(VLOOKUP(BM1528,'Gebinde-Kategorie'!$A$5:$G$45,5,0)+0,0))</f>
        <v/>
      </c>
      <c r="BZ1528" s="58">
        <f>IFERROR(IF(OR(BQ1528=1,BQ1528=2,BQ1528=3),N(INDEX(Parameter!$I$5:$I$7,BQ1528)),0),0)</f>
        <v/>
      </c>
    </row>
    <row r="1529">
      <c r="A1529" s="53">
        <f>IF('Neue Artikel'!$A$63="","",'Neue Artikel'!$A$63&amp;"")</f>
        <v/>
      </c>
      <c r="B1529" s="53">
        <f>'Neue Artikel'!$B$63&amp;""</f>
        <v/>
      </c>
      <c r="C1529" s="53" t="inlineStr"/>
      <c r="D1529" s="53" t="inlineStr">
        <is>
          <t>NEU</t>
        </is>
      </c>
      <c r="E1529" s="53" t="inlineStr"/>
      <c r="F1529" s="54">
        <f>N('Neue Artikel'!$G$63)</f>
        <v/>
      </c>
      <c r="G1529" s="55">
        <f>MAX(0,IF(Parameter!$B$20="Jahresanfang 2025 + Export",BG1529+BF1529,BF1529))</f>
        <v/>
      </c>
      <c r="H1529" s="55">
        <f>G1529*F1529</f>
        <v/>
      </c>
      <c r="I1529" s="55">
        <f>BI1529*Parameter!$B$18</f>
        <v/>
      </c>
      <c r="J1529" s="56" t="n"/>
      <c r="K1529" s="57" t="n"/>
      <c r="L1529" s="55">
        <f>N('Neue Artikel'!$E$63)</f>
        <v/>
      </c>
      <c r="M1529" s="55">
        <f>N('Neue Artikel'!$F$63)</f>
        <v/>
      </c>
      <c r="N1529" s="58" t="n"/>
      <c r="O1529" s="53">
        <f>IF('Neue Artikel'!$H$63="","LOSE",UPPER(TRIM('Neue Artikel'!$H$63)))</f>
        <v/>
      </c>
      <c r="P1529" s="55">
        <f>N('Neue Artikel'!$I$63)</f>
        <v/>
      </c>
      <c r="Q1529" s="59">
        <f>IF(BO1529=1,0,IFERROR(VLOOKUP(BM1529,'Gebinde-Kategorie'!$A$5:$G$45,6,0)+0,0))</f>
        <v/>
      </c>
      <c r="R1529" s="60" t="n"/>
      <c r="S1529" s="61" t="n"/>
      <c r="T1529" s="61" t="n"/>
      <c r="U1529" s="53">
        <f>IF(A1529="","",IF(IFERROR(VLOOKUP(D1529,Parameter!$A$35:$C$64,2,0),"Nein")="2+3",IF(ISNUMBER(SEARCH("grosser Artikel",BJ1529)),2,IFERROR(VLOOKUP(BM1529,Parameter!$F$35:$G$64,2,0),2)),IF(OR(IFERROR(VLOOKUP(D1529,Parameter!$A$35:$C$64,2,0),"Nein")="Nein",IFERROR(VLOOKUP(D1529,Parameter!$A$35:$C$64,2,0),"Nein")=""),"-",VLOOKUP(D1529,Parameter!$A$35:$C$64,2,0))))</f>
        <v/>
      </c>
      <c r="V1529" s="53">
        <f>IF('Neue Artikel'!$J$63="","",'Neue Artikel'!$J$63)</f>
        <v/>
      </c>
      <c r="W1529" s="62" t="n"/>
      <c r="X1529" s="55">
        <f>AM1529</f>
        <v/>
      </c>
      <c r="Y1529" s="55">
        <f>MAX(AM1529,G1529)</f>
        <v/>
      </c>
      <c r="Z1529" s="63" t="n"/>
      <c r="AA1529" s="55">
        <f>IF(LEFT(Cockpit!$C$5,1)="A",G1529,IF(BT1529=1,BU1529,IF(LEFT(Cockpit!$C$5,1)="B",AE1529,MAX(AE1529,G1529))))</f>
        <v/>
      </c>
      <c r="AB1529" s="55">
        <f>IF(BO1529=1,0,ROUNDUP(AA1529/BN1529,0))</f>
        <v/>
      </c>
      <c r="AC1529" s="64">
        <f>IF(BO1529=1,IF(AA1529&lt;=0,0,BP1529*MAX(1,IF(G1529&gt;0,AA1529/G1529,1))),AB1529*Q1529)</f>
        <v/>
      </c>
      <c r="AD1529" s="55">
        <f>AA1529*F1529</f>
        <v/>
      </c>
      <c r="AE1529" s="55">
        <f>ROUNDUP(MAX(I1529/IF(BS1529&gt;0,BS1529,MAX(0.1,N(Cockpit!$C$6))),BV1529)/BN1529,0)*BN1529</f>
        <v/>
      </c>
      <c r="AF1529" s="56">
        <f>IF(AC1529&gt;0,I1529/AC1529,-1)</f>
        <v/>
      </c>
      <c r="AG1529" s="56">
        <f>IF(AND(OR(BR1529="L1",BR1529="L23"),AC1529&gt;0),SUMIFS($AC$7:$AC$1570,$BR$7:$BR$1570,BR1529,$AF$7:$AF$1570,"&gt;"&amp;AF1529)+SUMIFS($AC$7:$AC$1570,$BR$7:$BR$1570,BR1529,$AF$7:$AF$1570,AF1529,$BL$7:$BL$1570,"&lt;="&amp;BL1529),"")</f>
        <v/>
      </c>
      <c r="AH1529" s="65">
        <f>IF(AG1529="",0,MAX(0,MIN(1,(IF(BR1529="L1",Parameter!$K$5,Parameter!$K$6+Parameter!$K$7)-(AG1529-AC1529))/AC1529)))</f>
        <v/>
      </c>
      <c r="AI1529" s="55">
        <f>IF(LEFT(Cockpit!$I$5,1)="A",G1529,IF(BT1529=1,BU1529,IF(LEFT(Cockpit!$I$5,1)="B",AM1529,MAX(AM1529,G1529))))</f>
        <v/>
      </c>
      <c r="AJ1529" s="55">
        <f>IF(BO1529=1,0,ROUNDUP(AI1529/BN1529,0))</f>
        <v/>
      </c>
      <c r="AK1529" s="64">
        <f>IF(BO1529=1,IF(AI1529&lt;=0,0,BP1529*MAX(1,IF(G1529&gt;0,AI1529/G1529,1))),AJ1529*Q1529)</f>
        <v/>
      </c>
      <c r="AL1529" s="55">
        <f>AI1529*F1529</f>
        <v/>
      </c>
      <c r="AM1529" s="55">
        <f>ROUNDUP(MAX(I1529/IF(BS1529&gt;0,BS1529,MAX(0.1,N(Cockpit!$I$6))),BV1529)/BN1529,0)*BN1529</f>
        <v/>
      </c>
      <c r="AN1529" s="56">
        <f>IF(AK1529&gt;0,I1529/AK1529,-1)</f>
        <v/>
      </c>
      <c r="AO1529" s="56">
        <f>IF(AND(OR(BR1529="L1",BR1529="L23"),AK1529&gt;0),SUMIFS($AK$7:$AK$1570,$BR$7:$BR$1570,BR1529,$AN$7:$AN$1570,"&gt;"&amp;AN1529)+SUMIFS($AK$7:$AK$1570,$BR$7:$BR$1570,BR1529,$AN$7:$AN$1570,AN1529,$BL$7:$BL$1570,"&lt;="&amp;BL1529),"")</f>
        <v/>
      </c>
      <c r="AP1529" s="65">
        <f>IF(AO1529="",0,MAX(0,MIN(1,(IF(BR1529="L1",Parameter!$K$5,Parameter!$K$6+Parameter!$K$7)-(AO1529-AK1529))/AK1529)))</f>
        <v/>
      </c>
      <c r="AQ1529" s="55">
        <f>IF(LEFT(Cockpit!$O$5,1)="A",G1529,IF(BT1529=1,BU1529,IF(LEFT(Cockpit!$O$5,1)="B",AU1529,MAX(AU1529,G1529))))</f>
        <v/>
      </c>
      <c r="AR1529" s="55">
        <f>IF(BO1529=1,0,ROUNDUP(AQ1529/BN1529,0))</f>
        <v/>
      </c>
      <c r="AS1529" s="64">
        <f>IF(BO1529=1,IF(AQ1529&lt;=0,0,BP1529*MAX(1,IF(G1529&gt;0,AQ1529/G1529,1))),AR1529*Q1529)</f>
        <v/>
      </c>
      <c r="AT1529" s="55">
        <f>AQ1529*F1529</f>
        <v/>
      </c>
      <c r="AU1529" s="55">
        <f>ROUNDUP(MAX(I1529/IF(BS1529&gt;0,BS1529,MAX(0.1,N(Cockpit!$O$6))),BV1529)/BN1529,0)*BN1529</f>
        <v/>
      </c>
      <c r="AV1529" s="56">
        <f>IF(AS1529&gt;0,I1529/AS1529,-1)</f>
        <v/>
      </c>
      <c r="AW1529" s="56">
        <f>IF(AND(OR(BR1529="L1",BR1529="L23"),AS1529&gt;0),SUMIFS($AS$7:$AS$1570,$BR$7:$BR$1570,BR1529,$AV$7:$AV$1570,"&gt;"&amp;AV1529)+SUMIFS($AS$7:$AS$1570,$BR$7:$BR$1570,BR1529,$AV$7:$AV$1570,AV1529,$BL$7:$BL$1570,"&lt;="&amp;BL1529),"")</f>
        <v/>
      </c>
      <c r="AX1529" s="65">
        <f>IF(AW1529="",0,MAX(0,MIN(1,(IF(BR1529="L1",Parameter!$K$5,Parameter!$K$6+Parameter!$K$7)-(AW1529-AS1529))/AS1529)))</f>
        <v/>
      </c>
      <c r="AY1529" s="53">
        <f>IF(AC1529&lt;=0,"",IF(BR1529="Aussen","Aussenlager",IF(BR1529="-","Nicht im Lift",IF(AH1529&gt;=1,"Lift",IF(AH1529&lt;=0,"Aussenlager","teilweise")))))</f>
        <v/>
      </c>
      <c r="AZ1529" s="53">
        <f>IF(AK1529&lt;=0,"",IF(BR1529="Aussen","Aussenlager",IF(BR1529="-","Nicht im Lift",IF(AP1529&gt;=1,"Lift",IF(AP1529&lt;=0,"Aussenlager","teilweise")))))</f>
        <v/>
      </c>
      <c r="BA1529" s="53">
        <f>IF(AS1529&lt;=0,"",IF(BR1529="Aussen","Aussenlager",IF(BR1529="-","Nicht im Lift",IF(AX1529&gt;=1,"Lift",IF(AX1529&lt;=0,"Aussenlager","teilweise")))))</f>
        <v/>
      </c>
      <c r="BB1529" s="53">
        <f>IF(A1529="","",IF(BK1529=1,"Neu; ","")&amp;IF(AND(BK1529=0,BF1529&lt;0),"negativer Bestand (Export "&amp;BF1529&amp;"); ","")&amp;IF(I1529&lt;=0,"Kein Verbrauch; ","")&amp;IF(BO1529=1,"Lose – Fläche geschätzt; ","")&amp;IF(G1529&gt;AM1529,"Überbestand "&amp;ROUND(G1529-AM1529,0)&amp;" Stk / CHF "&amp;ROUND((G1529-AM1529)*F1529,0)&amp;"; ","")&amp;IF(AND(BT1529=1,BU1529&lt;BV1529),"MAX &lt; MB+LG; ","")&amp;IF(AND(BZ1529&gt;0,BY1529*10&gt;BZ1529),"zu hoch für Tablar; ","")&amp;IF(AND(BK1529=0,OR(BT1529=1,V1529&lt;&gt;"",S1529&lt;&gt;"",T1529&lt;&gt;"",W1529&lt;&gt;"")),"manuell übersteuert; ","")&amp;IF(AND(BO1529=0,Q1529=0),"Gebinde unbekannt; ","")&amp;IF(AND(BO1529=0,N(T1529)&lt;=0,N(P1529)&lt;=0),"Menge pro Gebinde fehlt (Ist = 1 Gebinde); ","")&amp;BJ1529)</f>
        <v/>
      </c>
      <c r="BC1529" s="53" t="n"/>
      <c r="BD1529" s="53" t="n"/>
      <c r="BE1529" s="61" t="n"/>
      <c r="BF1529" s="55">
        <f>N('Neue Artikel'!$D$63)</f>
        <v/>
      </c>
      <c r="BG1529" s="55" t="n">
        <v>0</v>
      </c>
      <c r="BH1529" s="54" t="n">
        <v>0</v>
      </c>
      <c r="BI1529" s="55">
        <f>N('Neue Artikel'!$C$63)/Parameter!$B$18</f>
        <v/>
      </c>
      <c r="BJ1529" s="53" t="inlineStr"/>
      <c r="BK1529" s="58" t="n">
        <v>1</v>
      </c>
      <c r="BL1529" s="58" t="n">
        <v>1529</v>
      </c>
      <c r="BM1529" s="53">
        <f>IF(S1529&lt;&gt;"",UPPER(TRIM(S1529)),IF(O1529="","LOSE",O1529))</f>
        <v/>
      </c>
      <c r="BN1529" s="55">
        <f>IF(BM1529="LOSE",1,IF(N(T1529)&gt;0,T1529,IF(N(P1529)&gt;0,P1529,MAX(1,G1529))))</f>
        <v/>
      </c>
      <c r="BO1529" s="58">
        <f>IF(BM1529="LOSE",1,0)</f>
        <v/>
      </c>
      <c r="BP1529" s="64">
        <f>IF(BO1529=0,0,IF(N(R1529)&gt;0,R1529,IFERROR(VLOOKUP(D1529,Parameter!$A$35:$C$64,3,0)+0,0)))</f>
        <v/>
      </c>
      <c r="BQ1529" s="53">
        <f>IF(V1529&lt;&gt;"",V1529,U1529)</f>
        <v/>
      </c>
      <c r="BR1529" s="53">
        <f>IF(BQ1529=1,"L1",IF(OR(BQ1529=2,BQ1529=3),"L23",IF(BQ1529="Aussen","Aussen","-")))</f>
        <v/>
      </c>
      <c r="BS1529" s="66">
        <f>IF(N(W1529)&gt;0,W1529,0)</f>
        <v/>
      </c>
      <c r="BT1529" s="58">
        <f>IF(ISNUMBER(Z1529),1,0)</f>
        <v/>
      </c>
      <c r="BU1529" s="55">
        <f>N(Z1529)</f>
        <v/>
      </c>
      <c r="BV1529" s="55">
        <f>N(L1529)+N(M1529)</f>
        <v/>
      </c>
      <c r="BW1529" s="55">
        <f>ROUNDUP(G1529/BN1529,0)</f>
        <v/>
      </c>
      <c r="BX1529" s="55">
        <f>ROUNDUP(BU1529/BN1529,0)</f>
        <v/>
      </c>
      <c r="BY1529" s="58">
        <f>IF(BO1529=1,0,IFERROR(VLOOKUP(BM1529,'Gebinde-Kategorie'!$A$5:$G$45,5,0)+0,0))</f>
        <v/>
      </c>
      <c r="BZ1529" s="58">
        <f>IFERROR(IF(OR(BQ1529=1,BQ1529=2,BQ1529=3),N(INDEX(Parameter!$I$5:$I$7,BQ1529)),0),0)</f>
        <v/>
      </c>
    </row>
    <row r="1530">
      <c r="A1530" s="53">
        <f>IF('Neue Artikel'!$A$64="","",'Neue Artikel'!$A$64&amp;"")</f>
        <v/>
      </c>
      <c r="B1530" s="53">
        <f>'Neue Artikel'!$B$64&amp;""</f>
        <v/>
      </c>
      <c r="C1530" s="53" t="inlineStr"/>
      <c r="D1530" s="53" t="inlineStr">
        <is>
          <t>NEU</t>
        </is>
      </c>
      <c r="E1530" s="53" t="inlineStr"/>
      <c r="F1530" s="54">
        <f>N('Neue Artikel'!$G$64)</f>
        <v/>
      </c>
      <c r="G1530" s="55">
        <f>MAX(0,IF(Parameter!$B$20="Jahresanfang 2025 + Export",BG1530+BF1530,BF1530))</f>
        <v/>
      </c>
      <c r="H1530" s="55">
        <f>G1530*F1530</f>
        <v/>
      </c>
      <c r="I1530" s="55">
        <f>BI1530*Parameter!$B$18</f>
        <v/>
      </c>
      <c r="J1530" s="56" t="n"/>
      <c r="K1530" s="57" t="n"/>
      <c r="L1530" s="55">
        <f>N('Neue Artikel'!$E$64)</f>
        <v/>
      </c>
      <c r="M1530" s="55">
        <f>N('Neue Artikel'!$F$64)</f>
        <v/>
      </c>
      <c r="N1530" s="58" t="n"/>
      <c r="O1530" s="53">
        <f>IF('Neue Artikel'!$H$64="","LOSE",UPPER(TRIM('Neue Artikel'!$H$64)))</f>
        <v/>
      </c>
      <c r="P1530" s="55">
        <f>N('Neue Artikel'!$I$64)</f>
        <v/>
      </c>
      <c r="Q1530" s="59">
        <f>IF(BO1530=1,0,IFERROR(VLOOKUP(BM1530,'Gebinde-Kategorie'!$A$5:$G$45,6,0)+0,0))</f>
        <v/>
      </c>
      <c r="R1530" s="60" t="n"/>
      <c r="S1530" s="61" t="n"/>
      <c r="T1530" s="61" t="n"/>
      <c r="U1530" s="53">
        <f>IF(A1530="","",IF(IFERROR(VLOOKUP(D1530,Parameter!$A$35:$C$64,2,0),"Nein")="2+3",IF(ISNUMBER(SEARCH("grosser Artikel",BJ1530)),2,IFERROR(VLOOKUP(BM1530,Parameter!$F$35:$G$64,2,0),2)),IF(OR(IFERROR(VLOOKUP(D1530,Parameter!$A$35:$C$64,2,0),"Nein")="Nein",IFERROR(VLOOKUP(D1530,Parameter!$A$35:$C$64,2,0),"Nein")=""),"-",VLOOKUP(D1530,Parameter!$A$35:$C$64,2,0))))</f>
        <v/>
      </c>
      <c r="V1530" s="53">
        <f>IF('Neue Artikel'!$J$64="","",'Neue Artikel'!$J$64)</f>
        <v/>
      </c>
      <c r="W1530" s="62" t="n"/>
      <c r="X1530" s="55">
        <f>AM1530</f>
        <v/>
      </c>
      <c r="Y1530" s="55">
        <f>MAX(AM1530,G1530)</f>
        <v/>
      </c>
      <c r="Z1530" s="63" t="n"/>
      <c r="AA1530" s="55">
        <f>IF(LEFT(Cockpit!$C$5,1)="A",G1530,IF(BT1530=1,BU1530,IF(LEFT(Cockpit!$C$5,1)="B",AE1530,MAX(AE1530,G1530))))</f>
        <v/>
      </c>
      <c r="AB1530" s="55">
        <f>IF(BO1530=1,0,ROUNDUP(AA1530/BN1530,0))</f>
        <v/>
      </c>
      <c r="AC1530" s="64">
        <f>IF(BO1530=1,IF(AA1530&lt;=0,0,BP1530*MAX(1,IF(G1530&gt;0,AA1530/G1530,1))),AB1530*Q1530)</f>
        <v/>
      </c>
      <c r="AD1530" s="55">
        <f>AA1530*F1530</f>
        <v/>
      </c>
      <c r="AE1530" s="55">
        <f>ROUNDUP(MAX(I1530/IF(BS1530&gt;0,BS1530,MAX(0.1,N(Cockpit!$C$6))),BV1530)/BN1530,0)*BN1530</f>
        <v/>
      </c>
      <c r="AF1530" s="56">
        <f>IF(AC1530&gt;0,I1530/AC1530,-1)</f>
        <v/>
      </c>
      <c r="AG1530" s="56">
        <f>IF(AND(OR(BR1530="L1",BR1530="L23"),AC1530&gt;0),SUMIFS($AC$7:$AC$1570,$BR$7:$BR$1570,BR1530,$AF$7:$AF$1570,"&gt;"&amp;AF1530)+SUMIFS($AC$7:$AC$1570,$BR$7:$BR$1570,BR1530,$AF$7:$AF$1570,AF1530,$BL$7:$BL$1570,"&lt;="&amp;BL1530),"")</f>
        <v/>
      </c>
      <c r="AH1530" s="65">
        <f>IF(AG1530="",0,MAX(0,MIN(1,(IF(BR1530="L1",Parameter!$K$5,Parameter!$K$6+Parameter!$K$7)-(AG1530-AC1530))/AC1530)))</f>
        <v/>
      </c>
      <c r="AI1530" s="55">
        <f>IF(LEFT(Cockpit!$I$5,1)="A",G1530,IF(BT1530=1,BU1530,IF(LEFT(Cockpit!$I$5,1)="B",AM1530,MAX(AM1530,G1530))))</f>
        <v/>
      </c>
      <c r="AJ1530" s="55">
        <f>IF(BO1530=1,0,ROUNDUP(AI1530/BN1530,0))</f>
        <v/>
      </c>
      <c r="AK1530" s="64">
        <f>IF(BO1530=1,IF(AI1530&lt;=0,0,BP1530*MAX(1,IF(G1530&gt;0,AI1530/G1530,1))),AJ1530*Q1530)</f>
        <v/>
      </c>
      <c r="AL1530" s="55">
        <f>AI1530*F1530</f>
        <v/>
      </c>
      <c r="AM1530" s="55">
        <f>ROUNDUP(MAX(I1530/IF(BS1530&gt;0,BS1530,MAX(0.1,N(Cockpit!$I$6))),BV1530)/BN1530,0)*BN1530</f>
        <v/>
      </c>
      <c r="AN1530" s="56">
        <f>IF(AK1530&gt;0,I1530/AK1530,-1)</f>
        <v/>
      </c>
      <c r="AO1530" s="56">
        <f>IF(AND(OR(BR1530="L1",BR1530="L23"),AK1530&gt;0),SUMIFS($AK$7:$AK$1570,$BR$7:$BR$1570,BR1530,$AN$7:$AN$1570,"&gt;"&amp;AN1530)+SUMIFS($AK$7:$AK$1570,$BR$7:$BR$1570,BR1530,$AN$7:$AN$1570,AN1530,$BL$7:$BL$1570,"&lt;="&amp;BL1530),"")</f>
        <v/>
      </c>
      <c r="AP1530" s="65">
        <f>IF(AO1530="",0,MAX(0,MIN(1,(IF(BR1530="L1",Parameter!$K$5,Parameter!$K$6+Parameter!$K$7)-(AO1530-AK1530))/AK1530)))</f>
        <v/>
      </c>
      <c r="AQ1530" s="55">
        <f>IF(LEFT(Cockpit!$O$5,1)="A",G1530,IF(BT1530=1,BU1530,IF(LEFT(Cockpit!$O$5,1)="B",AU1530,MAX(AU1530,G1530))))</f>
        <v/>
      </c>
      <c r="AR1530" s="55">
        <f>IF(BO1530=1,0,ROUNDUP(AQ1530/BN1530,0))</f>
        <v/>
      </c>
      <c r="AS1530" s="64">
        <f>IF(BO1530=1,IF(AQ1530&lt;=0,0,BP1530*MAX(1,IF(G1530&gt;0,AQ1530/G1530,1))),AR1530*Q1530)</f>
        <v/>
      </c>
      <c r="AT1530" s="55">
        <f>AQ1530*F1530</f>
        <v/>
      </c>
      <c r="AU1530" s="55">
        <f>ROUNDUP(MAX(I1530/IF(BS1530&gt;0,BS1530,MAX(0.1,N(Cockpit!$O$6))),BV1530)/BN1530,0)*BN1530</f>
        <v/>
      </c>
      <c r="AV1530" s="56">
        <f>IF(AS1530&gt;0,I1530/AS1530,-1)</f>
        <v/>
      </c>
      <c r="AW1530" s="56">
        <f>IF(AND(OR(BR1530="L1",BR1530="L23"),AS1530&gt;0),SUMIFS($AS$7:$AS$1570,$BR$7:$BR$1570,BR1530,$AV$7:$AV$1570,"&gt;"&amp;AV1530)+SUMIFS($AS$7:$AS$1570,$BR$7:$BR$1570,BR1530,$AV$7:$AV$1570,AV1530,$BL$7:$BL$1570,"&lt;="&amp;BL1530),"")</f>
        <v/>
      </c>
      <c r="AX1530" s="65">
        <f>IF(AW1530="",0,MAX(0,MIN(1,(IF(BR1530="L1",Parameter!$K$5,Parameter!$K$6+Parameter!$K$7)-(AW1530-AS1530))/AS1530)))</f>
        <v/>
      </c>
      <c r="AY1530" s="53">
        <f>IF(AC1530&lt;=0,"",IF(BR1530="Aussen","Aussenlager",IF(BR1530="-","Nicht im Lift",IF(AH1530&gt;=1,"Lift",IF(AH1530&lt;=0,"Aussenlager","teilweise")))))</f>
        <v/>
      </c>
      <c r="AZ1530" s="53">
        <f>IF(AK1530&lt;=0,"",IF(BR1530="Aussen","Aussenlager",IF(BR1530="-","Nicht im Lift",IF(AP1530&gt;=1,"Lift",IF(AP1530&lt;=0,"Aussenlager","teilweise")))))</f>
        <v/>
      </c>
      <c r="BA1530" s="53">
        <f>IF(AS1530&lt;=0,"",IF(BR1530="Aussen","Aussenlager",IF(BR1530="-","Nicht im Lift",IF(AX1530&gt;=1,"Lift",IF(AX1530&lt;=0,"Aussenlager","teilweise")))))</f>
        <v/>
      </c>
      <c r="BB1530" s="53">
        <f>IF(A1530="","",IF(BK1530=1,"Neu; ","")&amp;IF(AND(BK1530=0,BF1530&lt;0),"negativer Bestand (Export "&amp;BF1530&amp;"); ","")&amp;IF(I1530&lt;=0,"Kein Verbrauch; ","")&amp;IF(BO1530=1,"Lose – Fläche geschätzt; ","")&amp;IF(G1530&gt;AM1530,"Überbestand "&amp;ROUND(G1530-AM1530,0)&amp;" Stk / CHF "&amp;ROUND((G1530-AM1530)*F1530,0)&amp;"; ","")&amp;IF(AND(BT1530=1,BU1530&lt;BV1530),"MAX &lt; MB+LG; ","")&amp;IF(AND(BZ1530&gt;0,BY1530*10&gt;BZ1530),"zu hoch für Tablar; ","")&amp;IF(AND(BK1530=0,OR(BT1530=1,V1530&lt;&gt;"",S1530&lt;&gt;"",T1530&lt;&gt;"",W1530&lt;&gt;"")),"manuell übersteuert; ","")&amp;IF(AND(BO1530=0,Q1530=0),"Gebinde unbekannt; ","")&amp;IF(AND(BO1530=0,N(T1530)&lt;=0,N(P1530)&lt;=0),"Menge pro Gebinde fehlt (Ist = 1 Gebinde); ","")&amp;BJ1530)</f>
        <v/>
      </c>
      <c r="BC1530" s="53" t="n"/>
      <c r="BD1530" s="53" t="n"/>
      <c r="BE1530" s="61" t="n"/>
      <c r="BF1530" s="55">
        <f>N('Neue Artikel'!$D$64)</f>
        <v/>
      </c>
      <c r="BG1530" s="55" t="n">
        <v>0</v>
      </c>
      <c r="BH1530" s="54" t="n">
        <v>0</v>
      </c>
      <c r="BI1530" s="55">
        <f>N('Neue Artikel'!$C$64)/Parameter!$B$18</f>
        <v/>
      </c>
      <c r="BJ1530" s="53" t="inlineStr"/>
      <c r="BK1530" s="58" t="n">
        <v>1</v>
      </c>
      <c r="BL1530" s="58" t="n">
        <v>1530</v>
      </c>
      <c r="BM1530" s="53">
        <f>IF(S1530&lt;&gt;"",UPPER(TRIM(S1530)),IF(O1530="","LOSE",O1530))</f>
        <v/>
      </c>
      <c r="BN1530" s="55">
        <f>IF(BM1530="LOSE",1,IF(N(T1530)&gt;0,T1530,IF(N(P1530)&gt;0,P1530,MAX(1,G1530))))</f>
        <v/>
      </c>
      <c r="BO1530" s="58">
        <f>IF(BM1530="LOSE",1,0)</f>
        <v/>
      </c>
      <c r="BP1530" s="64">
        <f>IF(BO1530=0,0,IF(N(R1530)&gt;0,R1530,IFERROR(VLOOKUP(D1530,Parameter!$A$35:$C$64,3,0)+0,0)))</f>
        <v/>
      </c>
      <c r="BQ1530" s="53">
        <f>IF(V1530&lt;&gt;"",V1530,U1530)</f>
        <v/>
      </c>
      <c r="BR1530" s="53">
        <f>IF(BQ1530=1,"L1",IF(OR(BQ1530=2,BQ1530=3),"L23",IF(BQ1530="Aussen","Aussen","-")))</f>
        <v/>
      </c>
      <c r="BS1530" s="66">
        <f>IF(N(W1530)&gt;0,W1530,0)</f>
        <v/>
      </c>
      <c r="BT1530" s="58">
        <f>IF(ISNUMBER(Z1530),1,0)</f>
        <v/>
      </c>
      <c r="BU1530" s="55">
        <f>N(Z1530)</f>
        <v/>
      </c>
      <c r="BV1530" s="55">
        <f>N(L1530)+N(M1530)</f>
        <v/>
      </c>
      <c r="BW1530" s="55">
        <f>ROUNDUP(G1530/BN1530,0)</f>
        <v/>
      </c>
      <c r="BX1530" s="55">
        <f>ROUNDUP(BU1530/BN1530,0)</f>
        <v/>
      </c>
      <c r="BY1530" s="58">
        <f>IF(BO1530=1,0,IFERROR(VLOOKUP(BM1530,'Gebinde-Kategorie'!$A$5:$G$45,5,0)+0,0))</f>
        <v/>
      </c>
      <c r="BZ1530" s="58">
        <f>IFERROR(IF(OR(BQ1530=1,BQ1530=2,BQ1530=3),N(INDEX(Parameter!$I$5:$I$7,BQ1530)),0),0)</f>
        <v/>
      </c>
    </row>
    <row r="1531">
      <c r="A1531" s="53">
        <f>IF('Neue Artikel'!$A$65="","",'Neue Artikel'!$A$65&amp;"")</f>
        <v/>
      </c>
      <c r="B1531" s="53">
        <f>'Neue Artikel'!$B$65&amp;""</f>
        <v/>
      </c>
      <c r="C1531" s="53" t="inlineStr"/>
      <c r="D1531" s="53" t="inlineStr">
        <is>
          <t>NEU</t>
        </is>
      </c>
      <c r="E1531" s="53" t="inlineStr"/>
      <c r="F1531" s="54">
        <f>N('Neue Artikel'!$G$65)</f>
        <v/>
      </c>
      <c r="G1531" s="55">
        <f>MAX(0,IF(Parameter!$B$20="Jahresanfang 2025 + Export",BG1531+BF1531,BF1531))</f>
        <v/>
      </c>
      <c r="H1531" s="55">
        <f>G1531*F1531</f>
        <v/>
      </c>
      <c r="I1531" s="55">
        <f>BI1531*Parameter!$B$18</f>
        <v/>
      </c>
      <c r="J1531" s="56" t="n"/>
      <c r="K1531" s="57" t="n"/>
      <c r="L1531" s="55">
        <f>N('Neue Artikel'!$E$65)</f>
        <v/>
      </c>
      <c r="M1531" s="55">
        <f>N('Neue Artikel'!$F$65)</f>
        <v/>
      </c>
      <c r="N1531" s="58" t="n"/>
      <c r="O1531" s="53">
        <f>IF('Neue Artikel'!$H$65="","LOSE",UPPER(TRIM('Neue Artikel'!$H$65)))</f>
        <v/>
      </c>
      <c r="P1531" s="55">
        <f>N('Neue Artikel'!$I$65)</f>
        <v/>
      </c>
      <c r="Q1531" s="59">
        <f>IF(BO1531=1,0,IFERROR(VLOOKUP(BM1531,'Gebinde-Kategorie'!$A$5:$G$45,6,0)+0,0))</f>
        <v/>
      </c>
      <c r="R1531" s="60" t="n"/>
      <c r="S1531" s="61" t="n"/>
      <c r="T1531" s="61" t="n"/>
      <c r="U1531" s="53">
        <f>IF(A1531="","",IF(IFERROR(VLOOKUP(D1531,Parameter!$A$35:$C$64,2,0),"Nein")="2+3",IF(ISNUMBER(SEARCH("grosser Artikel",BJ1531)),2,IFERROR(VLOOKUP(BM1531,Parameter!$F$35:$G$64,2,0),2)),IF(OR(IFERROR(VLOOKUP(D1531,Parameter!$A$35:$C$64,2,0),"Nein")="Nein",IFERROR(VLOOKUP(D1531,Parameter!$A$35:$C$64,2,0),"Nein")=""),"-",VLOOKUP(D1531,Parameter!$A$35:$C$64,2,0))))</f>
        <v/>
      </c>
      <c r="V1531" s="53">
        <f>IF('Neue Artikel'!$J$65="","",'Neue Artikel'!$J$65)</f>
        <v/>
      </c>
      <c r="W1531" s="62" t="n"/>
      <c r="X1531" s="55">
        <f>AM1531</f>
        <v/>
      </c>
      <c r="Y1531" s="55">
        <f>MAX(AM1531,G1531)</f>
        <v/>
      </c>
      <c r="Z1531" s="63" t="n"/>
      <c r="AA1531" s="55">
        <f>IF(LEFT(Cockpit!$C$5,1)="A",G1531,IF(BT1531=1,BU1531,IF(LEFT(Cockpit!$C$5,1)="B",AE1531,MAX(AE1531,G1531))))</f>
        <v/>
      </c>
      <c r="AB1531" s="55">
        <f>IF(BO1531=1,0,ROUNDUP(AA1531/BN1531,0))</f>
        <v/>
      </c>
      <c r="AC1531" s="64">
        <f>IF(BO1531=1,IF(AA1531&lt;=0,0,BP1531*MAX(1,IF(G1531&gt;0,AA1531/G1531,1))),AB1531*Q1531)</f>
        <v/>
      </c>
      <c r="AD1531" s="55">
        <f>AA1531*F1531</f>
        <v/>
      </c>
      <c r="AE1531" s="55">
        <f>ROUNDUP(MAX(I1531/IF(BS1531&gt;0,BS1531,MAX(0.1,N(Cockpit!$C$6))),BV1531)/BN1531,0)*BN1531</f>
        <v/>
      </c>
      <c r="AF1531" s="56">
        <f>IF(AC1531&gt;0,I1531/AC1531,-1)</f>
        <v/>
      </c>
      <c r="AG1531" s="56">
        <f>IF(AND(OR(BR1531="L1",BR1531="L23"),AC1531&gt;0),SUMIFS($AC$7:$AC$1570,$BR$7:$BR$1570,BR1531,$AF$7:$AF$1570,"&gt;"&amp;AF1531)+SUMIFS($AC$7:$AC$1570,$BR$7:$BR$1570,BR1531,$AF$7:$AF$1570,AF1531,$BL$7:$BL$1570,"&lt;="&amp;BL1531),"")</f>
        <v/>
      </c>
      <c r="AH1531" s="65">
        <f>IF(AG1531="",0,MAX(0,MIN(1,(IF(BR1531="L1",Parameter!$K$5,Parameter!$K$6+Parameter!$K$7)-(AG1531-AC1531))/AC1531)))</f>
        <v/>
      </c>
      <c r="AI1531" s="55">
        <f>IF(LEFT(Cockpit!$I$5,1)="A",G1531,IF(BT1531=1,BU1531,IF(LEFT(Cockpit!$I$5,1)="B",AM1531,MAX(AM1531,G1531))))</f>
        <v/>
      </c>
      <c r="AJ1531" s="55">
        <f>IF(BO1531=1,0,ROUNDUP(AI1531/BN1531,0))</f>
        <v/>
      </c>
      <c r="AK1531" s="64">
        <f>IF(BO1531=1,IF(AI1531&lt;=0,0,BP1531*MAX(1,IF(G1531&gt;0,AI1531/G1531,1))),AJ1531*Q1531)</f>
        <v/>
      </c>
      <c r="AL1531" s="55">
        <f>AI1531*F1531</f>
        <v/>
      </c>
      <c r="AM1531" s="55">
        <f>ROUNDUP(MAX(I1531/IF(BS1531&gt;0,BS1531,MAX(0.1,N(Cockpit!$I$6))),BV1531)/BN1531,0)*BN1531</f>
        <v/>
      </c>
      <c r="AN1531" s="56">
        <f>IF(AK1531&gt;0,I1531/AK1531,-1)</f>
        <v/>
      </c>
      <c r="AO1531" s="56">
        <f>IF(AND(OR(BR1531="L1",BR1531="L23"),AK1531&gt;0),SUMIFS($AK$7:$AK$1570,$BR$7:$BR$1570,BR1531,$AN$7:$AN$1570,"&gt;"&amp;AN1531)+SUMIFS($AK$7:$AK$1570,$BR$7:$BR$1570,BR1531,$AN$7:$AN$1570,AN1531,$BL$7:$BL$1570,"&lt;="&amp;BL1531),"")</f>
        <v/>
      </c>
      <c r="AP1531" s="65">
        <f>IF(AO1531="",0,MAX(0,MIN(1,(IF(BR1531="L1",Parameter!$K$5,Parameter!$K$6+Parameter!$K$7)-(AO1531-AK1531))/AK1531)))</f>
        <v/>
      </c>
      <c r="AQ1531" s="55">
        <f>IF(LEFT(Cockpit!$O$5,1)="A",G1531,IF(BT1531=1,BU1531,IF(LEFT(Cockpit!$O$5,1)="B",AU1531,MAX(AU1531,G1531))))</f>
        <v/>
      </c>
      <c r="AR1531" s="55">
        <f>IF(BO1531=1,0,ROUNDUP(AQ1531/BN1531,0))</f>
        <v/>
      </c>
      <c r="AS1531" s="64">
        <f>IF(BO1531=1,IF(AQ1531&lt;=0,0,BP1531*MAX(1,IF(G1531&gt;0,AQ1531/G1531,1))),AR1531*Q1531)</f>
        <v/>
      </c>
      <c r="AT1531" s="55">
        <f>AQ1531*F1531</f>
        <v/>
      </c>
      <c r="AU1531" s="55">
        <f>ROUNDUP(MAX(I1531/IF(BS1531&gt;0,BS1531,MAX(0.1,N(Cockpit!$O$6))),BV1531)/BN1531,0)*BN1531</f>
        <v/>
      </c>
      <c r="AV1531" s="56">
        <f>IF(AS1531&gt;0,I1531/AS1531,-1)</f>
        <v/>
      </c>
      <c r="AW1531" s="56">
        <f>IF(AND(OR(BR1531="L1",BR1531="L23"),AS1531&gt;0),SUMIFS($AS$7:$AS$1570,$BR$7:$BR$1570,BR1531,$AV$7:$AV$1570,"&gt;"&amp;AV1531)+SUMIFS($AS$7:$AS$1570,$BR$7:$BR$1570,BR1531,$AV$7:$AV$1570,AV1531,$BL$7:$BL$1570,"&lt;="&amp;BL1531),"")</f>
        <v/>
      </c>
      <c r="AX1531" s="65">
        <f>IF(AW1531="",0,MAX(0,MIN(1,(IF(BR1531="L1",Parameter!$K$5,Parameter!$K$6+Parameter!$K$7)-(AW1531-AS1531))/AS1531)))</f>
        <v/>
      </c>
      <c r="AY1531" s="53">
        <f>IF(AC1531&lt;=0,"",IF(BR1531="Aussen","Aussenlager",IF(BR1531="-","Nicht im Lift",IF(AH1531&gt;=1,"Lift",IF(AH1531&lt;=0,"Aussenlager","teilweise")))))</f>
        <v/>
      </c>
      <c r="AZ1531" s="53">
        <f>IF(AK1531&lt;=0,"",IF(BR1531="Aussen","Aussenlager",IF(BR1531="-","Nicht im Lift",IF(AP1531&gt;=1,"Lift",IF(AP1531&lt;=0,"Aussenlager","teilweise")))))</f>
        <v/>
      </c>
      <c r="BA1531" s="53">
        <f>IF(AS1531&lt;=0,"",IF(BR1531="Aussen","Aussenlager",IF(BR1531="-","Nicht im Lift",IF(AX1531&gt;=1,"Lift",IF(AX1531&lt;=0,"Aussenlager","teilweise")))))</f>
        <v/>
      </c>
      <c r="BB1531" s="53">
        <f>IF(A1531="","",IF(BK1531=1,"Neu; ","")&amp;IF(AND(BK1531=0,BF1531&lt;0),"negativer Bestand (Export "&amp;BF1531&amp;"); ","")&amp;IF(I1531&lt;=0,"Kein Verbrauch; ","")&amp;IF(BO1531=1,"Lose – Fläche geschätzt; ","")&amp;IF(G1531&gt;AM1531,"Überbestand "&amp;ROUND(G1531-AM1531,0)&amp;" Stk / CHF "&amp;ROUND((G1531-AM1531)*F1531,0)&amp;"; ","")&amp;IF(AND(BT1531=1,BU1531&lt;BV1531),"MAX &lt; MB+LG; ","")&amp;IF(AND(BZ1531&gt;0,BY1531*10&gt;BZ1531),"zu hoch für Tablar; ","")&amp;IF(AND(BK1531=0,OR(BT1531=1,V1531&lt;&gt;"",S1531&lt;&gt;"",T1531&lt;&gt;"",W1531&lt;&gt;"")),"manuell übersteuert; ","")&amp;IF(AND(BO1531=0,Q1531=0),"Gebinde unbekannt; ","")&amp;IF(AND(BO1531=0,N(T1531)&lt;=0,N(P1531)&lt;=0),"Menge pro Gebinde fehlt (Ist = 1 Gebinde); ","")&amp;BJ1531)</f>
        <v/>
      </c>
      <c r="BC1531" s="53" t="n"/>
      <c r="BD1531" s="53" t="n"/>
      <c r="BE1531" s="61" t="n"/>
      <c r="BF1531" s="55">
        <f>N('Neue Artikel'!$D$65)</f>
        <v/>
      </c>
      <c r="BG1531" s="55" t="n">
        <v>0</v>
      </c>
      <c r="BH1531" s="54" t="n">
        <v>0</v>
      </c>
      <c r="BI1531" s="55">
        <f>N('Neue Artikel'!$C$65)/Parameter!$B$18</f>
        <v/>
      </c>
      <c r="BJ1531" s="53" t="inlineStr"/>
      <c r="BK1531" s="58" t="n">
        <v>1</v>
      </c>
      <c r="BL1531" s="58" t="n">
        <v>1531</v>
      </c>
      <c r="BM1531" s="53">
        <f>IF(S1531&lt;&gt;"",UPPER(TRIM(S1531)),IF(O1531="","LOSE",O1531))</f>
        <v/>
      </c>
      <c r="BN1531" s="55">
        <f>IF(BM1531="LOSE",1,IF(N(T1531)&gt;0,T1531,IF(N(P1531)&gt;0,P1531,MAX(1,G1531))))</f>
        <v/>
      </c>
      <c r="BO1531" s="58">
        <f>IF(BM1531="LOSE",1,0)</f>
        <v/>
      </c>
      <c r="BP1531" s="64">
        <f>IF(BO1531=0,0,IF(N(R1531)&gt;0,R1531,IFERROR(VLOOKUP(D1531,Parameter!$A$35:$C$64,3,0)+0,0)))</f>
        <v/>
      </c>
      <c r="BQ1531" s="53">
        <f>IF(V1531&lt;&gt;"",V1531,U1531)</f>
        <v/>
      </c>
      <c r="BR1531" s="53">
        <f>IF(BQ1531=1,"L1",IF(OR(BQ1531=2,BQ1531=3),"L23",IF(BQ1531="Aussen","Aussen","-")))</f>
        <v/>
      </c>
      <c r="BS1531" s="66">
        <f>IF(N(W1531)&gt;0,W1531,0)</f>
        <v/>
      </c>
      <c r="BT1531" s="58">
        <f>IF(ISNUMBER(Z1531),1,0)</f>
        <v/>
      </c>
      <c r="BU1531" s="55">
        <f>N(Z1531)</f>
        <v/>
      </c>
      <c r="BV1531" s="55">
        <f>N(L1531)+N(M1531)</f>
        <v/>
      </c>
      <c r="BW1531" s="55">
        <f>ROUNDUP(G1531/BN1531,0)</f>
        <v/>
      </c>
      <c r="BX1531" s="55">
        <f>ROUNDUP(BU1531/BN1531,0)</f>
        <v/>
      </c>
      <c r="BY1531" s="58">
        <f>IF(BO1531=1,0,IFERROR(VLOOKUP(BM1531,'Gebinde-Kategorie'!$A$5:$G$45,5,0)+0,0))</f>
        <v/>
      </c>
      <c r="BZ1531" s="58">
        <f>IFERROR(IF(OR(BQ1531=1,BQ1531=2,BQ1531=3),N(INDEX(Parameter!$I$5:$I$7,BQ1531)),0),0)</f>
        <v/>
      </c>
    </row>
    <row r="1532">
      <c r="A1532" s="53">
        <f>IF('Neue Artikel'!$A$66="","",'Neue Artikel'!$A$66&amp;"")</f>
        <v/>
      </c>
      <c r="B1532" s="53">
        <f>'Neue Artikel'!$B$66&amp;""</f>
        <v/>
      </c>
      <c r="C1532" s="53" t="inlineStr"/>
      <c r="D1532" s="53" t="inlineStr">
        <is>
          <t>NEU</t>
        </is>
      </c>
      <c r="E1532" s="53" t="inlineStr"/>
      <c r="F1532" s="54">
        <f>N('Neue Artikel'!$G$66)</f>
        <v/>
      </c>
      <c r="G1532" s="55">
        <f>MAX(0,IF(Parameter!$B$20="Jahresanfang 2025 + Export",BG1532+BF1532,BF1532))</f>
        <v/>
      </c>
      <c r="H1532" s="55">
        <f>G1532*F1532</f>
        <v/>
      </c>
      <c r="I1532" s="55">
        <f>BI1532*Parameter!$B$18</f>
        <v/>
      </c>
      <c r="J1532" s="56" t="n"/>
      <c r="K1532" s="57" t="n"/>
      <c r="L1532" s="55">
        <f>N('Neue Artikel'!$E$66)</f>
        <v/>
      </c>
      <c r="M1532" s="55">
        <f>N('Neue Artikel'!$F$66)</f>
        <v/>
      </c>
      <c r="N1532" s="58" t="n"/>
      <c r="O1532" s="53">
        <f>IF('Neue Artikel'!$H$66="","LOSE",UPPER(TRIM('Neue Artikel'!$H$66)))</f>
        <v/>
      </c>
      <c r="P1532" s="55">
        <f>N('Neue Artikel'!$I$66)</f>
        <v/>
      </c>
      <c r="Q1532" s="59">
        <f>IF(BO1532=1,0,IFERROR(VLOOKUP(BM1532,'Gebinde-Kategorie'!$A$5:$G$45,6,0)+0,0))</f>
        <v/>
      </c>
      <c r="R1532" s="60" t="n"/>
      <c r="S1532" s="61" t="n"/>
      <c r="T1532" s="61" t="n"/>
      <c r="U1532" s="53">
        <f>IF(A1532="","",IF(IFERROR(VLOOKUP(D1532,Parameter!$A$35:$C$64,2,0),"Nein")="2+3",IF(ISNUMBER(SEARCH("grosser Artikel",BJ1532)),2,IFERROR(VLOOKUP(BM1532,Parameter!$F$35:$G$64,2,0),2)),IF(OR(IFERROR(VLOOKUP(D1532,Parameter!$A$35:$C$64,2,0),"Nein")="Nein",IFERROR(VLOOKUP(D1532,Parameter!$A$35:$C$64,2,0),"Nein")=""),"-",VLOOKUP(D1532,Parameter!$A$35:$C$64,2,0))))</f>
        <v/>
      </c>
      <c r="V1532" s="53">
        <f>IF('Neue Artikel'!$J$66="","",'Neue Artikel'!$J$66)</f>
        <v/>
      </c>
      <c r="W1532" s="62" t="n"/>
      <c r="X1532" s="55">
        <f>AM1532</f>
        <v/>
      </c>
      <c r="Y1532" s="55">
        <f>MAX(AM1532,G1532)</f>
        <v/>
      </c>
      <c r="Z1532" s="63" t="n"/>
      <c r="AA1532" s="55">
        <f>IF(LEFT(Cockpit!$C$5,1)="A",G1532,IF(BT1532=1,BU1532,IF(LEFT(Cockpit!$C$5,1)="B",AE1532,MAX(AE1532,G1532))))</f>
        <v/>
      </c>
      <c r="AB1532" s="55">
        <f>IF(BO1532=1,0,ROUNDUP(AA1532/BN1532,0))</f>
        <v/>
      </c>
      <c r="AC1532" s="64">
        <f>IF(BO1532=1,IF(AA1532&lt;=0,0,BP1532*MAX(1,IF(G1532&gt;0,AA1532/G1532,1))),AB1532*Q1532)</f>
        <v/>
      </c>
      <c r="AD1532" s="55">
        <f>AA1532*F1532</f>
        <v/>
      </c>
      <c r="AE1532" s="55">
        <f>ROUNDUP(MAX(I1532/IF(BS1532&gt;0,BS1532,MAX(0.1,N(Cockpit!$C$6))),BV1532)/BN1532,0)*BN1532</f>
        <v/>
      </c>
      <c r="AF1532" s="56">
        <f>IF(AC1532&gt;0,I1532/AC1532,-1)</f>
        <v/>
      </c>
      <c r="AG1532" s="56">
        <f>IF(AND(OR(BR1532="L1",BR1532="L23"),AC1532&gt;0),SUMIFS($AC$7:$AC$1570,$BR$7:$BR$1570,BR1532,$AF$7:$AF$1570,"&gt;"&amp;AF1532)+SUMIFS($AC$7:$AC$1570,$BR$7:$BR$1570,BR1532,$AF$7:$AF$1570,AF1532,$BL$7:$BL$1570,"&lt;="&amp;BL1532),"")</f>
        <v/>
      </c>
      <c r="AH1532" s="65">
        <f>IF(AG1532="",0,MAX(0,MIN(1,(IF(BR1532="L1",Parameter!$K$5,Parameter!$K$6+Parameter!$K$7)-(AG1532-AC1532))/AC1532)))</f>
        <v/>
      </c>
      <c r="AI1532" s="55">
        <f>IF(LEFT(Cockpit!$I$5,1)="A",G1532,IF(BT1532=1,BU1532,IF(LEFT(Cockpit!$I$5,1)="B",AM1532,MAX(AM1532,G1532))))</f>
        <v/>
      </c>
      <c r="AJ1532" s="55">
        <f>IF(BO1532=1,0,ROUNDUP(AI1532/BN1532,0))</f>
        <v/>
      </c>
      <c r="AK1532" s="64">
        <f>IF(BO1532=1,IF(AI1532&lt;=0,0,BP1532*MAX(1,IF(G1532&gt;0,AI1532/G1532,1))),AJ1532*Q1532)</f>
        <v/>
      </c>
      <c r="AL1532" s="55">
        <f>AI1532*F1532</f>
        <v/>
      </c>
      <c r="AM1532" s="55">
        <f>ROUNDUP(MAX(I1532/IF(BS1532&gt;0,BS1532,MAX(0.1,N(Cockpit!$I$6))),BV1532)/BN1532,0)*BN1532</f>
        <v/>
      </c>
      <c r="AN1532" s="56">
        <f>IF(AK1532&gt;0,I1532/AK1532,-1)</f>
        <v/>
      </c>
      <c r="AO1532" s="56">
        <f>IF(AND(OR(BR1532="L1",BR1532="L23"),AK1532&gt;0),SUMIFS($AK$7:$AK$1570,$BR$7:$BR$1570,BR1532,$AN$7:$AN$1570,"&gt;"&amp;AN1532)+SUMIFS($AK$7:$AK$1570,$BR$7:$BR$1570,BR1532,$AN$7:$AN$1570,AN1532,$BL$7:$BL$1570,"&lt;="&amp;BL1532),"")</f>
        <v/>
      </c>
      <c r="AP1532" s="65">
        <f>IF(AO1532="",0,MAX(0,MIN(1,(IF(BR1532="L1",Parameter!$K$5,Parameter!$K$6+Parameter!$K$7)-(AO1532-AK1532))/AK1532)))</f>
        <v/>
      </c>
      <c r="AQ1532" s="55">
        <f>IF(LEFT(Cockpit!$O$5,1)="A",G1532,IF(BT1532=1,BU1532,IF(LEFT(Cockpit!$O$5,1)="B",AU1532,MAX(AU1532,G1532))))</f>
        <v/>
      </c>
      <c r="AR1532" s="55">
        <f>IF(BO1532=1,0,ROUNDUP(AQ1532/BN1532,0))</f>
        <v/>
      </c>
      <c r="AS1532" s="64">
        <f>IF(BO1532=1,IF(AQ1532&lt;=0,0,BP1532*MAX(1,IF(G1532&gt;0,AQ1532/G1532,1))),AR1532*Q1532)</f>
        <v/>
      </c>
      <c r="AT1532" s="55">
        <f>AQ1532*F1532</f>
        <v/>
      </c>
      <c r="AU1532" s="55">
        <f>ROUNDUP(MAX(I1532/IF(BS1532&gt;0,BS1532,MAX(0.1,N(Cockpit!$O$6))),BV1532)/BN1532,0)*BN1532</f>
        <v/>
      </c>
      <c r="AV1532" s="56">
        <f>IF(AS1532&gt;0,I1532/AS1532,-1)</f>
        <v/>
      </c>
      <c r="AW1532" s="56">
        <f>IF(AND(OR(BR1532="L1",BR1532="L23"),AS1532&gt;0),SUMIFS($AS$7:$AS$1570,$BR$7:$BR$1570,BR1532,$AV$7:$AV$1570,"&gt;"&amp;AV1532)+SUMIFS($AS$7:$AS$1570,$BR$7:$BR$1570,BR1532,$AV$7:$AV$1570,AV1532,$BL$7:$BL$1570,"&lt;="&amp;BL1532),"")</f>
        <v/>
      </c>
      <c r="AX1532" s="65">
        <f>IF(AW1532="",0,MAX(0,MIN(1,(IF(BR1532="L1",Parameter!$K$5,Parameter!$K$6+Parameter!$K$7)-(AW1532-AS1532))/AS1532)))</f>
        <v/>
      </c>
      <c r="AY1532" s="53">
        <f>IF(AC1532&lt;=0,"",IF(BR1532="Aussen","Aussenlager",IF(BR1532="-","Nicht im Lift",IF(AH1532&gt;=1,"Lift",IF(AH1532&lt;=0,"Aussenlager","teilweise")))))</f>
        <v/>
      </c>
      <c r="AZ1532" s="53">
        <f>IF(AK1532&lt;=0,"",IF(BR1532="Aussen","Aussenlager",IF(BR1532="-","Nicht im Lift",IF(AP1532&gt;=1,"Lift",IF(AP1532&lt;=0,"Aussenlager","teilweise")))))</f>
        <v/>
      </c>
      <c r="BA1532" s="53">
        <f>IF(AS1532&lt;=0,"",IF(BR1532="Aussen","Aussenlager",IF(BR1532="-","Nicht im Lift",IF(AX1532&gt;=1,"Lift",IF(AX1532&lt;=0,"Aussenlager","teilweise")))))</f>
        <v/>
      </c>
      <c r="BB1532" s="53">
        <f>IF(A1532="","",IF(BK1532=1,"Neu; ","")&amp;IF(AND(BK1532=0,BF1532&lt;0),"negativer Bestand (Export "&amp;BF1532&amp;"); ","")&amp;IF(I1532&lt;=0,"Kein Verbrauch; ","")&amp;IF(BO1532=1,"Lose – Fläche geschätzt; ","")&amp;IF(G1532&gt;AM1532,"Überbestand "&amp;ROUND(G1532-AM1532,0)&amp;" Stk / CHF "&amp;ROUND((G1532-AM1532)*F1532,0)&amp;"; ","")&amp;IF(AND(BT1532=1,BU1532&lt;BV1532),"MAX &lt; MB+LG; ","")&amp;IF(AND(BZ1532&gt;0,BY1532*10&gt;BZ1532),"zu hoch für Tablar; ","")&amp;IF(AND(BK1532=0,OR(BT1532=1,V1532&lt;&gt;"",S1532&lt;&gt;"",T1532&lt;&gt;"",W1532&lt;&gt;"")),"manuell übersteuert; ","")&amp;IF(AND(BO1532=0,Q1532=0),"Gebinde unbekannt; ","")&amp;IF(AND(BO1532=0,N(T1532)&lt;=0,N(P1532)&lt;=0),"Menge pro Gebinde fehlt (Ist = 1 Gebinde); ","")&amp;BJ1532)</f>
        <v/>
      </c>
      <c r="BC1532" s="53" t="n"/>
      <c r="BD1532" s="53" t="n"/>
      <c r="BE1532" s="61" t="n"/>
      <c r="BF1532" s="55">
        <f>N('Neue Artikel'!$D$66)</f>
        <v/>
      </c>
      <c r="BG1532" s="55" t="n">
        <v>0</v>
      </c>
      <c r="BH1532" s="54" t="n">
        <v>0</v>
      </c>
      <c r="BI1532" s="55">
        <f>N('Neue Artikel'!$C$66)/Parameter!$B$18</f>
        <v/>
      </c>
      <c r="BJ1532" s="53" t="inlineStr"/>
      <c r="BK1532" s="58" t="n">
        <v>1</v>
      </c>
      <c r="BL1532" s="58" t="n">
        <v>1532</v>
      </c>
      <c r="BM1532" s="53">
        <f>IF(S1532&lt;&gt;"",UPPER(TRIM(S1532)),IF(O1532="","LOSE",O1532))</f>
        <v/>
      </c>
      <c r="BN1532" s="55">
        <f>IF(BM1532="LOSE",1,IF(N(T1532)&gt;0,T1532,IF(N(P1532)&gt;0,P1532,MAX(1,G1532))))</f>
        <v/>
      </c>
      <c r="BO1532" s="58">
        <f>IF(BM1532="LOSE",1,0)</f>
        <v/>
      </c>
      <c r="BP1532" s="64">
        <f>IF(BO1532=0,0,IF(N(R1532)&gt;0,R1532,IFERROR(VLOOKUP(D1532,Parameter!$A$35:$C$64,3,0)+0,0)))</f>
        <v/>
      </c>
      <c r="BQ1532" s="53">
        <f>IF(V1532&lt;&gt;"",V1532,U1532)</f>
        <v/>
      </c>
      <c r="BR1532" s="53">
        <f>IF(BQ1532=1,"L1",IF(OR(BQ1532=2,BQ1532=3),"L23",IF(BQ1532="Aussen","Aussen","-")))</f>
        <v/>
      </c>
      <c r="BS1532" s="66">
        <f>IF(N(W1532)&gt;0,W1532,0)</f>
        <v/>
      </c>
      <c r="BT1532" s="58">
        <f>IF(ISNUMBER(Z1532),1,0)</f>
        <v/>
      </c>
      <c r="BU1532" s="55">
        <f>N(Z1532)</f>
        <v/>
      </c>
      <c r="BV1532" s="55">
        <f>N(L1532)+N(M1532)</f>
        <v/>
      </c>
      <c r="BW1532" s="55">
        <f>ROUNDUP(G1532/BN1532,0)</f>
        <v/>
      </c>
      <c r="BX1532" s="55">
        <f>ROUNDUP(BU1532/BN1532,0)</f>
        <v/>
      </c>
      <c r="BY1532" s="58">
        <f>IF(BO1532=1,0,IFERROR(VLOOKUP(BM1532,'Gebinde-Kategorie'!$A$5:$G$45,5,0)+0,0))</f>
        <v/>
      </c>
      <c r="BZ1532" s="58">
        <f>IFERROR(IF(OR(BQ1532=1,BQ1532=2,BQ1532=3),N(INDEX(Parameter!$I$5:$I$7,BQ1532)),0),0)</f>
        <v/>
      </c>
    </row>
    <row r="1533">
      <c r="A1533" s="53">
        <f>IF('Neue Artikel'!$A$67="","",'Neue Artikel'!$A$67&amp;"")</f>
        <v/>
      </c>
      <c r="B1533" s="53">
        <f>'Neue Artikel'!$B$67&amp;""</f>
        <v/>
      </c>
      <c r="C1533" s="53" t="inlineStr"/>
      <c r="D1533" s="53" t="inlineStr">
        <is>
          <t>NEU</t>
        </is>
      </c>
      <c r="E1533" s="53" t="inlineStr"/>
      <c r="F1533" s="54">
        <f>N('Neue Artikel'!$G$67)</f>
        <v/>
      </c>
      <c r="G1533" s="55">
        <f>MAX(0,IF(Parameter!$B$20="Jahresanfang 2025 + Export",BG1533+BF1533,BF1533))</f>
        <v/>
      </c>
      <c r="H1533" s="55">
        <f>G1533*F1533</f>
        <v/>
      </c>
      <c r="I1533" s="55">
        <f>BI1533*Parameter!$B$18</f>
        <v/>
      </c>
      <c r="J1533" s="56" t="n"/>
      <c r="K1533" s="57" t="n"/>
      <c r="L1533" s="55">
        <f>N('Neue Artikel'!$E$67)</f>
        <v/>
      </c>
      <c r="M1533" s="55">
        <f>N('Neue Artikel'!$F$67)</f>
        <v/>
      </c>
      <c r="N1533" s="58" t="n"/>
      <c r="O1533" s="53">
        <f>IF('Neue Artikel'!$H$67="","LOSE",UPPER(TRIM('Neue Artikel'!$H$67)))</f>
        <v/>
      </c>
      <c r="P1533" s="55">
        <f>N('Neue Artikel'!$I$67)</f>
        <v/>
      </c>
      <c r="Q1533" s="59">
        <f>IF(BO1533=1,0,IFERROR(VLOOKUP(BM1533,'Gebinde-Kategorie'!$A$5:$G$45,6,0)+0,0))</f>
        <v/>
      </c>
      <c r="R1533" s="60" t="n"/>
      <c r="S1533" s="61" t="n"/>
      <c r="T1533" s="61" t="n"/>
      <c r="U1533" s="53">
        <f>IF(A1533="","",IF(IFERROR(VLOOKUP(D1533,Parameter!$A$35:$C$64,2,0),"Nein")="2+3",IF(ISNUMBER(SEARCH("grosser Artikel",BJ1533)),2,IFERROR(VLOOKUP(BM1533,Parameter!$F$35:$G$64,2,0),2)),IF(OR(IFERROR(VLOOKUP(D1533,Parameter!$A$35:$C$64,2,0),"Nein")="Nein",IFERROR(VLOOKUP(D1533,Parameter!$A$35:$C$64,2,0),"Nein")=""),"-",VLOOKUP(D1533,Parameter!$A$35:$C$64,2,0))))</f>
        <v/>
      </c>
      <c r="V1533" s="53">
        <f>IF('Neue Artikel'!$J$67="","",'Neue Artikel'!$J$67)</f>
        <v/>
      </c>
      <c r="W1533" s="62" t="n"/>
      <c r="X1533" s="55">
        <f>AM1533</f>
        <v/>
      </c>
      <c r="Y1533" s="55">
        <f>MAX(AM1533,G1533)</f>
        <v/>
      </c>
      <c r="Z1533" s="63" t="n"/>
      <c r="AA1533" s="55">
        <f>IF(LEFT(Cockpit!$C$5,1)="A",G1533,IF(BT1533=1,BU1533,IF(LEFT(Cockpit!$C$5,1)="B",AE1533,MAX(AE1533,G1533))))</f>
        <v/>
      </c>
      <c r="AB1533" s="55">
        <f>IF(BO1533=1,0,ROUNDUP(AA1533/BN1533,0))</f>
        <v/>
      </c>
      <c r="AC1533" s="64">
        <f>IF(BO1533=1,IF(AA1533&lt;=0,0,BP1533*MAX(1,IF(G1533&gt;0,AA1533/G1533,1))),AB1533*Q1533)</f>
        <v/>
      </c>
      <c r="AD1533" s="55">
        <f>AA1533*F1533</f>
        <v/>
      </c>
      <c r="AE1533" s="55">
        <f>ROUNDUP(MAX(I1533/IF(BS1533&gt;0,BS1533,MAX(0.1,N(Cockpit!$C$6))),BV1533)/BN1533,0)*BN1533</f>
        <v/>
      </c>
      <c r="AF1533" s="56">
        <f>IF(AC1533&gt;0,I1533/AC1533,-1)</f>
        <v/>
      </c>
      <c r="AG1533" s="56">
        <f>IF(AND(OR(BR1533="L1",BR1533="L23"),AC1533&gt;0),SUMIFS($AC$7:$AC$1570,$BR$7:$BR$1570,BR1533,$AF$7:$AF$1570,"&gt;"&amp;AF1533)+SUMIFS($AC$7:$AC$1570,$BR$7:$BR$1570,BR1533,$AF$7:$AF$1570,AF1533,$BL$7:$BL$1570,"&lt;="&amp;BL1533),"")</f>
        <v/>
      </c>
      <c r="AH1533" s="65">
        <f>IF(AG1533="",0,MAX(0,MIN(1,(IF(BR1533="L1",Parameter!$K$5,Parameter!$K$6+Parameter!$K$7)-(AG1533-AC1533))/AC1533)))</f>
        <v/>
      </c>
      <c r="AI1533" s="55">
        <f>IF(LEFT(Cockpit!$I$5,1)="A",G1533,IF(BT1533=1,BU1533,IF(LEFT(Cockpit!$I$5,1)="B",AM1533,MAX(AM1533,G1533))))</f>
        <v/>
      </c>
      <c r="AJ1533" s="55">
        <f>IF(BO1533=1,0,ROUNDUP(AI1533/BN1533,0))</f>
        <v/>
      </c>
      <c r="AK1533" s="64">
        <f>IF(BO1533=1,IF(AI1533&lt;=0,0,BP1533*MAX(1,IF(G1533&gt;0,AI1533/G1533,1))),AJ1533*Q1533)</f>
        <v/>
      </c>
      <c r="AL1533" s="55">
        <f>AI1533*F1533</f>
        <v/>
      </c>
      <c r="AM1533" s="55">
        <f>ROUNDUP(MAX(I1533/IF(BS1533&gt;0,BS1533,MAX(0.1,N(Cockpit!$I$6))),BV1533)/BN1533,0)*BN1533</f>
        <v/>
      </c>
      <c r="AN1533" s="56">
        <f>IF(AK1533&gt;0,I1533/AK1533,-1)</f>
        <v/>
      </c>
      <c r="AO1533" s="56">
        <f>IF(AND(OR(BR1533="L1",BR1533="L23"),AK1533&gt;0),SUMIFS($AK$7:$AK$1570,$BR$7:$BR$1570,BR1533,$AN$7:$AN$1570,"&gt;"&amp;AN1533)+SUMIFS($AK$7:$AK$1570,$BR$7:$BR$1570,BR1533,$AN$7:$AN$1570,AN1533,$BL$7:$BL$1570,"&lt;="&amp;BL1533),"")</f>
        <v/>
      </c>
      <c r="AP1533" s="65">
        <f>IF(AO1533="",0,MAX(0,MIN(1,(IF(BR1533="L1",Parameter!$K$5,Parameter!$K$6+Parameter!$K$7)-(AO1533-AK1533))/AK1533)))</f>
        <v/>
      </c>
      <c r="AQ1533" s="55">
        <f>IF(LEFT(Cockpit!$O$5,1)="A",G1533,IF(BT1533=1,BU1533,IF(LEFT(Cockpit!$O$5,1)="B",AU1533,MAX(AU1533,G1533))))</f>
        <v/>
      </c>
      <c r="AR1533" s="55">
        <f>IF(BO1533=1,0,ROUNDUP(AQ1533/BN1533,0))</f>
        <v/>
      </c>
      <c r="AS1533" s="64">
        <f>IF(BO1533=1,IF(AQ1533&lt;=0,0,BP1533*MAX(1,IF(G1533&gt;0,AQ1533/G1533,1))),AR1533*Q1533)</f>
        <v/>
      </c>
      <c r="AT1533" s="55">
        <f>AQ1533*F1533</f>
        <v/>
      </c>
      <c r="AU1533" s="55">
        <f>ROUNDUP(MAX(I1533/IF(BS1533&gt;0,BS1533,MAX(0.1,N(Cockpit!$O$6))),BV1533)/BN1533,0)*BN1533</f>
        <v/>
      </c>
      <c r="AV1533" s="56">
        <f>IF(AS1533&gt;0,I1533/AS1533,-1)</f>
        <v/>
      </c>
      <c r="AW1533" s="56">
        <f>IF(AND(OR(BR1533="L1",BR1533="L23"),AS1533&gt;0),SUMIFS($AS$7:$AS$1570,$BR$7:$BR$1570,BR1533,$AV$7:$AV$1570,"&gt;"&amp;AV1533)+SUMIFS($AS$7:$AS$1570,$BR$7:$BR$1570,BR1533,$AV$7:$AV$1570,AV1533,$BL$7:$BL$1570,"&lt;="&amp;BL1533),"")</f>
        <v/>
      </c>
      <c r="AX1533" s="65">
        <f>IF(AW1533="",0,MAX(0,MIN(1,(IF(BR1533="L1",Parameter!$K$5,Parameter!$K$6+Parameter!$K$7)-(AW1533-AS1533))/AS1533)))</f>
        <v/>
      </c>
      <c r="AY1533" s="53">
        <f>IF(AC1533&lt;=0,"",IF(BR1533="Aussen","Aussenlager",IF(BR1533="-","Nicht im Lift",IF(AH1533&gt;=1,"Lift",IF(AH1533&lt;=0,"Aussenlager","teilweise")))))</f>
        <v/>
      </c>
      <c r="AZ1533" s="53">
        <f>IF(AK1533&lt;=0,"",IF(BR1533="Aussen","Aussenlager",IF(BR1533="-","Nicht im Lift",IF(AP1533&gt;=1,"Lift",IF(AP1533&lt;=0,"Aussenlager","teilweise")))))</f>
        <v/>
      </c>
      <c r="BA1533" s="53">
        <f>IF(AS1533&lt;=0,"",IF(BR1533="Aussen","Aussenlager",IF(BR1533="-","Nicht im Lift",IF(AX1533&gt;=1,"Lift",IF(AX1533&lt;=0,"Aussenlager","teilweise")))))</f>
        <v/>
      </c>
      <c r="BB1533" s="53">
        <f>IF(A1533="","",IF(BK1533=1,"Neu; ","")&amp;IF(AND(BK1533=0,BF1533&lt;0),"negativer Bestand (Export "&amp;BF1533&amp;"); ","")&amp;IF(I1533&lt;=0,"Kein Verbrauch; ","")&amp;IF(BO1533=1,"Lose – Fläche geschätzt; ","")&amp;IF(G1533&gt;AM1533,"Überbestand "&amp;ROUND(G1533-AM1533,0)&amp;" Stk / CHF "&amp;ROUND((G1533-AM1533)*F1533,0)&amp;"; ","")&amp;IF(AND(BT1533=1,BU1533&lt;BV1533),"MAX &lt; MB+LG; ","")&amp;IF(AND(BZ1533&gt;0,BY1533*10&gt;BZ1533),"zu hoch für Tablar; ","")&amp;IF(AND(BK1533=0,OR(BT1533=1,V1533&lt;&gt;"",S1533&lt;&gt;"",T1533&lt;&gt;"",W1533&lt;&gt;"")),"manuell übersteuert; ","")&amp;IF(AND(BO1533=0,Q1533=0),"Gebinde unbekannt; ","")&amp;IF(AND(BO1533=0,N(T1533)&lt;=0,N(P1533)&lt;=0),"Menge pro Gebinde fehlt (Ist = 1 Gebinde); ","")&amp;BJ1533)</f>
        <v/>
      </c>
      <c r="BC1533" s="53" t="n"/>
      <c r="BD1533" s="53" t="n"/>
      <c r="BE1533" s="61" t="n"/>
      <c r="BF1533" s="55">
        <f>N('Neue Artikel'!$D$67)</f>
        <v/>
      </c>
      <c r="BG1533" s="55" t="n">
        <v>0</v>
      </c>
      <c r="BH1533" s="54" t="n">
        <v>0</v>
      </c>
      <c r="BI1533" s="55">
        <f>N('Neue Artikel'!$C$67)/Parameter!$B$18</f>
        <v/>
      </c>
      <c r="BJ1533" s="53" t="inlineStr"/>
      <c r="BK1533" s="58" t="n">
        <v>1</v>
      </c>
      <c r="BL1533" s="58" t="n">
        <v>1533</v>
      </c>
      <c r="BM1533" s="53">
        <f>IF(S1533&lt;&gt;"",UPPER(TRIM(S1533)),IF(O1533="","LOSE",O1533))</f>
        <v/>
      </c>
      <c r="BN1533" s="55">
        <f>IF(BM1533="LOSE",1,IF(N(T1533)&gt;0,T1533,IF(N(P1533)&gt;0,P1533,MAX(1,G1533))))</f>
        <v/>
      </c>
      <c r="BO1533" s="58">
        <f>IF(BM1533="LOSE",1,0)</f>
        <v/>
      </c>
      <c r="BP1533" s="64">
        <f>IF(BO1533=0,0,IF(N(R1533)&gt;0,R1533,IFERROR(VLOOKUP(D1533,Parameter!$A$35:$C$64,3,0)+0,0)))</f>
        <v/>
      </c>
      <c r="BQ1533" s="53">
        <f>IF(V1533&lt;&gt;"",V1533,U1533)</f>
        <v/>
      </c>
      <c r="BR1533" s="53">
        <f>IF(BQ1533=1,"L1",IF(OR(BQ1533=2,BQ1533=3),"L23",IF(BQ1533="Aussen","Aussen","-")))</f>
        <v/>
      </c>
      <c r="BS1533" s="66">
        <f>IF(N(W1533)&gt;0,W1533,0)</f>
        <v/>
      </c>
      <c r="BT1533" s="58">
        <f>IF(ISNUMBER(Z1533),1,0)</f>
        <v/>
      </c>
      <c r="BU1533" s="55">
        <f>N(Z1533)</f>
        <v/>
      </c>
      <c r="BV1533" s="55">
        <f>N(L1533)+N(M1533)</f>
        <v/>
      </c>
      <c r="BW1533" s="55">
        <f>ROUNDUP(G1533/BN1533,0)</f>
        <v/>
      </c>
      <c r="BX1533" s="55">
        <f>ROUNDUP(BU1533/BN1533,0)</f>
        <v/>
      </c>
      <c r="BY1533" s="58">
        <f>IF(BO1533=1,0,IFERROR(VLOOKUP(BM1533,'Gebinde-Kategorie'!$A$5:$G$45,5,0)+0,0))</f>
        <v/>
      </c>
      <c r="BZ1533" s="58">
        <f>IFERROR(IF(OR(BQ1533=1,BQ1533=2,BQ1533=3),N(INDEX(Parameter!$I$5:$I$7,BQ1533)),0),0)</f>
        <v/>
      </c>
    </row>
    <row r="1534">
      <c r="A1534" s="53">
        <f>IF('Neue Artikel'!$A$68="","",'Neue Artikel'!$A$68&amp;"")</f>
        <v/>
      </c>
      <c r="B1534" s="53">
        <f>'Neue Artikel'!$B$68&amp;""</f>
        <v/>
      </c>
      <c r="C1534" s="53" t="inlineStr"/>
      <c r="D1534" s="53" t="inlineStr">
        <is>
          <t>NEU</t>
        </is>
      </c>
      <c r="E1534" s="53" t="inlineStr"/>
      <c r="F1534" s="54">
        <f>N('Neue Artikel'!$G$68)</f>
        <v/>
      </c>
      <c r="G1534" s="55">
        <f>MAX(0,IF(Parameter!$B$20="Jahresanfang 2025 + Export",BG1534+BF1534,BF1534))</f>
        <v/>
      </c>
      <c r="H1534" s="55">
        <f>G1534*F1534</f>
        <v/>
      </c>
      <c r="I1534" s="55">
        <f>BI1534*Parameter!$B$18</f>
        <v/>
      </c>
      <c r="J1534" s="56" t="n"/>
      <c r="K1534" s="57" t="n"/>
      <c r="L1534" s="55">
        <f>N('Neue Artikel'!$E$68)</f>
        <v/>
      </c>
      <c r="M1534" s="55">
        <f>N('Neue Artikel'!$F$68)</f>
        <v/>
      </c>
      <c r="N1534" s="58" t="n"/>
      <c r="O1534" s="53">
        <f>IF('Neue Artikel'!$H$68="","LOSE",UPPER(TRIM('Neue Artikel'!$H$68)))</f>
        <v/>
      </c>
      <c r="P1534" s="55">
        <f>N('Neue Artikel'!$I$68)</f>
        <v/>
      </c>
      <c r="Q1534" s="59">
        <f>IF(BO1534=1,0,IFERROR(VLOOKUP(BM1534,'Gebinde-Kategorie'!$A$5:$G$45,6,0)+0,0))</f>
        <v/>
      </c>
      <c r="R1534" s="60" t="n"/>
      <c r="S1534" s="61" t="n"/>
      <c r="T1534" s="61" t="n"/>
      <c r="U1534" s="53">
        <f>IF(A1534="","",IF(IFERROR(VLOOKUP(D1534,Parameter!$A$35:$C$64,2,0),"Nein")="2+3",IF(ISNUMBER(SEARCH("grosser Artikel",BJ1534)),2,IFERROR(VLOOKUP(BM1534,Parameter!$F$35:$G$64,2,0),2)),IF(OR(IFERROR(VLOOKUP(D1534,Parameter!$A$35:$C$64,2,0),"Nein")="Nein",IFERROR(VLOOKUP(D1534,Parameter!$A$35:$C$64,2,0),"Nein")=""),"-",VLOOKUP(D1534,Parameter!$A$35:$C$64,2,0))))</f>
        <v/>
      </c>
      <c r="V1534" s="53">
        <f>IF('Neue Artikel'!$J$68="","",'Neue Artikel'!$J$68)</f>
        <v/>
      </c>
      <c r="W1534" s="62" t="n"/>
      <c r="X1534" s="55">
        <f>AM1534</f>
        <v/>
      </c>
      <c r="Y1534" s="55">
        <f>MAX(AM1534,G1534)</f>
        <v/>
      </c>
      <c r="Z1534" s="63" t="n"/>
      <c r="AA1534" s="55">
        <f>IF(LEFT(Cockpit!$C$5,1)="A",G1534,IF(BT1534=1,BU1534,IF(LEFT(Cockpit!$C$5,1)="B",AE1534,MAX(AE1534,G1534))))</f>
        <v/>
      </c>
      <c r="AB1534" s="55">
        <f>IF(BO1534=1,0,ROUNDUP(AA1534/BN1534,0))</f>
        <v/>
      </c>
      <c r="AC1534" s="64">
        <f>IF(BO1534=1,IF(AA1534&lt;=0,0,BP1534*MAX(1,IF(G1534&gt;0,AA1534/G1534,1))),AB1534*Q1534)</f>
        <v/>
      </c>
      <c r="AD1534" s="55">
        <f>AA1534*F1534</f>
        <v/>
      </c>
      <c r="AE1534" s="55">
        <f>ROUNDUP(MAX(I1534/IF(BS1534&gt;0,BS1534,MAX(0.1,N(Cockpit!$C$6))),BV1534)/BN1534,0)*BN1534</f>
        <v/>
      </c>
      <c r="AF1534" s="56">
        <f>IF(AC1534&gt;0,I1534/AC1534,-1)</f>
        <v/>
      </c>
      <c r="AG1534" s="56">
        <f>IF(AND(OR(BR1534="L1",BR1534="L23"),AC1534&gt;0),SUMIFS($AC$7:$AC$1570,$BR$7:$BR$1570,BR1534,$AF$7:$AF$1570,"&gt;"&amp;AF1534)+SUMIFS($AC$7:$AC$1570,$BR$7:$BR$1570,BR1534,$AF$7:$AF$1570,AF1534,$BL$7:$BL$1570,"&lt;="&amp;BL1534),"")</f>
        <v/>
      </c>
      <c r="AH1534" s="65">
        <f>IF(AG1534="",0,MAX(0,MIN(1,(IF(BR1534="L1",Parameter!$K$5,Parameter!$K$6+Parameter!$K$7)-(AG1534-AC1534))/AC1534)))</f>
        <v/>
      </c>
      <c r="AI1534" s="55">
        <f>IF(LEFT(Cockpit!$I$5,1)="A",G1534,IF(BT1534=1,BU1534,IF(LEFT(Cockpit!$I$5,1)="B",AM1534,MAX(AM1534,G1534))))</f>
        <v/>
      </c>
      <c r="AJ1534" s="55">
        <f>IF(BO1534=1,0,ROUNDUP(AI1534/BN1534,0))</f>
        <v/>
      </c>
      <c r="AK1534" s="64">
        <f>IF(BO1534=1,IF(AI1534&lt;=0,0,BP1534*MAX(1,IF(G1534&gt;0,AI1534/G1534,1))),AJ1534*Q1534)</f>
        <v/>
      </c>
      <c r="AL1534" s="55">
        <f>AI1534*F1534</f>
        <v/>
      </c>
      <c r="AM1534" s="55">
        <f>ROUNDUP(MAX(I1534/IF(BS1534&gt;0,BS1534,MAX(0.1,N(Cockpit!$I$6))),BV1534)/BN1534,0)*BN1534</f>
        <v/>
      </c>
      <c r="AN1534" s="56">
        <f>IF(AK1534&gt;0,I1534/AK1534,-1)</f>
        <v/>
      </c>
      <c r="AO1534" s="56">
        <f>IF(AND(OR(BR1534="L1",BR1534="L23"),AK1534&gt;0),SUMIFS($AK$7:$AK$1570,$BR$7:$BR$1570,BR1534,$AN$7:$AN$1570,"&gt;"&amp;AN1534)+SUMIFS($AK$7:$AK$1570,$BR$7:$BR$1570,BR1534,$AN$7:$AN$1570,AN1534,$BL$7:$BL$1570,"&lt;="&amp;BL1534),"")</f>
        <v/>
      </c>
      <c r="AP1534" s="65">
        <f>IF(AO1534="",0,MAX(0,MIN(1,(IF(BR1534="L1",Parameter!$K$5,Parameter!$K$6+Parameter!$K$7)-(AO1534-AK1534))/AK1534)))</f>
        <v/>
      </c>
      <c r="AQ1534" s="55">
        <f>IF(LEFT(Cockpit!$O$5,1)="A",G1534,IF(BT1534=1,BU1534,IF(LEFT(Cockpit!$O$5,1)="B",AU1534,MAX(AU1534,G1534))))</f>
        <v/>
      </c>
      <c r="AR1534" s="55">
        <f>IF(BO1534=1,0,ROUNDUP(AQ1534/BN1534,0))</f>
        <v/>
      </c>
      <c r="AS1534" s="64">
        <f>IF(BO1534=1,IF(AQ1534&lt;=0,0,BP1534*MAX(1,IF(G1534&gt;0,AQ1534/G1534,1))),AR1534*Q1534)</f>
        <v/>
      </c>
      <c r="AT1534" s="55">
        <f>AQ1534*F1534</f>
        <v/>
      </c>
      <c r="AU1534" s="55">
        <f>ROUNDUP(MAX(I1534/IF(BS1534&gt;0,BS1534,MAX(0.1,N(Cockpit!$O$6))),BV1534)/BN1534,0)*BN1534</f>
        <v/>
      </c>
      <c r="AV1534" s="56">
        <f>IF(AS1534&gt;0,I1534/AS1534,-1)</f>
        <v/>
      </c>
      <c r="AW1534" s="56">
        <f>IF(AND(OR(BR1534="L1",BR1534="L23"),AS1534&gt;0),SUMIFS($AS$7:$AS$1570,$BR$7:$BR$1570,BR1534,$AV$7:$AV$1570,"&gt;"&amp;AV1534)+SUMIFS($AS$7:$AS$1570,$BR$7:$BR$1570,BR1534,$AV$7:$AV$1570,AV1534,$BL$7:$BL$1570,"&lt;="&amp;BL1534),"")</f>
        <v/>
      </c>
      <c r="AX1534" s="65">
        <f>IF(AW1534="",0,MAX(0,MIN(1,(IF(BR1534="L1",Parameter!$K$5,Parameter!$K$6+Parameter!$K$7)-(AW1534-AS1534))/AS1534)))</f>
        <v/>
      </c>
      <c r="AY1534" s="53">
        <f>IF(AC1534&lt;=0,"",IF(BR1534="Aussen","Aussenlager",IF(BR1534="-","Nicht im Lift",IF(AH1534&gt;=1,"Lift",IF(AH1534&lt;=0,"Aussenlager","teilweise")))))</f>
        <v/>
      </c>
      <c r="AZ1534" s="53">
        <f>IF(AK1534&lt;=0,"",IF(BR1534="Aussen","Aussenlager",IF(BR1534="-","Nicht im Lift",IF(AP1534&gt;=1,"Lift",IF(AP1534&lt;=0,"Aussenlager","teilweise")))))</f>
        <v/>
      </c>
      <c r="BA1534" s="53">
        <f>IF(AS1534&lt;=0,"",IF(BR1534="Aussen","Aussenlager",IF(BR1534="-","Nicht im Lift",IF(AX1534&gt;=1,"Lift",IF(AX1534&lt;=0,"Aussenlager","teilweise")))))</f>
        <v/>
      </c>
      <c r="BB1534" s="53">
        <f>IF(A1534="","",IF(BK1534=1,"Neu; ","")&amp;IF(AND(BK1534=0,BF1534&lt;0),"negativer Bestand (Export "&amp;BF1534&amp;"); ","")&amp;IF(I1534&lt;=0,"Kein Verbrauch; ","")&amp;IF(BO1534=1,"Lose – Fläche geschätzt; ","")&amp;IF(G1534&gt;AM1534,"Überbestand "&amp;ROUND(G1534-AM1534,0)&amp;" Stk / CHF "&amp;ROUND((G1534-AM1534)*F1534,0)&amp;"; ","")&amp;IF(AND(BT1534=1,BU1534&lt;BV1534),"MAX &lt; MB+LG; ","")&amp;IF(AND(BZ1534&gt;0,BY1534*10&gt;BZ1534),"zu hoch für Tablar; ","")&amp;IF(AND(BK1534=0,OR(BT1534=1,V1534&lt;&gt;"",S1534&lt;&gt;"",T1534&lt;&gt;"",W1534&lt;&gt;"")),"manuell übersteuert; ","")&amp;IF(AND(BO1534=0,Q1534=0),"Gebinde unbekannt; ","")&amp;IF(AND(BO1534=0,N(T1534)&lt;=0,N(P1534)&lt;=0),"Menge pro Gebinde fehlt (Ist = 1 Gebinde); ","")&amp;BJ1534)</f>
        <v/>
      </c>
      <c r="BC1534" s="53" t="n"/>
      <c r="BD1534" s="53" t="n"/>
      <c r="BE1534" s="61" t="n"/>
      <c r="BF1534" s="55">
        <f>N('Neue Artikel'!$D$68)</f>
        <v/>
      </c>
      <c r="BG1534" s="55" t="n">
        <v>0</v>
      </c>
      <c r="BH1534" s="54" t="n">
        <v>0</v>
      </c>
      <c r="BI1534" s="55">
        <f>N('Neue Artikel'!$C$68)/Parameter!$B$18</f>
        <v/>
      </c>
      <c r="BJ1534" s="53" t="inlineStr"/>
      <c r="BK1534" s="58" t="n">
        <v>1</v>
      </c>
      <c r="BL1534" s="58" t="n">
        <v>1534</v>
      </c>
      <c r="BM1534" s="53">
        <f>IF(S1534&lt;&gt;"",UPPER(TRIM(S1534)),IF(O1534="","LOSE",O1534))</f>
        <v/>
      </c>
      <c r="BN1534" s="55">
        <f>IF(BM1534="LOSE",1,IF(N(T1534)&gt;0,T1534,IF(N(P1534)&gt;0,P1534,MAX(1,G1534))))</f>
        <v/>
      </c>
      <c r="BO1534" s="58">
        <f>IF(BM1534="LOSE",1,0)</f>
        <v/>
      </c>
      <c r="BP1534" s="64">
        <f>IF(BO1534=0,0,IF(N(R1534)&gt;0,R1534,IFERROR(VLOOKUP(D1534,Parameter!$A$35:$C$64,3,0)+0,0)))</f>
        <v/>
      </c>
      <c r="BQ1534" s="53">
        <f>IF(V1534&lt;&gt;"",V1534,U1534)</f>
        <v/>
      </c>
      <c r="BR1534" s="53">
        <f>IF(BQ1534=1,"L1",IF(OR(BQ1534=2,BQ1534=3),"L23",IF(BQ1534="Aussen","Aussen","-")))</f>
        <v/>
      </c>
      <c r="BS1534" s="66">
        <f>IF(N(W1534)&gt;0,W1534,0)</f>
        <v/>
      </c>
      <c r="BT1534" s="58">
        <f>IF(ISNUMBER(Z1534),1,0)</f>
        <v/>
      </c>
      <c r="BU1534" s="55">
        <f>N(Z1534)</f>
        <v/>
      </c>
      <c r="BV1534" s="55">
        <f>N(L1534)+N(M1534)</f>
        <v/>
      </c>
      <c r="BW1534" s="55">
        <f>ROUNDUP(G1534/BN1534,0)</f>
        <v/>
      </c>
      <c r="BX1534" s="55">
        <f>ROUNDUP(BU1534/BN1534,0)</f>
        <v/>
      </c>
      <c r="BY1534" s="58">
        <f>IF(BO1534=1,0,IFERROR(VLOOKUP(BM1534,'Gebinde-Kategorie'!$A$5:$G$45,5,0)+0,0))</f>
        <v/>
      </c>
      <c r="BZ1534" s="58">
        <f>IFERROR(IF(OR(BQ1534=1,BQ1534=2,BQ1534=3),N(INDEX(Parameter!$I$5:$I$7,BQ1534)),0),0)</f>
        <v/>
      </c>
    </row>
    <row r="1535">
      <c r="A1535" s="53">
        <f>IF('Neue Artikel'!$A$69="","",'Neue Artikel'!$A$69&amp;"")</f>
        <v/>
      </c>
      <c r="B1535" s="53">
        <f>'Neue Artikel'!$B$69&amp;""</f>
        <v/>
      </c>
      <c r="C1535" s="53" t="inlineStr"/>
      <c r="D1535" s="53" t="inlineStr">
        <is>
          <t>NEU</t>
        </is>
      </c>
      <c r="E1535" s="53" t="inlineStr"/>
      <c r="F1535" s="54">
        <f>N('Neue Artikel'!$G$69)</f>
        <v/>
      </c>
      <c r="G1535" s="55">
        <f>MAX(0,IF(Parameter!$B$20="Jahresanfang 2025 + Export",BG1535+BF1535,BF1535))</f>
        <v/>
      </c>
      <c r="H1535" s="55">
        <f>G1535*F1535</f>
        <v/>
      </c>
      <c r="I1535" s="55">
        <f>BI1535*Parameter!$B$18</f>
        <v/>
      </c>
      <c r="J1535" s="56" t="n"/>
      <c r="K1535" s="57" t="n"/>
      <c r="L1535" s="55">
        <f>N('Neue Artikel'!$E$69)</f>
        <v/>
      </c>
      <c r="M1535" s="55">
        <f>N('Neue Artikel'!$F$69)</f>
        <v/>
      </c>
      <c r="N1535" s="58" t="n"/>
      <c r="O1535" s="53">
        <f>IF('Neue Artikel'!$H$69="","LOSE",UPPER(TRIM('Neue Artikel'!$H$69)))</f>
        <v/>
      </c>
      <c r="P1535" s="55">
        <f>N('Neue Artikel'!$I$69)</f>
        <v/>
      </c>
      <c r="Q1535" s="59">
        <f>IF(BO1535=1,0,IFERROR(VLOOKUP(BM1535,'Gebinde-Kategorie'!$A$5:$G$45,6,0)+0,0))</f>
        <v/>
      </c>
      <c r="R1535" s="60" t="n"/>
      <c r="S1535" s="61" t="n"/>
      <c r="T1535" s="61" t="n"/>
      <c r="U1535" s="53">
        <f>IF(A1535="","",IF(IFERROR(VLOOKUP(D1535,Parameter!$A$35:$C$64,2,0),"Nein")="2+3",IF(ISNUMBER(SEARCH("grosser Artikel",BJ1535)),2,IFERROR(VLOOKUP(BM1535,Parameter!$F$35:$G$64,2,0),2)),IF(OR(IFERROR(VLOOKUP(D1535,Parameter!$A$35:$C$64,2,0),"Nein")="Nein",IFERROR(VLOOKUP(D1535,Parameter!$A$35:$C$64,2,0),"Nein")=""),"-",VLOOKUP(D1535,Parameter!$A$35:$C$64,2,0))))</f>
        <v/>
      </c>
      <c r="V1535" s="53">
        <f>IF('Neue Artikel'!$J$69="","",'Neue Artikel'!$J$69)</f>
        <v/>
      </c>
      <c r="W1535" s="62" t="n"/>
      <c r="X1535" s="55">
        <f>AM1535</f>
        <v/>
      </c>
      <c r="Y1535" s="55">
        <f>MAX(AM1535,G1535)</f>
        <v/>
      </c>
      <c r="Z1535" s="63" t="n"/>
      <c r="AA1535" s="55">
        <f>IF(LEFT(Cockpit!$C$5,1)="A",G1535,IF(BT1535=1,BU1535,IF(LEFT(Cockpit!$C$5,1)="B",AE1535,MAX(AE1535,G1535))))</f>
        <v/>
      </c>
      <c r="AB1535" s="55">
        <f>IF(BO1535=1,0,ROUNDUP(AA1535/BN1535,0))</f>
        <v/>
      </c>
      <c r="AC1535" s="64">
        <f>IF(BO1535=1,IF(AA1535&lt;=0,0,BP1535*MAX(1,IF(G1535&gt;0,AA1535/G1535,1))),AB1535*Q1535)</f>
        <v/>
      </c>
      <c r="AD1535" s="55">
        <f>AA1535*F1535</f>
        <v/>
      </c>
      <c r="AE1535" s="55">
        <f>ROUNDUP(MAX(I1535/IF(BS1535&gt;0,BS1535,MAX(0.1,N(Cockpit!$C$6))),BV1535)/BN1535,0)*BN1535</f>
        <v/>
      </c>
      <c r="AF1535" s="56">
        <f>IF(AC1535&gt;0,I1535/AC1535,-1)</f>
        <v/>
      </c>
      <c r="AG1535" s="56">
        <f>IF(AND(OR(BR1535="L1",BR1535="L23"),AC1535&gt;0),SUMIFS($AC$7:$AC$1570,$BR$7:$BR$1570,BR1535,$AF$7:$AF$1570,"&gt;"&amp;AF1535)+SUMIFS($AC$7:$AC$1570,$BR$7:$BR$1570,BR1535,$AF$7:$AF$1570,AF1535,$BL$7:$BL$1570,"&lt;="&amp;BL1535),"")</f>
        <v/>
      </c>
      <c r="AH1535" s="65">
        <f>IF(AG1535="",0,MAX(0,MIN(1,(IF(BR1535="L1",Parameter!$K$5,Parameter!$K$6+Parameter!$K$7)-(AG1535-AC1535))/AC1535)))</f>
        <v/>
      </c>
      <c r="AI1535" s="55">
        <f>IF(LEFT(Cockpit!$I$5,1)="A",G1535,IF(BT1535=1,BU1535,IF(LEFT(Cockpit!$I$5,1)="B",AM1535,MAX(AM1535,G1535))))</f>
        <v/>
      </c>
      <c r="AJ1535" s="55">
        <f>IF(BO1535=1,0,ROUNDUP(AI1535/BN1535,0))</f>
        <v/>
      </c>
      <c r="AK1535" s="64">
        <f>IF(BO1535=1,IF(AI1535&lt;=0,0,BP1535*MAX(1,IF(G1535&gt;0,AI1535/G1535,1))),AJ1535*Q1535)</f>
        <v/>
      </c>
      <c r="AL1535" s="55">
        <f>AI1535*F1535</f>
        <v/>
      </c>
      <c r="AM1535" s="55">
        <f>ROUNDUP(MAX(I1535/IF(BS1535&gt;0,BS1535,MAX(0.1,N(Cockpit!$I$6))),BV1535)/BN1535,0)*BN1535</f>
        <v/>
      </c>
      <c r="AN1535" s="56">
        <f>IF(AK1535&gt;0,I1535/AK1535,-1)</f>
        <v/>
      </c>
      <c r="AO1535" s="56">
        <f>IF(AND(OR(BR1535="L1",BR1535="L23"),AK1535&gt;0),SUMIFS($AK$7:$AK$1570,$BR$7:$BR$1570,BR1535,$AN$7:$AN$1570,"&gt;"&amp;AN1535)+SUMIFS($AK$7:$AK$1570,$BR$7:$BR$1570,BR1535,$AN$7:$AN$1570,AN1535,$BL$7:$BL$1570,"&lt;="&amp;BL1535),"")</f>
        <v/>
      </c>
      <c r="AP1535" s="65">
        <f>IF(AO1535="",0,MAX(0,MIN(1,(IF(BR1535="L1",Parameter!$K$5,Parameter!$K$6+Parameter!$K$7)-(AO1535-AK1535))/AK1535)))</f>
        <v/>
      </c>
      <c r="AQ1535" s="55">
        <f>IF(LEFT(Cockpit!$O$5,1)="A",G1535,IF(BT1535=1,BU1535,IF(LEFT(Cockpit!$O$5,1)="B",AU1535,MAX(AU1535,G1535))))</f>
        <v/>
      </c>
      <c r="AR1535" s="55">
        <f>IF(BO1535=1,0,ROUNDUP(AQ1535/BN1535,0))</f>
        <v/>
      </c>
      <c r="AS1535" s="64">
        <f>IF(BO1535=1,IF(AQ1535&lt;=0,0,BP1535*MAX(1,IF(G1535&gt;0,AQ1535/G1535,1))),AR1535*Q1535)</f>
        <v/>
      </c>
      <c r="AT1535" s="55">
        <f>AQ1535*F1535</f>
        <v/>
      </c>
      <c r="AU1535" s="55">
        <f>ROUNDUP(MAX(I1535/IF(BS1535&gt;0,BS1535,MAX(0.1,N(Cockpit!$O$6))),BV1535)/BN1535,0)*BN1535</f>
        <v/>
      </c>
      <c r="AV1535" s="56">
        <f>IF(AS1535&gt;0,I1535/AS1535,-1)</f>
        <v/>
      </c>
      <c r="AW1535" s="56">
        <f>IF(AND(OR(BR1535="L1",BR1535="L23"),AS1535&gt;0),SUMIFS($AS$7:$AS$1570,$BR$7:$BR$1570,BR1535,$AV$7:$AV$1570,"&gt;"&amp;AV1535)+SUMIFS($AS$7:$AS$1570,$BR$7:$BR$1570,BR1535,$AV$7:$AV$1570,AV1535,$BL$7:$BL$1570,"&lt;="&amp;BL1535),"")</f>
        <v/>
      </c>
      <c r="AX1535" s="65">
        <f>IF(AW1535="",0,MAX(0,MIN(1,(IF(BR1535="L1",Parameter!$K$5,Parameter!$K$6+Parameter!$K$7)-(AW1535-AS1535))/AS1535)))</f>
        <v/>
      </c>
      <c r="AY1535" s="53">
        <f>IF(AC1535&lt;=0,"",IF(BR1535="Aussen","Aussenlager",IF(BR1535="-","Nicht im Lift",IF(AH1535&gt;=1,"Lift",IF(AH1535&lt;=0,"Aussenlager","teilweise")))))</f>
        <v/>
      </c>
      <c r="AZ1535" s="53">
        <f>IF(AK1535&lt;=0,"",IF(BR1535="Aussen","Aussenlager",IF(BR1535="-","Nicht im Lift",IF(AP1535&gt;=1,"Lift",IF(AP1535&lt;=0,"Aussenlager","teilweise")))))</f>
        <v/>
      </c>
      <c r="BA1535" s="53">
        <f>IF(AS1535&lt;=0,"",IF(BR1535="Aussen","Aussenlager",IF(BR1535="-","Nicht im Lift",IF(AX1535&gt;=1,"Lift",IF(AX1535&lt;=0,"Aussenlager","teilweise")))))</f>
        <v/>
      </c>
      <c r="BB1535" s="53">
        <f>IF(A1535="","",IF(BK1535=1,"Neu; ","")&amp;IF(AND(BK1535=0,BF1535&lt;0),"negativer Bestand (Export "&amp;BF1535&amp;"); ","")&amp;IF(I1535&lt;=0,"Kein Verbrauch; ","")&amp;IF(BO1535=1,"Lose – Fläche geschätzt; ","")&amp;IF(G1535&gt;AM1535,"Überbestand "&amp;ROUND(G1535-AM1535,0)&amp;" Stk / CHF "&amp;ROUND((G1535-AM1535)*F1535,0)&amp;"; ","")&amp;IF(AND(BT1535=1,BU1535&lt;BV1535),"MAX &lt; MB+LG; ","")&amp;IF(AND(BZ1535&gt;0,BY1535*10&gt;BZ1535),"zu hoch für Tablar; ","")&amp;IF(AND(BK1535=0,OR(BT1535=1,V1535&lt;&gt;"",S1535&lt;&gt;"",T1535&lt;&gt;"",W1535&lt;&gt;"")),"manuell übersteuert; ","")&amp;IF(AND(BO1535=0,Q1535=0),"Gebinde unbekannt; ","")&amp;IF(AND(BO1535=0,N(T1535)&lt;=0,N(P1535)&lt;=0),"Menge pro Gebinde fehlt (Ist = 1 Gebinde); ","")&amp;BJ1535)</f>
        <v/>
      </c>
      <c r="BC1535" s="53" t="n"/>
      <c r="BD1535" s="53" t="n"/>
      <c r="BE1535" s="61" t="n"/>
      <c r="BF1535" s="55">
        <f>N('Neue Artikel'!$D$69)</f>
        <v/>
      </c>
      <c r="BG1535" s="55" t="n">
        <v>0</v>
      </c>
      <c r="BH1535" s="54" t="n">
        <v>0</v>
      </c>
      <c r="BI1535" s="55">
        <f>N('Neue Artikel'!$C$69)/Parameter!$B$18</f>
        <v/>
      </c>
      <c r="BJ1535" s="53" t="inlineStr"/>
      <c r="BK1535" s="58" t="n">
        <v>1</v>
      </c>
      <c r="BL1535" s="58" t="n">
        <v>1535</v>
      </c>
      <c r="BM1535" s="53">
        <f>IF(S1535&lt;&gt;"",UPPER(TRIM(S1535)),IF(O1535="","LOSE",O1535))</f>
        <v/>
      </c>
      <c r="BN1535" s="55">
        <f>IF(BM1535="LOSE",1,IF(N(T1535)&gt;0,T1535,IF(N(P1535)&gt;0,P1535,MAX(1,G1535))))</f>
        <v/>
      </c>
      <c r="BO1535" s="58">
        <f>IF(BM1535="LOSE",1,0)</f>
        <v/>
      </c>
      <c r="BP1535" s="64">
        <f>IF(BO1535=0,0,IF(N(R1535)&gt;0,R1535,IFERROR(VLOOKUP(D1535,Parameter!$A$35:$C$64,3,0)+0,0)))</f>
        <v/>
      </c>
      <c r="BQ1535" s="53">
        <f>IF(V1535&lt;&gt;"",V1535,U1535)</f>
        <v/>
      </c>
      <c r="BR1535" s="53">
        <f>IF(BQ1535=1,"L1",IF(OR(BQ1535=2,BQ1535=3),"L23",IF(BQ1535="Aussen","Aussen","-")))</f>
        <v/>
      </c>
      <c r="BS1535" s="66">
        <f>IF(N(W1535)&gt;0,W1535,0)</f>
        <v/>
      </c>
      <c r="BT1535" s="58">
        <f>IF(ISNUMBER(Z1535),1,0)</f>
        <v/>
      </c>
      <c r="BU1535" s="55">
        <f>N(Z1535)</f>
        <v/>
      </c>
      <c r="BV1535" s="55">
        <f>N(L1535)+N(M1535)</f>
        <v/>
      </c>
      <c r="BW1535" s="55">
        <f>ROUNDUP(G1535/BN1535,0)</f>
        <v/>
      </c>
      <c r="BX1535" s="55">
        <f>ROUNDUP(BU1535/BN1535,0)</f>
        <v/>
      </c>
      <c r="BY1535" s="58">
        <f>IF(BO1535=1,0,IFERROR(VLOOKUP(BM1535,'Gebinde-Kategorie'!$A$5:$G$45,5,0)+0,0))</f>
        <v/>
      </c>
      <c r="BZ1535" s="58">
        <f>IFERROR(IF(OR(BQ1535=1,BQ1535=2,BQ1535=3),N(INDEX(Parameter!$I$5:$I$7,BQ1535)),0),0)</f>
        <v/>
      </c>
    </row>
    <row r="1536">
      <c r="A1536" s="53">
        <f>IF('Neue Artikel'!$A$70="","",'Neue Artikel'!$A$70&amp;"")</f>
        <v/>
      </c>
      <c r="B1536" s="53">
        <f>'Neue Artikel'!$B$70&amp;""</f>
        <v/>
      </c>
      <c r="C1536" s="53" t="inlineStr"/>
      <c r="D1536" s="53" t="inlineStr">
        <is>
          <t>NEU</t>
        </is>
      </c>
      <c r="E1536" s="53" t="inlineStr"/>
      <c r="F1536" s="54">
        <f>N('Neue Artikel'!$G$70)</f>
        <v/>
      </c>
      <c r="G1536" s="55">
        <f>MAX(0,IF(Parameter!$B$20="Jahresanfang 2025 + Export",BG1536+BF1536,BF1536))</f>
        <v/>
      </c>
      <c r="H1536" s="55">
        <f>G1536*F1536</f>
        <v/>
      </c>
      <c r="I1536" s="55">
        <f>BI1536*Parameter!$B$18</f>
        <v/>
      </c>
      <c r="J1536" s="56" t="n"/>
      <c r="K1536" s="57" t="n"/>
      <c r="L1536" s="55">
        <f>N('Neue Artikel'!$E$70)</f>
        <v/>
      </c>
      <c r="M1536" s="55">
        <f>N('Neue Artikel'!$F$70)</f>
        <v/>
      </c>
      <c r="N1536" s="58" t="n"/>
      <c r="O1536" s="53">
        <f>IF('Neue Artikel'!$H$70="","LOSE",UPPER(TRIM('Neue Artikel'!$H$70)))</f>
        <v/>
      </c>
      <c r="P1536" s="55">
        <f>N('Neue Artikel'!$I$70)</f>
        <v/>
      </c>
      <c r="Q1536" s="59">
        <f>IF(BO1536=1,0,IFERROR(VLOOKUP(BM1536,'Gebinde-Kategorie'!$A$5:$G$45,6,0)+0,0))</f>
        <v/>
      </c>
      <c r="R1536" s="60" t="n"/>
      <c r="S1536" s="61" t="n"/>
      <c r="T1536" s="61" t="n"/>
      <c r="U1536" s="53">
        <f>IF(A1536="","",IF(IFERROR(VLOOKUP(D1536,Parameter!$A$35:$C$64,2,0),"Nein")="2+3",IF(ISNUMBER(SEARCH("grosser Artikel",BJ1536)),2,IFERROR(VLOOKUP(BM1536,Parameter!$F$35:$G$64,2,0),2)),IF(OR(IFERROR(VLOOKUP(D1536,Parameter!$A$35:$C$64,2,0),"Nein")="Nein",IFERROR(VLOOKUP(D1536,Parameter!$A$35:$C$64,2,0),"Nein")=""),"-",VLOOKUP(D1536,Parameter!$A$35:$C$64,2,0))))</f>
        <v/>
      </c>
      <c r="V1536" s="53">
        <f>IF('Neue Artikel'!$J$70="","",'Neue Artikel'!$J$70)</f>
        <v/>
      </c>
      <c r="W1536" s="62" t="n"/>
      <c r="X1536" s="55">
        <f>AM1536</f>
        <v/>
      </c>
      <c r="Y1536" s="55">
        <f>MAX(AM1536,G1536)</f>
        <v/>
      </c>
      <c r="Z1536" s="63" t="n"/>
      <c r="AA1536" s="55">
        <f>IF(LEFT(Cockpit!$C$5,1)="A",G1536,IF(BT1536=1,BU1536,IF(LEFT(Cockpit!$C$5,1)="B",AE1536,MAX(AE1536,G1536))))</f>
        <v/>
      </c>
      <c r="AB1536" s="55">
        <f>IF(BO1536=1,0,ROUNDUP(AA1536/BN1536,0))</f>
        <v/>
      </c>
      <c r="AC1536" s="64">
        <f>IF(BO1536=1,IF(AA1536&lt;=0,0,BP1536*MAX(1,IF(G1536&gt;0,AA1536/G1536,1))),AB1536*Q1536)</f>
        <v/>
      </c>
      <c r="AD1536" s="55">
        <f>AA1536*F1536</f>
        <v/>
      </c>
      <c r="AE1536" s="55">
        <f>ROUNDUP(MAX(I1536/IF(BS1536&gt;0,BS1536,MAX(0.1,N(Cockpit!$C$6))),BV1536)/BN1536,0)*BN1536</f>
        <v/>
      </c>
      <c r="AF1536" s="56">
        <f>IF(AC1536&gt;0,I1536/AC1536,-1)</f>
        <v/>
      </c>
      <c r="AG1536" s="56">
        <f>IF(AND(OR(BR1536="L1",BR1536="L23"),AC1536&gt;0),SUMIFS($AC$7:$AC$1570,$BR$7:$BR$1570,BR1536,$AF$7:$AF$1570,"&gt;"&amp;AF1536)+SUMIFS($AC$7:$AC$1570,$BR$7:$BR$1570,BR1536,$AF$7:$AF$1570,AF1536,$BL$7:$BL$1570,"&lt;="&amp;BL1536),"")</f>
        <v/>
      </c>
      <c r="AH1536" s="65">
        <f>IF(AG1536="",0,MAX(0,MIN(1,(IF(BR1536="L1",Parameter!$K$5,Parameter!$K$6+Parameter!$K$7)-(AG1536-AC1536))/AC1536)))</f>
        <v/>
      </c>
      <c r="AI1536" s="55">
        <f>IF(LEFT(Cockpit!$I$5,1)="A",G1536,IF(BT1536=1,BU1536,IF(LEFT(Cockpit!$I$5,1)="B",AM1536,MAX(AM1536,G1536))))</f>
        <v/>
      </c>
      <c r="AJ1536" s="55">
        <f>IF(BO1536=1,0,ROUNDUP(AI1536/BN1536,0))</f>
        <v/>
      </c>
      <c r="AK1536" s="64">
        <f>IF(BO1536=1,IF(AI1536&lt;=0,0,BP1536*MAX(1,IF(G1536&gt;0,AI1536/G1536,1))),AJ1536*Q1536)</f>
        <v/>
      </c>
      <c r="AL1536" s="55">
        <f>AI1536*F1536</f>
        <v/>
      </c>
      <c r="AM1536" s="55">
        <f>ROUNDUP(MAX(I1536/IF(BS1536&gt;0,BS1536,MAX(0.1,N(Cockpit!$I$6))),BV1536)/BN1536,0)*BN1536</f>
        <v/>
      </c>
      <c r="AN1536" s="56">
        <f>IF(AK1536&gt;0,I1536/AK1536,-1)</f>
        <v/>
      </c>
      <c r="AO1536" s="56">
        <f>IF(AND(OR(BR1536="L1",BR1536="L23"),AK1536&gt;0),SUMIFS($AK$7:$AK$1570,$BR$7:$BR$1570,BR1536,$AN$7:$AN$1570,"&gt;"&amp;AN1536)+SUMIFS($AK$7:$AK$1570,$BR$7:$BR$1570,BR1536,$AN$7:$AN$1570,AN1536,$BL$7:$BL$1570,"&lt;="&amp;BL1536),"")</f>
        <v/>
      </c>
      <c r="AP1536" s="65">
        <f>IF(AO1536="",0,MAX(0,MIN(1,(IF(BR1536="L1",Parameter!$K$5,Parameter!$K$6+Parameter!$K$7)-(AO1536-AK1536))/AK1536)))</f>
        <v/>
      </c>
      <c r="AQ1536" s="55">
        <f>IF(LEFT(Cockpit!$O$5,1)="A",G1536,IF(BT1536=1,BU1536,IF(LEFT(Cockpit!$O$5,1)="B",AU1536,MAX(AU1536,G1536))))</f>
        <v/>
      </c>
      <c r="AR1536" s="55">
        <f>IF(BO1536=1,0,ROUNDUP(AQ1536/BN1536,0))</f>
        <v/>
      </c>
      <c r="AS1536" s="64">
        <f>IF(BO1536=1,IF(AQ1536&lt;=0,0,BP1536*MAX(1,IF(G1536&gt;0,AQ1536/G1536,1))),AR1536*Q1536)</f>
        <v/>
      </c>
      <c r="AT1536" s="55">
        <f>AQ1536*F1536</f>
        <v/>
      </c>
      <c r="AU1536" s="55">
        <f>ROUNDUP(MAX(I1536/IF(BS1536&gt;0,BS1536,MAX(0.1,N(Cockpit!$O$6))),BV1536)/BN1536,0)*BN1536</f>
        <v/>
      </c>
      <c r="AV1536" s="56">
        <f>IF(AS1536&gt;0,I1536/AS1536,-1)</f>
        <v/>
      </c>
      <c r="AW1536" s="56">
        <f>IF(AND(OR(BR1536="L1",BR1536="L23"),AS1536&gt;0),SUMIFS($AS$7:$AS$1570,$BR$7:$BR$1570,BR1536,$AV$7:$AV$1570,"&gt;"&amp;AV1536)+SUMIFS($AS$7:$AS$1570,$BR$7:$BR$1570,BR1536,$AV$7:$AV$1570,AV1536,$BL$7:$BL$1570,"&lt;="&amp;BL1536),"")</f>
        <v/>
      </c>
      <c r="AX1536" s="65">
        <f>IF(AW1536="",0,MAX(0,MIN(1,(IF(BR1536="L1",Parameter!$K$5,Parameter!$K$6+Parameter!$K$7)-(AW1536-AS1536))/AS1536)))</f>
        <v/>
      </c>
      <c r="AY1536" s="53">
        <f>IF(AC1536&lt;=0,"",IF(BR1536="Aussen","Aussenlager",IF(BR1536="-","Nicht im Lift",IF(AH1536&gt;=1,"Lift",IF(AH1536&lt;=0,"Aussenlager","teilweise")))))</f>
        <v/>
      </c>
      <c r="AZ1536" s="53">
        <f>IF(AK1536&lt;=0,"",IF(BR1536="Aussen","Aussenlager",IF(BR1536="-","Nicht im Lift",IF(AP1536&gt;=1,"Lift",IF(AP1536&lt;=0,"Aussenlager","teilweise")))))</f>
        <v/>
      </c>
      <c r="BA1536" s="53">
        <f>IF(AS1536&lt;=0,"",IF(BR1536="Aussen","Aussenlager",IF(BR1536="-","Nicht im Lift",IF(AX1536&gt;=1,"Lift",IF(AX1536&lt;=0,"Aussenlager","teilweise")))))</f>
        <v/>
      </c>
      <c r="BB1536" s="53">
        <f>IF(A1536="","",IF(BK1536=1,"Neu; ","")&amp;IF(AND(BK1536=0,BF1536&lt;0),"negativer Bestand (Export "&amp;BF1536&amp;"); ","")&amp;IF(I1536&lt;=0,"Kein Verbrauch; ","")&amp;IF(BO1536=1,"Lose – Fläche geschätzt; ","")&amp;IF(G1536&gt;AM1536,"Überbestand "&amp;ROUND(G1536-AM1536,0)&amp;" Stk / CHF "&amp;ROUND((G1536-AM1536)*F1536,0)&amp;"; ","")&amp;IF(AND(BT1536=1,BU1536&lt;BV1536),"MAX &lt; MB+LG; ","")&amp;IF(AND(BZ1536&gt;0,BY1536*10&gt;BZ1536),"zu hoch für Tablar; ","")&amp;IF(AND(BK1536=0,OR(BT1536=1,V1536&lt;&gt;"",S1536&lt;&gt;"",T1536&lt;&gt;"",W1536&lt;&gt;"")),"manuell übersteuert; ","")&amp;IF(AND(BO1536=0,Q1536=0),"Gebinde unbekannt; ","")&amp;IF(AND(BO1536=0,N(T1536)&lt;=0,N(P1536)&lt;=0),"Menge pro Gebinde fehlt (Ist = 1 Gebinde); ","")&amp;BJ1536)</f>
        <v/>
      </c>
      <c r="BC1536" s="53" t="n"/>
      <c r="BD1536" s="53" t="n"/>
      <c r="BE1536" s="61" t="n"/>
      <c r="BF1536" s="55">
        <f>N('Neue Artikel'!$D$70)</f>
        <v/>
      </c>
      <c r="BG1536" s="55" t="n">
        <v>0</v>
      </c>
      <c r="BH1536" s="54" t="n">
        <v>0</v>
      </c>
      <c r="BI1536" s="55">
        <f>N('Neue Artikel'!$C$70)/Parameter!$B$18</f>
        <v/>
      </c>
      <c r="BJ1536" s="53" t="inlineStr"/>
      <c r="BK1536" s="58" t="n">
        <v>1</v>
      </c>
      <c r="BL1536" s="58" t="n">
        <v>1536</v>
      </c>
      <c r="BM1536" s="53">
        <f>IF(S1536&lt;&gt;"",UPPER(TRIM(S1536)),IF(O1536="","LOSE",O1536))</f>
        <v/>
      </c>
      <c r="BN1536" s="55">
        <f>IF(BM1536="LOSE",1,IF(N(T1536)&gt;0,T1536,IF(N(P1536)&gt;0,P1536,MAX(1,G1536))))</f>
        <v/>
      </c>
      <c r="BO1536" s="58">
        <f>IF(BM1536="LOSE",1,0)</f>
        <v/>
      </c>
      <c r="BP1536" s="64">
        <f>IF(BO1536=0,0,IF(N(R1536)&gt;0,R1536,IFERROR(VLOOKUP(D1536,Parameter!$A$35:$C$64,3,0)+0,0)))</f>
        <v/>
      </c>
      <c r="BQ1536" s="53">
        <f>IF(V1536&lt;&gt;"",V1536,U1536)</f>
        <v/>
      </c>
      <c r="BR1536" s="53">
        <f>IF(BQ1536=1,"L1",IF(OR(BQ1536=2,BQ1536=3),"L23",IF(BQ1536="Aussen","Aussen","-")))</f>
        <v/>
      </c>
      <c r="BS1536" s="66">
        <f>IF(N(W1536)&gt;0,W1536,0)</f>
        <v/>
      </c>
      <c r="BT1536" s="58">
        <f>IF(ISNUMBER(Z1536),1,0)</f>
        <v/>
      </c>
      <c r="BU1536" s="55">
        <f>N(Z1536)</f>
        <v/>
      </c>
      <c r="BV1536" s="55">
        <f>N(L1536)+N(M1536)</f>
        <v/>
      </c>
      <c r="BW1536" s="55">
        <f>ROUNDUP(G1536/BN1536,0)</f>
        <v/>
      </c>
      <c r="BX1536" s="55">
        <f>ROUNDUP(BU1536/BN1536,0)</f>
        <v/>
      </c>
      <c r="BY1536" s="58">
        <f>IF(BO1536=1,0,IFERROR(VLOOKUP(BM1536,'Gebinde-Kategorie'!$A$5:$G$45,5,0)+0,0))</f>
        <v/>
      </c>
      <c r="BZ1536" s="58">
        <f>IFERROR(IF(OR(BQ1536=1,BQ1536=2,BQ1536=3),N(INDEX(Parameter!$I$5:$I$7,BQ1536)),0),0)</f>
        <v/>
      </c>
    </row>
    <row r="1537">
      <c r="A1537" s="53">
        <f>IF('Neue Artikel'!$A$71="","",'Neue Artikel'!$A$71&amp;"")</f>
        <v/>
      </c>
      <c r="B1537" s="53">
        <f>'Neue Artikel'!$B$71&amp;""</f>
        <v/>
      </c>
      <c r="C1537" s="53" t="inlineStr"/>
      <c r="D1537" s="53" t="inlineStr">
        <is>
          <t>NEU</t>
        </is>
      </c>
      <c r="E1537" s="53" t="inlineStr"/>
      <c r="F1537" s="54">
        <f>N('Neue Artikel'!$G$71)</f>
        <v/>
      </c>
      <c r="G1537" s="55">
        <f>MAX(0,IF(Parameter!$B$20="Jahresanfang 2025 + Export",BG1537+BF1537,BF1537))</f>
        <v/>
      </c>
      <c r="H1537" s="55">
        <f>G1537*F1537</f>
        <v/>
      </c>
      <c r="I1537" s="55">
        <f>BI1537*Parameter!$B$18</f>
        <v/>
      </c>
      <c r="J1537" s="56" t="n"/>
      <c r="K1537" s="57" t="n"/>
      <c r="L1537" s="55">
        <f>N('Neue Artikel'!$E$71)</f>
        <v/>
      </c>
      <c r="M1537" s="55">
        <f>N('Neue Artikel'!$F$71)</f>
        <v/>
      </c>
      <c r="N1537" s="58" t="n"/>
      <c r="O1537" s="53">
        <f>IF('Neue Artikel'!$H$71="","LOSE",UPPER(TRIM('Neue Artikel'!$H$71)))</f>
        <v/>
      </c>
      <c r="P1537" s="55">
        <f>N('Neue Artikel'!$I$71)</f>
        <v/>
      </c>
      <c r="Q1537" s="59">
        <f>IF(BO1537=1,0,IFERROR(VLOOKUP(BM1537,'Gebinde-Kategorie'!$A$5:$G$45,6,0)+0,0))</f>
        <v/>
      </c>
      <c r="R1537" s="60" t="n"/>
      <c r="S1537" s="61" t="n"/>
      <c r="T1537" s="61" t="n"/>
      <c r="U1537" s="53">
        <f>IF(A1537="","",IF(IFERROR(VLOOKUP(D1537,Parameter!$A$35:$C$64,2,0),"Nein")="2+3",IF(ISNUMBER(SEARCH("grosser Artikel",BJ1537)),2,IFERROR(VLOOKUP(BM1537,Parameter!$F$35:$G$64,2,0),2)),IF(OR(IFERROR(VLOOKUP(D1537,Parameter!$A$35:$C$64,2,0),"Nein")="Nein",IFERROR(VLOOKUP(D1537,Parameter!$A$35:$C$64,2,0),"Nein")=""),"-",VLOOKUP(D1537,Parameter!$A$35:$C$64,2,0))))</f>
        <v/>
      </c>
      <c r="V1537" s="53">
        <f>IF('Neue Artikel'!$J$71="","",'Neue Artikel'!$J$71)</f>
        <v/>
      </c>
      <c r="W1537" s="62" t="n"/>
      <c r="X1537" s="55">
        <f>AM1537</f>
        <v/>
      </c>
      <c r="Y1537" s="55">
        <f>MAX(AM1537,G1537)</f>
        <v/>
      </c>
      <c r="Z1537" s="63" t="n"/>
      <c r="AA1537" s="55">
        <f>IF(LEFT(Cockpit!$C$5,1)="A",G1537,IF(BT1537=1,BU1537,IF(LEFT(Cockpit!$C$5,1)="B",AE1537,MAX(AE1537,G1537))))</f>
        <v/>
      </c>
      <c r="AB1537" s="55">
        <f>IF(BO1537=1,0,ROUNDUP(AA1537/BN1537,0))</f>
        <v/>
      </c>
      <c r="AC1537" s="64">
        <f>IF(BO1537=1,IF(AA1537&lt;=0,0,BP1537*MAX(1,IF(G1537&gt;0,AA1537/G1537,1))),AB1537*Q1537)</f>
        <v/>
      </c>
      <c r="AD1537" s="55">
        <f>AA1537*F1537</f>
        <v/>
      </c>
      <c r="AE1537" s="55">
        <f>ROUNDUP(MAX(I1537/IF(BS1537&gt;0,BS1537,MAX(0.1,N(Cockpit!$C$6))),BV1537)/BN1537,0)*BN1537</f>
        <v/>
      </c>
      <c r="AF1537" s="56">
        <f>IF(AC1537&gt;0,I1537/AC1537,-1)</f>
        <v/>
      </c>
      <c r="AG1537" s="56">
        <f>IF(AND(OR(BR1537="L1",BR1537="L23"),AC1537&gt;0),SUMIFS($AC$7:$AC$1570,$BR$7:$BR$1570,BR1537,$AF$7:$AF$1570,"&gt;"&amp;AF1537)+SUMIFS($AC$7:$AC$1570,$BR$7:$BR$1570,BR1537,$AF$7:$AF$1570,AF1537,$BL$7:$BL$1570,"&lt;="&amp;BL1537),"")</f>
        <v/>
      </c>
      <c r="AH1537" s="65">
        <f>IF(AG1537="",0,MAX(0,MIN(1,(IF(BR1537="L1",Parameter!$K$5,Parameter!$K$6+Parameter!$K$7)-(AG1537-AC1537))/AC1537)))</f>
        <v/>
      </c>
      <c r="AI1537" s="55">
        <f>IF(LEFT(Cockpit!$I$5,1)="A",G1537,IF(BT1537=1,BU1537,IF(LEFT(Cockpit!$I$5,1)="B",AM1537,MAX(AM1537,G1537))))</f>
        <v/>
      </c>
      <c r="AJ1537" s="55">
        <f>IF(BO1537=1,0,ROUNDUP(AI1537/BN1537,0))</f>
        <v/>
      </c>
      <c r="AK1537" s="64">
        <f>IF(BO1537=1,IF(AI1537&lt;=0,0,BP1537*MAX(1,IF(G1537&gt;0,AI1537/G1537,1))),AJ1537*Q1537)</f>
        <v/>
      </c>
      <c r="AL1537" s="55">
        <f>AI1537*F1537</f>
        <v/>
      </c>
      <c r="AM1537" s="55">
        <f>ROUNDUP(MAX(I1537/IF(BS1537&gt;0,BS1537,MAX(0.1,N(Cockpit!$I$6))),BV1537)/BN1537,0)*BN1537</f>
        <v/>
      </c>
      <c r="AN1537" s="56">
        <f>IF(AK1537&gt;0,I1537/AK1537,-1)</f>
        <v/>
      </c>
      <c r="AO1537" s="56">
        <f>IF(AND(OR(BR1537="L1",BR1537="L23"),AK1537&gt;0),SUMIFS($AK$7:$AK$1570,$BR$7:$BR$1570,BR1537,$AN$7:$AN$1570,"&gt;"&amp;AN1537)+SUMIFS($AK$7:$AK$1570,$BR$7:$BR$1570,BR1537,$AN$7:$AN$1570,AN1537,$BL$7:$BL$1570,"&lt;="&amp;BL1537),"")</f>
        <v/>
      </c>
      <c r="AP1537" s="65">
        <f>IF(AO1537="",0,MAX(0,MIN(1,(IF(BR1537="L1",Parameter!$K$5,Parameter!$K$6+Parameter!$K$7)-(AO1537-AK1537))/AK1537)))</f>
        <v/>
      </c>
      <c r="AQ1537" s="55">
        <f>IF(LEFT(Cockpit!$O$5,1)="A",G1537,IF(BT1537=1,BU1537,IF(LEFT(Cockpit!$O$5,1)="B",AU1537,MAX(AU1537,G1537))))</f>
        <v/>
      </c>
      <c r="AR1537" s="55">
        <f>IF(BO1537=1,0,ROUNDUP(AQ1537/BN1537,0))</f>
        <v/>
      </c>
      <c r="AS1537" s="64">
        <f>IF(BO1537=1,IF(AQ1537&lt;=0,0,BP1537*MAX(1,IF(G1537&gt;0,AQ1537/G1537,1))),AR1537*Q1537)</f>
        <v/>
      </c>
      <c r="AT1537" s="55">
        <f>AQ1537*F1537</f>
        <v/>
      </c>
      <c r="AU1537" s="55">
        <f>ROUNDUP(MAX(I1537/IF(BS1537&gt;0,BS1537,MAX(0.1,N(Cockpit!$O$6))),BV1537)/BN1537,0)*BN1537</f>
        <v/>
      </c>
      <c r="AV1537" s="56">
        <f>IF(AS1537&gt;0,I1537/AS1537,-1)</f>
        <v/>
      </c>
      <c r="AW1537" s="56">
        <f>IF(AND(OR(BR1537="L1",BR1537="L23"),AS1537&gt;0),SUMIFS($AS$7:$AS$1570,$BR$7:$BR$1570,BR1537,$AV$7:$AV$1570,"&gt;"&amp;AV1537)+SUMIFS($AS$7:$AS$1570,$BR$7:$BR$1570,BR1537,$AV$7:$AV$1570,AV1537,$BL$7:$BL$1570,"&lt;="&amp;BL1537),"")</f>
        <v/>
      </c>
      <c r="AX1537" s="65">
        <f>IF(AW1537="",0,MAX(0,MIN(1,(IF(BR1537="L1",Parameter!$K$5,Parameter!$K$6+Parameter!$K$7)-(AW1537-AS1537))/AS1537)))</f>
        <v/>
      </c>
      <c r="AY1537" s="53">
        <f>IF(AC1537&lt;=0,"",IF(BR1537="Aussen","Aussenlager",IF(BR1537="-","Nicht im Lift",IF(AH1537&gt;=1,"Lift",IF(AH1537&lt;=0,"Aussenlager","teilweise")))))</f>
        <v/>
      </c>
      <c r="AZ1537" s="53">
        <f>IF(AK1537&lt;=0,"",IF(BR1537="Aussen","Aussenlager",IF(BR1537="-","Nicht im Lift",IF(AP1537&gt;=1,"Lift",IF(AP1537&lt;=0,"Aussenlager","teilweise")))))</f>
        <v/>
      </c>
      <c r="BA1537" s="53">
        <f>IF(AS1537&lt;=0,"",IF(BR1537="Aussen","Aussenlager",IF(BR1537="-","Nicht im Lift",IF(AX1537&gt;=1,"Lift",IF(AX1537&lt;=0,"Aussenlager","teilweise")))))</f>
        <v/>
      </c>
      <c r="BB1537" s="53">
        <f>IF(A1537="","",IF(BK1537=1,"Neu; ","")&amp;IF(AND(BK1537=0,BF1537&lt;0),"negativer Bestand (Export "&amp;BF1537&amp;"); ","")&amp;IF(I1537&lt;=0,"Kein Verbrauch; ","")&amp;IF(BO1537=1,"Lose – Fläche geschätzt; ","")&amp;IF(G1537&gt;AM1537,"Überbestand "&amp;ROUND(G1537-AM1537,0)&amp;" Stk / CHF "&amp;ROUND((G1537-AM1537)*F1537,0)&amp;"; ","")&amp;IF(AND(BT1537=1,BU1537&lt;BV1537),"MAX &lt; MB+LG; ","")&amp;IF(AND(BZ1537&gt;0,BY1537*10&gt;BZ1537),"zu hoch für Tablar; ","")&amp;IF(AND(BK1537=0,OR(BT1537=1,V1537&lt;&gt;"",S1537&lt;&gt;"",T1537&lt;&gt;"",W1537&lt;&gt;"")),"manuell übersteuert; ","")&amp;IF(AND(BO1537=0,Q1537=0),"Gebinde unbekannt; ","")&amp;IF(AND(BO1537=0,N(T1537)&lt;=0,N(P1537)&lt;=0),"Menge pro Gebinde fehlt (Ist = 1 Gebinde); ","")&amp;BJ1537)</f>
        <v/>
      </c>
      <c r="BC1537" s="53" t="n"/>
      <c r="BD1537" s="53" t="n"/>
      <c r="BE1537" s="61" t="n"/>
      <c r="BF1537" s="55">
        <f>N('Neue Artikel'!$D$71)</f>
        <v/>
      </c>
      <c r="BG1537" s="55" t="n">
        <v>0</v>
      </c>
      <c r="BH1537" s="54" t="n">
        <v>0</v>
      </c>
      <c r="BI1537" s="55">
        <f>N('Neue Artikel'!$C$71)/Parameter!$B$18</f>
        <v/>
      </c>
      <c r="BJ1537" s="53" t="inlineStr"/>
      <c r="BK1537" s="58" t="n">
        <v>1</v>
      </c>
      <c r="BL1537" s="58" t="n">
        <v>1537</v>
      </c>
      <c r="BM1537" s="53">
        <f>IF(S1537&lt;&gt;"",UPPER(TRIM(S1537)),IF(O1537="","LOSE",O1537))</f>
        <v/>
      </c>
      <c r="BN1537" s="55">
        <f>IF(BM1537="LOSE",1,IF(N(T1537)&gt;0,T1537,IF(N(P1537)&gt;0,P1537,MAX(1,G1537))))</f>
        <v/>
      </c>
      <c r="BO1537" s="58">
        <f>IF(BM1537="LOSE",1,0)</f>
        <v/>
      </c>
      <c r="BP1537" s="64">
        <f>IF(BO1537=0,0,IF(N(R1537)&gt;0,R1537,IFERROR(VLOOKUP(D1537,Parameter!$A$35:$C$64,3,0)+0,0)))</f>
        <v/>
      </c>
      <c r="BQ1537" s="53">
        <f>IF(V1537&lt;&gt;"",V1537,U1537)</f>
        <v/>
      </c>
      <c r="BR1537" s="53">
        <f>IF(BQ1537=1,"L1",IF(OR(BQ1537=2,BQ1537=3),"L23",IF(BQ1537="Aussen","Aussen","-")))</f>
        <v/>
      </c>
      <c r="BS1537" s="66">
        <f>IF(N(W1537)&gt;0,W1537,0)</f>
        <v/>
      </c>
      <c r="BT1537" s="58">
        <f>IF(ISNUMBER(Z1537),1,0)</f>
        <v/>
      </c>
      <c r="BU1537" s="55">
        <f>N(Z1537)</f>
        <v/>
      </c>
      <c r="BV1537" s="55">
        <f>N(L1537)+N(M1537)</f>
        <v/>
      </c>
      <c r="BW1537" s="55">
        <f>ROUNDUP(G1537/BN1537,0)</f>
        <v/>
      </c>
      <c r="BX1537" s="55">
        <f>ROUNDUP(BU1537/BN1537,0)</f>
        <v/>
      </c>
      <c r="BY1537" s="58">
        <f>IF(BO1537=1,0,IFERROR(VLOOKUP(BM1537,'Gebinde-Kategorie'!$A$5:$G$45,5,0)+0,0))</f>
        <v/>
      </c>
      <c r="BZ1537" s="58">
        <f>IFERROR(IF(OR(BQ1537=1,BQ1537=2,BQ1537=3),N(INDEX(Parameter!$I$5:$I$7,BQ1537)),0),0)</f>
        <v/>
      </c>
    </row>
    <row r="1538">
      <c r="A1538" s="53">
        <f>IF('Neue Artikel'!$A$72="","",'Neue Artikel'!$A$72&amp;"")</f>
        <v/>
      </c>
      <c r="B1538" s="53">
        <f>'Neue Artikel'!$B$72&amp;""</f>
        <v/>
      </c>
      <c r="C1538" s="53" t="inlineStr"/>
      <c r="D1538" s="53" t="inlineStr">
        <is>
          <t>NEU</t>
        </is>
      </c>
      <c r="E1538" s="53" t="inlineStr"/>
      <c r="F1538" s="54">
        <f>N('Neue Artikel'!$G$72)</f>
        <v/>
      </c>
      <c r="G1538" s="55">
        <f>MAX(0,IF(Parameter!$B$20="Jahresanfang 2025 + Export",BG1538+BF1538,BF1538))</f>
        <v/>
      </c>
      <c r="H1538" s="55">
        <f>G1538*F1538</f>
        <v/>
      </c>
      <c r="I1538" s="55">
        <f>BI1538*Parameter!$B$18</f>
        <v/>
      </c>
      <c r="J1538" s="56" t="n"/>
      <c r="K1538" s="57" t="n"/>
      <c r="L1538" s="55">
        <f>N('Neue Artikel'!$E$72)</f>
        <v/>
      </c>
      <c r="M1538" s="55">
        <f>N('Neue Artikel'!$F$72)</f>
        <v/>
      </c>
      <c r="N1538" s="58" t="n"/>
      <c r="O1538" s="53">
        <f>IF('Neue Artikel'!$H$72="","LOSE",UPPER(TRIM('Neue Artikel'!$H$72)))</f>
        <v/>
      </c>
      <c r="P1538" s="55">
        <f>N('Neue Artikel'!$I$72)</f>
        <v/>
      </c>
      <c r="Q1538" s="59">
        <f>IF(BO1538=1,0,IFERROR(VLOOKUP(BM1538,'Gebinde-Kategorie'!$A$5:$G$45,6,0)+0,0))</f>
        <v/>
      </c>
      <c r="R1538" s="60" t="n"/>
      <c r="S1538" s="61" t="n"/>
      <c r="T1538" s="61" t="n"/>
      <c r="U1538" s="53">
        <f>IF(A1538="","",IF(IFERROR(VLOOKUP(D1538,Parameter!$A$35:$C$64,2,0),"Nein")="2+3",IF(ISNUMBER(SEARCH("grosser Artikel",BJ1538)),2,IFERROR(VLOOKUP(BM1538,Parameter!$F$35:$G$64,2,0),2)),IF(OR(IFERROR(VLOOKUP(D1538,Parameter!$A$35:$C$64,2,0),"Nein")="Nein",IFERROR(VLOOKUP(D1538,Parameter!$A$35:$C$64,2,0),"Nein")=""),"-",VLOOKUP(D1538,Parameter!$A$35:$C$64,2,0))))</f>
        <v/>
      </c>
      <c r="V1538" s="53">
        <f>IF('Neue Artikel'!$J$72="","",'Neue Artikel'!$J$72)</f>
        <v/>
      </c>
      <c r="W1538" s="62" t="n"/>
      <c r="X1538" s="55">
        <f>AM1538</f>
        <v/>
      </c>
      <c r="Y1538" s="55">
        <f>MAX(AM1538,G1538)</f>
        <v/>
      </c>
      <c r="Z1538" s="63" t="n"/>
      <c r="AA1538" s="55">
        <f>IF(LEFT(Cockpit!$C$5,1)="A",G1538,IF(BT1538=1,BU1538,IF(LEFT(Cockpit!$C$5,1)="B",AE1538,MAX(AE1538,G1538))))</f>
        <v/>
      </c>
      <c r="AB1538" s="55">
        <f>IF(BO1538=1,0,ROUNDUP(AA1538/BN1538,0))</f>
        <v/>
      </c>
      <c r="AC1538" s="64">
        <f>IF(BO1538=1,IF(AA1538&lt;=0,0,BP1538*MAX(1,IF(G1538&gt;0,AA1538/G1538,1))),AB1538*Q1538)</f>
        <v/>
      </c>
      <c r="AD1538" s="55">
        <f>AA1538*F1538</f>
        <v/>
      </c>
      <c r="AE1538" s="55">
        <f>ROUNDUP(MAX(I1538/IF(BS1538&gt;0,BS1538,MAX(0.1,N(Cockpit!$C$6))),BV1538)/BN1538,0)*BN1538</f>
        <v/>
      </c>
      <c r="AF1538" s="56">
        <f>IF(AC1538&gt;0,I1538/AC1538,-1)</f>
        <v/>
      </c>
      <c r="AG1538" s="56">
        <f>IF(AND(OR(BR1538="L1",BR1538="L23"),AC1538&gt;0),SUMIFS($AC$7:$AC$1570,$BR$7:$BR$1570,BR1538,$AF$7:$AF$1570,"&gt;"&amp;AF1538)+SUMIFS($AC$7:$AC$1570,$BR$7:$BR$1570,BR1538,$AF$7:$AF$1570,AF1538,$BL$7:$BL$1570,"&lt;="&amp;BL1538),"")</f>
        <v/>
      </c>
      <c r="AH1538" s="65">
        <f>IF(AG1538="",0,MAX(0,MIN(1,(IF(BR1538="L1",Parameter!$K$5,Parameter!$K$6+Parameter!$K$7)-(AG1538-AC1538))/AC1538)))</f>
        <v/>
      </c>
      <c r="AI1538" s="55">
        <f>IF(LEFT(Cockpit!$I$5,1)="A",G1538,IF(BT1538=1,BU1538,IF(LEFT(Cockpit!$I$5,1)="B",AM1538,MAX(AM1538,G1538))))</f>
        <v/>
      </c>
      <c r="AJ1538" s="55">
        <f>IF(BO1538=1,0,ROUNDUP(AI1538/BN1538,0))</f>
        <v/>
      </c>
      <c r="AK1538" s="64">
        <f>IF(BO1538=1,IF(AI1538&lt;=0,0,BP1538*MAX(1,IF(G1538&gt;0,AI1538/G1538,1))),AJ1538*Q1538)</f>
        <v/>
      </c>
      <c r="AL1538" s="55">
        <f>AI1538*F1538</f>
        <v/>
      </c>
      <c r="AM1538" s="55">
        <f>ROUNDUP(MAX(I1538/IF(BS1538&gt;0,BS1538,MAX(0.1,N(Cockpit!$I$6))),BV1538)/BN1538,0)*BN1538</f>
        <v/>
      </c>
      <c r="AN1538" s="56">
        <f>IF(AK1538&gt;0,I1538/AK1538,-1)</f>
        <v/>
      </c>
      <c r="AO1538" s="56">
        <f>IF(AND(OR(BR1538="L1",BR1538="L23"),AK1538&gt;0),SUMIFS($AK$7:$AK$1570,$BR$7:$BR$1570,BR1538,$AN$7:$AN$1570,"&gt;"&amp;AN1538)+SUMIFS($AK$7:$AK$1570,$BR$7:$BR$1570,BR1538,$AN$7:$AN$1570,AN1538,$BL$7:$BL$1570,"&lt;="&amp;BL1538),"")</f>
        <v/>
      </c>
      <c r="AP1538" s="65">
        <f>IF(AO1538="",0,MAX(0,MIN(1,(IF(BR1538="L1",Parameter!$K$5,Parameter!$K$6+Parameter!$K$7)-(AO1538-AK1538))/AK1538)))</f>
        <v/>
      </c>
      <c r="AQ1538" s="55">
        <f>IF(LEFT(Cockpit!$O$5,1)="A",G1538,IF(BT1538=1,BU1538,IF(LEFT(Cockpit!$O$5,1)="B",AU1538,MAX(AU1538,G1538))))</f>
        <v/>
      </c>
      <c r="AR1538" s="55">
        <f>IF(BO1538=1,0,ROUNDUP(AQ1538/BN1538,0))</f>
        <v/>
      </c>
      <c r="AS1538" s="64">
        <f>IF(BO1538=1,IF(AQ1538&lt;=0,0,BP1538*MAX(1,IF(G1538&gt;0,AQ1538/G1538,1))),AR1538*Q1538)</f>
        <v/>
      </c>
      <c r="AT1538" s="55">
        <f>AQ1538*F1538</f>
        <v/>
      </c>
      <c r="AU1538" s="55">
        <f>ROUNDUP(MAX(I1538/IF(BS1538&gt;0,BS1538,MAX(0.1,N(Cockpit!$O$6))),BV1538)/BN1538,0)*BN1538</f>
        <v/>
      </c>
      <c r="AV1538" s="56">
        <f>IF(AS1538&gt;0,I1538/AS1538,-1)</f>
        <v/>
      </c>
      <c r="AW1538" s="56">
        <f>IF(AND(OR(BR1538="L1",BR1538="L23"),AS1538&gt;0),SUMIFS($AS$7:$AS$1570,$BR$7:$BR$1570,BR1538,$AV$7:$AV$1570,"&gt;"&amp;AV1538)+SUMIFS($AS$7:$AS$1570,$BR$7:$BR$1570,BR1538,$AV$7:$AV$1570,AV1538,$BL$7:$BL$1570,"&lt;="&amp;BL1538),"")</f>
        <v/>
      </c>
      <c r="AX1538" s="65">
        <f>IF(AW1538="",0,MAX(0,MIN(1,(IF(BR1538="L1",Parameter!$K$5,Parameter!$K$6+Parameter!$K$7)-(AW1538-AS1538))/AS1538)))</f>
        <v/>
      </c>
      <c r="AY1538" s="53">
        <f>IF(AC1538&lt;=0,"",IF(BR1538="Aussen","Aussenlager",IF(BR1538="-","Nicht im Lift",IF(AH1538&gt;=1,"Lift",IF(AH1538&lt;=0,"Aussenlager","teilweise")))))</f>
        <v/>
      </c>
      <c r="AZ1538" s="53">
        <f>IF(AK1538&lt;=0,"",IF(BR1538="Aussen","Aussenlager",IF(BR1538="-","Nicht im Lift",IF(AP1538&gt;=1,"Lift",IF(AP1538&lt;=0,"Aussenlager","teilweise")))))</f>
        <v/>
      </c>
      <c r="BA1538" s="53">
        <f>IF(AS1538&lt;=0,"",IF(BR1538="Aussen","Aussenlager",IF(BR1538="-","Nicht im Lift",IF(AX1538&gt;=1,"Lift",IF(AX1538&lt;=0,"Aussenlager","teilweise")))))</f>
        <v/>
      </c>
      <c r="BB1538" s="53">
        <f>IF(A1538="","",IF(BK1538=1,"Neu; ","")&amp;IF(AND(BK1538=0,BF1538&lt;0),"negativer Bestand (Export "&amp;BF1538&amp;"); ","")&amp;IF(I1538&lt;=0,"Kein Verbrauch; ","")&amp;IF(BO1538=1,"Lose – Fläche geschätzt; ","")&amp;IF(G1538&gt;AM1538,"Überbestand "&amp;ROUND(G1538-AM1538,0)&amp;" Stk / CHF "&amp;ROUND((G1538-AM1538)*F1538,0)&amp;"; ","")&amp;IF(AND(BT1538=1,BU1538&lt;BV1538),"MAX &lt; MB+LG; ","")&amp;IF(AND(BZ1538&gt;0,BY1538*10&gt;BZ1538),"zu hoch für Tablar; ","")&amp;IF(AND(BK1538=0,OR(BT1538=1,V1538&lt;&gt;"",S1538&lt;&gt;"",T1538&lt;&gt;"",W1538&lt;&gt;"")),"manuell übersteuert; ","")&amp;IF(AND(BO1538=0,Q1538=0),"Gebinde unbekannt; ","")&amp;IF(AND(BO1538=0,N(T1538)&lt;=0,N(P1538)&lt;=0),"Menge pro Gebinde fehlt (Ist = 1 Gebinde); ","")&amp;BJ1538)</f>
        <v/>
      </c>
      <c r="BC1538" s="53" t="n"/>
      <c r="BD1538" s="53" t="n"/>
      <c r="BE1538" s="61" t="n"/>
      <c r="BF1538" s="55">
        <f>N('Neue Artikel'!$D$72)</f>
        <v/>
      </c>
      <c r="BG1538" s="55" t="n">
        <v>0</v>
      </c>
      <c r="BH1538" s="54" t="n">
        <v>0</v>
      </c>
      <c r="BI1538" s="55">
        <f>N('Neue Artikel'!$C$72)/Parameter!$B$18</f>
        <v/>
      </c>
      <c r="BJ1538" s="53" t="inlineStr"/>
      <c r="BK1538" s="58" t="n">
        <v>1</v>
      </c>
      <c r="BL1538" s="58" t="n">
        <v>1538</v>
      </c>
      <c r="BM1538" s="53">
        <f>IF(S1538&lt;&gt;"",UPPER(TRIM(S1538)),IF(O1538="","LOSE",O1538))</f>
        <v/>
      </c>
      <c r="BN1538" s="55">
        <f>IF(BM1538="LOSE",1,IF(N(T1538)&gt;0,T1538,IF(N(P1538)&gt;0,P1538,MAX(1,G1538))))</f>
        <v/>
      </c>
      <c r="BO1538" s="58">
        <f>IF(BM1538="LOSE",1,0)</f>
        <v/>
      </c>
      <c r="BP1538" s="64">
        <f>IF(BO1538=0,0,IF(N(R1538)&gt;0,R1538,IFERROR(VLOOKUP(D1538,Parameter!$A$35:$C$64,3,0)+0,0)))</f>
        <v/>
      </c>
      <c r="BQ1538" s="53">
        <f>IF(V1538&lt;&gt;"",V1538,U1538)</f>
        <v/>
      </c>
      <c r="BR1538" s="53">
        <f>IF(BQ1538=1,"L1",IF(OR(BQ1538=2,BQ1538=3),"L23",IF(BQ1538="Aussen","Aussen","-")))</f>
        <v/>
      </c>
      <c r="BS1538" s="66">
        <f>IF(N(W1538)&gt;0,W1538,0)</f>
        <v/>
      </c>
      <c r="BT1538" s="58">
        <f>IF(ISNUMBER(Z1538),1,0)</f>
        <v/>
      </c>
      <c r="BU1538" s="55">
        <f>N(Z1538)</f>
        <v/>
      </c>
      <c r="BV1538" s="55">
        <f>N(L1538)+N(M1538)</f>
        <v/>
      </c>
      <c r="BW1538" s="55">
        <f>ROUNDUP(G1538/BN1538,0)</f>
        <v/>
      </c>
      <c r="BX1538" s="55">
        <f>ROUNDUP(BU1538/BN1538,0)</f>
        <v/>
      </c>
      <c r="BY1538" s="58">
        <f>IF(BO1538=1,0,IFERROR(VLOOKUP(BM1538,'Gebinde-Kategorie'!$A$5:$G$45,5,0)+0,0))</f>
        <v/>
      </c>
      <c r="BZ1538" s="58">
        <f>IFERROR(IF(OR(BQ1538=1,BQ1538=2,BQ1538=3),N(INDEX(Parameter!$I$5:$I$7,BQ1538)),0),0)</f>
        <v/>
      </c>
    </row>
    <row r="1539">
      <c r="A1539" s="53">
        <f>IF('Neue Artikel'!$A$73="","",'Neue Artikel'!$A$73&amp;"")</f>
        <v/>
      </c>
      <c r="B1539" s="53">
        <f>'Neue Artikel'!$B$73&amp;""</f>
        <v/>
      </c>
      <c r="C1539" s="53" t="inlineStr"/>
      <c r="D1539" s="53" t="inlineStr">
        <is>
          <t>NEU</t>
        </is>
      </c>
      <c r="E1539" s="53" t="inlineStr"/>
      <c r="F1539" s="54">
        <f>N('Neue Artikel'!$G$73)</f>
        <v/>
      </c>
      <c r="G1539" s="55">
        <f>MAX(0,IF(Parameter!$B$20="Jahresanfang 2025 + Export",BG1539+BF1539,BF1539))</f>
        <v/>
      </c>
      <c r="H1539" s="55">
        <f>G1539*F1539</f>
        <v/>
      </c>
      <c r="I1539" s="55">
        <f>BI1539*Parameter!$B$18</f>
        <v/>
      </c>
      <c r="J1539" s="56" t="n"/>
      <c r="K1539" s="57" t="n"/>
      <c r="L1539" s="55">
        <f>N('Neue Artikel'!$E$73)</f>
        <v/>
      </c>
      <c r="M1539" s="55">
        <f>N('Neue Artikel'!$F$73)</f>
        <v/>
      </c>
      <c r="N1539" s="58" t="n"/>
      <c r="O1539" s="53">
        <f>IF('Neue Artikel'!$H$73="","LOSE",UPPER(TRIM('Neue Artikel'!$H$73)))</f>
        <v/>
      </c>
      <c r="P1539" s="55">
        <f>N('Neue Artikel'!$I$73)</f>
        <v/>
      </c>
      <c r="Q1539" s="59">
        <f>IF(BO1539=1,0,IFERROR(VLOOKUP(BM1539,'Gebinde-Kategorie'!$A$5:$G$45,6,0)+0,0))</f>
        <v/>
      </c>
      <c r="R1539" s="60" t="n"/>
      <c r="S1539" s="61" t="n"/>
      <c r="T1539" s="61" t="n"/>
      <c r="U1539" s="53">
        <f>IF(A1539="","",IF(IFERROR(VLOOKUP(D1539,Parameter!$A$35:$C$64,2,0),"Nein")="2+3",IF(ISNUMBER(SEARCH("grosser Artikel",BJ1539)),2,IFERROR(VLOOKUP(BM1539,Parameter!$F$35:$G$64,2,0),2)),IF(OR(IFERROR(VLOOKUP(D1539,Parameter!$A$35:$C$64,2,0),"Nein")="Nein",IFERROR(VLOOKUP(D1539,Parameter!$A$35:$C$64,2,0),"Nein")=""),"-",VLOOKUP(D1539,Parameter!$A$35:$C$64,2,0))))</f>
        <v/>
      </c>
      <c r="V1539" s="53">
        <f>IF('Neue Artikel'!$J$73="","",'Neue Artikel'!$J$73)</f>
        <v/>
      </c>
      <c r="W1539" s="62" t="n"/>
      <c r="X1539" s="55">
        <f>AM1539</f>
        <v/>
      </c>
      <c r="Y1539" s="55">
        <f>MAX(AM1539,G1539)</f>
        <v/>
      </c>
      <c r="Z1539" s="63" t="n"/>
      <c r="AA1539" s="55">
        <f>IF(LEFT(Cockpit!$C$5,1)="A",G1539,IF(BT1539=1,BU1539,IF(LEFT(Cockpit!$C$5,1)="B",AE1539,MAX(AE1539,G1539))))</f>
        <v/>
      </c>
      <c r="AB1539" s="55">
        <f>IF(BO1539=1,0,ROUNDUP(AA1539/BN1539,0))</f>
        <v/>
      </c>
      <c r="AC1539" s="64">
        <f>IF(BO1539=1,IF(AA1539&lt;=0,0,BP1539*MAX(1,IF(G1539&gt;0,AA1539/G1539,1))),AB1539*Q1539)</f>
        <v/>
      </c>
      <c r="AD1539" s="55">
        <f>AA1539*F1539</f>
        <v/>
      </c>
      <c r="AE1539" s="55">
        <f>ROUNDUP(MAX(I1539/IF(BS1539&gt;0,BS1539,MAX(0.1,N(Cockpit!$C$6))),BV1539)/BN1539,0)*BN1539</f>
        <v/>
      </c>
      <c r="AF1539" s="56">
        <f>IF(AC1539&gt;0,I1539/AC1539,-1)</f>
        <v/>
      </c>
      <c r="AG1539" s="56">
        <f>IF(AND(OR(BR1539="L1",BR1539="L23"),AC1539&gt;0),SUMIFS($AC$7:$AC$1570,$BR$7:$BR$1570,BR1539,$AF$7:$AF$1570,"&gt;"&amp;AF1539)+SUMIFS($AC$7:$AC$1570,$BR$7:$BR$1570,BR1539,$AF$7:$AF$1570,AF1539,$BL$7:$BL$1570,"&lt;="&amp;BL1539),"")</f>
        <v/>
      </c>
      <c r="AH1539" s="65">
        <f>IF(AG1539="",0,MAX(0,MIN(1,(IF(BR1539="L1",Parameter!$K$5,Parameter!$K$6+Parameter!$K$7)-(AG1539-AC1539))/AC1539)))</f>
        <v/>
      </c>
      <c r="AI1539" s="55">
        <f>IF(LEFT(Cockpit!$I$5,1)="A",G1539,IF(BT1539=1,BU1539,IF(LEFT(Cockpit!$I$5,1)="B",AM1539,MAX(AM1539,G1539))))</f>
        <v/>
      </c>
      <c r="AJ1539" s="55">
        <f>IF(BO1539=1,0,ROUNDUP(AI1539/BN1539,0))</f>
        <v/>
      </c>
      <c r="AK1539" s="64">
        <f>IF(BO1539=1,IF(AI1539&lt;=0,0,BP1539*MAX(1,IF(G1539&gt;0,AI1539/G1539,1))),AJ1539*Q1539)</f>
        <v/>
      </c>
      <c r="AL1539" s="55">
        <f>AI1539*F1539</f>
        <v/>
      </c>
      <c r="AM1539" s="55">
        <f>ROUNDUP(MAX(I1539/IF(BS1539&gt;0,BS1539,MAX(0.1,N(Cockpit!$I$6))),BV1539)/BN1539,0)*BN1539</f>
        <v/>
      </c>
      <c r="AN1539" s="56">
        <f>IF(AK1539&gt;0,I1539/AK1539,-1)</f>
        <v/>
      </c>
      <c r="AO1539" s="56">
        <f>IF(AND(OR(BR1539="L1",BR1539="L23"),AK1539&gt;0),SUMIFS($AK$7:$AK$1570,$BR$7:$BR$1570,BR1539,$AN$7:$AN$1570,"&gt;"&amp;AN1539)+SUMIFS($AK$7:$AK$1570,$BR$7:$BR$1570,BR1539,$AN$7:$AN$1570,AN1539,$BL$7:$BL$1570,"&lt;="&amp;BL1539),"")</f>
        <v/>
      </c>
      <c r="AP1539" s="65">
        <f>IF(AO1539="",0,MAX(0,MIN(1,(IF(BR1539="L1",Parameter!$K$5,Parameter!$K$6+Parameter!$K$7)-(AO1539-AK1539))/AK1539)))</f>
        <v/>
      </c>
      <c r="AQ1539" s="55">
        <f>IF(LEFT(Cockpit!$O$5,1)="A",G1539,IF(BT1539=1,BU1539,IF(LEFT(Cockpit!$O$5,1)="B",AU1539,MAX(AU1539,G1539))))</f>
        <v/>
      </c>
      <c r="AR1539" s="55">
        <f>IF(BO1539=1,0,ROUNDUP(AQ1539/BN1539,0))</f>
        <v/>
      </c>
      <c r="AS1539" s="64">
        <f>IF(BO1539=1,IF(AQ1539&lt;=0,0,BP1539*MAX(1,IF(G1539&gt;0,AQ1539/G1539,1))),AR1539*Q1539)</f>
        <v/>
      </c>
      <c r="AT1539" s="55">
        <f>AQ1539*F1539</f>
        <v/>
      </c>
      <c r="AU1539" s="55">
        <f>ROUNDUP(MAX(I1539/IF(BS1539&gt;0,BS1539,MAX(0.1,N(Cockpit!$O$6))),BV1539)/BN1539,0)*BN1539</f>
        <v/>
      </c>
      <c r="AV1539" s="56">
        <f>IF(AS1539&gt;0,I1539/AS1539,-1)</f>
        <v/>
      </c>
      <c r="AW1539" s="56">
        <f>IF(AND(OR(BR1539="L1",BR1539="L23"),AS1539&gt;0),SUMIFS($AS$7:$AS$1570,$BR$7:$BR$1570,BR1539,$AV$7:$AV$1570,"&gt;"&amp;AV1539)+SUMIFS($AS$7:$AS$1570,$BR$7:$BR$1570,BR1539,$AV$7:$AV$1570,AV1539,$BL$7:$BL$1570,"&lt;="&amp;BL1539),"")</f>
        <v/>
      </c>
      <c r="AX1539" s="65">
        <f>IF(AW1539="",0,MAX(0,MIN(1,(IF(BR1539="L1",Parameter!$K$5,Parameter!$K$6+Parameter!$K$7)-(AW1539-AS1539))/AS1539)))</f>
        <v/>
      </c>
      <c r="AY1539" s="53">
        <f>IF(AC1539&lt;=0,"",IF(BR1539="Aussen","Aussenlager",IF(BR1539="-","Nicht im Lift",IF(AH1539&gt;=1,"Lift",IF(AH1539&lt;=0,"Aussenlager","teilweise")))))</f>
        <v/>
      </c>
      <c r="AZ1539" s="53">
        <f>IF(AK1539&lt;=0,"",IF(BR1539="Aussen","Aussenlager",IF(BR1539="-","Nicht im Lift",IF(AP1539&gt;=1,"Lift",IF(AP1539&lt;=0,"Aussenlager","teilweise")))))</f>
        <v/>
      </c>
      <c r="BA1539" s="53">
        <f>IF(AS1539&lt;=0,"",IF(BR1539="Aussen","Aussenlager",IF(BR1539="-","Nicht im Lift",IF(AX1539&gt;=1,"Lift",IF(AX1539&lt;=0,"Aussenlager","teilweise")))))</f>
        <v/>
      </c>
      <c r="BB1539" s="53">
        <f>IF(A1539="","",IF(BK1539=1,"Neu; ","")&amp;IF(AND(BK1539=0,BF1539&lt;0),"negativer Bestand (Export "&amp;BF1539&amp;"); ","")&amp;IF(I1539&lt;=0,"Kein Verbrauch; ","")&amp;IF(BO1539=1,"Lose – Fläche geschätzt; ","")&amp;IF(G1539&gt;AM1539,"Überbestand "&amp;ROUND(G1539-AM1539,0)&amp;" Stk / CHF "&amp;ROUND((G1539-AM1539)*F1539,0)&amp;"; ","")&amp;IF(AND(BT1539=1,BU1539&lt;BV1539),"MAX &lt; MB+LG; ","")&amp;IF(AND(BZ1539&gt;0,BY1539*10&gt;BZ1539),"zu hoch für Tablar; ","")&amp;IF(AND(BK1539=0,OR(BT1539=1,V1539&lt;&gt;"",S1539&lt;&gt;"",T1539&lt;&gt;"",W1539&lt;&gt;"")),"manuell übersteuert; ","")&amp;IF(AND(BO1539=0,Q1539=0),"Gebinde unbekannt; ","")&amp;IF(AND(BO1539=0,N(T1539)&lt;=0,N(P1539)&lt;=0),"Menge pro Gebinde fehlt (Ist = 1 Gebinde); ","")&amp;BJ1539)</f>
        <v/>
      </c>
      <c r="BC1539" s="53" t="n"/>
      <c r="BD1539" s="53" t="n"/>
      <c r="BE1539" s="61" t="n"/>
      <c r="BF1539" s="55">
        <f>N('Neue Artikel'!$D$73)</f>
        <v/>
      </c>
      <c r="BG1539" s="55" t="n">
        <v>0</v>
      </c>
      <c r="BH1539" s="54" t="n">
        <v>0</v>
      </c>
      <c r="BI1539" s="55">
        <f>N('Neue Artikel'!$C$73)/Parameter!$B$18</f>
        <v/>
      </c>
      <c r="BJ1539" s="53" t="inlineStr"/>
      <c r="BK1539" s="58" t="n">
        <v>1</v>
      </c>
      <c r="BL1539" s="58" t="n">
        <v>1539</v>
      </c>
      <c r="BM1539" s="53">
        <f>IF(S1539&lt;&gt;"",UPPER(TRIM(S1539)),IF(O1539="","LOSE",O1539))</f>
        <v/>
      </c>
      <c r="BN1539" s="55">
        <f>IF(BM1539="LOSE",1,IF(N(T1539)&gt;0,T1539,IF(N(P1539)&gt;0,P1539,MAX(1,G1539))))</f>
        <v/>
      </c>
      <c r="BO1539" s="58">
        <f>IF(BM1539="LOSE",1,0)</f>
        <v/>
      </c>
      <c r="BP1539" s="64">
        <f>IF(BO1539=0,0,IF(N(R1539)&gt;0,R1539,IFERROR(VLOOKUP(D1539,Parameter!$A$35:$C$64,3,0)+0,0)))</f>
        <v/>
      </c>
      <c r="BQ1539" s="53">
        <f>IF(V1539&lt;&gt;"",V1539,U1539)</f>
        <v/>
      </c>
      <c r="BR1539" s="53">
        <f>IF(BQ1539=1,"L1",IF(OR(BQ1539=2,BQ1539=3),"L23",IF(BQ1539="Aussen","Aussen","-")))</f>
        <v/>
      </c>
      <c r="BS1539" s="66">
        <f>IF(N(W1539)&gt;0,W1539,0)</f>
        <v/>
      </c>
      <c r="BT1539" s="58">
        <f>IF(ISNUMBER(Z1539),1,0)</f>
        <v/>
      </c>
      <c r="BU1539" s="55">
        <f>N(Z1539)</f>
        <v/>
      </c>
      <c r="BV1539" s="55">
        <f>N(L1539)+N(M1539)</f>
        <v/>
      </c>
      <c r="BW1539" s="55">
        <f>ROUNDUP(G1539/BN1539,0)</f>
        <v/>
      </c>
      <c r="BX1539" s="55">
        <f>ROUNDUP(BU1539/BN1539,0)</f>
        <v/>
      </c>
      <c r="BY1539" s="58">
        <f>IF(BO1539=1,0,IFERROR(VLOOKUP(BM1539,'Gebinde-Kategorie'!$A$5:$G$45,5,0)+0,0))</f>
        <v/>
      </c>
      <c r="BZ1539" s="58">
        <f>IFERROR(IF(OR(BQ1539=1,BQ1539=2,BQ1539=3),N(INDEX(Parameter!$I$5:$I$7,BQ1539)),0),0)</f>
        <v/>
      </c>
    </row>
    <row r="1540">
      <c r="A1540" s="53">
        <f>IF('Neue Artikel'!$A$74="","",'Neue Artikel'!$A$74&amp;"")</f>
        <v/>
      </c>
      <c r="B1540" s="53">
        <f>'Neue Artikel'!$B$74&amp;""</f>
        <v/>
      </c>
      <c r="C1540" s="53" t="inlineStr"/>
      <c r="D1540" s="53" t="inlineStr">
        <is>
          <t>NEU</t>
        </is>
      </c>
      <c r="E1540" s="53" t="inlineStr"/>
      <c r="F1540" s="54">
        <f>N('Neue Artikel'!$G$74)</f>
        <v/>
      </c>
      <c r="G1540" s="55">
        <f>MAX(0,IF(Parameter!$B$20="Jahresanfang 2025 + Export",BG1540+BF1540,BF1540))</f>
        <v/>
      </c>
      <c r="H1540" s="55">
        <f>G1540*F1540</f>
        <v/>
      </c>
      <c r="I1540" s="55">
        <f>BI1540*Parameter!$B$18</f>
        <v/>
      </c>
      <c r="J1540" s="56" t="n"/>
      <c r="K1540" s="57" t="n"/>
      <c r="L1540" s="55">
        <f>N('Neue Artikel'!$E$74)</f>
        <v/>
      </c>
      <c r="M1540" s="55">
        <f>N('Neue Artikel'!$F$74)</f>
        <v/>
      </c>
      <c r="N1540" s="58" t="n"/>
      <c r="O1540" s="53">
        <f>IF('Neue Artikel'!$H$74="","LOSE",UPPER(TRIM('Neue Artikel'!$H$74)))</f>
        <v/>
      </c>
      <c r="P1540" s="55">
        <f>N('Neue Artikel'!$I$74)</f>
        <v/>
      </c>
      <c r="Q1540" s="59">
        <f>IF(BO1540=1,0,IFERROR(VLOOKUP(BM1540,'Gebinde-Kategorie'!$A$5:$G$45,6,0)+0,0))</f>
        <v/>
      </c>
      <c r="R1540" s="60" t="n"/>
      <c r="S1540" s="61" t="n"/>
      <c r="T1540" s="61" t="n"/>
      <c r="U1540" s="53">
        <f>IF(A1540="","",IF(IFERROR(VLOOKUP(D1540,Parameter!$A$35:$C$64,2,0),"Nein")="2+3",IF(ISNUMBER(SEARCH("grosser Artikel",BJ1540)),2,IFERROR(VLOOKUP(BM1540,Parameter!$F$35:$G$64,2,0),2)),IF(OR(IFERROR(VLOOKUP(D1540,Parameter!$A$35:$C$64,2,0),"Nein")="Nein",IFERROR(VLOOKUP(D1540,Parameter!$A$35:$C$64,2,0),"Nein")=""),"-",VLOOKUP(D1540,Parameter!$A$35:$C$64,2,0))))</f>
        <v/>
      </c>
      <c r="V1540" s="53">
        <f>IF('Neue Artikel'!$J$74="","",'Neue Artikel'!$J$74)</f>
        <v/>
      </c>
      <c r="W1540" s="62" t="n"/>
      <c r="X1540" s="55">
        <f>AM1540</f>
        <v/>
      </c>
      <c r="Y1540" s="55">
        <f>MAX(AM1540,G1540)</f>
        <v/>
      </c>
      <c r="Z1540" s="63" t="n"/>
      <c r="AA1540" s="55">
        <f>IF(LEFT(Cockpit!$C$5,1)="A",G1540,IF(BT1540=1,BU1540,IF(LEFT(Cockpit!$C$5,1)="B",AE1540,MAX(AE1540,G1540))))</f>
        <v/>
      </c>
      <c r="AB1540" s="55">
        <f>IF(BO1540=1,0,ROUNDUP(AA1540/BN1540,0))</f>
        <v/>
      </c>
      <c r="AC1540" s="64">
        <f>IF(BO1540=1,IF(AA1540&lt;=0,0,BP1540*MAX(1,IF(G1540&gt;0,AA1540/G1540,1))),AB1540*Q1540)</f>
        <v/>
      </c>
      <c r="AD1540" s="55">
        <f>AA1540*F1540</f>
        <v/>
      </c>
      <c r="AE1540" s="55">
        <f>ROUNDUP(MAX(I1540/IF(BS1540&gt;0,BS1540,MAX(0.1,N(Cockpit!$C$6))),BV1540)/BN1540,0)*BN1540</f>
        <v/>
      </c>
      <c r="AF1540" s="56">
        <f>IF(AC1540&gt;0,I1540/AC1540,-1)</f>
        <v/>
      </c>
      <c r="AG1540" s="56">
        <f>IF(AND(OR(BR1540="L1",BR1540="L23"),AC1540&gt;0),SUMIFS($AC$7:$AC$1570,$BR$7:$BR$1570,BR1540,$AF$7:$AF$1570,"&gt;"&amp;AF1540)+SUMIFS($AC$7:$AC$1570,$BR$7:$BR$1570,BR1540,$AF$7:$AF$1570,AF1540,$BL$7:$BL$1570,"&lt;="&amp;BL1540),"")</f>
        <v/>
      </c>
      <c r="AH1540" s="65">
        <f>IF(AG1540="",0,MAX(0,MIN(1,(IF(BR1540="L1",Parameter!$K$5,Parameter!$K$6+Parameter!$K$7)-(AG1540-AC1540))/AC1540)))</f>
        <v/>
      </c>
      <c r="AI1540" s="55">
        <f>IF(LEFT(Cockpit!$I$5,1)="A",G1540,IF(BT1540=1,BU1540,IF(LEFT(Cockpit!$I$5,1)="B",AM1540,MAX(AM1540,G1540))))</f>
        <v/>
      </c>
      <c r="AJ1540" s="55">
        <f>IF(BO1540=1,0,ROUNDUP(AI1540/BN1540,0))</f>
        <v/>
      </c>
      <c r="AK1540" s="64">
        <f>IF(BO1540=1,IF(AI1540&lt;=0,0,BP1540*MAX(1,IF(G1540&gt;0,AI1540/G1540,1))),AJ1540*Q1540)</f>
        <v/>
      </c>
      <c r="AL1540" s="55">
        <f>AI1540*F1540</f>
        <v/>
      </c>
      <c r="AM1540" s="55">
        <f>ROUNDUP(MAX(I1540/IF(BS1540&gt;0,BS1540,MAX(0.1,N(Cockpit!$I$6))),BV1540)/BN1540,0)*BN1540</f>
        <v/>
      </c>
      <c r="AN1540" s="56">
        <f>IF(AK1540&gt;0,I1540/AK1540,-1)</f>
        <v/>
      </c>
      <c r="AO1540" s="56">
        <f>IF(AND(OR(BR1540="L1",BR1540="L23"),AK1540&gt;0),SUMIFS($AK$7:$AK$1570,$BR$7:$BR$1570,BR1540,$AN$7:$AN$1570,"&gt;"&amp;AN1540)+SUMIFS($AK$7:$AK$1570,$BR$7:$BR$1570,BR1540,$AN$7:$AN$1570,AN1540,$BL$7:$BL$1570,"&lt;="&amp;BL1540),"")</f>
        <v/>
      </c>
      <c r="AP1540" s="65">
        <f>IF(AO1540="",0,MAX(0,MIN(1,(IF(BR1540="L1",Parameter!$K$5,Parameter!$K$6+Parameter!$K$7)-(AO1540-AK1540))/AK1540)))</f>
        <v/>
      </c>
      <c r="AQ1540" s="55">
        <f>IF(LEFT(Cockpit!$O$5,1)="A",G1540,IF(BT1540=1,BU1540,IF(LEFT(Cockpit!$O$5,1)="B",AU1540,MAX(AU1540,G1540))))</f>
        <v/>
      </c>
      <c r="AR1540" s="55">
        <f>IF(BO1540=1,0,ROUNDUP(AQ1540/BN1540,0))</f>
        <v/>
      </c>
      <c r="AS1540" s="64">
        <f>IF(BO1540=1,IF(AQ1540&lt;=0,0,BP1540*MAX(1,IF(G1540&gt;0,AQ1540/G1540,1))),AR1540*Q1540)</f>
        <v/>
      </c>
      <c r="AT1540" s="55">
        <f>AQ1540*F1540</f>
        <v/>
      </c>
      <c r="AU1540" s="55">
        <f>ROUNDUP(MAX(I1540/IF(BS1540&gt;0,BS1540,MAX(0.1,N(Cockpit!$O$6))),BV1540)/BN1540,0)*BN1540</f>
        <v/>
      </c>
      <c r="AV1540" s="56">
        <f>IF(AS1540&gt;0,I1540/AS1540,-1)</f>
        <v/>
      </c>
      <c r="AW1540" s="56">
        <f>IF(AND(OR(BR1540="L1",BR1540="L23"),AS1540&gt;0),SUMIFS($AS$7:$AS$1570,$BR$7:$BR$1570,BR1540,$AV$7:$AV$1570,"&gt;"&amp;AV1540)+SUMIFS($AS$7:$AS$1570,$BR$7:$BR$1570,BR1540,$AV$7:$AV$1570,AV1540,$BL$7:$BL$1570,"&lt;="&amp;BL1540),"")</f>
        <v/>
      </c>
      <c r="AX1540" s="65">
        <f>IF(AW1540="",0,MAX(0,MIN(1,(IF(BR1540="L1",Parameter!$K$5,Parameter!$K$6+Parameter!$K$7)-(AW1540-AS1540))/AS1540)))</f>
        <v/>
      </c>
      <c r="AY1540" s="53">
        <f>IF(AC1540&lt;=0,"",IF(BR1540="Aussen","Aussenlager",IF(BR1540="-","Nicht im Lift",IF(AH1540&gt;=1,"Lift",IF(AH1540&lt;=0,"Aussenlager","teilweise")))))</f>
        <v/>
      </c>
      <c r="AZ1540" s="53">
        <f>IF(AK1540&lt;=0,"",IF(BR1540="Aussen","Aussenlager",IF(BR1540="-","Nicht im Lift",IF(AP1540&gt;=1,"Lift",IF(AP1540&lt;=0,"Aussenlager","teilweise")))))</f>
        <v/>
      </c>
      <c r="BA1540" s="53">
        <f>IF(AS1540&lt;=0,"",IF(BR1540="Aussen","Aussenlager",IF(BR1540="-","Nicht im Lift",IF(AX1540&gt;=1,"Lift",IF(AX1540&lt;=0,"Aussenlager","teilweise")))))</f>
        <v/>
      </c>
      <c r="BB1540" s="53">
        <f>IF(A1540="","",IF(BK1540=1,"Neu; ","")&amp;IF(AND(BK1540=0,BF1540&lt;0),"negativer Bestand (Export "&amp;BF1540&amp;"); ","")&amp;IF(I1540&lt;=0,"Kein Verbrauch; ","")&amp;IF(BO1540=1,"Lose – Fläche geschätzt; ","")&amp;IF(G1540&gt;AM1540,"Überbestand "&amp;ROUND(G1540-AM1540,0)&amp;" Stk / CHF "&amp;ROUND((G1540-AM1540)*F1540,0)&amp;"; ","")&amp;IF(AND(BT1540=1,BU1540&lt;BV1540),"MAX &lt; MB+LG; ","")&amp;IF(AND(BZ1540&gt;0,BY1540*10&gt;BZ1540),"zu hoch für Tablar; ","")&amp;IF(AND(BK1540=0,OR(BT1540=1,V1540&lt;&gt;"",S1540&lt;&gt;"",T1540&lt;&gt;"",W1540&lt;&gt;"")),"manuell übersteuert; ","")&amp;IF(AND(BO1540=0,Q1540=0),"Gebinde unbekannt; ","")&amp;IF(AND(BO1540=0,N(T1540)&lt;=0,N(P1540)&lt;=0),"Menge pro Gebinde fehlt (Ist = 1 Gebinde); ","")&amp;BJ1540)</f>
        <v/>
      </c>
      <c r="BC1540" s="53" t="n"/>
      <c r="BD1540" s="53" t="n"/>
      <c r="BE1540" s="61" t="n"/>
      <c r="BF1540" s="55">
        <f>N('Neue Artikel'!$D$74)</f>
        <v/>
      </c>
      <c r="BG1540" s="55" t="n">
        <v>0</v>
      </c>
      <c r="BH1540" s="54" t="n">
        <v>0</v>
      </c>
      <c r="BI1540" s="55">
        <f>N('Neue Artikel'!$C$74)/Parameter!$B$18</f>
        <v/>
      </c>
      <c r="BJ1540" s="53" t="inlineStr"/>
      <c r="BK1540" s="58" t="n">
        <v>1</v>
      </c>
      <c r="BL1540" s="58" t="n">
        <v>1540</v>
      </c>
      <c r="BM1540" s="53">
        <f>IF(S1540&lt;&gt;"",UPPER(TRIM(S1540)),IF(O1540="","LOSE",O1540))</f>
        <v/>
      </c>
      <c r="BN1540" s="55">
        <f>IF(BM1540="LOSE",1,IF(N(T1540)&gt;0,T1540,IF(N(P1540)&gt;0,P1540,MAX(1,G1540))))</f>
        <v/>
      </c>
      <c r="BO1540" s="58">
        <f>IF(BM1540="LOSE",1,0)</f>
        <v/>
      </c>
      <c r="BP1540" s="64">
        <f>IF(BO1540=0,0,IF(N(R1540)&gt;0,R1540,IFERROR(VLOOKUP(D1540,Parameter!$A$35:$C$64,3,0)+0,0)))</f>
        <v/>
      </c>
      <c r="BQ1540" s="53">
        <f>IF(V1540&lt;&gt;"",V1540,U1540)</f>
        <v/>
      </c>
      <c r="BR1540" s="53">
        <f>IF(BQ1540=1,"L1",IF(OR(BQ1540=2,BQ1540=3),"L23",IF(BQ1540="Aussen","Aussen","-")))</f>
        <v/>
      </c>
      <c r="BS1540" s="66">
        <f>IF(N(W1540)&gt;0,W1540,0)</f>
        <v/>
      </c>
      <c r="BT1540" s="58">
        <f>IF(ISNUMBER(Z1540),1,0)</f>
        <v/>
      </c>
      <c r="BU1540" s="55">
        <f>N(Z1540)</f>
        <v/>
      </c>
      <c r="BV1540" s="55">
        <f>N(L1540)+N(M1540)</f>
        <v/>
      </c>
      <c r="BW1540" s="55">
        <f>ROUNDUP(G1540/BN1540,0)</f>
        <v/>
      </c>
      <c r="BX1540" s="55">
        <f>ROUNDUP(BU1540/BN1540,0)</f>
        <v/>
      </c>
      <c r="BY1540" s="58">
        <f>IF(BO1540=1,0,IFERROR(VLOOKUP(BM1540,'Gebinde-Kategorie'!$A$5:$G$45,5,0)+0,0))</f>
        <v/>
      </c>
      <c r="BZ1540" s="58">
        <f>IFERROR(IF(OR(BQ1540=1,BQ1540=2,BQ1540=3),N(INDEX(Parameter!$I$5:$I$7,BQ1540)),0),0)</f>
        <v/>
      </c>
    </row>
    <row r="1541">
      <c r="A1541" s="53">
        <f>IF('Neue Artikel'!$A$75="","",'Neue Artikel'!$A$75&amp;"")</f>
        <v/>
      </c>
      <c r="B1541" s="53">
        <f>'Neue Artikel'!$B$75&amp;""</f>
        <v/>
      </c>
      <c r="C1541" s="53" t="inlineStr"/>
      <c r="D1541" s="53" t="inlineStr">
        <is>
          <t>NEU</t>
        </is>
      </c>
      <c r="E1541" s="53" t="inlineStr"/>
      <c r="F1541" s="54">
        <f>N('Neue Artikel'!$G$75)</f>
        <v/>
      </c>
      <c r="G1541" s="55">
        <f>MAX(0,IF(Parameter!$B$20="Jahresanfang 2025 + Export",BG1541+BF1541,BF1541))</f>
        <v/>
      </c>
      <c r="H1541" s="55">
        <f>G1541*F1541</f>
        <v/>
      </c>
      <c r="I1541" s="55">
        <f>BI1541*Parameter!$B$18</f>
        <v/>
      </c>
      <c r="J1541" s="56" t="n"/>
      <c r="K1541" s="57" t="n"/>
      <c r="L1541" s="55">
        <f>N('Neue Artikel'!$E$75)</f>
        <v/>
      </c>
      <c r="M1541" s="55">
        <f>N('Neue Artikel'!$F$75)</f>
        <v/>
      </c>
      <c r="N1541" s="58" t="n"/>
      <c r="O1541" s="53">
        <f>IF('Neue Artikel'!$H$75="","LOSE",UPPER(TRIM('Neue Artikel'!$H$75)))</f>
        <v/>
      </c>
      <c r="P1541" s="55">
        <f>N('Neue Artikel'!$I$75)</f>
        <v/>
      </c>
      <c r="Q1541" s="59">
        <f>IF(BO1541=1,0,IFERROR(VLOOKUP(BM1541,'Gebinde-Kategorie'!$A$5:$G$45,6,0)+0,0))</f>
        <v/>
      </c>
      <c r="R1541" s="60" t="n"/>
      <c r="S1541" s="61" t="n"/>
      <c r="T1541" s="61" t="n"/>
      <c r="U1541" s="53">
        <f>IF(A1541="","",IF(IFERROR(VLOOKUP(D1541,Parameter!$A$35:$C$64,2,0),"Nein")="2+3",IF(ISNUMBER(SEARCH("grosser Artikel",BJ1541)),2,IFERROR(VLOOKUP(BM1541,Parameter!$F$35:$G$64,2,0),2)),IF(OR(IFERROR(VLOOKUP(D1541,Parameter!$A$35:$C$64,2,0),"Nein")="Nein",IFERROR(VLOOKUP(D1541,Parameter!$A$35:$C$64,2,0),"Nein")=""),"-",VLOOKUP(D1541,Parameter!$A$35:$C$64,2,0))))</f>
        <v/>
      </c>
      <c r="V1541" s="53">
        <f>IF('Neue Artikel'!$J$75="","",'Neue Artikel'!$J$75)</f>
        <v/>
      </c>
      <c r="W1541" s="62" t="n"/>
      <c r="X1541" s="55">
        <f>AM1541</f>
        <v/>
      </c>
      <c r="Y1541" s="55">
        <f>MAX(AM1541,G1541)</f>
        <v/>
      </c>
      <c r="Z1541" s="63" t="n"/>
      <c r="AA1541" s="55">
        <f>IF(LEFT(Cockpit!$C$5,1)="A",G1541,IF(BT1541=1,BU1541,IF(LEFT(Cockpit!$C$5,1)="B",AE1541,MAX(AE1541,G1541))))</f>
        <v/>
      </c>
      <c r="AB1541" s="55">
        <f>IF(BO1541=1,0,ROUNDUP(AA1541/BN1541,0))</f>
        <v/>
      </c>
      <c r="AC1541" s="64">
        <f>IF(BO1541=1,IF(AA1541&lt;=0,0,BP1541*MAX(1,IF(G1541&gt;0,AA1541/G1541,1))),AB1541*Q1541)</f>
        <v/>
      </c>
      <c r="AD1541" s="55">
        <f>AA1541*F1541</f>
        <v/>
      </c>
      <c r="AE1541" s="55">
        <f>ROUNDUP(MAX(I1541/IF(BS1541&gt;0,BS1541,MAX(0.1,N(Cockpit!$C$6))),BV1541)/BN1541,0)*BN1541</f>
        <v/>
      </c>
      <c r="AF1541" s="56">
        <f>IF(AC1541&gt;0,I1541/AC1541,-1)</f>
        <v/>
      </c>
      <c r="AG1541" s="56">
        <f>IF(AND(OR(BR1541="L1",BR1541="L23"),AC1541&gt;0),SUMIFS($AC$7:$AC$1570,$BR$7:$BR$1570,BR1541,$AF$7:$AF$1570,"&gt;"&amp;AF1541)+SUMIFS($AC$7:$AC$1570,$BR$7:$BR$1570,BR1541,$AF$7:$AF$1570,AF1541,$BL$7:$BL$1570,"&lt;="&amp;BL1541),"")</f>
        <v/>
      </c>
      <c r="AH1541" s="65">
        <f>IF(AG1541="",0,MAX(0,MIN(1,(IF(BR1541="L1",Parameter!$K$5,Parameter!$K$6+Parameter!$K$7)-(AG1541-AC1541))/AC1541)))</f>
        <v/>
      </c>
      <c r="AI1541" s="55">
        <f>IF(LEFT(Cockpit!$I$5,1)="A",G1541,IF(BT1541=1,BU1541,IF(LEFT(Cockpit!$I$5,1)="B",AM1541,MAX(AM1541,G1541))))</f>
        <v/>
      </c>
      <c r="AJ1541" s="55">
        <f>IF(BO1541=1,0,ROUNDUP(AI1541/BN1541,0))</f>
        <v/>
      </c>
      <c r="AK1541" s="64">
        <f>IF(BO1541=1,IF(AI1541&lt;=0,0,BP1541*MAX(1,IF(G1541&gt;0,AI1541/G1541,1))),AJ1541*Q1541)</f>
        <v/>
      </c>
      <c r="AL1541" s="55">
        <f>AI1541*F1541</f>
        <v/>
      </c>
      <c r="AM1541" s="55">
        <f>ROUNDUP(MAX(I1541/IF(BS1541&gt;0,BS1541,MAX(0.1,N(Cockpit!$I$6))),BV1541)/BN1541,0)*BN1541</f>
        <v/>
      </c>
      <c r="AN1541" s="56">
        <f>IF(AK1541&gt;0,I1541/AK1541,-1)</f>
        <v/>
      </c>
      <c r="AO1541" s="56">
        <f>IF(AND(OR(BR1541="L1",BR1541="L23"),AK1541&gt;0),SUMIFS($AK$7:$AK$1570,$BR$7:$BR$1570,BR1541,$AN$7:$AN$1570,"&gt;"&amp;AN1541)+SUMIFS($AK$7:$AK$1570,$BR$7:$BR$1570,BR1541,$AN$7:$AN$1570,AN1541,$BL$7:$BL$1570,"&lt;="&amp;BL1541),"")</f>
        <v/>
      </c>
      <c r="AP1541" s="65">
        <f>IF(AO1541="",0,MAX(0,MIN(1,(IF(BR1541="L1",Parameter!$K$5,Parameter!$K$6+Parameter!$K$7)-(AO1541-AK1541))/AK1541)))</f>
        <v/>
      </c>
      <c r="AQ1541" s="55">
        <f>IF(LEFT(Cockpit!$O$5,1)="A",G1541,IF(BT1541=1,BU1541,IF(LEFT(Cockpit!$O$5,1)="B",AU1541,MAX(AU1541,G1541))))</f>
        <v/>
      </c>
      <c r="AR1541" s="55">
        <f>IF(BO1541=1,0,ROUNDUP(AQ1541/BN1541,0))</f>
        <v/>
      </c>
      <c r="AS1541" s="64">
        <f>IF(BO1541=1,IF(AQ1541&lt;=0,0,BP1541*MAX(1,IF(G1541&gt;0,AQ1541/G1541,1))),AR1541*Q1541)</f>
        <v/>
      </c>
      <c r="AT1541" s="55">
        <f>AQ1541*F1541</f>
        <v/>
      </c>
      <c r="AU1541" s="55">
        <f>ROUNDUP(MAX(I1541/IF(BS1541&gt;0,BS1541,MAX(0.1,N(Cockpit!$O$6))),BV1541)/BN1541,0)*BN1541</f>
        <v/>
      </c>
      <c r="AV1541" s="56">
        <f>IF(AS1541&gt;0,I1541/AS1541,-1)</f>
        <v/>
      </c>
      <c r="AW1541" s="56">
        <f>IF(AND(OR(BR1541="L1",BR1541="L23"),AS1541&gt;0),SUMIFS($AS$7:$AS$1570,$BR$7:$BR$1570,BR1541,$AV$7:$AV$1570,"&gt;"&amp;AV1541)+SUMIFS($AS$7:$AS$1570,$BR$7:$BR$1570,BR1541,$AV$7:$AV$1570,AV1541,$BL$7:$BL$1570,"&lt;="&amp;BL1541),"")</f>
        <v/>
      </c>
      <c r="AX1541" s="65">
        <f>IF(AW1541="",0,MAX(0,MIN(1,(IF(BR1541="L1",Parameter!$K$5,Parameter!$K$6+Parameter!$K$7)-(AW1541-AS1541))/AS1541)))</f>
        <v/>
      </c>
      <c r="AY1541" s="53">
        <f>IF(AC1541&lt;=0,"",IF(BR1541="Aussen","Aussenlager",IF(BR1541="-","Nicht im Lift",IF(AH1541&gt;=1,"Lift",IF(AH1541&lt;=0,"Aussenlager","teilweise")))))</f>
        <v/>
      </c>
      <c r="AZ1541" s="53">
        <f>IF(AK1541&lt;=0,"",IF(BR1541="Aussen","Aussenlager",IF(BR1541="-","Nicht im Lift",IF(AP1541&gt;=1,"Lift",IF(AP1541&lt;=0,"Aussenlager","teilweise")))))</f>
        <v/>
      </c>
      <c r="BA1541" s="53">
        <f>IF(AS1541&lt;=0,"",IF(BR1541="Aussen","Aussenlager",IF(BR1541="-","Nicht im Lift",IF(AX1541&gt;=1,"Lift",IF(AX1541&lt;=0,"Aussenlager","teilweise")))))</f>
        <v/>
      </c>
      <c r="BB1541" s="53">
        <f>IF(A1541="","",IF(BK1541=1,"Neu; ","")&amp;IF(AND(BK1541=0,BF1541&lt;0),"negativer Bestand (Export "&amp;BF1541&amp;"); ","")&amp;IF(I1541&lt;=0,"Kein Verbrauch; ","")&amp;IF(BO1541=1,"Lose – Fläche geschätzt; ","")&amp;IF(G1541&gt;AM1541,"Überbestand "&amp;ROUND(G1541-AM1541,0)&amp;" Stk / CHF "&amp;ROUND((G1541-AM1541)*F1541,0)&amp;"; ","")&amp;IF(AND(BT1541=1,BU1541&lt;BV1541),"MAX &lt; MB+LG; ","")&amp;IF(AND(BZ1541&gt;0,BY1541*10&gt;BZ1541),"zu hoch für Tablar; ","")&amp;IF(AND(BK1541=0,OR(BT1541=1,V1541&lt;&gt;"",S1541&lt;&gt;"",T1541&lt;&gt;"",W1541&lt;&gt;"")),"manuell übersteuert; ","")&amp;IF(AND(BO1541=0,Q1541=0),"Gebinde unbekannt; ","")&amp;IF(AND(BO1541=0,N(T1541)&lt;=0,N(P1541)&lt;=0),"Menge pro Gebinde fehlt (Ist = 1 Gebinde); ","")&amp;BJ1541)</f>
        <v/>
      </c>
      <c r="BC1541" s="53" t="n"/>
      <c r="BD1541" s="53" t="n"/>
      <c r="BE1541" s="61" t="n"/>
      <c r="BF1541" s="55">
        <f>N('Neue Artikel'!$D$75)</f>
        <v/>
      </c>
      <c r="BG1541" s="55" t="n">
        <v>0</v>
      </c>
      <c r="BH1541" s="54" t="n">
        <v>0</v>
      </c>
      <c r="BI1541" s="55">
        <f>N('Neue Artikel'!$C$75)/Parameter!$B$18</f>
        <v/>
      </c>
      <c r="BJ1541" s="53" t="inlineStr"/>
      <c r="BK1541" s="58" t="n">
        <v>1</v>
      </c>
      <c r="BL1541" s="58" t="n">
        <v>1541</v>
      </c>
      <c r="BM1541" s="53">
        <f>IF(S1541&lt;&gt;"",UPPER(TRIM(S1541)),IF(O1541="","LOSE",O1541))</f>
        <v/>
      </c>
      <c r="BN1541" s="55">
        <f>IF(BM1541="LOSE",1,IF(N(T1541)&gt;0,T1541,IF(N(P1541)&gt;0,P1541,MAX(1,G1541))))</f>
        <v/>
      </c>
      <c r="BO1541" s="58">
        <f>IF(BM1541="LOSE",1,0)</f>
        <v/>
      </c>
      <c r="BP1541" s="64">
        <f>IF(BO1541=0,0,IF(N(R1541)&gt;0,R1541,IFERROR(VLOOKUP(D1541,Parameter!$A$35:$C$64,3,0)+0,0)))</f>
        <v/>
      </c>
      <c r="BQ1541" s="53">
        <f>IF(V1541&lt;&gt;"",V1541,U1541)</f>
        <v/>
      </c>
      <c r="BR1541" s="53">
        <f>IF(BQ1541=1,"L1",IF(OR(BQ1541=2,BQ1541=3),"L23",IF(BQ1541="Aussen","Aussen","-")))</f>
        <v/>
      </c>
      <c r="BS1541" s="66">
        <f>IF(N(W1541)&gt;0,W1541,0)</f>
        <v/>
      </c>
      <c r="BT1541" s="58">
        <f>IF(ISNUMBER(Z1541),1,0)</f>
        <v/>
      </c>
      <c r="BU1541" s="55">
        <f>N(Z1541)</f>
        <v/>
      </c>
      <c r="BV1541" s="55">
        <f>N(L1541)+N(M1541)</f>
        <v/>
      </c>
      <c r="BW1541" s="55">
        <f>ROUNDUP(G1541/BN1541,0)</f>
        <v/>
      </c>
      <c r="BX1541" s="55">
        <f>ROUNDUP(BU1541/BN1541,0)</f>
        <v/>
      </c>
      <c r="BY1541" s="58">
        <f>IF(BO1541=1,0,IFERROR(VLOOKUP(BM1541,'Gebinde-Kategorie'!$A$5:$G$45,5,0)+0,0))</f>
        <v/>
      </c>
      <c r="BZ1541" s="58">
        <f>IFERROR(IF(OR(BQ1541=1,BQ1541=2,BQ1541=3),N(INDEX(Parameter!$I$5:$I$7,BQ1541)),0),0)</f>
        <v/>
      </c>
    </row>
    <row r="1542">
      <c r="A1542" s="53">
        <f>IF('Neue Artikel'!$A$76="","",'Neue Artikel'!$A$76&amp;"")</f>
        <v/>
      </c>
      <c r="B1542" s="53">
        <f>'Neue Artikel'!$B$76&amp;""</f>
        <v/>
      </c>
      <c r="C1542" s="53" t="inlineStr"/>
      <c r="D1542" s="53" t="inlineStr">
        <is>
          <t>NEU</t>
        </is>
      </c>
      <c r="E1542" s="53" t="inlineStr"/>
      <c r="F1542" s="54">
        <f>N('Neue Artikel'!$G$76)</f>
        <v/>
      </c>
      <c r="G1542" s="55">
        <f>MAX(0,IF(Parameter!$B$20="Jahresanfang 2025 + Export",BG1542+BF1542,BF1542))</f>
        <v/>
      </c>
      <c r="H1542" s="55">
        <f>G1542*F1542</f>
        <v/>
      </c>
      <c r="I1542" s="55">
        <f>BI1542*Parameter!$B$18</f>
        <v/>
      </c>
      <c r="J1542" s="56" t="n"/>
      <c r="K1542" s="57" t="n"/>
      <c r="L1542" s="55">
        <f>N('Neue Artikel'!$E$76)</f>
        <v/>
      </c>
      <c r="M1542" s="55">
        <f>N('Neue Artikel'!$F$76)</f>
        <v/>
      </c>
      <c r="N1542" s="58" t="n"/>
      <c r="O1542" s="53">
        <f>IF('Neue Artikel'!$H$76="","LOSE",UPPER(TRIM('Neue Artikel'!$H$76)))</f>
        <v/>
      </c>
      <c r="P1542" s="55">
        <f>N('Neue Artikel'!$I$76)</f>
        <v/>
      </c>
      <c r="Q1542" s="59">
        <f>IF(BO1542=1,0,IFERROR(VLOOKUP(BM1542,'Gebinde-Kategorie'!$A$5:$G$45,6,0)+0,0))</f>
        <v/>
      </c>
      <c r="R1542" s="60" t="n"/>
      <c r="S1542" s="61" t="n"/>
      <c r="T1542" s="61" t="n"/>
      <c r="U1542" s="53">
        <f>IF(A1542="","",IF(IFERROR(VLOOKUP(D1542,Parameter!$A$35:$C$64,2,0),"Nein")="2+3",IF(ISNUMBER(SEARCH("grosser Artikel",BJ1542)),2,IFERROR(VLOOKUP(BM1542,Parameter!$F$35:$G$64,2,0),2)),IF(OR(IFERROR(VLOOKUP(D1542,Parameter!$A$35:$C$64,2,0),"Nein")="Nein",IFERROR(VLOOKUP(D1542,Parameter!$A$35:$C$64,2,0),"Nein")=""),"-",VLOOKUP(D1542,Parameter!$A$35:$C$64,2,0))))</f>
        <v/>
      </c>
      <c r="V1542" s="53">
        <f>IF('Neue Artikel'!$J$76="","",'Neue Artikel'!$J$76)</f>
        <v/>
      </c>
      <c r="W1542" s="62" t="n"/>
      <c r="X1542" s="55">
        <f>AM1542</f>
        <v/>
      </c>
      <c r="Y1542" s="55">
        <f>MAX(AM1542,G1542)</f>
        <v/>
      </c>
      <c r="Z1542" s="63" t="n"/>
      <c r="AA1542" s="55">
        <f>IF(LEFT(Cockpit!$C$5,1)="A",G1542,IF(BT1542=1,BU1542,IF(LEFT(Cockpit!$C$5,1)="B",AE1542,MAX(AE1542,G1542))))</f>
        <v/>
      </c>
      <c r="AB1542" s="55">
        <f>IF(BO1542=1,0,ROUNDUP(AA1542/BN1542,0))</f>
        <v/>
      </c>
      <c r="AC1542" s="64">
        <f>IF(BO1542=1,IF(AA1542&lt;=0,0,BP1542*MAX(1,IF(G1542&gt;0,AA1542/G1542,1))),AB1542*Q1542)</f>
        <v/>
      </c>
      <c r="AD1542" s="55">
        <f>AA1542*F1542</f>
        <v/>
      </c>
      <c r="AE1542" s="55">
        <f>ROUNDUP(MAX(I1542/IF(BS1542&gt;0,BS1542,MAX(0.1,N(Cockpit!$C$6))),BV1542)/BN1542,0)*BN1542</f>
        <v/>
      </c>
      <c r="AF1542" s="56">
        <f>IF(AC1542&gt;0,I1542/AC1542,-1)</f>
        <v/>
      </c>
      <c r="AG1542" s="56">
        <f>IF(AND(OR(BR1542="L1",BR1542="L23"),AC1542&gt;0),SUMIFS($AC$7:$AC$1570,$BR$7:$BR$1570,BR1542,$AF$7:$AF$1570,"&gt;"&amp;AF1542)+SUMIFS($AC$7:$AC$1570,$BR$7:$BR$1570,BR1542,$AF$7:$AF$1570,AF1542,$BL$7:$BL$1570,"&lt;="&amp;BL1542),"")</f>
        <v/>
      </c>
      <c r="AH1542" s="65">
        <f>IF(AG1542="",0,MAX(0,MIN(1,(IF(BR1542="L1",Parameter!$K$5,Parameter!$K$6+Parameter!$K$7)-(AG1542-AC1542))/AC1542)))</f>
        <v/>
      </c>
      <c r="AI1542" s="55">
        <f>IF(LEFT(Cockpit!$I$5,1)="A",G1542,IF(BT1542=1,BU1542,IF(LEFT(Cockpit!$I$5,1)="B",AM1542,MAX(AM1542,G1542))))</f>
        <v/>
      </c>
      <c r="AJ1542" s="55">
        <f>IF(BO1542=1,0,ROUNDUP(AI1542/BN1542,0))</f>
        <v/>
      </c>
      <c r="AK1542" s="64">
        <f>IF(BO1542=1,IF(AI1542&lt;=0,0,BP1542*MAX(1,IF(G1542&gt;0,AI1542/G1542,1))),AJ1542*Q1542)</f>
        <v/>
      </c>
      <c r="AL1542" s="55">
        <f>AI1542*F1542</f>
        <v/>
      </c>
      <c r="AM1542" s="55">
        <f>ROUNDUP(MAX(I1542/IF(BS1542&gt;0,BS1542,MAX(0.1,N(Cockpit!$I$6))),BV1542)/BN1542,0)*BN1542</f>
        <v/>
      </c>
      <c r="AN1542" s="56">
        <f>IF(AK1542&gt;0,I1542/AK1542,-1)</f>
        <v/>
      </c>
      <c r="AO1542" s="56">
        <f>IF(AND(OR(BR1542="L1",BR1542="L23"),AK1542&gt;0),SUMIFS($AK$7:$AK$1570,$BR$7:$BR$1570,BR1542,$AN$7:$AN$1570,"&gt;"&amp;AN1542)+SUMIFS($AK$7:$AK$1570,$BR$7:$BR$1570,BR1542,$AN$7:$AN$1570,AN1542,$BL$7:$BL$1570,"&lt;="&amp;BL1542),"")</f>
        <v/>
      </c>
      <c r="AP1542" s="65">
        <f>IF(AO1542="",0,MAX(0,MIN(1,(IF(BR1542="L1",Parameter!$K$5,Parameter!$K$6+Parameter!$K$7)-(AO1542-AK1542))/AK1542)))</f>
        <v/>
      </c>
      <c r="AQ1542" s="55">
        <f>IF(LEFT(Cockpit!$O$5,1)="A",G1542,IF(BT1542=1,BU1542,IF(LEFT(Cockpit!$O$5,1)="B",AU1542,MAX(AU1542,G1542))))</f>
        <v/>
      </c>
      <c r="AR1542" s="55">
        <f>IF(BO1542=1,0,ROUNDUP(AQ1542/BN1542,0))</f>
        <v/>
      </c>
      <c r="AS1542" s="64">
        <f>IF(BO1542=1,IF(AQ1542&lt;=0,0,BP1542*MAX(1,IF(G1542&gt;0,AQ1542/G1542,1))),AR1542*Q1542)</f>
        <v/>
      </c>
      <c r="AT1542" s="55">
        <f>AQ1542*F1542</f>
        <v/>
      </c>
      <c r="AU1542" s="55">
        <f>ROUNDUP(MAX(I1542/IF(BS1542&gt;0,BS1542,MAX(0.1,N(Cockpit!$O$6))),BV1542)/BN1542,0)*BN1542</f>
        <v/>
      </c>
      <c r="AV1542" s="56">
        <f>IF(AS1542&gt;0,I1542/AS1542,-1)</f>
        <v/>
      </c>
      <c r="AW1542" s="56">
        <f>IF(AND(OR(BR1542="L1",BR1542="L23"),AS1542&gt;0),SUMIFS($AS$7:$AS$1570,$BR$7:$BR$1570,BR1542,$AV$7:$AV$1570,"&gt;"&amp;AV1542)+SUMIFS($AS$7:$AS$1570,$BR$7:$BR$1570,BR1542,$AV$7:$AV$1570,AV1542,$BL$7:$BL$1570,"&lt;="&amp;BL1542),"")</f>
        <v/>
      </c>
      <c r="AX1542" s="65">
        <f>IF(AW1542="",0,MAX(0,MIN(1,(IF(BR1542="L1",Parameter!$K$5,Parameter!$K$6+Parameter!$K$7)-(AW1542-AS1542))/AS1542)))</f>
        <v/>
      </c>
      <c r="AY1542" s="53">
        <f>IF(AC1542&lt;=0,"",IF(BR1542="Aussen","Aussenlager",IF(BR1542="-","Nicht im Lift",IF(AH1542&gt;=1,"Lift",IF(AH1542&lt;=0,"Aussenlager","teilweise")))))</f>
        <v/>
      </c>
      <c r="AZ1542" s="53">
        <f>IF(AK1542&lt;=0,"",IF(BR1542="Aussen","Aussenlager",IF(BR1542="-","Nicht im Lift",IF(AP1542&gt;=1,"Lift",IF(AP1542&lt;=0,"Aussenlager","teilweise")))))</f>
        <v/>
      </c>
      <c r="BA1542" s="53">
        <f>IF(AS1542&lt;=0,"",IF(BR1542="Aussen","Aussenlager",IF(BR1542="-","Nicht im Lift",IF(AX1542&gt;=1,"Lift",IF(AX1542&lt;=0,"Aussenlager","teilweise")))))</f>
        <v/>
      </c>
      <c r="BB1542" s="53">
        <f>IF(A1542="","",IF(BK1542=1,"Neu; ","")&amp;IF(AND(BK1542=0,BF1542&lt;0),"negativer Bestand (Export "&amp;BF1542&amp;"); ","")&amp;IF(I1542&lt;=0,"Kein Verbrauch; ","")&amp;IF(BO1542=1,"Lose – Fläche geschätzt; ","")&amp;IF(G1542&gt;AM1542,"Überbestand "&amp;ROUND(G1542-AM1542,0)&amp;" Stk / CHF "&amp;ROUND((G1542-AM1542)*F1542,0)&amp;"; ","")&amp;IF(AND(BT1542=1,BU1542&lt;BV1542),"MAX &lt; MB+LG; ","")&amp;IF(AND(BZ1542&gt;0,BY1542*10&gt;BZ1542),"zu hoch für Tablar; ","")&amp;IF(AND(BK1542=0,OR(BT1542=1,V1542&lt;&gt;"",S1542&lt;&gt;"",T1542&lt;&gt;"",W1542&lt;&gt;"")),"manuell übersteuert; ","")&amp;IF(AND(BO1542=0,Q1542=0),"Gebinde unbekannt; ","")&amp;IF(AND(BO1542=0,N(T1542)&lt;=0,N(P1542)&lt;=0),"Menge pro Gebinde fehlt (Ist = 1 Gebinde); ","")&amp;BJ1542)</f>
        <v/>
      </c>
      <c r="BC1542" s="53" t="n"/>
      <c r="BD1542" s="53" t="n"/>
      <c r="BE1542" s="61" t="n"/>
      <c r="BF1542" s="55">
        <f>N('Neue Artikel'!$D$76)</f>
        <v/>
      </c>
      <c r="BG1542" s="55" t="n">
        <v>0</v>
      </c>
      <c r="BH1542" s="54" t="n">
        <v>0</v>
      </c>
      <c r="BI1542" s="55">
        <f>N('Neue Artikel'!$C$76)/Parameter!$B$18</f>
        <v/>
      </c>
      <c r="BJ1542" s="53" t="inlineStr"/>
      <c r="BK1542" s="58" t="n">
        <v>1</v>
      </c>
      <c r="BL1542" s="58" t="n">
        <v>1542</v>
      </c>
      <c r="BM1542" s="53">
        <f>IF(S1542&lt;&gt;"",UPPER(TRIM(S1542)),IF(O1542="","LOSE",O1542))</f>
        <v/>
      </c>
      <c r="BN1542" s="55">
        <f>IF(BM1542="LOSE",1,IF(N(T1542)&gt;0,T1542,IF(N(P1542)&gt;0,P1542,MAX(1,G1542))))</f>
        <v/>
      </c>
      <c r="BO1542" s="58">
        <f>IF(BM1542="LOSE",1,0)</f>
        <v/>
      </c>
      <c r="BP1542" s="64">
        <f>IF(BO1542=0,0,IF(N(R1542)&gt;0,R1542,IFERROR(VLOOKUP(D1542,Parameter!$A$35:$C$64,3,0)+0,0)))</f>
        <v/>
      </c>
      <c r="BQ1542" s="53">
        <f>IF(V1542&lt;&gt;"",V1542,U1542)</f>
        <v/>
      </c>
      <c r="BR1542" s="53">
        <f>IF(BQ1542=1,"L1",IF(OR(BQ1542=2,BQ1542=3),"L23",IF(BQ1542="Aussen","Aussen","-")))</f>
        <v/>
      </c>
      <c r="BS1542" s="66">
        <f>IF(N(W1542)&gt;0,W1542,0)</f>
        <v/>
      </c>
      <c r="BT1542" s="58">
        <f>IF(ISNUMBER(Z1542),1,0)</f>
        <v/>
      </c>
      <c r="BU1542" s="55">
        <f>N(Z1542)</f>
        <v/>
      </c>
      <c r="BV1542" s="55">
        <f>N(L1542)+N(M1542)</f>
        <v/>
      </c>
      <c r="BW1542" s="55">
        <f>ROUNDUP(G1542/BN1542,0)</f>
        <v/>
      </c>
      <c r="BX1542" s="55">
        <f>ROUNDUP(BU1542/BN1542,0)</f>
        <v/>
      </c>
      <c r="BY1542" s="58">
        <f>IF(BO1542=1,0,IFERROR(VLOOKUP(BM1542,'Gebinde-Kategorie'!$A$5:$G$45,5,0)+0,0))</f>
        <v/>
      </c>
      <c r="BZ1542" s="58">
        <f>IFERROR(IF(OR(BQ1542=1,BQ1542=2,BQ1542=3),N(INDEX(Parameter!$I$5:$I$7,BQ1542)),0),0)</f>
        <v/>
      </c>
    </row>
    <row r="1543">
      <c r="A1543" s="53">
        <f>IF('Neue Artikel'!$A$77="","",'Neue Artikel'!$A$77&amp;"")</f>
        <v/>
      </c>
      <c r="B1543" s="53">
        <f>'Neue Artikel'!$B$77&amp;""</f>
        <v/>
      </c>
      <c r="C1543" s="53" t="inlineStr"/>
      <c r="D1543" s="53" t="inlineStr">
        <is>
          <t>NEU</t>
        </is>
      </c>
      <c r="E1543" s="53" t="inlineStr"/>
      <c r="F1543" s="54">
        <f>N('Neue Artikel'!$G$77)</f>
        <v/>
      </c>
      <c r="G1543" s="55">
        <f>MAX(0,IF(Parameter!$B$20="Jahresanfang 2025 + Export",BG1543+BF1543,BF1543))</f>
        <v/>
      </c>
      <c r="H1543" s="55">
        <f>G1543*F1543</f>
        <v/>
      </c>
      <c r="I1543" s="55">
        <f>BI1543*Parameter!$B$18</f>
        <v/>
      </c>
      <c r="J1543" s="56" t="n"/>
      <c r="K1543" s="57" t="n"/>
      <c r="L1543" s="55">
        <f>N('Neue Artikel'!$E$77)</f>
        <v/>
      </c>
      <c r="M1543" s="55">
        <f>N('Neue Artikel'!$F$77)</f>
        <v/>
      </c>
      <c r="N1543" s="58" t="n"/>
      <c r="O1543" s="53">
        <f>IF('Neue Artikel'!$H$77="","LOSE",UPPER(TRIM('Neue Artikel'!$H$77)))</f>
        <v/>
      </c>
      <c r="P1543" s="55">
        <f>N('Neue Artikel'!$I$77)</f>
        <v/>
      </c>
      <c r="Q1543" s="59">
        <f>IF(BO1543=1,0,IFERROR(VLOOKUP(BM1543,'Gebinde-Kategorie'!$A$5:$G$45,6,0)+0,0))</f>
        <v/>
      </c>
      <c r="R1543" s="60" t="n"/>
      <c r="S1543" s="61" t="n"/>
      <c r="T1543" s="61" t="n"/>
      <c r="U1543" s="53">
        <f>IF(A1543="","",IF(IFERROR(VLOOKUP(D1543,Parameter!$A$35:$C$64,2,0),"Nein")="2+3",IF(ISNUMBER(SEARCH("grosser Artikel",BJ1543)),2,IFERROR(VLOOKUP(BM1543,Parameter!$F$35:$G$64,2,0),2)),IF(OR(IFERROR(VLOOKUP(D1543,Parameter!$A$35:$C$64,2,0),"Nein")="Nein",IFERROR(VLOOKUP(D1543,Parameter!$A$35:$C$64,2,0),"Nein")=""),"-",VLOOKUP(D1543,Parameter!$A$35:$C$64,2,0))))</f>
        <v/>
      </c>
      <c r="V1543" s="53">
        <f>IF('Neue Artikel'!$J$77="","",'Neue Artikel'!$J$77)</f>
        <v/>
      </c>
      <c r="W1543" s="62" t="n"/>
      <c r="X1543" s="55">
        <f>AM1543</f>
        <v/>
      </c>
      <c r="Y1543" s="55">
        <f>MAX(AM1543,G1543)</f>
        <v/>
      </c>
      <c r="Z1543" s="63" t="n"/>
      <c r="AA1543" s="55">
        <f>IF(LEFT(Cockpit!$C$5,1)="A",G1543,IF(BT1543=1,BU1543,IF(LEFT(Cockpit!$C$5,1)="B",AE1543,MAX(AE1543,G1543))))</f>
        <v/>
      </c>
      <c r="AB1543" s="55">
        <f>IF(BO1543=1,0,ROUNDUP(AA1543/BN1543,0))</f>
        <v/>
      </c>
      <c r="AC1543" s="64">
        <f>IF(BO1543=1,IF(AA1543&lt;=0,0,BP1543*MAX(1,IF(G1543&gt;0,AA1543/G1543,1))),AB1543*Q1543)</f>
        <v/>
      </c>
      <c r="AD1543" s="55">
        <f>AA1543*F1543</f>
        <v/>
      </c>
      <c r="AE1543" s="55">
        <f>ROUNDUP(MAX(I1543/IF(BS1543&gt;0,BS1543,MAX(0.1,N(Cockpit!$C$6))),BV1543)/BN1543,0)*BN1543</f>
        <v/>
      </c>
      <c r="AF1543" s="56">
        <f>IF(AC1543&gt;0,I1543/AC1543,-1)</f>
        <v/>
      </c>
      <c r="AG1543" s="56">
        <f>IF(AND(OR(BR1543="L1",BR1543="L23"),AC1543&gt;0),SUMIFS($AC$7:$AC$1570,$BR$7:$BR$1570,BR1543,$AF$7:$AF$1570,"&gt;"&amp;AF1543)+SUMIFS($AC$7:$AC$1570,$BR$7:$BR$1570,BR1543,$AF$7:$AF$1570,AF1543,$BL$7:$BL$1570,"&lt;="&amp;BL1543),"")</f>
        <v/>
      </c>
      <c r="AH1543" s="65">
        <f>IF(AG1543="",0,MAX(0,MIN(1,(IF(BR1543="L1",Parameter!$K$5,Parameter!$K$6+Parameter!$K$7)-(AG1543-AC1543))/AC1543)))</f>
        <v/>
      </c>
      <c r="AI1543" s="55">
        <f>IF(LEFT(Cockpit!$I$5,1)="A",G1543,IF(BT1543=1,BU1543,IF(LEFT(Cockpit!$I$5,1)="B",AM1543,MAX(AM1543,G1543))))</f>
        <v/>
      </c>
      <c r="AJ1543" s="55">
        <f>IF(BO1543=1,0,ROUNDUP(AI1543/BN1543,0))</f>
        <v/>
      </c>
      <c r="AK1543" s="64">
        <f>IF(BO1543=1,IF(AI1543&lt;=0,0,BP1543*MAX(1,IF(G1543&gt;0,AI1543/G1543,1))),AJ1543*Q1543)</f>
        <v/>
      </c>
      <c r="AL1543" s="55">
        <f>AI1543*F1543</f>
        <v/>
      </c>
      <c r="AM1543" s="55">
        <f>ROUNDUP(MAX(I1543/IF(BS1543&gt;0,BS1543,MAX(0.1,N(Cockpit!$I$6))),BV1543)/BN1543,0)*BN1543</f>
        <v/>
      </c>
      <c r="AN1543" s="56">
        <f>IF(AK1543&gt;0,I1543/AK1543,-1)</f>
        <v/>
      </c>
      <c r="AO1543" s="56">
        <f>IF(AND(OR(BR1543="L1",BR1543="L23"),AK1543&gt;0),SUMIFS($AK$7:$AK$1570,$BR$7:$BR$1570,BR1543,$AN$7:$AN$1570,"&gt;"&amp;AN1543)+SUMIFS($AK$7:$AK$1570,$BR$7:$BR$1570,BR1543,$AN$7:$AN$1570,AN1543,$BL$7:$BL$1570,"&lt;="&amp;BL1543),"")</f>
        <v/>
      </c>
      <c r="AP1543" s="65">
        <f>IF(AO1543="",0,MAX(0,MIN(1,(IF(BR1543="L1",Parameter!$K$5,Parameter!$K$6+Parameter!$K$7)-(AO1543-AK1543))/AK1543)))</f>
        <v/>
      </c>
      <c r="AQ1543" s="55">
        <f>IF(LEFT(Cockpit!$O$5,1)="A",G1543,IF(BT1543=1,BU1543,IF(LEFT(Cockpit!$O$5,1)="B",AU1543,MAX(AU1543,G1543))))</f>
        <v/>
      </c>
      <c r="AR1543" s="55">
        <f>IF(BO1543=1,0,ROUNDUP(AQ1543/BN1543,0))</f>
        <v/>
      </c>
      <c r="AS1543" s="64">
        <f>IF(BO1543=1,IF(AQ1543&lt;=0,0,BP1543*MAX(1,IF(G1543&gt;0,AQ1543/G1543,1))),AR1543*Q1543)</f>
        <v/>
      </c>
      <c r="AT1543" s="55">
        <f>AQ1543*F1543</f>
        <v/>
      </c>
      <c r="AU1543" s="55">
        <f>ROUNDUP(MAX(I1543/IF(BS1543&gt;0,BS1543,MAX(0.1,N(Cockpit!$O$6))),BV1543)/BN1543,0)*BN1543</f>
        <v/>
      </c>
      <c r="AV1543" s="56">
        <f>IF(AS1543&gt;0,I1543/AS1543,-1)</f>
        <v/>
      </c>
      <c r="AW1543" s="56">
        <f>IF(AND(OR(BR1543="L1",BR1543="L23"),AS1543&gt;0),SUMIFS($AS$7:$AS$1570,$BR$7:$BR$1570,BR1543,$AV$7:$AV$1570,"&gt;"&amp;AV1543)+SUMIFS($AS$7:$AS$1570,$BR$7:$BR$1570,BR1543,$AV$7:$AV$1570,AV1543,$BL$7:$BL$1570,"&lt;="&amp;BL1543),"")</f>
        <v/>
      </c>
      <c r="AX1543" s="65">
        <f>IF(AW1543="",0,MAX(0,MIN(1,(IF(BR1543="L1",Parameter!$K$5,Parameter!$K$6+Parameter!$K$7)-(AW1543-AS1543))/AS1543)))</f>
        <v/>
      </c>
      <c r="AY1543" s="53">
        <f>IF(AC1543&lt;=0,"",IF(BR1543="Aussen","Aussenlager",IF(BR1543="-","Nicht im Lift",IF(AH1543&gt;=1,"Lift",IF(AH1543&lt;=0,"Aussenlager","teilweise")))))</f>
        <v/>
      </c>
      <c r="AZ1543" s="53">
        <f>IF(AK1543&lt;=0,"",IF(BR1543="Aussen","Aussenlager",IF(BR1543="-","Nicht im Lift",IF(AP1543&gt;=1,"Lift",IF(AP1543&lt;=0,"Aussenlager","teilweise")))))</f>
        <v/>
      </c>
      <c r="BA1543" s="53">
        <f>IF(AS1543&lt;=0,"",IF(BR1543="Aussen","Aussenlager",IF(BR1543="-","Nicht im Lift",IF(AX1543&gt;=1,"Lift",IF(AX1543&lt;=0,"Aussenlager","teilweise")))))</f>
        <v/>
      </c>
      <c r="BB1543" s="53">
        <f>IF(A1543="","",IF(BK1543=1,"Neu; ","")&amp;IF(AND(BK1543=0,BF1543&lt;0),"negativer Bestand (Export "&amp;BF1543&amp;"); ","")&amp;IF(I1543&lt;=0,"Kein Verbrauch; ","")&amp;IF(BO1543=1,"Lose – Fläche geschätzt; ","")&amp;IF(G1543&gt;AM1543,"Überbestand "&amp;ROUND(G1543-AM1543,0)&amp;" Stk / CHF "&amp;ROUND((G1543-AM1543)*F1543,0)&amp;"; ","")&amp;IF(AND(BT1543=1,BU1543&lt;BV1543),"MAX &lt; MB+LG; ","")&amp;IF(AND(BZ1543&gt;0,BY1543*10&gt;BZ1543),"zu hoch für Tablar; ","")&amp;IF(AND(BK1543=0,OR(BT1543=1,V1543&lt;&gt;"",S1543&lt;&gt;"",T1543&lt;&gt;"",W1543&lt;&gt;"")),"manuell übersteuert; ","")&amp;IF(AND(BO1543=0,Q1543=0),"Gebinde unbekannt; ","")&amp;IF(AND(BO1543=0,N(T1543)&lt;=0,N(P1543)&lt;=0),"Menge pro Gebinde fehlt (Ist = 1 Gebinde); ","")&amp;BJ1543)</f>
        <v/>
      </c>
      <c r="BC1543" s="53" t="n"/>
      <c r="BD1543" s="53" t="n"/>
      <c r="BE1543" s="61" t="n"/>
      <c r="BF1543" s="55">
        <f>N('Neue Artikel'!$D$77)</f>
        <v/>
      </c>
      <c r="BG1543" s="55" t="n">
        <v>0</v>
      </c>
      <c r="BH1543" s="54" t="n">
        <v>0</v>
      </c>
      <c r="BI1543" s="55">
        <f>N('Neue Artikel'!$C$77)/Parameter!$B$18</f>
        <v/>
      </c>
      <c r="BJ1543" s="53" t="inlineStr"/>
      <c r="BK1543" s="58" t="n">
        <v>1</v>
      </c>
      <c r="BL1543" s="58" t="n">
        <v>1543</v>
      </c>
      <c r="BM1543" s="53">
        <f>IF(S1543&lt;&gt;"",UPPER(TRIM(S1543)),IF(O1543="","LOSE",O1543))</f>
        <v/>
      </c>
      <c r="BN1543" s="55">
        <f>IF(BM1543="LOSE",1,IF(N(T1543)&gt;0,T1543,IF(N(P1543)&gt;0,P1543,MAX(1,G1543))))</f>
        <v/>
      </c>
      <c r="BO1543" s="58">
        <f>IF(BM1543="LOSE",1,0)</f>
        <v/>
      </c>
      <c r="BP1543" s="64">
        <f>IF(BO1543=0,0,IF(N(R1543)&gt;0,R1543,IFERROR(VLOOKUP(D1543,Parameter!$A$35:$C$64,3,0)+0,0)))</f>
        <v/>
      </c>
      <c r="BQ1543" s="53">
        <f>IF(V1543&lt;&gt;"",V1543,U1543)</f>
        <v/>
      </c>
      <c r="BR1543" s="53">
        <f>IF(BQ1543=1,"L1",IF(OR(BQ1543=2,BQ1543=3),"L23",IF(BQ1543="Aussen","Aussen","-")))</f>
        <v/>
      </c>
      <c r="BS1543" s="66">
        <f>IF(N(W1543)&gt;0,W1543,0)</f>
        <v/>
      </c>
      <c r="BT1543" s="58">
        <f>IF(ISNUMBER(Z1543),1,0)</f>
        <v/>
      </c>
      <c r="BU1543" s="55">
        <f>N(Z1543)</f>
        <v/>
      </c>
      <c r="BV1543" s="55">
        <f>N(L1543)+N(M1543)</f>
        <v/>
      </c>
      <c r="BW1543" s="55">
        <f>ROUNDUP(G1543/BN1543,0)</f>
        <v/>
      </c>
      <c r="BX1543" s="55">
        <f>ROUNDUP(BU1543/BN1543,0)</f>
        <v/>
      </c>
      <c r="BY1543" s="58">
        <f>IF(BO1543=1,0,IFERROR(VLOOKUP(BM1543,'Gebinde-Kategorie'!$A$5:$G$45,5,0)+0,0))</f>
        <v/>
      </c>
      <c r="BZ1543" s="58">
        <f>IFERROR(IF(OR(BQ1543=1,BQ1543=2,BQ1543=3),N(INDEX(Parameter!$I$5:$I$7,BQ1543)),0),0)</f>
        <v/>
      </c>
    </row>
    <row r="1544">
      <c r="A1544" s="53">
        <f>IF('Neue Artikel'!$A$78="","",'Neue Artikel'!$A$78&amp;"")</f>
        <v/>
      </c>
      <c r="B1544" s="53">
        <f>'Neue Artikel'!$B$78&amp;""</f>
        <v/>
      </c>
      <c r="C1544" s="53" t="inlineStr"/>
      <c r="D1544" s="53" t="inlineStr">
        <is>
          <t>NEU</t>
        </is>
      </c>
      <c r="E1544" s="53" t="inlineStr"/>
      <c r="F1544" s="54">
        <f>N('Neue Artikel'!$G$78)</f>
        <v/>
      </c>
      <c r="G1544" s="55">
        <f>MAX(0,IF(Parameter!$B$20="Jahresanfang 2025 + Export",BG1544+BF1544,BF1544))</f>
        <v/>
      </c>
      <c r="H1544" s="55">
        <f>G1544*F1544</f>
        <v/>
      </c>
      <c r="I1544" s="55">
        <f>BI1544*Parameter!$B$18</f>
        <v/>
      </c>
      <c r="J1544" s="56" t="n"/>
      <c r="K1544" s="57" t="n"/>
      <c r="L1544" s="55">
        <f>N('Neue Artikel'!$E$78)</f>
        <v/>
      </c>
      <c r="M1544" s="55">
        <f>N('Neue Artikel'!$F$78)</f>
        <v/>
      </c>
      <c r="N1544" s="58" t="n"/>
      <c r="O1544" s="53">
        <f>IF('Neue Artikel'!$H$78="","LOSE",UPPER(TRIM('Neue Artikel'!$H$78)))</f>
        <v/>
      </c>
      <c r="P1544" s="55">
        <f>N('Neue Artikel'!$I$78)</f>
        <v/>
      </c>
      <c r="Q1544" s="59">
        <f>IF(BO1544=1,0,IFERROR(VLOOKUP(BM1544,'Gebinde-Kategorie'!$A$5:$G$45,6,0)+0,0))</f>
        <v/>
      </c>
      <c r="R1544" s="60" t="n"/>
      <c r="S1544" s="61" t="n"/>
      <c r="T1544" s="61" t="n"/>
      <c r="U1544" s="53">
        <f>IF(A1544="","",IF(IFERROR(VLOOKUP(D1544,Parameter!$A$35:$C$64,2,0),"Nein")="2+3",IF(ISNUMBER(SEARCH("grosser Artikel",BJ1544)),2,IFERROR(VLOOKUP(BM1544,Parameter!$F$35:$G$64,2,0),2)),IF(OR(IFERROR(VLOOKUP(D1544,Parameter!$A$35:$C$64,2,0),"Nein")="Nein",IFERROR(VLOOKUP(D1544,Parameter!$A$35:$C$64,2,0),"Nein")=""),"-",VLOOKUP(D1544,Parameter!$A$35:$C$64,2,0))))</f>
        <v/>
      </c>
      <c r="V1544" s="53">
        <f>IF('Neue Artikel'!$J$78="","",'Neue Artikel'!$J$78)</f>
        <v/>
      </c>
      <c r="W1544" s="62" t="n"/>
      <c r="X1544" s="55">
        <f>AM1544</f>
        <v/>
      </c>
      <c r="Y1544" s="55">
        <f>MAX(AM1544,G1544)</f>
        <v/>
      </c>
      <c r="Z1544" s="63" t="n"/>
      <c r="AA1544" s="55">
        <f>IF(LEFT(Cockpit!$C$5,1)="A",G1544,IF(BT1544=1,BU1544,IF(LEFT(Cockpit!$C$5,1)="B",AE1544,MAX(AE1544,G1544))))</f>
        <v/>
      </c>
      <c r="AB1544" s="55">
        <f>IF(BO1544=1,0,ROUNDUP(AA1544/BN1544,0))</f>
        <v/>
      </c>
      <c r="AC1544" s="64">
        <f>IF(BO1544=1,IF(AA1544&lt;=0,0,BP1544*MAX(1,IF(G1544&gt;0,AA1544/G1544,1))),AB1544*Q1544)</f>
        <v/>
      </c>
      <c r="AD1544" s="55">
        <f>AA1544*F1544</f>
        <v/>
      </c>
      <c r="AE1544" s="55">
        <f>ROUNDUP(MAX(I1544/IF(BS1544&gt;0,BS1544,MAX(0.1,N(Cockpit!$C$6))),BV1544)/BN1544,0)*BN1544</f>
        <v/>
      </c>
      <c r="AF1544" s="56">
        <f>IF(AC1544&gt;0,I1544/AC1544,-1)</f>
        <v/>
      </c>
      <c r="AG1544" s="56">
        <f>IF(AND(OR(BR1544="L1",BR1544="L23"),AC1544&gt;0),SUMIFS($AC$7:$AC$1570,$BR$7:$BR$1570,BR1544,$AF$7:$AF$1570,"&gt;"&amp;AF1544)+SUMIFS($AC$7:$AC$1570,$BR$7:$BR$1570,BR1544,$AF$7:$AF$1570,AF1544,$BL$7:$BL$1570,"&lt;="&amp;BL1544),"")</f>
        <v/>
      </c>
      <c r="AH1544" s="65">
        <f>IF(AG1544="",0,MAX(0,MIN(1,(IF(BR1544="L1",Parameter!$K$5,Parameter!$K$6+Parameter!$K$7)-(AG1544-AC1544))/AC1544)))</f>
        <v/>
      </c>
      <c r="AI1544" s="55">
        <f>IF(LEFT(Cockpit!$I$5,1)="A",G1544,IF(BT1544=1,BU1544,IF(LEFT(Cockpit!$I$5,1)="B",AM1544,MAX(AM1544,G1544))))</f>
        <v/>
      </c>
      <c r="AJ1544" s="55">
        <f>IF(BO1544=1,0,ROUNDUP(AI1544/BN1544,0))</f>
        <v/>
      </c>
      <c r="AK1544" s="64">
        <f>IF(BO1544=1,IF(AI1544&lt;=0,0,BP1544*MAX(1,IF(G1544&gt;0,AI1544/G1544,1))),AJ1544*Q1544)</f>
        <v/>
      </c>
      <c r="AL1544" s="55">
        <f>AI1544*F1544</f>
        <v/>
      </c>
      <c r="AM1544" s="55">
        <f>ROUNDUP(MAX(I1544/IF(BS1544&gt;0,BS1544,MAX(0.1,N(Cockpit!$I$6))),BV1544)/BN1544,0)*BN1544</f>
        <v/>
      </c>
      <c r="AN1544" s="56">
        <f>IF(AK1544&gt;0,I1544/AK1544,-1)</f>
        <v/>
      </c>
      <c r="AO1544" s="56">
        <f>IF(AND(OR(BR1544="L1",BR1544="L23"),AK1544&gt;0),SUMIFS($AK$7:$AK$1570,$BR$7:$BR$1570,BR1544,$AN$7:$AN$1570,"&gt;"&amp;AN1544)+SUMIFS($AK$7:$AK$1570,$BR$7:$BR$1570,BR1544,$AN$7:$AN$1570,AN1544,$BL$7:$BL$1570,"&lt;="&amp;BL1544),"")</f>
        <v/>
      </c>
      <c r="AP1544" s="65">
        <f>IF(AO1544="",0,MAX(0,MIN(1,(IF(BR1544="L1",Parameter!$K$5,Parameter!$K$6+Parameter!$K$7)-(AO1544-AK1544))/AK1544)))</f>
        <v/>
      </c>
      <c r="AQ1544" s="55">
        <f>IF(LEFT(Cockpit!$O$5,1)="A",G1544,IF(BT1544=1,BU1544,IF(LEFT(Cockpit!$O$5,1)="B",AU1544,MAX(AU1544,G1544))))</f>
        <v/>
      </c>
      <c r="AR1544" s="55">
        <f>IF(BO1544=1,0,ROUNDUP(AQ1544/BN1544,0))</f>
        <v/>
      </c>
      <c r="AS1544" s="64">
        <f>IF(BO1544=1,IF(AQ1544&lt;=0,0,BP1544*MAX(1,IF(G1544&gt;0,AQ1544/G1544,1))),AR1544*Q1544)</f>
        <v/>
      </c>
      <c r="AT1544" s="55">
        <f>AQ1544*F1544</f>
        <v/>
      </c>
      <c r="AU1544" s="55">
        <f>ROUNDUP(MAX(I1544/IF(BS1544&gt;0,BS1544,MAX(0.1,N(Cockpit!$O$6))),BV1544)/BN1544,0)*BN1544</f>
        <v/>
      </c>
      <c r="AV1544" s="56">
        <f>IF(AS1544&gt;0,I1544/AS1544,-1)</f>
        <v/>
      </c>
      <c r="AW1544" s="56">
        <f>IF(AND(OR(BR1544="L1",BR1544="L23"),AS1544&gt;0),SUMIFS($AS$7:$AS$1570,$BR$7:$BR$1570,BR1544,$AV$7:$AV$1570,"&gt;"&amp;AV1544)+SUMIFS($AS$7:$AS$1570,$BR$7:$BR$1570,BR1544,$AV$7:$AV$1570,AV1544,$BL$7:$BL$1570,"&lt;="&amp;BL1544),"")</f>
        <v/>
      </c>
      <c r="AX1544" s="65">
        <f>IF(AW1544="",0,MAX(0,MIN(1,(IF(BR1544="L1",Parameter!$K$5,Parameter!$K$6+Parameter!$K$7)-(AW1544-AS1544))/AS1544)))</f>
        <v/>
      </c>
      <c r="AY1544" s="53">
        <f>IF(AC1544&lt;=0,"",IF(BR1544="Aussen","Aussenlager",IF(BR1544="-","Nicht im Lift",IF(AH1544&gt;=1,"Lift",IF(AH1544&lt;=0,"Aussenlager","teilweise")))))</f>
        <v/>
      </c>
      <c r="AZ1544" s="53">
        <f>IF(AK1544&lt;=0,"",IF(BR1544="Aussen","Aussenlager",IF(BR1544="-","Nicht im Lift",IF(AP1544&gt;=1,"Lift",IF(AP1544&lt;=0,"Aussenlager","teilweise")))))</f>
        <v/>
      </c>
      <c r="BA1544" s="53">
        <f>IF(AS1544&lt;=0,"",IF(BR1544="Aussen","Aussenlager",IF(BR1544="-","Nicht im Lift",IF(AX1544&gt;=1,"Lift",IF(AX1544&lt;=0,"Aussenlager","teilweise")))))</f>
        <v/>
      </c>
      <c r="BB1544" s="53">
        <f>IF(A1544="","",IF(BK1544=1,"Neu; ","")&amp;IF(AND(BK1544=0,BF1544&lt;0),"negativer Bestand (Export "&amp;BF1544&amp;"); ","")&amp;IF(I1544&lt;=0,"Kein Verbrauch; ","")&amp;IF(BO1544=1,"Lose – Fläche geschätzt; ","")&amp;IF(G1544&gt;AM1544,"Überbestand "&amp;ROUND(G1544-AM1544,0)&amp;" Stk / CHF "&amp;ROUND((G1544-AM1544)*F1544,0)&amp;"; ","")&amp;IF(AND(BT1544=1,BU1544&lt;BV1544),"MAX &lt; MB+LG; ","")&amp;IF(AND(BZ1544&gt;0,BY1544*10&gt;BZ1544),"zu hoch für Tablar; ","")&amp;IF(AND(BK1544=0,OR(BT1544=1,V1544&lt;&gt;"",S1544&lt;&gt;"",T1544&lt;&gt;"",W1544&lt;&gt;"")),"manuell übersteuert; ","")&amp;IF(AND(BO1544=0,Q1544=0),"Gebinde unbekannt; ","")&amp;IF(AND(BO1544=0,N(T1544)&lt;=0,N(P1544)&lt;=0),"Menge pro Gebinde fehlt (Ist = 1 Gebinde); ","")&amp;BJ1544)</f>
        <v/>
      </c>
      <c r="BC1544" s="53" t="n"/>
      <c r="BD1544" s="53" t="n"/>
      <c r="BE1544" s="61" t="n"/>
      <c r="BF1544" s="55">
        <f>N('Neue Artikel'!$D$78)</f>
        <v/>
      </c>
      <c r="BG1544" s="55" t="n">
        <v>0</v>
      </c>
      <c r="BH1544" s="54" t="n">
        <v>0</v>
      </c>
      <c r="BI1544" s="55">
        <f>N('Neue Artikel'!$C$78)/Parameter!$B$18</f>
        <v/>
      </c>
      <c r="BJ1544" s="53" t="inlineStr"/>
      <c r="BK1544" s="58" t="n">
        <v>1</v>
      </c>
      <c r="BL1544" s="58" t="n">
        <v>1544</v>
      </c>
      <c r="BM1544" s="53">
        <f>IF(S1544&lt;&gt;"",UPPER(TRIM(S1544)),IF(O1544="","LOSE",O1544))</f>
        <v/>
      </c>
      <c r="BN1544" s="55">
        <f>IF(BM1544="LOSE",1,IF(N(T1544)&gt;0,T1544,IF(N(P1544)&gt;0,P1544,MAX(1,G1544))))</f>
        <v/>
      </c>
      <c r="BO1544" s="58">
        <f>IF(BM1544="LOSE",1,0)</f>
        <v/>
      </c>
      <c r="BP1544" s="64">
        <f>IF(BO1544=0,0,IF(N(R1544)&gt;0,R1544,IFERROR(VLOOKUP(D1544,Parameter!$A$35:$C$64,3,0)+0,0)))</f>
        <v/>
      </c>
      <c r="BQ1544" s="53">
        <f>IF(V1544&lt;&gt;"",V1544,U1544)</f>
        <v/>
      </c>
      <c r="BR1544" s="53">
        <f>IF(BQ1544=1,"L1",IF(OR(BQ1544=2,BQ1544=3),"L23",IF(BQ1544="Aussen","Aussen","-")))</f>
        <v/>
      </c>
      <c r="BS1544" s="66">
        <f>IF(N(W1544)&gt;0,W1544,0)</f>
        <v/>
      </c>
      <c r="BT1544" s="58">
        <f>IF(ISNUMBER(Z1544),1,0)</f>
        <v/>
      </c>
      <c r="BU1544" s="55">
        <f>N(Z1544)</f>
        <v/>
      </c>
      <c r="BV1544" s="55">
        <f>N(L1544)+N(M1544)</f>
        <v/>
      </c>
      <c r="BW1544" s="55">
        <f>ROUNDUP(G1544/BN1544,0)</f>
        <v/>
      </c>
      <c r="BX1544" s="55">
        <f>ROUNDUP(BU1544/BN1544,0)</f>
        <v/>
      </c>
      <c r="BY1544" s="58">
        <f>IF(BO1544=1,0,IFERROR(VLOOKUP(BM1544,'Gebinde-Kategorie'!$A$5:$G$45,5,0)+0,0))</f>
        <v/>
      </c>
      <c r="BZ1544" s="58">
        <f>IFERROR(IF(OR(BQ1544=1,BQ1544=2,BQ1544=3),N(INDEX(Parameter!$I$5:$I$7,BQ1544)),0),0)</f>
        <v/>
      </c>
    </row>
    <row r="1545">
      <c r="A1545" s="53">
        <f>IF('Neue Artikel'!$A$79="","",'Neue Artikel'!$A$79&amp;"")</f>
        <v/>
      </c>
      <c r="B1545" s="53">
        <f>'Neue Artikel'!$B$79&amp;""</f>
        <v/>
      </c>
      <c r="C1545" s="53" t="inlineStr"/>
      <c r="D1545" s="53" t="inlineStr">
        <is>
          <t>NEU</t>
        </is>
      </c>
      <c r="E1545" s="53" t="inlineStr"/>
      <c r="F1545" s="54">
        <f>N('Neue Artikel'!$G$79)</f>
        <v/>
      </c>
      <c r="G1545" s="55">
        <f>MAX(0,IF(Parameter!$B$20="Jahresanfang 2025 + Export",BG1545+BF1545,BF1545))</f>
        <v/>
      </c>
      <c r="H1545" s="55">
        <f>G1545*F1545</f>
        <v/>
      </c>
      <c r="I1545" s="55">
        <f>BI1545*Parameter!$B$18</f>
        <v/>
      </c>
      <c r="J1545" s="56" t="n"/>
      <c r="K1545" s="57" t="n"/>
      <c r="L1545" s="55">
        <f>N('Neue Artikel'!$E$79)</f>
        <v/>
      </c>
      <c r="M1545" s="55">
        <f>N('Neue Artikel'!$F$79)</f>
        <v/>
      </c>
      <c r="N1545" s="58" t="n"/>
      <c r="O1545" s="53">
        <f>IF('Neue Artikel'!$H$79="","LOSE",UPPER(TRIM('Neue Artikel'!$H$79)))</f>
        <v/>
      </c>
      <c r="P1545" s="55">
        <f>N('Neue Artikel'!$I$79)</f>
        <v/>
      </c>
      <c r="Q1545" s="59">
        <f>IF(BO1545=1,0,IFERROR(VLOOKUP(BM1545,'Gebinde-Kategorie'!$A$5:$G$45,6,0)+0,0))</f>
        <v/>
      </c>
      <c r="R1545" s="60" t="n"/>
      <c r="S1545" s="61" t="n"/>
      <c r="T1545" s="61" t="n"/>
      <c r="U1545" s="53">
        <f>IF(A1545="","",IF(IFERROR(VLOOKUP(D1545,Parameter!$A$35:$C$64,2,0),"Nein")="2+3",IF(ISNUMBER(SEARCH("grosser Artikel",BJ1545)),2,IFERROR(VLOOKUP(BM1545,Parameter!$F$35:$G$64,2,0),2)),IF(OR(IFERROR(VLOOKUP(D1545,Parameter!$A$35:$C$64,2,0),"Nein")="Nein",IFERROR(VLOOKUP(D1545,Parameter!$A$35:$C$64,2,0),"Nein")=""),"-",VLOOKUP(D1545,Parameter!$A$35:$C$64,2,0))))</f>
        <v/>
      </c>
      <c r="V1545" s="53">
        <f>IF('Neue Artikel'!$J$79="","",'Neue Artikel'!$J$79)</f>
        <v/>
      </c>
      <c r="W1545" s="62" t="n"/>
      <c r="X1545" s="55">
        <f>AM1545</f>
        <v/>
      </c>
      <c r="Y1545" s="55">
        <f>MAX(AM1545,G1545)</f>
        <v/>
      </c>
      <c r="Z1545" s="63" t="n"/>
      <c r="AA1545" s="55">
        <f>IF(LEFT(Cockpit!$C$5,1)="A",G1545,IF(BT1545=1,BU1545,IF(LEFT(Cockpit!$C$5,1)="B",AE1545,MAX(AE1545,G1545))))</f>
        <v/>
      </c>
      <c r="AB1545" s="55">
        <f>IF(BO1545=1,0,ROUNDUP(AA1545/BN1545,0))</f>
        <v/>
      </c>
      <c r="AC1545" s="64">
        <f>IF(BO1545=1,IF(AA1545&lt;=0,0,BP1545*MAX(1,IF(G1545&gt;0,AA1545/G1545,1))),AB1545*Q1545)</f>
        <v/>
      </c>
      <c r="AD1545" s="55">
        <f>AA1545*F1545</f>
        <v/>
      </c>
      <c r="AE1545" s="55">
        <f>ROUNDUP(MAX(I1545/IF(BS1545&gt;0,BS1545,MAX(0.1,N(Cockpit!$C$6))),BV1545)/BN1545,0)*BN1545</f>
        <v/>
      </c>
      <c r="AF1545" s="56">
        <f>IF(AC1545&gt;0,I1545/AC1545,-1)</f>
        <v/>
      </c>
      <c r="AG1545" s="56">
        <f>IF(AND(OR(BR1545="L1",BR1545="L23"),AC1545&gt;0),SUMIFS($AC$7:$AC$1570,$BR$7:$BR$1570,BR1545,$AF$7:$AF$1570,"&gt;"&amp;AF1545)+SUMIFS($AC$7:$AC$1570,$BR$7:$BR$1570,BR1545,$AF$7:$AF$1570,AF1545,$BL$7:$BL$1570,"&lt;="&amp;BL1545),"")</f>
        <v/>
      </c>
      <c r="AH1545" s="65">
        <f>IF(AG1545="",0,MAX(0,MIN(1,(IF(BR1545="L1",Parameter!$K$5,Parameter!$K$6+Parameter!$K$7)-(AG1545-AC1545))/AC1545)))</f>
        <v/>
      </c>
      <c r="AI1545" s="55">
        <f>IF(LEFT(Cockpit!$I$5,1)="A",G1545,IF(BT1545=1,BU1545,IF(LEFT(Cockpit!$I$5,1)="B",AM1545,MAX(AM1545,G1545))))</f>
        <v/>
      </c>
      <c r="AJ1545" s="55">
        <f>IF(BO1545=1,0,ROUNDUP(AI1545/BN1545,0))</f>
        <v/>
      </c>
      <c r="AK1545" s="64">
        <f>IF(BO1545=1,IF(AI1545&lt;=0,0,BP1545*MAX(1,IF(G1545&gt;0,AI1545/G1545,1))),AJ1545*Q1545)</f>
        <v/>
      </c>
      <c r="AL1545" s="55">
        <f>AI1545*F1545</f>
        <v/>
      </c>
      <c r="AM1545" s="55">
        <f>ROUNDUP(MAX(I1545/IF(BS1545&gt;0,BS1545,MAX(0.1,N(Cockpit!$I$6))),BV1545)/BN1545,0)*BN1545</f>
        <v/>
      </c>
      <c r="AN1545" s="56">
        <f>IF(AK1545&gt;0,I1545/AK1545,-1)</f>
        <v/>
      </c>
      <c r="AO1545" s="56">
        <f>IF(AND(OR(BR1545="L1",BR1545="L23"),AK1545&gt;0),SUMIFS($AK$7:$AK$1570,$BR$7:$BR$1570,BR1545,$AN$7:$AN$1570,"&gt;"&amp;AN1545)+SUMIFS($AK$7:$AK$1570,$BR$7:$BR$1570,BR1545,$AN$7:$AN$1570,AN1545,$BL$7:$BL$1570,"&lt;="&amp;BL1545),"")</f>
        <v/>
      </c>
      <c r="AP1545" s="65">
        <f>IF(AO1545="",0,MAX(0,MIN(1,(IF(BR1545="L1",Parameter!$K$5,Parameter!$K$6+Parameter!$K$7)-(AO1545-AK1545))/AK1545)))</f>
        <v/>
      </c>
      <c r="AQ1545" s="55">
        <f>IF(LEFT(Cockpit!$O$5,1)="A",G1545,IF(BT1545=1,BU1545,IF(LEFT(Cockpit!$O$5,1)="B",AU1545,MAX(AU1545,G1545))))</f>
        <v/>
      </c>
      <c r="AR1545" s="55">
        <f>IF(BO1545=1,0,ROUNDUP(AQ1545/BN1545,0))</f>
        <v/>
      </c>
      <c r="AS1545" s="64">
        <f>IF(BO1545=1,IF(AQ1545&lt;=0,0,BP1545*MAX(1,IF(G1545&gt;0,AQ1545/G1545,1))),AR1545*Q1545)</f>
        <v/>
      </c>
      <c r="AT1545" s="55">
        <f>AQ1545*F1545</f>
        <v/>
      </c>
      <c r="AU1545" s="55">
        <f>ROUNDUP(MAX(I1545/IF(BS1545&gt;0,BS1545,MAX(0.1,N(Cockpit!$O$6))),BV1545)/BN1545,0)*BN1545</f>
        <v/>
      </c>
      <c r="AV1545" s="56">
        <f>IF(AS1545&gt;0,I1545/AS1545,-1)</f>
        <v/>
      </c>
      <c r="AW1545" s="56">
        <f>IF(AND(OR(BR1545="L1",BR1545="L23"),AS1545&gt;0),SUMIFS($AS$7:$AS$1570,$BR$7:$BR$1570,BR1545,$AV$7:$AV$1570,"&gt;"&amp;AV1545)+SUMIFS($AS$7:$AS$1570,$BR$7:$BR$1570,BR1545,$AV$7:$AV$1570,AV1545,$BL$7:$BL$1570,"&lt;="&amp;BL1545),"")</f>
        <v/>
      </c>
      <c r="AX1545" s="65">
        <f>IF(AW1545="",0,MAX(0,MIN(1,(IF(BR1545="L1",Parameter!$K$5,Parameter!$K$6+Parameter!$K$7)-(AW1545-AS1545))/AS1545)))</f>
        <v/>
      </c>
      <c r="AY1545" s="53">
        <f>IF(AC1545&lt;=0,"",IF(BR1545="Aussen","Aussenlager",IF(BR1545="-","Nicht im Lift",IF(AH1545&gt;=1,"Lift",IF(AH1545&lt;=0,"Aussenlager","teilweise")))))</f>
        <v/>
      </c>
      <c r="AZ1545" s="53">
        <f>IF(AK1545&lt;=0,"",IF(BR1545="Aussen","Aussenlager",IF(BR1545="-","Nicht im Lift",IF(AP1545&gt;=1,"Lift",IF(AP1545&lt;=0,"Aussenlager","teilweise")))))</f>
        <v/>
      </c>
      <c r="BA1545" s="53">
        <f>IF(AS1545&lt;=0,"",IF(BR1545="Aussen","Aussenlager",IF(BR1545="-","Nicht im Lift",IF(AX1545&gt;=1,"Lift",IF(AX1545&lt;=0,"Aussenlager","teilweise")))))</f>
        <v/>
      </c>
      <c r="BB1545" s="53">
        <f>IF(A1545="","",IF(BK1545=1,"Neu; ","")&amp;IF(AND(BK1545=0,BF1545&lt;0),"negativer Bestand (Export "&amp;BF1545&amp;"); ","")&amp;IF(I1545&lt;=0,"Kein Verbrauch; ","")&amp;IF(BO1545=1,"Lose – Fläche geschätzt; ","")&amp;IF(G1545&gt;AM1545,"Überbestand "&amp;ROUND(G1545-AM1545,0)&amp;" Stk / CHF "&amp;ROUND((G1545-AM1545)*F1545,0)&amp;"; ","")&amp;IF(AND(BT1545=1,BU1545&lt;BV1545),"MAX &lt; MB+LG; ","")&amp;IF(AND(BZ1545&gt;0,BY1545*10&gt;BZ1545),"zu hoch für Tablar; ","")&amp;IF(AND(BK1545=0,OR(BT1545=1,V1545&lt;&gt;"",S1545&lt;&gt;"",T1545&lt;&gt;"",W1545&lt;&gt;"")),"manuell übersteuert; ","")&amp;IF(AND(BO1545=0,Q1545=0),"Gebinde unbekannt; ","")&amp;IF(AND(BO1545=0,N(T1545)&lt;=0,N(P1545)&lt;=0),"Menge pro Gebinde fehlt (Ist = 1 Gebinde); ","")&amp;BJ1545)</f>
        <v/>
      </c>
      <c r="BC1545" s="53" t="n"/>
      <c r="BD1545" s="53" t="n"/>
      <c r="BE1545" s="61" t="n"/>
      <c r="BF1545" s="55">
        <f>N('Neue Artikel'!$D$79)</f>
        <v/>
      </c>
      <c r="BG1545" s="55" t="n">
        <v>0</v>
      </c>
      <c r="BH1545" s="54" t="n">
        <v>0</v>
      </c>
      <c r="BI1545" s="55">
        <f>N('Neue Artikel'!$C$79)/Parameter!$B$18</f>
        <v/>
      </c>
      <c r="BJ1545" s="53" t="inlineStr"/>
      <c r="BK1545" s="58" t="n">
        <v>1</v>
      </c>
      <c r="BL1545" s="58" t="n">
        <v>1545</v>
      </c>
      <c r="BM1545" s="53">
        <f>IF(S1545&lt;&gt;"",UPPER(TRIM(S1545)),IF(O1545="","LOSE",O1545))</f>
        <v/>
      </c>
      <c r="BN1545" s="55">
        <f>IF(BM1545="LOSE",1,IF(N(T1545)&gt;0,T1545,IF(N(P1545)&gt;0,P1545,MAX(1,G1545))))</f>
        <v/>
      </c>
      <c r="BO1545" s="58">
        <f>IF(BM1545="LOSE",1,0)</f>
        <v/>
      </c>
      <c r="BP1545" s="64">
        <f>IF(BO1545=0,0,IF(N(R1545)&gt;0,R1545,IFERROR(VLOOKUP(D1545,Parameter!$A$35:$C$64,3,0)+0,0)))</f>
        <v/>
      </c>
      <c r="BQ1545" s="53">
        <f>IF(V1545&lt;&gt;"",V1545,U1545)</f>
        <v/>
      </c>
      <c r="BR1545" s="53">
        <f>IF(BQ1545=1,"L1",IF(OR(BQ1545=2,BQ1545=3),"L23",IF(BQ1545="Aussen","Aussen","-")))</f>
        <v/>
      </c>
      <c r="BS1545" s="66">
        <f>IF(N(W1545)&gt;0,W1545,0)</f>
        <v/>
      </c>
      <c r="BT1545" s="58">
        <f>IF(ISNUMBER(Z1545),1,0)</f>
        <v/>
      </c>
      <c r="BU1545" s="55">
        <f>N(Z1545)</f>
        <v/>
      </c>
      <c r="BV1545" s="55">
        <f>N(L1545)+N(M1545)</f>
        <v/>
      </c>
      <c r="BW1545" s="55">
        <f>ROUNDUP(G1545/BN1545,0)</f>
        <v/>
      </c>
      <c r="BX1545" s="55">
        <f>ROUNDUP(BU1545/BN1545,0)</f>
        <v/>
      </c>
      <c r="BY1545" s="58">
        <f>IF(BO1545=1,0,IFERROR(VLOOKUP(BM1545,'Gebinde-Kategorie'!$A$5:$G$45,5,0)+0,0))</f>
        <v/>
      </c>
      <c r="BZ1545" s="58">
        <f>IFERROR(IF(OR(BQ1545=1,BQ1545=2,BQ1545=3),N(INDEX(Parameter!$I$5:$I$7,BQ1545)),0),0)</f>
        <v/>
      </c>
    </row>
    <row r="1546">
      <c r="A1546" s="53">
        <f>IF('Neue Artikel'!$A$80="","",'Neue Artikel'!$A$80&amp;"")</f>
        <v/>
      </c>
      <c r="B1546" s="53">
        <f>'Neue Artikel'!$B$80&amp;""</f>
        <v/>
      </c>
      <c r="C1546" s="53" t="inlineStr"/>
      <c r="D1546" s="53" t="inlineStr">
        <is>
          <t>NEU</t>
        </is>
      </c>
      <c r="E1546" s="53" t="inlineStr"/>
      <c r="F1546" s="54">
        <f>N('Neue Artikel'!$G$80)</f>
        <v/>
      </c>
      <c r="G1546" s="55">
        <f>MAX(0,IF(Parameter!$B$20="Jahresanfang 2025 + Export",BG1546+BF1546,BF1546))</f>
        <v/>
      </c>
      <c r="H1546" s="55">
        <f>G1546*F1546</f>
        <v/>
      </c>
      <c r="I1546" s="55">
        <f>BI1546*Parameter!$B$18</f>
        <v/>
      </c>
      <c r="J1546" s="56" t="n"/>
      <c r="K1546" s="57" t="n"/>
      <c r="L1546" s="55">
        <f>N('Neue Artikel'!$E$80)</f>
        <v/>
      </c>
      <c r="M1546" s="55">
        <f>N('Neue Artikel'!$F$80)</f>
        <v/>
      </c>
      <c r="N1546" s="58" t="n"/>
      <c r="O1546" s="53">
        <f>IF('Neue Artikel'!$H$80="","LOSE",UPPER(TRIM('Neue Artikel'!$H$80)))</f>
        <v/>
      </c>
      <c r="P1546" s="55">
        <f>N('Neue Artikel'!$I$80)</f>
        <v/>
      </c>
      <c r="Q1546" s="59">
        <f>IF(BO1546=1,0,IFERROR(VLOOKUP(BM1546,'Gebinde-Kategorie'!$A$5:$G$45,6,0)+0,0))</f>
        <v/>
      </c>
      <c r="R1546" s="60" t="n"/>
      <c r="S1546" s="61" t="n"/>
      <c r="T1546" s="61" t="n"/>
      <c r="U1546" s="53">
        <f>IF(A1546="","",IF(IFERROR(VLOOKUP(D1546,Parameter!$A$35:$C$64,2,0),"Nein")="2+3",IF(ISNUMBER(SEARCH("grosser Artikel",BJ1546)),2,IFERROR(VLOOKUP(BM1546,Parameter!$F$35:$G$64,2,0),2)),IF(OR(IFERROR(VLOOKUP(D1546,Parameter!$A$35:$C$64,2,0),"Nein")="Nein",IFERROR(VLOOKUP(D1546,Parameter!$A$35:$C$64,2,0),"Nein")=""),"-",VLOOKUP(D1546,Parameter!$A$35:$C$64,2,0))))</f>
        <v/>
      </c>
      <c r="V1546" s="53">
        <f>IF('Neue Artikel'!$J$80="","",'Neue Artikel'!$J$80)</f>
        <v/>
      </c>
      <c r="W1546" s="62" t="n"/>
      <c r="X1546" s="55">
        <f>AM1546</f>
        <v/>
      </c>
      <c r="Y1546" s="55">
        <f>MAX(AM1546,G1546)</f>
        <v/>
      </c>
      <c r="Z1546" s="63" t="n"/>
      <c r="AA1546" s="55">
        <f>IF(LEFT(Cockpit!$C$5,1)="A",G1546,IF(BT1546=1,BU1546,IF(LEFT(Cockpit!$C$5,1)="B",AE1546,MAX(AE1546,G1546))))</f>
        <v/>
      </c>
      <c r="AB1546" s="55">
        <f>IF(BO1546=1,0,ROUNDUP(AA1546/BN1546,0))</f>
        <v/>
      </c>
      <c r="AC1546" s="64">
        <f>IF(BO1546=1,IF(AA1546&lt;=0,0,BP1546*MAX(1,IF(G1546&gt;0,AA1546/G1546,1))),AB1546*Q1546)</f>
        <v/>
      </c>
      <c r="AD1546" s="55">
        <f>AA1546*F1546</f>
        <v/>
      </c>
      <c r="AE1546" s="55">
        <f>ROUNDUP(MAX(I1546/IF(BS1546&gt;0,BS1546,MAX(0.1,N(Cockpit!$C$6))),BV1546)/BN1546,0)*BN1546</f>
        <v/>
      </c>
      <c r="AF1546" s="56">
        <f>IF(AC1546&gt;0,I1546/AC1546,-1)</f>
        <v/>
      </c>
      <c r="AG1546" s="56">
        <f>IF(AND(OR(BR1546="L1",BR1546="L23"),AC1546&gt;0),SUMIFS($AC$7:$AC$1570,$BR$7:$BR$1570,BR1546,$AF$7:$AF$1570,"&gt;"&amp;AF1546)+SUMIFS($AC$7:$AC$1570,$BR$7:$BR$1570,BR1546,$AF$7:$AF$1570,AF1546,$BL$7:$BL$1570,"&lt;="&amp;BL1546),"")</f>
        <v/>
      </c>
      <c r="AH1546" s="65">
        <f>IF(AG1546="",0,MAX(0,MIN(1,(IF(BR1546="L1",Parameter!$K$5,Parameter!$K$6+Parameter!$K$7)-(AG1546-AC1546))/AC1546)))</f>
        <v/>
      </c>
      <c r="AI1546" s="55">
        <f>IF(LEFT(Cockpit!$I$5,1)="A",G1546,IF(BT1546=1,BU1546,IF(LEFT(Cockpit!$I$5,1)="B",AM1546,MAX(AM1546,G1546))))</f>
        <v/>
      </c>
      <c r="AJ1546" s="55">
        <f>IF(BO1546=1,0,ROUNDUP(AI1546/BN1546,0))</f>
        <v/>
      </c>
      <c r="AK1546" s="64">
        <f>IF(BO1546=1,IF(AI1546&lt;=0,0,BP1546*MAX(1,IF(G1546&gt;0,AI1546/G1546,1))),AJ1546*Q1546)</f>
        <v/>
      </c>
      <c r="AL1546" s="55">
        <f>AI1546*F1546</f>
        <v/>
      </c>
      <c r="AM1546" s="55">
        <f>ROUNDUP(MAX(I1546/IF(BS1546&gt;0,BS1546,MAX(0.1,N(Cockpit!$I$6))),BV1546)/BN1546,0)*BN1546</f>
        <v/>
      </c>
      <c r="AN1546" s="56">
        <f>IF(AK1546&gt;0,I1546/AK1546,-1)</f>
        <v/>
      </c>
      <c r="AO1546" s="56">
        <f>IF(AND(OR(BR1546="L1",BR1546="L23"),AK1546&gt;0),SUMIFS($AK$7:$AK$1570,$BR$7:$BR$1570,BR1546,$AN$7:$AN$1570,"&gt;"&amp;AN1546)+SUMIFS($AK$7:$AK$1570,$BR$7:$BR$1570,BR1546,$AN$7:$AN$1570,AN1546,$BL$7:$BL$1570,"&lt;="&amp;BL1546),"")</f>
        <v/>
      </c>
      <c r="AP1546" s="65">
        <f>IF(AO1546="",0,MAX(0,MIN(1,(IF(BR1546="L1",Parameter!$K$5,Parameter!$K$6+Parameter!$K$7)-(AO1546-AK1546))/AK1546)))</f>
        <v/>
      </c>
      <c r="AQ1546" s="55">
        <f>IF(LEFT(Cockpit!$O$5,1)="A",G1546,IF(BT1546=1,BU1546,IF(LEFT(Cockpit!$O$5,1)="B",AU1546,MAX(AU1546,G1546))))</f>
        <v/>
      </c>
      <c r="AR1546" s="55">
        <f>IF(BO1546=1,0,ROUNDUP(AQ1546/BN1546,0))</f>
        <v/>
      </c>
      <c r="AS1546" s="64">
        <f>IF(BO1546=1,IF(AQ1546&lt;=0,0,BP1546*MAX(1,IF(G1546&gt;0,AQ1546/G1546,1))),AR1546*Q1546)</f>
        <v/>
      </c>
      <c r="AT1546" s="55">
        <f>AQ1546*F1546</f>
        <v/>
      </c>
      <c r="AU1546" s="55">
        <f>ROUNDUP(MAX(I1546/IF(BS1546&gt;0,BS1546,MAX(0.1,N(Cockpit!$O$6))),BV1546)/BN1546,0)*BN1546</f>
        <v/>
      </c>
      <c r="AV1546" s="56">
        <f>IF(AS1546&gt;0,I1546/AS1546,-1)</f>
        <v/>
      </c>
      <c r="AW1546" s="56">
        <f>IF(AND(OR(BR1546="L1",BR1546="L23"),AS1546&gt;0),SUMIFS($AS$7:$AS$1570,$BR$7:$BR$1570,BR1546,$AV$7:$AV$1570,"&gt;"&amp;AV1546)+SUMIFS($AS$7:$AS$1570,$BR$7:$BR$1570,BR1546,$AV$7:$AV$1570,AV1546,$BL$7:$BL$1570,"&lt;="&amp;BL1546),"")</f>
        <v/>
      </c>
      <c r="AX1546" s="65">
        <f>IF(AW1546="",0,MAX(0,MIN(1,(IF(BR1546="L1",Parameter!$K$5,Parameter!$K$6+Parameter!$K$7)-(AW1546-AS1546))/AS1546)))</f>
        <v/>
      </c>
      <c r="AY1546" s="53">
        <f>IF(AC1546&lt;=0,"",IF(BR1546="Aussen","Aussenlager",IF(BR1546="-","Nicht im Lift",IF(AH1546&gt;=1,"Lift",IF(AH1546&lt;=0,"Aussenlager","teilweise")))))</f>
        <v/>
      </c>
      <c r="AZ1546" s="53">
        <f>IF(AK1546&lt;=0,"",IF(BR1546="Aussen","Aussenlager",IF(BR1546="-","Nicht im Lift",IF(AP1546&gt;=1,"Lift",IF(AP1546&lt;=0,"Aussenlager","teilweise")))))</f>
        <v/>
      </c>
      <c r="BA1546" s="53">
        <f>IF(AS1546&lt;=0,"",IF(BR1546="Aussen","Aussenlager",IF(BR1546="-","Nicht im Lift",IF(AX1546&gt;=1,"Lift",IF(AX1546&lt;=0,"Aussenlager","teilweise")))))</f>
        <v/>
      </c>
      <c r="BB1546" s="53">
        <f>IF(A1546="","",IF(BK1546=1,"Neu; ","")&amp;IF(AND(BK1546=0,BF1546&lt;0),"negativer Bestand (Export "&amp;BF1546&amp;"); ","")&amp;IF(I1546&lt;=0,"Kein Verbrauch; ","")&amp;IF(BO1546=1,"Lose – Fläche geschätzt; ","")&amp;IF(G1546&gt;AM1546,"Überbestand "&amp;ROUND(G1546-AM1546,0)&amp;" Stk / CHF "&amp;ROUND((G1546-AM1546)*F1546,0)&amp;"; ","")&amp;IF(AND(BT1546=1,BU1546&lt;BV1546),"MAX &lt; MB+LG; ","")&amp;IF(AND(BZ1546&gt;0,BY1546*10&gt;BZ1546),"zu hoch für Tablar; ","")&amp;IF(AND(BK1546=0,OR(BT1546=1,V1546&lt;&gt;"",S1546&lt;&gt;"",T1546&lt;&gt;"",W1546&lt;&gt;"")),"manuell übersteuert; ","")&amp;IF(AND(BO1546=0,Q1546=0),"Gebinde unbekannt; ","")&amp;IF(AND(BO1546=0,N(T1546)&lt;=0,N(P1546)&lt;=0),"Menge pro Gebinde fehlt (Ist = 1 Gebinde); ","")&amp;BJ1546)</f>
        <v/>
      </c>
      <c r="BC1546" s="53" t="n"/>
      <c r="BD1546" s="53" t="n"/>
      <c r="BE1546" s="61" t="n"/>
      <c r="BF1546" s="55">
        <f>N('Neue Artikel'!$D$80)</f>
        <v/>
      </c>
      <c r="BG1546" s="55" t="n">
        <v>0</v>
      </c>
      <c r="BH1546" s="54" t="n">
        <v>0</v>
      </c>
      <c r="BI1546" s="55">
        <f>N('Neue Artikel'!$C$80)/Parameter!$B$18</f>
        <v/>
      </c>
      <c r="BJ1546" s="53" t="inlineStr"/>
      <c r="BK1546" s="58" t="n">
        <v>1</v>
      </c>
      <c r="BL1546" s="58" t="n">
        <v>1546</v>
      </c>
      <c r="BM1546" s="53">
        <f>IF(S1546&lt;&gt;"",UPPER(TRIM(S1546)),IF(O1546="","LOSE",O1546))</f>
        <v/>
      </c>
      <c r="BN1546" s="55">
        <f>IF(BM1546="LOSE",1,IF(N(T1546)&gt;0,T1546,IF(N(P1546)&gt;0,P1546,MAX(1,G1546))))</f>
        <v/>
      </c>
      <c r="BO1546" s="58">
        <f>IF(BM1546="LOSE",1,0)</f>
        <v/>
      </c>
      <c r="BP1546" s="64">
        <f>IF(BO1546=0,0,IF(N(R1546)&gt;0,R1546,IFERROR(VLOOKUP(D1546,Parameter!$A$35:$C$64,3,0)+0,0)))</f>
        <v/>
      </c>
      <c r="BQ1546" s="53">
        <f>IF(V1546&lt;&gt;"",V1546,U1546)</f>
        <v/>
      </c>
      <c r="BR1546" s="53">
        <f>IF(BQ1546=1,"L1",IF(OR(BQ1546=2,BQ1546=3),"L23",IF(BQ1546="Aussen","Aussen","-")))</f>
        <v/>
      </c>
      <c r="BS1546" s="66">
        <f>IF(N(W1546)&gt;0,W1546,0)</f>
        <v/>
      </c>
      <c r="BT1546" s="58">
        <f>IF(ISNUMBER(Z1546),1,0)</f>
        <v/>
      </c>
      <c r="BU1546" s="55">
        <f>N(Z1546)</f>
        <v/>
      </c>
      <c r="BV1546" s="55">
        <f>N(L1546)+N(M1546)</f>
        <v/>
      </c>
      <c r="BW1546" s="55">
        <f>ROUNDUP(G1546/BN1546,0)</f>
        <v/>
      </c>
      <c r="BX1546" s="55">
        <f>ROUNDUP(BU1546/BN1546,0)</f>
        <v/>
      </c>
      <c r="BY1546" s="58">
        <f>IF(BO1546=1,0,IFERROR(VLOOKUP(BM1546,'Gebinde-Kategorie'!$A$5:$G$45,5,0)+0,0))</f>
        <v/>
      </c>
      <c r="BZ1546" s="58">
        <f>IFERROR(IF(OR(BQ1546=1,BQ1546=2,BQ1546=3),N(INDEX(Parameter!$I$5:$I$7,BQ1546)),0),0)</f>
        <v/>
      </c>
    </row>
    <row r="1547">
      <c r="A1547" s="53">
        <f>IF('Neue Artikel'!$A$81="","",'Neue Artikel'!$A$81&amp;"")</f>
        <v/>
      </c>
      <c r="B1547" s="53">
        <f>'Neue Artikel'!$B$81&amp;""</f>
        <v/>
      </c>
      <c r="C1547" s="53" t="inlineStr"/>
      <c r="D1547" s="53" t="inlineStr">
        <is>
          <t>NEU</t>
        </is>
      </c>
      <c r="E1547" s="53" t="inlineStr"/>
      <c r="F1547" s="54">
        <f>N('Neue Artikel'!$G$81)</f>
        <v/>
      </c>
      <c r="G1547" s="55">
        <f>MAX(0,IF(Parameter!$B$20="Jahresanfang 2025 + Export",BG1547+BF1547,BF1547))</f>
        <v/>
      </c>
      <c r="H1547" s="55">
        <f>G1547*F1547</f>
        <v/>
      </c>
      <c r="I1547" s="55">
        <f>BI1547*Parameter!$B$18</f>
        <v/>
      </c>
      <c r="J1547" s="56" t="n"/>
      <c r="K1547" s="57" t="n"/>
      <c r="L1547" s="55">
        <f>N('Neue Artikel'!$E$81)</f>
        <v/>
      </c>
      <c r="M1547" s="55">
        <f>N('Neue Artikel'!$F$81)</f>
        <v/>
      </c>
      <c r="N1547" s="58" t="n"/>
      <c r="O1547" s="53">
        <f>IF('Neue Artikel'!$H$81="","LOSE",UPPER(TRIM('Neue Artikel'!$H$81)))</f>
        <v/>
      </c>
      <c r="P1547" s="55">
        <f>N('Neue Artikel'!$I$81)</f>
        <v/>
      </c>
      <c r="Q1547" s="59">
        <f>IF(BO1547=1,0,IFERROR(VLOOKUP(BM1547,'Gebinde-Kategorie'!$A$5:$G$45,6,0)+0,0))</f>
        <v/>
      </c>
      <c r="R1547" s="60" t="n"/>
      <c r="S1547" s="61" t="n"/>
      <c r="T1547" s="61" t="n"/>
      <c r="U1547" s="53">
        <f>IF(A1547="","",IF(IFERROR(VLOOKUP(D1547,Parameter!$A$35:$C$64,2,0),"Nein")="2+3",IF(ISNUMBER(SEARCH("grosser Artikel",BJ1547)),2,IFERROR(VLOOKUP(BM1547,Parameter!$F$35:$G$64,2,0),2)),IF(OR(IFERROR(VLOOKUP(D1547,Parameter!$A$35:$C$64,2,0),"Nein")="Nein",IFERROR(VLOOKUP(D1547,Parameter!$A$35:$C$64,2,0),"Nein")=""),"-",VLOOKUP(D1547,Parameter!$A$35:$C$64,2,0))))</f>
        <v/>
      </c>
      <c r="V1547" s="53">
        <f>IF('Neue Artikel'!$J$81="","",'Neue Artikel'!$J$81)</f>
        <v/>
      </c>
      <c r="W1547" s="62" t="n"/>
      <c r="X1547" s="55">
        <f>AM1547</f>
        <v/>
      </c>
      <c r="Y1547" s="55">
        <f>MAX(AM1547,G1547)</f>
        <v/>
      </c>
      <c r="Z1547" s="63" t="n"/>
      <c r="AA1547" s="55">
        <f>IF(LEFT(Cockpit!$C$5,1)="A",G1547,IF(BT1547=1,BU1547,IF(LEFT(Cockpit!$C$5,1)="B",AE1547,MAX(AE1547,G1547))))</f>
        <v/>
      </c>
      <c r="AB1547" s="55">
        <f>IF(BO1547=1,0,ROUNDUP(AA1547/BN1547,0))</f>
        <v/>
      </c>
      <c r="AC1547" s="64">
        <f>IF(BO1547=1,IF(AA1547&lt;=0,0,BP1547*MAX(1,IF(G1547&gt;0,AA1547/G1547,1))),AB1547*Q1547)</f>
        <v/>
      </c>
      <c r="AD1547" s="55">
        <f>AA1547*F1547</f>
        <v/>
      </c>
      <c r="AE1547" s="55">
        <f>ROUNDUP(MAX(I1547/IF(BS1547&gt;0,BS1547,MAX(0.1,N(Cockpit!$C$6))),BV1547)/BN1547,0)*BN1547</f>
        <v/>
      </c>
      <c r="AF1547" s="56">
        <f>IF(AC1547&gt;0,I1547/AC1547,-1)</f>
        <v/>
      </c>
      <c r="AG1547" s="56">
        <f>IF(AND(OR(BR1547="L1",BR1547="L23"),AC1547&gt;0),SUMIFS($AC$7:$AC$1570,$BR$7:$BR$1570,BR1547,$AF$7:$AF$1570,"&gt;"&amp;AF1547)+SUMIFS($AC$7:$AC$1570,$BR$7:$BR$1570,BR1547,$AF$7:$AF$1570,AF1547,$BL$7:$BL$1570,"&lt;="&amp;BL1547),"")</f>
        <v/>
      </c>
      <c r="AH1547" s="65">
        <f>IF(AG1547="",0,MAX(0,MIN(1,(IF(BR1547="L1",Parameter!$K$5,Parameter!$K$6+Parameter!$K$7)-(AG1547-AC1547))/AC1547)))</f>
        <v/>
      </c>
      <c r="AI1547" s="55">
        <f>IF(LEFT(Cockpit!$I$5,1)="A",G1547,IF(BT1547=1,BU1547,IF(LEFT(Cockpit!$I$5,1)="B",AM1547,MAX(AM1547,G1547))))</f>
        <v/>
      </c>
      <c r="AJ1547" s="55">
        <f>IF(BO1547=1,0,ROUNDUP(AI1547/BN1547,0))</f>
        <v/>
      </c>
      <c r="AK1547" s="64">
        <f>IF(BO1547=1,IF(AI1547&lt;=0,0,BP1547*MAX(1,IF(G1547&gt;0,AI1547/G1547,1))),AJ1547*Q1547)</f>
        <v/>
      </c>
      <c r="AL1547" s="55">
        <f>AI1547*F1547</f>
        <v/>
      </c>
      <c r="AM1547" s="55">
        <f>ROUNDUP(MAX(I1547/IF(BS1547&gt;0,BS1547,MAX(0.1,N(Cockpit!$I$6))),BV1547)/BN1547,0)*BN1547</f>
        <v/>
      </c>
      <c r="AN1547" s="56">
        <f>IF(AK1547&gt;0,I1547/AK1547,-1)</f>
        <v/>
      </c>
      <c r="AO1547" s="56">
        <f>IF(AND(OR(BR1547="L1",BR1547="L23"),AK1547&gt;0),SUMIFS($AK$7:$AK$1570,$BR$7:$BR$1570,BR1547,$AN$7:$AN$1570,"&gt;"&amp;AN1547)+SUMIFS($AK$7:$AK$1570,$BR$7:$BR$1570,BR1547,$AN$7:$AN$1570,AN1547,$BL$7:$BL$1570,"&lt;="&amp;BL1547),"")</f>
        <v/>
      </c>
      <c r="AP1547" s="65">
        <f>IF(AO1547="",0,MAX(0,MIN(1,(IF(BR1547="L1",Parameter!$K$5,Parameter!$K$6+Parameter!$K$7)-(AO1547-AK1547))/AK1547)))</f>
        <v/>
      </c>
      <c r="AQ1547" s="55">
        <f>IF(LEFT(Cockpit!$O$5,1)="A",G1547,IF(BT1547=1,BU1547,IF(LEFT(Cockpit!$O$5,1)="B",AU1547,MAX(AU1547,G1547))))</f>
        <v/>
      </c>
      <c r="AR1547" s="55">
        <f>IF(BO1547=1,0,ROUNDUP(AQ1547/BN1547,0))</f>
        <v/>
      </c>
      <c r="AS1547" s="64">
        <f>IF(BO1547=1,IF(AQ1547&lt;=0,0,BP1547*MAX(1,IF(G1547&gt;0,AQ1547/G1547,1))),AR1547*Q1547)</f>
        <v/>
      </c>
      <c r="AT1547" s="55">
        <f>AQ1547*F1547</f>
        <v/>
      </c>
      <c r="AU1547" s="55">
        <f>ROUNDUP(MAX(I1547/IF(BS1547&gt;0,BS1547,MAX(0.1,N(Cockpit!$O$6))),BV1547)/BN1547,0)*BN1547</f>
        <v/>
      </c>
      <c r="AV1547" s="56">
        <f>IF(AS1547&gt;0,I1547/AS1547,-1)</f>
        <v/>
      </c>
      <c r="AW1547" s="56">
        <f>IF(AND(OR(BR1547="L1",BR1547="L23"),AS1547&gt;0),SUMIFS($AS$7:$AS$1570,$BR$7:$BR$1570,BR1547,$AV$7:$AV$1570,"&gt;"&amp;AV1547)+SUMIFS($AS$7:$AS$1570,$BR$7:$BR$1570,BR1547,$AV$7:$AV$1570,AV1547,$BL$7:$BL$1570,"&lt;="&amp;BL1547),"")</f>
        <v/>
      </c>
      <c r="AX1547" s="65">
        <f>IF(AW1547="",0,MAX(0,MIN(1,(IF(BR1547="L1",Parameter!$K$5,Parameter!$K$6+Parameter!$K$7)-(AW1547-AS1547))/AS1547)))</f>
        <v/>
      </c>
      <c r="AY1547" s="53">
        <f>IF(AC1547&lt;=0,"",IF(BR1547="Aussen","Aussenlager",IF(BR1547="-","Nicht im Lift",IF(AH1547&gt;=1,"Lift",IF(AH1547&lt;=0,"Aussenlager","teilweise")))))</f>
        <v/>
      </c>
      <c r="AZ1547" s="53">
        <f>IF(AK1547&lt;=0,"",IF(BR1547="Aussen","Aussenlager",IF(BR1547="-","Nicht im Lift",IF(AP1547&gt;=1,"Lift",IF(AP1547&lt;=0,"Aussenlager","teilweise")))))</f>
        <v/>
      </c>
      <c r="BA1547" s="53">
        <f>IF(AS1547&lt;=0,"",IF(BR1547="Aussen","Aussenlager",IF(BR1547="-","Nicht im Lift",IF(AX1547&gt;=1,"Lift",IF(AX1547&lt;=0,"Aussenlager","teilweise")))))</f>
        <v/>
      </c>
      <c r="BB1547" s="53">
        <f>IF(A1547="","",IF(BK1547=1,"Neu; ","")&amp;IF(AND(BK1547=0,BF1547&lt;0),"negativer Bestand (Export "&amp;BF1547&amp;"); ","")&amp;IF(I1547&lt;=0,"Kein Verbrauch; ","")&amp;IF(BO1547=1,"Lose – Fläche geschätzt; ","")&amp;IF(G1547&gt;AM1547,"Überbestand "&amp;ROUND(G1547-AM1547,0)&amp;" Stk / CHF "&amp;ROUND((G1547-AM1547)*F1547,0)&amp;"; ","")&amp;IF(AND(BT1547=1,BU1547&lt;BV1547),"MAX &lt; MB+LG; ","")&amp;IF(AND(BZ1547&gt;0,BY1547*10&gt;BZ1547),"zu hoch für Tablar; ","")&amp;IF(AND(BK1547=0,OR(BT1547=1,V1547&lt;&gt;"",S1547&lt;&gt;"",T1547&lt;&gt;"",W1547&lt;&gt;"")),"manuell übersteuert; ","")&amp;IF(AND(BO1547=0,Q1547=0),"Gebinde unbekannt; ","")&amp;IF(AND(BO1547=0,N(T1547)&lt;=0,N(P1547)&lt;=0),"Menge pro Gebinde fehlt (Ist = 1 Gebinde); ","")&amp;BJ1547)</f>
        <v/>
      </c>
      <c r="BC1547" s="53" t="n"/>
      <c r="BD1547" s="53" t="n"/>
      <c r="BE1547" s="61" t="n"/>
      <c r="BF1547" s="55">
        <f>N('Neue Artikel'!$D$81)</f>
        <v/>
      </c>
      <c r="BG1547" s="55" t="n">
        <v>0</v>
      </c>
      <c r="BH1547" s="54" t="n">
        <v>0</v>
      </c>
      <c r="BI1547" s="55">
        <f>N('Neue Artikel'!$C$81)/Parameter!$B$18</f>
        <v/>
      </c>
      <c r="BJ1547" s="53" t="inlineStr"/>
      <c r="BK1547" s="58" t="n">
        <v>1</v>
      </c>
      <c r="BL1547" s="58" t="n">
        <v>1547</v>
      </c>
      <c r="BM1547" s="53">
        <f>IF(S1547&lt;&gt;"",UPPER(TRIM(S1547)),IF(O1547="","LOSE",O1547))</f>
        <v/>
      </c>
      <c r="BN1547" s="55">
        <f>IF(BM1547="LOSE",1,IF(N(T1547)&gt;0,T1547,IF(N(P1547)&gt;0,P1547,MAX(1,G1547))))</f>
        <v/>
      </c>
      <c r="BO1547" s="58">
        <f>IF(BM1547="LOSE",1,0)</f>
        <v/>
      </c>
      <c r="BP1547" s="64">
        <f>IF(BO1547=0,0,IF(N(R1547)&gt;0,R1547,IFERROR(VLOOKUP(D1547,Parameter!$A$35:$C$64,3,0)+0,0)))</f>
        <v/>
      </c>
      <c r="BQ1547" s="53">
        <f>IF(V1547&lt;&gt;"",V1547,U1547)</f>
        <v/>
      </c>
      <c r="BR1547" s="53">
        <f>IF(BQ1547=1,"L1",IF(OR(BQ1547=2,BQ1547=3),"L23",IF(BQ1547="Aussen","Aussen","-")))</f>
        <v/>
      </c>
      <c r="BS1547" s="66">
        <f>IF(N(W1547)&gt;0,W1547,0)</f>
        <v/>
      </c>
      <c r="BT1547" s="58">
        <f>IF(ISNUMBER(Z1547),1,0)</f>
        <v/>
      </c>
      <c r="BU1547" s="55">
        <f>N(Z1547)</f>
        <v/>
      </c>
      <c r="BV1547" s="55">
        <f>N(L1547)+N(M1547)</f>
        <v/>
      </c>
      <c r="BW1547" s="55">
        <f>ROUNDUP(G1547/BN1547,0)</f>
        <v/>
      </c>
      <c r="BX1547" s="55">
        <f>ROUNDUP(BU1547/BN1547,0)</f>
        <v/>
      </c>
      <c r="BY1547" s="58">
        <f>IF(BO1547=1,0,IFERROR(VLOOKUP(BM1547,'Gebinde-Kategorie'!$A$5:$G$45,5,0)+0,0))</f>
        <v/>
      </c>
      <c r="BZ1547" s="58">
        <f>IFERROR(IF(OR(BQ1547=1,BQ1547=2,BQ1547=3),N(INDEX(Parameter!$I$5:$I$7,BQ1547)),0),0)</f>
        <v/>
      </c>
    </row>
    <row r="1548">
      <c r="A1548" s="53">
        <f>IF('Neue Artikel'!$A$82="","",'Neue Artikel'!$A$82&amp;"")</f>
        <v/>
      </c>
      <c r="B1548" s="53">
        <f>'Neue Artikel'!$B$82&amp;""</f>
        <v/>
      </c>
      <c r="C1548" s="53" t="inlineStr"/>
      <c r="D1548" s="53" t="inlineStr">
        <is>
          <t>NEU</t>
        </is>
      </c>
      <c r="E1548" s="53" t="inlineStr"/>
      <c r="F1548" s="54">
        <f>N('Neue Artikel'!$G$82)</f>
        <v/>
      </c>
      <c r="G1548" s="55">
        <f>MAX(0,IF(Parameter!$B$20="Jahresanfang 2025 + Export",BG1548+BF1548,BF1548))</f>
        <v/>
      </c>
      <c r="H1548" s="55">
        <f>G1548*F1548</f>
        <v/>
      </c>
      <c r="I1548" s="55">
        <f>BI1548*Parameter!$B$18</f>
        <v/>
      </c>
      <c r="J1548" s="56" t="n"/>
      <c r="K1548" s="57" t="n"/>
      <c r="L1548" s="55">
        <f>N('Neue Artikel'!$E$82)</f>
        <v/>
      </c>
      <c r="M1548" s="55">
        <f>N('Neue Artikel'!$F$82)</f>
        <v/>
      </c>
      <c r="N1548" s="58" t="n"/>
      <c r="O1548" s="53">
        <f>IF('Neue Artikel'!$H$82="","LOSE",UPPER(TRIM('Neue Artikel'!$H$82)))</f>
        <v/>
      </c>
      <c r="P1548" s="55">
        <f>N('Neue Artikel'!$I$82)</f>
        <v/>
      </c>
      <c r="Q1548" s="59">
        <f>IF(BO1548=1,0,IFERROR(VLOOKUP(BM1548,'Gebinde-Kategorie'!$A$5:$G$45,6,0)+0,0))</f>
        <v/>
      </c>
      <c r="R1548" s="60" t="n"/>
      <c r="S1548" s="61" t="n"/>
      <c r="T1548" s="61" t="n"/>
      <c r="U1548" s="53">
        <f>IF(A1548="","",IF(IFERROR(VLOOKUP(D1548,Parameter!$A$35:$C$64,2,0),"Nein")="2+3",IF(ISNUMBER(SEARCH("grosser Artikel",BJ1548)),2,IFERROR(VLOOKUP(BM1548,Parameter!$F$35:$G$64,2,0),2)),IF(OR(IFERROR(VLOOKUP(D1548,Parameter!$A$35:$C$64,2,0),"Nein")="Nein",IFERROR(VLOOKUP(D1548,Parameter!$A$35:$C$64,2,0),"Nein")=""),"-",VLOOKUP(D1548,Parameter!$A$35:$C$64,2,0))))</f>
        <v/>
      </c>
      <c r="V1548" s="53">
        <f>IF('Neue Artikel'!$J$82="","",'Neue Artikel'!$J$82)</f>
        <v/>
      </c>
      <c r="W1548" s="62" t="n"/>
      <c r="X1548" s="55">
        <f>AM1548</f>
        <v/>
      </c>
      <c r="Y1548" s="55">
        <f>MAX(AM1548,G1548)</f>
        <v/>
      </c>
      <c r="Z1548" s="63" t="n"/>
      <c r="AA1548" s="55">
        <f>IF(LEFT(Cockpit!$C$5,1)="A",G1548,IF(BT1548=1,BU1548,IF(LEFT(Cockpit!$C$5,1)="B",AE1548,MAX(AE1548,G1548))))</f>
        <v/>
      </c>
      <c r="AB1548" s="55">
        <f>IF(BO1548=1,0,ROUNDUP(AA1548/BN1548,0))</f>
        <v/>
      </c>
      <c r="AC1548" s="64">
        <f>IF(BO1548=1,IF(AA1548&lt;=0,0,BP1548*MAX(1,IF(G1548&gt;0,AA1548/G1548,1))),AB1548*Q1548)</f>
        <v/>
      </c>
      <c r="AD1548" s="55">
        <f>AA1548*F1548</f>
        <v/>
      </c>
      <c r="AE1548" s="55">
        <f>ROUNDUP(MAX(I1548/IF(BS1548&gt;0,BS1548,MAX(0.1,N(Cockpit!$C$6))),BV1548)/BN1548,0)*BN1548</f>
        <v/>
      </c>
      <c r="AF1548" s="56">
        <f>IF(AC1548&gt;0,I1548/AC1548,-1)</f>
        <v/>
      </c>
      <c r="AG1548" s="56">
        <f>IF(AND(OR(BR1548="L1",BR1548="L23"),AC1548&gt;0),SUMIFS($AC$7:$AC$1570,$BR$7:$BR$1570,BR1548,$AF$7:$AF$1570,"&gt;"&amp;AF1548)+SUMIFS($AC$7:$AC$1570,$BR$7:$BR$1570,BR1548,$AF$7:$AF$1570,AF1548,$BL$7:$BL$1570,"&lt;="&amp;BL1548),"")</f>
        <v/>
      </c>
      <c r="AH1548" s="65">
        <f>IF(AG1548="",0,MAX(0,MIN(1,(IF(BR1548="L1",Parameter!$K$5,Parameter!$K$6+Parameter!$K$7)-(AG1548-AC1548))/AC1548)))</f>
        <v/>
      </c>
      <c r="AI1548" s="55">
        <f>IF(LEFT(Cockpit!$I$5,1)="A",G1548,IF(BT1548=1,BU1548,IF(LEFT(Cockpit!$I$5,1)="B",AM1548,MAX(AM1548,G1548))))</f>
        <v/>
      </c>
      <c r="AJ1548" s="55">
        <f>IF(BO1548=1,0,ROUNDUP(AI1548/BN1548,0))</f>
        <v/>
      </c>
      <c r="AK1548" s="64">
        <f>IF(BO1548=1,IF(AI1548&lt;=0,0,BP1548*MAX(1,IF(G1548&gt;0,AI1548/G1548,1))),AJ1548*Q1548)</f>
        <v/>
      </c>
      <c r="AL1548" s="55">
        <f>AI1548*F1548</f>
        <v/>
      </c>
      <c r="AM1548" s="55">
        <f>ROUNDUP(MAX(I1548/IF(BS1548&gt;0,BS1548,MAX(0.1,N(Cockpit!$I$6))),BV1548)/BN1548,0)*BN1548</f>
        <v/>
      </c>
      <c r="AN1548" s="56">
        <f>IF(AK1548&gt;0,I1548/AK1548,-1)</f>
        <v/>
      </c>
      <c r="AO1548" s="56">
        <f>IF(AND(OR(BR1548="L1",BR1548="L23"),AK1548&gt;0),SUMIFS($AK$7:$AK$1570,$BR$7:$BR$1570,BR1548,$AN$7:$AN$1570,"&gt;"&amp;AN1548)+SUMIFS($AK$7:$AK$1570,$BR$7:$BR$1570,BR1548,$AN$7:$AN$1570,AN1548,$BL$7:$BL$1570,"&lt;="&amp;BL1548),"")</f>
        <v/>
      </c>
      <c r="AP1548" s="65">
        <f>IF(AO1548="",0,MAX(0,MIN(1,(IF(BR1548="L1",Parameter!$K$5,Parameter!$K$6+Parameter!$K$7)-(AO1548-AK1548))/AK1548)))</f>
        <v/>
      </c>
      <c r="AQ1548" s="55">
        <f>IF(LEFT(Cockpit!$O$5,1)="A",G1548,IF(BT1548=1,BU1548,IF(LEFT(Cockpit!$O$5,1)="B",AU1548,MAX(AU1548,G1548))))</f>
        <v/>
      </c>
      <c r="AR1548" s="55">
        <f>IF(BO1548=1,0,ROUNDUP(AQ1548/BN1548,0))</f>
        <v/>
      </c>
      <c r="AS1548" s="64">
        <f>IF(BO1548=1,IF(AQ1548&lt;=0,0,BP1548*MAX(1,IF(G1548&gt;0,AQ1548/G1548,1))),AR1548*Q1548)</f>
        <v/>
      </c>
      <c r="AT1548" s="55">
        <f>AQ1548*F1548</f>
        <v/>
      </c>
      <c r="AU1548" s="55">
        <f>ROUNDUP(MAX(I1548/IF(BS1548&gt;0,BS1548,MAX(0.1,N(Cockpit!$O$6))),BV1548)/BN1548,0)*BN1548</f>
        <v/>
      </c>
      <c r="AV1548" s="56">
        <f>IF(AS1548&gt;0,I1548/AS1548,-1)</f>
        <v/>
      </c>
      <c r="AW1548" s="56">
        <f>IF(AND(OR(BR1548="L1",BR1548="L23"),AS1548&gt;0),SUMIFS($AS$7:$AS$1570,$BR$7:$BR$1570,BR1548,$AV$7:$AV$1570,"&gt;"&amp;AV1548)+SUMIFS($AS$7:$AS$1570,$BR$7:$BR$1570,BR1548,$AV$7:$AV$1570,AV1548,$BL$7:$BL$1570,"&lt;="&amp;BL1548),"")</f>
        <v/>
      </c>
      <c r="AX1548" s="65">
        <f>IF(AW1548="",0,MAX(0,MIN(1,(IF(BR1548="L1",Parameter!$K$5,Parameter!$K$6+Parameter!$K$7)-(AW1548-AS1548))/AS1548)))</f>
        <v/>
      </c>
      <c r="AY1548" s="53">
        <f>IF(AC1548&lt;=0,"",IF(BR1548="Aussen","Aussenlager",IF(BR1548="-","Nicht im Lift",IF(AH1548&gt;=1,"Lift",IF(AH1548&lt;=0,"Aussenlager","teilweise")))))</f>
        <v/>
      </c>
      <c r="AZ1548" s="53">
        <f>IF(AK1548&lt;=0,"",IF(BR1548="Aussen","Aussenlager",IF(BR1548="-","Nicht im Lift",IF(AP1548&gt;=1,"Lift",IF(AP1548&lt;=0,"Aussenlager","teilweise")))))</f>
        <v/>
      </c>
      <c r="BA1548" s="53">
        <f>IF(AS1548&lt;=0,"",IF(BR1548="Aussen","Aussenlager",IF(BR1548="-","Nicht im Lift",IF(AX1548&gt;=1,"Lift",IF(AX1548&lt;=0,"Aussenlager","teilweise")))))</f>
        <v/>
      </c>
      <c r="BB1548" s="53">
        <f>IF(A1548="","",IF(BK1548=1,"Neu; ","")&amp;IF(AND(BK1548=0,BF1548&lt;0),"negativer Bestand (Export "&amp;BF1548&amp;"); ","")&amp;IF(I1548&lt;=0,"Kein Verbrauch; ","")&amp;IF(BO1548=1,"Lose – Fläche geschätzt; ","")&amp;IF(G1548&gt;AM1548,"Überbestand "&amp;ROUND(G1548-AM1548,0)&amp;" Stk / CHF "&amp;ROUND((G1548-AM1548)*F1548,0)&amp;"; ","")&amp;IF(AND(BT1548=1,BU1548&lt;BV1548),"MAX &lt; MB+LG; ","")&amp;IF(AND(BZ1548&gt;0,BY1548*10&gt;BZ1548),"zu hoch für Tablar; ","")&amp;IF(AND(BK1548=0,OR(BT1548=1,V1548&lt;&gt;"",S1548&lt;&gt;"",T1548&lt;&gt;"",W1548&lt;&gt;"")),"manuell übersteuert; ","")&amp;IF(AND(BO1548=0,Q1548=0),"Gebinde unbekannt; ","")&amp;IF(AND(BO1548=0,N(T1548)&lt;=0,N(P1548)&lt;=0),"Menge pro Gebinde fehlt (Ist = 1 Gebinde); ","")&amp;BJ1548)</f>
        <v/>
      </c>
      <c r="BC1548" s="53" t="n"/>
      <c r="BD1548" s="53" t="n"/>
      <c r="BE1548" s="61" t="n"/>
      <c r="BF1548" s="55">
        <f>N('Neue Artikel'!$D$82)</f>
        <v/>
      </c>
      <c r="BG1548" s="55" t="n">
        <v>0</v>
      </c>
      <c r="BH1548" s="54" t="n">
        <v>0</v>
      </c>
      <c r="BI1548" s="55">
        <f>N('Neue Artikel'!$C$82)/Parameter!$B$18</f>
        <v/>
      </c>
      <c r="BJ1548" s="53" t="inlineStr"/>
      <c r="BK1548" s="58" t="n">
        <v>1</v>
      </c>
      <c r="BL1548" s="58" t="n">
        <v>1548</v>
      </c>
      <c r="BM1548" s="53">
        <f>IF(S1548&lt;&gt;"",UPPER(TRIM(S1548)),IF(O1548="","LOSE",O1548))</f>
        <v/>
      </c>
      <c r="BN1548" s="55">
        <f>IF(BM1548="LOSE",1,IF(N(T1548)&gt;0,T1548,IF(N(P1548)&gt;0,P1548,MAX(1,G1548))))</f>
        <v/>
      </c>
      <c r="BO1548" s="58">
        <f>IF(BM1548="LOSE",1,0)</f>
        <v/>
      </c>
      <c r="BP1548" s="64">
        <f>IF(BO1548=0,0,IF(N(R1548)&gt;0,R1548,IFERROR(VLOOKUP(D1548,Parameter!$A$35:$C$64,3,0)+0,0)))</f>
        <v/>
      </c>
      <c r="BQ1548" s="53">
        <f>IF(V1548&lt;&gt;"",V1548,U1548)</f>
        <v/>
      </c>
      <c r="BR1548" s="53">
        <f>IF(BQ1548=1,"L1",IF(OR(BQ1548=2,BQ1548=3),"L23",IF(BQ1548="Aussen","Aussen","-")))</f>
        <v/>
      </c>
      <c r="BS1548" s="66">
        <f>IF(N(W1548)&gt;0,W1548,0)</f>
        <v/>
      </c>
      <c r="BT1548" s="58">
        <f>IF(ISNUMBER(Z1548),1,0)</f>
        <v/>
      </c>
      <c r="BU1548" s="55">
        <f>N(Z1548)</f>
        <v/>
      </c>
      <c r="BV1548" s="55">
        <f>N(L1548)+N(M1548)</f>
        <v/>
      </c>
      <c r="BW1548" s="55">
        <f>ROUNDUP(G1548/BN1548,0)</f>
        <v/>
      </c>
      <c r="BX1548" s="55">
        <f>ROUNDUP(BU1548/BN1548,0)</f>
        <v/>
      </c>
      <c r="BY1548" s="58">
        <f>IF(BO1548=1,0,IFERROR(VLOOKUP(BM1548,'Gebinde-Kategorie'!$A$5:$G$45,5,0)+0,0))</f>
        <v/>
      </c>
      <c r="BZ1548" s="58">
        <f>IFERROR(IF(OR(BQ1548=1,BQ1548=2,BQ1548=3),N(INDEX(Parameter!$I$5:$I$7,BQ1548)),0),0)</f>
        <v/>
      </c>
    </row>
    <row r="1549">
      <c r="A1549" s="53">
        <f>IF('Neue Artikel'!$A$83="","",'Neue Artikel'!$A$83&amp;"")</f>
        <v/>
      </c>
      <c r="B1549" s="53">
        <f>'Neue Artikel'!$B$83&amp;""</f>
        <v/>
      </c>
      <c r="C1549" s="53" t="inlineStr"/>
      <c r="D1549" s="53" t="inlineStr">
        <is>
          <t>NEU</t>
        </is>
      </c>
      <c r="E1549" s="53" t="inlineStr"/>
      <c r="F1549" s="54">
        <f>N('Neue Artikel'!$G$83)</f>
        <v/>
      </c>
      <c r="G1549" s="55">
        <f>MAX(0,IF(Parameter!$B$20="Jahresanfang 2025 + Export",BG1549+BF1549,BF1549))</f>
        <v/>
      </c>
      <c r="H1549" s="55">
        <f>G1549*F1549</f>
        <v/>
      </c>
      <c r="I1549" s="55">
        <f>BI1549*Parameter!$B$18</f>
        <v/>
      </c>
      <c r="J1549" s="56" t="n"/>
      <c r="K1549" s="57" t="n"/>
      <c r="L1549" s="55">
        <f>N('Neue Artikel'!$E$83)</f>
        <v/>
      </c>
      <c r="M1549" s="55">
        <f>N('Neue Artikel'!$F$83)</f>
        <v/>
      </c>
      <c r="N1549" s="58" t="n"/>
      <c r="O1549" s="53">
        <f>IF('Neue Artikel'!$H$83="","LOSE",UPPER(TRIM('Neue Artikel'!$H$83)))</f>
        <v/>
      </c>
      <c r="P1549" s="55">
        <f>N('Neue Artikel'!$I$83)</f>
        <v/>
      </c>
      <c r="Q1549" s="59">
        <f>IF(BO1549=1,0,IFERROR(VLOOKUP(BM1549,'Gebinde-Kategorie'!$A$5:$G$45,6,0)+0,0))</f>
        <v/>
      </c>
      <c r="R1549" s="60" t="n"/>
      <c r="S1549" s="61" t="n"/>
      <c r="T1549" s="61" t="n"/>
      <c r="U1549" s="53">
        <f>IF(A1549="","",IF(IFERROR(VLOOKUP(D1549,Parameter!$A$35:$C$64,2,0),"Nein")="2+3",IF(ISNUMBER(SEARCH("grosser Artikel",BJ1549)),2,IFERROR(VLOOKUP(BM1549,Parameter!$F$35:$G$64,2,0),2)),IF(OR(IFERROR(VLOOKUP(D1549,Parameter!$A$35:$C$64,2,0),"Nein")="Nein",IFERROR(VLOOKUP(D1549,Parameter!$A$35:$C$64,2,0),"Nein")=""),"-",VLOOKUP(D1549,Parameter!$A$35:$C$64,2,0))))</f>
        <v/>
      </c>
      <c r="V1549" s="53">
        <f>IF('Neue Artikel'!$J$83="","",'Neue Artikel'!$J$83)</f>
        <v/>
      </c>
      <c r="W1549" s="62" t="n"/>
      <c r="X1549" s="55">
        <f>AM1549</f>
        <v/>
      </c>
      <c r="Y1549" s="55">
        <f>MAX(AM1549,G1549)</f>
        <v/>
      </c>
      <c r="Z1549" s="63" t="n"/>
      <c r="AA1549" s="55">
        <f>IF(LEFT(Cockpit!$C$5,1)="A",G1549,IF(BT1549=1,BU1549,IF(LEFT(Cockpit!$C$5,1)="B",AE1549,MAX(AE1549,G1549))))</f>
        <v/>
      </c>
      <c r="AB1549" s="55">
        <f>IF(BO1549=1,0,ROUNDUP(AA1549/BN1549,0))</f>
        <v/>
      </c>
      <c r="AC1549" s="64">
        <f>IF(BO1549=1,IF(AA1549&lt;=0,0,BP1549*MAX(1,IF(G1549&gt;0,AA1549/G1549,1))),AB1549*Q1549)</f>
        <v/>
      </c>
      <c r="AD1549" s="55">
        <f>AA1549*F1549</f>
        <v/>
      </c>
      <c r="AE1549" s="55">
        <f>ROUNDUP(MAX(I1549/IF(BS1549&gt;0,BS1549,MAX(0.1,N(Cockpit!$C$6))),BV1549)/BN1549,0)*BN1549</f>
        <v/>
      </c>
      <c r="AF1549" s="56">
        <f>IF(AC1549&gt;0,I1549/AC1549,-1)</f>
        <v/>
      </c>
      <c r="AG1549" s="56">
        <f>IF(AND(OR(BR1549="L1",BR1549="L23"),AC1549&gt;0),SUMIFS($AC$7:$AC$1570,$BR$7:$BR$1570,BR1549,$AF$7:$AF$1570,"&gt;"&amp;AF1549)+SUMIFS($AC$7:$AC$1570,$BR$7:$BR$1570,BR1549,$AF$7:$AF$1570,AF1549,$BL$7:$BL$1570,"&lt;="&amp;BL1549),"")</f>
        <v/>
      </c>
      <c r="AH1549" s="65">
        <f>IF(AG1549="",0,MAX(0,MIN(1,(IF(BR1549="L1",Parameter!$K$5,Parameter!$K$6+Parameter!$K$7)-(AG1549-AC1549))/AC1549)))</f>
        <v/>
      </c>
      <c r="AI1549" s="55">
        <f>IF(LEFT(Cockpit!$I$5,1)="A",G1549,IF(BT1549=1,BU1549,IF(LEFT(Cockpit!$I$5,1)="B",AM1549,MAX(AM1549,G1549))))</f>
        <v/>
      </c>
      <c r="AJ1549" s="55">
        <f>IF(BO1549=1,0,ROUNDUP(AI1549/BN1549,0))</f>
        <v/>
      </c>
      <c r="AK1549" s="64">
        <f>IF(BO1549=1,IF(AI1549&lt;=0,0,BP1549*MAX(1,IF(G1549&gt;0,AI1549/G1549,1))),AJ1549*Q1549)</f>
        <v/>
      </c>
      <c r="AL1549" s="55">
        <f>AI1549*F1549</f>
        <v/>
      </c>
      <c r="AM1549" s="55">
        <f>ROUNDUP(MAX(I1549/IF(BS1549&gt;0,BS1549,MAX(0.1,N(Cockpit!$I$6))),BV1549)/BN1549,0)*BN1549</f>
        <v/>
      </c>
      <c r="AN1549" s="56">
        <f>IF(AK1549&gt;0,I1549/AK1549,-1)</f>
        <v/>
      </c>
      <c r="AO1549" s="56">
        <f>IF(AND(OR(BR1549="L1",BR1549="L23"),AK1549&gt;0),SUMIFS($AK$7:$AK$1570,$BR$7:$BR$1570,BR1549,$AN$7:$AN$1570,"&gt;"&amp;AN1549)+SUMIFS($AK$7:$AK$1570,$BR$7:$BR$1570,BR1549,$AN$7:$AN$1570,AN1549,$BL$7:$BL$1570,"&lt;="&amp;BL1549),"")</f>
        <v/>
      </c>
      <c r="AP1549" s="65">
        <f>IF(AO1549="",0,MAX(0,MIN(1,(IF(BR1549="L1",Parameter!$K$5,Parameter!$K$6+Parameter!$K$7)-(AO1549-AK1549))/AK1549)))</f>
        <v/>
      </c>
      <c r="AQ1549" s="55">
        <f>IF(LEFT(Cockpit!$O$5,1)="A",G1549,IF(BT1549=1,BU1549,IF(LEFT(Cockpit!$O$5,1)="B",AU1549,MAX(AU1549,G1549))))</f>
        <v/>
      </c>
      <c r="AR1549" s="55">
        <f>IF(BO1549=1,0,ROUNDUP(AQ1549/BN1549,0))</f>
        <v/>
      </c>
      <c r="AS1549" s="64">
        <f>IF(BO1549=1,IF(AQ1549&lt;=0,0,BP1549*MAX(1,IF(G1549&gt;0,AQ1549/G1549,1))),AR1549*Q1549)</f>
        <v/>
      </c>
      <c r="AT1549" s="55">
        <f>AQ1549*F1549</f>
        <v/>
      </c>
      <c r="AU1549" s="55">
        <f>ROUNDUP(MAX(I1549/IF(BS1549&gt;0,BS1549,MAX(0.1,N(Cockpit!$O$6))),BV1549)/BN1549,0)*BN1549</f>
        <v/>
      </c>
      <c r="AV1549" s="56">
        <f>IF(AS1549&gt;0,I1549/AS1549,-1)</f>
        <v/>
      </c>
      <c r="AW1549" s="56">
        <f>IF(AND(OR(BR1549="L1",BR1549="L23"),AS1549&gt;0),SUMIFS($AS$7:$AS$1570,$BR$7:$BR$1570,BR1549,$AV$7:$AV$1570,"&gt;"&amp;AV1549)+SUMIFS($AS$7:$AS$1570,$BR$7:$BR$1570,BR1549,$AV$7:$AV$1570,AV1549,$BL$7:$BL$1570,"&lt;="&amp;BL1549),"")</f>
        <v/>
      </c>
      <c r="AX1549" s="65">
        <f>IF(AW1549="",0,MAX(0,MIN(1,(IF(BR1549="L1",Parameter!$K$5,Parameter!$K$6+Parameter!$K$7)-(AW1549-AS1549))/AS1549)))</f>
        <v/>
      </c>
      <c r="AY1549" s="53">
        <f>IF(AC1549&lt;=0,"",IF(BR1549="Aussen","Aussenlager",IF(BR1549="-","Nicht im Lift",IF(AH1549&gt;=1,"Lift",IF(AH1549&lt;=0,"Aussenlager","teilweise")))))</f>
        <v/>
      </c>
      <c r="AZ1549" s="53">
        <f>IF(AK1549&lt;=0,"",IF(BR1549="Aussen","Aussenlager",IF(BR1549="-","Nicht im Lift",IF(AP1549&gt;=1,"Lift",IF(AP1549&lt;=0,"Aussenlager","teilweise")))))</f>
        <v/>
      </c>
      <c r="BA1549" s="53">
        <f>IF(AS1549&lt;=0,"",IF(BR1549="Aussen","Aussenlager",IF(BR1549="-","Nicht im Lift",IF(AX1549&gt;=1,"Lift",IF(AX1549&lt;=0,"Aussenlager","teilweise")))))</f>
        <v/>
      </c>
      <c r="BB1549" s="53">
        <f>IF(A1549="","",IF(BK1549=1,"Neu; ","")&amp;IF(AND(BK1549=0,BF1549&lt;0),"negativer Bestand (Export "&amp;BF1549&amp;"); ","")&amp;IF(I1549&lt;=0,"Kein Verbrauch; ","")&amp;IF(BO1549=1,"Lose – Fläche geschätzt; ","")&amp;IF(G1549&gt;AM1549,"Überbestand "&amp;ROUND(G1549-AM1549,0)&amp;" Stk / CHF "&amp;ROUND((G1549-AM1549)*F1549,0)&amp;"; ","")&amp;IF(AND(BT1549=1,BU1549&lt;BV1549),"MAX &lt; MB+LG; ","")&amp;IF(AND(BZ1549&gt;0,BY1549*10&gt;BZ1549),"zu hoch für Tablar; ","")&amp;IF(AND(BK1549=0,OR(BT1549=1,V1549&lt;&gt;"",S1549&lt;&gt;"",T1549&lt;&gt;"",W1549&lt;&gt;"")),"manuell übersteuert; ","")&amp;IF(AND(BO1549=0,Q1549=0),"Gebinde unbekannt; ","")&amp;IF(AND(BO1549=0,N(T1549)&lt;=0,N(P1549)&lt;=0),"Menge pro Gebinde fehlt (Ist = 1 Gebinde); ","")&amp;BJ1549)</f>
        <v/>
      </c>
      <c r="BC1549" s="53" t="n"/>
      <c r="BD1549" s="53" t="n"/>
      <c r="BE1549" s="61" t="n"/>
      <c r="BF1549" s="55">
        <f>N('Neue Artikel'!$D$83)</f>
        <v/>
      </c>
      <c r="BG1549" s="55" t="n">
        <v>0</v>
      </c>
      <c r="BH1549" s="54" t="n">
        <v>0</v>
      </c>
      <c r="BI1549" s="55">
        <f>N('Neue Artikel'!$C$83)/Parameter!$B$18</f>
        <v/>
      </c>
      <c r="BJ1549" s="53" t="inlineStr"/>
      <c r="BK1549" s="58" t="n">
        <v>1</v>
      </c>
      <c r="BL1549" s="58" t="n">
        <v>1549</v>
      </c>
      <c r="BM1549" s="53">
        <f>IF(S1549&lt;&gt;"",UPPER(TRIM(S1549)),IF(O1549="","LOSE",O1549))</f>
        <v/>
      </c>
      <c r="BN1549" s="55">
        <f>IF(BM1549="LOSE",1,IF(N(T1549)&gt;0,T1549,IF(N(P1549)&gt;0,P1549,MAX(1,G1549))))</f>
        <v/>
      </c>
      <c r="BO1549" s="58">
        <f>IF(BM1549="LOSE",1,0)</f>
        <v/>
      </c>
      <c r="BP1549" s="64">
        <f>IF(BO1549=0,0,IF(N(R1549)&gt;0,R1549,IFERROR(VLOOKUP(D1549,Parameter!$A$35:$C$64,3,0)+0,0)))</f>
        <v/>
      </c>
      <c r="BQ1549" s="53">
        <f>IF(V1549&lt;&gt;"",V1549,U1549)</f>
        <v/>
      </c>
      <c r="BR1549" s="53">
        <f>IF(BQ1549=1,"L1",IF(OR(BQ1549=2,BQ1549=3),"L23",IF(BQ1549="Aussen","Aussen","-")))</f>
        <v/>
      </c>
      <c r="BS1549" s="66">
        <f>IF(N(W1549)&gt;0,W1549,0)</f>
        <v/>
      </c>
      <c r="BT1549" s="58">
        <f>IF(ISNUMBER(Z1549),1,0)</f>
        <v/>
      </c>
      <c r="BU1549" s="55">
        <f>N(Z1549)</f>
        <v/>
      </c>
      <c r="BV1549" s="55">
        <f>N(L1549)+N(M1549)</f>
        <v/>
      </c>
      <c r="BW1549" s="55">
        <f>ROUNDUP(G1549/BN1549,0)</f>
        <v/>
      </c>
      <c r="BX1549" s="55">
        <f>ROUNDUP(BU1549/BN1549,0)</f>
        <v/>
      </c>
      <c r="BY1549" s="58">
        <f>IF(BO1549=1,0,IFERROR(VLOOKUP(BM1549,'Gebinde-Kategorie'!$A$5:$G$45,5,0)+0,0))</f>
        <v/>
      </c>
      <c r="BZ1549" s="58">
        <f>IFERROR(IF(OR(BQ1549=1,BQ1549=2,BQ1549=3),N(INDEX(Parameter!$I$5:$I$7,BQ1549)),0),0)</f>
        <v/>
      </c>
    </row>
    <row r="1550">
      <c r="A1550" s="53">
        <f>IF('Neue Artikel'!$A$84="","",'Neue Artikel'!$A$84&amp;"")</f>
        <v/>
      </c>
      <c r="B1550" s="53">
        <f>'Neue Artikel'!$B$84&amp;""</f>
        <v/>
      </c>
      <c r="C1550" s="53" t="inlineStr"/>
      <c r="D1550" s="53" t="inlineStr">
        <is>
          <t>NEU</t>
        </is>
      </c>
      <c r="E1550" s="53" t="inlineStr"/>
      <c r="F1550" s="54">
        <f>N('Neue Artikel'!$G$84)</f>
        <v/>
      </c>
      <c r="G1550" s="55">
        <f>MAX(0,IF(Parameter!$B$20="Jahresanfang 2025 + Export",BG1550+BF1550,BF1550))</f>
        <v/>
      </c>
      <c r="H1550" s="55">
        <f>G1550*F1550</f>
        <v/>
      </c>
      <c r="I1550" s="55">
        <f>BI1550*Parameter!$B$18</f>
        <v/>
      </c>
      <c r="J1550" s="56" t="n"/>
      <c r="K1550" s="57" t="n"/>
      <c r="L1550" s="55">
        <f>N('Neue Artikel'!$E$84)</f>
        <v/>
      </c>
      <c r="M1550" s="55">
        <f>N('Neue Artikel'!$F$84)</f>
        <v/>
      </c>
      <c r="N1550" s="58" t="n"/>
      <c r="O1550" s="53">
        <f>IF('Neue Artikel'!$H$84="","LOSE",UPPER(TRIM('Neue Artikel'!$H$84)))</f>
        <v/>
      </c>
      <c r="P1550" s="55">
        <f>N('Neue Artikel'!$I$84)</f>
        <v/>
      </c>
      <c r="Q1550" s="59">
        <f>IF(BO1550=1,0,IFERROR(VLOOKUP(BM1550,'Gebinde-Kategorie'!$A$5:$G$45,6,0)+0,0))</f>
        <v/>
      </c>
      <c r="R1550" s="60" t="n"/>
      <c r="S1550" s="61" t="n"/>
      <c r="T1550" s="61" t="n"/>
      <c r="U1550" s="53">
        <f>IF(A1550="","",IF(IFERROR(VLOOKUP(D1550,Parameter!$A$35:$C$64,2,0),"Nein")="2+3",IF(ISNUMBER(SEARCH("grosser Artikel",BJ1550)),2,IFERROR(VLOOKUP(BM1550,Parameter!$F$35:$G$64,2,0),2)),IF(OR(IFERROR(VLOOKUP(D1550,Parameter!$A$35:$C$64,2,0),"Nein")="Nein",IFERROR(VLOOKUP(D1550,Parameter!$A$35:$C$64,2,0),"Nein")=""),"-",VLOOKUP(D1550,Parameter!$A$35:$C$64,2,0))))</f>
        <v/>
      </c>
      <c r="V1550" s="53">
        <f>IF('Neue Artikel'!$J$84="","",'Neue Artikel'!$J$84)</f>
        <v/>
      </c>
      <c r="W1550" s="62" t="n"/>
      <c r="X1550" s="55">
        <f>AM1550</f>
        <v/>
      </c>
      <c r="Y1550" s="55">
        <f>MAX(AM1550,G1550)</f>
        <v/>
      </c>
      <c r="Z1550" s="63" t="n"/>
      <c r="AA1550" s="55">
        <f>IF(LEFT(Cockpit!$C$5,1)="A",G1550,IF(BT1550=1,BU1550,IF(LEFT(Cockpit!$C$5,1)="B",AE1550,MAX(AE1550,G1550))))</f>
        <v/>
      </c>
      <c r="AB1550" s="55">
        <f>IF(BO1550=1,0,ROUNDUP(AA1550/BN1550,0))</f>
        <v/>
      </c>
      <c r="AC1550" s="64">
        <f>IF(BO1550=1,IF(AA1550&lt;=0,0,BP1550*MAX(1,IF(G1550&gt;0,AA1550/G1550,1))),AB1550*Q1550)</f>
        <v/>
      </c>
      <c r="AD1550" s="55">
        <f>AA1550*F1550</f>
        <v/>
      </c>
      <c r="AE1550" s="55">
        <f>ROUNDUP(MAX(I1550/IF(BS1550&gt;0,BS1550,MAX(0.1,N(Cockpit!$C$6))),BV1550)/BN1550,0)*BN1550</f>
        <v/>
      </c>
      <c r="AF1550" s="56">
        <f>IF(AC1550&gt;0,I1550/AC1550,-1)</f>
        <v/>
      </c>
      <c r="AG1550" s="56">
        <f>IF(AND(OR(BR1550="L1",BR1550="L23"),AC1550&gt;0),SUMIFS($AC$7:$AC$1570,$BR$7:$BR$1570,BR1550,$AF$7:$AF$1570,"&gt;"&amp;AF1550)+SUMIFS($AC$7:$AC$1570,$BR$7:$BR$1570,BR1550,$AF$7:$AF$1570,AF1550,$BL$7:$BL$1570,"&lt;="&amp;BL1550),"")</f>
        <v/>
      </c>
      <c r="AH1550" s="65">
        <f>IF(AG1550="",0,MAX(0,MIN(1,(IF(BR1550="L1",Parameter!$K$5,Parameter!$K$6+Parameter!$K$7)-(AG1550-AC1550))/AC1550)))</f>
        <v/>
      </c>
      <c r="AI1550" s="55">
        <f>IF(LEFT(Cockpit!$I$5,1)="A",G1550,IF(BT1550=1,BU1550,IF(LEFT(Cockpit!$I$5,1)="B",AM1550,MAX(AM1550,G1550))))</f>
        <v/>
      </c>
      <c r="AJ1550" s="55">
        <f>IF(BO1550=1,0,ROUNDUP(AI1550/BN1550,0))</f>
        <v/>
      </c>
      <c r="AK1550" s="64">
        <f>IF(BO1550=1,IF(AI1550&lt;=0,0,BP1550*MAX(1,IF(G1550&gt;0,AI1550/G1550,1))),AJ1550*Q1550)</f>
        <v/>
      </c>
      <c r="AL1550" s="55">
        <f>AI1550*F1550</f>
        <v/>
      </c>
      <c r="AM1550" s="55">
        <f>ROUNDUP(MAX(I1550/IF(BS1550&gt;0,BS1550,MAX(0.1,N(Cockpit!$I$6))),BV1550)/BN1550,0)*BN1550</f>
        <v/>
      </c>
      <c r="AN1550" s="56">
        <f>IF(AK1550&gt;0,I1550/AK1550,-1)</f>
        <v/>
      </c>
      <c r="AO1550" s="56">
        <f>IF(AND(OR(BR1550="L1",BR1550="L23"),AK1550&gt;0),SUMIFS($AK$7:$AK$1570,$BR$7:$BR$1570,BR1550,$AN$7:$AN$1570,"&gt;"&amp;AN1550)+SUMIFS($AK$7:$AK$1570,$BR$7:$BR$1570,BR1550,$AN$7:$AN$1570,AN1550,$BL$7:$BL$1570,"&lt;="&amp;BL1550),"")</f>
        <v/>
      </c>
      <c r="AP1550" s="65">
        <f>IF(AO1550="",0,MAX(0,MIN(1,(IF(BR1550="L1",Parameter!$K$5,Parameter!$K$6+Parameter!$K$7)-(AO1550-AK1550))/AK1550)))</f>
        <v/>
      </c>
      <c r="AQ1550" s="55">
        <f>IF(LEFT(Cockpit!$O$5,1)="A",G1550,IF(BT1550=1,BU1550,IF(LEFT(Cockpit!$O$5,1)="B",AU1550,MAX(AU1550,G1550))))</f>
        <v/>
      </c>
      <c r="AR1550" s="55">
        <f>IF(BO1550=1,0,ROUNDUP(AQ1550/BN1550,0))</f>
        <v/>
      </c>
      <c r="AS1550" s="64">
        <f>IF(BO1550=1,IF(AQ1550&lt;=0,0,BP1550*MAX(1,IF(G1550&gt;0,AQ1550/G1550,1))),AR1550*Q1550)</f>
        <v/>
      </c>
      <c r="AT1550" s="55">
        <f>AQ1550*F1550</f>
        <v/>
      </c>
      <c r="AU1550" s="55">
        <f>ROUNDUP(MAX(I1550/IF(BS1550&gt;0,BS1550,MAX(0.1,N(Cockpit!$O$6))),BV1550)/BN1550,0)*BN1550</f>
        <v/>
      </c>
      <c r="AV1550" s="56">
        <f>IF(AS1550&gt;0,I1550/AS1550,-1)</f>
        <v/>
      </c>
      <c r="AW1550" s="56">
        <f>IF(AND(OR(BR1550="L1",BR1550="L23"),AS1550&gt;0),SUMIFS($AS$7:$AS$1570,$BR$7:$BR$1570,BR1550,$AV$7:$AV$1570,"&gt;"&amp;AV1550)+SUMIFS($AS$7:$AS$1570,$BR$7:$BR$1570,BR1550,$AV$7:$AV$1570,AV1550,$BL$7:$BL$1570,"&lt;="&amp;BL1550),"")</f>
        <v/>
      </c>
      <c r="AX1550" s="65">
        <f>IF(AW1550="",0,MAX(0,MIN(1,(IF(BR1550="L1",Parameter!$K$5,Parameter!$K$6+Parameter!$K$7)-(AW1550-AS1550))/AS1550)))</f>
        <v/>
      </c>
      <c r="AY1550" s="53">
        <f>IF(AC1550&lt;=0,"",IF(BR1550="Aussen","Aussenlager",IF(BR1550="-","Nicht im Lift",IF(AH1550&gt;=1,"Lift",IF(AH1550&lt;=0,"Aussenlager","teilweise")))))</f>
        <v/>
      </c>
      <c r="AZ1550" s="53">
        <f>IF(AK1550&lt;=0,"",IF(BR1550="Aussen","Aussenlager",IF(BR1550="-","Nicht im Lift",IF(AP1550&gt;=1,"Lift",IF(AP1550&lt;=0,"Aussenlager","teilweise")))))</f>
        <v/>
      </c>
      <c r="BA1550" s="53">
        <f>IF(AS1550&lt;=0,"",IF(BR1550="Aussen","Aussenlager",IF(BR1550="-","Nicht im Lift",IF(AX1550&gt;=1,"Lift",IF(AX1550&lt;=0,"Aussenlager","teilweise")))))</f>
        <v/>
      </c>
      <c r="BB1550" s="53">
        <f>IF(A1550="","",IF(BK1550=1,"Neu; ","")&amp;IF(AND(BK1550=0,BF1550&lt;0),"negativer Bestand (Export "&amp;BF1550&amp;"); ","")&amp;IF(I1550&lt;=0,"Kein Verbrauch; ","")&amp;IF(BO1550=1,"Lose – Fläche geschätzt; ","")&amp;IF(G1550&gt;AM1550,"Überbestand "&amp;ROUND(G1550-AM1550,0)&amp;" Stk / CHF "&amp;ROUND((G1550-AM1550)*F1550,0)&amp;"; ","")&amp;IF(AND(BT1550=1,BU1550&lt;BV1550),"MAX &lt; MB+LG; ","")&amp;IF(AND(BZ1550&gt;0,BY1550*10&gt;BZ1550),"zu hoch für Tablar; ","")&amp;IF(AND(BK1550=0,OR(BT1550=1,V1550&lt;&gt;"",S1550&lt;&gt;"",T1550&lt;&gt;"",W1550&lt;&gt;"")),"manuell übersteuert; ","")&amp;IF(AND(BO1550=0,Q1550=0),"Gebinde unbekannt; ","")&amp;IF(AND(BO1550=0,N(T1550)&lt;=0,N(P1550)&lt;=0),"Menge pro Gebinde fehlt (Ist = 1 Gebinde); ","")&amp;BJ1550)</f>
        <v/>
      </c>
      <c r="BC1550" s="53" t="n"/>
      <c r="BD1550" s="53" t="n"/>
      <c r="BE1550" s="61" t="n"/>
      <c r="BF1550" s="55">
        <f>N('Neue Artikel'!$D$84)</f>
        <v/>
      </c>
      <c r="BG1550" s="55" t="n">
        <v>0</v>
      </c>
      <c r="BH1550" s="54" t="n">
        <v>0</v>
      </c>
      <c r="BI1550" s="55">
        <f>N('Neue Artikel'!$C$84)/Parameter!$B$18</f>
        <v/>
      </c>
      <c r="BJ1550" s="53" t="inlineStr"/>
      <c r="BK1550" s="58" t="n">
        <v>1</v>
      </c>
      <c r="BL1550" s="58" t="n">
        <v>1550</v>
      </c>
      <c r="BM1550" s="53">
        <f>IF(S1550&lt;&gt;"",UPPER(TRIM(S1550)),IF(O1550="","LOSE",O1550))</f>
        <v/>
      </c>
      <c r="BN1550" s="55">
        <f>IF(BM1550="LOSE",1,IF(N(T1550)&gt;0,T1550,IF(N(P1550)&gt;0,P1550,MAX(1,G1550))))</f>
        <v/>
      </c>
      <c r="BO1550" s="58">
        <f>IF(BM1550="LOSE",1,0)</f>
        <v/>
      </c>
      <c r="BP1550" s="64">
        <f>IF(BO1550=0,0,IF(N(R1550)&gt;0,R1550,IFERROR(VLOOKUP(D1550,Parameter!$A$35:$C$64,3,0)+0,0)))</f>
        <v/>
      </c>
      <c r="BQ1550" s="53">
        <f>IF(V1550&lt;&gt;"",V1550,U1550)</f>
        <v/>
      </c>
      <c r="BR1550" s="53">
        <f>IF(BQ1550=1,"L1",IF(OR(BQ1550=2,BQ1550=3),"L23",IF(BQ1550="Aussen","Aussen","-")))</f>
        <v/>
      </c>
      <c r="BS1550" s="66">
        <f>IF(N(W1550)&gt;0,W1550,0)</f>
        <v/>
      </c>
      <c r="BT1550" s="58">
        <f>IF(ISNUMBER(Z1550),1,0)</f>
        <v/>
      </c>
      <c r="BU1550" s="55">
        <f>N(Z1550)</f>
        <v/>
      </c>
      <c r="BV1550" s="55">
        <f>N(L1550)+N(M1550)</f>
        <v/>
      </c>
      <c r="BW1550" s="55">
        <f>ROUNDUP(G1550/BN1550,0)</f>
        <v/>
      </c>
      <c r="BX1550" s="55">
        <f>ROUNDUP(BU1550/BN1550,0)</f>
        <v/>
      </c>
      <c r="BY1550" s="58">
        <f>IF(BO1550=1,0,IFERROR(VLOOKUP(BM1550,'Gebinde-Kategorie'!$A$5:$G$45,5,0)+0,0))</f>
        <v/>
      </c>
      <c r="BZ1550" s="58">
        <f>IFERROR(IF(OR(BQ1550=1,BQ1550=2,BQ1550=3),N(INDEX(Parameter!$I$5:$I$7,BQ1550)),0),0)</f>
        <v/>
      </c>
    </row>
    <row r="1551">
      <c r="A1551" s="53">
        <f>IF('Neue Artikel'!$A$85="","",'Neue Artikel'!$A$85&amp;"")</f>
        <v/>
      </c>
      <c r="B1551" s="53">
        <f>'Neue Artikel'!$B$85&amp;""</f>
        <v/>
      </c>
      <c r="C1551" s="53" t="inlineStr"/>
      <c r="D1551" s="53" t="inlineStr">
        <is>
          <t>NEU</t>
        </is>
      </c>
      <c r="E1551" s="53" t="inlineStr"/>
      <c r="F1551" s="54">
        <f>N('Neue Artikel'!$G$85)</f>
        <v/>
      </c>
      <c r="G1551" s="55">
        <f>MAX(0,IF(Parameter!$B$20="Jahresanfang 2025 + Export",BG1551+BF1551,BF1551))</f>
        <v/>
      </c>
      <c r="H1551" s="55">
        <f>G1551*F1551</f>
        <v/>
      </c>
      <c r="I1551" s="55">
        <f>BI1551*Parameter!$B$18</f>
        <v/>
      </c>
      <c r="J1551" s="56" t="n"/>
      <c r="K1551" s="57" t="n"/>
      <c r="L1551" s="55">
        <f>N('Neue Artikel'!$E$85)</f>
        <v/>
      </c>
      <c r="M1551" s="55">
        <f>N('Neue Artikel'!$F$85)</f>
        <v/>
      </c>
      <c r="N1551" s="58" t="n"/>
      <c r="O1551" s="53">
        <f>IF('Neue Artikel'!$H$85="","LOSE",UPPER(TRIM('Neue Artikel'!$H$85)))</f>
        <v/>
      </c>
      <c r="P1551" s="55">
        <f>N('Neue Artikel'!$I$85)</f>
        <v/>
      </c>
      <c r="Q1551" s="59">
        <f>IF(BO1551=1,0,IFERROR(VLOOKUP(BM1551,'Gebinde-Kategorie'!$A$5:$G$45,6,0)+0,0))</f>
        <v/>
      </c>
      <c r="R1551" s="60" t="n"/>
      <c r="S1551" s="61" t="n"/>
      <c r="T1551" s="61" t="n"/>
      <c r="U1551" s="53">
        <f>IF(A1551="","",IF(IFERROR(VLOOKUP(D1551,Parameter!$A$35:$C$64,2,0),"Nein")="2+3",IF(ISNUMBER(SEARCH("grosser Artikel",BJ1551)),2,IFERROR(VLOOKUP(BM1551,Parameter!$F$35:$G$64,2,0),2)),IF(OR(IFERROR(VLOOKUP(D1551,Parameter!$A$35:$C$64,2,0),"Nein")="Nein",IFERROR(VLOOKUP(D1551,Parameter!$A$35:$C$64,2,0),"Nein")=""),"-",VLOOKUP(D1551,Parameter!$A$35:$C$64,2,0))))</f>
        <v/>
      </c>
      <c r="V1551" s="53">
        <f>IF('Neue Artikel'!$J$85="","",'Neue Artikel'!$J$85)</f>
        <v/>
      </c>
      <c r="W1551" s="62" t="n"/>
      <c r="X1551" s="55">
        <f>AM1551</f>
        <v/>
      </c>
      <c r="Y1551" s="55">
        <f>MAX(AM1551,G1551)</f>
        <v/>
      </c>
      <c r="Z1551" s="63" t="n"/>
      <c r="AA1551" s="55">
        <f>IF(LEFT(Cockpit!$C$5,1)="A",G1551,IF(BT1551=1,BU1551,IF(LEFT(Cockpit!$C$5,1)="B",AE1551,MAX(AE1551,G1551))))</f>
        <v/>
      </c>
      <c r="AB1551" s="55">
        <f>IF(BO1551=1,0,ROUNDUP(AA1551/BN1551,0))</f>
        <v/>
      </c>
      <c r="AC1551" s="64">
        <f>IF(BO1551=1,IF(AA1551&lt;=0,0,BP1551*MAX(1,IF(G1551&gt;0,AA1551/G1551,1))),AB1551*Q1551)</f>
        <v/>
      </c>
      <c r="AD1551" s="55">
        <f>AA1551*F1551</f>
        <v/>
      </c>
      <c r="AE1551" s="55">
        <f>ROUNDUP(MAX(I1551/IF(BS1551&gt;0,BS1551,MAX(0.1,N(Cockpit!$C$6))),BV1551)/BN1551,0)*BN1551</f>
        <v/>
      </c>
      <c r="AF1551" s="56">
        <f>IF(AC1551&gt;0,I1551/AC1551,-1)</f>
        <v/>
      </c>
      <c r="AG1551" s="56">
        <f>IF(AND(OR(BR1551="L1",BR1551="L23"),AC1551&gt;0),SUMIFS($AC$7:$AC$1570,$BR$7:$BR$1570,BR1551,$AF$7:$AF$1570,"&gt;"&amp;AF1551)+SUMIFS($AC$7:$AC$1570,$BR$7:$BR$1570,BR1551,$AF$7:$AF$1570,AF1551,$BL$7:$BL$1570,"&lt;="&amp;BL1551),"")</f>
        <v/>
      </c>
      <c r="AH1551" s="65">
        <f>IF(AG1551="",0,MAX(0,MIN(1,(IF(BR1551="L1",Parameter!$K$5,Parameter!$K$6+Parameter!$K$7)-(AG1551-AC1551))/AC1551)))</f>
        <v/>
      </c>
      <c r="AI1551" s="55">
        <f>IF(LEFT(Cockpit!$I$5,1)="A",G1551,IF(BT1551=1,BU1551,IF(LEFT(Cockpit!$I$5,1)="B",AM1551,MAX(AM1551,G1551))))</f>
        <v/>
      </c>
      <c r="AJ1551" s="55">
        <f>IF(BO1551=1,0,ROUNDUP(AI1551/BN1551,0))</f>
        <v/>
      </c>
      <c r="AK1551" s="64">
        <f>IF(BO1551=1,IF(AI1551&lt;=0,0,BP1551*MAX(1,IF(G1551&gt;0,AI1551/G1551,1))),AJ1551*Q1551)</f>
        <v/>
      </c>
      <c r="AL1551" s="55">
        <f>AI1551*F1551</f>
        <v/>
      </c>
      <c r="AM1551" s="55">
        <f>ROUNDUP(MAX(I1551/IF(BS1551&gt;0,BS1551,MAX(0.1,N(Cockpit!$I$6))),BV1551)/BN1551,0)*BN1551</f>
        <v/>
      </c>
      <c r="AN1551" s="56">
        <f>IF(AK1551&gt;0,I1551/AK1551,-1)</f>
        <v/>
      </c>
      <c r="AO1551" s="56">
        <f>IF(AND(OR(BR1551="L1",BR1551="L23"),AK1551&gt;0),SUMIFS($AK$7:$AK$1570,$BR$7:$BR$1570,BR1551,$AN$7:$AN$1570,"&gt;"&amp;AN1551)+SUMIFS($AK$7:$AK$1570,$BR$7:$BR$1570,BR1551,$AN$7:$AN$1570,AN1551,$BL$7:$BL$1570,"&lt;="&amp;BL1551),"")</f>
        <v/>
      </c>
      <c r="AP1551" s="65">
        <f>IF(AO1551="",0,MAX(0,MIN(1,(IF(BR1551="L1",Parameter!$K$5,Parameter!$K$6+Parameter!$K$7)-(AO1551-AK1551))/AK1551)))</f>
        <v/>
      </c>
      <c r="AQ1551" s="55">
        <f>IF(LEFT(Cockpit!$O$5,1)="A",G1551,IF(BT1551=1,BU1551,IF(LEFT(Cockpit!$O$5,1)="B",AU1551,MAX(AU1551,G1551))))</f>
        <v/>
      </c>
      <c r="AR1551" s="55">
        <f>IF(BO1551=1,0,ROUNDUP(AQ1551/BN1551,0))</f>
        <v/>
      </c>
      <c r="AS1551" s="64">
        <f>IF(BO1551=1,IF(AQ1551&lt;=0,0,BP1551*MAX(1,IF(G1551&gt;0,AQ1551/G1551,1))),AR1551*Q1551)</f>
        <v/>
      </c>
      <c r="AT1551" s="55">
        <f>AQ1551*F1551</f>
        <v/>
      </c>
      <c r="AU1551" s="55">
        <f>ROUNDUP(MAX(I1551/IF(BS1551&gt;0,BS1551,MAX(0.1,N(Cockpit!$O$6))),BV1551)/BN1551,0)*BN1551</f>
        <v/>
      </c>
      <c r="AV1551" s="56">
        <f>IF(AS1551&gt;0,I1551/AS1551,-1)</f>
        <v/>
      </c>
      <c r="AW1551" s="56">
        <f>IF(AND(OR(BR1551="L1",BR1551="L23"),AS1551&gt;0),SUMIFS($AS$7:$AS$1570,$BR$7:$BR$1570,BR1551,$AV$7:$AV$1570,"&gt;"&amp;AV1551)+SUMIFS($AS$7:$AS$1570,$BR$7:$BR$1570,BR1551,$AV$7:$AV$1570,AV1551,$BL$7:$BL$1570,"&lt;="&amp;BL1551),"")</f>
        <v/>
      </c>
      <c r="AX1551" s="65">
        <f>IF(AW1551="",0,MAX(0,MIN(1,(IF(BR1551="L1",Parameter!$K$5,Parameter!$K$6+Parameter!$K$7)-(AW1551-AS1551))/AS1551)))</f>
        <v/>
      </c>
      <c r="AY1551" s="53">
        <f>IF(AC1551&lt;=0,"",IF(BR1551="Aussen","Aussenlager",IF(BR1551="-","Nicht im Lift",IF(AH1551&gt;=1,"Lift",IF(AH1551&lt;=0,"Aussenlager","teilweise")))))</f>
        <v/>
      </c>
      <c r="AZ1551" s="53">
        <f>IF(AK1551&lt;=0,"",IF(BR1551="Aussen","Aussenlager",IF(BR1551="-","Nicht im Lift",IF(AP1551&gt;=1,"Lift",IF(AP1551&lt;=0,"Aussenlager","teilweise")))))</f>
        <v/>
      </c>
      <c r="BA1551" s="53">
        <f>IF(AS1551&lt;=0,"",IF(BR1551="Aussen","Aussenlager",IF(BR1551="-","Nicht im Lift",IF(AX1551&gt;=1,"Lift",IF(AX1551&lt;=0,"Aussenlager","teilweise")))))</f>
        <v/>
      </c>
      <c r="BB1551" s="53">
        <f>IF(A1551="","",IF(BK1551=1,"Neu; ","")&amp;IF(AND(BK1551=0,BF1551&lt;0),"negativer Bestand (Export "&amp;BF1551&amp;"); ","")&amp;IF(I1551&lt;=0,"Kein Verbrauch; ","")&amp;IF(BO1551=1,"Lose – Fläche geschätzt; ","")&amp;IF(G1551&gt;AM1551,"Überbestand "&amp;ROUND(G1551-AM1551,0)&amp;" Stk / CHF "&amp;ROUND((G1551-AM1551)*F1551,0)&amp;"; ","")&amp;IF(AND(BT1551=1,BU1551&lt;BV1551),"MAX &lt; MB+LG; ","")&amp;IF(AND(BZ1551&gt;0,BY1551*10&gt;BZ1551),"zu hoch für Tablar; ","")&amp;IF(AND(BK1551=0,OR(BT1551=1,V1551&lt;&gt;"",S1551&lt;&gt;"",T1551&lt;&gt;"",W1551&lt;&gt;"")),"manuell übersteuert; ","")&amp;IF(AND(BO1551=0,Q1551=0),"Gebinde unbekannt; ","")&amp;IF(AND(BO1551=0,N(T1551)&lt;=0,N(P1551)&lt;=0),"Menge pro Gebinde fehlt (Ist = 1 Gebinde); ","")&amp;BJ1551)</f>
        <v/>
      </c>
      <c r="BC1551" s="53" t="n"/>
      <c r="BD1551" s="53" t="n"/>
      <c r="BE1551" s="61" t="n"/>
      <c r="BF1551" s="55">
        <f>N('Neue Artikel'!$D$85)</f>
        <v/>
      </c>
      <c r="BG1551" s="55" t="n">
        <v>0</v>
      </c>
      <c r="BH1551" s="54" t="n">
        <v>0</v>
      </c>
      <c r="BI1551" s="55">
        <f>N('Neue Artikel'!$C$85)/Parameter!$B$18</f>
        <v/>
      </c>
      <c r="BJ1551" s="53" t="inlineStr"/>
      <c r="BK1551" s="58" t="n">
        <v>1</v>
      </c>
      <c r="BL1551" s="58" t="n">
        <v>1551</v>
      </c>
      <c r="BM1551" s="53">
        <f>IF(S1551&lt;&gt;"",UPPER(TRIM(S1551)),IF(O1551="","LOSE",O1551))</f>
        <v/>
      </c>
      <c r="BN1551" s="55">
        <f>IF(BM1551="LOSE",1,IF(N(T1551)&gt;0,T1551,IF(N(P1551)&gt;0,P1551,MAX(1,G1551))))</f>
        <v/>
      </c>
      <c r="BO1551" s="58">
        <f>IF(BM1551="LOSE",1,0)</f>
        <v/>
      </c>
      <c r="BP1551" s="64">
        <f>IF(BO1551=0,0,IF(N(R1551)&gt;0,R1551,IFERROR(VLOOKUP(D1551,Parameter!$A$35:$C$64,3,0)+0,0)))</f>
        <v/>
      </c>
      <c r="BQ1551" s="53">
        <f>IF(V1551&lt;&gt;"",V1551,U1551)</f>
        <v/>
      </c>
      <c r="BR1551" s="53">
        <f>IF(BQ1551=1,"L1",IF(OR(BQ1551=2,BQ1551=3),"L23",IF(BQ1551="Aussen","Aussen","-")))</f>
        <v/>
      </c>
      <c r="BS1551" s="66">
        <f>IF(N(W1551)&gt;0,W1551,0)</f>
        <v/>
      </c>
      <c r="BT1551" s="58">
        <f>IF(ISNUMBER(Z1551),1,0)</f>
        <v/>
      </c>
      <c r="BU1551" s="55">
        <f>N(Z1551)</f>
        <v/>
      </c>
      <c r="BV1551" s="55">
        <f>N(L1551)+N(M1551)</f>
        <v/>
      </c>
      <c r="BW1551" s="55">
        <f>ROUNDUP(G1551/BN1551,0)</f>
        <v/>
      </c>
      <c r="BX1551" s="55">
        <f>ROUNDUP(BU1551/BN1551,0)</f>
        <v/>
      </c>
      <c r="BY1551" s="58">
        <f>IF(BO1551=1,0,IFERROR(VLOOKUP(BM1551,'Gebinde-Kategorie'!$A$5:$G$45,5,0)+0,0))</f>
        <v/>
      </c>
      <c r="BZ1551" s="58">
        <f>IFERROR(IF(OR(BQ1551=1,BQ1551=2,BQ1551=3),N(INDEX(Parameter!$I$5:$I$7,BQ1551)),0),0)</f>
        <v/>
      </c>
    </row>
    <row r="1552">
      <c r="A1552" s="53">
        <f>IF('Neue Artikel'!$A$86="","",'Neue Artikel'!$A$86&amp;"")</f>
        <v/>
      </c>
      <c r="B1552" s="53">
        <f>'Neue Artikel'!$B$86&amp;""</f>
        <v/>
      </c>
      <c r="C1552" s="53" t="inlineStr"/>
      <c r="D1552" s="53" t="inlineStr">
        <is>
          <t>NEU</t>
        </is>
      </c>
      <c r="E1552" s="53" t="inlineStr"/>
      <c r="F1552" s="54">
        <f>N('Neue Artikel'!$G$86)</f>
        <v/>
      </c>
      <c r="G1552" s="55">
        <f>MAX(0,IF(Parameter!$B$20="Jahresanfang 2025 + Export",BG1552+BF1552,BF1552))</f>
        <v/>
      </c>
      <c r="H1552" s="55">
        <f>G1552*F1552</f>
        <v/>
      </c>
      <c r="I1552" s="55">
        <f>BI1552*Parameter!$B$18</f>
        <v/>
      </c>
      <c r="J1552" s="56" t="n"/>
      <c r="K1552" s="57" t="n"/>
      <c r="L1552" s="55">
        <f>N('Neue Artikel'!$E$86)</f>
        <v/>
      </c>
      <c r="M1552" s="55">
        <f>N('Neue Artikel'!$F$86)</f>
        <v/>
      </c>
      <c r="N1552" s="58" t="n"/>
      <c r="O1552" s="53">
        <f>IF('Neue Artikel'!$H$86="","LOSE",UPPER(TRIM('Neue Artikel'!$H$86)))</f>
        <v/>
      </c>
      <c r="P1552" s="55">
        <f>N('Neue Artikel'!$I$86)</f>
        <v/>
      </c>
      <c r="Q1552" s="59">
        <f>IF(BO1552=1,0,IFERROR(VLOOKUP(BM1552,'Gebinde-Kategorie'!$A$5:$G$45,6,0)+0,0))</f>
        <v/>
      </c>
      <c r="R1552" s="60" t="n"/>
      <c r="S1552" s="61" t="n"/>
      <c r="T1552" s="61" t="n"/>
      <c r="U1552" s="53">
        <f>IF(A1552="","",IF(IFERROR(VLOOKUP(D1552,Parameter!$A$35:$C$64,2,0),"Nein")="2+3",IF(ISNUMBER(SEARCH("grosser Artikel",BJ1552)),2,IFERROR(VLOOKUP(BM1552,Parameter!$F$35:$G$64,2,0),2)),IF(OR(IFERROR(VLOOKUP(D1552,Parameter!$A$35:$C$64,2,0),"Nein")="Nein",IFERROR(VLOOKUP(D1552,Parameter!$A$35:$C$64,2,0),"Nein")=""),"-",VLOOKUP(D1552,Parameter!$A$35:$C$64,2,0))))</f>
        <v/>
      </c>
      <c r="V1552" s="53">
        <f>IF('Neue Artikel'!$J$86="","",'Neue Artikel'!$J$86)</f>
        <v/>
      </c>
      <c r="W1552" s="62" t="n"/>
      <c r="X1552" s="55">
        <f>AM1552</f>
        <v/>
      </c>
      <c r="Y1552" s="55">
        <f>MAX(AM1552,G1552)</f>
        <v/>
      </c>
      <c r="Z1552" s="63" t="n"/>
      <c r="AA1552" s="55">
        <f>IF(LEFT(Cockpit!$C$5,1)="A",G1552,IF(BT1552=1,BU1552,IF(LEFT(Cockpit!$C$5,1)="B",AE1552,MAX(AE1552,G1552))))</f>
        <v/>
      </c>
      <c r="AB1552" s="55">
        <f>IF(BO1552=1,0,ROUNDUP(AA1552/BN1552,0))</f>
        <v/>
      </c>
      <c r="AC1552" s="64">
        <f>IF(BO1552=1,IF(AA1552&lt;=0,0,BP1552*MAX(1,IF(G1552&gt;0,AA1552/G1552,1))),AB1552*Q1552)</f>
        <v/>
      </c>
      <c r="AD1552" s="55">
        <f>AA1552*F1552</f>
        <v/>
      </c>
      <c r="AE1552" s="55">
        <f>ROUNDUP(MAX(I1552/IF(BS1552&gt;0,BS1552,MAX(0.1,N(Cockpit!$C$6))),BV1552)/BN1552,0)*BN1552</f>
        <v/>
      </c>
      <c r="AF1552" s="56">
        <f>IF(AC1552&gt;0,I1552/AC1552,-1)</f>
        <v/>
      </c>
      <c r="AG1552" s="56">
        <f>IF(AND(OR(BR1552="L1",BR1552="L23"),AC1552&gt;0),SUMIFS($AC$7:$AC$1570,$BR$7:$BR$1570,BR1552,$AF$7:$AF$1570,"&gt;"&amp;AF1552)+SUMIFS($AC$7:$AC$1570,$BR$7:$BR$1570,BR1552,$AF$7:$AF$1570,AF1552,$BL$7:$BL$1570,"&lt;="&amp;BL1552),"")</f>
        <v/>
      </c>
      <c r="AH1552" s="65">
        <f>IF(AG1552="",0,MAX(0,MIN(1,(IF(BR1552="L1",Parameter!$K$5,Parameter!$K$6+Parameter!$K$7)-(AG1552-AC1552))/AC1552)))</f>
        <v/>
      </c>
      <c r="AI1552" s="55">
        <f>IF(LEFT(Cockpit!$I$5,1)="A",G1552,IF(BT1552=1,BU1552,IF(LEFT(Cockpit!$I$5,1)="B",AM1552,MAX(AM1552,G1552))))</f>
        <v/>
      </c>
      <c r="AJ1552" s="55">
        <f>IF(BO1552=1,0,ROUNDUP(AI1552/BN1552,0))</f>
        <v/>
      </c>
      <c r="AK1552" s="64">
        <f>IF(BO1552=1,IF(AI1552&lt;=0,0,BP1552*MAX(1,IF(G1552&gt;0,AI1552/G1552,1))),AJ1552*Q1552)</f>
        <v/>
      </c>
      <c r="AL1552" s="55">
        <f>AI1552*F1552</f>
        <v/>
      </c>
      <c r="AM1552" s="55">
        <f>ROUNDUP(MAX(I1552/IF(BS1552&gt;0,BS1552,MAX(0.1,N(Cockpit!$I$6))),BV1552)/BN1552,0)*BN1552</f>
        <v/>
      </c>
      <c r="AN1552" s="56">
        <f>IF(AK1552&gt;0,I1552/AK1552,-1)</f>
        <v/>
      </c>
      <c r="AO1552" s="56">
        <f>IF(AND(OR(BR1552="L1",BR1552="L23"),AK1552&gt;0),SUMIFS($AK$7:$AK$1570,$BR$7:$BR$1570,BR1552,$AN$7:$AN$1570,"&gt;"&amp;AN1552)+SUMIFS($AK$7:$AK$1570,$BR$7:$BR$1570,BR1552,$AN$7:$AN$1570,AN1552,$BL$7:$BL$1570,"&lt;="&amp;BL1552),"")</f>
        <v/>
      </c>
      <c r="AP1552" s="65">
        <f>IF(AO1552="",0,MAX(0,MIN(1,(IF(BR1552="L1",Parameter!$K$5,Parameter!$K$6+Parameter!$K$7)-(AO1552-AK1552))/AK1552)))</f>
        <v/>
      </c>
      <c r="AQ1552" s="55">
        <f>IF(LEFT(Cockpit!$O$5,1)="A",G1552,IF(BT1552=1,BU1552,IF(LEFT(Cockpit!$O$5,1)="B",AU1552,MAX(AU1552,G1552))))</f>
        <v/>
      </c>
      <c r="AR1552" s="55">
        <f>IF(BO1552=1,0,ROUNDUP(AQ1552/BN1552,0))</f>
        <v/>
      </c>
      <c r="AS1552" s="64">
        <f>IF(BO1552=1,IF(AQ1552&lt;=0,0,BP1552*MAX(1,IF(G1552&gt;0,AQ1552/G1552,1))),AR1552*Q1552)</f>
        <v/>
      </c>
      <c r="AT1552" s="55">
        <f>AQ1552*F1552</f>
        <v/>
      </c>
      <c r="AU1552" s="55">
        <f>ROUNDUP(MAX(I1552/IF(BS1552&gt;0,BS1552,MAX(0.1,N(Cockpit!$O$6))),BV1552)/BN1552,0)*BN1552</f>
        <v/>
      </c>
      <c r="AV1552" s="56">
        <f>IF(AS1552&gt;0,I1552/AS1552,-1)</f>
        <v/>
      </c>
      <c r="AW1552" s="56">
        <f>IF(AND(OR(BR1552="L1",BR1552="L23"),AS1552&gt;0),SUMIFS($AS$7:$AS$1570,$BR$7:$BR$1570,BR1552,$AV$7:$AV$1570,"&gt;"&amp;AV1552)+SUMIFS($AS$7:$AS$1570,$BR$7:$BR$1570,BR1552,$AV$7:$AV$1570,AV1552,$BL$7:$BL$1570,"&lt;="&amp;BL1552),"")</f>
        <v/>
      </c>
      <c r="AX1552" s="65">
        <f>IF(AW1552="",0,MAX(0,MIN(1,(IF(BR1552="L1",Parameter!$K$5,Parameter!$K$6+Parameter!$K$7)-(AW1552-AS1552))/AS1552)))</f>
        <v/>
      </c>
      <c r="AY1552" s="53">
        <f>IF(AC1552&lt;=0,"",IF(BR1552="Aussen","Aussenlager",IF(BR1552="-","Nicht im Lift",IF(AH1552&gt;=1,"Lift",IF(AH1552&lt;=0,"Aussenlager","teilweise")))))</f>
        <v/>
      </c>
      <c r="AZ1552" s="53">
        <f>IF(AK1552&lt;=0,"",IF(BR1552="Aussen","Aussenlager",IF(BR1552="-","Nicht im Lift",IF(AP1552&gt;=1,"Lift",IF(AP1552&lt;=0,"Aussenlager","teilweise")))))</f>
        <v/>
      </c>
      <c r="BA1552" s="53">
        <f>IF(AS1552&lt;=0,"",IF(BR1552="Aussen","Aussenlager",IF(BR1552="-","Nicht im Lift",IF(AX1552&gt;=1,"Lift",IF(AX1552&lt;=0,"Aussenlager","teilweise")))))</f>
        <v/>
      </c>
      <c r="BB1552" s="53">
        <f>IF(A1552="","",IF(BK1552=1,"Neu; ","")&amp;IF(AND(BK1552=0,BF1552&lt;0),"negativer Bestand (Export "&amp;BF1552&amp;"); ","")&amp;IF(I1552&lt;=0,"Kein Verbrauch; ","")&amp;IF(BO1552=1,"Lose – Fläche geschätzt; ","")&amp;IF(G1552&gt;AM1552,"Überbestand "&amp;ROUND(G1552-AM1552,0)&amp;" Stk / CHF "&amp;ROUND((G1552-AM1552)*F1552,0)&amp;"; ","")&amp;IF(AND(BT1552=1,BU1552&lt;BV1552),"MAX &lt; MB+LG; ","")&amp;IF(AND(BZ1552&gt;0,BY1552*10&gt;BZ1552),"zu hoch für Tablar; ","")&amp;IF(AND(BK1552=0,OR(BT1552=1,V1552&lt;&gt;"",S1552&lt;&gt;"",T1552&lt;&gt;"",W1552&lt;&gt;"")),"manuell übersteuert; ","")&amp;IF(AND(BO1552=0,Q1552=0),"Gebinde unbekannt; ","")&amp;IF(AND(BO1552=0,N(T1552)&lt;=0,N(P1552)&lt;=0),"Menge pro Gebinde fehlt (Ist = 1 Gebinde); ","")&amp;BJ1552)</f>
        <v/>
      </c>
      <c r="BC1552" s="53" t="n"/>
      <c r="BD1552" s="53" t="n"/>
      <c r="BE1552" s="61" t="n"/>
      <c r="BF1552" s="55">
        <f>N('Neue Artikel'!$D$86)</f>
        <v/>
      </c>
      <c r="BG1552" s="55" t="n">
        <v>0</v>
      </c>
      <c r="BH1552" s="54" t="n">
        <v>0</v>
      </c>
      <c r="BI1552" s="55">
        <f>N('Neue Artikel'!$C$86)/Parameter!$B$18</f>
        <v/>
      </c>
      <c r="BJ1552" s="53" t="inlineStr"/>
      <c r="BK1552" s="58" t="n">
        <v>1</v>
      </c>
      <c r="BL1552" s="58" t="n">
        <v>1552</v>
      </c>
      <c r="BM1552" s="53">
        <f>IF(S1552&lt;&gt;"",UPPER(TRIM(S1552)),IF(O1552="","LOSE",O1552))</f>
        <v/>
      </c>
      <c r="BN1552" s="55">
        <f>IF(BM1552="LOSE",1,IF(N(T1552)&gt;0,T1552,IF(N(P1552)&gt;0,P1552,MAX(1,G1552))))</f>
        <v/>
      </c>
      <c r="BO1552" s="58">
        <f>IF(BM1552="LOSE",1,0)</f>
        <v/>
      </c>
      <c r="BP1552" s="64">
        <f>IF(BO1552=0,0,IF(N(R1552)&gt;0,R1552,IFERROR(VLOOKUP(D1552,Parameter!$A$35:$C$64,3,0)+0,0)))</f>
        <v/>
      </c>
      <c r="BQ1552" s="53">
        <f>IF(V1552&lt;&gt;"",V1552,U1552)</f>
        <v/>
      </c>
      <c r="BR1552" s="53">
        <f>IF(BQ1552=1,"L1",IF(OR(BQ1552=2,BQ1552=3),"L23",IF(BQ1552="Aussen","Aussen","-")))</f>
        <v/>
      </c>
      <c r="BS1552" s="66">
        <f>IF(N(W1552)&gt;0,W1552,0)</f>
        <v/>
      </c>
      <c r="BT1552" s="58">
        <f>IF(ISNUMBER(Z1552),1,0)</f>
        <v/>
      </c>
      <c r="BU1552" s="55">
        <f>N(Z1552)</f>
        <v/>
      </c>
      <c r="BV1552" s="55">
        <f>N(L1552)+N(M1552)</f>
        <v/>
      </c>
      <c r="BW1552" s="55">
        <f>ROUNDUP(G1552/BN1552,0)</f>
        <v/>
      </c>
      <c r="BX1552" s="55">
        <f>ROUNDUP(BU1552/BN1552,0)</f>
        <v/>
      </c>
      <c r="BY1552" s="58">
        <f>IF(BO1552=1,0,IFERROR(VLOOKUP(BM1552,'Gebinde-Kategorie'!$A$5:$G$45,5,0)+0,0))</f>
        <v/>
      </c>
      <c r="BZ1552" s="58">
        <f>IFERROR(IF(OR(BQ1552=1,BQ1552=2,BQ1552=3),N(INDEX(Parameter!$I$5:$I$7,BQ1552)),0),0)</f>
        <v/>
      </c>
    </row>
    <row r="1553">
      <c r="A1553" s="53">
        <f>IF('Neue Artikel'!$A$87="","",'Neue Artikel'!$A$87&amp;"")</f>
        <v/>
      </c>
      <c r="B1553" s="53">
        <f>'Neue Artikel'!$B$87&amp;""</f>
        <v/>
      </c>
      <c r="C1553" s="53" t="inlineStr"/>
      <c r="D1553" s="53" t="inlineStr">
        <is>
          <t>NEU</t>
        </is>
      </c>
      <c r="E1553" s="53" t="inlineStr"/>
      <c r="F1553" s="54">
        <f>N('Neue Artikel'!$G$87)</f>
        <v/>
      </c>
      <c r="G1553" s="55">
        <f>MAX(0,IF(Parameter!$B$20="Jahresanfang 2025 + Export",BG1553+BF1553,BF1553))</f>
        <v/>
      </c>
      <c r="H1553" s="55">
        <f>G1553*F1553</f>
        <v/>
      </c>
      <c r="I1553" s="55">
        <f>BI1553*Parameter!$B$18</f>
        <v/>
      </c>
      <c r="J1553" s="56" t="n"/>
      <c r="K1553" s="57" t="n"/>
      <c r="L1553" s="55">
        <f>N('Neue Artikel'!$E$87)</f>
        <v/>
      </c>
      <c r="M1553" s="55">
        <f>N('Neue Artikel'!$F$87)</f>
        <v/>
      </c>
      <c r="N1553" s="58" t="n"/>
      <c r="O1553" s="53">
        <f>IF('Neue Artikel'!$H$87="","LOSE",UPPER(TRIM('Neue Artikel'!$H$87)))</f>
        <v/>
      </c>
      <c r="P1553" s="55">
        <f>N('Neue Artikel'!$I$87)</f>
        <v/>
      </c>
      <c r="Q1553" s="59">
        <f>IF(BO1553=1,0,IFERROR(VLOOKUP(BM1553,'Gebinde-Kategorie'!$A$5:$G$45,6,0)+0,0))</f>
        <v/>
      </c>
      <c r="R1553" s="60" t="n"/>
      <c r="S1553" s="61" t="n"/>
      <c r="T1553" s="61" t="n"/>
      <c r="U1553" s="53">
        <f>IF(A1553="","",IF(IFERROR(VLOOKUP(D1553,Parameter!$A$35:$C$64,2,0),"Nein")="2+3",IF(ISNUMBER(SEARCH("grosser Artikel",BJ1553)),2,IFERROR(VLOOKUP(BM1553,Parameter!$F$35:$G$64,2,0),2)),IF(OR(IFERROR(VLOOKUP(D1553,Parameter!$A$35:$C$64,2,0),"Nein")="Nein",IFERROR(VLOOKUP(D1553,Parameter!$A$35:$C$64,2,0),"Nein")=""),"-",VLOOKUP(D1553,Parameter!$A$35:$C$64,2,0))))</f>
        <v/>
      </c>
      <c r="V1553" s="53">
        <f>IF('Neue Artikel'!$J$87="","",'Neue Artikel'!$J$87)</f>
        <v/>
      </c>
      <c r="W1553" s="62" t="n"/>
      <c r="X1553" s="55">
        <f>AM1553</f>
        <v/>
      </c>
      <c r="Y1553" s="55">
        <f>MAX(AM1553,G1553)</f>
        <v/>
      </c>
      <c r="Z1553" s="63" t="n"/>
      <c r="AA1553" s="55">
        <f>IF(LEFT(Cockpit!$C$5,1)="A",G1553,IF(BT1553=1,BU1553,IF(LEFT(Cockpit!$C$5,1)="B",AE1553,MAX(AE1553,G1553))))</f>
        <v/>
      </c>
      <c r="AB1553" s="55">
        <f>IF(BO1553=1,0,ROUNDUP(AA1553/BN1553,0))</f>
        <v/>
      </c>
      <c r="AC1553" s="64">
        <f>IF(BO1553=1,IF(AA1553&lt;=0,0,BP1553*MAX(1,IF(G1553&gt;0,AA1553/G1553,1))),AB1553*Q1553)</f>
        <v/>
      </c>
      <c r="AD1553" s="55">
        <f>AA1553*F1553</f>
        <v/>
      </c>
      <c r="AE1553" s="55">
        <f>ROUNDUP(MAX(I1553/IF(BS1553&gt;0,BS1553,MAX(0.1,N(Cockpit!$C$6))),BV1553)/BN1553,0)*BN1553</f>
        <v/>
      </c>
      <c r="AF1553" s="56">
        <f>IF(AC1553&gt;0,I1553/AC1553,-1)</f>
        <v/>
      </c>
      <c r="AG1553" s="56">
        <f>IF(AND(OR(BR1553="L1",BR1553="L23"),AC1553&gt;0),SUMIFS($AC$7:$AC$1570,$BR$7:$BR$1570,BR1553,$AF$7:$AF$1570,"&gt;"&amp;AF1553)+SUMIFS($AC$7:$AC$1570,$BR$7:$BR$1570,BR1553,$AF$7:$AF$1570,AF1553,$BL$7:$BL$1570,"&lt;="&amp;BL1553),"")</f>
        <v/>
      </c>
      <c r="AH1553" s="65">
        <f>IF(AG1553="",0,MAX(0,MIN(1,(IF(BR1553="L1",Parameter!$K$5,Parameter!$K$6+Parameter!$K$7)-(AG1553-AC1553))/AC1553)))</f>
        <v/>
      </c>
      <c r="AI1553" s="55">
        <f>IF(LEFT(Cockpit!$I$5,1)="A",G1553,IF(BT1553=1,BU1553,IF(LEFT(Cockpit!$I$5,1)="B",AM1553,MAX(AM1553,G1553))))</f>
        <v/>
      </c>
      <c r="AJ1553" s="55">
        <f>IF(BO1553=1,0,ROUNDUP(AI1553/BN1553,0))</f>
        <v/>
      </c>
      <c r="AK1553" s="64">
        <f>IF(BO1553=1,IF(AI1553&lt;=0,0,BP1553*MAX(1,IF(G1553&gt;0,AI1553/G1553,1))),AJ1553*Q1553)</f>
        <v/>
      </c>
      <c r="AL1553" s="55">
        <f>AI1553*F1553</f>
        <v/>
      </c>
      <c r="AM1553" s="55">
        <f>ROUNDUP(MAX(I1553/IF(BS1553&gt;0,BS1553,MAX(0.1,N(Cockpit!$I$6))),BV1553)/BN1553,0)*BN1553</f>
        <v/>
      </c>
      <c r="AN1553" s="56">
        <f>IF(AK1553&gt;0,I1553/AK1553,-1)</f>
        <v/>
      </c>
      <c r="AO1553" s="56">
        <f>IF(AND(OR(BR1553="L1",BR1553="L23"),AK1553&gt;0),SUMIFS($AK$7:$AK$1570,$BR$7:$BR$1570,BR1553,$AN$7:$AN$1570,"&gt;"&amp;AN1553)+SUMIFS($AK$7:$AK$1570,$BR$7:$BR$1570,BR1553,$AN$7:$AN$1570,AN1553,$BL$7:$BL$1570,"&lt;="&amp;BL1553),"")</f>
        <v/>
      </c>
      <c r="AP1553" s="65">
        <f>IF(AO1553="",0,MAX(0,MIN(1,(IF(BR1553="L1",Parameter!$K$5,Parameter!$K$6+Parameter!$K$7)-(AO1553-AK1553))/AK1553)))</f>
        <v/>
      </c>
      <c r="AQ1553" s="55">
        <f>IF(LEFT(Cockpit!$O$5,1)="A",G1553,IF(BT1553=1,BU1553,IF(LEFT(Cockpit!$O$5,1)="B",AU1553,MAX(AU1553,G1553))))</f>
        <v/>
      </c>
      <c r="AR1553" s="55">
        <f>IF(BO1553=1,0,ROUNDUP(AQ1553/BN1553,0))</f>
        <v/>
      </c>
      <c r="AS1553" s="64">
        <f>IF(BO1553=1,IF(AQ1553&lt;=0,0,BP1553*MAX(1,IF(G1553&gt;0,AQ1553/G1553,1))),AR1553*Q1553)</f>
        <v/>
      </c>
      <c r="AT1553" s="55">
        <f>AQ1553*F1553</f>
        <v/>
      </c>
      <c r="AU1553" s="55">
        <f>ROUNDUP(MAX(I1553/IF(BS1553&gt;0,BS1553,MAX(0.1,N(Cockpit!$O$6))),BV1553)/BN1553,0)*BN1553</f>
        <v/>
      </c>
      <c r="AV1553" s="56">
        <f>IF(AS1553&gt;0,I1553/AS1553,-1)</f>
        <v/>
      </c>
      <c r="AW1553" s="56">
        <f>IF(AND(OR(BR1553="L1",BR1553="L23"),AS1553&gt;0),SUMIFS($AS$7:$AS$1570,$BR$7:$BR$1570,BR1553,$AV$7:$AV$1570,"&gt;"&amp;AV1553)+SUMIFS($AS$7:$AS$1570,$BR$7:$BR$1570,BR1553,$AV$7:$AV$1570,AV1553,$BL$7:$BL$1570,"&lt;="&amp;BL1553),"")</f>
        <v/>
      </c>
      <c r="AX1553" s="65">
        <f>IF(AW1553="",0,MAX(0,MIN(1,(IF(BR1553="L1",Parameter!$K$5,Parameter!$K$6+Parameter!$K$7)-(AW1553-AS1553))/AS1553)))</f>
        <v/>
      </c>
      <c r="AY1553" s="53">
        <f>IF(AC1553&lt;=0,"",IF(BR1553="Aussen","Aussenlager",IF(BR1553="-","Nicht im Lift",IF(AH1553&gt;=1,"Lift",IF(AH1553&lt;=0,"Aussenlager","teilweise")))))</f>
        <v/>
      </c>
      <c r="AZ1553" s="53">
        <f>IF(AK1553&lt;=0,"",IF(BR1553="Aussen","Aussenlager",IF(BR1553="-","Nicht im Lift",IF(AP1553&gt;=1,"Lift",IF(AP1553&lt;=0,"Aussenlager","teilweise")))))</f>
        <v/>
      </c>
      <c r="BA1553" s="53">
        <f>IF(AS1553&lt;=0,"",IF(BR1553="Aussen","Aussenlager",IF(BR1553="-","Nicht im Lift",IF(AX1553&gt;=1,"Lift",IF(AX1553&lt;=0,"Aussenlager","teilweise")))))</f>
        <v/>
      </c>
      <c r="BB1553" s="53">
        <f>IF(A1553="","",IF(BK1553=1,"Neu; ","")&amp;IF(AND(BK1553=0,BF1553&lt;0),"negativer Bestand (Export "&amp;BF1553&amp;"); ","")&amp;IF(I1553&lt;=0,"Kein Verbrauch; ","")&amp;IF(BO1553=1,"Lose – Fläche geschätzt; ","")&amp;IF(G1553&gt;AM1553,"Überbestand "&amp;ROUND(G1553-AM1553,0)&amp;" Stk / CHF "&amp;ROUND((G1553-AM1553)*F1553,0)&amp;"; ","")&amp;IF(AND(BT1553=1,BU1553&lt;BV1553),"MAX &lt; MB+LG; ","")&amp;IF(AND(BZ1553&gt;0,BY1553*10&gt;BZ1553),"zu hoch für Tablar; ","")&amp;IF(AND(BK1553=0,OR(BT1553=1,V1553&lt;&gt;"",S1553&lt;&gt;"",T1553&lt;&gt;"",W1553&lt;&gt;"")),"manuell übersteuert; ","")&amp;IF(AND(BO1553=0,Q1553=0),"Gebinde unbekannt; ","")&amp;IF(AND(BO1553=0,N(T1553)&lt;=0,N(P1553)&lt;=0),"Menge pro Gebinde fehlt (Ist = 1 Gebinde); ","")&amp;BJ1553)</f>
        <v/>
      </c>
      <c r="BC1553" s="53" t="n"/>
      <c r="BD1553" s="53" t="n"/>
      <c r="BE1553" s="61" t="n"/>
      <c r="BF1553" s="55">
        <f>N('Neue Artikel'!$D$87)</f>
        <v/>
      </c>
      <c r="BG1553" s="55" t="n">
        <v>0</v>
      </c>
      <c r="BH1553" s="54" t="n">
        <v>0</v>
      </c>
      <c r="BI1553" s="55">
        <f>N('Neue Artikel'!$C$87)/Parameter!$B$18</f>
        <v/>
      </c>
      <c r="BJ1553" s="53" t="inlineStr"/>
      <c r="BK1553" s="58" t="n">
        <v>1</v>
      </c>
      <c r="BL1553" s="58" t="n">
        <v>1553</v>
      </c>
      <c r="BM1553" s="53">
        <f>IF(S1553&lt;&gt;"",UPPER(TRIM(S1553)),IF(O1553="","LOSE",O1553))</f>
        <v/>
      </c>
      <c r="BN1553" s="55">
        <f>IF(BM1553="LOSE",1,IF(N(T1553)&gt;0,T1553,IF(N(P1553)&gt;0,P1553,MAX(1,G1553))))</f>
        <v/>
      </c>
      <c r="BO1553" s="58">
        <f>IF(BM1553="LOSE",1,0)</f>
        <v/>
      </c>
      <c r="BP1553" s="64">
        <f>IF(BO1553=0,0,IF(N(R1553)&gt;0,R1553,IFERROR(VLOOKUP(D1553,Parameter!$A$35:$C$64,3,0)+0,0)))</f>
        <v/>
      </c>
      <c r="BQ1553" s="53">
        <f>IF(V1553&lt;&gt;"",V1553,U1553)</f>
        <v/>
      </c>
      <c r="BR1553" s="53">
        <f>IF(BQ1553=1,"L1",IF(OR(BQ1553=2,BQ1553=3),"L23",IF(BQ1553="Aussen","Aussen","-")))</f>
        <v/>
      </c>
      <c r="BS1553" s="66">
        <f>IF(N(W1553)&gt;0,W1553,0)</f>
        <v/>
      </c>
      <c r="BT1553" s="58">
        <f>IF(ISNUMBER(Z1553),1,0)</f>
        <v/>
      </c>
      <c r="BU1553" s="55">
        <f>N(Z1553)</f>
        <v/>
      </c>
      <c r="BV1553" s="55">
        <f>N(L1553)+N(M1553)</f>
        <v/>
      </c>
      <c r="BW1553" s="55">
        <f>ROUNDUP(G1553/BN1553,0)</f>
        <v/>
      </c>
      <c r="BX1553" s="55">
        <f>ROUNDUP(BU1553/BN1553,0)</f>
        <v/>
      </c>
      <c r="BY1553" s="58">
        <f>IF(BO1553=1,0,IFERROR(VLOOKUP(BM1553,'Gebinde-Kategorie'!$A$5:$G$45,5,0)+0,0))</f>
        <v/>
      </c>
      <c r="BZ1553" s="58">
        <f>IFERROR(IF(OR(BQ1553=1,BQ1553=2,BQ1553=3),N(INDEX(Parameter!$I$5:$I$7,BQ1553)),0),0)</f>
        <v/>
      </c>
    </row>
    <row r="1554">
      <c r="A1554" s="53">
        <f>IF('Neue Artikel'!$A$88="","",'Neue Artikel'!$A$88&amp;"")</f>
        <v/>
      </c>
      <c r="B1554" s="53">
        <f>'Neue Artikel'!$B$88&amp;""</f>
        <v/>
      </c>
      <c r="C1554" s="53" t="inlineStr"/>
      <c r="D1554" s="53" t="inlineStr">
        <is>
          <t>NEU</t>
        </is>
      </c>
      <c r="E1554" s="53" t="inlineStr"/>
      <c r="F1554" s="54">
        <f>N('Neue Artikel'!$G$88)</f>
        <v/>
      </c>
      <c r="G1554" s="55">
        <f>MAX(0,IF(Parameter!$B$20="Jahresanfang 2025 + Export",BG1554+BF1554,BF1554))</f>
        <v/>
      </c>
      <c r="H1554" s="55">
        <f>G1554*F1554</f>
        <v/>
      </c>
      <c r="I1554" s="55">
        <f>BI1554*Parameter!$B$18</f>
        <v/>
      </c>
      <c r="J1554" s="56" t="n"/>
      <c r="K1554" s="57" t="n"/>
      <c r="L1554" s="55">
        <f>N('Neue Artikel'!$E$88)</f>
        <v/>
      </c>
      <c r="M1554" s="55">
        <f>N('Neue Artikel'!$F$88)</f>
        <v/>
      </c>
      <c r="N1554" s="58" t="n"/>
      <c r="O1554" s="53">
        <f>IF('Neue Artikel'!$H$88="","LOSE",UPPER(TRIM('Neue Artikel'!$H$88)))</f>
        <v/>
      </c>
      <c r="P1554" s="55">
        <f>N('Neue Artikel'!$I$88)</f>
        <v/>
      </c>
      <c r="Q1554" s="59">
        <f>IF(BO1554=1,0,IFERROR(VLOOKUP(BM1554,'Gebinde-Kategorie'!$A$5:$G$45,6,0)+0,0))</f>
        <v/>
      </c>
      <c r="R1554" s="60" t="n"/>
      <c r="S1554" s="61" t="n"/>
      <c r="T1554" s="61" t="n"/>
      <c r="U1554" s="53">
        <f>IF(A1554="","",IF(IFERROR(VLOOKUP(D1554,Parameter!$A$35:$C$64,2,0),"Nein")="2+3",IF(ISNUMBER(SEARCH("grosser Artikel",BJ1554)),2,IFERROR(VLOOKUP(BM1554,Parameter!$F$35:$G$64,2,0),2)),IF(OR(IFERROR(VLOOKUP(D1554,Parameter!$A$35:$C$64,2,0),"Nein")="Nein",IFERROR(VLOOKUP(D1554,Parameter!$A$35:$C$64,2,0),"Nein")=""),"-",VLOOKUP(D1554,Parameter!$A$35:$C$64,2,0))))</f>
        <v/>
      </c>
      <c r="V1554" s="53">
        <f>IF('Neue Artikel'!$J$88="","",'Neue Artikel'!$J$88)</f>
        <v/>
      </c>
      <c r="W1554" s="62" t="n"/>
      <c r="X1554" s="55">
        <f>AM1554</f>
        <v/>
      </c>
      <c r="Y1554" s="55">
        <f>MAX(AM1554,G1554)</f>
        <v/>
      </c>
      <c r="Z1554" s="63" t="n"/>
      <c r="AA1554" s="55">
        <f>IF(LEFT(Cockpit!$C$5,1)="A",G1554,IF(BT1554=1,BU1554,IF(LEFT(Cockpit!$C$5,1)="B",AE1554,MAX(AE1554,G1554))))</f>
        <v/>
      </c>
      <c r="AB1554" s="55">
        <f>IF(BO1554=1,0,ROUNDUP(AA1554/BN1554,0))</f>
        <v/>
      </c>
      <c r="AC1554" s="64">
        <f>IF(BO1554=1,IF(AA1554&lt;=0,0,BP1554*MAX(1,IF(G1554&gt;0,AA1554/G1554,1))),AB1554*Q1554)</f>
        <v/>
      </c>
      <c r="AD1554" s="55">
        <f>AA1554*F1554</f>
        <v/>
      </c>
      <c r="AE1554" s="55">
        <f>ROUNDUP(MAX(I1554/IF(BS1554&gt;0,BS1554,MAX(0.1,N(Cockpit!$C$6))),BV1554)/BN1554,0)*BN1554</f>
        <v/>
      </c>
      <c r="AF1554" s="56">
        <f>IF(AC1554&gt;0,I1554/AC1554,-1)</f>
        <v/>
      </c>
      <c r="AG1554" s="56">
        <f>IF(AND(OR(BR1554="L1",BR1554="L23"),AC1554&gt;0),SUMIFS($AC$7:$AC$1570,$BR$7:$BR$1570,BR1554,$AF$7:$AF$1570,"&gt;"&amp;AF1554)+SUMIFS($AC$7:$AC$1570,$BR$7:$BR$1570,BR1554,$AF$7:$AF$1570,AF1554,$BL$7:$BL$1570,"&lt;="&amp;BL1554),"")</f>
        <v/>
      </c>
      <c r="AH1554" s="65">
        <f>IF(AG1554="",0,MAX(0,MIN(1,(IF(BR1554="L1",Parameter!$K$5,Parameter!$K$6+Parameter!$K$7)-(AG1554-AC1554))/AC1554)))</f>
        <v/>
      </c>
      <c r="AI1554" s="55">
        <f>IF(LEFT(Cockpit!$I$5,1)="A",G1554,IF(BT1554=1,BU1554,IF(LEFT(Cockpit!$I$5,1)="B",AM1554,MAX(AM1554,G1554))))</f>
        <v/>
      </c>
      <c r="AJ1554" s="55">
        <f>IF(BO1554=1,0,ROUNDUP(AI1554/BN1554,0))</f>
        <v/>
      </c>
      <c r="AK1554" s="64">
        <f>IF(BO1554=1,IF(AI1554&lt;=0,0,BP1554*MAX(1,IF(G1554&gt;0,AI1554/G1554,1))),AJ1554*Q1554)</f>
        <v/>
      </c>
      <c r="AL1554" s="55">
        <f>AI1554*F1554</f>
        <v/>
      </c>
      <c r="AM1554" s="55">
        <f>ROUNDUP(MAX(I1554/IF(BS1554&gt;0,BS1554,MAX(0.1,N(Cockpit!$I$6))),BV1554)/BN1554,0)*BN1554</f>
        <v/>
      </c>
      <c r="AN1554" s="56">
        <f>IF(AK1554&gt;0,I1554/AK1554,-1)</f>
        <v/>
      </c>
      <c r="AO1554" s="56">
        <f>IF(AND(OR(BR1554="L1",BR1554="L23"),AK1554&gt;0),SUMIFS($AK$7:$AK$1570,$BR$7:$BR$1570,BR1554,$AN$7:$AN$1570,"&gt;"&amp;AN1554)+SUMIFS($AK$7:$AK$1570,$BR$7:$BR$1570,BR1554,$AN$7:$AN$1570,AN1554,$BL$7:$BL$1570,"&lt;="&amp;BL1554),"")</f>
        <v/>
      </c>
      <c r="AP1554" s="65">
        <f>IF(AO1554="",0,MAX(0,MIN(1,(IF(BR1554="L1",Parameter!$K$5,Parameter!$K$6+Parameter!$K$7)-(AO1554-AK1554))/AK1554)))</f>
        <v/>
      </c>
      <c r="AQ1554" s="55">
        <f>IF(LEFT(Cockpit!$O$5,1)="A",G1554,IF(BT1554=1,BU1554,IF(LEFT(Cockpit!$O$5,1)="B",AU1554,MAX(AU1554,G1554))))</f>
        <v/>
      </c>
      <c r="AR1554" s="55">
        <f>IF(BO1554=1,0,ROUNDUP(AQ1554/BN1554,0))</f>
        <v/>
      </c>
      <c r="AS1554" s="64">
        <f>IF(BO1554=1,IF(AQ1554&lt;=0,0,BP1554*MAX(1,IF(G1554&gt;0,AQ1554/G1554,1))),AR1554*Q1554)</f>
        <v/>
      </c>
      <c r="AT1554" s="55">
        <f>AQ1554*F1554</f>
        <v/>
      </c>
      <c r="AU1554" s="55">
        <f>ROUNDUP(MAX(I1554/IF(BS1554&gt;0,BS1554,MAX(0.1,N(Cockpit!$O$6))),BV1554)/BN1554,0)*BN1554</f>
        <v/>
      </c>
      <c r="AV1554" s="56">
        <f>IF(AS1554&gt;0,I1554/AS1554,-1)</f>
        <v/>
      </c>
      <c r="AW1554" s="56">
        <f>IF(AND(OR(BR1554="L1",BR1554="L23"),AS1554&gt;0),SUMIFS($AS$7:$AS$1570,$BR$7:$BR$1570,BR1554,$AV$7:$AV$1570,"&gt;"&amp;AV1554)+SUMIFS($AS$7:$AS$1570,$BR$7:$BR$1570,BR1554,$AV$7:$AV$1570,AV1554,$BL$7:$BL$1570,"&lt;="&amp;BL1554),"")</f>
        <v/>
      </c>
      <c r="AX1554" s="65">
        <f>IF(AW1554="",0,MAX(0,MIN(1,(IF(BR1554="L1",Parameter!$K$5,Parameter!$K$6+Parameter!$K$7)-(AW1554-AS1554))/AS1554)))</f>
        <v/>
      </c>
      <c r="AY1554" s="53">
        <f>IF(AC1554&lt;=0,"",IF(BR1554="Aussen","Aussenlager",IF(BR1554="-","Nicht im Lift",IF(AH1554&gt;=1,"Lift",IF(AH1554&lt;=0,"Aussenlager","teilweise")))))</f>
        <v/>
      </c>
      <c r="AZ1554" s="53">
        <f>IF(AK1554&lt;=0,"",IF(BR1554="Aussen","Aussenlager",IF(BR1554="-","Nicht im Lift",IF(AP1554&gt;=1,"Lift",IF(AP1554&lt;=0,"Aussenlager","teilweise")))))</f>
        <v/>
      </c>
      <c r="BA1554" s="53">
        <f>IF(AS1554&lt;=0,"",IF(BR1554="Aussen","Aussenlager",IF(BR1554="-","Nicht im Lift",IF(AX1554&gt;=1,"Lift",IF(AX1554&lt;=0,"Aussenlager","teilweise")))))</f>
        <v/>
      </c>
      <c r="BB1554" s="53">
        <f>IF(A1554="","",IF(BK1554=1,"Neu; ","")&amp;IF(AND(BK1554=0,BF1554&lt;0),"negativer Bestand (Export "&amp;BF1554&amp;"); ","")&amp;IF(I1554&lt;=0,"Kein Verbrauch; ","")&amp;IF(BO1554=1,"Lose – Fläche geschätzt; ","")&amp;IF(G1554&gt;AM1554,"Überbestand "&amp;ROUND(G1554-AM1554,0)&amp;" Stk / CHF "&amp;ROUND((G1554-AM1554)*F1554,0)&amp;"; ","")&amp;IF(AND(BT1554=1,BU1554&lt;BV1554),"MAX &lt; MB+LG; ","")&amp;IF(AND(BZ1554&gt;0,BY1554*10&gt;BZ1554),"zu hoch für Tablar; ","")&amp;IF(AND(BK1554=0,OR(BT1554=1,V1554&lt;&gt;"",S1554&lt;&gt;"",T1554&lt;&gt;"",W1554&lt;&gt;"")),"manuell übersteuert; ","")&amp;IF(AND(BO1554=0,Q1554=0),"Gebinde unbekannt; ","")&amp;IF(AND(BO1554=0,N(T1554)&lt;=0,N(P1554)&lt;=0),"Menge pro Gebinde fehlt (Ist = 1 Gebinde); ","")&amp;BJ1554)</f>
        <v/>
      </c>
      <c r="BC1554" s="53" t="n"/>
      <c r="BD1554" s="53" t="n"/>
      <c r="BE1554" s="61" t="n"/>
      <c r="BF1554" s="55">
        <f>N('Neue Artikel'!$D$88)</f>
        <v/>
      </c>
      <c r="BG1554" s="55" t="n">
        <v>0</v>
      </c>
      <c r="BH1554" s="54" t="n">
        <v>0</v>
      </c>
      <c r="BI1554" s="55">
        <f>N('Neue Artikel'!$C$88)/Parameter!$B$18</f>
        <v/>
      </c>
      <c r="BJ1554" s="53" t="inlineStr"/>
      <c r="BK1554" s="58" t="n">
        <v>1</v>
      </c>
      <c r="BL1554" s="58" t="n">
        <v>1554</v>
      </c>
      <c r="BM1554" s="53">
        <f>IF(S1554&lt;&gt;"",UPPER(TRIM(S1554)),IF(O1554="","LOSE",O1554))</f>
        <v/>
      </c>
      <c r="BN1554" s="55">
        <f>IF(BM1554="LOSE",1,IF(N(T1554)&gt;0,T1554,IF(N(P1554)&gt;0,P1554,MAX(1,G1554))))</f>
        <v/>
      </c>
      <c r="BO1554" s="58">
        <f>IF(BM1554="LOSE",1,0)</f>
        <v/>
      </c>
      <c r="BP1554" s="64">
        <f>IF(BO1554=0,0,IF(N(R1554)&gt;0,R1554,IFERROR(VLOOKUP(D1554,Parameter!$A$35:$C$64,3,0)+0,0)))</f>
        <v/>
      </c>
      <c r="BQ1554" s="53">
        <f>IF(V1554&lt;&gt;"",V1554,U1554)</f>
        <v/>
      </c>
      <c r="BR1554" s="53">
        <f>IF(BQ1554=1,"L1",IF(OR(BQ1554=2,BQ1554=3),"L23",IF(BQ1554="Aussen","Aussen","-")))</f>
        <v/>
      </c>
      <c r="BS1554" s="66">
        <f>IF(N(W1554)&gt;0,W1554,0)</f>
        <v/>
      </c>
      <c r="BT1554" s="58">
        <f>IF(ISNUMBER(Z1554),1,0)</f>
        <v/>
      </c>
      <c r="BU1554" s="55">
        <f>N(Z1554)</f>
        <v/>
      </c>
      <c r="BV1554" s="55">
        <f>N(L1554)+N(M1554)</f>
        <v/>
      </c>
      <c r="BW1554" s="55">
        <f>ROUNDUP(G1554/BN1554,0)</f>
        <v/>
      </c>
      <c r="BX1554" s="55">
        <f>ROUNDUP(BU1554/BN1554,0)</f>
        <v/>
      </c>
      <c r="BY1554" s="58">
        <f>IF(BO1554=1,0,IFERROR(VLOOKUP(BM1554,'Gebinde-Kategorie'!$A$5:$G$45,5,0)+0,0))</f>
        <v/>
      </c>
      <c r="BZ1554" s="58">
        <f>IFERROR(IF(OR(BQ1554=1,BQ1554=2,BQ1554=3),N(INDEX(Parameter!$I$5:$I$7,BQ1554)),0),0)</f>
        <v/>
      </c>
    </row>
    <row r="1555">
      <c r="A1555" s="53">
        <f>IF('Neue Artikel'!$A$89="","",'Neue Artikel'!$A$89&amp;"")</f>
        <v/>
      </c>
      <c r="B1555" s="53">
        <f>'Neue Artikel'!$B$89&amp;""</f>
        <v/>
      </c>
      <c r="C1555" s="53" t="inlineStr"/>
      <c r="D1555" s="53" t="inlineStr">
        <is>
          <t>NEU</t>
        </is>
      </c>
      <c r="E1555" s="53" t="inlineStr"/>
      <c r="F1555" s="54">
        <f>N('Neue Artikel'!$G$89)</f>
        <v/>
      </c>
      <c r="G1555" s="55">
        <f>MAX(0,IF(Parameter!$B$20="Jahresanfang 2025 + Export",BG1555+BF1555,BF1555))</f>
        <v/>
      </c>
      <c r="H1555" s="55">
        <f>G1555*F1555</f>
        <v/>
      </c>
      <c r="I1555" s="55">
        <f>BI1555*Parameter!$B$18</f>
        <v/>
      </c>
      <c r="J1555" s="56" t="n"/>
      <c r="K1555" s="57" t="n"/>
      <c r="L1555" s="55">
        <f>N('Neue Artikel'!$E$89)</f>
        <v/>
      </c>
      <c r="M1555" s="55">
        <f>N('Neue Artikel'!$F$89)</f>
        <v/>
      </c>
      <c r="N1555" s="58" t="n"/>
      <c r="O1555" s="53">
        <f>IF('Neue Artikel'!$H$89="","LOSE",UPPER(TRIM('Neue Artikel'!$H$89)))</f>
        <v/>
      </c>
      <c r="P1555" s="55">
        <f>N('Neue Artikel'!$I$89)</f>
        <v/>
      </c>
      <c r="Q1555" s="59">
        <f>IF(BO1555=1,0,IFERROR(VLOOKUP(BM1555,'Gebinde-Kategorie'!$A$5:$G$45,6,0)+0,0))</f>
        <v/>
      </c>
      <c r="R1555" s="60" t="n"/>
      <c r="S1555" s="61" t="n"/>
      <c r="T1555" s="61" t="n"/>
      <c r="U1555" s="53">
        <f>IF(A1555="","",IF(IFERROR(VLOOKUP(D1555,Parameter!$A$35:$C$64,2,0),"Nein")="2+3",IF(ISNUMBER(SEARCH("grosser Artikel",BJ1555)),2,IFERROR(VLOOKUP(BM1555,Parameter!$F$35:$G$64,2,0),2)),IF(OR(IFERROR(VLOOKUP(D1555,Parameter!$A$35:$C$64,2,0),"Nein")="Nein",IFERROR(VLOOKUP(D1555,Parameter!$A$35:$C$64,2,0),"Nein")=""),"-",VLOOKUP(D1555,Parameter!$A$35:$C$64,2,0))))</f>
        <v/>
      </c>
      <c r="V1555" s="53">
        <f>IF('Neue Artikel'!$J$89="","",'Neue Artikel'!$J$89)</f>
        <v/>
      </c>
      <c r="W1555" s="62" t="n"/>
      <c r="X1555" s="55">
        <f>AM1555</f>
        <v/>
      </c>
      <c r="Y1555" s="55">
        <f>MAX(AM1555,G1555)</f>
        <v/>
      </c>
      <c r="Z1555" s="63" t="n"/>
      <c r="AA1555" s="55">
        <f>IF(LEFT(Cockpit!$C$5,1)="A",G1555,IF(BT1555=1,BU1555,IF(LEFT(Cockpit!$C$5,1)="B",AE1555,MAX(AE1555,G1555))))</f>
        <v/>
      </c>
      <c r="AB1555" s="55">
        <f>IF(BO1555=1,0,ROUNDUP(AA1555/BN1555,0))</f>
        <v/>
      </c>
      <c r="AC1555" s="64">
        <f>IF(BO1555=1,IF(AA1555&lt;=0,0,BP1555*MAX(1,IF(G1555&gt;0,AA1555/G1555,1))),AB1555*Q1555)</f>
        <v/>
      </c>
      <c r="AD1555" s="55">
        <f>AA1555*F1555</f>
        <v/>
      </c>
      <c r="AE1555" s="55">
        <f>ROUNDUP(MAX(I1555/IF(BS1555&gt;0,BS1555,MAX(0.1,N(Cockpit!$C$6))),BV1555)/BN1555,0)*BN1555</f>
        <v/>
      </c>
      <c r="AF1555" s="56">
        <f>IF(AC1555&gt;0,I1555/AC1555,-1)</f>
        <v/>
      </c>
      <c r="AG1555" s="56">
        <f>IF(AND(OR(BR1555="L1",BR1555="L23"),AC1555&gt;0),SUMIFS($AC$7:$AC$1570,$BR$7:$BR$1570,BR1555,$AF$7:$AF$1570,"&gt;"&amp;AF1555)+SUMIFS($AC$7:$AC$1570,$BR$7:$BR$1570,BR1555,$AF$7:$AF$1570,AF1555,$BL$7:$BL$1570,"&lt;="&amp;BL1555),"")</f>
        <v/>
      </c>
      <c r="AH1555" s="65">
        <f>IF(AG1555="",0,MAX(0,MIN(1,(IF(BR1555="L1",Parameter!$K$5,Parameter!$K$6+Parameter!$K$7)-(AG1555-AC1555))/AC1555)))</f>
        <v/>
      </c>
      <c r="AI1555" s="55">
        <f>IF(LEFT(Cockpit!$I$5,1)="A",G1555,IF(BT1555=1,BU1555,IF(LEFT(Cockpit!$I$5,1)="B",AM1555,MAX(AM1555,G1555))))</f>
        <v/>
      </c>
      <c r="AJ1555" s="55">
        <f>IF(BO1555=1,0,ROUNDUP(AI1555/BN1555,0))</f>
        <v/>
      </c>
      <c r="AK1555" s="64">
        <f>IF(BO1555=1,IF(AI1555&lt;=0,0,BP1555*MAX(1,IF(G1555&gt;0,AI1555/G1555,1))),AJ1555*Q1555)</f>
        <v/>
      </c>
      <c r="AL1555" s="55">
        <f>AI1555*F1555</f>
        <v/>
      </c>
      <c r="AM1555" s="55">
        <f>ROUNDUP(MAX(I1555/IF(BS1555&gt;0,BS1555,MAX(0.1,N(Cockpit!$I$6))),BV1555)/BN1555,0)*BN1555</f>
        <v/>
      </c>
      <c r="AN1555" s="56">
        <f>IF(AK1555&gt;0,I1555/AK1555,-1)</f>
        <v/>
      </c>
      <c r="AO1555" s="56">
        <f>IF(AND(OR(BR1555="L1",BR1555="L23"),AK1555&gt;0),SUMIFS($AK$7:$AK$1570,$BR$7:$BR$1570,BR1555,$AN$7:$AN$1570,"&gt;"&amp;AN1555)+SUMIFS($AK$7:$AK$1570,$BR$7:$BR$1570,BR1555,$AN$7:$AN$1570,AN1555,$BL$7:$BL$1570,"&lt;="&amp;BL1555),"")</f>
        <v/>
      </c>
      <c r="AP1555" s="65">
        <f>IF(AO1555="",0,MAX(0,MIN(1,(IF(BR1555="L1",Parameter!$K$5,Parameter!$K$6+Parameter!$K$7)-(AO1555-AK1555))/AK1555)))</f>
        <v/>
      </c>
      <c r="AQ1555" s="55">
        <f>IF(LEFT(Cockpit!$O$5,1)="A",G1555,IF(BT1555=1,BU1555,IF(LEFT(Cockpit!$O$5,1)="B",AU1555,MAX(AU1555,G1555))))</f>
        <v/>
      </c>
      <c r="AR1555" s="55">
        <f>IF(BO1555=1,0,ROUNDUP(AQ1555/BN1555,0))</f>
        <v/>
      </c>
      <c r="AS1555" s="64">
        <f>IF(BO1555=1,IF(AQ1555&lt;=0,0,BP1555*MAX(1,IF(G1555&gt;0,AQ1555/G1555,1))),AR1555*Q1555)</f>
        <v/>
      </c>
      <c r="AT1555" s="55">
        <f>AQ1555*F1555</f>
        <v/>
      </c>
      <c r="AU1555" s="55">
        <f>ROUNDUP(MAX(I1555/IF(BS1555&gt;0,BS1555,MAX(0.1,N(Cockpit!$O$6))),BV1555)/BN1555,0)*BN1555</f>
        <v/>
      </c>
      <c r="AV1555" s="56">
        <f>IF(AS1555&gt;0,I1555/AS1555,-1)</f>
        <v/>
      </c>
      <c r="AW1555" s="56">
        <f>IF(AND(OR(BR1555="L1",BR1555="L23"),AS1555&gt;0),SUMIFS($AS$7:$AS$1570,$BR$7:$BR$1570,BR1555,$AV$7:$AV$1570,"&gt;"&amp;AV1555)+SUMIFS($AS$7:$AS$1570,$BR$7:$BR$1570,BR1555,$AV$7:$AV$1570,AV1555,$BL$7:$BL$1570,"&lt;="&amp;BL1555),"")</f>
        <v/>
      </c>
      <c r="AX1555" s="65">
        <f>IF(AW1555="",0,MAX(0,MIN(1,(IF(BR1555="L1",Parameter!$K$5,Parameter!$K$6+Parameter!$K$7)-(AW1555-AS1555))/AS1555)))</f>
        <v/>
      </c>
      <c r="AY1555" s="53">
        <f>IF(AC1555&lt;=0,"",IF(BR1555="Aussen","Aussenlager",IF(BR1555="-","Nicht im Lift",IF(AH1555&gt;=1,"Lift",IF(AH1555&lt;=0,"Aussenlager","teilweise")))))</f>
        <v/>
      </c>
      <c r="AZ1555" s="53">
        <f>IF(AK1555&lt;=0,"",IF(BR1555="Aussen","Aussenlager",IF(BR1555="-","Nicht im Lift",IF(AP1555&gt;=1,"Lift",IF(AP1555&lt;=0,"Aussenlager","teilweise")))))</f>
        <v/>
      </c>
      <c r="BA1555" s="53">
        <f>IF(AS1555&lt;=0,"",IF(BR1555="Aussen","Aussenlager",IF(BR1555="-","Nicht im Lift",IF(AX1555&gt;=1,"Lift",IF(AX1555&lt;=0,"Aussenlager","teilweise")))))</f>
        <v/>
      </c>
      <c r="BB1555" s="53">
        <f>IF(A1555="","",IF(BK1555=1,"Neu; ","")&amp;IF(AND(BK1555=0,BF1555&lt;0),"negativer Bestand (Export "&amp;BF1555&amp;"); ","")&amp;IF(I1555&lt;=0,"Kein Verbrauch; ","")&amp;IF(BO1555=1,"Lose – Fläche geschätzt; ","")&amp;IF(G1555&gt;AM1555,"Überbestand "&amp;ROUND(G1555-AM1555,0)&amp;" Stk / CHF "&amp;ROUND((G1555-AM1555)*F1555,0)&amp;"; ","")&amp;IF(AND(BT1555=1,BU1555&lt;BV1555),"MAX &lt; MB+LG; ","")&amp;IF(AND(BZ1555&gt;0,BY1555*10&gt;BZ1555),"zu hoch für Tablar; ","")&amp;IF(AND(BK1555=0,OR(BT1555=1,V1555&lt;&gt;"",S1555&lt;&gt;"",T1555&lt;&gt;"",W1555&lt;&gt;"")),"manuell übersteuert; ","")&amp;IF(AND(BO1555=0,Q1555=0),"Gebinde unbekannt; ","")&amp;IF(AND(BO1555=0,N(T1555)&lt;=0,N(P1555)&lt;=0),"Menge pro Gebinde fehlt (Ist = 1 Gebinde); ","")&amp;BJ1555)</f>
        <v/>
      </c>
      <c r="BC1555" s="53" t="n"/>
      <c r="BD1555" s="53" t="n"/>
      <c r="BE1555" s="61" t="n"/>
      <c r="BF1555" s="55">
        <f>N('Neue Artikel'!$D$89)</f>
        <v/>
      </c>
      <c r="BG1555" s="55" t="n">
        <v>0</v>
      </c>
      <c r="BH1555" s="54" t="n">
        <v>0</v>
      </c>
      <c r="BI1555" s="55">
        <f>N('Neue Artikel'!$C$89)/Parameter!$B$18</f>
        <v/>
      </c>
      <c r="BJ1555" s="53" t="inlineStr"/>
      <c r="BK1555" s="58" t="n">
        <v>1</v>
      </c>
      <c r="BL1555" s="58" t="n">
        <v>1555</v>
      </c>
      <c r="BM1555" s="53">
        <f>IF(S1555&lt;&gt;"",UPPER(TRIM(S1555)),IF(O1555="","LOSE",O1555))</f>
        <v/>
      </c>
      <c r="BN1555" s="55">
        <f>IF(BM1555="LOSE",1,IF(N(T1555)&gt;0,T1555,IF(N(P1555)&gt;0,P1555,MAX(1,G1555))))</f>
        <v/>
      </c>
      <c r="BO1555" s="58">
        <f>IF(BM1555="LOSE",1,0)</f>
        <v/>
      </c>
      <c r="BP1555" s="64">
        <f>IF(BO1555=0,0,IF(N(R1555)&gt;0,R1555,IFERROR(VLOOKUP(D1555,Parameter!$A$35:$C$64,3,0)+0,0)))</f>
        <v/>
      </c>
      <c r="BQ1555" s="53">
        <f>IF(V1555&lt;&gt;"",V1555,U1555)</f>
        <v/>
      </c>
      <c r="BR1555" s="53">
        <f>IF(BQ1555=1,"L1",IF(OR(BQ1555=2,BQ1555=3),"L23",IF(BQ1555="Aussen","Aussen","-")))</f>
        <v/>
      </c>
      <c r="BS1555" s="66">
        <f>IF(N(W1555)&gt;0,W1555,0)</f>
        <v/>
      </c>
      <c r="BT1555" s="58">
        <f>IF(ISNUMBER(Z1555),1,0)</f>
        <v/>
      </c>
      <c r="BU1555" s="55">
        <f>N(Z1555)</f>
        <v/>
      </c>
      <c r="BV1555" s="55">
        <f>N(L1555)+N(M1555)</f>
        <v/>
      </c>
      <c r="BW1555" s="55">
        <f>ROUNDUP(G1555/BN1555,0)</f>
        <v/>
      </c>
      <c r="BX1555" s="55">
        <f>ROUNDUP(BU1555/BN1555,0)</f>
        <v/>
      </c>
      <c r="BY1555" s="58">
        <f>IF(BO1555=1,0,IFERROR(VLOOKUP(BM1555,'Gebinde-Kategorie'!$A$5:$G$45,5,0)+0,0))</f>
        <v/>
      </c>
      <c r="BZ1555" s="58">
        <f>IFERROR(IF(OR(BQ1555=1,BQ1555=2,BQ1555=3),N(INDEX(Parameter!$I$5:$I$7,BQ1555)),0),0)</f>
        <v/>
      </c>
    </row>
    <row r="1556">
      <c r="A1556" s="53">
        <f>IF('Neue Artikel'!$A$90="","",'Neue Artikel'!$A$90&amp;"")</f>
        <v/>
      </c>
      <c r="B1556" s="53">
        <f>'Neue Artikel'!$B$90&amp;""</f>
        <v/>
      </c>
      <c r="C1556" s="53" t="inlineStr"/>
      <c r="D1556" s="53" t="inlineStr">
        <is>
          <t>NEU</t>
        </is>
      </c>
      <c r="E1556" s="53" t="inlineStr"/>
      <c r="F1556" s="54">
        <f>N('Neue Artikel'!$G$90)</f>
        <v/>
      </c>
      <c r="G1556" s="55">
        <f>MAX(0,IF(Parameter!$B$20="Jahresanfang 2025 + Export",BG1556+BF1556,BF1556))</f>
        <v/>
      </c>
      <c r="H1556" s="55">
        <f>G1556*F1556</f>
        <v/>
      </c>
      <c r="I1556" s="55">
        <f>BI1556*Parameter!$B$18</f>
        <v/>
      </c>
      <c r="J1556" s="56" t="n"/>
      <c r="K1556" s="57" t="n"/>
      <c r="L1556" s="55">
        <f>N('Neue Artikel'!$E$90)</f>
        <v/>
      </c>
      <c r="M1556" s="55">
        <f>N('Neue Artikel'!$F$90)</f>
        <v/>
      </c>
      <c r="N1556" s="58" t="n"/>
      <c r="O1556" s="53">
        <f>IF('Neue Artikel'!$H$90="","LOSE",UPPER(TRIM('Neue Artikel'!$H$90)))</f>
        <v/>
      </c>
      <c r="P1556" s="55">
        <f>N('Neue Artikel'!$I$90)</f>
        <v/>
      </c>
      <c r="Q1556" s="59">
        <f>IF(BO1556=1,0,IFERROR(VLOOKUP(BM1556,'Gebinde-Kategorie'!$A$5:$G$45,6,0)+0,0))</f>
        <v/>
      </c>
      <c r="R1556" s="60" t="n"/>
      <c r="S1556" s="61" t="n"/>
      <c r="T1556" s="61" t="n"/>
      <c r="U1556" s="53">
        <f>IF(A1556="","",IF(IFERROR(VLOOKUP(D1556,Parameter!$A$35:$C$64,2,0),"Nein")="2+3",IF(ISNUMBER(SEARCH("grosser Artikel",BJ1556)),2,IFERROR(VLOOKUP(BM1556,Parameter!$F$35:$G$64,2,0),2)),IF(OR(IFERROR(VLOOKUP(D1556,Parameter!$A$35:$C$64,2,0),"Nein")="Nein",IFERROR(VLOOKUP(D1556,Parameter!$A$35:$C$64,2,0),"Nein")=""),"-",VLOOKUP(D1556,Parameter!$A$35:$C$64,2,0))))</f>
        <v/>
      </c>
      <c r="V1556" s="53">
        <f>IF('Neue Artikel'!$J$90="","",'Neue Artikel'!$J$90)</f>
        <v/>
      </c>
      <c r="W1556" s="62" t="n"/>
      <c r="X1556" s="55">
        <f>AM1556</f>
        <v/>
      </c>
      <c r="Y1556" s="55">
        <f>MAX(AM1556,G1556)</f>
        <v/>
      </c>
      <c r="Z1556" s="63" t="n"/>
      <c r="AA1556" s="55">
        <f>IF(LEFT(Cockpit!$C$5,1)="A",G1556,IF(BT1556=1,BU1556,IF(LEFT(Cockpit!$C$5,1)="B",AE1556,MAX(AE1556,G1556))))</f>
        <v/>
      </c>
      <c r="AB1556" s="55">
        <f>IF(BO1556=1,0,ROUNDUP(AA1556/BN1556,0))</f>
        <v/>
      </c>
      <c r="AC1556" s="64">
        <f>IF(BO1556=1,IF(AA1556&lt;=0,0,BP1556*MAX(1,IF(G1556&gt;0,AA1556/G1556,1))),AB1556*Q1556)</f>
        <v/>
      </c>
      <c r="AD1556" s="55">
        <f>AA1556*F1556</f>
        <v/>
      </c>
      <c r="AE1556" s="55">
        <f>ROUNDUP(MAX(I1556/IF(BS1556&gt;0,BS1556,MAX(0.1,N(Cockpit!$C$6))),BV1556)/BN1556,0)*BN1556</f>
        <v/>
      </c>
      <c r="AF1556" s="56">
        <f>IF(AC1556&gt;0,I1556/AC1556,-1)</f>
        <v/>
      </c>
      <c r="AG1556" s="56">
        <f>IF(AND(OR(BR1556="L1",BR1556="L23"),AC1556&gt;0),SUMIFS($AC$7:$AC$1570,$BR$7:$BR$1570,BR1556,$AF$7:$AF$1570,"&gt;"&amp;AF1556)+SUMIFS($AC$7:$AC$1570,$BR$7:$BR$1570,BR1556,$AF$7:$AF$1570,AF1556,$BL$7:$BL$1570,"&lt;="&amp;BL1556),"")</f>
        <v/>
      </c>
      <c r="AH1556" s="65">
        <f>IF(AG1556="",0,MAX(0,MIN(1,(IF(BR1556="L1",Parameter!$K$5,Parameter!$K$6+Parameter!$K$7)-(AG1556-AC1556))/AC1556)))</f>
        <v/>
      </c>
      <c r="AI1556" s="55">
        <f>IF(LEFT(Cockpit!$I$5,1)="A",G1556,IF(BT1556=1,BU1556,IF(LEFT(Cockpit!$I$5,1)="B",AM1556,MAX(AM1556,G1556))))</f>
        <v/>
      </c>
      <c r="AJ1556" s="55">
        <f>IF(BO1556=1,0,ROUNDUP(AI1556/BN1556,0))</f>
        <v/>
      </c>
      <c r="AK1556" s="64">
        <f>IF(BO1556=1,IF(AI1556&lt;=0,0,BP1556*MAX(1,IF(G1556&gt;0,AI1556/G1556,1))),AJ1556*Q1556)</f>
        <v/>
      </c>
      <c r="AL1556" s="55">
        <f>AI1556*F1556</f>
        <v/>
      </c>
      <c r="AM1556" s="55">
        <f>ROUNDUP(MAX(I1556/IF(BS1556&gt;0,BS1556,MAX(0.1,N(Cockpit!$I$6))),BV1556)/BN1556,0)*BN1556</f>
        <v/>
      </c>
      <c r="AN1556" s="56">
        <f>IF(AK1556&gt;0,I1556/AK1556,-1)</f>
        <v/>
      </c>
      <c r="AO1556" s="56">
        <f>IF(AND(OR(BR1556="L1",BR1556="L23"),AK1556&gt;0),SUMIFS($AK$7:$AK$1570,$BR$7:$BR$1570,BR1556,$AN$7:$AN$1570,"&gt;"&amp;AN1556)+SUMIFS($AK$7:$AK$1570,$BR$7:$BR$1570,BR1556,$AN$7:$AN$1570,AN1556,$BL$7:$BL$1570,"&lt;="&amp;BL1556),"")</f>
        <v/>
      </c>
      <c r="AP1556" s="65">
        <f>IF(AO1556="",0,MAX(0,MIN(1,(IF(BR1556="L1",Parameter!$K$5,Parameter!$K$6+Parameter!$K$7)-(AO1556-AK1556))/AK1556)))</f>
        <v/>
      </c>
      <c r="AQ1556" s="55">
        <f>IF(LEFT(Cockpit!$O$5,1)="A",G1556,IF(BT1556=1,BU1556,IF(LEFT(Cockpit!$O$5,1)="B",AU1556,MAX(AU1556,G1556))))</f>
        <v/>
      </c>
      <c r="AR1556" s="55">
        <f>IF(BO1556=1,0,ROUNDUP(AQ1556/BN1556,0))</f>
        <v/>
      </c>
      <c r="AS1556" s="64">
        <f>IF(BO1556=1,IF(AQ1556&lt;=0,0,BP1556*MAX(1,IF(G1556&gt;0,AQ1556/G1556,1))),AR1556*Q1556)</f>
        <v/>
      </c>
      <c r="AT1556" s="55">
        <f>AQ1556*F1556</f>
        <v/>
      </c>
      <c r="AU1556" s="55">
        <f>ROUNDUP(MAX(I1556/IF(BS1556&gt;0,BS1556,MAX(0.1,N(Cockpit!$O$6))),BV1556)/BN1556,0)*BN1556</f>
        <v/>
      </c>
      <c r="AV1556" s="56">
        <f>IF(AS1556&gt;0,I1556/AS1556,-1)</f>
        <v/>
      </c>
      <c r="AW1556" s="56">
        <f>IF(AND(OR(BR1556="L1",BR1556="L23"),AS1556&gt;0),SUMIFS($AS$7:$AS$1570,$BR$7:$BR$1570,BR1556,$AV$7:$AV$1570,"&gt;"&amp;AV1556)+SUMIFS($AS$7:$AS$1570,$BR$7:$BR$1570,BR1556,$AV$7:$AV$1570,AV1556,$BL$7:$BL$1570,"&lt;="&amp;BL1556),"")</f>
        <v/>
      </c>
      <c r="AX1556" s="65">
        <f>IF(AW1556="",0,MAX(0,MIN(1,(IF(BR1556="L1",Parameter!$K$5,Parameter!$K$6+Parameter!$K$7)-(AW1556-AS1556))/AS1556)))</f>
        <v/>
      </c>
      <c r="AY1556" s="53">
        <f>IF(AC1556&lt;=0,"",IF(BR1556="Aussen","Aussenlager",IF(BR1556="-","Nicht im Lift",IF(AH1556&gt;=1,"Lift",IF(AH1556&lt;=0,"Aussenlager","teilweise")))))</f>
        <v/>
      </c>
      <c r="AZ1556" s="53">
        <f>IF(AK1556&lt;=0,"",IF(BR1556="Aussen","Aussenlager",IF(BR1556="-","Nicht im Lift",IF(AP1556&gt;=1,"Lift",IF(AP1556&lt;=0,"Aussenlager","teilweise")))))</f>
        <v/>
      </c>
      <c r="BA1556" s="53">
        <f>IF(AS1556&lt;=0,"",IF(BR1556="Aussen","Aussenlager",IF(BR1556="-","Nicht im Lift",IF(AX1556&gt;=1,"Lift",IF(AX1556&lt;=0,"Aussenlager","teilweise")))))</f>
        <v/>
      </c>
      <c r="BB1556" s="53">
        <f>IF(A1556="","",IF(BK1556=1,"Neu; ","")&amp;IF(AND(BK1556=0,BF1556&lt;0),"negativer Bestand (Export "&amp;BF1556&amp;"); ","")&amp;IF(I1556&lt;=0,"Kein Verbrauch; ","")&amp;IF(BO1556=1,"Lose – Fläche geschätzt; ","")&amp;IF(G1556&gt;AM1556,"Überbestand "&amp;ROUND(G1556-AM1556,0)&amp;" Stk / CHF "&amp;ROUND((G1556-AM1556)*F1556,0)&amp;"; ","")&amp;IF(AND(BT1556=1,BU1556&lt;BV1556),"MAX &lt; MB+LG; ","")&amp;IF(AND(BZ1556&gt;0,BY1556*10&gt;BZ1556),"zu hoch für Tablar; ","")&amp;IF(AND(BK1556=0,OR(BT1556=1,V1556&lt;&gt;"",S1556&lt;&gt;"",T1556&lt;&gt;"",W1556&lt;&gt;"")),"manuell übersteuert; ","")&amp;IF(AND(BO1556=0,Q1556=0),"Gebinde unbekannt; ","")&amp;IF(AND(BO1556=0,N(T1556)&lt;=0,N(P1556)&lt;=0),"Menge pro Gebinde fehlt (Ist = 1 Gebinde); ","")&amp;BJ1556)</f>
        <v/>
      </c>
      <c r="BC1556" s="53" t="n"/>
      <c r="BD1556" s="53" t="n"/>
      <c r="BE1556" s="61" t="n"/>
      <c r="BF1556" s="55">
        <f>N('Neue Artikel'!$D$90)</f>
        <v/>
      </c>
      <c r="BG1556" s="55" t="n">
        <v>0</v>
      </c>
      <c r="BH1556" s="54" t="n">
        <v>0</v>
      </c>
      <c r="BI1556" s="55">
        <f>N('Neue Artikel'!$C$90)/Parameter!$B$18</f>
        <v/>
      </c>
      <c r="BJ1556" s="53" t="inlineStr"/>
      <c r="BK1556" s="58" t="n">
        <v>1</v>
      </c>
      <c r="BL1556" s="58" t="n">
        <v>1556</v>
      </c>
      <c r="BM1556" s="53">
        <f>IF(S1556&lt;&gt;"",UPPER(TRIM(S1556)),IF(O1556="","LOSE",O1556))</f>
        <v/>
      </c>
      <c r="BN1556" s="55">
        <f>IF(BM1556="LOSE",1,IF(N(T1556)&gt;0,T1556,IF(N(P1556)&gt;0,P1556,MAX(1,G1556))))</f>
        <v/>
      </c>
      <c r="BO1556" s="58">
        <f>IF(BM1556="LOSE",1,0)</f>
        <v/>
      </c>
      <c r="BP1556" s="64">
        <f>IF(BO1556=0,0,IF(N(R1556)&gt;0,R1556,IFERROR(VLOOKUP(D1556,Parameter!$A$35:$C$64,3,0)+0,0)))</f>
        <v/>
      </c>
      <c r="BQ1556" s="53">
        <f>IF(V1556&lt;&gt;"",V1556,U1556)</f>
        <v/>
      </c>
      <c r="BR1556" s="53">
        <f>IF(BQ1556=1,"L1",IF(OR(BQ1556=2,BQ1556=3),"L23",IF(BQ1556="Aussen","Aussen","-")))</f>
        <v/>
      </c>
      <c r="BS1556" s="66">
        <f>IF(N(W1556)&gt;0,W1556,0)</f>
        <v/>
      </c>
      <c r="BT1556" s="58">
        <f>IF(ISNUMBER(Z1556),1,0)</f>
        <v/>
      </c>
      <c r="BU1556" s="55">
        <f>N(Z1556)</f>
        <v/>
      </c>
      <c r="BV1556" s="55">
        <f>N(L1556)+N(M1556)</f>
        <v/>
      </c>
      <c r="BW1556" s="55">
        <f>ROUNDUP(G1556/BN1556,0)</f>
        <v/>
      </c>
      <c r="BX1556" s="55">
        <f>ROUNDUP(BU1556/BN1556,0)</f>
        <v/>
      </c>
      <c r="BY1556" s="58">
        <f>IF(BO1556=1,0,IFERROR(VLOOKUP(BM1556,'Gebinde-Kategorie'!$A$5:$G$45,5,0)+0,0))</f>
        <v/>
      </c>
      <c r="BZ1556" s="58">
        <f>IFERROR(IF(OR(BQ1556=1,BQ1556=2,BQ1556=3),N(INDEX(Parameter!$I$5:$I$7,BQ1556)),0),0)</f>
        <v/>
      </c>
    </row>
    <row r="1557">
      <c r="A1557" s="53">
        <f>IF('Neue Artikel'!$A$91="","",'Neue Artikel'!$A$91&amp;"")</f>
        <v/>
      </c>
      <c r="B1557" s="53">
        <f>'Neue Artikel'!$B$91&amp;""</f>
        <v/>
      </c>
      <c r="C1557" s="53" t="inlineStr"/>
      <c r="D1557" s="53" t="inlineStr">
        <is>
          <t>NEU</t>
        </is>
      </c>
      <c r="E1557" s="53" t="inlineStr"/>
      <c r="F1557" s="54">
        <f>N('Neue Artikel'!$G$91)</f>
        <v/>
      </c>
      <c r="G1557" s="55">
        <f>MAX(0,IF(Parameter!$B$20="Jahresanfang 2025 + Export",BG1557+BF1557,BF1557))</f>
        <v/>
      </c>
      <c r="H1557" s="55">
        <f>G1557*F1557</f>
        <v/>
      </c>
      <c r="I1557" s="55">
        <f>BI1557*Parameter!$B$18</f>
        <v/>
      </c>
      <c r="J1557" s="56" t="n"/>
      <c r="K1557" s="57" t="n"/>
      <c r="L1557" s="55">
        <f>N('Neue Artikel'!$E$91)</f>
        <v/>
      </c>
      <c r="M1557" s="55">
        <f>N('Neue Artikel'!$F$91)</f>
        <v/>
      </c>
      <c r="N1557" s="58" t="n"/>
      <c r="O1557" s="53">
        <f>IF('Neue Artikel'!$H$91="","LOSE",UPPER(TRIM('Neue Artikel'!$H$91)))</f>
        <v/>
      </c>
      <c r="P1557" s="55">
        <f>N('Neue Artikel'!$I$91)</f>
        <v/>
      </c>
      <c r="Q1557" s="59">
        <f>IF(BO1557=1,0,IFERROR(VLOOKUP(BM1557,'Gebinde-Kategorie'!$A$5:$G$45,6,0)+0,0))</f>
        <v/>
      </c>
      <c r="R1557" s="60" t="n"/>
      <c r="S1557" s="61" t="n"/>
      <c r="T1557" s="61" t="n"/>
      <c r="U1557" s="53">
        <f>IF(A1557="","",IF(IFERROR(VLOOKUP(D1557,Parameter!$A$35:$C$64,2,0),"Nein")="2+3",IF(ISNUMBER(SEARCH("grosser Artikel",BJ1557)),2,IFERROR(VLOOKUP(BM1557,Parameter!$F$35:$G$64,2,0),2)),IF(OR(IFERROR(VLOOKUP(D1557,Parameter!$A$35:$C$64,2,0),"Nein")="Nein",IFERROR(VLOOKUP(D1557,Parameter!$A$35:$C$64,2,0),"Nein")=""),"-",VLOOKUP(D1557,Parameter!$A$35:$C$64,2,0))))</f>
        <v/>
      </c>
      <c r="V1557" s="53">
        <f>IF('Neue Artikel'!$J$91="","",'Neue Artikel'!$J$91)</f>
        <v/>
      </c>
      <c r="W1557" s="62" t="n"/>
      <c r="X1557" s="55">
        <f>AM1557</f>
        <v/>
      </c>
      <c r="Y1557" s="55">
        <f>MAX(AM1557,G1557)</f>
        <v/>
      </c>
      <c r="Z1557" s="63" t="n"/>
      <c r="AA1557" s="55">
        <f>IF(LEFT(Cockpit!$C$5,1)="A",G1557,IF(BT1557=1,BU1557,IF(LEFT(Cockpit!$C$5,1)="B",AE1557,MAX(AE1557,G1557))))</f>
        <v/>
      </c>
      <c r="AB1557" s="55">
        <f>IF(BO1557=1,0,ROUNDUP(AA1557/BN1557,0))</f>
        <v/>
      </c>
      <c r="AC1557" s="64">
        <f>IF(BO1557=1,IF(AA1557&lt;=0,0,BP1557*MAX(1,IF(G1557&gt;0,AA1557/G1557,1))),AB1557*Q1557)</f>
        <v/>
      </c>
      <c r="AD1557" s="55">
        <f>AA1557*F1557</f>
        <v/>
      </c>
      <c r="AE1557" s="55">
        <f>ROUNDUP(MAX(I1557/IF(BS1557&gt;0,BS1557,MAX(0.1,N(Cockpit!$C$6))),BV1557)/BN1557,0)*BN1557</f>
        <v/>
      </c>
      <c r="AF1557" s="56">
        <f>IF(AC1557&gt;0,I1557/AC1557,-1)</f>
        <v/>
      </c>
      <c r="AG1557" s="56">
        <f>IF(AND(OR(BR1557="L1",BR1557="L23"),AC1557&gt;0),SUMIFS($AC$7:$AC$1570,$BR$7:$BR$1570,BR1557,$AF$7:$AF$1570,"&gt;"&amp;AF1557)+SUMIFS($AC$7:$AC$1570,$BR$7:$BR$1570,BR1557,$AF$7:$AF$1570,AF1557,$BL$7:$BL$1570,"&lt;="&amp;BL1557),"")</f>
        <v/>
      </c>
      <c r="AH1557" s="65">
        <f>IF(AG1557="",0,MAX(0,MIN(1,(IF(BR1557="L1",Parameter!$K$5,Parameter!$K$6+Parameter!$K$7)-(AG1557-AC1557))/AC1557)))</f>
        <v/>
      </c>
      <c r="AI1557" s="55">
        <f>IF(LEFT(Cockpit!$I$5,1)="A",G1557,IF(BT1557=1,BU1557,IF(LEFT(Cockpit!$I$5,1)="B",AM1557,MAX(AM1557,G1557))))</f>
        <v/>
      </c>
      <c r="AJ1557" s="55">
        <f>IF(BO1557=1,0,ROUNDUP(AI1557/BN1557,0))</f>
        <v/>
      </c>
      <c r="AK1557" s="64">
        <f>IF(BO1557=1,IF(AI1557&lt;=0,0,BP1557*MAX(1,IF(G1557&gt;0,AI1557/G1557,1))),AJ1557*Q1557)</f>
        <v/>
      </c>
      <c r="AL1557" s="55">
        <f>AI1557*F1557</f>
        <v/>
      </c>
      <c r="AM1557" s="55">
        <f>ROUNDUP(MAX(I1557/IF(BS1557&gt;0,BS1557,MAX(0.1,N(Cockpit!$I$6))),BV1557)/BN1557,0)*BN1557</f>
        <v/>
      </c>
      <c r="AN1557" s="56">
        <f>IF(AK1557&gt;0,I1557/AK1557,-1)</f>
        <v/>
      </c>
      <c r="AO1557" s="56">
        <f>IF(AND(OR(BR1557="L1",BR1557="L23"),AK1557&gt;0),SUMIFS($AK$7:$AK$1570,$BR$7:$BR$1570,BR1557,$AN$7:$AN$1570,"&gt;"&amp;AN1557)+SUMIFS($AK$7:$AK$1570,$BR$7:$BR$1570,BR1557,$AN$7:$AN$1570,AN1557,$BL$7:$BL$1570,"&lt;="&amp;BL1557),"")</f>
        <v/>
      </c>
      <c r="AP1557" s="65">
        <f>IF(AO1557="",0,MAX(0,MIN(1,(IF(BR1557="L1",Parameter!$K$5,Parameter!$K$6+Parameter!$K$7)-(AO1557-AK1557))/AK1557)))</f>
        <v/>
      </c>
      <c r="AQ1557" s="55">
        <f>IF(LEFT(Cockpit!$O$5,1)="A",G1557,IF(BT1557=1,BU1557,IF(LEFT(Cockpit!$O$5,1)="B",AU1557,MAX(AU1557,G1557))))</f>
        <v/>
      </c>
      <c r="AR1557" s="55">
        <f>IF(BO1557=1,0,ROUNDUP(AQ1557/BN1557,0))</f>
        <v/>
      </c>
      <c r="AS1557" s="64">
        <f>IF(BO1557=1,IF(AQ1557&lt;=0,0,BP1557*MAX(1,IF(G1557&gt;0,AQ1557/G1557,1))),AR1557*Q1557)</f>
        <v/>
      </c>
      <c r="AT1557" s="55">
        <f>AQ1557*F1557</f>
        <v/>
      </c>
      <c r="AU1557" s="55">
        <f>ROUNDUP(MAX(I1557/IF(BS1557&gt;0,BS1557,MAX(0.1,N(Cockpit!$O$6))),BV1557)/BN1557,0)*BN1557</f>
        <v/>
      </c>
      <c r="AV1557" s="56">
        <f>IF(AS1557&gt;0,I1557/AS1557,-1)</f>
        <v/>
      </c>
      <c r="AW1557" s="56">
        <f>IF(AND(OR(BR1557="L1",BR1557="L23"),AS1557&gt;0),SUMIFS($AS$7:$AS$1570,$BR$7:$BR$1570,BR1557,$AV$7:$AV$1570,"&gt;"&amp;AV1557)+SUMIFS($AS$7:$AS$1570,$BR$7:$BR$1570,BR1557,$AV$7:$AV$1570,AV1557,$BL$7:$BL$1570,"&lt;="&amp;BL1557),"")</f>
        <v/>
      </c>
      <c r="AX1557" s="65">
        <f>IF(AW1557="",0,MAX(0,MIN(1,(IF(BR1557="L1",Parameter!$K$5,Parameter!$K$6+Parameter!$K$7)-(AW1557-AS1557))/AS1557)))</f>
        <v/>
      </c>
      <c r="AY1557" s="53">
        <f>IF(AC1557&lt;=0,"",IF(BR1557="Aussen","Aussenlager",IF(BR1557="-","Nicht im Lift",IF(AH1557&gt;=1,"Lift",IF(AH1557&lt;=0,"Aussenlager","teilweise")))))</f>
        <v/>
      </c>
      <c r="AZ1557" s="53">
        <f>IF(AK1557&lt;=0,"",IF(BR1557="Aussen","Aussenlager",IF(BR1557="-","Nicht im Lift",IF(AP1557&gt;=1,"Lift",IF(AP1557&lt;=0,"Aussenlager","teilweise")))))</f>
        <v/>
      </c>
      <c r="BA1557" s="53">
        <f>IF(AS1557&lt;=0,"",IF(BR1557="Aussen","Aussenlager",IF(BR1557="-","Nicht im Lift",IF(AX1557&gt;=1,"Lift",IF(AX1557&lt;=0,"Aussenlager","teilweise")))))</f>
        <v/>
      </c>
      <c r="BB1557" s="53">
        <f>IF(A1557="","",IF(BK1557=1,"Neu; ","")&amp;IF(AND(BK1557=0,BF1557&lt;0),"negativer Bestand (Export "&amp;BF1557&amp;"); ","")&amp;IF(I1557&lt;=0,"Kein Verbrauch; ","")&amp;IF(BO1557=1,"Lose – Fläche geschätzt; ","")&amp;IF(G1557&gt;AM1557,"Überbestand "&amp;ROUND(G1557-AM1557,0)&amp;" Stk / CHF "&amp;ROUND((G1557-AM1557)*F1557,0)&amp;"; ","")&amp;IF(AND(BT1557=1,BU1557&lt;BV1557),"MAX &lt; MB+LG; ","")&amp;IF(AND(BZ1557&gt;0,BY1557*10&gt;BZ1557),"zu hoch für Tablar; ","")&amp;IF(AND(BK1557=0,OR(BT1557=1,V1557&lt;&gt;"",S1557&lt;&gt;"",T1557&lt;&gt;"",W1557&lt;&gt;"")),"manuell übersteuert; ","")&amp;IF(AND(BO1557=0,Q1557=0),"Gebinde unbekannt; ","")&amp;IF(AND(BO1557=0,N(T1557)&lt;=0,N(P1557)&lt;=0),"Menge pro Gebinde fehlt (Ist = 1 Gebinde); ","")&amp;BJ1557)</f>
        <v/>
      </c>
      <c r="BC1557" s="53" t="n"/>
      <c r="BD1557" s="53" t="n"/>
      <c r="BE1557" s="61" t="n"/>
      <c r="BF1557" s="55">
        <f>N('Neue Artikel'!$D$91)</f>
        <v/>
      </c>
      <c r="BG1557" s="55" t="n">
        <v>0</v>
      </c>
      <c r="BH1557" s="54" t="n">
        <v>0</v>
      </c>
      <c r="BI1557" s="55">
        <f>N('Neue Artikel'!$C$91)/Parameter!$B$18</f>
        <v/>
      </c>
      <c r="BJ1557" s="53" t="inlineStr"/>
      <c r="BK1557" s="58" t="n">
        <v>1</v>
      </c>
      <c r="BL1557" s="58" t="n">
        <v>1557</v>
      </c>
      <c r="BM1557" s="53">
        <f>IF(S1557&lt;&gt;"",UPPER(TRIM(S1557)),IF(O1557="","LOSE",O1557))</f>
        <v/>
      </c>
      <c r="BN1557" s="55">
        <f>IF(BM1557="LOSE",1,IF(N(T1557)&gt;0,T1557,IF(N(P1557)&gt;0,P1557,MAX(1,G1557))))</f>
        <v/>
      </c>
      <c r="BO1557" s="58">
        <f>IF(BM1557="LOSE",1,0)</f>
        <v/>
      </c>
      <c r="BP1557" s="64">
        <f>IF(BO1557=0,0,IF(N(R1557)&gt;0,R1557,IFERROR(VLOOKUP(D1557,Parameter!$A$35:$C$64,3,0)+0,0)))</f>
        <v/>
      </c>
      <c r="BQ1557" s="53">
        <f>IF(V1557&lt;&gt;"",V1557,U1557)</f>
        <v/>
      </c>
      <c r="BR1557" s="53">
        <f>IF(BQ1557=1,"L1",IF(OR(BQ1557=2,BQ1557=3),"L23",IF(BQ1557="Aussen","Aussen","-")))</f>
        <v/>
      </c>
      <c r="BS1557" s="66">
        <f>IF(N(W1557)&gt;0,W1557,0)</f>
        <v/>
      </c>
      <c r="BT1557" s="58">
        <f>IF(ISNUMBER(Z1557),1,0)</f>
        <v/>
      </c>
      <c r="BU1557" s="55">
        <f>N(Z1557)</f>
        <v/>
      </c>
      <c r="BV1557" s="55">
        <f>N(L1557)+N(M1557)</f>
        <v/>
      </c>
      <c r="BW1557" s="55">
        <f>ROUNDUP(G1557/BN1557,0)</f>
        <v/>
      </c>
      <c r="BX1557" s="55">
        <f>ROUNDUP(BU1557/BN1557,0)</f>
        <v/>
      </c>
      <c r="BY1557" s="58">
        <f>IF(BO1557=1,0,IFERROR(VLOOKUP(BM1557,'Gebinde-Kategorie'!$A$5:$G$45,5,0)+0,0))</f>
        <v/>
      </c>
      <c r="BZ1557" s="58">
        <f>IFERROR(IF(OR(BQ1557=1,BQ1557=2,BQ1557=3),N(INDEX(Parameter!$I$5:$I$7,BQ1557)),0),0)</f>
        <v/>
      </c>
    </row>
    <row r="1558">
      <c r="A1558" s="53">
        <f>IF('Neue Artikel'!$A$92="","",'Neue Artikel'!$A$92&amp;"")</f>
        <v/>
      </c>
      <c r="B1558" s="53">
        <f>'Neue Artikel'!$B$92&amp;""</f>
        <v/>
      </c>
      <c r="C1558" s="53" t="inlineStr"/>
      <c r="D1558" s="53" t="inlineStr">
        <is>
          <t>NEU</t>
        </is>
      </c>
      <c r="E1558" s="53" t="inlineStr"/>
      <c r="F1558" s="54">
        <f>N('Neue Artikel'!$G$92)</f>
        <v/>
      </c>
      <c r="G1558" s="55">
        <f>MAX(0,IF(Parameter!$B$20="Jahresanfang 2025 + Export",BG1558+BF1558,BF1558))</f>
        <v/>
      </c>
      <c r="H1558" s="55">
        <f>G1558*F1558</f>
        <v/>
      </c>
      <c r="I1558" s="55">
        <f>BI1558*Parameter!$B$18</f>
        <v/>
      </c>
      <c r="J1558" s="56" t="n"/>
      <c r="K1558" s="57" t="n"/>
      <c r="L1558" s="55">
        <f>N('Neue Artikel'!$E$92)</f>
        <v/>
      </c>
      <c r="M1558" s="55">
        <f>N('Neue Artikel'!$F$92)</f>
        <v/>
      </c>
      <c r="N1558" s="58" t="n"/>
      <c r="O1558" s="53">
        <f>IF('Neue Artikel'!$H$92="","LOSE",UPPER(TRIM('Neue Artikel'!$H$92)))</f>
        <v/>
      </c>
      <c r="P1558" s="55">
        <f>N('Neue Artikel'!$I$92)</f>
        <v/>
      </c>
      <c r="Q1558" s="59">
        <f>IF(BO1558=1,0,IFERROR(VLOOKUP(BM1558,'Gebinde-Kategorie'!$A$5:$G$45,6,0)+0,0))</f>
        <v/>
      </c>
      <c r="R1558" s="60" t="n"/>
      <c r="S1558" s="61" t="n"/>
      <c r="T1558" s="61" t="n"/>
      <c r="U1558" s="53">
        <f>IF(A1558="","",IF(IFERROR(VLOOKUP(D1558,Parameter!$A$35:$C$64,2,0),"Nein")="2+3",IF(ISNUMBER(SEARCH("grosser Artikel",BJ1558)),2,IFERROR(VLOOKUP(BM1558,Parameter!$F$35:$G$64,2,0),2)),IF(OR(IFERROR(VLOOKUP(D1558,Parameter!$A$35:$C$64,2,0),"Nein")="Nein",IFERROR(VLOOKUP(D1558,Parameter!$A$35:$C$64,2,0),"Nein")=""),"-",VLOOKUP(D1558,Parameter!$A$35:$C$64,2,0))))</f>
        <v/>
      </c>
      <c r="V1558" s="53">
        <f>IF('Neue Artikel'!$J$92="","",'Neue Artikel'!$J$92)</f>
        <v/>
      </c>
      <c r="W1558" s="62" t="n"/>
      <c r="X1558" s="55">
        <f>AM1558</f>
        <v/>
      </c>
      <c r="Y1558" s="55">
        <f>MAX(AM1558,G1558)</f>
        <v/>
      </c>
      <c r="Z1558" s="63" t="n"/>
      <c r="AA1558" s="55">
        <f>IF(LEFT(Cockpit!$C$5,1)="A",G1558,IF(BT1558=1,BU1558,IF(LEFT(Cockpit!$C$5,1)="B",AE1558,MAX(AE1558,G1558))))</f>
        <v/>
      </c>
      <c r="AB1558" s="55">
        <f>IF(BO1558=1,0,ROUNDUP(AA1558/BN1558,0))</f>
        <v/>
      </c>
      <c r="AC1558" s="64">
        <f>IF(BO1558=1,IF(AA1558&lt;=0,0,BP1558*MAX(1,IF(G1558&gt;0,AA1558/G1558,1))),AB1558*Q1558)</f>
        <v/>
      </c>
      <c r="AD1558" s="55">
        <f>AA1558*F1558</f>
        <v/>
      </c>
      <c r="AE1558" s="55">
        <f>ROUNDUP(MAX(I1558/IF(BS1558&gt;0,BS1558,MAX(0.1,N(Cockpit!$C$6))),BV1558)/BN1558,0)*BN1558</f>
        <v/>
      </c>
      <c r="AF1558" s="56">
        <f>IF(AC1558&gt;0,I1558/AC1558,-1)</f>
        <v/>
      </c>
      <c r="AG1558" s="56">
        <f>IF(AND(OR(BR1558="L1",BR1558="L23"),AC1558&gt;0),SUMIFS($AC$7:$AC$1570,$BR$7:$BR$1570,BR1558,$AF$7:$AF$1570,"&gt;"&amp;AF1558)+SUMIFS($AC$7:$AC$1570,$BR$7:$BR$1570,BR1558,$AF$7:$AF$1570,AF1558,$BL$7:$BL$1570,"&lt;="&amp;BL1558),"")</f>
        <v/>
      </c>
      <c r="AH1558" s="65">
        <f>IF(AG1558="",0,MAX(0,MIN(1,(IF(BR1558="L1",Parameter!$K$5,Parameter!$K$6+Parameter!$K$7)-(AG1558-AC1558))/AC1558)))</f>
        <v/>
      </c>
      <c r="AI1558" s="55">
        <f>IF(LEFT(Cockpit!$I$5,1)="A",G1558,IF(BT1558=1,BU1558,IF(LEFT(Cockpit!$I$5,1)="B",AM1558,MAX(AM1558,G1558))))</f>
        <v/>
      </c>
      <c r="AJ1558" s="55">
        <f>IF(BO1558=1,0,ROUNDUP(AI1558/BN1558,0))</f>
        <v/>
      </c>
      <c r="AK1558" s="64">
        <f>IF(BO1558=1,IF(AI1558&lt;=0,0,BP1558*MAX(1,IF(G1558&gt;0,AI1558/G1558,1))),AJ1558*Q1558)</f>
        <v/>
      </c>
      <c r="AL1558" s="55">
        <f>AI1558*F1558</f>
        <v/>
      </c>
      <c r="AM1558" s="55">
        <f>ROUNDUP(MAX(I1558/IF(BS1558&gt;0,BS1558,MAX(0.1,N(Cockpit!$I$6))),BV1558)/BN1558,0)*BN1558</f>
        <v/>
      </c>
      <c r="AN1558" s="56">
        <f>IF(AK1558&gt;0,I1558/AK1558,-1)</f>
        <v/>
      </c>
      <c r="AO1558" s="56">
        <f>IF(AND(OR(BR1558="L1",BR1558="L23"),AK1558&gt;0),SUMIFS($AK$7:$AK$1570,$BR$7:$BR$1570,BR1558,$AN$7:$AN$1570,"&gt;"&amp;AN1558)+SUMIFS($AK$7:$AK$1570,$BR$7:$BR$1570,BR1558,$AN$7:$AN$1570,AN1558,$BL$7:$BL$1570,"&lt;="&amp;BL1558),"")</f>
        <v/>
      </c>
      <c r="AP1558" s="65">
        <f>IF(AO1558="",0,MAX(0,MIN(1,(IF(BR1558="L1",Parameter!$K$5,Parameter!$K$6+Parameter!$K$7)-(AO1558-AK1558))/AK1558)))</f>
        <v/>
      </c>
      <c r="AQ1558" s="55">
        <f>IF(LEFT(Cockpit!$O$5,1)="A",G1558,IF(BT1558=1,BU1558,IF(LEFT(Cockpit!$O$5,1)="B",AU1558,MAX(AU1558,G1558))))</f>
        <v/>
      </c>
      <c r="AR1558" s="55">
        <f>IF(BO1558=1,0,ROUNDUP(AQ1558/BN1558,0))</f>
        <v/>
      </c>
      <c r="AS1558" s="64">
        <f>IF(BO1558=1,IF(AQ1558&lt;=0,0,BP1558*MAX(1,IF(G1558&gt;0,AQ1558/G1558,1))),AR1558*Q1558)</f>
        <v/>
      </c>
      <c r="AT1558" s="55">
        <f>AQ1558*F1558</f>
        <v/>
      </c>
      <c r="AU1558" s="55">
        <f>ROUNDUP(MAX(I1558/IF(BS1558&gt;0,BS1558,MAX(0.1,N(Cockpit!$O$6))),BV1558)/BN1558,0)*BN1558</f>
        <v/>
      </c>
      <c r="AV1558" s="56">
        <f>IF(AS1558&gt;0,I1558/AS1558,-1)</f>
        <v/>
      </c>
      <c r="AW1558" s="56">
        <f>IF(AND(OR(BR1558="L1",BR1558="L23"),AS1558&gt;0),SUMIFS($AS$7:$AS$1570,$BR$7:$BR$1570,BR1558,$AV$7:$AV$1570,"&gt;"&amp;AV1558)+SUMIFS($AS$7:$AS$1570,$BR$7:$BR$1570,BR1558,$AV$7:$AV$1570,AV1558,$BL$7:$BL$1570,"&lt;="&amp;BL1558),"")</f>
        <v/>
      </c>
      <c r="AX1558" s="65">
        <f>IF(AW1558="",0,MAX(0,MIN(1,(IF(BR1558="L1",Parameter!$K$5,Parameter!$K$6+Parameter!$K$7)-(AW1558-AS1558))/AS1558)))</f>
        <v/>
      </c>
      <c r="AY1558" s="53">
        <f>IF(AC1558&lt;=0,"",IF(BR1558="Aussen","Aussenlager",IF(BR1558="-","Nicht im Lift",IF(AH1558&gt;=1,"Lift",IF(AH1558&lt;=0,"Aussenlager","teilweise")))))</f>
        <v/>
      </c>
      <c r="AZ1558" s="53">
        <f>IF(AK1558&lt;=0,"",IF(BR1558="Aussen","Aussenlager",IF(BR1558="-","Nicht im Lift",IF(AP1558&gt;=1,"Lift",IF(AP1558&lt;=0,"Aussenlager","teilweise")))))</f>
        <v/>
      </c>
      <c r="BA1558" s="53">
        <f>IF(AS1558&lt;=0,"",IF(BR1558="Aussen","Aussenlager",IF(BR1558="-","Nicht im Lift",IF(AX1558&gt;=1,"Lift",IF(AX1558&lt;=0,"Aussenlager","teilweise")))))</f>
        <v/>
      </c>
      <c r="BB1558" s="53">
        <f>IF(A1558="","",IF(BK1558=1,"Neu; ","")&amp;IF(AND(BK1558=0,BF1558&lt;0),"negativer Bestand (Export "&amp;BF1558&amp;"); ","")&amp;IF(I1558&lt;=0,"Kein Verbrauch; ","")&amp;IF(BO1558=1,"Lose – Fläche geschätzt; ","")&amp;IF(G1558&gt;AM1558,"Überbestand "&amp;ROUND(G1558-AM1558,0)&amp;" Stk / CHF "&amp;ROUND((G1558-AM1558)*F1558,0)&amp;"; ","")&amp;IF(AND(BT1558=1,BU1558&lt;BV1558),"MAX &lt; MB+LG; ","")&amp;IF(AND(BZ1558&gt;0,BY1558*10&gt;BZ1558),"zu hoch für Tablar; ","")&amp;IF(AND(BK1558=0,OR(BT1558=1,V1558&lt;&gt;"",S1558&lt;&gt;"",T1558&lt;&gt;"",W1558&lt;&gt;"")),"manuell übersteuert; ","")&amp;IF(AND(BO1558=0,Q1558=0),"Gebinde unbekannt; ","")&amp;IF(AND(BO1558=0,N(T1558)&lt;=0,N(P1558)&lt;=0),"Menge pro Gebinde fehlt (Ist = 1 Gebinde); ","")&amp;BJ1558)</f>
        <v/>
      </c>
      <c r="BC1558" s="53" t="n"/>
      <c r="BD1558" s="53" t="n"/>
      <c r="BE1558" s="61" t="n"/>
      <c r="BF1558" s="55">
        <f>N('Neue Artikel'!$D$92)</f>
        <v/>
      </c>
      <c r="BG1558" s="55" t="n">
        <v>0</v>
      </c>
      <c r="BH1558" s="54" t="n">
        <v>0</v>
      </c>
      <c r="BI1558" s="55">
        <f>N('Neue Artikel'!$C$92)/Parameter!$B$18</f>
        <v/>
      </c>
      <c r="BJ1558" s="53" t="inlineStr"/>
      <c r="BK1558" s="58" t="n">
        <v>1</v>
      </c>
      <c r="BL1558" s="58" t="n">
        <v>1558</v>
      </c>
      <c r="BM1558" s="53">
        <f>IF(S1558&lt;&gt;"",UPPER(TRIM(S1558)),IF(O1558="","LOSE",O1558))</f>
        <v/>
      </c>
      <c r="BN1558" s="55">
        <f>IF(BM1558="LOSE",1,IF(N(T1558)&gt;0,T1558,IF(N(P1558)&gt;0,P1558,MAX(1,G1558))))</f>
        <v/>
      </c>
      <c r="BO1558" s="58">
        <f>IF(BM1558="LOSE",1,0)</f>
        <v/>
      </c>
      <c r="BP1558" s="64">
        <f>IF(BO1558=0,0,IF(N(R1558)&gt;0,R1558,IFERROR(VLOOKUP(D1558,Parameter!$A$35:$C$64,3,0)+0,0)))</f>
        <v/>
      </c>
      <c r="BQ1558" s="53">
        <f>IF(V1558&lt;&gt;"",V1558,U1558)</f>
        <v/>
      </c>
      <c r="BR1558" s="53">
        <f>IF(BQ1558=1,"L1",IF(OR(BQ1558=2,BQ1558=3),"L23",IF(BQ1558="Aussen","Aussen","-")))</f>
        <v/>
      </c>
      <c r="BS1558" s="66">
        <f>IF(N(W1558)&gt;0,W1558,0)</f>
        <v/>
      </c>
      <c r="BT1558" s="58">
        <f>IF(ISNUMBER(Z1558),1,0)</f>
        <v/>
      </c>
      <c r="BU1558" s="55">
        <f>N(Z1558)</f>
        <v/>
      </c>
      <c r="BV1558" s="55">
        <f>N(L1558)+N(M1558)</f>
        <v/>
      </c>
      <c r="BW1558" s="55">
        <f>ROUNDUP(G1558/BN1558,0)</f>
        <v/>
      </c>
      <c r="BX1558" s="55">
        <f>ROUNDUP(BU1558/BN1558,0)</f>
        <v/>
      </c>
      <c r="BY1558" s="58">
        <f>IF(BO1558=1,0,IFERROR(VLOOKUP(BM1558,'Gebinde-Kategorie'!$A$5:$G$45,5,0)+0,0))</f>
        <v/>
      </c>
      <c r="BZ1558" s="58">
        <f>IFERROR(IF(OR(BQ1558=1,BQ1558=2,BQ1558=3),N(INDEX(Parameter!$I$5:$I$7,BQ1558)),0),0)</f>
        <v/>
      </c>
    </row>
    <row r="1559">
      <c r="A1559" s="53">
        <f>IF('Neue Artikel'!$A$93="","",'Neue Artikel'!$A$93&amp;"")</f>
        <v/>
      </c>
      <c r="B1559" s="53">
        <f>'Neue Artikel'!$B$93&amp;""</f>
        <v/>
      </c>
      <c r="C1559" s="53" t="inlineStr"/>
      <c r="D1559" s="53" t="inlineStr">
        <is>
          <t>NEU</t>
        </is>
      </c>
      <c r="E1559" s="53" t="inlineStr"/>
      <c r="F1559" s="54">
        <f>N('Neue Artikel'!$G$93)</f>
        <v/>
      </c>
      <c r="G1559" s="55">
        <f>MAX(0,IF(Parameter!$B$20="Jahresanfang 2025 + Export",BG1559+BF1559,BF1559))</f>
        <v/>
      </c>
      <c r="H1559" s="55">
        <f>G1559*F1559</f>
        <v/>
      </c>
      <c r="I1559" s="55">
        <f>BI1559*Parameter!$B$18</f>
        <v/>
      </c>
      <c r="J1559" s="56" t="n"/>
      <c r="K1559" s="57" t="n"/>
      <c r="L1559" s="55">
        <f>N('Neue Artikel'!$E$93)</f>
        <v/>
      </c>
      <c r="M1559" s="55">
        <f>N('Neue Artikel'!$F$93)</f>
        <v/>
      </c>
      <c r="N1559" s="58" t="n"/>
      <c r="O1559" s="53">
        <f>IF('Neue Artikel'!$H$93="","LOSE",UPPER(TRIM('Neue Artikel'!$H$93)))</f>
        <v/>
      </c>
      <c r="P1559" s="55">
        <f>N('Neue Artikel'!$I$93)</f>
        <v/>
      </c>
      <c r="Q1559" s="59">
        <f>IF(BO1559=1,0,IFERROR(VLOOKUP(BM1559,'Gebinde-Kategorie'!$A$5:$G$45,6,0)+0,0))</f>
        <v/>
      </c>
      <c r="R1559" s="60" t="n"/>
      <c r="S1559" s="61" t="n"/>
      <c r="T1559" s="61" t="n"/>
      <c r="U1559" s="53">
        <f>IF(A1559="","",IF(IFERROR(VLOOKUP(D1559,Parameter!$A$35:$C$64,2,0),"Nein")="2+3",IF(ISNUMBER(SEARCH("grosser Artikel",BJ1559)),2,IFERROR(VLOOKUP(BM1559,Parameter!$F$35:$G$64,2,0),2)),IF(OR(IFERROR(VLOOKUP(D1559,Parameter!$A$35:$C$64,2,0),"Nein")="Nein",IFERROR(VLOOKUP(D1559,Parameter!$A$35:$C$64,2,0),"Nein")=""),"-",VLOOKUP(D1559,Parameter!$A$35:$C$64,2,0))))</f>
        <v/>
      </c>
      <c r="V1559" s="53">
        <f>IF('Neue Artikel'!$J$93="","",'Neue Artikel'!$J$93)</f>
        <v/>
      </c>
      <c r="W1559" s="62" t="n"/>
      <c r="X1559" s="55">
        <f>AM1559</f>
        <v/>
      </c>
      <c r="Y1559" s="55">
        <f>MAX(AM1559,G1559)</f>
        <v/>
      </c>
      <c r="Z1559" s="63" t="n"/>
      <c r="AA1559" s="55">
        <f>IF(LEFT(Cockpit!$C$5,1)="A",G1559,IF(BT1559=1,BU1559,IF(LEFT(Cockpit!$C$5,1)="B",AE1559,MAX(AE1559,G1559))))</f>
        <v/>
      </c>
      <c r="AB1559" s="55">
        <f>IF(BO1559=1,0,ROUNDUP(AA1559/BN1559,0))</f>
        <v/>
      </c>
      <c r="AC1559" s="64">
        <f>IF(BO1559=1,IF(AA1559&lt;=0,0,BP1559*MAX(1,IF(G1559&gt;0,AA1559/G1559,1))),AB1559*Q1559)</f>
        <v/>
      </c>
      <c r="AD1559" s="55">
        <f>AA1559*F1559</f>
        <v/>
      </c>
      <c r="AE1559" s="55">
        <f>ROUNDUP(MAX(I1559/IF(BS1559&gt;0,BS1559,MAX(0.1,N(Cockpit!$C$6))),BV1559)/BN1559,0)*BN1559</f>
        <v/>
      </c>
      <c r="AF1559" s="56">
        <f>IF(AC1559&gt;0,I1559/AC1559,-1)</f>
        <v/>
      </c>
      <c r="AG1559" s="56">
        <f>IF(AND(OR(BR1559="L1",BR1559="L23"),AC1559&gt;0),SUMIFS($AC$7:$AC$1570,$BR$7:$BR$1570,BR1559,$AF$7:$AF$1570,"&gt;"&amp;AF1559)+SUMIFS($AC$7:$AC$1570,$BR$7:$BR$1570,BR1559,$AF$7:$AF$1570,AF1559,$BL$7:$BL$1570,"&lt;="&amp;BL1559),"")</f>
        <v/>
      </c>
      <c r="AH1559" s="65">
        <f>IF(AG1559="",0,MAX(0,MIN(1,(IF(BR1559="L1",Parameter!$K$5,Parameter!$K$6+Parameter!$K$7)-(AG1559-AC1559))/AC1559)))</f>
        <v/>
      </c>
      <c r="AI1559" s="55">
        <f>IF(LEFT(Cockpit!$I$5,1)="A",G1559,IF(BT1559=1,BU1559,IF(LEFT(Cockpit!$I$5,1)="B",AM1559,MAX(AM1559,G1559))))</f>
        <v/>
      </c>
      <c r="AJ1559" s="55">
        <f>IF(BO1559=1,0,ROUNDUP(AI1559/BN1559,0))</f>
        <v/>
      </c>
      <c r="AK1559" s="64">
        <f>IF(BO1559=1,IF(AI1559&lt;=0,0,BP1559*MAX(1,IF(G1559&gt;0,AI1559/G1559,1))),AJ1559*Q1559)</f>
        <v/>
      </c>
      <c r="AL1559" s="55">
        <f>AI1559*F1559</f>
        <v/>
      </c>
      <c r="AM1559" s="55">
        <f>ROUNDUP(MAX(I1559/IF(BS1559&gt;0,BS1559,MAX(0.1,N(Cockpit!$I$6))),BV1559)/BN1559,0)*BN1559</f>
        <v/>
      </c>
      <c r="AN1559" s="56">
        <f>IF(AK1559&gt;0,I1559/AK1559,-1)</f>
        <v/>
      </c>
      <c r="AO1559" s="56">
        <f>IF(AND(OR(BR1559="L1",BR1559="L23"),AK1559&gt;0),SUMIFS($AK$7:$AK$1570,$BR$7:$BR$1570,BR1559,$AN$7:$AN$1570,"&gt;"&amp;AN1559)+SUMIFS($AK$7:$AK$1570,$BR$7:$BR$1570,BR1559,$AN$7:$AN$1570,AN1559,$BL$7:$BL$1570,"&lt;="&amp;BL1559),"")</f>
        <v/>
      </c>
      <c r="AP1559" s="65">
        <f>IF(AO1559="",0,MAX(0,MIN(1,(IF(BR1559="L1",Parameter!$K$5,Parameter!$K$6+Parameter!$K$7)-(AO1559-AK1559))/AK1559)))</f>
        <v/>
      </c>
      <c r="AQ1559" s="55">
        <f>IF(LEFT(Cockpit!$O$5,1)="A",G1559,IF(BT1559=1,BU1559,IF(LEFT(Cockpit!$O$5,1)="B",AU1559,MAX(AU1559,G1559))))</f>
        <v/>
      </c>
      <c r="AR1559" s="55">
        <f>IF(BO1559=1,0,ROUNDUP(AQ1559/BN1559,0))</f>
        <v/>
      </c>
      <c r="AS1559" s="64">
        <f>IF(BO1559=1,IF(AQ1559&lt;=0,0,BP1559*MAX(1,IF(G1559&gt;0,AQ1559/G1559,1))),AR1559*Q1559)</f>
        <v/>
      </c>
      <c r="AT1559" s="55">
        <f>AQ1559*F1559</f>
        <v/>
      </c>
      <c r="AU1559" s="55">
        <f>ROUNDUP(MAX(I1559/IF(BS1559&gt;0,BS1559,MAX(0.1,N(Cockpit!$O$6))),BV1559)/BN1559,0)*BN1559</f>
        <v/>
      </c>
      <c r="AV1559" s="56">
        <f>IF(AS1559&gt;0,I1559/AS1559,-1)</f>
        <v/>
      </c>
      <c r="AW1559" s="56">
        <f>IF(AND(OR(BR1559="L1",BR1559="L23"),AS1559&gt;0),SUMIFS($AS$7:$AS$1570,$BR$7:$BR$1570,BR1559,$AV$7:$AV$1570,"&gt;"&amp;AV1559)+SUMIFS($AS$7:$AS$1570,$BR$7:$BR$1570,BR1559,$AV$7:$AV$1570,AV1559,$BL$7:$BL$1570,"&lt;="&amp;BL1559),"")</f>
        <v/>
      </c>
      <c r="AX1559" s="65">
        <f>IF(AW1559="",0,MAX(0,MIN(1,(IF(BR1559="L1",Parameter!$K$5,Parameter!$K$6+Parameter!$K$7)-(AW1559-AS1559))/AS1559)))</f>
        <v/>
      </c>
      <c r="AY1559" s="53">
        <f>IF(AC1559&lt;=0,"",IF(BR1559="Aussen","Aussenlager",IF(BR1559="-","Nicht im Lift",IF(AH1559&gt;=1,"Lift",IF(AH1559&lt;=0,"Aussenlager","teilweise")))))</f>
        <v/>
      </c>
      <c r="AZ1559" s="53">
        <f>IF(AK1559&lt;=0,"",IF(BR1559="Aussen","Aussenlager",IF(BR1559="-","Nicht im Lift",IF(AP1559&gt;=1,"Lift",IF(AP1559&lt;=0,"Aussenlager","teilweise")))))</f>
        <v/>
      </c>
      <c r="BA1559" s="53">
        <f>IF(AS1559&lt;=0,"",IF(BR1559="Aussen","Aussenlager",IF(BR1559="-","Nicht im Lift",IF(AX1559&gt;=1,"Lift",IF(AX1559&lt;=0,"Aussenlager","teilweise")))))</f>
        <v/>
      </c>
      <c r="BB1559" s="53">
        <f>IF(A1559="","",IF(BK1559=1,"Neu; ","")&amp;IF(AND(BK1559=0,BF1559&lt;0),"negativer Bestand (Export "&amp;BF1559&amp;"); ","")&amp;IF(I1559&lt;=0,"Kein Verbrauch; ","")&amp;IF(BO1559=1,"Lose – Fläche geschätzt; ","")&amp;IF(G1559&gt;AM1559,"Überbestand "&amp;ROUND(G1559-AM1559,0)&amp;" Stk / CHF "&amp;ROUND((G1559-AM1559)*F1559,0)&amp;"; ","")&amp;IF(AND(BT1559=1,BU1559&lt;BV1559),"MAX &lt; MB+LG; ","")&amp;IF(AND(BZ1559&gt;0,BY1559*10&gt;BZ1559),"zu hoch für Tablar; ","")&amp;IF(AND(BK1559=0,OR(BT1559=1,V1559&lt;&gt;"",S1559&lt;&gt;"",T1559&lt;&gt;"",W1559&lt;&gt;"")),"manuell übersteuert; ","")&amp;IF(AND(BO1559=0,Q1559=0),"Gebinde unbekannt; ","")&amp;IF(AND(BO1559=0,N(T1559)&lt;=0,N(P1559)&lt;=0),"Menge pro Gebinde fehlt (Ist = 1 Gebinde); ","")&amp;BJ1559)</f>
        <v/>
      </c>
      <c r="BC1559" s="53" t="n"/>
      <c r="BD1559" s="53" t="n"/>
      <c r="BE1559" s="61" t="n"/>
      <c r="BF1559" s="55">
        <f>N('Neue Artikel'!$D$93)</f>
        <v/>
      </c>
      <c r="BG1559" s="55" t="n">
        <v>0</v>
      </c>
      <c r="BH1559" s="54" t="n">
        <v>0</v>
      </c>
      <c r="BI1559" s="55">
        <f>N('Neue Artikel'!$C$93)/Parameter!$B$18</f>
        <v/>
      </c>
      <c r="BJ1559" s="53" t="inlineStr"/>
      <c r="BK1559" s="58" t="n">
        <v>1</v>
      </c>
      <c r="BL1559" s="58" t="n">
        <v>1559</v>
      </c>
      <c r="BM1559" s="53">
        <f>IF(S1559&lt;&gt;"",UPPER(TRIM(S1559)),IF(O1559="","LOSE",O1559))</f>
        <v/>
      </c>
      <c r="BN1559" s="55">
        <f>IF(BM1559="LOSE",1,IF(N(T1559)&gt;0,T1559,IF(N(P1559)&gt;0,P1559,MAX(1,G1559))))</f>
        <v/>
      </c>
      <c r="BO1559" s="58">
        <f>IF(BM1559="LOSE",1,0)</f>
        <v/>
      </c>
      <c r="BP1559" s="64">
        <f>IF(BO1559=0,0,IF(N(R1559)&gt;0,R1559,IFERROR(VLOOKUP(D1559,Parameter!$A$35:$C$64,3,0)+0,0)))</f>
        <v/>
      </c>
      <c r="BQ1559" s="53">
        <f>IF(V1559&lt;&gt;"",V1559,U1559)</f>
        <v/>
      </c>
      <c r="BR1559" s="53">
        <f>IF(BQ1559=1,"L1",IF(OR(BQ1559=2,BQ1559=3),"L23",IF(BQ1559="Aussen","Aussen","-")))</f>
        <v/>
      </c>
      <c r="BS1559" s="66">
        <f>IF(N(W1559)&gt;0,W1559,0)</f>
        <v/>
      </c>
      <c r="BT1559" s="58">
        <f>IF(ISNUMBER(Z1559),1,0)</f>
        <v/>
      </c>
      <c r="BU1559" s="55">
        <f>N(Z1559)</f>
        <v/>
      </c>
      <c r="BV1559" s="55">
        <f>N(L1559)+N(M1559)</f>
        <v/>
      </c>
      <c r="BW1559" s="55">
        <f>ROUNDUP(G1559/BN1559,0)</f>
        <v/>
      </c>
      <c r="BX1559" s="55">
        <f>ROUNDUP(BU1559/BN1559,0)</f>
        <v/>
      </c>
      <c r="BY1559" s="58">
        <f>IF(BO1559=1,0,IFERROR(VLOOKUP(BM1559,'Gebinde-Kategorie'!$A$5:$G$45,5,0)+0,0))</f>
        <v/>
      </c>
      <c r="BZ1559" s="58">
        <f>IFERROR(IF(OR(BQ1559=1,BQ1559=2,BQ1559=3),N(INDEX(Parameter!$I$5:$I$7,BQ1559)),0),0)</f>
        <v/>
      </c>
    </row>
    <row r="1560">
      <c r="A1560" s="53">
        <f>IF('Neue Artikel'!$A$94="","",'Neue Artikel'!$A$94&amp;"")</f>
        <v/>
      </c>
      <c r="B1560" s="53">
        <f>'Neue Artikel'!$B$94&amp;""</f>
        <v/>
      </c>
      <c r="C1560" s="53" t="inlineStr"/>
      <c r="D1560" s="53" t="inlineStr">
        <is>
          <t>NEU</t>
        </is>
      </c>
      <c r="E1560" s="53" t="inlineStr"/>
      <c r="F1560" s="54">
        <f>N('Neue Artikel'!$G$94)</f>
        <v/>
      </c>
      <c r="G1560" s="55">
        <f>MAX(0,IF(Parameter!$B$20="Jahresanfang 2025 + Export",BG1560+BF1560,BF1560))</f>
        <v/>
      </c>
      <c r="H1560" s="55">
        <f>G1560*F1560</f>
        <v/>
      </c>
      <c r="I1560" s="55">
        <f>BI1560*Parameter!$B$18</f>
        <v/>
      </c>
      <c r="J1560" s="56" t="n"/>
      <c r="K1560" s="57" t="n"/>
      <c r="L1560" s="55">
        <f>N('Neue Artikel'!$E$94)</f>
        <v/>
      </c>
      <c r="M1560" s="55">
        <f>N('Neue Artikel'!$F$94)</f>
        <v/>
      </c>
      <c r="N1560" s="58" t="n"/>
      <c r="O1560" s="53">
        <f>IF('Neue Artikel'!$H$94="","LOSE",UPPER(TRIM('Neue Artikel'!$H$94)))</f>
        <v/>
      </c>
      <c r="P1560" s="55">
        <f>N('Neue Artikel'!$I$94)</f>
        <v/>
      </c>
      <c r="Q1560" s="59">
        <f>IF(BO1560=1,0,IFERROR(VLOOKUP(BM1560,'Gebinde-Kategorie'!$A$5:$G$45,6,0)+0,0))</f>
        <v/>
      </c>
      <c r="R1560" s="60" t="n"/>
      <c r="S1560" s="61" t="n"/>
      <c r="T1560" s="61" t="n"/>
      <c r="U1560" s="53">
        <f>IF(A1560="","",IF(IFERROR(VLOOKUP(D1560,Parameter!$A$35:$C$64,2,0),"Nein")="2+3",IF(ISNUMBER(SEARCH("grosser Artikel",BJ1560)),2,IFERROR(VLOOKUP(BM1560,Parameter!$F$35:$G$64,2,0),2)),IF(OR(IFERROR(VLOOKUP(D1560,Parameter!$A$35:$C$64,2,0),"Nein")="Nein",IFERROR(VLOOKUP(D1560,Parameter!$A$35:$C$64,2,0),"Nein")=""),"-",VLOOKUP(D1560,Parameter!$A$35:$C$64,2,0))))</f>
        <v/>
      </c>
      <c r="V1560" s="53">
        <f>IF('Neue Artikel'!$J$94="","",'Neue Artikel'!$J$94)</f>
        <v/>
      </c>
      <c r="W1560" s="62" t="n"/>
      <c r="X1560" s="55">
        <f>AM1560</f>
        <v/>
      </c>
      <c r="Y1560" s="55">
        <f>MAX(AM1560,G1560)</f>
        <v/>
      </c>
      <c r="Z1560" s="63" t="n"/>
      <c r="AA1560" s="55">
        <f>IF(LEFT(Cockpit!$C$5,1)="A",G1560,IF(BT1560=1,BU1560,IF(LEFT(Cockpit!$C$5,1)="B",AE1560,MAX(AE1560,G1560))))</f>
        <v/>
      </c>
      <c r="AB1560" s="55">
        <f>IF(BO1560=1,0,ROUNDUP(AA1560/BN1560,0))</f>
        <v/>
      </c>
      <c r="AC1560" s="64">
        <f>IF(BO1560=1,IF(AA1560&lt;=0,0,BP1560*MAX(1,IF(G1560&gt;0,AA1560/G1560,1))),AB1560*Q1560)</f>
        <v/>
      </c>
      <c r="AD1560" s="55">
        <f>AA1560*F1560</f>
        <v/>
      </c>
      <c r="AE1560" s="55">
        <f>ROUNDUP(MAX(I1560/IF(BS1560&gt;0,BS1560,MAX(0.1,N(Cockpit!$C$6))),BV1560)/BN1560,0)*BN1560</f>
        <v/>
      </c>
      <c r="AF1560" s="56">
        <f>IF(AC1560&gt;0,I1560/AC1560,-1)</f>
        <v/>
      </c>
      <c r="AG1560" s="56">
        <f>IF(AND(OR(BR1560="L1",BR1560="L23"),AC1560&gt;0),SUMIFS($AC$7:$AC$1570,$BR$7:$BR$1570,BR1560,$AF$7:$AF$1570,"&gt;"&amp;AF1560)+SUMIFS($AC$7:$AC$1570,$BR$7:$BR$1570,BR1560,$AF$7:$AF$1570,AF1560,$BL$7:$BL$1570,"&lt;="&amp;BL1560),"")</f>
        <v/>
      </c>
      <c r="AH1560" s="65">
        <f>IF(AG1560="",0,MAX(0,MIN(1,(IF(BR1560="L1",Parameter!$K$5,Parameter!$K$6+Parameter!$K$7)-(AG1560-AC1560))/AC1560)))</f>
        <v/>
      </c>
      <c r="AI1560" s="55">
        <f>IF(LEFT(Cockpit!$I$5,1)="A",G1560,IF(BT1560=1,BU1560,IF(LEFT(Cockpit!$I$5,1)="B",AM1560,MAX(AM1560,G1560))))</f>
        <v/>
      </c>
      <c r="AJ1560" s="55">
        <f>IF(BO1560=1,0,ROUNDUP(AI1560/BN1560,0))</f>
        <v/>
      </c>
      <c r="AK1560" s="64">
        <f>IF(BO1560=1,IF(AI1560&lt;=0,0,BP1560*MAX(1,IF(G1560&gt;0,AI1560/G1560,1))),AJ1560*Q1560)</f>
        <v/>
      </c>
      <c r="AL1560" s="55">
        <f>AI1560*F1560</f>
        <v/>
      </c>
      <c r="AM1560" s="55">
        <f>ROUNDUP(MAX(I1560/IF(BS1560&gt;0,BS1560,MAX(0.1,N(Cockpit!$I$6))),BV1560)/BN1560,0)*BN1560</f>
        <v/>
      </c>
      <c r="AN1560" s="56">
        <f>IF(AK1560&gt;0,I1560/AK1560,-1)</f>
        <v/>
      </c>
      <c r="AO1560" s="56">
        <f>IF(AND(OR(BR1560="L1",BR1560="L23"),AK1560&gt;0),SUMIFS($AK$7:$AK$1570,$BR$7:$BR$1570,BR1560,$AN$7:$AN$1570,"&gt;"&amp;AN1560)+SUMIFS($AK$7:$AK$1570,$BR$7:$BR$1570,BR1560,$AN$7:$AN$1570,AN1560,$BL$7:$BL$1570,"&lt;="&amp;BL1560),"")</f>
        <v/>
      </c>
      <c r="AP1560" s="65">
        <f>IF(AO1560="",0,MAX(0,MIN(1,(IF(BR1560="L1",Parameter!$K$5,Parameter!$K$6+Parameter!$K$7)-(AO1560-AK1560))/AK1560)))</f>
        <v/>
      </c>
      <c r="AQ1560" s="55">
        <f>IF(LEFT(Cockpit!$O$5,1)="A",G1560,IF(BT1560=1,BU1560,IF(LEFT(Cockpit!$O$5,1)="B",AU1560,MAX(AU1560,G1560))))</f>
        <v/>
      </c>
      <c r="AR1560" s="55">
        <f>IF(BO1560=1,0,ROUNDUP(AQ1560/BN1560,0))</f>
        <v/>
      </c>
      <c r="AS1560" s="64">
        <f>IF(BO1560=1,IF(AQ1560&lt;=0,0,BP1560*MAX(1,IF(G1560&gt;0,AQ1560/G1560,1))),AR1560*Q1560)</f>
        <v/>
      </c>
      <c r="AT1560" s="55">
        <f>AQ1560*F1560</f>
        <v/>
      </c>
      <c r="AU1560" s="55">
        <f>ROUNDUP(MAX(I1560/IF(BS1560&gt;0,BS1560,MAX(0.1,N(Cockpit!$O$6))),BV1560)/BN1560,0)*BN1560</f>
        <v/>
      </c>
      <c r="AV1560" s="56">
        <f>IF(AS1560&gt;0,I1560/AS1560,-1)</f>
        <v/>
      </c>
      <c r="AW1560" s="56">
        <f>IF(AND(OR(BR1560="L1",BR1560="L23"),AS1560&gt;0),SUMIFS($AS$7:$AS$1570,$BR$7:$BR$1570,BR1560,$AV$7:$AV$1570,"&gt;"&amp;AV1560)+SUMIFS($AS$7:$AS$1570,$BR$7:$BR$1570,BR1560,$AV$7:$AV$1570,AV1560,$BL$7:$BL$1570,"&lt;="&amp;BL1560),"")</f>
        <v/>
      </c>
      <c r="AX1560" s="65">
        <f>IF(AW1560="",0,MAX(0,MIN(1,(IF(BR1560="L1",Parameter!$K$5,Parameter!$K$6+Parameter!$K$7)-(AW1560-AS1560))/AS1560)))</f>
        <v/>
      </c>
      <c r="AY1560" s="53">
        <f>IF(AC1560&lt;=0,"",IF(BR1560="Aussen","Aussenlager",IF(BR1560="-","Nicht im Lift",IF(AH1560&gt;=1,"Lift",IF(AH1560&lt;=0,"Aussenlager","teilweise")))))</f>
        <v/>
      </c>
      <c r="AZ1560" s="53">
        <f>IF(AK1560&lt;=0,"",IF(BR1560="Aussen","Aussenlager",IF(BR1560="-","Nicht im Lift",IF(AP1560&gt;=1,"Lift",IF(AP1560&lt;=0,"Aussenlager","teilweise")))))</f>
        <v/>
      </c>
      <c r="BA1560" s="53">
        <f>IF(AS1560&lt;=0,"",IF(BR1560="Aussen","Aussenlager",IF(BR1560="-","Nicht im Lift",IF(AX1560&gt;=1,"Lift",IF(AX1560&lt;=0,"Aussenlager","teilweise")))))</f>
        <v/>
      </c>
      <c r="BB1560" s="53">
        <f>IF(A1560="","",IF(BK1560=1,"Neu; ","")&amp;IF(AND(BK1560=0,BF1560&lt;0),"negativer Bestand (Export "&amp;BF1560&amp;"); ","")&amp;IF(I1560&lt;=0,"Kein Verbrauch; ","")&amp;IF(BO1560=1,"Lose – Fläche geschätzt; ","")&amp;IF(G1560&gt;AM1560,"Überbestand "&amp;ROUND(G1560-AM1560,0)&amp;" Stk / CHF "&amp;ROUND((G1560-AM1560)*F1560,0)&amp;"; ","")&amp;IF(AND(BT1560=1,BU1560&lt;BV1560),"MAX &lt; MB+LG; ","")&amp;IF(AND(BZ1560&gt;0,BY1560*10&gt;BZ1560),"zu hoch für Tablar; ","")&amp;IF(AND(BK1560=0,OR(BT1560=1,V1560&lt;&gt;"",S1560&lt;&gt;"",T1560&lt;&gt;"",W1560&lt;&gt;"")),"manuell übersteuert; ","")&amp;IF(AND(BO1560=0,Q1560=0),"Gebinde unbekannt; ","")&amp;IF(AND(BO1560=0,N(T1560)&lt;=0,N(P1560)&lt;=0),"Menge pro Gebinde fehlt (Ist = 1 Gebinde); ","")&amp;BJ1560)</f>
        <v/>
      </c>
      <c r="BC1560" s="53" t="n"/>
      <c r="BD1560" s="53" t="n"/>
      <c r="BE1560" s="61" t="n"/>
      <c r="BF1560" s="55">
        <f>N('Neue Artikel'!$D$94)</f>
        <v/>
      </c>
      <c r="BG1560" s="55" t="n">
        <v>0</v>
      </c>
      <c r="BH1560" s="54" t="n">
        <v>0</v>
      </c>
      <c r="BI1560" s="55">
        <f>N('Neue Artikel'!$C$94)/Parameter!$B$18</f>
        <v/>
      </c>
      <c r="BJ1560" s="53" t="inlineStr"/>
      <c r="BK1560" s="58" t="n">
        <v>1</v>
      </c>
      <c r="BL1560" s="58" t="n">
        <v>1560</v>
      </c>
      <c r="BM1560" s="53">
        <f>IF(S1560&lt;&gt;"",UPPER(TRIM(S1560)),IF(O1560="","LOSE",O1560))</f>
        <v/>
      </c>
      <c r="BN1560" s="55">
        <f>IF(BM1560="LOSE",1,IF(N(T1560)&gt;0,T1560,IF(N(P1560)&gt;0,P1560,MAX(1,G1560))))</f>
        <v/>
      </c>
      <c r="BO1560" s="58">
        <f>IF(BM1560="LOSE",1,0)</f>
        <v/>
      </c>
      <c r="BP1560" s="64">
        <f>IF(BO1560=0,0,IF(N(R1560)&gt;0,R1560,IFERROR(VLOOKUP(D1560,Parameter!$A$35:$C$64,3,0)+0,0)))</f>
        <v/>
      </c>
      <c r="BQ1560" s="53">
        <f>IF(V1560&lt;&gt;"",V1560,U1560)</f>
        <v/>
      </c>
      <c r="BR1560" s="53">
        <f>IF(BQ1560=1,"L1",IF(OR(BQ1560=2,BQ1560=3),"L23",IF(BQ1560="Aussen","Aussen","-")))</f>
        <v/>
      </c>
      <c r="BS1560" s="66">
        <f>IF(N(W1560)&gt;0,W1560,0)</f>
        <v/>
      </c>
      <c r="BT1560" s="58">
        <f>IF(ISNUMBER(Z1560),1,0)</f>
        <v/>
      </c>
      <c r="BU1560" s="55">
        <f>N(Z1560)</f>
        <v/>
      </c>
      <c r="BV1560" s="55">
        <f>N(L1560)+N(M1560)</f>
        <v/>
      </c>
      <c r="BW1560" s="55">
        <f>ROUNDUP(G1560/BN1560,0)</f>
        <v/>
      </c>
      <c r="BX1560" s="55">
        <f>ROUNDUP(BU1560/BN1560,0)</f>
        <v/>
      </c>
      <c r="BY1560" s="58">
        <f>IF(BO1560=1,0,IFERROR(VLOOKUP(BM1560,'Gebinde-Kategorie'!$A$5:$G$45,5,0)+0,0))</f>
        <v/>
      </c>
      <c r="BZ1560" s="58">
        <f>IFERROR(IF(OR(BQ1560=1,BQ1560=2,BQ1560=3),N(INDEX(Parameter!$I$5:$I$7,BQ1560)),0),0)</f>
        <v/>
      </c>
    </row>
    <row r="1561">
      <c r="A1561" s="53">
        <f>IF('Neue Artikel'!$A$95="","",'Neue Artikel'!$A$95&amp;"")</f>
        <v/>
      </c>
      <c r="B1561" s="53">
        <f>'Neue Artikel'!$B$95&amp;""</f>
        <v/>
      </c>
      <c r="C1561" s="53" t="inlineStr"/>
      <c r="D1561" s="53" t="inlineStr">
        <is>
          <t>NEU</t>
        </is>
      </c>
      <c r="E1561" s="53" t="inlineStr"/>
      <c r="F1561" s="54">
        <f>N('Neue Artikel'!$G$95)</f>
        <v/>
      </c>
      <c r="G1561" s="55">
        <f>MAX(0,IF(Parameter!$B$20="Jahresanfang 2025 + Export",BG1561+BF1561,BF1561))</f>
        <v/>
      </c>
      <c r="H1561" s="55">
        <f>G1561*F1561</f>
        <v/>
      </c>
      <c r="I1561" s="55">
        <f>BI1561*Parameter!$B$18</f>
        <v/>
      </c>
      <c r="J1561" s="56" t="n"/>
      <c r="K1561" s="57" t="n"/>
      <c r="L1561" s="55">
        <f>N('Neue Artikel'!$E$95)</f>
        <v/>
      </c>
      <c r="M1561" s="55">
        <f>N('Neue Artikel'!$F$95)</f>
        <v/>
      </c>
      <c r="N1561" s="58" t="n"/>
      <c r="O1561" s="53">
        <f>IF('Neue Artikel'!$H$95="","LOSE",UPPER(TRIM('Neue Artikel'!$H$95)))</f>
        <v/>
      </c>
      <c r="P1561" s="55">
        <f>N('Neue Artikel'!$I$95)</f>
        <v/>
      </c>
      <c r="Q1561" s="59">
        <f>IF(BO1561=1,0,IFERROR(VLOOKUP(BM1561,'Gebinde-Kategorie'!$A$5:$G$45,6,0)+0,0))</f>
        <v/>
      </c>
      <c r="R1561" s="60" t="n"/>
      <c r="S1561" s="61" t="n"/>
      <c r="T1561" s="61" t="n"/>
      <c r="U1561" s="53">
        <f>IF(A1561="","",IF(IFERROR(VLOOKUP(D1561,Parameter!$A$35:$C$64,2,0),"Nein")="2+3",IF(ISNUMBER(SEARCH("grosser Artikel",BJ1561)),2,IFERROR(VLOOKUP(BM1561,Parameter!$F$35:$G$64,2,0),2)),IF(OR(IFERROR(VLOOKUP(D1561,Parameter!$A$35:$C$64,2,0),"Nein")="Nein",IFERROR(VLOOKUP(D1561,Parameter!$A$35:$C$64,2,0),"Nein")=""),"-",VLOOKUP(D1561,Parameter!$A$35:$C$64,2,0))))</f>
        <v/>
      </c>
      <c r="V1561" s="53">
        <f>IF('Neue Artikel'!$J$95="","",'Neue Artikel'!$J$95)</f>
        <v/>
      </c>
      <c r="W1561" s="62" t="n"/>
      <c r="X1561" s="55">
        <f>AM1561</f>
        <v/>
      </c>
      <c r="Y1561" s="55">
        <f>MAX(AM1561,G1561)</f>
        <v/>
      </c>
      <c r="Z1561" s="63" t="n"/>
      <c r="AA1561" s="55">
        <f>IF(LEFT(Cockpit!$C$5,1)="A",G1561,IF(BT1561=1,BU1561,IF(LEFT(Cockpit!$C$5,1)="B",AE1561,MAX(AE1561,G1561))))</f>
        <v/>
      </c>
      <c r="AB1561" s="55">
        <f>IF(BO1561=1,0,ROUNDUP(AA1561/BN1561,0))</f>
        <v/>
      </c>
      <c r="AC1561" s="64">
        <f>IF(BO1561=1,IF(AA1561&lt;=0,0,BP1561*MAX(1,IF(G1561&gt;0,AA1561/G1561,1))),AB1561*Q1561)</f>
        <v/>
      </c>
      <c r="AD1561" s="55">
        <f>AA1561*F1561</f>
        <v/>
      </c>
      <c r="AE1561" s="55">
        <f>ROUNDUP(MAX(I1561/IF(BS1561&gt;0,BS1561,MAX(0.1,N(Cockpit!$C$6))),BV1561)/BN1561,0)*BN1561</f>
        <v/>
      </c>
      <c r="AF1561" s="56">
        <f>IF(AC1561&gt;0,I1561/AC1561,-1)</f>
        <v/>
      </c>
      <c r="AG1561" s="56">
        <f>IF(AND(OR(BR1561="L1",BR1561="L23"),AC1561&gt;0),SUMIFS($AC$7:$AC$1570,$BR$7:$BR$1570,BR1561,$AF$7:$AF$1570,"&gt;"&amp;AF1561)+SUMIFS($AC$7:$AC$1570,$BR$7:$BR$1570,BR1561,$AF$7:$AF$1570,AF1561,$BL$7:$BL$1570,"&lt;="&amp;BL1561),"")</f>
        <v/>
      </c>
      <c r="AH1561" s="65">
        <f>IF(AG1561="",0,MAX(0,MIN(1,(IF(BR1561="L1",Parameter!$K$5,Parameter!$K$6+Parameter!$K$7)-(AG1561-AC1561))/AC1561)))</f>
        <v/>
      </c>
      <c r="AI1561" s="55">
        <f>IF(LEFT(Cockpit!$I$5,1)="A",G1561,IF(BT1561=1,BU1561,IF(LEFT(Cockpit!$I$5,1)="B",AM1561,MAX(AM1561,G1561))))</f>
        <v/>
      </c>
      <c r="AJ1561" s="55">
        <f>IF(BO1561=1,0,ROUNDUP(AI1561/BN1561,0))</f>
        <v/>
      </c>
      <c r="AK1561" s="64">
        <f>IF(BO1561=1,IF(AI1561&lt;=0,0,BP1561*MAX(1,IF(G1561&gt;0,AI1561/G1561,1))),AJ1561*Q1561)</f>
        <v/>
      </c>
      <c r="AL1561" s="55">
        <f>AI1561*F1561</f>
        <v/>
      </c>
      <c r="AM1561" s="55">
        <f>ROUNDUP(MAX(I1561/IF(BS1561&gt;0,BS1561,MAX(0.1,N(Cockpit!$I$6))),BV1561)/BN1561,0)*BN1561</f>
        <v/>
      </c>
      <c r="AN1561" s="56">
        <f>IF(AK1561&gt;0,I1561/AK1561,-1)</f>
        <v/>
      </c>
      <c r="AO1561" s="56">
        <f>IF(AND(OR(BR1561="L1",BR1561="L23"),AK1561&gt;0),SUMIFS($AK$7:$AK$1570,$BR$7:$BR$1570,BR1561,$AN$7:$AN$1570,"&gt;"&amp;AN1561)+SUMIFS($AK$7:$AK$1570,$BR$7:$BR$1570,BR1561,$AN$7:$AN$1570,AN1561,$BL$7:$BL$1570,"&lt;="&amp;BL1561),"")</f>
        <v/>
      </c>
      <c r="AP1561" s="65">
        <f>IF(AO1561="",0,MAX(0,MIN(1,(IF(BR1561="L1",Parameter!$K$5,Parameter!$K$6+Parameter!$K$7)-(AO1561-AK1561))/AK1561)))</f>
        <v/>
      </c>
      <c r="AQ1561" s="55">
        <f>IF(LEFT(Cockpit!$O$5,1)="A",G1561,IF(BT1561=1,BU1561,IF(LEFT(Cockpit!$O$5,1)="B",AU1561,MAX(AU1561,G1561))))</f>
        <v/>
      </c>
      <c r="AR1561" s="55">
        <f>IF(BO1561=1,0,ROUNDUP(AQ1561/BN1561,0))</f>
        <v/>
      </c>
      <c r="AS1561" s="64">
        <f>IF(BO1561=1,IF(AQ1561&lt;=0,0,BP1561*MAX(1,IF(G1561&gt;0,AQ1561/G1561,1))),AR1561*Q1561)</f>
        <v/>
      </c>
      <c r="AT1561" s="55">
        <f>AQ1561*F1561</f>
        <v/>
      </c>
      <c r="AU1561" s="55">
        <f>ROUNDUP(MAX(I1561/IF(BS1561&gt;0,BS1561,MAX(0.1,N(Cockpit!$O$6))),BV1561)/BN1561,0)*BN1561</f>
        <v/>
      </c>
      <c r="AV1561" s="56">
        <f>IF(AS1561&gt;0,I1561/AS1561,-1)</f>
        <v/>
      </c>
      <c r="AW1561" s="56">
        <f>IF(AND(OR(BR1561="L1",BR1561="L23"),AS1561&gt;0),SUMIFS($AS$7:$AS$1570,$BR$7:$BR$1570,BR1561,$AV$7:$AV$1570,"&gt;"&amp;AV1561)+SUMIFS($AS$7:$AS$1570,$BR$7:$BR$1570,BR1561,$AV$7:$AV$1570,AV1561,$BL$7:$BL$1570,"&lt;="&amp;BL1561),"")</f>
        <v/>
      </c>
      <c r="AX1561" s="65">
        <f>IF(AW1561="",0,MAX(0,MIN(1,(IF(BR1561="L1",Parameter!$K$5,Parameter!$K$6+Parameter!$K$7)-(AW1561-AS1561))/AS1561)))</f>
        <v/>
      </c>
      <c r="AY1561" s="53">
        <f>IF(AC1561&lt;=0,"",IF(BR1561="Aussen","Aussenlager",IF(BR1561="-","Nicht im Lift",IF(AH1561&gt;=1,"Lift",IF(AH1561&lt;=0,"Aussenlager","teilweise")))))</f>
        <v/>
      </c>
      <c r="AZ1561" s="53">
        <f>IF(AK1561&lt;=0,"",IF(BR1561="Aussen","Aussenlager",IF(BR1561="-","Nicht im Lift",IF(AP1561&gt;=1,"Lift",IF(AP1561&lt;=0,"Aussenlager","teilweise")))))</f>
        <v/>
      </c>
      <c r="BA1561" s="53">
        <f>IF(AS1561&lt;=0,"",IF(BR1561="Aussen","Aussenlager",IF(BR1561="-","Nicht im Lift",IF(AX1561&gt;=1,"Lift",IF(AX1561&lt;=0,"Aussenlager","teilweise")))))</f>
        <v/>
      </c>
      <c r="BB1561" s="53">
        <f>IF(A1561="","",IF(BK1561=1,"Neu; ","")&amp;IF(AND(BK1561=0,BF1561&lt;0),"negativer Bestand (Export "&amp;BF1561&amp;"); ","")&amp;IF(I1561&lt;=0,"Kein Verbrauch; ","")&amp;IF(BO1561=1,"Lose – Fläche geschätzt; ","")&amp;IF(G1561&gt;AM1561,"Überbestand "&amp;ROUND(G1561-AM1561,0)&amp;" Stk / CHF "&amp;ROUND((G1561-AM1561)*F1561,0)&amp;"; ","")&amp;IF(AND(BT1561=1,BU1561&lt;BV1561),"MAX &lt; MB+LG; ","")&amp;IF(AND(BZ1561&gt;0,BY1561*10&gt;BZ1561),"zu hoch für Tablar; ","")&amp;IF(AND(BK1561=0,OR(BT1561=1,V1561&lt;&gt;"",S1561&lt;&gt;"",T1561&lt;&gt;"",W1561&lt;&gt;"")),"manuell übersteuert; ","")&amp;IF(AND(BO1561=0,Q1561=0),"Gebinde unbekannt; ","")&amp;IF(AND(BO1561=0,N(T1561)&lt;=0,N(P1561)&lt;=0),"Menge pro Gebinde fehlt (Ist = 1 Gebinde); ","")&amp;BJ1561)</f>
        <v/>
      </c>
      <c r="BC1561" s="53" t="n"/>
      <c r="BD1561" s="53" t="n"/>
      <c r="BE1561" s="61" t="n"/>
      <c r="BF1561" s="55">
        <f>N('Neue Artikel'!$D$95)</f>
        <v/>
      </c>
      <c r="BG1561" s="55" t="n">
        <v>0</v>
      </c>
      <c r="BH1561" s="54" t="n">
        <v>0</v>
      </c>
      <c r="BI1561" s="55">
        <f>N('Neue Artikel'!$C$95)/Parameter!$B$18</f>
        <v/>
      </c>
      <c r="BJ1561" s="53" t="inlineStr"/>
      <c r="BK1561" s="58" t="n">
        <v>1</v>
      </c>
      <c r="BL1561" s="58" t="n">
        <v>1561</v>
      </c>
      <c r="BM1561" s="53">
        <f>IF(S1561&lt;&gt;"",UPPER(TRIM(S1561)),IF(O1561="","LOSE",O1561))</f>
        <v/>
      </c>
      <c r="BN1561" s="55">
        <f>IF(BM1561="LOSE",1,IF(N(T1561)&gt;0,T1561,IF(N(P1561)&gt;0,P1561,MAX(1,G1561))))</f>
        <v/>
      </c>
      <c r="BO1561" s="58">
        <f>IF(BM1561="LOSE",1,0)</f>
        <v/>
      </c>
      <c r="BP1561" s="64">
        <f>IF(BO1561=0,0,IF(N(R1561)&gt;0,R1561,IFERROR(VLOOKUP(D1561,Parameter!$A$35:$C$64,3,0)+0,0)))</f>
        <v/>
      </c>
      <c r="BQ1561" s="53">
        <f>IF(V1561&lt;&gt;"",V1561,U1561)</f>
        <v/>
      </c>
      <c r="BR1561" s="53">
        <f>IF(BQ1561=1,"L1",IF(OR(BQ1561=2,BQ1561=3),"L23",IF(BQ1561="Aussen","Aussen","-")))</f>
        <v/>
      </c>
      <c r="BS1561" s="66">
        <f>IF(N(W1561)&gt;0,W1561,0)</f>
        <v/>
      </c>
      <c r="BT1561" s="58">
        <f>IF(ISNUMBER(Z1561),1,0)</f>
        <v/>
      </c>
      <c r="BU1561" s="55">
        <f>N(Z1561)</f>
        <v/>
      </c>
      <c r="BV1561" s="55">
        <f>N(L1561)+N(M1561)</f>
        <v/>
      </c>
      <c r="BW1561" s="55">
        <f>ROUNDUP(G1561/BN1561,0)</f>
        <v/>
      </c>
      <c r="BX1561" s="55">
        <f>ROUNDUP(BU1561/BN1561,0)</f>
        <v/>
      </c>
      <c r="BY1561" s="58">
        <f>IF(BO1561=1,0,IFERROR(VLOOKUP(BM1561,'Gebinde-Kategorie'!$A$5:$G$45,5,0)+0,0))</f>
        <v/>
      </c>
      <c r="BZ1561" s="58">
        <f>IFERROR(IF(OR(BQ1561=1,BQ1561=2,BQ1561=3),N(INDEX(Parameter!$I$5:$I$7,BQ1561)),0),0)</f>
        <v/>
      </c>
    </row>
    <row r="1562">
      <c r="A1562" s="53">
        <f>IF('Neue Artikel'!$A$96="","",'Neue Artikel'!$A$96&amp;"")</f>
        <v/>
      </c>
      <c r="B1562" s="53">
        <f>'Neue Artikel'!$B$96&amp;""</f>
        <v/>
      </c>
      <c r="C1562" s="53" t="inlineStr"/>
      <c r="D1562" s="53" t="inlineStr">
        <is>
          <t>NEU</t>
        </is>
      </c>
      <c r="E1562" s="53" t="inlineStr"/>
      <c r="F1562" s="54">
        <f>N('Neue Artikel'!$G$96)</f>
        <v/>
      </c>
      <c r="G1562" s="55">
        <f>MAX(0,IF(Parameter!$B$20="Jahresanfang 2025 + Export",BG1562+BF1562,BF1562))</f>
        <v/>
      </c>
      <c r="H1562" s="55">
        <f>G1562*F1562</f>
        <v/>
      </c>
      <c r="I1562" s="55">
        <f>BI1562*Parameter!$B$18</f>
        <v/>
      </c>
      <c r="J1562" s="56" t="n"/>
      <c r="K1562" s="57" t="n"/>
      <c r="L1562" s="55">
        <f>N('Neue Artikel'!$E$96)</f>
        <v/>
      </c>
      <c r="M1562" s="55">
        <f>N('Neue Artikel'!$F$96)</f>
        <v/>
      </c>
      <c r="N1562" s="58" t="n"/>
      <c r="O1562" s="53">
        <f>IF('Neue Artikel'!$H$96="","LOSE",UPPER(TRIM('Neue Artikel'!$H$96)))</f>
        <v/>
      </c>
      <c r="P1562" s="55">
        <f>N('Neue Artikel'!$I$96)</f>
        <v/>
      </c>
      <c r="Q1562" s="59">
        <f>IF(BO1562=1,0,IFERROR(VLOOKUP(BM1562,'Gebinde-Kategorie'!$A$5:$G$45,6,0)+0,0))</f>
        <v/>
      </c>
      <c r="R1562" s="60" t="n"/>
      <c r="S1562" s="61" t="n"/>
      <c r="T1562" s="61" t="n"/>
      <c r="U1562" s="53">
        <f>IF(A1562="","",IF(IFERROR(VLOOKUP(D1562,Parameter!$A$35:$C$64,2,0),"Nein")="2+3",IF(ISNUMBER(SEARCH("grosser Artikel",BJ1562)),2,IFERROR(VLOOKUP(BM1562,Parameter!$F$35:$G$64,2,0),2)),IF(OR(IFERROR(VLOOKUP(D1562,Parameter!$A$35:$C$64,2,0),"Nein")="Nein",IFERROR(VLOOKUP(D1562,Parameter!$A$35:$C$64,2,0),"Nein")=""),"-",VLOOKUP(D1562,Parameter!$A$35:$C$64,2,0))))</f>
        <v/>
      </c>
      <c r="V1562" s="53">
        <f>IF('Neue Artikel'!$J$96="","",'Neue Artikel'!$J$96)</f>
        <v/>
      </c>
      <c r="W1562" s="62" t="n"/>
      <c r="X1562" s="55">
        <f>AM1562</f>
        <v/>
      </c>
      <c r="Y1562" s="55">
        <f>MAX(AM1562,G1562)</f>
        <v/>
      </c>
      <c r="Z1562" s="63" t="n"/>
      <c r="AA1562" s="55">
        <f>IF(LEFT(Cockpit!$C$5,1)="A",G1562,IF(BT1562=1,BU1562,IF(LEFT(Cockpit!$C$5,1)="B",AE1562,MAX(AE1562,G1562))))</f>
        <v/>
      </c>
      <c r="AB1562" s="55">
        <f>IF(BO1562=1,0,ROUNDUP(AA1562/BN1562,0))</f>
        <v/>
      </c>
      <c r="AC1562" s="64">
        <f>IF(BO1562=1,IF(AA1562&lt;=0,0,BP1562*MAX(1,IF(G1562&gt;0,AA1562/G1562,1))),AB1562*Q1562)</f>
        <v/>
      </c>
      <c r="AD1562" s="55">
        <f>AA1562*F1562</f>
        <v/>
      </c>
      <c r="AE1562" s="55">
        <f>ROUNDUP(MAX(I1562/IF(BS1562&gt;0,BS1562,MAX(0.1,N(Cockpit!$C$6))),BV1562)/BN1562,0)*BN1562</f>
        <v/>
      </c>
      <c r="AF1562" s="56">
        <f>IF(AC1562&gt;0,I1562/AC1562,-1)</f>
        <v/>
      </c>
      <c r="AG1562" s="56">
        <f>IF(AND(OR(BR1562="L1",BR1562="L23"),AC1562&gt;0),SUMIFS($AC$7:$AC$1570,$BR$7:$BR$1570,BR1562,$AF$7:$AF$1570,"&gt;"&amp;AF1562)+SUMIFS($AC$7:$AC$1570,$BR$7:$BR$1570,BR1562,$AF$7:$AF$1570,AF1562,$BL$7:$BL$1570,"&lt;="&amp;BL1562),"")</f>
        <v/>
      </c>
      <c r="AH1562" s="65">
        <f>IF(AG1562="",0,MAX(0,MIN(1,(IF(BR1562="L1",Parameter!$K$5,Parameter!$K$6+Parameter!$K$7)-(AG1562-AC1562))/AC1562)))</f>
        <v/>
      </c>
      <c r="AI1562" s="55">
        <f>IF(LEFT(Cockpit!$I$5,1)="A",G1562,IF(BT1562=1,BU1562,IF(LEFT(Cockpit!$I$5,1)="B",AM1562,MAX(AM1562,G1562))))</f>
        <v/>
      </c>
      <c r="AJ1562" s="55">
        <f>IF(BO1562=1,0,ROUNDUP(AI1562/BN1562,0))</f>
        <v/>
      </c>
      <c r="AK1562" s="64">
        <f>IF(BO1562=1,IF(AI1562&lt;=0,0,BP1562*MAX(1,IF(G1562&gt;0,AI1562/G1562,1))),AJ1562*Q1562)</f>
        <v/>
      </c>
      <c r="AL1562" s="55">
        <f>AI1562*F1562</f>
        <v/>
      </c>
      <c r="AM1562" s="55">
        <f>ROUNDUP(MAX(I1562/IF(BS1562&gt;0,BS1562,MAX(0.1,N(Cockpit!$I$6))),BV1562)/BN1562,0)*BN1562</f>
        <v/>
      </c>
      <c r="AN1562" s="56">
        <f>IF(AK1562&gt;0,I1562/AK1562,-1)</f>
        <v/>
      </c>
      <c r="AO1562" s="56">
        <f>IF(AND(OR(BR1562="L1",BR1562="L23"),AK1562&gt;0),SUMIFS($AK$7:$AK$1570,$BR$7:$BR$1570,BR1562,$AN$7:$AN$1570,"&gt;"&amp;AN1562)+SUMIFS($AK$7:$AK$1570,$BR$7:$BR$1570,BR1562,$AN$7:$AN$1570,AN1562,$BL$7:$BL$1570,"&lt;="&amp;BL1562),"")</f>
        <v/>
      </c>
      <c r="AP1562" s="65">
        <f>IF(AO1562="",0,MAX(0,MIN(1,(IF(BR1562="L1",Parameter!$K$5,Parameter!$K$6+Parameter!$K$7)-(AO1562-AK1562))/AK1562)))</f>
        <v/>
      </c>
      <c r="AQ1562" s="55">
        <f>IF(LEFT(Cockpit!$O$5,1)="A",G1562,IF(BT1562=1,BU1562,IF(LEFT(Cockpit!$O$5,1)="B",AU1562,MAX(AU1562,G1562))))</f>
        <v/>
      </c>
      <c r="AR1562" s="55">
        <f>IF(BO1562=1,0,ROUNDUP(AQ1562/BN1562,0))</f>
        <v/>
      </c>
      <c r="AS1562" s="64">
        <f>IF(BO1562=1,IF(AQ1562&lt;=0,0,BP1562*MAX(1,IF(G1562&gt;0,AQ1562/G1562,1))),AR1562*Q1562)</f>
        <v/>
      </c>
      <c r="AT1562" s="55">
        <f>AQ1562*F1562</f>
        <v/>
      </c>
      <c r="AU1562" s="55">
        <f>ROUNDUP(MAX(I1562/IF(BS1562&gt;0,BS1562,MAX(0.1,N(Cockpit!$O$6))),BV1562)/BN1562,0)*BN1562</f>
        <v/>
      </c>
      <c r="AV1562" s="56">
        <f>IF(AS1562&gt;0,I1562/AS1562,-1)</f>
        <v/>
      </c>
      <c r="AW1562" s="56">
        <f>IF(AND(OR(BR1562="L1",BR1562="L23"),AS1562&gt;0),SUMIFS($AS$7:$AS$1570,$BR$7:$BR$1570,BR1562,$AV$7:$AV$1570,"&gt;"&amp;AV1562)+SUMIFS($AS$7:$AS$1570,$BR$7:$BR$1570,BR1562,$AV$7:$AV$1570,AV1562,$BL$7:$BL$1570,"&lt;="&amp;BL1562),"")</f>
        <v/>
      </c>
      <c r="AX1562" s="65">
        <f>IF(AW1562="",0,MAX(0,MIN(1,(IF(BR1562="L1",Parameter!$K$5,Parameter!$K$6+Parameter!$K$7)-(AW1562-AS1562))/AS1562)))</f>
        <v/>
      </c>
      <c r="AY1562" s="53">
        <f>IF(AC1562&lt;=0,"",IF(BR1562="Aussen","Aussenlager",IF(BR1562="-","Nicht im Lift",IF(AH1562&gt;=1,"Lift",IF(AH1562&lt;=0,"Aussenlager","teilweise")))))</f>
        <v/>
      </c>
      <c r="AZ1562" s="53">
        <f>IF(AK1562&lt;=0,"",IF(BR1562="Aussen","Aussenlager",IF(BR1562="-","Nicht im Lift",IF(AP1562&gt;=1,"Lift",IF(AP1562&lt;=0,"Aussenlager","teilweise")))))</f>
        <v/>
      </c>
      <c r="BA1562" s="53">
        <f>IF(AS1562&lt;=0,"",IF(BR1562="Aussen","Aussenlager",IF(BR1562="-","Nicht im Lift",IF(AX1562&gt;=1,"Lift",IF(AX1562&lt;=0,"Aussenlager","teilweise")))))</f>
        <v/>
      </c>
      <c r="BB1562" s="53">
        <f>IF(A1562="","",IF(BK1562=1,"Neu; ","")&amp;IF(AND(BK1562=0,BF1562&lt;0),"negativer Bestand (Export "&amp;BF1562&amp;"); ","")&amp;IF(I1562&lt;=0,"Kein Verbrauch; ","")&amp;IF(BO1562=1,"Lose – Fläche geschätzt; ","")&amp;IF(G1562&gt;AM1562,"Überbestand "&amp;ROUND(G1562-AM1562,0)&amp;" Stk / CHF "&amp;ROUND((G1562-AM1562)*F1562,0)&amp;"; ","")&amp;IF(AND(BT1562=1,BU1562&lt;BV1562),"MAX &lt; MB+LG; ","")&amp;IF(AND(BZ1562&gt;0,BY1562*10&gt;BZ1562),"zu hoch für Tablar; ","")&amp;IF(AND(BK1562=0,OR(BT1562=1,V1562&lt;&gt;"",S1562&lt;&gt;"",T1562&lt;&gt;"",W1562&lt;&gt;"")),"manuell übersteuert; ","")&amp;IF(AND(BO1562=0,Q1562=0),"Gebinde unbekannt; ","")&amp;IF(AND(BO1562=0,N(T1562)&lt;=0,N(P1562)&lt;=0),"Menge pro Gebinde fehlt (Ist = 1 Gebinde); ","")&amp;BJ1562)</f>
        <v/>
      </c>
      <c r="BC1562" s="53" t="n"/>
      <c r="BD1562" s="53" t="n"/>
      <c r="BE1562" s="61" t="n"/>
      <c r="BF1562" s="55">
        <f>N('Neue Artikel'!$D$96)</f>
        <v/>
      </c>
      <c r="BG1562" s="55" t="n">
        <v>0</v>
      </c>
      <c r="BH1562" s="54" t="n">
        <v>0</v>
      </c>
      <c r="BI1562" s="55">
        <f>N('Neue Artikel'!$C$96)/Parameter!$B$18</f>
        <v/>
      </c>
      <c r="BJ1562" s="53" t="inlineStr"/>
      <c r="BK1562" s="58" t="n">
        <v>1</v>
      </c>
      <c r="BL1562" s="58" t="n">
        <v>1562</v>
      </c>
      <c r="BM1562" s="53">
        <f>IF(S1562&lt;&gt;"",UPPER(TRIM(S1562)),IF(O1562="","LOSE",O1562))</f>
        <v/>
      </c>
      <c r="BN1562" s="55">
        <f>IF(BM1562="LOSE",1,IF(N(T1562)&gt;0,T1562,IF(N(P1562)&gt;0,P1562,MAX(1,G1562))))</f>
        <v/>
      </c>
      <c r="BO1562" s="58">
        <f>IF(BM1562="LOSE",1,0)</f>
        <v/>
      </c>
      <c r="BP1562" s="64">
        <f>IF(BO1562=0,0,IF(N(R1562)&gt;0,R1562,IFERROR(VLOOKUP(D1562,Parameter!$A$35:$C$64,3,0)+0,0)))</f>
        <v/>
      </c>
      <c r="BQ1562" s="53">
        <f>IF(V1562&lt;&gt;"",V1562,U1562)</f>
        <v/>
      </c>
      <c r="BR1562" s="53">
        <f>IF(BQ1562=1,"L1",IF(OR(BQ1562=2,BQ1562=3),"L23",IF(BQ1562="Aussen","Aussen","-")))</f>
        <v/>
      </c>
      <c r="BS1562" s="66">
        <f>IF(N(W1562)&gt;0,W1562,0)</f>
        <v/>
      </c>
      <c r="BT1562" s="58">
        <f>IF(ISNUMBER(Z1562),1,0)</f>
        <v/>
      </c>
      <c r="BU1562" s="55">
        <f>N(Z1562)</f>
        <v/>
      </c>
      <c r="BV1562" s="55">
        <f>N(L1562)+N(M1562)</f>
        <v/>
      </c>
      <c r="BW1562" s="55">
        <f>ROUNDUP(G1562/BN1562,0)</f>
        <v/>
      </c>
      <c r="BX1562" s="55">
        <f>ROUNDUP(BU1562/BN1562,0)</f>
        <v/>
      </c>
      <c r="BY1562" s="58">
        <f>IF(BO1562=1,0,IFERROR(VLOOKUP(BM1562,'Gebinde-Kategorie'!$A$5:$G$45,5,0)+0,0))</f>
        <v/>
      </c>
      <c r="BZ1562" s="58">
        <f>IFERROR(IF(OR(BQ1562=1,BQ1562=2,BQ1562=3),N(INDEX(Parameter!$I$5:$I$7,BQ1562)),0),0)</f>
        <v/>
      </c>
    </row>
    <row r="1563">
      <c r="A1563" s="53">
        <f>IF('Neue Artikel'!$A$97="","",'Neue Artikel'!$A$97&amp;"")</f>
        <v/>
      </c>
      <c r="B1563" s="53">
        <f>'Neue Artikel'!$B$97&amp;""</f>
        <v/>
      </c>
      <c r="C1563" s="53" t="inlineStr"/>
      <c r="D1563" s="53" t="inlineStr">
        <is>
          <t>NEU</t>
        </is>
      </c>
      <c r="E1563" s="53" t="inlineStr"/>
      <c r="F1563" s="54">
        <f>N('Neue Artikel'!$G$97)</f>
        <v/>
      </c>
      <c r="G1563" s="55">
        <f>MAX(0,IF(Parameter!$B$20="Jahresanfang 2025 + Export",BG1563+BF1563,BF1563))</f>
        <v/>
      </c>
      <c r="H1563" s="55">
        <f>G1563*F1563</f>
        <v/>
      </c>
      <c r="I1563" s="55">
        <f>BI1563*Parameter!$B$18</f>
        <v/>
      </c>
      <c r="J1563" s="56" t="n"/>
      <c r="K1563" s="57" t="n"/>
      <c r="L1563" s="55">
        <f>N('Neue Artikel'!$E$97)</f>
        <v/>
      </c>
      <c r="M1563" s="55">
        <f>N('Neue Artikel'!$F$97)</f>
        <v/>
      </c>
      <c r="N1563" s="58" t="n"/>
      <c r="O1563" s="53">
        <f>IF('Neue Artikel'!$H$97="","LOSE",UPPER(TRIM('Neue Artikel'!$H$97)))</f>
        <v/>
      </c>
      <c r="P1563" s="55">
        <f>N('Neue Artikel'!$I$97)</f>
        <v/>
      </c>
      <c r="Q1563" s="59">
        <f>IF(BO1563=1,0,IFERROR(VLOOKUP(BM1563,'Gebinde-Kategorie'!$A$5:$G$45,6,0)+0,0))</f>
        <v/>
      </c>
      <c r="R1563" s="60" t="n"/>
      <c r="S1563" s="61" t="n"/>
      <c r="T1563" s="61" t="n"/>
      <c r="U1563" s="53">
        <f>IF(A1563="","",IF(IFERROR(VLOOKUP(D1563,Parameter!$A$35:$C$64,2,0),"Nein")="2+3",IF(ISNUMBER(SEARCH("grosser Artikel",BJ1563)),2,IFERROR(VLOOKUP(BM1563,Parameter!$F$35:$G$64,2,0),2)),IF(OR(IFERROR(VLOOKUP(D1563,Parameter!$A$35:$C$64,2,0),"Nein")="Nein",IFERROR(VLOOKUP(D1563,Parameter!$A$35:$C$64,2,0),"Nein")=""),"-",VLOOKUP(D1563,Parameter!$A$35:$C$64,2,0))))</f>
        <v/>
      </c>
      <c r="V1563" s="53">
        <f>IF('Neue Artikel'!$J$97="","",'Neue Artikel'!$J$97)</f>
        <v/>
      </c>
      <c r="W1563" s="62" t="n"/>
      <c r="X1563" s="55">
        <f>AM1563</f>
        <v/>
      </c>
      <c r="Y1563" s="55">
        <f>MAX(AM1563,G1563)</f>
        <v/>
      </c>
      <c r="Z1563" s="63" t="n"/>
      <c r="AA1563" s="55">
        <f>IF(LEFT(Cockpit!$C$5,1)="A",G1563,IF(BT1563=1,BU1563,IF(LEFT(Cockpit!$C$5,1)="B",AE1563,MAX(AE1563,G1563))))</f>
        <v/>
      </c>
      <c r="AB1563" s="55">
        <f>IF(BO1563=1,0,ROUNDUP(AA1563/BN1563,0))</f>
        <v/>
      </c>
      <c r="AC1563" s="64">
        <f>IF(BO1563=1,IF(AA1563&lt;=0,0,BP1563*MAX(1,IF(G1563&gt;0,AA1563/G1563,1))),AB1563*Q1563)</f>
        <v/>
      </c>
      <c r="AD1563" s="55">
        <f>AA1563*F1563</f>
        <v/>
      </c>
      <c r="AE1563" s="55">
        <f>ROUNDUP(MAX(I1563/IF(BS1563&gt;0,BS1563,MAX(0.1,N(Cockpit!$C$6))),BV1563)/BN1563,0)*BN1563</f>
        <v/>
      </c>
      <c r="AF1563" s="56">
        <f>IF(AC1563&gt;0,I1563/AC1563,-1)</f>
        <v/>
      </c>
      <c r="AG1563" s="56">
        <f>IF(AND(OR(BR1563="L1",BR1563="L23"),AC1563&gt;0),SUMIFS($AC$7:$AC$1570,$BR$7:$BR$1570,BR1563,$AF$7:$AF$1570,"&gt;"&amp;AF1563)+SUMIFS($AC$7:$AC$1570,$BR$7:$BR$1570,BR1563,$AF$7:$AF$1570,AF1563,$BL$7:$BL$1570,"&lt;="&amp;BL1563),"")</f>
        <v/>
      </c>
      <c r="AH1563" s="65">
        <f>IF(AG1563="",0,MAX(0,MIN(1,(IF(BR1563="L1",Parameter!$K$5,Parameter!$K$6+Parameter!$K$7)-(AG1563-AC1563))/AC1563)))</f>
        <v/>
      </c>
      <c r="AI1563" s="55">
        <f>IF(LEFT(Cockpit!$I$5,1)="A",G1563,IF(BT1563=1,BU1563,IF(LEFT(Cockpit!$I$5,1)="B",AM1563,MAX(AM1563,G1563))))</f>
        <v/>
      </c>
      <c r="AJ1563" s="55">
        <f>IF(BO1563=1,0,ROUNDUP(AI1563/BN1563,0))</f>
        <v/>
      </c>
      <c r="AK1563" s="64">
        <f>IF(BO1563=1,IF(AI1563&lt;=0,0,BP1563*MAX(1,IF(G1563&gt;0,AI1563/G1563,1))),AJ1563*Q1563)</f>
        <v/>
      </c>
      <c r="AL1563" s="55">
        <f>AI1563*F1563</f>
        <v/>
      </c>
      <c r="AM1563" s="55">
        <f>ROUNDUP(MAX(I1563/IF(BS1563&gt;0,BS1563,MAX(0.1,N(Cockpit!$I$6))),BV1563)/BN1563,0)*BN1563</f>
        <v/>
      </c>
      <c r="AN1563" s="56">
        <f>IF(AK1563&gt;0,I1563/AK1563,-1)</f>
        <v/>
      </c>
      <c r="AO1563" s="56">
        <f>IF(AND(OR(BR1563="L1",BR1563="L23"),AK1563&gt;0),SUMIFS($AK$7:$AK$1570,$BR$7:$BR$1570,BR1563,$AN$7:$AN$1570,"&gt;"&amp;AN1563)+SUMIFS($AK$7:$AK$1570,$BR$7:$BR$1570,BR1563,$AN$7:$AN$1570,AN1563,$BL$7:$BL$1570,"&lt;="&amp;BL1563),"")</f>
        <v/>
      </c>
      <c r="AP1563" s="65">
        <f>IF(AO1563="",0,MAX(0,MIN(1,(IF(BR1563="L1",Parameter!$K$5,Parameter!$K$6+Parameter!$K$7)-(AO1563-AK1563))/AK1563)))</f>
        <v/>
      </c>
      <c r="AQ1563" s="55">
        <f>IF(LEFT(Cockpit!$O$5,1)="A",G1563,IF(BT1563=1,BU1563,IF(LEFT(Cockpit!$O$5,1)="B",AU1563,MAX(AU1563,G1563))))</f>
        <v/>
      </c>
      <c r="AR1563" s="55">
        <f>IF(BO1563=1,0,ROUNDUP(AQ1563/BN1563,0))</f>
        <v/>
      </c>
      <c r="AS1563" s="64">
        <f>IF(BO1563=1,IF(AQ1563&lt;=0,0,BP1563*MAX(1,IF(G1563&gt;0,AQ1563/G1563,1))),AR1563*Q1563)</f>
        <v/>
      </c>
      <c r="AT1563" s="55">
        <f>AQ1563*F1563</f>
        <v/>
      </c>
      <c r="AU1563" s="55">
        <f>ROUNDUP(MAX(I1563/IF(BS1563&gt;0,BS1563,MAX(0.1,N(Cockpit!$O$6))),BV1563)/BN1563,0)*BN1563</f>
        <v/>
      </c>
      <c r="AV1563" s="56">
        <f>IF(AS1563&gt;0,I1563/AS1563,-1)</f>
        <v/>
      </c>
      <c r="AW1563" s="56">
        <f>IF(AND(OR(BR1563="L1",BR1563="L23"),AS1563&gt;0),SUMIFS($AS$7:$AS$1570,$BR$7:$BR$1570,BR1563,$AV$7:$AV$1570,"&gt;"&amp;AV1563)+SUMIFS($AS$7:$AS$1570,$BR$7:$BR$1570,BR1563,$AV$7:$AV$1570,AV1563,$BL$7:$BL$1570,"&lt;="&amp;BL1563),"")</f>
        <v/>
      </c>
      <c r="AX1563" s="65">
        <f>IF(AW1563="",0,MAX(0,MIN(1,(IF(BR1563="L1",Parameter!$K$5,Parameter!$K$6+Parameter!$K$7)-(AW1563-AS1563))/AS1563)))</f>
        <v/>
      </c>
      <c r="AY1563" s="53">
        <f>IF(AC1563&lt;=0,"",IF(BR1563="Aussen","Aussenlager",IF(BR1563="-","Nicht im Lift",IF(AH1563&gt;=1,"Lift",IF(AH1563&lt;=0,"Aussenlager","teilweise")))))</f>
        <v/>
      </c>
      <c r="AZ1563" s="53">
        <f>IF(AK1563&lt;=0,"",IF(BR1563="Aussen","Aussenlager",IF(BR1563="-","Nicht im Lift",IF(AP1563&gt;=1,"Lift",IF(AP1563&lt;=0,"Aussenlager","teilweise")))))</f>
        <v/>
      </c>
      <c r="BA1563" s="53">
        <f>IF(AS1563&lt;=0,"",IF(BR1563="Aussen","Aussenlager",IF(BR1563="-","Nicht im Lift",IF(AX1563&gt;=1,"Lift",IF(AX1563&lt;=0,"Aussenlager","teilweise")))))</f>
        <v/>
      </c>
      <c r="BB1563" s="53">
        <f>IF(A1563="","",IF(BK1563=1,"Neu; ","")&amp;IF(AND(BK1563=0,BF1563&lt;0),"negativer Bestand (Export "&amp;BF1563&amp;"); ","")&amp;IF(I1563&lt;=0,"Kein Verbrauch; ","")&amp;IF(BO1563=1,"Lose – Fläche geschätzt; ","")&amp;IF(G1563&gt;AM1563,"Überbestand "&amp;ROUND(G1563-AM1563,0)&amp;" Stk / CHF "&amp;ROUND((G1563-AM1563)*F1563,0)&amp;"; ","")&amp;IF(AND(BT1563=1,BU1563&lt;BV1563),"MAX &lt; MB+LG; ","")&amp;IF(AND(BZ1563&gt;0,BY1563*10&gt;BZ1563),"zu hoch für Tablar; ","")&amp;IF(AND(BK1563=0,OR(BT1563=1,V1563&lt;&gt;"",S1563&lt;&gt;"",T1563&lt;&gt;"",W1563&lt;&gt;"")),"manuell übersteuert; ","")&amp;IF(AND(BO1563=0,Q1563=0),"Gebinde unbekannt; ","")&amp;IF(AND(BO1563=0,N(T1563)&lt;=0,N(P1563)&lt;=0),"Menge pro Gebinde fehlt (Ist = 1 Gebinde); ","")&amp;BJ1563)</f>
        <v/>
      </c>
      <c r="BC1563" s="53" t="n"/>
      <c r="BD1563" s="53" t="n"/>
      <c r="BE1563" s="61" t="n"/>
      <c r="BF1563" s="55">
        <f>N('Neue Artikel'!$D$97)</f>
        <v/>
      </c>
      <c r="BG1563" s="55" t="n">
        <v>0</v>
      </c>
      <c r="BH1563" s="54" t="n">
        <v>0</v>
      </c>
      <c r="BI1563" s="55">
        <f>N('Neue Artikel'!$C$97)/Parameter!$B$18</f>
        <v/>
      </c>
      <c r="BJ1563" s="53" t="inlineStr"/>
      <c r="BK1563" s="58" t="n">
        <v>1</v>
      </c>
      <c r="BL1563" s="58" t="n">
        <v>1563</v>
      </c>
      <c r="BM1563" s="53">
        <f>IF(S1563&lt;&gt;"",UPPER(TRIM(S1563)),IF(O1563="","LOSE",O1563))</f>
        <v/>
      </c>
      <c r="BN1563" s="55">
        <f>IF(BM1563="LOSE",1,IF(N(T1563)&gt;0,T1563,IF(N(P1563)&gt;0,P1563,MAX(1,G1563))))</f>
        <v/>
      </c>
      <c r="BO1563" s="58">
        <f>IF(BM1563="LOSE",1,0)</f>
        <v/>
      </c>
      <c r="BP1563" s="64">
        <f>IF(BO1563=0,0,IF(N(R1563)&gt;0,R1563,IFERROR(VLOOKUP(D1563,Parameter!$A$35:$C$64,3,0)+0,0)))</f>
        <v/>
      </c>
      <c r="BQ1563" s="53">
        <f>IF(V1563&lt;&gt;"",V1563,U1563)</f>
        <v/>
      </c>
      <c r="BR1563" s="53">
        <f>IF(BQ1563=1,"L1",IF(OR(BQ1563=2,BQ1563=3),"L23",IF(BQ1563="Aussen","Aussen","-")))</f>
        <v/>
      </c>
      <c r="BS1563" s="66">
        <f>IF(N(W1563)&gt;0,W1563,0)</f>
        <v/>
      </c>
      <c r="BT1563" s="58">
        <f>IF(ISNUMBER(Z1563),1,0)</f>
        <v/>
      </c>
      <c r="BU1563" s="55">
        <f>N(Z1563)</f>
        <v/>
      </c>
      <c r="BV1563" s="55">
        <f>N(L1563)+N(M1563)</f>
        <v/>
      </c>
      <c r="BW1563" s="55">
        <f>ROUNDUP(G1563/BN1563,0)</f>
        <v/>
      </c>
      <c r="BX1563" s="55">
        <f>ROUNDUP(BU1563/BN1563,0)</f>
        <v/>
      </c>
      <c r="BY1563" s="58">
        <f>IF(BO1563=1,0,IFERROR(VLOOKUP(BM1563,'Gebinde-Kategorie'!$A$5:$G$45,5,0)+0,0))</f>
        <v/>
      </c>
      <c r="BZ1563" s="58">
        <f>IFERROR(IF(OR(BQ1563=1,BQ1563=2,BQ1563=3),N(INDEX(Parameter!$I$5:$I$7,BQ1563)),0),0)</f>
        <v/>
      </c>
    </row>
    <row r="1564">
      <c r="A1564" s="53">
        <f>IF('Neue Artikel'!$A$98="","",'Neue Artikel'!$A$98&amp;"")</f>
        <v/>
      </c>
      <c r="B1564" s="53">
        <f>'Neue Artikel'!$B$98&amp;""</f>
        <v/>
      </c>
      <c r="C1564" s="53" t="inlineStr"/>
      <c r="D1564" s="53" t="inlineStr">
        <is>
          <t>NEU</t>
        </is>
      </c>
      <c r="E1564" s="53" t="inlineStr"/>
      <c r="F1564" s="54">
        <f>N('Neue Artikel'!$G$98)</f>
        <v/>
      </c>
      <c r="G1564" s="55">
        <f>MAX(0,IF(Parameter!$B$20="Jahresanfang 2025 + Export",BG1564+BF1564,BF1564))</f>
        <v/>
      </c>
      <c r="H1564" s="55">
        <f>G1564*F1564</f>
        <v/>
      </c>
      <c r="I1564" s="55">
        <f>BI1564*Parameter!$B$18</f>
        <v/>
      </c>
      <c r="J1564" s="56" t="n"/>
      <c r="K1564" s="57" t="n"/>
      <c r="L1564" s="55">
        <f>N('Neue Artikel'!$E$98)</f>
        <v/>
      </c>
      <c r="M1564" s="55">
        <f>N('Neue Artikel'!$F$98)</f>
        <v/>
      </c>
      <c r="N1564" s="58" t="n"/>
      <c r="O1564" s="53">
        <f>IF('Neue Artikel'!$H$98="","LOSE",UPPER(TRIM('Neue Artikel'!$H$98)))</f>
        <v/>
      </c>
      <c r="P1564" s="55">
        <f>N('Neue Artikel'!$I$98)</f>
        <v/>
      </c>
      <c r="Q1564" s="59">
        <f>IF(BO1564=1,0,IFERROR(VLOOKUP(BM1564,'Gebinde-Kategorie'!$A$5:$G$45,6,0)+0,0))</f>
        <v/>
      </c>
      <c r="R1564" s="60" t="n"/>
      <c r="S1564" s="61" t="n"/>
      <c r="T1564" s="61" t="n"/>
      <c r="U1564" s="53">
        <f>IF(A1564="","",IF(IFERROR(VLOOKUP(D1564,Parameter!$A$35:$C$64,2,0),"Nein")="2+3",IF(ISNUMBER(SEARCH("grosser Artikel",BJ1564)),2,IFERROR(VLOOKUP(BM1564,Parameter!$F$35:$G$64,2,0),2)),IF(OR(IFERROR(VLOOKUP(D1564,Parameter!$A$35:$C$64,2,0),"Nein")="Nein",IFERROR(VLOOKUP(D1564,Parameter!$A$35:$C$64,2,0),"Nein")=""),"-",VLOOKUP(D1564,Parameter!$A$35:$C$64,2,0))))</f>
        <v/>
      </c>
      <c r="V1564" s="53">
        <f>IF('Neue Artikel'!$J$98="","",'Neue Artikel'!$J$98)</f>
        <v/>
      </c>
      <c r="W1564" s="62" t="n"/>
      <c r="X1564" s="55">
        <f>AM1564</f>
        <v/>
      </c>
      <c r="Y1564" s="55">
        <f>MAX(AM1564,G1564)</f>
        <v/>
      </c>
      <c r="Z1564" s="63" t="n"/>
      <c r="AA1564" s="55">
        <f>IF(LEFT(Cockpit!$C$5,1)="A",G1564,IF(BT1564=1,BU1564,IF(LEFT(Cockpit!$C$5,1)="B",AE1564,MAX(AE1564,G1564))))</f>
        <v/>
      </c>
      <c r="AB1564" s="55">
        <f>IF(BO1564=1,0,ROUNDUP(AA1564/BN1564,0))</f>
        <v/>
      </c>
      <c r="AC1564" s="64">
        <f>IF(BO1564=1,IF(AA1564&lt;=0,0,BP1564*MAX(1,IF(G1564&gt;0,AA1564/G1564,1))),AB1564*Q1564)</f>
        <v/>
      </c>
      <c r="AD1564" s="55">
        <f>AA1564*F1564</f>
        <v/>
      </c>
      <c r="AE1564" s="55">
        <f>ROUNDUP(MAX(I1564/IF(BS1564&gt;0,BS1564,MAX(0.1,N(Cockpit!$C$6))),BV1564)/BN1564,0)*BN1564</f>
        <v/>
      </c>
      <c r="AF1564" s="56">
        <f>IF(AC1564&gt;0,I1564/AC1564,-1)</f>
        <v/>
      </c>
      <c r="AG1564" s="56">
        <f>IF(AND(OR(BR1564="L1",BR1564="L23"),AC1564&gt;0),SUMIFS($AC$7:$AC$1570,$BR$7:$BR$1570,BR1564,$AF$7:$AF$1570,"&gt;"&amp;AF1564)+SUMIFS($AC$7:$AC$1570,$BR$7:$BR$1570,BR1564,$AF$7:$AF$1570,AF1564,$BL$7:$BL$1570,"&lt;="&amp;BL1564),"")</f>
        <v/>
      </c>
      <c r="AH1564" s="65">
        <f>IF(AG1564="",0,MAX(0,MIN(1,(IF(BR1564="L1",Parameter!$K$5,Parameter!$K$6+Parameter!$K$7)-(AG1564-AC1564))/AC1564)))</f>
        <v/>
      </c>
      <c r="AI1564" s="55">
        <f>IF(LEFT(Cockpit!$I$5,1)="A",G1564,IF(BT1564=1,BU1564,IF(LEFT(Cockpit!$I$5,1)="B",AM1564,MAX(AM1564,G1564))))</f>
        <v/>
      </c>
      <c r="AJ1564" s="55">
        <f>IF(BO1564=1,0,ROUNDUP(AI1564/BN1564,0))</f>
        <v/>
      </c>
      <c r="AK1564" s="64">
        <f>IF(BO1564=1,IF(AI1564&lt;=0,0,BP1564*MAX(1,IF(G1564&gt;0,AI1564/G1564,1))),AJ1564*Q1564)</f>
        <v/>
      </c>
      <c r="AL1564" s="55">
        <f>AI1564*F1564</f>
        <v/>
      </c>
      <c r="AM1564" s="55">
        <f>ROUNDUP(MAX(I1564/IF(BS1564&gt;0,BS1564,MAX(0.1,N(Cockpit!$I$6))),BV1564)/BN1564,0)*BN1564</f>
        <v/>
      </c>
      <c r="AN1564" s="56">
        <f>IF(AK1564&gt;0,I1564/AK1564,-1)</f>
        <v/>
      </c>
      <c r="AO1564" s="56">
        <f>IF(AND(OR(BR1564="L1",BR1564="L23"),AK1564&gt;0),SUMIFS($AK$7:$AK$1570,$BR$7:$BR$1570,BR1564,$AN$7:$AN$1570,"&gt;"&amp;AN1564)+SUMIFS($AK$7:$AK$1570,$BR$7:$BR$1570,BR1564,$AN$7:$AN$1570,AN1564,$BL$7:$BL$1570,"&lt;="&amp;BL1564),"")</f>
        <v/>
      </c>
      <c r="AP1564" s="65">
        <f>IF(AO1564="",0,MAX(0,MIN(1,(IF(BR1564="L1",Parameter!$K$5,Parameter!$K$6+Parameter!$K$7)-(AO1564-AK1564))/AK1564)))</f>
        <v/>
      </c>
      <c r="AQ1564" s="55">
        <f>IF(LEFT(Cockpit!$O$5,1)="A",G1564,IF(BT1564=1,BU1564,IF(LEFT(Cockpit!$O$5,1)="B",AU1564,MAX(AU1564,G1564))))</f>
        <v/>
      </c>
      <c r="AR1564" s="55">
        <f>IF(BO1564=1,0,ROUNDUP(AQ1564/BN1564,0))</f>
        <v/>
      </c>
      <c r="AS1564" s="64">
        <f>IF(BO1564=1,IF(AQ1564&lt;=0,0,BP1564*MAX(1,IF(G1564&gt;0,AQ1564/G1564,1))),AR1564*Q1564)</f>
        <v/>
      </c>
      <c r="AT1564" s="55">
        <f>AQ1564*F1564</f>
        <v/>
      </c>
      <c r="AU1564" s="55">
        <f>ROUNDUP(MAX(I1564/IF(BS1564&gt;0,BS1564,MAX(0.1,N(Cockpit!$O$6))),BV1564)/BN1564,0)*BN1564</f>
        <v/>
      </c>
      <c r="AV1564" s="56">
        <f>IF(AS1564&gt;0,I1564/AS1564,-1)</f>
        <v/>
      </c>
      <c r="AW1564" s="56">
        <f>IF(AND(OR(BR1564="L1",BR1564="L23"),AS1564&gt;0),SUMIFS($AS$7:$AS$1570,$BR$7:$BR$1570,BR1564,$AV$7:$AV$1570,"&gt;"&amp;AV1564)+SUMIFS($AS$7:$AS$1570,$BR$7:$BR$1570,BR1564,$AV$7:$AV$1570,AV1564,$BL$7:$BL$1570,"&lt;="&amp;BL1564),"")</f>
        <v/>
      </c>
      <c r="AX1564" s="65">
        <f>IF(AW1564="",0,MAX(0,MIN(1,(IF(BR1564="L1",Parameter!$K$5,Parameter!$K$6+Parameter!$K$7)-(AW1564-AS1564))/AS1564)))</f>
        <v/>
      </c>
      <c r="AY1564" s="53">
        <f>IF(AC1564&lt;=0,"",IF(BR1564="Aussen","Aussenlager",IF(BR1564="-","Nicht im Lift",IF(AH1564&gt;=1,"Lift",IF(AH1564&lt;=0,"Aussenlager","teilweise")))))</f>
        <v/>
      </c>
      <c r="AZ1564" s="53">
        <f>IF(AK1564&lt;=0,"",IF(BR1564="Aussen","Aussenlager",IF(BR1564="-","Nicht im Lift",IF(AP1564&gt;=1,"Lift",IF(AP1564&lt;=0,"Aussenlager","teilweise")))))</f>
        <v/>
      </c>
      <c r="BA1564" s="53">
        <f>IF(AS1564&lt;=0,"",IF(BR1564="Aussen","Aussenlager",IF(BR1564="-","Nicht im Lift",IF(AX1564&gt;=1,"Lift",IF(AX1564&lt;=0,"Aussenlager","teilweise")))))</f>
        <v/>
      </c>
      <c r="BB1564" s="53">
        <f>IF(A1564="","",IF(BK1564=1,"Neu; ","")&amp;IF(AND(BK1564=0,BF1564&lt;0),"negativer Bestand (Export "&amp;BF1564&amp;"); ","")&amp;IF(I1564&lt;=0,"Kein Verbrauch; ","")&amp;IF(BO1564=1,"Lose – Fläche geschätzt; ","")&amp;IF(G1564&gt;AM1564,"Überbestand "&amp;ROUND(G1564-AM1564,0)&amp;" Stk / CHF "&amp;ROUND((G1564-AM1564)*F1564,0)&amp;"; ","")&amp;IF(AND(BT1564=1,BU1564&lt;BV1564),"MAX &lt; MB+LG; ","")&amp;IF(AND(BZ1564&gt;0,BY1564*10&gt;BZ1564),"zu hoch für Tablar; ","")&amp;IF(AND(BK1564=0,OR(BT1564=1,V1564&lt;&gt;"",S1564&lt;&gt;"",T1564&lt;&gt;"",W1564&lt;&gt;"")),"manuell übersteuert; ","")&amp;IF(AND(BO1564=0,Q1564=0),"Gebinde unbekannt; ","")&amp;IF(AND(BO1564=0,N(T1564)&lt;=0,N(P1564)&lt;=0),"Menge pro Gebinde fehlt (Ist = 1 Gebinde); ","")&amp;BJ1564)</f>
        <v/>
      </c>
      <c r="BC1564" s="53" t="n"/>
      <c r="BD1564" s="53" t="n"/>
      <c r="BE1564" s="61" t="n"/>
      <c r="BF1564" s="55">
        <f>N('Neue Artikel'!$D$98)</f>
        <v/>
      </c>
      <c r="BG1564" s="55" t="n">
        <v>0</v>
      </c>
      <c r="BH1564" s="54" t="n">
        <v>0</v>
      </c>
      <c r="BI1564" s="55">
        <f>N('Neue Artikel'!$C$98)/Parameter!$B$18</f>
        <v/>
      </c>
      <c r="BJ1564" s="53" t="inlineStr"/>
      <c r="BK1564" s="58" t="n">
        <v>1</v>
      </c>
      <c r="BL1564" s="58" t="n">
        <v>1564</v>
      </c>
      <c r="BM1564" s="53">
        <f>IF(S1564&lt;&gt;"",UPPER(TRIM(S1564)),IF(O1564="","LOSE",O1564))</f>
        <v/>
      </c>
      <c r="BN1564" s="55">
        <f>IF(BM1564="LOSE",1,IF(N(T1564)&gt;0,T1564,IF(N(P1564)&gt;0,P1564,MAX(1,G1564))))</f>
        <v/>
      </c>
      <c r="BO1564" s="58">
        <f>IF(BM1564="LOSE",1,0)</f>
        <v/>
      </c>
      <c r="BP1564" s="64">
        <f>IF(BO1564=0,0,IF(N(R1564)&gt;0,R1564,IFERROR(VLOOKUP(D1564,Parameter!$A$35:$C$64,3,0)+0,0)))</f>
        <v/>
      </c>
      <c r="BQ1564" s="53">
        <f>IF(V1564&lt;&gt;"",V1564,U1564)</f>
        <v/>
      </c>
      <c r="BR1564" s="53">
        <f>IF(BQ1564=1,"L1",IF(OR(BQ1564=2,BQ1564=3),"L23",IF(BQ1564="Aussen","Aussen","-")))</f>
        <v/>
      </c>
      <c r="BS1564" s="66">
        <f>IF(N(W1564)&gt;0,W1564,0)</f>
        <v/>
      </c>
      <c r="BT1564" s="58">
        <f>IF(ISNUMBER(Z1564),1,0)</f>
        <v/>
      </c>
      <c r="BU1564" s="55">
        <f>N(Z1564)</f>
        <v/>
      </c>
      <c r="BV1564" s="55">
        <f>N(L1564)+N(M1564)</f>
        <v/>
      </c>
      <c r="BW1564" s="55">
        <f>ROUNDUP(G1564/BN1564,0)</f>
        <v/>
      </c>
      <c r="BX1564" s="55">
        <f>ROUNDUP(BU1564/BN1564,0)</f>
        <v/>
      </c>
      <c r="BY1564" s="58">
        <f>IF(BO1564=1,0,IFERROR(VLOOKUP(BM1564,'Gebinde-Kategorie'!$A$5:$G$45,5,0)+0,0))</f>
        <v/>
      </c>
      <c r="BZ1564" s="58">
        <f>IFERROR(IF(OR(BQ1564=1,BQ1564=2,BQ1564=3),N(INDEX(Parameter!$I$5:$I$7,BQ1564)),0),0)</f>
        <v/>
      </c>
    </row>
    <row r="1565">
      <c r="A1565" s="53">
        <f>IF('Neue Artikel'!$A$99="","",'Neue Artikel'!$A$99&amp;"")</f>
        <v/>
      </c>
      <c r="B1565" s="53">
        <f>'Neue Artikel'!$B$99&amp;""</f>
        <v/>
      </c>
      <c r="C1565" s="53" t="inlineStr"/>
      <c r="D1565" s="53" t="inlineStr">
        <is>
          <t>NEU</t>
        </is>
      </c>
      <c r="E1565" s="53" t="inlineStr"/>
      <c r="F1565" s="54">
        <f>N('Neue Artikel'!$G$99)</f>
        <v/>
      </c>
      <c r="G1565" s="55">
        <f>MAX(0,IF(Parameter!$B$20="Jahresanfang 2025 + Export",BG1565+BF1565,BF1565))</f>
        <v/>
      </c>
      <c r="H1565" s="55">
        <f>G1565*F1565</f>
        <v/>
      </c>
      <c r="I1565" s="55">
        <f>BI1565*Parameter!$B$18</f>
        <v/>
      </c>
      <c r="J1565" s="56" t="n"/>
      <c r="K1565" s="57" t="n"/>
      <c r="L1565" s="55">
        <f>N('Neue Artikel'!$E$99)</f>
        <v/>
      </c>
      <c r="M1565" s="55">
        <f>N('Neue Artikel'!$F$99)</f>
        <v/>
      </c>
      <c r="N1565" s="58" t="n"/>
      <c r="O1565" s="53">
        <f>IF('Neue Artikel'!$H$99="","LOSE",UPPER(TRIM('Neue Artikel'!$H$99)))</f>
        <v/>
      </c>
      <c r="P1565" s="55">
        <f>N('Neue Artikel'!$I$99)</f>
        <v/>
      </c>
      <c r="Q1565" s="59">
        <f>IF(BO1565=1,0,IFERROR(VLOOKUP(BM1565,'Gebinde-Kategorie'!$A$5:$G$45,6,0)+0,0))</f>
        <v/>
      </c>
      <c r="R1565" s="60" t="n"/>
      <c r="S1565" s="61" t="n"/>
      <c r="T1565" s="61" t="n"/>
      <c r="U1565" s="53">
        <f>IF(A1565="","",IF(IFERROR(VLOOKUP(D1565,Parameter!$A$35:$C$64,2,0),"Nein")="2+3",IF(ISNUMBER(SEARCH("grosser Artikel",BJ1565)),2,IFERROR(VLOOKUP(BM1565,Parameter!$F$35:$G$64,2,0),2)),IF(OR(IFERROR(VLOOKUP(D1565,Parameter!$A$35:$C$64,2,0),"Nein")="Nein",IFERROR(VLOOKUP(D1565,Parameter!$A$35:$C$64,2,0),"Nein")=""),"-",VLOOKUP(D1565,Parameter!$A$35:$C$64,2,0))))</f>
        <v/>
      </c>
      <c r="V1565" s="53">
        <f>IF('Neue Artikel'!$J$99="","",'Neue Artikel'!$J$99)</f>
        <v/>
      </c>
      <c r="W1565" s="62" t="n"/>
      <c r="X1565" s="55">
        <f>AM1565</f>
        <v/>
      </c>
      <c r="Y1565" s="55">
        <f>MAX(AM1565,G1565)</f>
        <v/>
      </c>
      <c r="Z1565" s="63" t="n"/>
      <c r="AA1565" s="55">
        <f>IF(LEFT(Cockpit!$C$5,1)="A",G1565,IF(BT1565=1,BU1565,IF(LEFT(Cockpit!$C$5,1)="B",AE1565,MAX(AE1565,G1565))))</f>
        <v/>
      </c>
      <c r="AB1565" s="55">
        <f>IF(BO1565=1,0,ROUNDUP(AA1565/BN1565,0))</f>
        <v/>
      </c>
      <c r="AC1565" s="64">
        <f>IF(BO1565=1,IF(AA1565&lt;=0,0,BP1565*MAX(1,IF(G1565&gt;0,AA1565/G1565,1))),AB1565*Q1565)</f>
        <v/>
      </c>
      <c r="AD1565" s="55">
        <f>AA1565*F1565</f>
        <v/>
      </c>
      <c r="AE1565" s="55">
        <f>ROUNDUP(MAX(I1565/IF(BS1565&gt;0,BS1565,MAX(0.1,N(Cockpit!$C$6))),BV1565)/BN1565,0)*BN1565</f>
        <v/>
      </c>
      <c r="AF1565" s="56">
        <f>IF(AC1565&gt;0,I1565/AC1565,-1)</f>
        <v/>
      </c>
      <c r="AG1565" s="56">
        <f>IF(AND(OR(BR1565="L1",BR1565="L23"),AC1565&gt;0),SUMIFS($AC$7:$AC$1570,$BR$7:$BR$1570,BR1565,$AF$7:$AF$1570,"&gt;"&amp;AF1565)+SUMIFS($AC$7:$AC$1570,$BR$7:$BR$1570,BR1565,$AF$7:$AF$1570,AF1565,$BL$7:$BL$1570,"&lt;="&amp;BL1565),"")</f>
        <v/>
      </c>
      <c r="AH1565" s="65">
        <f>IF(AG1565="",0,MAX(0,MIN(1,(IF(BR1565="L1",Parameter!$K$5,Parameter!$K$6+Parameter!$K$7)-(AG1565-AC1565))/AC1565)))</f>
        <v/>
      </c>
      <c r="AI1565" s="55">
        <f>IF(LEFT(Cockpit!$I$5,1)="A",G1565,IF(BT1565=1,BU1565,IF(LEFT(Cockpit!$I$5,1)="B",AM1565,MAX(AM1565,G1565))))</f>
        <v/>
      </c>
      <c r="AJ1565" s="55">
        <f>IF(BO1565=1,0,ROUNDUP(AI1565/BN1565,0))</f>
        <v/>
      </c>
      <c r="AK1565" s="64">
        <f>IF(BO1565=1,IF(AI1565&lt;=0,0,BP1565*MAX(1,IF(G1565&gt;0,AI1565/G1565,1))),AJ1565*Q1565)</f>
        <v/>
      </c>
      <c r="AL1565" s="55">
        <f>AI1565*F1565</f>
        <v/>
      </c>
      <c r="AM1565" s="55">
        <f>ROUNDUP(MAX(I1565/IF(BS1565&gt;0,BS1565,MAX(0.1,N(Cockpit!$I$6))),BV1565)/BN1565,0)*BN1565</f>
        <v/>
      </c>
      <c r="AN1565" s="56">
        <f>IF(AK1565&gt;0,I1565/AK1565,-1)</f>
        <v/>
      </c>
      <c r="AO1565" s="56">
        <f>IF(AND(OR(BR1565="L1",BR1565="L23"),AK1565&gt;0),SUMIFS($AK$7:$AK$1570,$BR$7:$BR$1570,BR1565,$AN$7:$AN$1570,"&gt;"&amp;AN1565)+SUMIFS($AK$7:$AK$1570,$BR$7:$BR$1570,BR1565,$AN$7:$AN$1570,AN1565,$BL$7:$BL$1570,"&lt;="&amp;BL1565),"")</f>
        <v/>
      </c>
      <c r="AP1565" s="65">
        <f>IF(AO1565="",0,MAX(0,MIN(1,(IF(BR1565="L1",Parameter!$K$5,Parameter!$K$6+Parameter!$K$7)-(AO1565-AK1565))/AK1565)))</f>
        <v/>
      </c>
      <c r="AQ1565" s="55">
        <f>IF(LEFT(Cockpit!$O$5,1)="A",G1565,IF(BT1565=1,BU1565,IF(LEFT(Cockpit!$O$5,1)="B",AU1565,MAX(AU1565,G1565))))</f>
        <v/>
      </c>
      <c r="AR1565" s="55">
        <f>IF(BO1565=1,0,ROUNDUP(AQ1565/BN1565,0))</f>
        <v/>
      </c>
      <c r="AS1565" s="64">
        <f>IF(BO1565=1,IF(AQ1565&lt;=0,0,BP1565*MAX(1,IF(G1565&gt;0,AQ1565/G1565,1))),AR1565*Q1565)</f>
        <v/>
      </c>
      <c r="AT1565" s="55">
        <f>AQ1565*F1565</f>
        <v/>
      </c>
      <c r="AU1565" s="55">
        <f>ROUNDUP(MAX(I1565/IF(BS1565&gt;0,BS1565,MAX(0.1,N(Cockpit!$O$6))),BV1565)/BN1565,0)*BN1565</f>
        <v/>
      </c>
      <c r="AV1565" s="56">
        <f>IF(AS1565&gt;0,I1565/AS1565,-1)</f>
        <v/>
      </c>
      <c r="AW1565" s="56">
        <f>IF(AND(OR(BR1565="L1",BR1565="L23"),AS1565&gt;0),SUMIFS($AS$7:$AS$1570,$BR$7:$BR$1570,BR1565,$AV$7:$AV$1570,"&gt;"&amp;AV1565)+SUMIFS($AS$7:$AS$1570,$BR$7:$BR$1570,BR1565,$AV$7:$AV$1570,AV1565,$BL$7:$BL$1570,"&lt;="&amp;BL1565),"")</f>
        <v/>
      </c>
      <c r="AX1565" s="65">
        <f>IF(AW1565="",0,MAX(0,MIN(1,(IF(BR1565="L1",Parameter!$K$5,Parameter!$K$6+Parameter!$K$7)-(AW1565-AS1565))/AS1565)))</f>
        <v/>
      </c>
      <c r="AY1565" s="53">
        <f>IF(AC1565&lt;=0,"",IF(BR1565="Aussen","Aussenlager",IF(BR1565="-","Nicht im Lift",IF(AH1565&gt;=1,"Lift",IF(AH1565&lt;=0,"Aussenlager","teilweise")))))</f>
        <v/>
      </c>
      <c r="AZ1565" s="53">
        <f>IF(AK1565&lt;=0,"",IF(BR1565="Aussen","Aussenlager",IF(BR1565="-","Nicht im Lift",IF(AP1565&gt;=1,"Lift",IF(AP1565&lt;=0,"Aussenlager","teilweise")))))</f>
        <v/>
      </c>
      <c r="BA1565" s="53">
        <f>IF(AS1565&lt;=0,"",IF(BR1565="Aussen","Aussenlager",IF(BR1565="-","Nicht im Lift",IF(AX1565&gt;=1,"Lift",IF(AX1565&lt;=0,"Aussenlager","teilweise")))))</f>
        <v/>
      </c>
      <c r="BB1565" s="53">
        <f>IF(A1565="","",IF(BK1565=1,"Neu; ","")&amp;IF(AND(BK1565=0,BF1565&lt;0),"negativer Bestand (Export "&amp;BF1565&amp;"); ","")&amp;IF(I1565&lt;=0,"Kein Verbrauch; ","")&amp;IF(BO1565=1,"Lose – Fläche geschätzt; ","")&amp;IF(G1565&gt;AM1565,"Überbestand "&amp;ROUND(G1565-AM1565,0)&amp;" Stk / CHF "&amp;ROUND((G1565-AM1565)*F1565,0)&amp;"; ","")&amp;IF(AND(BT1565=1,BU1565&lt;BV1565),"MAX &lt; MB+LG; ","")&amp;IF(AND(BZ1565&gt;0,BY1565*10&gt;BZ1565),"zu hoch für Tablar; ","")&amp;IF(AND(BK1565=0,OR(BT1565=1,V1565&lt;&gt;"",S1565&lt;&gt;"",T1565&lt;&gt;"",W1565&lt;&gt;"")),"manuell übersteuert; ","")&amp;IF(AND(BO1565=0,Q1565=0),"Gebinde unbekannt; ","")&amp;IF(AND(BO1565=0,N(T1565)&lt;=0,N(P1565)&lt;=0),"Menge pro Gebinde fehlt (Ist = 1 Gebinde); ","")&amp;BJ1565)</f>
        <v/>
      </c>
      <c r="BC1565" s="53" t="n"/>
      <c r="BD1565" s="53" t="n"/>
      <c r="BE1565" s="61" t="n"/>
      <c r="BF1565" s="55">
        <f>N('Neue Artikel'!$D$99)</f>
        <v/>
      </c>
      <c r="BG1565" s="55" t="n">
        <v>0</v>
      </c>
      <c r="BH1565" s="54" t="n">
        <v>0</v>
      </c>
      <c r="BI1565" s="55">
        <f>N('Neue Artikel'!$C$99)/Parameter!$B$18</f>
        <v/>
      </c>
      <c r="BJ1565" s="53" t="inlineStr"/>
      <c r="BK1565" s="58" t="n">
        <v>1</v>
      </c>
      <c r="BL1565" s="58" t="n">
        <v>1565</v>
      </c>
      <c r="BM1565" s="53">
        <f>IF(S1565&lt;&gt;"",UPPER(TRIM(S1565)),IF(O1565="","LOSE",O1565))</f>
        <v/>
      </c>
      <c r="BN1565" s="55">
        <f>IF(BM1565="LOSE",1,IF(N(T1565)&gt;0,T1565,IF(N(P1565)&gt;0,P1565,MAX(1,G1565))))</f>
        <v/>
      </c>
      <c r="BO1565" s="58">
        <f>IF(BM1565="LOSE",1,0)</f>
        <v/>
      </c>
      <c r="BP1565" s="64">
        <f>IF(BO1565=0,0,IF(N(R1565)&gt;0,R1565,IFERROR(VLOOKUP(D1565,Parameter!$A$35:$C$64,3,0)+0,0)))</f>
        <v/>
      </c>
      <c r="BQ1565" s="53">
        <f>IF(V1565&lt;&gt;"",V1565,U1565)</f>
        <v/>
      </c>
      <c r="BR1565" s="53">
        <f>IF(BQ1565=1,"L1",IF(OR(BQ1565=2,BQ1565=3),"L23",IF(BQ1565="Aussen","Aussen","-")))</f>
        <v/>
      </c>
      <c r="BS1565" s="66">
        <f>IF(N(W1565)&gt;0,W1565,0)</f>
        <v/>
      </c>
      <c r="BT1565" s="58">
        <f>IF(ISNUMBER(Z1565),1,0)</f>
        <v/>
      </c>
      <c r="BU1565" s="55">
        <f>N(Z1565)</f>
        <v/>
      </c>
      <c r="BV1565" s="55">
        <f>N(L1565)+N(M1565)</f>
        <v/>
      </c>
      <c r="BW1565" s="55">
        <f>ROUNDUP(G1565/BN1565,0)</f>
        <v/>
      </c>
      <c r="BX1565" s="55">
        <f>ROUNDUP(BU1565/BN1565,0)</f>
        <v/>
      </c>
      <c r="BY1565" s="58">
        <f>IF(BO1565=1,0,IFERROR(VLOOKUP(BM1565,'Gebinde-Kategorie'!$A$5:$G$45,5,0)+0,0))</f>
        <v/>
      </c>
      <c r="BZ1565" s="58">
        <f>IFERROR(IF(OR(BQ1565=1,BQ1565=2,BQ1565=3),N(INDEX(Parameter!$I$5:$I$7,BQ1565)),0),0)</f>
        <v/>
      </c>
    </row>
    <row r="1566">
      <c r="A1566" s="53">
        <f>IF('Neue Artikel'!$A$100="","",'Neue Artikel'!$A$100&amp;"")</f>
        <v/>
      </c>
      <c r="B1566" s="53">
        <f>'Neue Artikel'!$B$100&amp;""</f>
        <v/>
      </c>
      <c r="C1566" s="53" t="inlineStr"/>
      <c r="D1566" s="53" t="inlineStr">
        <is>
          <t>NEU</t>
        </is>
      </c>
      <c r="E1566" s="53" t="inlineStr"/>
      <c r="F1566" s="54">
        <f>N('Neue Artikel'!$G$100)</f>
        <v/>
      </c>
      <c r="G1566" s="55">
        <f>MAX(0,IF(Parameter!$B$20="Jahresanfang 2025 + Export",BG1566+BF1566,BF1566))</f>
        <v/>
      </c>
      <c r="H1566" s="55">
        <f>G1566*F1566</f>
        <v/>
      </c>
      <c r="I1566" s="55">
        <f>BI1566*Parameter!$B$18</f>
        <v/>
      </c>
      <c r="J1566" s="56" t="n"/>
      <c r="K1566" s="57" t="n"/>
      <c r="L1566" s="55">
        <f>N('Neue Artikel'!$E$100)</f>
        <v/>
      </c>
      <c r="M1566" s="55">
        <f>N('Neue Artikel'!$F$100)</f>
        <v/>
      </c>
      <c r="N1566" s="58" t="n"/>
      <c r="O1566" s="53">
        <f>IF('Neue Artikel'!$H$100="","LOSE",UPPER(TRIM('Neue Artikel'!$H$100)))</f>
        <v/>
      </c>
      <c r="P1566" s="55">
        <f>N('Neue Artikel'!$I$100)</f>
        <v/>
      </c>
      <c r="Q1566" s="59">
        <f>IF(BO1566=1,0,IFERROR(VLOOKUP(BM1566,'Gebinde-Kategorie'!$A$5:$G$45,6,0)+0,0))</f>
        <v/>
      </c>
      <c r="R1566" s="60" t="n"/>
      <c r="S1566" s="61" t="n"/>
      <c r="T1566" s="61" t="n"/>
      <c r="U1566" s="53">
        <f>IF(A1566="","",IF(IFERROR(VLOOKUP(D1566,Parameter!$A$35:$C$64,2,0),"Nein")="2+3",IF(ISNUMBER(SEARCH("grosser Artikel",BJ1566)),2,IFERROR(VLOOKUP(BM1566,Parameter!$F$35:$G$64,2,0),2)),IF(OR(IFERROR(VLOOKUP(D1566,Parameter!$A$35:$C$64,2,0),"Nein")="Nein",IFERROR(VLOOKUP(D1566,Parameter!$A$35:$C$64,2,0),"Nein")=""),"-",VLOOKUP(D1566,Parameter!$A$35:$C$64,2,0))))</f>
        <v/>
      </c>
      <c r="V1566" s="53">
        <f>IF('Neue Artikel'!$J$100="","",'Neue Artikel'!$J$100)</f>
        <v/>
      </c>
      <c r="W1566" s="62" t="n"/>
      <c r="X1566" s="55">
        <f>AM1566</f>
        <v/>
      </c>
      <c r="Y1566" s="55">
        <f>MAX(AM1566,G1566)</f>
        <v/>
      </c>
      <c r="Z1566" s="63" t="n"/>
      <c r="AA1566" s="55">
        <f>IF(LEFT(Cockpit!$C$5,1)="A",G1566,IF(BT1566=1,BU1566,IF(LEFT(Cockpit!$C$5,1)="B",AE1566,MAX(AE1566,G1566))))</f>
        <v/>
      </c>
      <c r="AB1566" s="55">
        <f>IF(BO1566=1,0,ROUNDUP(AA1566/BN1566,0))</f>
        <v/>
      </c>
      <c r="AC1566" s="64">
        <f>IF(BO1566=1,IF(AA1566&lt;=0,0,BP1566*MAX(1,IF(G1566&gt;0,AA1566/G1566,1))),AB1566*Q1566)</f>
        <v/>
      </c>
      <c r="AD1566" s="55">
        <f>AA1566*F1566</f>
        <v/>
      </c>
      <c r="AE1566" s="55">
        <f>ROUNDUP(MAX(I1566/IF(BS1566&gt;0,BS1566,MAX(0.1,N(Cockpit!$C$6))),BV1566)/BN1566,0)*BN1566</f>
        <v/>
      </c>
      <c r="AF1566" s="56">
        <f>IF(AC1566&gt;0,I1566/AC1566,-1)</f>
        <v/>
      </c>
      <c r="AG1566" s="56">
        <f>IF(AND(OR(BR1566="L1",BR1566="L23"),AC1566&gt;0),SUMIFS($AC$7:$AC$1570,$BR$7:$BR$1570,BR1566,$AF$7:$AF$1570,"&gt;"&amp;AF1566)+SUMIFS($AC$7:$AC$1570,$BR$7:$BR$1570,BR1566,$AF$7:$AF$1570,AF1566,$BL$7:$BL$1570,"&lt;="&amp;BL1566),"")</f>
        <v/>
      </c>
      <c r="AH1566" s="65">
        <f>IF(AG1566="",0,MAX(0,MIN(1,(IF(BR1566="L1",Parameter!$K$5,Parameter!$K$6+Parameter!$K$7)-(AG1566-AC1566))/AC1566)))</f>
        <v/>
      </c>
      <c r="AI1566" s="55">
        <f>IF(LEFT(Cockpit!$I$5,1)="A",G1566,IF(BT1566=1,BU1566,IF(LEFT(Cockpit!$I$5,1)="B",AM1566,MAX(AM1566,G1566))))</f>
        <v/>
      </c>
      <c r="AJ1566" s="55">
        <f>IF(BO1566=1,0,ROUNDUP(AI1566/BN1566,0))</f>
        <v/>
      </c>
      <c r="AK1566" s="64">
        <f>IF(BO1566=1,IF(AI1566&lt;=0,0,BP1566*MAX(1,IF(G1566&gt;0,AI1566/G1566,1))),AJ1566*Q1566)</f>
        <v/>
      </c>
      <c r="AL1566" s="55">
        <f>AI1566*F1566</f>
        <v/>
      </c>
      <c r="AM1566" s="55">
        <f>ROUNDUP(MAX(I1566/IF(BS1566&gt;0,BS1566,MAX(0.1,N(Cockpit!$I$6))),BV1566)/BN1566,0)*BN1566</f>
        <v/>
      </c>
      <c r="AN1566" s="56">
        <f>IF(AK1566&gt;0,I1566/AK1566,-1)</f>
        <v/>
      </c>
      <c r="AO1566" s="56">
        <f>IF(AND(OR(BR1566="L1",BR1566="L23"),AK1566&gt;0),SUMIFS($AK$7:$AK$1570,$BR$7:$BR$1570,BR1566,$AN$7:$AN$1570,"&gt;"&amp;AN1566)+SUMIFS($AK$7:$AK$1570,$BR$7:$BR$1570,BR1566,$AN$7:$AN$1570,AN1566,$BL$7:$BL$1570,"&lt;="&amp;BL1566),"")</f>
        <v/>
      </c>
      <c r="AP1566" s="65">
        <f>IF(AO1566="",0,MAX(0,MIN(1,(IF(BR1566="L1",Parameter!$K$5,Parameter!$K$6+Parameter!$K$7)-(AO1566-AK1566))/AK1566)))</f>
        <v/>
      </c>
      <c r="AQ1566" s="55">
        <f>IF(LEFT(Cockpit!$O$5,1)="A",G1566,IF(BT1566=1,BU1566,IF(LEFT(Cockpit!$O$5,1)="B",AU1566,MAX(AU1566,G1566))))</f>
        <v/>
      </c>
      <c r="AR1566" s="55">
        <f>IF(BO1566=1,0,ROUNDUP(AQ1566/BN1566,0))</f>
        <v/>
      </c>
      <c r="AS1566" s="64">
        <f>IF(BO1566=1,IF(AQ1566&lt;=0,0,BP1566*MAX(1,IF(G1566&gt;0,AQ1566/G1566,1))),AR1566*Q1566)</f>
        <v/>
      </c>
      <c r="AT1566" s="55">
        <f>AQ1566*F1566</f>
        <v/>
      </c>
      <c r="AU1566" s="55">
        <f>ROUNDUP(MAX(I1566/IF(BS1566&gt;0,BS1566,MAX(0.1,N(Cockpit!$O$6))),BV1566)/BN1566,0)*BN1566</f>
        <v/>
      </c>
      <c r="AV1566" s="56">
        <f>IF(AS1566&gt;0,I1566/AS1566,-1)</f>
        <v/>
      </c>
      <c r="AW1566" s="56">
        <f>IF(AND(OR(BR1566="L1",BR1566="L23"),AS1566&gt;0),SUMIFS($AS$7:$AS$1570,$BR$7:$BR$1570,BR1566,$AV$7:$AV$1570,"&gt;"&amp;AV1566)+SUMIFS($AS$7:$AS$1570,$BR$7:$BR$1570,BR1566,$AV$7:$AV$1570,AV1566,$BL$7:$BL$1570,"&lt;="&amp;BL1566),"")</f>
        <v/>
      </c>
      <c r="AX1566" s="65">
        <f>IF(AW1566="",0,MAX(0,MIN(1,(IF(BR1566="L1",Parameter!$K$5,Parameter!$K$6+Parameter!$K$7)-(AW1566-AS1566))/AS1566)))</f>
        <v/>
      </c>
      <c r="AY1566" s="53">
        <f>IF(AC1566&lt;=0,"",IF(BR1566="Aussen","Aussenlager",IF(BR1566="-","Nicht im Lift",IF(AH1566&gt;=1,"Lift",IF(AH1566&lt;=0,"Aussenlager","teilweise")))))</f>
        <v/>
      </c>
      <c r="AZ1566" s="53">
        <f>IF(AK1566&lt;=0,"",IF(BR1566="Aussen","Aussenlager",IF(BR1566="-","Nicht im Lift",IF(AP1566&gt;=1,"Lift",IF(AP1566&lt;=0,"Aussenlager","teilweise")))))</f>
        <v/>
      </c>
      <c r="BA1566" s="53">
        <f>IF(AS1566&lt;=0,"",IF(BR1566="Aussen","Aussenlager",IF(BR1566="-","Nicht im Lift",IF(AX1566&gt;=1,"Lift",IF(AX1566&lt;=0,"Aussenlager","teilweise")))))</f>
        <v/>
      </c>
      <c r="BB1566" s="53">
        <f>IF(A1566="","",IF(BK1566=1,"Neu; ","")&amp;IF(AND(BK1566=0,BF1566&lt;0),"negativer Bestand (Export "&amp;BF1566&amp;"); ","")&amp;IF(I1566&lt;=0,"Kein Verbrauch; ","")&amp;IF(BO1566=1,"Lose – Fläche geschätzt; ","")&amp;IF(G1566&gt;AM1566,"Überbestand "&amp;ROUND(G1566-AM1566,0)&amp;" Stk / CHF "&amp;ROUND((G1566-AM1566)*F1566,0)&amp;"; ","")&amp;IF(AND(BT1566=1,BU1566&lt;BV1566),"MAX &lt; MB+LG; ","")&amp;IF(AND(BZ1566&gt;0,BY1566*10&gt;BZ1566),"zu hoch für Tablar; ","")&amp;IF(AND(BK1566=0,OR(BT1566=1,V1566&lt;&gt;"",S1566&lt;&gt;"",T1566&lt;&gt;"",W1566&lt;&gt;"")),"manuell übersteuert; ","")&amp;IF(AND(BO1566=0,Q1566=0),"Gebinde unbekannt; ","")&amp;IF(AND(BO1566=0,N(T1566)&lt;=0,N(P1566)&lt;=0),"Menge pro Gebinde fehlt (Ist = 1 Gebinde); ","")&amp;BJ1566)</f>
        <v/>
      </c>
      <c r="BC1566" s="53" t="n"/>
      <c r="BD1566" s="53" t="n"/>
      <c r="BE1566" s="61" t="n"/>
      <c r="BF1566" s="55">
        <f>N('Neue Artikel'!$D$100)</f>
        <v/>
      </c>
      <c r="BG1566" s="55" t="n">
        <v>0</v>
      </c>
      <c r="BH1566" s="54" t="n">
        <v>0</v>
      </c>
      <c r="BI1566" s="55">
        <f>N('Neue Artikel'!$C$100)/Parameter!$B$18</f>
        <v/>
      </c>
      <c r="BJ1566" s="53" t="inlineStr"/>
      <c r="BK1566" s="58" t="n">
        <v>1</v>
      </c>
      <c r="BL1566" s="58" t="n">
        <v>1566</v>
      </c>
      <c r="BM1566" s="53">
        <f>IF(S1566&lt;&gt;"",UPPER(TRIM(S1566)),IF(O1566="","LOSE",O1566))</f>
        <v/>
      </c>
      <c r="BN1566" s="55">
        <f>IF(BM1566="LOSE",1,IF(N(T1566)&gt;0,T1566,IF(N(P1566)&gt;0,P1566,MAX(1,G1566))))</f>
        <v/>
      </c>
      <c r="BO1566" s="58">
        <f>IF(BM1566="LOSE",1,0)</f>
        <v/>
      </c>
      <c r="BP1566" s="64">
        <f>IF(BO1566=0,0,IF(N(R1566)&gt;0,R1566,IFERROR(VLOOKUP(D1566,Parameter!$A$35:$C$64,3,0)+0,0)))</f>
        <v/>
      </c>
      <c r="BQ1566" s="53">
        <f>IF(V1566&lt;&gt;"",V1566,U1566)</f>
        <v/>
      </c>
      <c r="BR1566" s="53">
        <f>IF(BQ1566=1,"L1",IF(OR(BQ1566=2,BQ1566=3),"L23",IF(BQ1566="Aussen","Aussen","-")))</f>
        <v/>
      </c>
      <c r="BS1566" s="66">
        <f>IF(N(W1566)&gt;0,W1566,0)</f>
        <v/>
      </c>
      <c r="BT1566" s="58">
        <f>IF(ISNUMBER(Z1566),1,0)</f>
        <v/>
      </c>
      <c r="BU1566" s="55">
        <f>N(Z1566)</f>
        <v/>
      </c>
      <c r="BV1566" s="55">
        <f>N(L1566)+N(M1566)</f>
        <v/>
      </c>
      <c r="BW1566" s="55">
        <f>ROUNDUP(G1566/BN1566,0)</f>
        <v/>
      </c>
      <c r="BX1566" s="55">
        <f>ROUNDUP(BU1566/BN1566,0)</f>
        <v/>
      </c>
      <c r="BY1566" s="58">
        <f>IF(BO1566=1,0,IFERROR(VLOOKUP(BM1566,'Gebinde-Kategorie'!$A$5:$G$45,5,0)+0,0))</f>
        <v/>
      </c>
      <c r="BZ1566" s="58">
        <f>IFERROR(IF(OR(BQ1566=1,BQ1566=2,BQ1566=3),N(INDEX(Parameter!$I$5:$I$7,BQ1566)),0),0)</f>
        <v/>
      </c>
    </row>
    <row r="1567">
      <c r="A1567" s="53">
        <f>IF('Neue Artikel'!$A$101="","",'Neue Artikel'!$A$101&amp;"")</f>
        <v/>
      </c>
      <c r="B1567" s="53">
        <f>'Neue Artikel'!$B$101&amp;""</f>
        <v/>
      </c>
      <c r="C1567" s="53" t="inlineStr"/>
      <c r="D1567" s="53" t="inlineStr">
        <is>
          <t>NEU</t>
        </is>
      </c>
      <c r="E1567" s="53" t="inlineStr"/>
      <c r="F1567" s="54">
        <f>N('Neue Artikel'!$G$101)</f>
        <v/>
      </c>
      <c r="G1567" s="55">
        <f>MAX(0,IF(Parameter!$B$20="Jahresanfang 2025 + Export",BG1567+BF1567,BF1567))</f>
        <v/>
      </c>
      <c r="H1567" s="55">
        <f>G1567*F1567</f>
        <v/>
      </c>
      <c r="I1567" s="55">
        <f>BI1567*Parameter!$B$18</f>
        <v/>
      </c>
      <c r="J1567" s="56" t="n"/>
      <c r="K1567" s="57" t="n"/>
      <c r="L1567" s="55">
        <f>N('Neue Artikel'!$E$101)</f>
        <v/>
      </c>
      <c r="M1567" s="55">
        <f>N('Neue Artikel'!$F$101)</f>
        <v/>
      </c>
      <c r="N1567" s="58" t="n"/>
      <c r="O1567" s="53">
        <f>IF('Neue Artikel'!$H$101="","LOSE",UPPER(TRIM('Neue Artikel'!$H$101)))</f>
        <v/>
      </c>
      <c r="P1567" s="55">
        <f>N('Neue Artikel'!$I$101)</f>
        <v/>
      </c>
      <c r="Q1567" s="59">
        <f>IF(BO1567=1,0,IFERROR(VLOOKUP(BM1567,'Gebinde-Kategorie'!$A$5:$G$45,6,0)+0,0))</f>
        <v/>
      </c>
      <c r="R1567" s="60" t="n"/>
      <c r="S1567" s="61" t="n"/>
      <c r="T1567" s="61" t="n"/>
      <c r="U1567" s="53">
        <f>IF(A1567="","",IF(IFERROR(VLOOKUP(D1567,Parameter!$A$35:$C$64,2,0),"Nein")="2+3",IF(ISNUMBER(SEARCH("grosser Artikel",BJ1567)),2,IFERROR(VLOOKUP(BM1567,Parameter!$F$35:$G$64,2,0),2)),IF(OR(IFERROR(VLOOKUP(D1567,Parameter!$A$35:$C$64,2,0),"Nein")="Nein",IFERROR(VLOOKUP(D1567,Parameter!$A$35:$C$64,2,0),"Nein")=""),"-",VLOOKUP(D1567,Parameter!$A$35:$C$64,2,0))))</f>
        <v/>
      </c>
      <c r="V1567" s="53">
        <f>IF('Neue Artikel'!$J$101="","",'Neue Artikel'!$J$101)</f>
        <v/>
      </c>
      <c r="W1567" s="62" t="n"/>
      <c r="X1567" s="55">
        <f>AM1567</f>
        <v/>
      </c>
      <c r="Y1567" s="55">
        <f>MAX(AM1567,G1567)</f>
        <v/>
      </c>
      <c r="Z1567" s="63" t="n"/>
      <c r="AA1567" s="55">
        <f>IF(LEFT(Cockpit!$C$5,1)="A",G1567,IF(BT1567=1,BU1567,IF(LEFT(Cockpit!$C$5,1)="B",AE1567,MAX(AE1567,G1567))))</f>
        <v/>
      </c>
      <c r="AB1567" s="55">
        <f>IF(BO1567=1,0,ROUNDUP(AA1567/BN1567,0))</f>
        <v/>
      </c>
      <c r="AC1567" s="64">
        <f>IF(BO1567=1,IF(AA1567&lt;=0,0,BP1567*MAX(1,IF(G1567&gt;0,AA1567/G1567,1))),AB1567*Q1567)</f>
        <v/>
      </c>
      <c r="AD1567" s="55">
        <f>AA1567*F1567</f>
        <v/>
      </c>
      <c r="AE1567" s="55">
        <f>ROUNDUP(MAX(I1567/IF(BS1567&gt;0,BS1567,MAX(0.1,N(Cockpit!$C$6))),BV1567)/BN1567,0)*BN1567</f>
        <v/>
      </c>
      <c r="AF1567" s="56">
        <f>IF(AC1567&gt;0,I1567/AC1567,-1)</f>
        <v/>
      </c>
      <c r="AG1567" s="56">
        <f>IF(AND(OR(BR1567="L1",BR1567="L23"),AC1567&gt;0),SUMIFS($AC$7:$AC$1570,$BR$7:$BR$1570,BR1567,$AF$7:$AF$1570,"&gt;"&amp;AF1567)+SUMIFS($AC$7:$AC$1570,$BR$7:$BR$1570,BR1567,$AF$7:$AF$1570,AF1567,$BL$7:$BL$1570,"&lt;="&amp;BL1567),"")</f>
        <v/>
      </c>
      <c r="AH1567" s="65">
        <f>IF(AG1567="",0,MAX(0,MIN(1,(IF(BR1567="L1",Parameter!$K$5,Parameter!$K$6+Parameter!$K$7)-(AG1567-AC1567))/AC1567)))</f>
        <v/>
      </c>
      <c r="AI1567" s="55">
        <f>IF(LEFT(Cockpit!$I$5,1)="A",G1567,IF(BT1567=1,BU1567,IF(LEFT(Cockpit!$I$5,1)="B",AM1567,MAX(AM1567,G1567))))</f>
        <v/>
      </c>
      <c r="AJ1567" s="55">
        <f>IF(BO1567=1,0,ROUNDUP(AI1567/BN1567,0))</f>
        <v/>
      </c>
      <c r="AK1567" s="64">
        <f>IF(BO1567=1,IF(AI1567&lt;=0,0,BP1567*MAX(1,IF(G1567&gt;0,AI1567/G1567,1))),AJ1567*Q1567)</f>
        <v/>
      </c>
      <c r="AL1567" s="55">
        <f>AI1567*F1567</f>
        <v/>
      </c>
      <c r="AM1567" s="55">
        <f>ROUNDUP(MAX(I1567/IF(BS1567&gt;0,BS1567,MAX(0.1,N(Cockpit!$I$6))),BV1567)/BN1567,0)*BN1567</f>
        <v/>
      </c>
      <c r="AN1567" s="56">
        <f>IF(AK1567&gt;0,I1567/AK1567,-1)</f>
        <v/>
      </c>
      <c r="AO1567" s="56">
        <f>IF(AND(OR(BR1567="L1",BR1567="L23"),AK1567&gt;0),SUMIFS($AK$7:$AK$1570,$BR$7:$BR$1570,BR1567,$AN$7:$AN$1570,"&gt;"&amp;AN1567)+SUMIFS($AK$7:$AK$1570,$BR$7:$BR$1570,BR1567,$AN$7:$AN$1570,AN1567,$BL$7:$BL$1570,"&lt;="&amp;BL1567),"")</f>
        <v/>
      </c>
      <c r="AP1567" s="65">
        <f>IF(AO1567="",0,MAX(0,MIN(1,(IF(BR1567="L1",Parameter!$K$5,Parameter!$K$6+Parameter!$K$7)-(AO1567-AK1567))/AK1567)))</f>
        <v/>
      </c>
      <c r="AQ1567" s="55">
        <f>IF(LEFT(Cockpit!$O$5,1)="A",G1567,IF(BT1567=1,BU1567,IF(LEFT(Cockpit!$O$5,1)="B",AU1567,MAX(AU1567,G1567))))</f>
        <v/>
      </c>
      <c r="AR1567" s="55">
        <f>IF(BO1567=1,0,ROUNDUP(AQ1567/BN1567,0))</f>
        <v/>
      </c>
      <c r="AS1567" s="64">
        <f>IF(BO1567=1,IF(AQ1567&lt;=0,0,BP1567*MAX(1,IF(G1567&gt;0,AQ1567/G1567,1))),AR1567*Q1567)</f>
        <v/>
      </c>
      <c r="AT1567" s="55">
        <f>AQ1567*F1567</f>
        <v/>
      </c>
      <c r="AU1567" s="55">
        <f>ROUNDUP(MAX(I1567/IF(BS1567&gt;0,BS1567,MAX(0.1,N(Cockpit!$O$6))),BV1567)/BN1567,0)*BN1567</f>
        <v/>
      </c>
      <c r="AV1567" s="56">
        <f>IF(AS1567&gt;0,I1567/AS1567,-1)</f>
        <v/>
      </c>
      <c r="AW1567" s="56">
        <f>IF(AND(OR(BR1567="L1",BR1567="L23"),AS1567&gt;0),SUMIFS($AS$7:$AS$1570,$BR$7:$BR$1570,BR1567,$AV$7:$AV$1570,"&gt;"&amp;AV1567)+SUMIFS($AS$7:$AS$1570,$BR$7:$BR$1570,BR1567,$AV$7:$AV$1570,AV1567,$BL$7:$BL$1570,"&lt;="&amp;BL1567),"")</f>
        <v/>
      </c>
      <c r="AX1567" s="65">
        <f>IF(AW1567="",0,MAX(0,MIN(1,(IF(BR1567="L1",Parameter!$K$5,Parameter!$K$6+Parameter!$K$7)-(AW1567-AS1567))/AS1567)))</f>
        <v/>
      </c>
      <c r="AY1567" s="53">
        <f>IF(AC1567&lt;=0,"",IF(BR1567="Aussen","Aussenlager",IF(BR1567="-","Nicht im Lift",IF(AH1567&gt;=1,"Lift",IF(AH1567&lt;=0,"Aussenlager","teilweise")))))</f>
        <v/>
      </c>
      <c r="AZ1567" s="53">
        <f>IF(AK1567&lt;=0,"",IF(BR1567="Aussen","Aussenlager",IF(BR1567="-","Nicht im Lift",IF(AP1567&gt;=1,"Lift",IF(AP1567&lt;=0,"Aussenlager","teilweise")))))</f>
        <v/>
      </c>
      <c r="BA1567" s="53">
        <f>IF(AS1567&lt;=0,"",IF(BR1567="Aussen","Aussenlager",IF(BR1567="-","Nicht im Lift",IF(AX1567&gt;=1,"Lift",IF(AX1567&lt;=0,"Aussenlager","teilweise")))))</f>
        <v/>
      </c>
      <c r="BB1567" s="53">
        <f>IF(A1567="","",IF(BK1567=1,"Neu; ","")&amp;IF(AND(BK1567=0,BF1567&lt;0),"negativer Bestand (Export "&amp;BF1567&amp;"); ","")&amp;IF(I1567&lt;=0,"Kein Verbrauch; ","")&amp;IF(BO1567=1,"Lose – Fläche geschätzt; ","")&amp;IF(G1567&gt;AM1567,"Überbestand "&amp;ROUND(G1567-AM1567,0)&amp;" Stk / CHF "&amp;ROUND((G1567-AM1567)*F1567,0)&amp;"; ","")&amp;IF(AND(BT1567=1,BU1567&lt;BV1567),"MAX &lt; MB+LG; ","")&amp;IF(AND(BZ1567&gt;0,BY1567*10&gt;BZ1567),"zu hoch für Tablar; ","")&amp;IF(AND(BK1567=0,OR(BT1567=1,V1567&lt;&gt;"",S1567&lt;&gt;"",T1567&lt;&gt;"",W1567&lt;&gt;"")),"manuell übersteuert; ","")&amp;IF(AND(BO1567=0,Q1567=0),"Gebinde unbekannt; ","")&amp;IF(AND(BO1567=0,N(T1567)&lt;=0,N(P1567)&lt;=0),"Menge pro Gebinde fehlt (Ist = 1 Gebinde); ","")&amp;BJ1567)</f>
        <v/>
      </c>
      <c r="BC1567" s="53" t="n"/>
      <c r="BD1567" s="53" t="n"/>
      <c r="BE1567" s="61" t="n"/>
      <c r="BF1567" s="55">
        <f>N('Neue Artikel'!$D$101)</f>
        <v/>
      </c>
      <c r="BG1567" s="55" t="n">
        <v>0</v>
      </c>
      <c r="BH1567" s="54" t="n">
        <v>0</v>
      </c>
      <c r="BI1567" s="55">
        <f>N('Neue Artikel'!$C$101)/Parameter!$B$18</f>
        <v/>
      </c>
      <c r="BJ1567" s="53" t="inlineStr"/>
      <c r="BK1567" s="58" t="n">
        <v>1</v>
      </c>
      <c r="BL1567" s="58" t="n">
        <v>1567</v>
      </c>
      <c r="BM1567" s="53">
        <f>IF(S1567&lt;&gt;"",UPPER(TRIM(S1567)),IF(O1567="","LOSE",O1567))</f>
        <v/>
      </c>
      <c r="BN1567" s="55">
        <f>IF(BM1567="LOSE",1,IF(N(T1567)&gt;0,T1567,IF(N(P1567)&gt;0,P1567,MAX(1,G1567))))</f>
        <v/>
      </c>
      <c r="BO1567" s="58">
        <f>IF(BM1567="LOSE",1,0)</f>
        <v/>
      </c>
      <c r="BP1567" s="64">
        <f>IF(BO1567=0,0,IF(N(R1567)&gt;0,R1567,IFERROR(VLOOKUP(D1567,Parameter!$A$35:$C$64,3,0)+0,0)))</f>
        <v/>
      </c>
      <c r="BQ1567" s="53">
        <f>IF(V1567&lt;&gt;"",V1567,U1567)</f>
        <v/>
      </c>
      <c r="BR1567" s="53">
        <f>IF(BQ1567=1,"L1",IF(OR(BQ1567=2,BQ1567=3),"L23",IF(BQ1567="Aussen","Aussen","-")))</f>
        <v/>
      </c>
      <c r="BS1567" s="66">
        <f>IF(N(W1567)&gt;0,W1567,0)</f>
        <v/>
      </c>
      <c r="BT1567" s="58">
        <f>IF(ISNUMBER(Z1567),1,0)</f>
        <v/>
      </c>
      <c r="BU1567" s="55">
        <f>N(Z1567)</f>
        <v/>
      </c>
      <c r="BV1567" s="55">
        <f>N(L1567)+N(M1567)</f>
        <v/>
      </c>
      <c r="BW1567" s="55">
        <f>ROUNDUP(G1567/BN1567,0)</f>
        <v/>
      </c>
      <c r="BX1567" s="55">
        <f>ROUNDUP(BU1567/BN1567,0)</f>
        <v/>
      </c>
      <c r="BY1567" s="58">
        <f>IF(BO1567=1,0,IFERROR(VLOOKUP(BM1567,'Gebinde-Kategorie'!$A$5:$G$45,5,0)+0,0))</f>
        <v/>
      </c>
      <c r="BZ1567" s="58">
        <f>IFERROR(IF(OR(BQ1567=1,BQ1567=2,BQ1567=3),N(INDEX(Parameter!$I$5:$I$7,BQ1567)),0),0)</f>
        <v/>
      </c>
    </row>
    <row r="1568">
      <c r="A1568" s="53">
        <f>IF('Neue Artikel'!$A$102="","",'Neue Artikel'!$A$102&amp;"")</f>
        <v/>
      </c>
      <c r="B1568" s="53">
        <f>'Neue Artikel'!$B$102&amp;""</f>
        <v/>
      </c>
      <c r="C1568" s="53" t="inlineStr"/>
      <c r="D1568" s="53" t="inlineStr">
        <is>
          <t>NEU</t>
        </is>
      </c>
      <c r="E1568" s="53" t="inlineStr"/>
      <c r="F1568" s="54">
        <f>N('Neue Artikel'!$G$102)</f>
        <v/>
      </c>
      <c r="G1568" s="55">
        <f>MAX(0,IF(Parameter!$B$20="Jahresanfang 2025 + Export",BG1568+BF1568,BF1568))</f>
        <v/>
      </c>
      <c r="H1568" s="55">
        <f>G1568*F1568</f>
        <v/>
      </c>
      <c r="I1568" s="55">
        <f>BI1568*Parameter!$B$18</f>
        <v/>
      </c>
      <c r="J1568" s="56" t="n"/>
      <c r="K1568" s="57" t="n"/>
      <c r="L1568" s="55">
        <f>N('Neue Artikel'!$E$102)</f>
        <v/>
      </c>
      <c r="M1568" s="55">
        <f>N('Neue Artikel'!$F$102)</f>
        <v/>
      </c>
      <c r="N1568" s="58" t="n"/>
      <c r="O1568" s="53">
        <f>IF('Neue Artikel'!$H$102="","LOSE",UPPER(TRIM('Neue Artikel'!$H$102)))</f>
        <v/>
      </c>
      <c r="P1568" s="55">
        <f>N('Neue Artikel'!$I$102)</f>
        <v/>
      </c>
      <c r="Q1568" s="59">
        <f>IF(BO1568=1,0,IFERROR(VLOOKUP(BM1568,'Gebinde-Kategorie'!$A$5:$G$45,6,0)+0,0))</f>
        <v/>
      </c>
      <c r="R1568" s="60" t="n"/>
      <c r="S1568" s="61" t="n"/>
      <c r="T1568" s="61" t="n"/>
      <c r="U1568" s="53">
        <f>IF(A1568="","",IF(IFERROR(VLOOKUP(D1568,Parameter!$A$35:$C$64,2,0),"Nein")="2+3",IF(ISNUMBER(SEARCH("grosser Artikel",BJ1568)),2,IFERROR(VLOOKUP(BM1568,Parameter!$F$35:$G$64,2,0),2)),IF(OR(IFERROR(VLOOKUP(D1568,Parameter!$A$35:$C$64,2,0),"Nein")="Nein",IFERROR(VLOOKUP(D1568,Parameter!$A$35:$C$64,2,0),"Nein")=""),"-",VLOOKUP(D1568,Parameter!$A$35:$C$64,2,0))))</f>
        <v/>
      </c>
      <c r="V1568" s="53">
        <f>IF('Neue Artikel'!$J$102="","",'Neue Artikel'!$J$102)</f>
        <v/>
      </c>
      <c r="W1568" s="62" t="n"/>
      <c r="X1568" s="55">
        <f>AM1568</f>
        <v/>
      </c>
      <c r="Y1568" s="55">
        <f>MAX(AM1568,G1568)</f>
        <v/>
      </c>
      <c r="Z1568" s="63" t="n"/>
      <c r="AA1568" s="55">
        <f>IF(LEFT(Cockpit!$C$5,1)="A",G1568,IF(BT1568=1,BU1568,IF(LEFT(Cockpit!$C$5,1)="B",AE1568,MAX(AE1568,G1568))))</f>
        <v/>
      </c>
      <c r="AB1568" s="55">
        <f>IF(BO1568=1,0,ROUNDUP(AA1568/BN1568,0))</f>
        <v/>
      </c>
      <c r="AC1568" s="64">
        <f>IF(BO1568=1,IF(AA1568&lt;=0,0,BP1568*MAX(1,IF(G1568&gt;0,AA1568/G1568,1))),AB1568*Q1568)</f>
        <v/>
      </c>
      <c r="AD1568" s="55">
        <f>AA1568*F1568</f>
        <v/>
      </c>
      <c r="AE1568" s="55">
        <f>ROUNDUP(MAX(I1568/IF(BS1568&gt;0,BS1568,MAX(0.1,N(Cockpit!$C$6))),BV1568)/BN1568,0)*BN1568</f>
        <v/>
      </c>
      <c r="AF1568" s="56">
        <f>IF(AC1568&gt;0,I1568/AC1568,-1)</f>
        <v/>
      </c>
      <c r="AG1568" s="56">
        <f>IF(AND(OR(BR1568="L1",BR1568="L23"),AC1568&gt;0),SUMIFS($AC$7:$AC$1570,$BR$7:$BR$1570,BR1568,$AF$7:$AF$1570,"&gt;"&amp;AF1568)+SUMIFS($AC$7:$AC$1570,$BR$7:$BR$1570,BR1568,$AF$7:$AF$1570,AF1568,$BL$7:$BL$1570,"&lt;="&amp;BL1568),"")</f>
        <v/>
      </c>
      <c r="AH1568" s="65">
        <f>IF(AG1568="",0,MAX(0,MIN(1,(IF(BR1568="L1",Parameter!$K$5,Parameter!$K$6+Parameter!$K$7)-(AG1568-AC1568))/AC1568)))</f>
        <v/>
      </c>
      <c r="AI1568" s="55">
        <f>IF(LEFT(Cockpit!$I$5,1)="A",G1568,IF(BT1568=1,BU1568,IF(LEFT(Cockpit!$I$5,1)="B",AM1568,MAX(AM1568,G1568))))</f>
        <v/>
      </c>
      <c r="AJ1568" s="55">
        <f>IF(BO1568=1,0,ROUNDUP(AI1568/BN1568,0))</f>
        <v/>
      </c>
      <c r="AK1568" s="64">
        <f>IF(BO1568=1,IF(AI1568&lt;=0,0,BP1568*MAX(1,IF(G1568&gt;0,AI1568/G1568,1))),AJ1568*Q1568)</f>
        <v/>
      </c>
      <c r="AL1568" s="55">
        <f>AI1568*F1568</f>
        <v/>
      </c>
      <c r="AM1568" s="55">
        <f>ROUNDUP(MAX(I1568/IF(BS1568&gt;0,BS1568,MAX(0.1,N(Cockpit!$I$6))),BV1568)/BN1568,0)*BN1568</f>
        <v/>
      </c>
      <c r="AN1568" s="56">
        <f>IF(AK1568&gt;0,I1568/AK1568,-1)</f>
        <v/>
      </c>
      <c r="AO1568" s="56">
        <f>IF(AND(OR(BR1568="L1",BR1568="L23"),AK1568&gt;0),SUMIFS($AK$7:$AK$1570,$BR$7:$BR$1570,BR1568,$AN$7:$AN$1570,"&gt;"&amp;AN1568)+SUMIFS($AK$7:$AK$1570,$BR$7:$BR$1570,BR1568,$AN$7:$AN$1570,AN1568,$BL$7:$BL$1570,"&lt;="&amp;BL1568),"")</f>
        <v/>
      </c>
      <c r="AP1568" s="65">
        <f>IF(AO1568="",0,MAX(0,MIN(1,(IF(BR1568="L1",Parameter!$K$5,Parameter!$K$6+Parameter!$K$7)-(AO1568-AK1568))/AK1568)))</f>
        <v/>
      </c>
      <c r="AQ1568" s="55">
        <f>IF(LEFT(Cockpit!$O$5,1)="A",G1568,IF(BT1568=1,BU1568,IF(LEFT(Cockpit!$O$5,1)="B",AU1568,MAX(AU1568,G1568))))</f>
        <v/>
      </c>
      <c r="AR1568" s="55">
        <f>IF(BO1568=1,0,ROUNDUP(AQ1568/BN1568,0))</f>
        <v/>
      </c>
      <c r="AS1568" s="64">
        <f>IF(BO1568=1,IF(AQ1568&lt;=0,0,BP1568*MAX(1,IF(G1568&gt;0,AQ1568/G1568,1))),AR1568*Q1568)</f>
        <v/>
      </c>
      <c r="AT1568" s="55">
        <f>AQ1568*F1568</f>
        <v/>
      </c>
      <c r="AU1568" s="55">
        <f>ROUNDUP(MAX(I1568/IF(BS1568&gt;0,BS1568,MAX(0.1,N(Cockpit!$O$6))),BV1568)/BN1568,0)*BN1568</f>
        <v/>
      </c>
      <c r="AV1568" s="56">
        <f>IF(AS1568&gt;0,I1568/AS1568,-1)</f>
        <v/>
      </c>
      <c r="AW1568" s="56">
        <f>IF(AND(OR(BR1568="L1",BR1568="L23"),AS1568&gt;0),SUMIFS($AS$7:$AS$1570,$BR$7:$BR$1570,BR1568,$AV$7:$AV$1570,"&gt;"&amp;AV1568)+SUMIFS($AS$7:$AS$1570,$BR$7:$BR$1570,BR1568,$AV$7:$AV$1570,AV1568,$BL$7:$BL$1570,"&lt;="&amp;BL1568),"")</f>
        <v/>
      </c>
      <c r="AX1568" s="65">
        <f>IF(AW1568="",0,MAX(0,MIN(1,(IF(BR1568="L1",Parameter!$K$5,Parameter!$K$6+Parameter!$K$7)-(AW1568-AS1568))/AS1568)))</f>
        <v/>
      </c>
      <c r="AY1568" s="53">
        <f>IF(AC1568&lt;=0,"",IF(BR1568="Aussen","Aussenlager",IF(BR1568="-","Nicht im Lift",IF(AH1568&gt;=1,"Lift",IF(AH1568&lt;=0,"Aussenlager","teilweise")))))</f>
        <v/>
      </c>
      <c r="AZ1568" s="53">
        <f>IF(AK1568&lt;=0,"",IF(BR1568="Aussen","Aussenlager",IF(BR1568="-","Nicht im Lift",IF(AP1568&gt;=1,"Lift",IF(AP1568&lt;=0,"Aussenlager","teilweise")))))</f>
        <v/>
      </c>
      <c r="BA1568" s="53">
        <f>IF(AS1568&lt;=0,"",IF(BR1568="Aussen","Aussenlager",IF(BR1568="-","Nicht im Lift",IF(AX1568&gt;=1,"Lift",IF(AX1568&lt;=0,"Aussenlager","teilweise")))))</f>
        <v/>
      </c>
      <c r="BB1568" s="53">
        <f>IF(A1568="","",IF(BK1568=1,"Neu; ","")&amp;IF(AND(BK1568=0,BF1568&lt;0),"negativer Bestand (Export "&amp;BF1568&amp;"); ","")&amp;IF(I1568&lt;=0,"Kein Verbrauch; ","")&amp;IF(BO1568=1,"Lose – Fläche geschätzt; ","")&amp;IF(G1568&gt;AM1568,"Überbestand "&amp;ROUND(G1568-AM1568,0)&amp;" Stk / CHF "&amp;ROUND((G1568-AM1568)*F1568,0)&amp;"; ","")&amp;IF(AND(BT1568=1,BU1568&lt;BV1568),"MAX &lt; MB+LG; ","")&amp;IF(AND(BZ1568&gt;0,BY1568*10&gt;BZ1568),"zu hoch für Tablar; ","")&amp;IF(AND(BK1568=0,OR(BT1568=1,V1568&lt;&gt;"",S1568&lt;&gt;"",T1568&lt;&gt;"",W1568&lt;&gt;"")),"manuell übersteuert; ","")&amp;IF(AND(BO1568=0,Q1568=0),"Gebinde unbekannt; ","")&amp;IF(AND(BO1568=0,N(T1568)&lt;=0,N(P1568)&lt;=0),"Menge pro Gebinde fehlt (Ist = 1 Gebinde); ","")&amp;BJ1568)</f>
        <v/>
      </c>
      <c r="BC1568" s="53" t="n"/>
      <c r="BD1568" s="53" t="n"/>
      <c r="BE1568" s="61" t="n"/>
      <c r="BF1568" s="55">
        <f>N('Neue Artikel'!$D$102)</f>
        <v/>
      </c>
      <c r="BG1568" s="55" t="n">
        <v>0</v>
      </c>
      <c r="BH1568" s="54" t="n">
        <v>0</v>
      </c>
      <c r="BI1568" s="55">
        <f>N('Neue Artikel'!$C$102)/Parameter!$B$18</f>
        <v/>
      </c>
      <c r="BJ1568" s="53" t="inlineStr"/>
      <c r="BK1568" s="58" t="n">
        <v>1</v>
      </c>
      <c r="BL1568" s="58" t="n">
        <v>1568</v>
      </c>
      <c r="BM1568" s="53">
        <f>IF(S1568&lt;&gt;"",UPPER(TRIM(S1568)),IF(O1568="","LOSE",O1568))</f>
        <v/>
      </c>
      <c r="BN1568" s="55">
        <f>IF(BM1568="LOSE",1,IF(N(T1568)&gt;0,T1568,IF(N(P1568)&gt;0,P1568,MAX(1,G1568))))</f>
        <v/>
      </c>
      <c r="BO1568" s="58">
        <f>IF(BM1568="LOSE",1,0)</f>
        <v/>
      </c>
      <c r="BP1568" s="64">
        <f>IF(BO1568=0,0,IF(N(R1568)&gt;0,R1568,IFERROR(VLOOKUP(D1568,Parameter!$A$35:$C$64,3,0)+0,0)))</f>
        <v/>
      </c>
      <c r="BQ1568" s="53">
        <f>IF(V1568&lt;&gt;"",V1568,U1568)</f>
        <v/>
      </c>
      <c r="BR1568" s="53">
        <f>IF(BQ1568=1,"L1",IF(OR(BQ1568=2,BQ1568=3),"L23",IF(BQ1568="Aussen","Aussen","-")))</f>
        <v/>
      </c>
      <c r="BS1568" s="66">
        <f>IF(N(W1568)&gt;0,W1568,0)</f>
        <v/>
      </c>
      <c r="BT1568" s="58">
        <f>IF(ISNUMBER(Z1568),1,0)</f>
        <v/>
      </c>
      <c r="BU1568" s="55">
        <f>N(Z1568)</f>
        <v/>
      </c>
      <c r="BV1568" s="55">
        <f>N(L1568)+N(M1568)</f>
        <v/>
      </c>
      <c r="BW1568" s="55">
        <f>ROUNDUP(G1568/BN1568,0)</f>
        <v/>
      </c>
      <c r="BX1568" s="55">
        <f>ROUNDUP(BU1568/BN1568,0)</f>
        <v/>
      </c>
      <c r="BY1568" s="58">
        <f>IF(BO1568=1,0,IFERROR(VLOOKUP(BM1568,'Gebinde-Kategorie'!$A$5:$G$45,5,0)+0,0))</f>
        <v/>
      </c>
      <c r="BZ1568" s="58">
        <f>IFERROR(IF(OR(BQ1568=1,BQ1568=2,BQ1568=3),N(INDEX(Parameter!$I$5:$I$7,BQ1568)),0),0)</f>
        <v/>
      </c>
    </row>
    <row r="1569">
      <c r="A1569" s="53">
        <f>IF('Neue Artikel'!$A$103="","",'Neue Artikel'!$A$103&amp;"")</f>
        <v/>
      </c>
      <c r="B1569" s="53">
        <f>'Neue Artikel'!$B$103&amp;""</f>
        <v/>
      </c>
      <c r="C1569" s="53" t="inlineStr"/>
      <c r="D1569" s="53" t="inlineStr">
        <is>
          <t>NEU</t>
        </is>
      </c>
      <c r="E1569" s="53" t="inlineStr"/>
      <c r="F1569" s="54">
        <f>N('Neue Artikel'!$G$103)</f>
        <v/>
      </c>
      <c r="G1569" s="55">
        <f>MAX(0,IF(Parameter!$B$20="Jahresanfang 2025 + Export",BG1569+BF1569,BF1569))</f>
        <v/>
      </c>
      <c r="H1569" s="55">
        <f>G1569*F1569</f>
        <v/>
      </c>
      <c r="I1569" s="55">
        <f>BI1569*Parameter!$B$18</f>
        <v/>
      </c>
      <c r="J1569" s="56" t="n"/>
      <c r="K1569" s="57" t="n"/>
      <c r="L1569" s="55">
        <f>N('Neue Artikel'!$E$103)</f>
        <v/>
      </c>
      <c r="M1569" s="55">
        <f>N('Neue Artikel'!$F$103)</f>
        <v/>
      </c>
      <c r="N1569" s="58" t="n"/>
      <c r="O1569" s="53">
        <f>IF('Neue Artikel'!$H$103="","LOSE",UPPER(TRIM('Neue Artikel'!$H$103)))</f>
        <v/>
      </c>
      <c r="P1569" s="55">
        <f>N('Neue Artikel'!$I$103)</f>
        <v/>
      </c>
      <c r="Q1569" s="59">
        <f>IF(BO1569=1,0,IFERROR(VLOOKUP(BM1569,'Gebinde-Kategorie'!$A$5:$G$45,6,0)+0,0))</f>
        <v/>
      </c>
      <c r="R1569" s="60" t="n"/>
      <c r="S1569" s="61" t="n"/>
      <c r="T1569" s="61" t="n"/>
      <c r="U1569" s="53">
        <f>IF(A1569="","",IF(IFERROR(VLOOKUP(D1569,Parameter!$A$35:$C$64,2,0),"Nein")="2+3",IF(ISNUMBER(SEARCH("grosser Artikel",BJ1569)),2,IFERROR(VLOOKUP(BM1569,Parameter!$F$35:$G$64,2,0),2)),IF(OR(IFERROR(VLOOKUP(D1569,Parameter!$A$35:$C$64,2,0),"Nein")="Nein",IFERROR(VLOOKUP(D1569,Parameter!$A$35:$C$64,2,0),"Nein")=""),"-",VLOOKUP(D1569,Parameter!$A$35:$C$64,2,0))))</f>
        <v/>
      </c>
      <c r="V1569" s="53">
        <f>IF('Neue Artikel'!$J$103="","",'Neue Artikel'!$J$103)</f>
        <v/>
      </c>
      <c r="W1569" s="62" t="n"/>
      <c r="X1569" s="55">
        <f>AM1569</f>
        <v/>
      </c>
      <c r="Y1569" s="55">
        <f>MAX(AM1569,G1569)</f>
        <v/>
      </c>
      <c r="Z1569" s="63" t="n"/>
      <c r="AA1569" s="55">
        <f>IF(LEFT(Cockpit!$C$5,1)="A",G1569,IF(BT1569=1,BU1569,IF(LEFT(Cockpit!$C$5,1)="B",AE1569,MAX(AE1569,G1569))))</f>
        <v/>
      </c>
      <c r="AB1569" s="55">
        <f>IF(BO1569=1,0,ROUNDUP(AA1569/BN1569,0))</f>
        <v/>
      </c>
      <c r="AC1569" s="64">
        <f>IF(BO1569=1,IF(AA1569&lt;=0,0,BP1569*MAX(1,IF(G1569&gt;0,AA1569/G1569,1))),AB1569*Q1569)</f>
        <v/>
      </c>
      <c r="AD1569" s="55">
        <f>AA1569*F1569</f>
        <v/>
      </c>
      <c r="AE1569" s="55">
        <f>ROUNDUP(MAX(I1569/IF(BS1569&gt;0,BS1569,MAX(0.1,N(Cockpit!$C$6))),BV1569)/BN1569,0)*BN1569</f>
        <v/>
      </c>
      <c r="AF1569" s="56">
        <f>IF(AC1569&gt;0,I1569/AC1569,-1)</f>
        <v/>
      </c>
      <c r="AG1569" s="56">
        <f>IF(AND(OR(BR1569="L1",BR1569="L23"),AC1569&gt;0),SUMIFS($AC$7:$AC$1570,$BR$7:$BR$1570,BR1569,$AF$7:$AF$1570,"&gt;"&amp;AF1569)+SUMIFS($AC$7:$AC$1570,$BR$7:$BR$1570,BR1569,$AF$7:$AF$1570,AF1569,$BL$7:$BL$1570,"&lt;="&amp;BL1569),"")</f>
        <v/>
      </c>
      <c r="AH1569" s="65">
        <f>IF(AG1569="",0,MAX(0,MIN(1,(IF(BR1569="L1",Parameter!$K$5,Parameter!$K$6+Parameter!$K$7)-(AG1569-AC1569))/AC1569)))</f>
        <v/>
      </c>
      <c r="AI1569" s="55">
        <f>IF(LEFT(Cockpit!$I$5,1)="A",G1569,IF(BT1569=1,BU1569,IF(LEFT(Cockpit!$I$5,1)="B",AM1569,MAX(AM1569,G1569))))</f>
        <v/>
      </c>
      <c r="AJ1569" s="55">
        <f>IF(BO1569=1,0,ROUNDUP(AI1569/BN1569,0))</f>
        <v/>
      </c>
      <c r="AK1569" s="64">
        <f>IF(BO1569=1,IF(AI1569&lt;=0,0,BP1569*MAX(1,IF(G1569&gt;0,AI1569/G1569,1))),AJ1569*Q1569)</f>
        <v/>
      </c>
      <c r="AL1569" s="55">
        <f>AI1569*F1569</f>
        <v/>
      </c>
      <c r="AM1569" s="55">
        <f>ROUNDUP(MAX(I1569/IF(BS1569&gt;0,BS1569,MAX(0.1,N(Cockpit!$I$6))),BV1569)/BN1569,0)*BN1569</f>
        <v/>
      </c>
      <c r="AN1569" s="56">
        <f>IF(AK1569&gt;0,I1569/AK1569,-1)</f>
        <v/>
      </c>
      <c r="AO1569" s="56">
        <f>IF(AND(OR(BR1569="L1",BR1569="L23"),AK1569&gt;0),SUMIFS($AK$7:$AK$1570,$BR$7:$BR$1570,BR1569,$AN$7:$AN$1570,"&gt;"&amp;AN1569)+SUMIFS($AK$7:$AK$1570,$BR$7:$BR$1570,BR1569,$AN$7:$AN$1570,AN1569,$BL$7:$BL$1570,"&lt;="&amp;BL1569),"")</f>
        <v/>
      </c>
      <c r="AP1569" s="65">
        <f>IF(AO1569="",0,MAX(0,MIN(1,(IF(BR1569="L1",Parameter!$K$5,Parameter!$K$6+Parameter!$K$7)-(AO1569-AK1569))/AK1569)))</f>
        <v/>
      </c>
      <c r="AQ1569" s="55">
        <f>IF(LEFT(Cockpit!$O$5,1)="A",G1569,IF(BT1569=1,BU1569,IF(LEFT(Cockpit!$O$5,1)="B",AU1569,MAX(AU1569,G1569))))</f>
        <v/>
      </c>
      <c r="AR1569" s="55">
        <f>IF(BO1569=1,0,ROUNDUP(AQ1569/BN1569,0))</f>
        <v/>
      </c>
      <c r="AS1569" s="64">
        <f>IF(BO1569=1,IF(AQ1569&lt;=0,0,BP1569*MAX(1,IF(G1569&gt;0,AQ1569/G1569,1))),AR1569*Q1569)</f>
        <v/>
      </c>
      <c r="AT1569" s="55">
        <f>AQ1569*F1569</f>
        <v/>
      </c>
      <c r="AU1569" s="55">
        <f>ROUNDUP(MAX(I1569/IF(BS1569&gt;0,BS1569,MAX(0.1,N(Cockpit!$O$6))),BV1569)/BN1569,0)*BN1569</f>
        <v/>
      </c>
      <c r="AV1569" s="56">
        <f>IF(AS1569&gt;0,I1569/AS1569,-1)</f>
        <v/>
      </c>
      <c r="AW1569" s="56">
        <f>IF(AND(OR(BR1569="L1",BR1569="L23"),AS1569&gt;0),SUMIFS($AS$7:$AS$1570,$BR$7:$BR$1570,BR1569,$AV$7:$AV$1570,"&gt;"&amp;AV1569)+SUMIFS($AS$7:$AS$1570,$BR$7:$BR$1570,BR1569,$AV$7:$AV$1570,AV1569,$BL$7:$BL$1570,"&lt;="&amp;BL1569),"")</f>
        <v/>
      </c>
      <c r="AX1569" s="65">
        <f>IF(AW1569="",0,MAX(0,MIN(1,(IF(BR1569="L1",Parameter!$K$5,Parameter!$K$6+Parameter!$K$7)-(AW1569-AS1569))/AS1569)))</f>
        <v/>
      </c>
      <c r="AY1569" s="53">
        <f>IF(AC1569&lt;=0,"",IF(BR1569="Aussen","Aussenlager",IF(BR1569="-","Nicht im Lift",IF(AH1569&gt;=1,"Lift",IF(AH1569&lt;=0,"Aussenlager","teilweise")))))</f>
        <v/>
      </c>
      <c r="AZ1569" s="53">
        <f>IF(AK1569&lt;=0,"",IF(BR1569="Aussen","Aussenlager",IF(BR1569="-","Nicht im Lift",IF(AP1569&gt;=1,"Lift",IF(AP1569&lt;=0,"Aussenlager","teilweise")))))</f>
        <v/>
      </c>
      <c r="BA1569" s="53">
        <f>IF(AS1569&lt;=0,"",IF(BR1569="Aussen","Aussenlager",IF(BR1569="-","Nicht im Lift",IF(AX1569&gt;=1,"Lift",IF(AX1569&lt;=0,"Aussenlager","teilweise")))))</f>
        <v/>
      </c>
      <c r="BB1569" s="53">
        <f>IF(A1569="","",IF(BK1569=1,"Neu; ","")&amp;IF(AND(BK1569=0,BF1569&lt;0),"negativer Bestand (Export "&amp;BF1569&amp;"); ","")&amp;IF(I1569&lt;=0,"Kein Verbrauch; ","")&amp;IF(BO1569=1,"Lose – Fläche geschätzt; ","")&amp;IF(G1569&gt;AM1569,"Überbestand "&amp;ROUND(G1569-AM1569,0)&amp;" Stk / CHF "&amp;ROUND((G1569-AM1569)*F1569,0)&amp;"; ","")&amp;IF(AND(BT1569=1,BU1569&lt;BV1569),"MAX &lt; MB+LG; ","")&amp;IF(AND(BZ1569&gt;0,BY1569*10&gt;BZ1569),"zu hoch für Tablar; ","")&amp;IF(AND(BK1569=0,OR(BT1569=1,V1569&lt;&gt;"",S1569&lt;&gt;"",T1569&lt;&gt;"",W1569&lt;&gt;"")),"manuell übersteuert; ","")&amp;IF(AND(BO1569=0,Q1569=0),"Gebinde unbekannt; ","")&amp;IF(AND(BO1569=0,N(T1569)&lt;=0,N(P1569)&lt;=0),"Menge pro Gebinde fehlt (Ist = 1 Gebinde); ","")&amp;BJ1569)</f>
        <v/>
      </c>
      <c r="BC1569" s="53" t="n"/>
      <c r="BD1569" s="53" t="n"/>
      <c r="BE1569" s="61" t="n"/>
      <c r="BF1569" s="55">
        <f>N('Neue Artikel'!$D$103)</f>
        <v/>
      </c>
      <c r="BG1569" s="55" t="n">
        <v>0</v>
      </c>
      <c r="BH1569" s="54" t="n">
        <v>0</v>
      </c>
      <c r="BI1569" s="55">
        <f>N('Neue Artikel'!$C$103)/Parameter!$B$18</f>
        <v/>
      </c>
      <c r="BJ1569" s="53" t="inlineStr"/>
      <c r="BK1569" s="58" t="n">
        <v>1</v>
      </c>
      <c r="BL1569" s="58" t="n">
        <v>1569</v>
      </c>
      <c r="BM1569" s="53">
        <f>IF(S1569&lt;&gt;"",UPPER(TRIM(S1569)),IF(O1569="","LOSE",O1569))</f>
        <v/>
      </c>
      <c r="BN1569" s="55">
        <f>IF(BM1569="LOSE",1,IF(N(T1569)&gt;0,T1569,IF(N(P1569)&gt;0,P1569,MAX(1,G1569))))</f>
        <v/>
      </c>
      <c r="BO1569" s="58">
        <f>IF(BM1569="LOSE",1,0)</f>
        <v/>
      </c>
      <c r="BP1569" s="64">
        <f>IF(BO1569=0,0,IF(N(R1569)&gt;0,R1569,IFERROR(VLOOKUP(D1569,Parameter!$A$35:$C$64,3,0)+0,0)))</f>
        <v/>
      </c>
      <c r="BQ1569" s="53">
        <f>IF(V1569&lt;&gt;"",V1569,U1569)</f>
        <v/>
      </c>
      <c r="BR1569" s="53">
        <f>IF(BQ1569=1,"L1",IF(OR(BQ1569=2,BQ1569=3),"L23",IF(BQ1569="Aussen","Aussen","-")))</f>
        <v/>
      </c>
      <c r="BS1569" s="66">
        <f>IF(N(W1569)&gt;0,W1569,0)</f>
        <v/>
      </c>
      <c r="BT1569" s="58">
        <f>IF(ISNUMBER(Z1569),1,0)</f>
        <v/>
      </c>
      <c r="BU1569" s="55">
        <f>N(Z1569)</f>
        <v/>
      </c>
      <c r="BV1569" s="55">
        <f>N(L1569)+N(M1569)</f>
        <v/>
      </c>
      <c r="BW1569" s="55">
        <f>ROUNDUP(G1569/BN1569,0)</f>
        <v/>
      </c>
      <c r="BX1569" s="55">
        <f>ROUNDUP(BU1569/BN1569,0)</f>
        <v/>
      </c>
      <c r="BY1569" s="58">
        <f>IF(BO1569=1,0,IFERROR(VLOOKUP(BM1569,'Gebinde-Kategorie'!$A$5:$G$45,5,0)+0,0))</f>
        <v/>
      </c>
      <c r="BZ1569" s="58">
        <f>IFERROR(IF(OR(BQ1569=1,BQ1569=2,BQ1569=3),N(INDEX(Parameter!$I$5:$I$7,BQ1569)),0),0)</f>
        <v/>
      </c>
    </row>
    <row r="1570">
      <c r="A1570" s="53">
        <f>IF('Neue Artikel'!$A$104="","",'Neue Artikel'!$A$104&amp;"")</f>
        <v/>
      </c>
      <c r="B1570" s="53">
        <f>'Neue Artikel'!$B$104&amp;""</f>
        <v/>
      </c>
      <c r="C1570" s="53" t="inlineStr"/>
      <c r="D1570" s="53" t="inlineStr">
        <is>
          <t>NEU</t>
        </is>
      </c>
      <c r="E1570" s="53" t="inlineStr"/>
      <c r="F1570" s="54">
        <f>N('Neue Artikel'!$G$104)</f>
        <v/>
      </c>
      <c r="G1570" s="55">
        <f>MAX(0,IF(Parameter!$B$20="Jahresanfang 2025 + Export",BG1570+BF1570,BF1570))</f>
        <v/>
      </c>
      <c r="H1570" s="55">
        <f>G1570*F1570</f>
        <v/>
      </c>
      <c r="I1570" s="55">
        <f>BI1570*Parameter!$B$18</f>
        <v/>
      </c>
      <c r="J1570" s="56" t="n"/>
      <c r="K1570" s="57" t="n"/>
      <c r="L1570" s="55">
        <f>N('Neue Artikel'!$E$104)</f>
        <v/>
      </c>
      <c r="M1570" s="55">
        <f>N('Neue Artikel'!$F$104)</f>
        <v/>
      </c>
      <c r="N1570" s="58" t="n"/>
      <c r="O1570" s="53">
        <f>IF('Neue Artikel'!$H$104="","LOSE",UPPER(TRIM('Neue Artikel'!$H$104)))</f>
        <v/>
      </c>
      <c r="P1570" s="55">
        <f>N('Neue Artikel'!$I$104)</f>
        <v/>
      </c>
      <c r="Q1570" s="59">
        <f>IF(BO1570=1,0,IFERROR(VLOOKUP(BM1570,'Gebinde-Kategorie'!$A$5:$G$45,6,0)+0,0))</f>
        <v/>
      </c>
      <c r="R1570" s="60" t="n"/>
      <c r="S1570" s="61" t="n"/>
      <c r="T1570" s="61" t="n"/>
      <c r="U1570" s="53">
        <f>IF(A1570="","",IF(IFERROR(VLOOKUP(D1570,Parameter!$A$35:$C$64,2,0),"Nein")="2+3",IF(ISNUMBER(SEARCH("grosser Artikel",BJ1570)),2,IFERROR(VLOOKUP(BM1570,Parameter!$F$35:$G$64,2,0),2)),IF(OR(IFERROR(VLOOKUP(D1570,Parameter!$A$35:$C$64,2,0),"Nein")="Nein",IFERROR(VLOOKUP(D1570,Parameter!$A$35:$C$64,2,0),"Nein")=""),"-",VLOOKUP(D1570,Parameter!$A$35:$C$64,2,0))))</f>
        <v/>
      </c>
      <c r="V1570" s="53">
        <f>IF('Neue Artikel'!$J$104="","",'Neue Artikel'!$J$104)</f>
        <v/>
      </c>
      <c r="W1570" s="62" t="n"/>
      <c r="X1570" s="55">
        <f>AM1570</f>
        <v/>
      </c>
      <c r="Y1570" s="55">
        <f>MAX(AM1570,G1570)</f>
        <v/>
      </c>
      <c r="Z1570" s="63" t="n"/>
      <c r="AA1570" s="55">
        <f>IF(LEFT(Cockpit!$C$5,1)="A",G1570,IF(BT1570=1,BU1570,IF(LEFT(Cockpit!$C$5,1)="B",AE1570,MAX(AE1570,G1570))))</f>
        <v/>
      </c>
      <c r="AB1570" s="55">
        <f>IF(BO1570=1,0,ROUNDUP(AA1570/BN1570,0))</f>
        <v/>
      </c>
      <c r="AC1570" s="64">
        <f>IF(BO1570=1,IF(AA1570&lt;=0,0,BP1570*MAX(1,IF(G1570&gt;0,AA1570/G1570,1))),AB1570*Q1570)</f>
        <v/>
      </c>
      <c r="AD1570" s="55">
        <f>AA1570*F1570</f>
        <v/>
      </c>
      <c r="AE1570" s="55">
        <f>ROUNDUP(MAX(I1570/IF(BS1570&gt;0,BS1570,MAX(0.1,N(Cockpit!$C$6))),BV1570)/BN1570,0)*BN1570</f>
        <v/>
      </c>
      <c r="AF1570" s="56">
        <f>IF(AC1570&gt;0,I1570/AC1570,-1)</f>
        <v/>
      </c>
      <c r="AG1570" s="56">
        <f>IF(AND(OR(BR1570="L1",BR1570="L23"),AC1570&gt;0),SUMIFS($AC$7:$AC$1570,$BR$7:$BR$1570,BR1570,$AF$7:$AF$1570,"&gt;"&amp;AF1570)+SUMIFS($AC$7:$AC$1570,$BR$7:$BR$1570,BR1570,$AF$7:$AF$1570,AF1570,$BL$7:$BL$1570,"&lt;="&amp;BL1570),"")</f>
        <v/>
      </c>
      <c r="AH1570" s="65">
        <f>IF(AG1570="",0,MAX(0,MIN(1,(IF(BR1570="L1",Parameter!$K$5,Parameter!$K$6+Parameter!$K$7)-(AG1570-AC1570))/AC1570)))</f>
        <v/>
      </c>
      <c r="AI1570" s="55">
        <f>IF(LEFT(Cockpit!$I$5,1)="A",G1570,IF(BT1570=1,BU1570,IF(LEFT(Cockpit!$I$5,1)="B",AM1570,MAX(AM1570,G1570))))</f>
        <v/>
      </c>
      <c r="AJ1570" s="55">
        <f>IF(BO1570=1,0,ROUNDUP(AI1570/BN1570,0))</f>
        <v/>
      </c>
      <c r="AK1570" s="64">
        <f>IF(BO1570=1,IF(AI1570&lt;=0,0,BP1570*MAX(1,IF(G1570&gt;0,AI1570/G1570,1))),AJ1570*Q1570)</f>
        <v/>
      </c>
      <c r="AL1570" s="55">
        <f>AI1570*F1570</f>
        <v/>
      </c>
      <c r="AM1570" s="55">
        <f>ROUNDUP(MAX(I1570/IF(BS1570&gt;0,BS1570,MAX(0.1,N(Cockpit!$I$6))),BV1570)/BN1570,0)*BN1570</f>
        <v/>
      </c>
      <c r="AN1570" s="56">
        <f>IF(AK1570&gt;0,I1570/AK1570,-1)</f>
        <v/>
      </c>
      <c r="AO1570" s="56">
        <f>IF(AND(OR(BR1570="L1",BR1570="L23"),AK1570&gt;0),SUMIFS($AK$7:$AK$1570,$BR$7:$BR$1570,BR1570,$AN$7:$AN$1570,"&gt;"&amp;AN1570)+SUMIFS($AK$7:$AK$1570,$BR$7:$BR$1570,BR1570,$AN$7:$AN$1570,AN1570,$BL$7:$BL$1570,"&lt;="&amp;BL1570),"")</f>
        <v/>
      </c>
      <c r="AP1570" s="65">
        <f>IF(AO1570="",0,MAX(0,MIN(1,(IF(BR1570="L1",Parameter!$K$5,Parameter!$K$6+Parameter!$K$7)-(AO1570-AK1570))/AK1570)))</f>
        <v/>
      </c>
      <c r="AQ1570" s="55">
        <f>IF(LEFT(Cockpit!$O$5,1)="A",G1570,IF(BT1570=1,BU1570,IF(LEFT(Cockpit!$O$5,1)="B",AU1570,MAX(AU1570,G1570))))</f>
        <v/>
      </c>
      <c r="AR1570" s="55">
        <f>IF(BO1570=1,0,ROUNDUP(AQ1570/BN1570,0))</f>
        <v/>
      </c>
      <c r="AS1570" s="64">
        <f>IF(BO1570=1,IF(AQ1570&lt;=0,0,BP1570*MAX(1,IF(G1570&gt;0,AQ1570/G1570,1))),AR1570*Q1570)</f>
        <v/>
      </c>
      <c r="AT1570" s="55">
        <f>AQ1570*F1570</f>
        <v/>
      </c>
      <c r="AU1570" s="55">
        <f>ROUNDUP(MAX(I1570/IF(BS1570&gt;0,BS1570,MAX(0.1,N(Cockpit!$O$6))),BV1570)/BN1570,0)*BN1570</f>
        <v/>
      </c>
      <c r="AV1570" s="56">
        <f>IF(AS1570&gt;0,I1570/AS1570,-1)</f>
        <v/>
      </c>
      <c r="AW1570" s="56">
        <f>IF(AND(OR(BR1570="L1",BR1570="L23"),AS1570&gt;0),SUMIFS($AS$7:$AS$1570,$BR$7:$BR$1570,BR1570,$AV$7:$AV$1570,"&gt;"&amp;AV1570)+SUMIFS($AS$7:$AS$1570,$BR$7:$BR$1570,BR1570,$AV$7:$AV$1570,AV1570,$BL$7:$BL$1570,"&lt;="&amp;BL1570),"")</f>
        <v/>
      </c>
      <c r="AX1570" s="65">
        <f>IF(AW1570="",0,MAX(0,MIN(1,(IF(BR1570="L1",Parameter!$K$5,Parameter!$K$6+Parameter!$K$7)-(AW1570-AS1570))/AS1570)))</f>
        <v/>
      </c>
      <c r="AY1570" s="53">
        <f>IF(AC1570&lt;=0,"",IF(BR1570="Aussen","Aussenlager",IF(BR1570="-","Nicht im Lift",IF(AH1570&gt;=1,"Lift",IF(AH1570&lt;=0,"Aussenlager","teilweise")))))</f>
        <v/>
      </c>
      <c r="AZ1570" s="53">
        <f>IF(AK1570&lt;=0,"",IF(BR1570="Aussen","Aussenlager",IF(BR1570="-","Nicht im Lift",IF(AP1570&gt;=1,"Lift",IF(AP1570&lt;=0,"Aussenlager","teilweise")))))</f>
        <v/>
      </c>
      <c r="BA1570" s="53">
        <f>IF(AS1570&lt;=0,"",IF(BR1570="Aussen","Aussenlager",IF(BR1570="-","Nicht im Lift",IF(AX1570&gt;=1,"Lift",IF(AX1570&lt;=0,"Aussenlager","teilweise")))))</f>
        <v/>
      </c>
      <c r="BB1570" s="53">
        <f>IF(A1570="","",IF(BK1570=1,"Neu; ","")&amp;IF(AND(BK1570=0,BF1570&lt;0),"negativer Bestand (Export "&amp;BF1570&amp;"); ","")&amp;IF(I1570&lt;=0,"Kein Verbrauch; ","")&amp;IF(BO1570=1,"Lose – Fläche geschätzt; ","")&amp;IF(G1570&gt;AM1570,"Überbestand "&amp;ROUND(G1570-AM1570,0)&amp;" Stk / CHF "&amp;ROUND((G1570-AM1570)*F1570,0)&amp;"; ","")&amp;IF(AND(BT1570=1,BU1570&lt;BV1570),"MAX &lt; MB+LG; ","")&amp;IF(AND(BZ1570&gt;0,BY1570*10&gt;BZ1570),"zu hoch für Tablar; ","")&amp;IF(AND(BK1570=0,OR(BT1570=1,V1570&lt;&gt;"",S1570&lt;&gt;"",T1570&lt;&gt;"",W1570&lt;&gt;"")),"manuell übersteuert; ","")&amp;IF(AND(BO1570=0,Q1570=0),"Gebinde unbekannt; ","")&amp;IF(AND(BO1570=0,N(T1570)&lt;=0,N(P1570)&lt;=0),"Menge pro Gebinde fehlt (Ist = 1 Gebinde); ","")&amp;BJ1570)</f>
        <v/>
      </c>
      <c r="BC1570" s="53" t="n"/>
      <c r="BD1570" s="53" t="n"/>
      <c r="BE1570" s="61" t="n"/>
      <c r="BF1570" s="55">
        <f>N('Neue Artikel'!$D$104)</f>
        <v/>
      </c>
      <c r="BG1570" s="55" t="n">
        <v>0</v>
      </c>
      <c r="BH1570" s="54" t="n">
        <v>0</v>
      </c>
      <c r="BI1570" s="55">
        <f>N('Neue Artikel'!$C$104)/Parameter!$B$18</f>
        <v/>
      </c>
      <c r="BJ1570" s="53" t="inlineStr"/>
      <c r="BK1570" s="58" t="n">
        <v>1</v>
      </c>
      <c r="BL1570" s="58" t="n">
        <v>1570</v>
      </c>
      <c r="BM1570" s="53">
        <f>IF(S1570&lt;&gt;"",UPPER(TRIM(S1570)),IF(O1570="","LOSE",O1570))</f>
        <v/>
      </c>
      <c r="BN1570" s="55">
        <f>IF(BM1570="LOSE",1,IF(N(T1570)&gt;0,T1570,IF(N(P1570)&gt;0,P1570,MAX(1,G1570))))</f>
        <v/>
      </c>
      <c r="BO1570" s="58">
        <f>IF(BM1570="LOSE",1,0)</f>
        <v/>
      </c>
      <c r="BP1570" s="64">
        <f>IF(BO1570=0,0,IF(N(R1570)&gt;0,R1570,IFERROR(VLOOKUP(D1570,Parameter!$A$35:$C$64,3,0)+0,0)))</f>
        <v/>
      </c>
      <c r="BQ1570" s="53">
        <f>IF(V1570&lt;&gt;"",V1570,U1570)</f>
        <v/>
      </c>
      <c r="BR1570" s="53">
        <f>IF(BQ1570=1,"L1",IF(OR(BQ1570=2,BQ1570=3),"L23",IF(BQ1570="Aussen","Aussen","-")))</f>
        <v/>
      </c>
      <c r="BS1570" s="66">
        <f>IF(N(W1570)&gt;0,W1570,0)</f>
        <v/>
      </c>
      <c r="BT1570" s="58">
        <f>IF(ISNUMBER(Z1570),1,0)</f>
        <v/>
      </c>
      <c r="BU1570" s="55">
        <f>N(Z1570)</f>
        <v/>
      </c>
      <c r="BV1570" s="55">
        <f>N(L1570)+N(M1570)</f>
        <v/>
      </c>
      <c r="BW1570" s="55">
        <f>ROUNDUP(G1570/BN1570,0)</f>
        <v/>
      </c>
      <c r="BX1570" s="55">
        <f>ROUNDUP(BU1570/BN1570,0)</f>
        <v/>
      </c>
      <c r="BY1570" s="58">
        <f>IF(BO1570=1,0,IFERROR(VLOOKUP(BM1570,'Gebinde-Kategorie'!$A$5:$G$45,5,0)+0,0))</f>
        <v/>
      </c>
      <c r="BZ1570" s="58">
        <f>IFERROR(IF(OR(BQ1570=1,BQ1570=2,BQ1570=3),N(INDEX(Parameter!$I$5:$I$7,BQ1570)),0),0)</f>
        <v/>
      </c>
    </row>
  </sheetData>
  <autoFilter ref="A6:BE1570"/>
  <conditionalFormatting sqref="AY7:AY1570">
    <cfRule type="cellIs" priority="1" operator="equal" dxfId="3">
      <formula>"Lift"</formula>
    </cfRule>
    <cfRule type="cellIs" priority="2" operator="equal" dxfId="2">
      <formula>"teilweise"</formula>
    </cfRule>
    <cfRule type="cellIs" priority="3" operator="equal" dxfId="1">
      <formula>"Aussenlager"</formula>
    </cfRule>
  </conditionalFormatting>
  <conditionalFormatting sqref="AZ7:AZ1570">
    <cfRule type="cellIs" priority="4" operator="equal" dxfId="3">
      <formula>"Lift"</formula>
    </cfRule>
    <cfRule type="cellIs" priority="5" operator="equal" dxfId="2">
      <formula>"teilweise"</formula>
    </cfRule>
    <cfRule type="cellIs" priority="6" operator="equal" dxfId="1">
      <formula>"Aussenlager"</formula>
    </cfRule>
  </conditionalFormatting>
  <conditionalFormatting sqref="BA7:BA1570">
    <cfRule type="cellIs" priority="7" operator="equal" dxfId="3">
      <formula>"Lift"</formula>
    </cfRule>
    <cfRule type="cellIs" priority="8" operator="equal" dxfId="2">
      <formula>"teilweise"</formula>
    </cfRule>
    <cfRule type="cellIs" priority="9" operator="equal" dxfId="1">
      <formula>"Aussenlager"</formula>
    </cfRule>
  </conditionalFormatting>
  <conditionalFormatting sqref="BB7:BB1570">
    <cfRule type="expression" priority="10" dxfId="1">
      <formula>ISNUMBER(SEARCH("zu hoch",BB7))</formula>
    </cfRule>
    <cfRule type="expression" priority="11" dxfId="2">
      <formula>ISNUMBER(SEARCH("Überbestand",BB7))</formula>
    </cfRule>
  </conditionalFormatting>
  <dataValidations count="1">
    <dataValidation sqref="V7:V1470" showDropDown="0" showInputMessage="0" showErrorMessage="0" allowBlank="1" type="list">
      <formula1>"1,2,3,Aussen"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M6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24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1" customWidth="1" min="10" max="10"/>
    <col width="11" customWidth="1" min="11" max="11"/>
    <col width="14" customWidth="1" min="13" max="13"/>
  </cols>
  <sheetData>
    <row r="1">
      <c r="A1" s="30" t="inlineStr">
        <is>
          <t>Parameter</t>
        </is>
      </c>
    </row>
    <row r="2">
      <c r="A2" s="31" t="inlineStr">
        <is>
          <t>Gelbe Felder dürfen geändert werden. Alles andere rechnet automatisch.</t>
        </is>
      </c>
    </row>
    <row r="3">
      <c r="A3" s="46" t="inlineStr">
        <is>
          <t>Lagerlifte</t>
        </is>
      </c>
    </row>
    <row r="4">
      <c r="A4" s="51" t="inlineStr">
        <is>
          <t>Lift</t>
        </is>
      </c>
      <c r="B4" s="51" t="inlineStr">
        <is>
          <t>Name</t>
        </is>
      </c>
      <c r="C4" s="51" t="inlineStr">
        <is>
          <t>Typ</t>
        </is>
      </c>
      <c r="D4" s="51" t="inlineStr">
        <is>
          <t>Hauptlager</t>
        </is>
      </c>
      <c r="E4" s="51" t="inlineStr">
        <is>
          <t>Anzahl Tablare</t>
        </is>
      </c>
      <c r="F4" s="51" t="inlineStr">
        <is>
          <t>Tablar Breite mm</t>
        </is>
      </c>
      <c r="G4" s="51" t="inlineStr">
        <is>
          <t>Tablar Tiefe mm</t>
        </is>
      </c>
      <c r="H4" s="51" t="inlineStr">
        <is>
          <t>Lifthöhe mm</t>
        </is>
      </c>
      <c r="I4" s="51" t="inlineStr">
        <is>
          <t>max. Ladehöhe je Tablar mm (optional)</t>
        </is>
      </c>
      <c r="J4" s="51" t="inlineStr">
        <is>
          <t>Tablarfläche m²</t>
        </is>
      </c>
      <c r="K4" s="51" t="inlineStr">
        <is>
          <t>Kapazität m²</t>
        </is>
      </c>
    </row>
    <row r="5">
      <c r="A5" s="14" t="n">
        <v>1</v>
      </c>
      <c r="B5" s="67" t="inlineStr">
        <is>
          <t>Lift 1 – Schwer</t>
        </is>
      </c>
      <c r="C5" s="67" t="inlineStr">
        <is>
          <t>ausfahrbar, schwere Teile</t>
        </is>
      </c>
      <c r="D5" s="67" t="inlineStr">
        <is>
          <t>LIFT1</t>
        </is>
      </c>
      <c r="E5" s="68" t="n">
        <v>50</v>
      </c>
      <c r="F5" s="69" t="n">
        <v>4060</v>
      </c>
      <c r="G5" s="69" t="n">
        <v>857</v>
      </c>
      <c r="H5" s="69" t="n">
        <v>11900</v>
      </c>
      <c r="I5" s="69" t="n"/>
      <c r="J5" s="70">
        <f>F5*G5/1000000</f>
        <v/>
      </c>
      <c r="K5" s="11">
        <f>E5*J5</f>
        <v/>
      </c>
    </row>
    <row r="6">
      <c r="A6" s="14" t="n">
        <v>2</v>
      </c>
      <c r="B6" s="67" t="inlineStr">
        <is>
          <t>Lift 2 – Mittel</t>
        </is>
      </c>
      <c r="C6" s="67" t="inlineStr">
        <is>
          <t>ausfahrbar, mittelschwere Teile</t>
        </is>
      </c>
      <c r="D6" s="67" t="inlineStr">
        <is>
          <t>KTL + PAL (mit Lift 3)</t>
        </is>
      </c>
      <c r="E6" s="68" t="n">
        <v>50</v>
      </c>
      <c r="F6" s="69" t="n">
        <v>4060</v>
      </c>
      <c r="G6" s="69" t="n">
        <v>857</v>
      </c>
      <c r="H6" s="69" t="n">
        <v>11900</v>
      </c>
      <c r="I6" s="69" t="n"/>
      <c r="J6" s="70">
        <f>F6*G6/1000000</f>
        <v/>
      </c>
      <c r="K6" s="11">
        <f>E6*J6</f>
        <v/>
      </c>
    </row>
    <row r="7">
      <c r="A7" s="14" t="n">
        <v>3</v>
      </c>
      <c r="B7" s="67" t="inlineStr">
        <is>
          <t>Lift 3 – Klein</t>
        </is>
      </c>
      <c r="C7" s="67" t="inlineStr">
        <is>
          <t>nicht ausfahrbar, Kleinteile</t>
        </is>
      </c>
      <c r="D7" s="67" t="inlineStr">
        <is>
          <t>KTL + PAL (mit Lift 2)</t>
        </is>
      </c>
      <c r="E7" s="68" t="n">
        <v>50</v>
      </c>
      <c r="F7" s="69" t="n">
        <v>4060</v>
      </c>
      <c r="G7" s="69" t="n">
        <v>857</v>
      </c>
      <c r="H7" s="69" t="n">
        <v>11900</v>
      </c>
      <c r="I7" s="69" t="n"/>
      <c r="J7" s="70">
        <f>F7*G7/1000000</f>
        <v/>
      </c>
      <c r="K7" s="11">
        <f>E7*J7</f>
        <v/>
      </c>
    </row>
    <row r="8">
      <c r="A8" s="14" t="inlineStr">
        <is>
          <t>Total</t>
        </is>
      </c>
      <c r="E8" s="16">
        <f>SUM(E5:E7)</f>
        <v/>
      </c>
      <c r="K8" s="15">
        <f>SUM(K5:K7)</f>
        <v/>
      </c>
    </row>
    <row r="10">
      <c r="A10" s="46" t="inlineStr">
        <is>
          <t>Ampel Auslastung</t>
        </is>
      </c>
      <c r="I10" s="46" t="inlineStr">
        <is>
          <t>Kontrolle Datenstand</t>
        </is>
      </c>
    </row>
    <row r="11">
      <c r="A11" s="21" t="inlineStr">
        <is>
          <t>grün unter</t>
        </is>
      </c>
      <c r="B11" s="71" t="n">
        <v>0.85</v>
      </c>
      <c r="C11" s="31" t="inlineStr">
        <is>
          <t>dazwischen orange</t>
        </is>
      </c>
      <c r="I11" s="21" t="inlineStr">
        <is>
          <t>H4 «Total Bestandswert» im Export (= SUM(H7:H1440))</t>
        </is>
      </c>
      <c r="M11" s="72" t="n">
        <v>747814.6999999994</v>
      </c>
    </row>
    <row r="12">
      <c r="A12" s="21" t="inlineStr">
        <is>
          <t>rot über</t>
        </is>
      </c>
      <c r="B12" s="71" t="n">
        <v>1</v>
      </c>
      <c r="I12" s="21" t="inlineStr">
        <is>
          <t>Summe Bestandswert Export, alle Zeilen (inkl. negative)</t>
        </is>
      </c>
      <c r="M12" s="72">
        <f>SUM(Artikel!$BH$7:$BH$1570)</f>
        <v/>
      </c>
    </row>
    <row r="13">
      <c r="I13" s="21" t="inlineStr">
        <is>
          <t>Summe Bestandswert Export, nur Artikel mit Bestand &gt; 0</t>
        </is>
      </c>
      <c r="M13" s="72">
        <f>SUMIFS(Artikel!$BH$7:$BH$1570,Artikel!$BF$7:$BF$1570,"&gt;0")</f>
        <v/>
      </c>
    </row>
    <row r="14">
      <c r="A14" s="46" t="inlineStr">
        <is>
          <t>Verbrauchszeitraum</t>
        </is>
      </c>
      <c r="I14" s="21" t="inlineStr">
        <is>
          <t>Ist-Wert im Tool (Ist-Bestand × Preis)</t>
        </is>
      </c>
      <c r="M14" s="72">
        <f>SUM(Artikel!$H$7:$H$1570)</f>
        <v/>
      </c>
    </row>
    <row r="15">
      <c r="A15" s="21" t="inlineStr">
        <is>
          <t>Verbrauch von</t>
        </is>
      </c>
      <c r="B15" s="73" t="n">
        <v>45658</v>
      </c>
      <c r="C15" s="31" t="inlineStr">
        <is>
          <t>Export-Filter «Auswertung Verbrauch»!B2 = 2025</t>
        </is>
      </c>
      <c r="I15" s="21" t="inlineStr">
        <is>
          <t>Artikel mit negativer Bestandsmenge im Export</t>
        </is>
      </c>
      <c r="M15" s="25">
        <f>COUNTIFS(Artikel!$BF$7:$BF$1570,"&lt;0",Artikel!$BK$7:$BK$1570,0)</f>
        <v/>
      </c>
    </row>
    <row r="16">
      <c r="A16" s="21" t="inlineStr">
        <is>
          <t>Verbrauch bis</t>
        </is>
      </c>
      <c r="B16" s="73" t="n">
        <v>46022</v>
      </c>
      <c r="I16" s="21" t="inlineStr">
        <is>
          <t>Artikel im Tool (ohne neue)</t>
        </is>
      </c>
      <c r="M16" s="25">
        <f>COUNTIFS(Artikel!$BK$7:$BK$1570,0)</f>
        <v/>
      </c>
    </row>
    <row r="17">
      <c r="A17" s="21" t="inlineStr">
        <is>
          <t>Anzahl Monate</t>
        </is>
      </c>
      <c r="B17" s="12">
        <f>MAX(1,(YEAR(B16)-YEAR(B15))*12+MONTH(B16)-MONTH(B15)+1)</f>
        <v/>
      </c>
    </row>
    <row r="18">
      <c r="A18" s="21" t="inlineStr">
        <is>
          <t>Faktor auf 12 Monate</t>
        </is>
      </c>
      <c r="B18" s="70">
        <f>12/B17</f>
        <v/>
      </c>
    </row>
    <row r="20">
      <c r="A20" s="46" t="inlineStr">
        <is>
          <t>Ist-Bestand aus</t>
        </is>
      </c>
      <c r="B20" s="67" t="inlineStr">
        <is>
          <t>Export (Bestandsmenge)</t>
        </is>
      </c>
      <c r="C20" s="31" t="inlineStr">
        <is>
          <t>Export (Bestandsmenge) = Spalte G wie geliefert, negativ = 0.  «Jahresanfang 2025 + Export» = Spalte T + Spalte G (falls G die Bewegung seit 01.01.2025 ist).</t>
        </is>
      </c>
    </row>
    <row r="22">
      <c r="A22" s="46" t="inlineStr">
        <is>
          <t>Ziel-LU Auswahl</t>
        </is>
      </c>
      <c r="D22" s="46" t="inlineStr">
        <is>
          <t>Varianten (nicht ändern)</t>
        </is>
      </c>
    </row>
    <row r="23">
      <c r="A23" s="74" t="n">
        <v>1</v>
      </c>
      <c r="D23" s="21" t="inlineStr">
        <is>
          <t>A – Ist-Bestand</t>
        </is>
      </c>
    </row>
    <row r="24">
      <c r="A24" s="74" t="n">
        <v>1.5</v>
      </c>
      <c r="D24" s="21" t="inlineStr">
        <is>
          <t>B – Ziel-LU</t>
        </is>
      </c>
    </row>
    <row r="25">
      <c r="A25" s="74" t="n">
        <v>2</v>
      </c>
      <c r="D25" s="21" t="inlineStr">
        <is>
          <t>C – Ziel-LU oder Ist</t>
        </is>
      </c>
    </row>
    <row r="26">
      <c r="A26" s="74" t="n">
        <v>2.5</v>
      </c>
    </row>
    <row r="27">
      <c r="A27" s="74" t="n">
        <v>3</v>
      </c>
    </row>
    <row r="28">
      <c r="A28" s="74" t="n">
        <v>4</v>
      </c>
    </row>
    <row r="29">
      <c r="A29" s="74" t="n">
        <v>5</v>
      </c>
    </row>
    <row r="30">
      <c r="A30" s="74" t="n">
        <v>6</v>
      </c>
    </row>
    <row r="32">
      <c r="A32" s="46" t="inlineStr">
        <is>
          <t>Zuordnung Hauptlager → Lift  (1 / 2 / 3 / 2+3 / Nein)</t>
        </is>
      </c>
      <c r="F32" s="46" t="inlineStr">
        <is>
          <t>Zuordnung Gebinde → Lift (nur Liftgruppe 2+3)</t>
        </is>
      </c>
    </row>
    <row r="33">
      <c r="A33" s="31" t="inlineStr">
        <is>
          <t>«Nein» = zählt nicht zu den Liften (Zeile «Nicht im Lift»). ENTSORGEN!/DUMMY standardmässig «Nein».</t>
        </is>
      </c>
      <c r="F33" s="31" t="inlineStr">
        <is>
          <t>Bemerkung «grosser Artikel …» im Artikelstamm → immer Lift 2</t>
        </is>
      </c>
    </row>
    <row r="34">
      <c r="A34" s="51" t="inlineStr">
        <is>
          <t>Hauptlager</t>
        </is>
      </c>
      <c r="B34" s="51" t="inlineStr">
        <is>
          <t>Lift</t>
        </is>
      </c>
      <c r="C34" s="51" t="inlineStr">
        <is>
          <t>Fläche lose Startwert m² je Artikel</t>
        </is>
      </c>
      <c r="F34" s="32" t="inlineStr">
        <is>
          <t>Gebinde</t>
        </is>
      </c>
      <c r="G34" s="32" t="inlineStr">
        <is>
          <t>Lift</t>
        </is>
      </c>
    </row>
    <row r="35">
      <c r="A35" s="67" t="inlineStr">
        <is>
          <t>LIFT1</t>
        </is>
      </c>
      <c r="B35" s="75" t="n">
        <v>1</v>
      </c>
      <c r="C35" s="76" t="n">
        <v>3.479</v>
      </c>
      <c r="F35" s="67" t="inlineStr">
        <is>
          <t>S21</t>
        </is>
      </c>
      <c r="G35" s="75" t="n">
        <v>3</v>
      </c>
    </row>
    <row r="36">
      <c r="A36" s="67" t="inlineStr">
        <is>
          <t>KTL</t>
        </is>
      </c>
      <c r="B36" s="75" t="inlineStr">
        <is>
          <t>2+3</t>
        </is>
      </c>
      <c r="C36" s="76" t="n">
        <v>0.1</v>
      </c>
      <c r="F36" s="67" t="inlineStr">
        <is>
          <t>S22</t>
        </is>
      </c>
      <c r="G36" s="75" t="n">
        <v>3</v>
      </c>
    </row>
    <row r="37">
      <c r="A37" s="67" t="inlineStr">
        <is>
          <t>PAL</t>
        </is>
      </c>
      <c r="B37" s="75" t="inlineStr">
        <is>
          <t>2+3</t>
        </is>
      </c>
      <c r="C37" s="76" t="n">
        <v>0.5</v>
      </c>
      <c r="F37" s="67" t="inlineStr">
        <is>
          <t>S32</t>
        </is>
      </c>
      <c r="G37" s="75" t="n">
        <v>3</v>
      </c>
    </row>
    <row r="38">
      <c r="A38" s="67" t="inlineStr">
        <is>
          <t>NEU</t>
        </is>
      </c>
      <c r="B38" s="75" t="inlineStr">
        <is>
          <t>2+3</t>
        </is>
      </c>
      <c r="C38" s="76" t="n">
        <v>0.5</v>
      </c>
      <c r="F38" s="67" t="inlineStr">
        <is>
          <t>S33</t>
        </is>
      </c>
      <c r="G38" s="75" t="n">
        <v>3</v>
      </c>
    </row>
    <row r="39">
      <c r="A39" s="67" t="inlineStr">
        <is>
          <t>A-BEZ</t>
        </is>
      </c>
      <c r="B39" s="75" t="inlineStr">
        <is>
          <t>Nein</t>
        </is>
      </c>
      <c r="C39" s="76" t="n">
        <v>0.5</v>
      </c>
      <c r="F39" s="67" t="inlineStr">
        <is>
          <t>S41</t>
        </is>
      </c>
      <c r="G39" s="75" t="n">
        <v>3</v>
      </c>
    </row>
    <row r="40">
      <c r="A40" s="67" t="inlineStr">
        <is>
          <t>OCC</t>
        </is>
      </c>
      <c r="B40" s="75" t="inlineStr">
        <is>
          <t>Nein</t>
        </is>
      </c>
      <c r="C40" s="76" t="n">
        <v>0.5</v>
      </c>
      <c r="F40" s="67" t="inlineStr">
        <is>
          <t>S51</t>
        </is>
      </c>
      <c r="G40" s="75" t="n">
        <v>3</v>
      </c>
    </row>
    <row r="41">
      <c r="A41" s="67" t="inlineStr">
        <is>
          <t>VERB-P</t>
        </is>
      </c>
      <c r="B41" s="75" t="inlineStr">
        <is>
          <t>Nein</t>
        </is>
      </c>
      <c r="C41" s="76" t="n">
        <v>0.5</v>
      </c>
      <c r="F41" s="67" t="inlineStr">
        <is>
          <t>S52</t>
        </is>
      </c>
      <c r="G41" s="75" t="n">
        <v>3</v>
      </c>
    </row>
    <row r="42">
      <c r="A42" s="67" t="inlineStr">
        <is>
          <t>EK-TV</t>
        </is>
      </c>
      <c r="B42" s="75" t="inlineStr">
        <is>
          <t>Nein</t>
        </is>
      </c>
      <c r="C42" s="76" t="n">
        <v>0.5</v>
      </c>
      <c r="F42" s="67" t="inlineStr">
        <is>
          <t>S61</t>
        </is>
      </c>
      <c r="G42" s="75" t="n">
        <v>2</v>
      </c>
    </row>
    <row r="43">
      <c r="A43" s="67" t="inlineStr">
        <is>
          <t>BEKLEI</t>
        </is>
      </c>
      <c r="B43" s="75" t="inlineStr">
        <is>
          <t>Nein</t>
        </is>
      </c>
      <c r="C43" s="76" t="n">
        <v>0.5</v>
      </c>
      <c r="F43" s="67" t="inlineStr">
        <is>
          <t>S62</t>
        </is>
      </c>
      <c r="G43" s="75" t="n">
        <v>2</v>
      </c>
    </row>
    <row r="44">
      <c r="A44" s="67" t="inlineStr">
        <is>
          <t>GK</t>
        </is>
      </c>
      <c r="B44" s="75" t="inlineStr">
        <is>
          <t>Nein</t>
        </is>
      </c>
      <c r="C44" s="76" t="n">
        <v>0.5</v>
      </c>
      <c r="F44" s="67" t="inlineStr">
        <is>
          <t>S63</t>
        </is>
      </c>
      <c r="G44" s="75" t="n">
        <v>2</v>
      </c>
    </row>
    <row r="45">
      <c r="A45" s="67" t="inlineStr">
        <is>
          <t>VERPAC</t>
        </is>
      </c>
      <c r="B45" s="75" t="inlineStr">
        <is>
          <t>Nein</t>
        </is>
      </c>
      <c r="C45" s="76" t="n">
        <v>0.5</v>
      </c>
      <c r="F45" s="67" t="inlineStr">
        <is>
          <t>S71</t>
        </is>
      </c>
      <c r="G45" s="75" t="n">
        <v>2</v>
      </c>
    </row>
    <row r="46">
      <c r="A46" s="67" t="inlineStr">
        <is>
          <t>GERAET</t>
        </is>
      </c>
      <c r="B46" s="75" t="inlineStr">
        <is>
          <t>Nein</t>
        </is>
      </c>
      <c r="C46" s="76" t="n">
        <v>0.5</v>
      </c>
      <c r="F46" s="67" t="inlineStr">
        <is>
          <t>S72</t>
        </is>
      </c>
      <c r="G46" s="75" t="n">
        <v>2</v>
      </c>
    </row>
    <row r="47">
      <c r="A47" s="67" t="inlineStr">
        <is>
          <t>ENTSORGEN!</t>
        </is>
      </c>
      <c r="B47" s="75" t="inlineStr">
        <is>
          <t>Nein</t>
        </is>
      </c>
      <c r="C47" s="76" t="n">
        <v>0.5</v>
      </c>
      <c r="F47" s="67" t="inlineStr">
        <is>
          <t>S73</t>
        </is>
      </c>
      <c r="G47" s="75" t="n">
        <v>2</v>
      </c>
    </row>
    <row r="48">
      <c r="A48" s="67" t="inlineStr">
        <is>
          <t>DUMMY</t>
        </is>
      </c>
      <c r="B48" s="75" t="inlineStr">
        <is>
          <t>Nein</t>
        </is>
      </c>
      <c r="C48" s="76" t="n">
        <v>0.5</v>
      </c>
      <c r="F48" s="67" t="inlineStr">
        <is>
          <t>S81</t>
        </is>
      </c>
      <c r="G48" s="75" t="n">
        <v>2</v>
      </c>
    </row>
    <row r="49">
      <c r="A49" s="67" t="inlineStr">
        <is>
          <t>(leer)</t>
        </is>
      </c>
      <c r="B49" s="75" t="inlineStr">
        <is>
          <t>Nein</t>
        </is>
      </c>
      <c r="C49" s="76" t="n">
        <v>0.5</v>
      </c>
      <c r="F49" s="67" t="inlineStr">
        <is>
          <t>S82</t>
        </is>
      </c>
      <c r="G49" s="75" t="n">
        <v>2</v>
      </c>
    </row>
    <row r="50">
      <c r="A50" s="67" t="n"/>
      <c r="B50" s="75" t="n"/>
      <c r="C50" s="76" t="n"/>
      <c r="F50" s="67" t="inlineStr">
        <is>
          <t>S83</t>
        </is>
      </c>
      <c r="G50" s="75" t="n">
        <v>2</v>
      </c>
    </row>
    <row r="51">
      <c r="A51" s="67" t="n"/>
      <c r="B51" s="75" t="n"/>
      <c r="C51" s="76" t="n"/>
      <c r="F51" s="67" t="inlineStr">
        <is>
          <t>P20</t>
        </is>
      </c>
      <c r="G51" s="75" t="n">
        <v>2</v>
      </c>
    </row>
    <row r="52">
      <c r="A52" s="67" t="n"/>
      <c r="B52" s="75" t="n"/>
      <c r="C52" s="76" t="n"/>
      <c r="F52" s="67" t="inlineStr">
        <is>
          <t>P21</t>
        </is>
      </c>
      <c r="G52" s="75" t="n">
        <v>2</v>
      </c>
    </row>
    <row r="53">
      <c r="A53" s="67" t="n"/>
      <c r="B53" s="75" t="n"/>
      <c r="C53" s="76" t="n"/>
      <c r="F53" s="67" t="inlineStr">
        <is>
          <t>P22</t>
        </is>
      </c>
      <c r="G53" s="75" t="n">
        <v>2</v>
      </c>
    </row>
    <row r="54">
      <c r="A54" s="67" t="n"/>
      <c r="B54" s="75" t="n"/>
      <c r="C54" s="76" t="n"/>
      <c r="F54" s="67" t="inlineStr">
        <is>
          <t>P23</t>
        </is>
      </c>
      <c r="G54" s="75" t="n">
        <v>2</v>
      </c>
    </row>
    <row r="55">
      <c r="A55" s="67" t="n"/>
      <c r="B55" s="75" t="n"/>
      <c r="C55" s="76" t="n"/>
      <c r="F55" s="67" t="inlineStr">
        <is>
          <t>P24</t>
        </is>
      </c>
      <c r="G55" s="75" t="n">
        <v>2</v>
      </c>
    </row>
    <row r="56">
      <c r="A56" s="67" t="n"/>
      <c r="B56" s="75" t="n"/>
      <c r="C56" s="76" t="n"/>
      <c r="F56" s="67" t="inlineStr">
        <is>
          <t>P25</t>
        </is>
      </c>
      <c r="G56" s="75" t="n">
        <v>2</v>
      </c>
    </row>
    <row r="57">
      <c r="A57" s="67" t="n"/>
      <c r="B57" s="75" t="n"/>
      <c r="C57" s="76" t="n"/>
      <c r="F57" s="67" t="inlineStr">
        <is>
          <t>LOSE</t>
        </is>
      </c>
      <c r="G57" s="75" t="n">
        <v>2</v>
      </c>
    </row>
    <row r="58">
      <c r="A58" s="67" t="n"/>
      <c r="B58" s="75" t="n"/>
      <c r="C58" s="76" t="n"/>
      <c r="F58" s="67" t="n"/>
      <c r="G58" s="75" t="n"/>
    </row>
    <row r="59">
      <c r="A59" s="67" t="n"/>
      <c r="B59" s="75" t="n"/>
      <c r="C59" s="76" t="n"/>
      <c r="F59" s="67" t="n"/>
      <c r="G59" s="75" t="n"/>
    </row>
    <row r="60">
      <c r="A60" s="67" t="n"/>
      <c r="B60" s="75" t="n"/>
      <c r="C60" s="76" t="n"/>
      <c r="F60" s="67" t="n"/>
      <c r="G60" s="75" t="n"/>
    </row>
    <row r="61">
      <c r="A61" s="67" t="n"/>
      <c r="B61" s="75" t="n"/>
      <c r="C61" s="76" t="n"/>
      <c r="F61" s="67" t="n"/>
      <c r="G61" s="75" t="n"/>
    </row>
    <row r="62">
      <c r="A62" s="67" t="n"/>
      <c r="B62" s="75" t="n"/>
      <c r="C62" s="76" t="n"/>
      <c r="F62" s="67" t="n"/>
      <c r="G62" s="75" t="n"/>
    </row>
    <row r="63">
      <c r="A63" s="67" t="n"/>
      <c r="B63" s="75" t="n"/>
      <c r="C63" s="76" t="n"/>
      <c r="F63" s="67" t="n"/>
      <c r="G63" s="75" t="n"/>
    </row>
    <row r="64">
      <c r="A64" s="67" t="n"/>
      <c r="B64" s="75" t="n"/>
      <c r="C64" s="76" t="n"/>
      <c r="F64" s="67" t="n"/>
      <c r="G64" s="75" t="n"/>
    </row>
  </sheetData>
  <dataValidations count="4">
    <dataValidation sqref="E5:E7" showDropDown="0" showInputMessage="0" showErrorMessage="0" allowBlank="0" error="Anzahl Tablare 40–60" type="whole" operator="between">
      <formula1>40</formula1>
      <formula2>60</formula2>
    </dataValidation>
    <dataValidation sqref="B20" showDropDown="0" showInputMessage="0" showErrorMessage="0" allowBlank="0" type="list">
      <formula1>"Export (Bestandsmenge),Jahresanfang 2025 + Export"</formula1>
    </dataValidation>
    <dataValidation sqref="B35:B64" showDropDown="0" showInputMessage="0" showErrorMessage="0" allowBlank="1" type="list">
      <formula1>"1,2,3,2+3,Nein"</formula1>
    </dataValidation>
    <dataValidation sqref="G35:G64" showDropDown="0" showInputMessage="0" showErrorMessage="0" allowBlank="1" type="list">
      <formula1>"2,3"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1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11" customWidth="1" min="4" max="4"/>
    <col width="12" customWidth="1" min="5" max="5"/>
    <col width="11" customWidth="1" min="6" max="6"/>
    <col width="10" customWidth="1" min="7" max="7"/>
    <col width="14" customWidth="1" min="8" max="8"/>
    <col width="11" customWidth="1" min="9" max="9"/>
    <col width="12" customWidth="1" min="10" max="10"/>
  </cols>
  <sheetData>
    <row r="1">
      <c r="A1" s="30" t="inlineStr">
        <is>
          <t>Neue Artikel</t>
        </is>
      </c>
    </row>
    <row r="2">
      <c r="A2" s="31" t="inlineStr">
        <is>
          <t>Bis 100 Artikel erfassen. Sie werden im Blatt «Artikel» (unterste Zeilen) automatisch mitgerechnet und als «Neu» markiert.</t>
        </is>
      </c>
    </row>
    <row r="3">
      <c r="A3" s="3" t="inlineStr">
        <is>
          <t>Beispiel: 112345 | Dichtung DN50 | 120 | 0 | 10 | 50 | 4.20 | S41 | 25 | 3   (Lift leer = Vorschlag nach Gebinde)</t>
        </is>
      </c>
    </row>
    <row r="4" ht="42" customHeight="1">
      <c r="A4" s="51" t="inlineStr">
        <is>
          <t>Artikelnummer</t>
        </is>
      </c>
      <c r="B4" s="51" t="inlineStr">
        <is>
          <t>Bezeichnung</t>
        </is>
      </c>
      <c r="C4" s="51" t="inlineStr">
        <is>
          <t>erwarteter Jahresverbrauch</t>
        </is>
      </c>
      <c r="D4" s="51" t="inlineStr">
        <is>
          <t>Ist-Bestand</t>
        </is>
      </c>
      <c r="E4" s="51" t="inlineStr">
        <is>
          <t>Mindestbestand (MB)</t>
        </is>
      </c>
      <c r="F4" s="51" t="inlineStr">
        <is>
          <t>Losgrösse (LG)</t>
        </is>
      </c>
      <c r="G4" s="51" t="inlineStr">
        <is>
          <t>Preis CHF</t>
        </is>
      </c>
      <c r="H4" s="51" t="inlineStr">
        <is>
          <t>Gebindekategorie (leer = lose)</t>
        </is>
      </c>
      <c r="I4" s="51" t="inlineStr">
        <is>
          <t>Menge pro Gebinde</t>
        </is>
      </c>
      <c r="J4" s="51" t="inlineStr">
        <is>
          <t>Lift (1/2/3/Aussen)</t>
        </is>
      </c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7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7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7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7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7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7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7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7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7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7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7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</row>
  </sheetData>
  <dataValidations count="1">
    <dataValidation sqref="J5:J104" showDropDown="0" showInputMessage="0" showErrorMessage="0" allowBlank="1" type="list">
      <formula1>"1,2,3,Aussen"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zoomScale="10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30" t="inlineStr">
        <is>
          <t>Gebinde-Kategorie</t>
        </is>
      </c>
    </row>
    <row r="2">
      <c r="A2" s="31" t="inlineStr">
        <is>
          <t>Länge/Breite/Höhe in cm (gelb). Grundfläche = L × B, Volumen = L × B × H. Neue Kategorien unten ergänzen.</t>
        </is>
      </c>
    </row>
    <row r="4">
      <c r="A4" s="32" t="inlineStr">
        <is>
          <t>Gebinde</t>
        </is>
      </c>
      <c r="B4" s="32" t="inlineStr">
        <is>
          <t>Bezeichnung</t>
        </is>
      </c>
      <c r="C4" s="32" t="inlineStr">
        <is>
          <t>Länge cm</t>
        </is>
      </c>
      <c r="D4" s="32" t="inlineStr">
        <is>
          <t>Breite cm</t>
        </is>
      </c>
      <c r="E4" s="32" t="inlineStr">
        <is>
          <t>Höhe cm</t>
        </is>
      </c>
      <c r="F4" s="32" t="inlineStr">
        <is>
          <t>Grundfläche m²</t>
        </is>
      </c>
      <c r="G4" s="32" t="inlineStr">
        <is>
          <t>Volumen m³</t>
        </is>
      </c>
    </row>
    <row r="5">
      <c r="A5" s="67" t="inlineStr">
        <is>
          <t>S21</t>
        </is>
      </c>
      <c r="B5" s="67" t="inlineStr">
        <is>
          <t>BITO 117 H8 4er Teilung</t>
        </is>
      </c>
      <c r="C5" s="74" t="n">
        <v>8.699999999999999</v>
      </c>
      <c r="D5" s="74" t="n">
        <v>9.4</v>
      </c>
      <c r="E5" s="74" t="n">
        <v>8</v>
      </c>
      <c r="F5" s="77">
        <f>IF(A5="","",C5*D5/10000)</f>
        <v/>
      </c>
      <c r="G5" s="77">
        <f>IF(A5="","",C5*D5*E5/1000000)</f>
        <v/>
      </c>
    </row>
    <row r="6">
      <c r="A6" s="67" t="inlineStr">
        <is>
          <t>S22</t>
        </is>
      </c>
      <c r="B6" s="67" t="inlineStr">
        <is>
          <t>BITO 117 H8 2er Teilung</t>
        </is>
      </c>
      <c r="C6" s="74" t="n">
        <v>17.8</v>
      </c>
      <c r="D6" s="74" t="n">
        <v>9.4</v>
      </c>
      <c r="E6" s="74" t="n">
        <v>8</v>
      </c>
      <c r="F6" s="77">
        <f>IF(A6="","",C6*D6/10000)</f>
        <v/>
      </c>
      <c r="G6" s="77">
        <f>IF(A6="","",C6*D6*E6/1000000)</f>
        <v/>
      </c>
    </row>
    <row r="7">
      <c r="A7" s="67" t="inlineStr">
        <is>
          <t>S32</t>
        </is>
      </c>
      <c r="B7" s="67" t="inlineStr">
        <is>
          <t>BITO 156 H9 2er Teilung</t>
        </is>
      </c>
      <c r="C7" s="74" t="n">
        <v>17.7</v>
      </c>
      <c r="D7" s="74" t="n">
        <v>13.6</v>
      </c>
      <c r="E7" s="74" t="n">
        <v>8</v>
      </c>
      <c r="F7" s="77">
        <f>IF(A7="","",C7*D7/10000)</f>
        <v/>
      </c>
      <c r="G7" s="77">
        <f>IF(A7="","",C7*D7*E7/1000000)</f>
        <v/>
      </c>
    </row>
    <row r="8">
      <c r="A8" s="67" t="inlineStr">
        <is>
          <t>S33</t>
        </is>
      </c>
      <c r="B8" s="67" t="inlineStr">
        <is>
          <t>BITO 156 H9 1er Teilung</t>
        </is>
      </c>
      <c r="C8" s="74" t="n">
        <v>35.8</v>
      </c>
      <c r="D8" s="74" t="n">
        <v>13.6</v>
      </c>
      <c r="E8" s="74" t="n">
        <v>8</v>
      </c>
      <c r="F8" s="77">
        <f>IF(A8="","",C8*D8/10000)</f>
        <v/>
      </c>
      <c r="G8" s="77">
        <f>IF(A8="","",C8*D8*E8/1000000)</f>
        <v/>
      </c>
    </row>
    <row r="9">
      <c r="A9" s="67" t="inlineStr">
        <is>
          <t>S41</t>
        </is>
      </c>
      <c r="B9" s="67" t="inlineStr">
        <is>
          <t>Eurobox 300 x 200 x 120mm</t>
        </is>
      </c>
      <c r="C9" s="74" t="n">
        <v>27</v>
      </c>
      <c r="D9" s="74" t="n">
        <v>17</v>
      </c>
      <c r="E9" s="74" t="n">
        <v>11</v>
      </c>
      <c r="F9" s="77">
        <f>IF(A9="","",C9*D9/10000)</f>
        <v/>
      </c>
      <c r="G9" s="77">
        <f>IF(A9="","",C9*D9*E9/1000000)</f>
        <v/>
      </c>
    </row>
    <row r="10">
      <c r="A10" s="67" t="inlineStr">
        <is>
          <t>S51</t>
        </is>
      </c>
      <c r="B10" s="67" t="inlineStr">
        <is>
          <t>Eurobox 400 x 300 x 120mm</t>
        </is>
      </c>
      <c r="C10" s="74" t="n">
        <v>37</v>
      </c>
      <c r="D10" s="74" t="n">
        <v>27</v>
      </c>
      <c r="E10" s="74" t="n">
        <v>11</v>
      </c>
      <c r="F10" s="77">
        <f>IF(A10="","",C10*D10/10000)</f>
        <v/>
      </c>
      <c r="G10" s="77">
        <f>IF(A10="","",C10*D10*E10/1000000)</f>
        <v/>
      </c>
    </row>
    <row r="11">
      <c r="A11" s="67" t="inlineStr">
        <is>
          <t>S52</t>
        </is>
      </c>
      <c r="B11" s="67" t="inlineStr">
        <is>
          <t>Eurobox 400 x 300 x 220mm</t>
        </is>
      </c>
      <c r="C11" s="74" t="n">
        <v>37</v>
      </c>
      <c r="D11" s="74" t="n">
        <v>27</v>
      </c>
      <c r="E11" s="74" t="n">
        <v>21</v>
      </c>
      <c r="F11" s="77">
        <f>IF(A11="","",C11*D11/10000)</f>
        <v/>
      </c>
      <c r="G11" s="77">
        <f>IF(A11="","",C11*D11*E11/1000000)</f>
        <v/>
      </c>
    </row>
    <row r="12">
      <c r="A12" s="67" t="inlineStr">
        <is>
          <t>S61</t>
        </is>
      </c>
      <c r="B12" s="67" t="inlineStr">
        <is>
          <t>Eurobox 600 x 400 x 120mm</t>
        </is>
      </c>
      <c r="C12" s="74" t="n">
        <v>57</v>
      </c>
      <c r="D12" s="74" t="n">
        <v>37</v>
      </c>
      <c r="E12" s="74" t="n">
        <v>11</v>
      </c>
      <c r="F12" s="77">
        <f>IF(A12="","",C12*D12/10000)</f>
        <v/>
      </c>
      <c r="G12" s="77">
        <f>IF(A12="","",C12*D12*E12/1000000)</f>
        <v/>
      </c>
    </row>
    <row r="13">
      <c r="A13" s="67" t="inlineStr">
        <is>
          <t>S62</t>
        </is>
      </c>
      <c r="B13" s="67" t="inlineStr">
        <is>
          <t>Eurobox 600 x 400 x 220mm</t>
        </is>
      </c>
      <c r="C13" s="74" t="n">
        <v>57</v>
      </c>
      <c r="D13" s="74" t="n">
        <v>37</v>
      </c>
      <c r="E13" s="74" t="n">
        <v>21</v>
      </c>
      <c r="F13" s="77">
        <f>IF(A13="","",C13*D13/10000)</f>
        <v/>
      </c>
      <c r="G13" s="77">
        <f>IF(A13="","",C13*D13*E13/1000000)</f>
        <v/>
      </c>
    </row>
    <row r="14">
      <c r="A14" s="67" t="inlineStr">
        <is>
          <t>S63</t>
        </is>
      </c>
      <c r="B14" s="67" t="inlineStr">
        <is>
          <t>Eurobox 600 x 400 x 320mm</t>
        </is>
      </c>
      <c r="C14" s="74" t="n">
        <v>57</v>
      </c>
      <c r="D14" s="74" t="n">
        <v>37</v>
      </c>
      <c r="E14" s="74" t="n">
        <v>31</v>
      </c>
      <c r="F14" s="77">
        <f>IF(A14="","",C14*D14/10000)</f>
        <v/>
      </c>
      <c r="G14" s="77">
        <f>IF(A14="","",C14*D14*E14/1000000)</f>
        <v/>
      </c>
    </row>
    <row r="15">
      <c r="A15" s="67" t="inlineStr">
        <is>
          <t>S71</t>
        </is>
      </c>
      <c r="B15" s="67" t="inlineStr">
        <is>
          <t>Trennblech 800 x 600 x 200</t>
        </is>
      </c>
      <c r="C15" s="74" t="n">
        <v>80</v>
      </c>
      <c r="D15" s="74" t="n">
        <v>60</v>
      </c>
      <c r="E15" s="74" t="n">
        <v>20</v>
      </c>
      <c r="F15" s="77">
        <f>IF(A15="","",C15*D15/10000)</f>
        <v/>
      </c>
      <c r="G15" s="77">
        <f>IF(A15="","",C15*D15*E15/1000000)</f>
        <v/>
      </c>
    </row>
    <row r="16">
      <c r="A16" s="67" t="inlineStr">
        <is>
          <t>S72</t>
        </is>
      </c>
      <c r="B16" s="67" t="inlineStr">
        <is>
          <t>Trennblech 800 x 600 x 400</t>
        </is>
      </c>
      <c r="C16" s="74" t="n">
        <v>80</v>
      </c>
      <c r="D16" s="74" t="n">
        <v>60</v>
      </c>
      <c r="E16" s="74" t="n">
        <v>40</v>
      </c>
      <c r="F16" s="77">
        <f>IF(A16="","",C16*D16/10000)</f>
        <v/>
      </c>
      <c r="G16" s="77">
        <f>IF(A16="","",C16*D16*E16/1000000)</f>
        <v/>
      </c>
    </row>
    <row r="17">
      <c r="A17" s="67" t="inlineStr">
        <is>
          <t>S73</t>
        </is>
      </c>
      <c r="B17" s="67" t="inlineStr">
        <is>
          <t>Trennblech 800 x 600 x 600</t>
        </is>
      </c>
      <c r="C17" s="74" t="n">
        <v>80</v>
      </c>
      <c r="D17" s="74" t="n">
        <v>60</v>
      </c>
      <c r="E17" s="74" t="n">
        <v>60</v>
      </c>
      <c r="F17" s="77">
        <f>IF(A17="","",C17*D17/10000)</f>
        <v/>
      </c>
      <c r="G17" s="77">
        <f>IF(A17="","",C17*D17*E17/1000000)</f>
        <v/>
      </c>
    </row>
    <row r="18">
      <c r="A18" s="67" t="inlineStr">
        <is>
          <t>S81</t>
        </is>
      </c>
      <c r="B18" s="67" t="inlineStr">
        <is>
          <t>Trennblech 1200 x 800 x 200mm</t>
        </is>
      </c>
      <c r="C18" s="74" t="n">
        <v>120</v>
      </c>
      <c r="D18" s="74" t="n">
        <v>80</v>
      </c>
      <c r="E18" s="74" t="n">
        <v>20</v>
      </c>
      <c r="F18" s="77">
        <f>IF(A18="","",C18*D18/10000)</f>
        <v/>
      </c>
      <c r="G18" s="77">
        <f>IF(A18="","",C18*D18*E18/1000000)</f>
        <v/>
      </c>
    </row>
    <row r="19">
      <c r="A19" s="67" t="inlineStr">
        <is>
          <t>S82</t>
        </is>
      </c>
      <c r="B19" s="67" t="inlineStr">
        <is>
          <t>Trennblech 1200 x 800 x 400mm</t>
        </is>
      </c>
      <c r="C19" s="74" t="n">
        <v>120</v>
      </c>
      <c r="D19" s="74" t="n">
        <v>80</v>
      </c>
      <c r="E19" s="74" t="n">
        <v>40</v>
      </c>
      <c r="F19" s="77">
        <f>IF(A19="","",C19*D19/10000)</f>
        <v/>
      </c>
      <c r="G19" s="77">
        <f>IF(A19="","",C19*D19*E19/1000000)</f>
        <v/>
      </c>
    </row>
    <row r="20">
      <c r="A20" s="67" t="inlineStr">
        <is>
          <t>S83</t>
        </is>
      </c>
      <c r="B20" s="67" t="inlineStr">
        <is>
          <t>Trennblech 1200 x 800 x 600mm</t>
        </is>
      </c>
      <c r="C20" s="74" t="n">
        <v>120</v>
      </c>
      <c r="D20" s="74" t="n">
        <v>80</v>
      </c>
      <c r="E20" s="74" t="n">
        <v>60</v>
      </c>
      <c r="F20" s="77">
        <f>IF(A20="","",C20*D20/10000)</f>
        <v/>
      </c>
      <c r="G20" s="77">
        <f>IF(A20="","",C20*D20*E20/1000000)</f>
        <v/>
      </c>
    </row>
    <row r="21">
      <c r="A21" s="67" t="inlineStr">
        <is>
          <t>P20</t>
        </is>
      </c>
      <c r="B21" s="67" t="inlineStr">
        <is>
          <t>Euro-Palett 1/2 Rahmen, 20 cm hoch</t>
        </is>
      </c>
      <c r="C21" s="74" t="n">
        <v>120</v>
      </c>
      <c r="D21" s="74" t="n">
        <v>80</v>
      </c>
      <c r="E21" s="74" t="n">
        <v>20</v>
      </c>
      <c r="F21" s="77">
        <f>IF(A21="","",C21*D21/10000)</f>
        <v/>
      </c>
      <c r="G21" s="77">
        <f>IF(A21="","",C21*D21*E21/1000000)</f>
        <v/>
      </c>
    </row>
    <row r="22">
      <c r="A22" s="67" t="inlineStr">
        <is>
          <t>P21</t>
        </is>
      </c>
      <c r="B22" s="67" t="inlineStr">
        <is>
          <t>Euro-Palett 1 Rahmen, 40 cm hoch</t>
        </is>
      </c>
      <c r="C22" s="74" t="n">
        <v>120</v>
      </c>
      <c r="D22" s="74" t="n">
        <v>80</v>
      </c>
      <c r="E22" s="74" t="n">
        <v>40</v>
      </c>
      <c r="F22" s="77">
        <f>IF(A22="","",C22*D22/10000)</f>
        <v/>
      </c>
      <c r="G22" s="77">
        <f>IF(A22="","",C22*D22*E22/1000000)</f>
        <v/>
      </c>
    </row>
    <row r="23">
      <c r="A23" s="67" t="inlineStr">
        <is>
          <t>P22</t>
        </is>
      </c>
      <c r="B23" s="67" t="inlineStr">
        <is>
          <t>Euro-Palett 2 Rahmen, 80 cm hoch</t>
        </is>
      </c>
      <c r="C23" s="74" t="n">
        <v>120</v>
      </c>
      <c r="D23" s="74" t="n">
        <v>80</v>
      </c>
      <c r="E23" s="74" t="n">
        <v>80</v>
      </c>
      <c r="F23" s="77">
        <f>IF(A23="","",C23*D23/10000)</f>
        <v/>
      </c>
      <c r="G23" s="77">
        <f>IF(A23="","",C23*D23*E23/1000000)</f>
        <v/>
      </c>
    </row>
    <row r="24">
      <c r="A24" s="67" t="inlineStr">
        <is>
          <t>P23</t>
        </is>
      </c>
      <c r="B24" s="67" t="inlineStr">
        <is>
          <t>Euro-Palett 3 Rahmen, 120 cm hoch</t>
        </is>
      </c>
      <c r="C24" s="74" t="n">
        <v>120</v>
      </c>
      <c r="D24" s="74" t="n">
        <v>80</v>
      </c>
      <c r="E24" s="74" t="n">
        <v>120</v>
      </c>
      <c r="F24" s="77">
        <f>IF(A24="","",C24*D24/10000)</f>
        <v/>
      </c>
      <c r="G24" s="77">
        <f>IF(A24="","",C24*D24*E24/1000000)</f>
        <v/>
      </c>
    </row>
    <row r="25">
      <c r="A25" s="67" t="inlineStr">
        <is>
          <t>P24</t>
        </is>
      </c>
      <c r="B25" s="67" t="inlineStr">
        <is>
          <t>Euro-Palett 4 Rahmen, 160 cm hoch</t>
        </is>
      </c>
      <c r="C25" s="74" t="n">
        <v>120</v>
      </c>
      <c r="D25" s="74" t="n">
        <v>80</v>
      </c>
      <c r="E25" s="74" t="n">
        <v>160</v>
      </c>
      <c r="F25" s="77">
        <f>IF(A25="","",C25*D25/10000)</f>
        <v/>
      </c>
      <c r="G25" s="77">
        <f>IF(A25="","",C25*D25*E25/1000000)</f>
        <v/>
      </c>
    </row>
    <row r="26">
      <c r="A26" s="67" t="inlineStr">
        <is>
          <t>P25</t>
        </is>
      </c>
      <c r="B26" s="67" t="inlineStr">
        <is>
          <t>Euro-Palett 5 Rahmen, 200 cm hoch</t>
        </is>
      </c>
      <c r="C26" s="74" t="n">
        <v>120</v>
      </c>
      <c r="D26" s="74" t="n">
        <v>80</v>
      </c>
      <c r="E26" s="74" t="n">
        <v>200</v>
      </c>
      <c r="F26" s="77">
        <f>IF(A26="","",C26*D26/10000)</f>
        <v/>
      </c>
      <c r="G26" s="77">
        <f>IF(A26="","",C26*D26*E26/1000000)</f>
        <v/>
      </c>
    </row>
    <row r="27">
      <c r="A27" s="67" t="n"/>
      <c r="B27" s="67" t="n"/>
      <c r="C27" s="74" t="n"/>
      <c r="D27" s="74" t="n"/>
      <c r="E27" s="74" t="n"/>
      <c r="F27" s="77">
        <f>IF(A27="","",C27*D27/10000)</f>
        <v/>
      </c>
      <c r="G27" s="77">
        <f>IF(A27="","",C27*D27*E27/1000000)</f>
        <v/>
      </c>
    </row>
    <row r="28">
      <c r="A28" s="67" t="n"/>
      <c r="B28" s="67" t="n"/>
      <c r="C28" s="74" t="n"/>
      <c r="D28" s="74" t="n"/>
      <c r="E28" s="74" t="n"/>
      <c r="F28" s="77">
        <f>IF(A28="","",C28*D28/10000)</f>
        <v/>
      </c>
      <c r="G28" s="77">
        <f>IF(A28="","",C28*D28*E28/1000000)</f>
        <v/>
      </c>
    </row>
    <row r="29">
      <c r="A29" s="67" t="n"/>
      <c r="B29" s="67" t="n"/>
      <c r="C29" s="74" t="n"/>
      <c r="D29" s="74" t="n"/>
      <c r="E29" s="74" t="n"/>
      <c r="F29" s="77">
        <f>IF(A29="","",C29*D29/10000)</f>
        <v/>
      </c>
      <c r="G29" s="77">
        <f>IF(A29="","",C29*D29*E29/1000000)</f>
        <v/>
      </c>
    </row>
    <row r="30">
      <c r="A30" s="67" t="n"/>
      <c r="B30" s="67" t="n"/>
      <c r="C30" s="74" t="n"/>
      <c r="D30" s="74" t="n"/>
      <c r="E30" s="74" t="n"/>
      <c r="F30" s="77">
        <f>IF(A30="","",C30*D30/10000)</f>
        <v/>
      </c>
      <c r="G30" s="77">
        <f>IF(A30="","",C30*D30*E30/1000000)</f>
        <v/>
      </c>
    </row>
    <row r="31">
      <c r="A31" s="67" t="n"/>
      <c r="B31" s="67" t="n"/>
      <c r="C31" s="74" t="n"/>
      <c r="D31" s="74" t="n"/>
      <c r="E31" s="74" t="n"/>
      <c r="F31" s="77">
        <f>IF(A31="","",C31*D31/10000)</f>
        <v/>
      </c>
      <c r="G31" s="77">
        <f>IF(A31="","",C31*D31*E31/1000000)</f>
        <v/>
      </c>
    </row>
    <row r="32">
      <c r="A32" s="67" t="n"/>
      <c r="B32" s="67" t="n"/>
      <c r="C32" s="74" t="n"/>
      <c r="D32" s="74" t="n"/>
      <c r="E32" s="74" t="n"/>
      <c r="F32" s="77">
        <f>IF(A32="","",C32*D32/10000)</f>
        <v/>
      </c>
      <c r="G32" s="77">
        <f>IF(A32="","",C32*D32*E32/1000000)</f>
        <v/>
      </c>
    </row>
    <row r="33">
      <c r="A33" s="67" t="n"/>
      <c r="B33" s="67" t="n"/>
      <c r="C33" s="74" t="n"/>
      <c r="D33" s="74" t="n"/>
      <c r="E33" s="74" t="n"/>
      <c r="F33" s="77">
        <f>IF(A33="","",C33*D33/10000)</f>
        <v/>
      </c>
      <c r="G33" s="77">
        <f>IF(A33="","",C33*D33*E33/1000000)</f>
        <v/>
      </c>
    </row>
    <row r="34">
      <c r="A34" s="67" t="n"/>
      <c r="B34" s="67" t="n"/>
      <c r="C34" s="74" t="n"/>
      <c r="D34" s="74" t="n"/>
      <c r="E34" s="74" t="n"/>
      <c r="F34" s="77">
        <f>IF(A34="","",C34*D34/10000)</f>
        <v/>
      </c>
      <c r="G34" s="77">
        <f>IF(A34="","",C34*D34*E34/1000000)</f>
        <v/>
      </c>
    </row>
    <row r="35">
      <c r="A35" s="67" t="n"/>
      <c r="B35" s="67" t="n"/>
      <c r="C35" s="74" t="n"/>
      <c r="D35" s="74" t="n"/>
      <c r="E35" s="74" t="n"/>
      <c r="F35" s="77">
        <f>IF(A35="","",C35*D35/10000)</f>
        <v/>
      </c>
      <c r="G35" s="77">
        <f>IF(A35="","",C35*D35*E35/1000000)</f>
        <v/>
      </c>
    </row>
    <row r="36">
      <c r="A36" s="67" t="n"/>
      <c r="B36" s="67" t="n"/>
      <c r="C36" s="74" t="n"/>
      <c r="D36" s="74" t="n"/>
      <c r="E36" s="74" t="n"/>
      <c r="F36" s="77">
        <f>IF(A36="","",C36*D36/10000)</f>
        <v/>
      </c>
      <c r="G36" s="77">
        <f>IF(A36="","",C36*D36*E36/1000000)</f>
        <v/>
      </c>
    </row>
    <row r="37">
      <c r="A37" s="67" t="n"/>
      <c r="B37" s="67" t="n"/>
      <c r="C37" s="74" t="n"/>
      <c r="D37" s="74" t="n"/>
      <c r="E37" s="74" t="n"/>
      <c r="F37" s="77">
        <f>IF(A37="","",C37*D37/10000)</f>
        <v/>
      </c>
      <c r="G37" s="77">
        <f>IF(A37="","",C37*D37*E37/1000000)</f>
        <v/>
      </c>
    </row>
    <row r="38">
      <c r="A38" s="67" t="n"/>
      <c r="B38" s="67" t="n"/>
      <c r="C38" s="74" t="n"/>
      <c r="D38" s="74" t="n"/>
      <c r="E38" s="74" t="n"/>
      <c r="F38" s="77">
        <f>IF(A38="","",C38*D38/10000)</f>
        <v/>
      </c>
      <c r="G38" s="77">
        <f>IF(A38="","",C38*D38*E38/1000000)</f>
        <v/>
      </c>
    </row>
    <row r="39">
      <c r="A39" s="67" t="n"/>
      <c r="B39" s="67" t="n"/>
      <c r="C39" s="74" t="n"/>
      <c r="D39" s="74" t="n"/>
      <c r="E39" s="74" t="n"/>
      <c r="F39" s="77">
        <f>IF(A39="","",C39*D39/10000)</f>
        <v/>
      </c>
      <c r="G39" s="77">
        <f>IF(A39="","",C39*D39*E39/1000000)</f>
        <v/>
      </c>
    </row>
    <row r="40">
      <c r="A40" s="67" t="n"/>
      <c r="B40" s="67" t="n"/>
      <c r="C40" s="74" t="n"/>
      <c r="D40" s="74" t="n"/>
      <c r="E40" s="74" t="n"/>
      <c r="F40" s="77">
        <f>IF(A40="","",C40*D40/10000)</f>
        <v/>
      </c>
      <c r="G40" s="77">
        <f>IF(A40="","",C40*D40*E40/1000000)</f>
        <v/>
      </c>
    </row>
    <row r="41">
      <c r="A41" s="67" t="n"/>
      <c r="B41" s="67" t="n"/>
      <c r="C41" s="74" t="n"/>
      <c r="D41" s="74" t="n"/>
      <c r="E41" s="74" t="n"/>
      <c r="F41" s="77">
        <f>IF(A41="","",C41*D41/10000)</f>
        <v/>
      </c>
      <c r="G41" s="77">
        <f>IF(A41="","",C41*D41*E41/1000000)</f>
        <v/>
      </c>
    </row>
    <row r="42">
      <c r="A42" s="67" t="n"/>
      <c r="B42" s="67" t="n"/>
      <c r="C42" s="74" t="n"/>
      <c r="D42" s="74" t="n"/>
      <c r="E42" s="74" t="n"/>
      <c r="F42" s="77">
        <f>IF(A42="","",C42*D42/10000)</f>
        <v/>
      </c>
      <c r="G42" s="77">
        <f>IF(A42="","",C42*D42*E42/1000000)</f>
        <v/>
      </c>
    </row>
    <row r="43">
      <c r="A43" s="67" t="n"/>
      <c r="B43" s="67" t="n"/>
      <c r="C43" s="74" t="n"/>
      <c r="D43" s="74" t="n"/>
      <c r="E43" s="74" t="n"/>
      <c r="F43" s="77">
        <f>IF(A43="","",C43*D43/10000)</f>
        <v/>
      </c>
      <c r="G43" s="77">
        <f>IF(A43="","",C43*D43*E43/1000000)</f>
        <v/>
      </c>
    </row>
    <row r="44">
      <c r="A44" s="67" t="n"/>
      <c r="B44" s="67" t="n"/>
      <c r="C44" s="74" t="n"/>
      <c r="D44" s="74" t="n"/>
      <c r="E44" s="74" t="n"/>
      <c r="F44" s="77">
        <f>IF(A44="","",C44*D44/10000)</f>
        <v/>
      </c>
      <c r="G44" s="77">
        <f>IF(A44="","",C44*D44*E44/1000000)</f>
        <v/>
      </c>
    </row>
    <row r="45">
      <c r="A45" s="67" t="n"/>
      <c r="B45" s="67" t="n"/>
      <c r="C45" s="74" t="n"/>
      <c r="D45" s="74" t="n"/>
      <c r="E45" s="74" t="n"/>
      <c r="F45" s="77">
        <f>IF(A45="","",C45*D45/10000)</f>
        <v/>
      </c>
      <c r="G45" s="77">
        <f>IF(A45="","",C45*D45*E45/1000000)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1"/>
  <sheetViews>
    <sheetView showGridLines="0" zoomScale="10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8" t="inlineStr">
        <is>
          <t>Anleitung – Lagerumschlag-Tool</t>
        </is>
      </c>
    </row>
    <row r="2">
      <c r="A2" s="79" t="inlineStr">
        <is>
          <t>Was ändere ich? Nur gelbe Felder.</t>
        </is>
      </c>
    </row>
    <row r="3">
      <c r="A3" s="80" t="inlineStr">
        <is>
          <t>• Cockpit: je Ansicht «Variante» und «Ziel-LU» (Dropdown, freie Eingabe erlaubt). Alles rechnet sofort neu.</t>
        </is>
      </c>
    </row>
    <row r="4">
      <c r="A4" s="80" t="inlineStr">
        <is>
          <t>• Artikel: Fläche lose, Gebinde neu / Menge pro Gebinde neu, Lift manuell (1/2/3/Aussen), Ziel-LU Artikel, MAX final, Kommentar. Leer = Vorschlag gilt.</t>
        </is>
      </c>
    </row>
    <row r="5">
      <c r="A5" s="80" t="inlineStr">
        <is>
          <t>• Parameter: Lifte (Tablare, Tablarmass, max. Ladehöhe), Ampel, Verbrauchszeitraum, Ist-Bestand-Quelle, LU-Liste, Zuordnung Hauptlager → Lift, Gebinde → Lift, Startwerte lose.</t>
        </is>
      </c>
    </row>
    <row r="6">
      <c r="A6" s="80" t="inlineStr">
        <is>
          <t>• Neue Artikel: werden automatisch unten im Blatt «Artikel» mitgerechnet («Neu»). • Gebinde-Kategorie: Masse, neue Kategorien unten ergänzen.</t>
        </is>
      </c>
    </row>
    <row r="7">
      <c r="A7" s="79" t="inlineStr">
        <is>
          <t>Varianten</t>
        </is>
      </c>
    </row>
    <row r="8">
      <c r="A8" s="80" t="inlineStr">
        <is>
          <t>A – Ist-Bestand: heutiger Bestand (unabhängig vom LU).</t>
        </is>
      </c>
    </row>
    <row r="9">
      <c r="A9" s="80" t="inlineStr">
        <is>
          <t>B – Ziel-LU: MAX = Jahresverbrauch / Ziel-LU, mindestens MB + Losgrösse, aufgerundet auf ganze Gebinde. Zielzustand nach Abbau des Überbestands.</t>
        </is>
      </c>
    </row>
    <row r="10">
      <c r="A10" s="80" t="inlineStr">
        <is>
          <t>C – Ziel-LU oder Ist (Hauptvariante): der höhere Wert aus B und Ist-Bestand. Platzbedarf, solange der Überbestand noch nicht abgebaut ist.</t>
        </is>
      </c>
    </row>
    <row r="11">
      <c r="A11" s="80" t="inlineStr">
        <is>
          <t>MAX final (gelb) ersetzt in B und C den berechneten Wert. Ziel-LU Artikel ersetzt den LU der Ansicht für diesen Artikel. Jahresverbrauch = Verbrauch Export × 12 / Anzahl Monate.</t>
        </is>
      </c>
    </row>
    <row r="12">
      <c r="A12" s="79" t="inlineStr">
        <is>
          <t>Lift-Auslastung</t>
        </is>
      </c>
    </row>
    <row r="13">
      <c r="A13" s="80" t="inlineStr">
        <is>
          <t>Fläche je Artikel = Anzahl Gebinde × Grundfläche (L × B) – Gebinde nicht gestapelt. Anzahl Gebinde = AUFRUNDEN(Menge / Menge pro Gebinde).</t>
        </is>
      </c>
    </row>
    <row r="14">
      <c r="A14" s="80" t="inlineStr">
        <is>
          <t>Lose Artikel: Fläche = Startwert je Hauptlager (Parameter) oder eigener Wert; in B/C skaliert mit Menge / Ist-Menge, mindestens Startwert.</t>
        </is>
      </c>
    </row>
    <row r="15">
      <c r="A15" s="80" t="inlineStr">
        <is>
          <t>Kapazität je Lift = Tablare × Tablarbreite × Tablartiefe. Belegte Tablare = AUFRUNDEN(m² / Tablarfläche). Auslastung = m² / Kapazität.</t>
        </is>
      </c>
    </row>
    <row r="16">
      <c r="A16" s="80" t="inlineStr">
        <is>
          <t>Zuordnung: LIFT1 → Lift 1. KTL/PAL → Lift 3 (BITO S21–S33, Eurobox S41–S52) oder Lift 2 (S61–S63, Trennbleche S71–S83, lose, «grosser Artikel»). Andere Hauptlager → «Nicht im Lift».</t>
        </is>
      </c>
    </row>
    <row r="17">
      <c r="A17" s="80" t="inlineStr">
        <is>
          <t>«Passt?» wird für Lift 1 und Lift 2 + 3 gemeinsam beurteilt. Aussenlager: je Liftgruppe Artikel nach Verbrauch pro m² sortiert (Schnelldreher zuerst), Fläche kumuliert; was die Kapazität überschreitet = «Aussenlager», der Artikel an der Grenze = «teilweise».</t>
        </is>
      </c>
    </row>
    <row r="18">
      <c r="A18" s="79" t="inlineStr">
        <is>
          <t>Hinweise</t>
        </is>
      </c>
    </row>
    <row r="19">
      <c r="A19" s="80" t="inlineStr">
        <is>
          <t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      </is>
      </c>
    </row>
    <row r="20">
      <c r="A20" s="79" t="inlineStr">
        <is>
          <t>Annahmen</t>
        </is>
      </c>
    </row>
    <row r="21">
      <c r="A21" s="80" t="inlineStr">
        <is>
          <t>1. Ist-Bestand = Spalte G «Bestandsmenge» des Kennzahlen-Auszugs, negativ = 0. ACHTUNG: G sieht nach Netto-Bewegung seit 01.01.2025 aus (fast die Hälfte negativ; Jahresanfang 2025 + G ist nie negativ). Umschaltbar in Parameter B20.</t>
        </is>
      </c>
    </row>
    <row r="22">
      <c r="A22" s="80" t="inlineStr">
        <is>
          <t>2. Verbrauch = Pivot «Auswertung Verbrauch» Spalte C (Kalenderjahr 2025), negativ = 0; fehlt ein Artikel dort, Spalte Y «Wareneinsatz».</t>
        </is>
      </c>
    </row>
    <row r="23">
      <c r="A23" s="80" t="inlineStr">
        <is>
          <t>3. MB = Spalte AK; wenn leer, Blatt «Auswertung MB» (Lager = Hauptlager). Losgrösse = Spalte D.</t>
        </is>
      </c>
    </row>
    <row r="24">
      <c r="A24" s="80" t="inlineStr">
        <is>
          <t>4. Gebinde aus «Artikelstamm Umschlag 2», sonst «Artikelstamm mit Verbrauch»; ohne Gebinde = LOSE. Menge pro Gebinde fehlt → ganzer Ist-Bestand = 1 Gebinde.</t>
        </is>
      </c>
    </row>
    <row r="25">
      <c r="A25" s="80" t="inlineStr">
        <is>
          <t>5. Startwerte lose: KTL 0.1 m², PAL 0.5 m², LIFT1 3.479 m² (1 Tablar), andere 0.5 m² – je Artikel, unabhängig von der Menge.</t>
        </is>
      </c>
    </row>
    <row r="26">
      <c r="A26" s="80" t="inlineStr">
        <is>
          <t>6. Lagerwert = Menge × Preis GLD Aktuell. Hauptlager aus dem Kennzahlen-Auszug (nicht aus dem Artikelstamm).</t>
        </is>
      </c>
    </row>
    <row r="27">
      <c r="A27" s="80" t="inlineStr">
        <is>
          <t>7. Artikel ohne Verbrauch: B = MB + LG (sonst 0). Aussenlager-Priorität: Verbrauch pro m² absteigend.</t>
        </is>
      </c>
    </row>
    <row r="28">
      <c r="A28" s="79" t="inlineStr">
        <is>
          <t>Schieberegler statt Dropdown (optional)</t>
        </is>
      </c>
    </row>
    <row r="29">
      <c r="A29" s="80" t="inlineStr">
        <is>
          <t>Entwicklertools → Einfügen → Formularsteuerelemente → Bildlaufleiste. Rechtsklick → Steuerelement formatieren: Min 10, Max 60, Schrittweite 5, Zellverknüpfung z. B. Cockpit!Z6. In Cockpit!C6 dann =Z6/10 eintragen (LU 1.0 – 6.0).</t>
        </is>
      </c>
    </row>
    <row r="30">
      <c r="A30" s="79" t="inlineStr">
        <is>
          <t>Aktualisieren</t>
        </is>
      </c>
    </row>
    <row r="31">
      <c r="A31" s="80" t="inlineStr">
        <is>
          <t>Neue Exporte in den Ordner «input» legen, Dateinamen oben in build_tool.py anpassen, «python build_tool.py» ausführen. Alle gelben Eingaben werden übernommen (Zuordnung über Artikelnummer).</t>
        </is>
      </c>
    </row>
  </sheetData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2026-10-01T14:11:41Z</dcterms:created>
  <dcterms:modified xsi:type="dcterms:W3CDTF">2026-10-01T14:11:44Z</dcterms:modified>
</cp:coreProperties>
</file>